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full_col_translated" sheetId="1" r:id="rId4"/>
    <sheet state="visible" name="temp for figs" sheetId="2" r:id="rId5"/>
    <sheet state="visible" name="bag_of_words_translatedOLD" sheetId="3" r:id="rId6"/>
  </sheets>
  <definedNames/>
  <calcPr/>
</workbook>
</file>

<file path=xl/sharedStrings.xml><?xml version="1.0" encoding="utf-8"?>
<sst xmlns="http://schemas.openxmlformats.org/spreadsheetml/2006/main" count="16709" uniqueCount="4089">
  <si>
    <t>for_query</t>
  </si>
  <si>
    <t>title</t>
  </si>
  <si>
    <t>snippet</t>
  </si>
  <si>
    <t>rank</t>
  </si>
  <si>
    <t>links</t>
  </si>
  <si>
    <t>country</t>
  </si>
  <si>
    <t>doc</t>
  </si>
  <si>
    <t>parsed_link</t>
  </si>
  <si>
    <t>discordance</t>
  </si>
  <si>
    <t>for_query_en</t>
  </si>
  <si>
    <t>title_en</t>
  </si>
  <si>
    <t>snippet_en</t>
  </si>
  <si>
    <t>doc_en</t>
  </si>
  <si>
    <t>atomic heart</t>
  </si>
  <si>
    <t>Atomic Heart – Atomic Heart</t>
  </si>
  <si>
    <t>https://mundfish.com/</t>
  </si>
  <si>
    <t>ru</t>
  </si>
  <si>
    <t>Atomic Heart on Steam</t>
  </si>
  <si>
    <t>https://store.steampowered.com/app/668580/Atomic_Heart/</t>
  </si>
  <si>
    <t>Welcome to Steam									Login										Store	HomeDiscovery QueueWishlistPoints ShopNewsStats			Community		HomeDiscussionsWorkshopMarketBroadcasts		Support										Change language																		View desktop website																	© Valve Corporation. All rights reserved. All trademarks are property of their respective owners in the US and other countries.								Privacy Policy									 |  Legal									 |  Steam Subscriber Agreement									 |  Refunds		STORE	HomeDiscovery QueueWishlistPoints ShopNewsStats			COMMUNITY		HomeDiscussionsWorkshopMarketBroadcasts				About					SUPPORT								Install Steam						login											 | 						language简体中文 (Simplified Chinese)繁體中文 (Traditional Chinese)日本語 (Japanese)한국어 (Korean)ไทย (Thai)Български (Bulgarian)Čeština (Czech)Dansk (Danish)Deutsch (German)Español - España (Spanish - Spain)Español - Latinoamérica (Spanish - Latin America)Ελληνικά (Greek)Français (French)Italiano (Italian)Bahasa Indonesia (Indonesian)Magyar (Hungarian)Nederlands (Dutch)Norsk (Norwegian)Polski (Polish)Português (Portuguese - Portugal)Português - Brasil (Portuguese - Brazil)Română (Romanian)Русский (Russian)Suomi (Finnish)Svenska (Swedish)Türkçe (Turkish)Tiếng Việt (Vietnamese)Українська (Ukrainian)Report a translation problem						Steam Deck											Get Yours Now											Steam Gift Cards											Give the Gift of Game					Recently ViewedYour TagsRecommendedBy FriendsBy CuratorsTagsBrowse CategoriesTop SellersNew ReleasesUpcoming SpecialsVR TitlesController-FriendlyGreat on DeckHardwareSteam DeckSteam Deck DockVR HardwareBrowse by genre							Free to Play													Early Access													Action													Adventure													Casual													Indie													Massively Multiplayer													Racing													RPG													Simulation													Sports													Strategy															Cart									(0)								Your StoreYour Store										Home									                                            Community Recommendations                                        										Recently Viewed									                                            Steam Curators                                        New &amp; NoteworthyNew &amp; NoteworthyPopular											Top Sellers																					Most Played																					New Releases																					Upcoming Releases										News &amp; Updates											Recently Updated										Promos &amp; Events											Special Offers																					Sale Events																					Steam Replay 2022																					Steam Next Fest										CategoriesCategoriesSpecial Sections														Free to Play													Demos														Early Access													Steam DeckGreat on DeckController-FriendlyRemote PlayVR TitlesVR Hardware                                                Software																							Soundtracks																								macOS																									SteamOS + Linux												For PC Cafés													Genres																										Action																												Action														Arcade &amp; RhythmFighting &amp; Martial ArtsFirst-Person ShooterHack &amp; SlashPlatformer &amp; RunnerThird-Person Shootershmup														Adventure																												Adventure														Adventure RPGCasualHidden ObjectMetroidvaniaPuzzleStory-RichVisual Novel 														Role-Playing																												Role-Playing														Action RPGAdventure RPGJRPGParty-BasedRogue-LikeStrategy RPGTurn-Based														Simulation																												Simulation														Building &amp; AutomationDatingFarming &amp; CraftingHobby &amp; JobLife &amp; ImmersiveSandbox &amp; PhysicsSpace &amp; Flight 														Strategy																												Strategy														Card &amp; BoardCity &amp; SettlementGrand &amp; 4XMilitaryReal-Time StrategyTower DefenseTurn-Based Strategy														Sports &amp; Racing																												Sports &amp; Racing														All SportsFishing &amp; HuntingIndividual SportsRacingRacing SimSports SimTeam Sports 														Themes																											Themes													AnimeHorrorMystery &amp; DetectiveOpen WorldSci-Fi &amp; CyberpunkSpaceSurvival 														Player Support																											Player Support													Co-OperativeLANLocal &amp; PartyMMOMultiplayerOnline CompetitiveSingleplayer Points ShopNewsLabsFeatured &amp; RecommendedSpecial Offers									Browse More									More									LiveFree WeekendOffer ends Nov 13 @ 10:00am.-70%$39.99$11.99 Weekend DealOffer ends Nov 16 @ 10:00am.-65 - 85% Today's deal!-20%$24.99$19.99 Today's deal!-50%$39.99$19.99 Weekend DealOffer ends Nov 16 @ 10:00am.-50%$49.99$24.99 LiveFree WeekendOffer ends Nov 21 @ 9:59am.-67%$29.99$9.89 Weekend DealOffer ends Nov 20 @ 10:00am.-33%$29.99$20.09 Weekend DealOffer ends Nov 13 @ 9:00am.-30%$34.99$24.49       Browse by categorySign in to view personalized recommendationsSign In                        Or sign up and join Steam for free                                        Recommended based on the games you play                                                    More                                Explore and Customize					Your Discovery Queue					Learn MoreSign in to view and browse your personalized Discovery QueueSign In						Or sign up and join Steam for free												Click here to begin exploring your queue						Explore Your QueueYou have viewed all the productsin your Discovery Queue for today.You have finished your list for today but if you're eager for more you can click below to generate another set.Start another queue &gt;&gt;Browse Steam                    New Releases                                    Specials                                    Free Games                                    By User Tags                					Recently Updated					Browse All										More														From developers and publishers that you know				Browse all                                More                                Browse All                                More                                                POPULAR VR GAMESNew &amp; TrendingTop SellersPopular UpcomingSpecialsNew &amp; TrendingFree To Play Vegas Infinite by PokerStarsVR Supported Free to Play Casual Strategy VRFree Gatekeeper: Infinity Action Roguelite Roguelike Shooter-10%$19.99$17.99 Strike Force Heroes Action Shooter 2D Arena Shooter$69.99 Call of Duty®: Modern Warfare® III Action FPS Shooter Multiplayer$69.99 Call of Duty®: Modern Warfare® III Action FPS Shooter MultiplayerFree I Wanna Maker Precision Platformer Level Editor 2D Platformer Free to Play$49.99 Dungeons 4 Simulation Strategy RTS City Builder-10%$24.99$22.49 Cuisineer Action Roguelike Cooking Casual Wholesome-20%$24.99$19.99 Spells &amp; Secrets Action Controller Singleplayer Roguelite-25%$39.99$29.99 Colony Ship: A Post-Earth Role Playing Game Turn-Based Tactical RPG Choices Matter Party-Based RPG-15%$14.99$12.74 Risk of Rain Returns Online Co-Op Multiplayer Action Roguelike PvE-10%$14.99$13.49 Doomsday Paradise Anime LGBTQ+ Dating Sim Dark Humor-10%$19.99$17.99 Cobalt Core Roguelike Deckbuilder Strategy Card Game Roguelike$49.99 Like a Dragon Gaiden: The Man Who Erased His Name Action Beat 'em up Action RPG Action-Adventure$49.99 Like a Dragon Gaiden: The Man Who Erased His Name Action Beat 'em up Action RPG Action-Adventure$49.99 Nickelodeon All-Star Brawl 2 Action 2D Fighter Arcade Beat 'em up-10%$14.99$13.49 Stronghold: Definitive Edition Real Time Tactics City Builder Sandbox Colony Sim-20%$24.99$19.99 Roboquest FPS Action Roguelike Roguelite Co-op$59.99 Football Manager 2024 Simulation Sports Strategy Football (Soccer)$29.99 The Invincible Adventure Robots Singleplayer FuturisticFree to Play Cards and Castles 2 Strategy Turn-Based Tactics Card Game Card Battler$24.99 Ranch Simulator - Build Farm Hunt Simulation Multiplayer Online Co-Op Open World$24.99 For The King II Adventure RPG Strategy Board Game$49.99 RoboCop: Rogue City Action FPS First-Person Singleplayer$49.99 STAR OCEAN THE SECOND STORY R RPG JRPG Action Action RPG$29.99 The Talos Principle 2 Puzzle Puzzle Platformer Sci-fi Exploration$39.99 My Time at Sandrock Life Sim Building Sandbox Farming Sim$19.99 Alien Hominid Invasion Online Co-Op Multiplayer Action Roguelike Shoot 'Em Up$24.99 This Bed We Made Mystery Third Person Cinematic Story Rich$19.99 Headbangers: Rhythm Royale Casual Rhythm Battle Royale Character Customization							See more:							New ReleasesTop Sellers										Include free to play items																			Include items in my library									 Call of Duty® FPS Multiplayer Shooter ActionFree to Play Counter-Strike 2 FPS Shooter Multiplayer Competitive$9.99 Lethal Company Early Access Online Co-Op Horror PvE$59.99 Baldur's Gate 3 RPG Choices Matter Character Customization Story Rich-15%$14.99$12.74 Risk of Rain Returns Online Co-Op Multiplayer Action Roguelike PvE$349.00 Steam Deck Free to Play War ThunderVR Supported Free to Play Vehicular Combat Combat World War II$44.99 ARK: Survival Ascended Early Access Survival Open World DinosaursFree to Play Apex Legends™ Free to Play Battle Royale Multiplayer Shooter$29.99 Call of Duty®: Modern Warfare® II - BlackCell (Season 06) Action Gore Violent Capitalism$49.99 Cities: Skylines II Simulation City Builder Building Singleplayer$59.99 Cyberpunk 2077 Cyberpunk Open World Nudity RPG-50%$49.99$24.99 Crusader Kings III Strategy Simulation RPG Medieval$19.99 Dead by Daylight Horror Survival Horror Multiplayer Online Co-Op$39.99 Rust Survival Crafting Multiplayer Open WorldFree To Play Lost Ark MMORPG Free to Play Action RPG MultiplayerFree to Play Warframe Free to Play Action RPG Looter Shooter Third-Person ShooterFree to Play PUBG: BATTLEGROUNDS Survival Shooter Battle Royale Multiplayer$69.99 Mortal Kombat 1 Action Gore Fighting Blood$19.99 Party Animals Casual Funny Multiplayer Cute$29.99 Cyberpunk 2077: Phantom Liberty RPG Story Rich Cyberpunk Open World$69.99 EA SPORTS FC™ 24 Sports Football (Soccer) Controller PvP$19.99 Tom Clancy's Rainbow Six® Siege FPS PvP eSports Shooter-30%$34.99$24.49 Stranded: Alien Dawn Survival Base Building Simulation Strategy$39.99 New World Massively Multiplayer Open World MMORPG RPG Grand Theft Auto V Open World Action Multiplayer Crime$39.99 Warhammer 40000: Darktide Warhammer 40K Gore Adventure Online Co-Op$49.99 RoboCop: Rogue City Action FPS First-Person Singleplayer$69.99 Starfield Space Singleplayer Open World RPG$24.99 For The King II Adventure RPG Strategy Board Game								See more:																	Top Sellers																					or											Global Top SellersTop Sellers																					or											Global Top SellersPopular Upcoming CD 2: Trap Master Early Access Roguelike Roguelike Deckbuilder Adventure Dream Town Island Simulation Strategy Casual City Builder Microcivilization 4X Clicker Base Building Resource ManagementFree Disco Simulator: Prologue Casual Simulation Management Party Minigame Madness Early Access Multiplayer Minigames Funny Estate Agent Simulator Simulation Life Sim Trading FPS Spirittea RPG Life Sim Simulation Fantasy March of Shrooms Strategy Action Action RTS 2D Bzzzt Precision Platformer Indie Action 2D Broken Roads RPG Post-apocalyptic Isometric Philosophical-10%$39.99$35.99 SUPER CRAZY RHYTHM CASTLE Puzzle Rhythm Action Music Misty's Shining Blacksmithing Sexual Content Nudity Adventure RPG Refind Self: The Personality Test Game Casual Adventure Pixel Graphics Choices Matter The Dot Adventure Story Rich Walking Simulator Exploration Invincible Presents: Atom Eve Adventure Action Visual Novel Story Rich Dune: Imperium Early Access Strategy Board Game Deckbuilding Ticket to Ride Board Game Tabletop Strategy Trains$39.99 UFO ROBOT GRENDIZER – The Feast of the Wolves Action Adventure Action-Adventure Beat 'em up-25%$9.99$7.49 KarmaZoo Action Casual Platformer Puzzle Death Must Die Early Access RPG Action Roguelike Bullet Hell Skybreakers Action Roguelike Action RPG Bullet Hell RogueliteFree To Play PHANTOM GALAXIES™ Action Adventure Anime Mechs Naheulbeuk's Dungeon Master Simulation Management Funny Replay Value The Last Faith Metroidvania Souls-like Violent Pixel Graphics American Arcadia Story Rich Atmospheric Puzzle Exploration Wizordum Early Access Action FPS Shooter Checkmate Showdown Fighting Competitive PvP Local Multiplayer Waifu Fighter -Family Friendly Casual Sexual Content Interactive Fiction Dating Sim 7th Domain RPG Action Action-Adventure Action Roguelike YOHANE THE PARHELION -BLAZE in the DEEPBLUE- Action Adventure Metroidvania Anime							See more:							Upcoming ReleasesSpecials-67%$29.99$9.89 Deep Rock Galactic Co-op PvE FPS Procedural Generation-50%$49.99$24.99 Crusader Kings III Strategy Simulation RPG Medieval-30%$34.99$24.49 Stranded: Alien Dawn Survival Base Building Simulation Strategy-75%$59.99$14.99 Tiny Tina's Wonderlands Loot Adventure Shooter Looter Shooter-30%$49.99$34.99 Mount &amp; Blade II: Bannerlord Medieval Strategy Open World RPG-60%$69.99$27.99 F1® 23VR Supported VR Racing Driving Sports-20%$21.99$17.59 Void Crew Adventure Action Online Co-Op Multiplayer-67%$59.99$19.79 Mafia Trilogy Action Open World Crime Story Rich-20%$74.99$59.99 Crusader Kings III Royal Edition Strategy Simulation RPG Medieval-75%$59.99$14.99 Tiny Tina's Wonderlands Loot Adventure Shooter Looter Shooter-30%$49.99$34.99 Age of Wonders 4 Strategy 4X Choices Matter Character Customization-85%$59.99$8.99 Far Cry® 5 Action-Adventure Open World FPS Shooter-70%$29.99$8.99 Dying Light Enhanced Edition Action Zombies RPG Parkour-75%$24.99$6.24 Overcooked! 2 Multiplayer Online Co-Op Local Co-Op Co-op-33%$29.99$20.09 Trepang2 Gore FPS Violent Action-85%$59.99$8.99 Watch Dogs®: Legion Action Adventure RPG Shooter-20%$24.99$19.99 ULTRAKILL Early Access FPS Arena Shooter Spectacle fighter-67%$29.99$9.89 Isonzo War Atmospheric Indie Simulation-85%$49.99$7.49 Watch_Dogs® 2 Open World Hacking Illuminati Parkour-85%$59.99$8.99 Borderlands 3 RPG Action Looter Shooter Multiplayer-20%$24.99$19.99 HYPERCHARGE: Unboxed Action-Adventure Co-op Campaign Singleplayer Third-Person Shooter-20%$29.99$23.99 Crusader Kings III: Tours &amp; Tournaments Strategy RPG Simulation Medieval-67%$14.99$4.94 Golf With Your Friends Multiplayer Casual Mini Golf Sports-75%$39.99$9.99 Riders Republic Racing Open World Massively Multiplayer Sports-70%$19.99$5.99 Grand Theft Auto IV: The Complete Edition Open World Action Automobile Sim Multiplayer-20%$19.99$15.99 Shadows of Doubt Early Access Detective Immersive Sim Sandbox-50%$39.99$19.99 Way of the Hunter Adventure Shooter Hunting Exploration-20%$29.99$23.99 Sengoku Dynasty Early Access Adventure Life Sim Simulation-50%$59.99$29.99 Grand Theft Auto: The Trilogy – The Definitive Edition Action Third-Person Shooter Open World Adventure-25%$14.99$11.24 Escape Simulator Puzzle Co-op Escape Room Multiplayer-80%$99.99$19.99 ACE COMBAT™ 7: SKIES UNKNOWN - TOP GUN: Maverick Ultimate Edition Simulation Action Flight Jet-20%$19.99$15.99 Chants of Sennaar Adventure Singleplayer Puzzle Colorful-77%$84.99$19.54 DRAGON BALL Z: KAKAROT Action RPG Anime Open World-80%$29.99$5.99 Far Cry® 4 Open World Action FPS Co-op-75%$39.99$9.99 Mafia: Definitive Edition Open World Action Story Rich Crime-85%$29.99$4.49 Watch_Dogs™ Open World Hacking Action Multiplayer-20%$29.99$23.99 Tainted Grail: The Fall of Avalon Early Access RPG Open World Dark Fantasy-20%$19.99$15.99 Dinkum Early Access Farming Sim Life Sim Online Co-Op-75%$79.99$19.99 Borderlands 3: Super Deluxe Edition Action RPG Looter Shooter Gore-60%$99.99$39.99 WWE 2K23 Sports Simulation Wrestling Multiplayer							See more:							SpecialsView all                            More                            Games streaming now				TRENDING AMONG FRIENDS				Browse All                                More                                					Under $10                    Under $10Under $5Updates and Offers  Keep scrolling for more recommendationsBelow you'll find a variety of titles that you may be interested in from categories across SteamLooking for recommendations?Sign in to view personalized recommendationsSign In						Or sign up and join Steam for free					© 2023 Valve Corporation.  All rights reserved.  All trademarks are property of their respective owners in the US and other countries.VAT included in all prices where applicable.              Privacy Policy              |              Legal              |              Steam Subscriber Agreement              |              Refunds              |              CookiesView mobile websiteAbout Valve          |  Jobs          |  Steamworks          |  Steam Distribution          |  Support                          |  Recycling                		  |  Gift Cards		  |   Steam		  |   @steam We're out of personalized recommendations for you right nowWe can recommend some different titles once you've played more games.Still looking for more? Check out a random game.We don't have any recommendations to show you here.This might be an error or it might be that you don't have any playtime on record.You can hit refresh or come back once you've played a game.Perhaps you'd like to check out a random game?Loading more content...</t>
  </si>
  <si>
    <t>store.steampowered.com</t>
  </si>
  <si>
    <t>Atomic Heart | Эксклюзивно на VK Play</t>
  </si>
  <si>
    <t>https://atomicheart.vkplay.ru/</t>
  </si>
  <si>
    <t>Atomic Heart | Эксклюзивно на VK PlayИГРА УЖЕ ДОСТУПНАКупитьВ список желаемого VK PlayОб игреСССРБУДУЩЕГОМасштабный сбой системы на Советском Предприятии №3826 привел к восстанию машин против человечества. Вы — Майор P-3 ваша задача — ликвидировать последствия глобальной катастрофы и сдержать утечку засекреченной информации угрожающей уничтожением всему миру.БЕСПОЩАДНЫЕСРАЖЕНИЯИзучайте поведение противников и следите за их взаимосвязями. Используйте большой арсенал оружия а также сверхспособности вашей полимерной перчатки. Превращайте в оружие все: предметы вокруг свое тело и даже ваших врагов! Каждое сражение уникально.ЛИЦОСОВЕТСКОЙМЕЧТЫКупить игруДетально изучайте все игровые локации. Огромные научно-исследовательские комплексы множество испытательных полигонов и смертельная угроза на каждом шагу. Обследуйте все уголки помещений и вы сможете найти много интересных фактов о жизни и работе сотрудников ведущих исследования различной степени секретности. Если конечно сможете выжить.НЕЙРОСЕТЬПРОНИЗЫВАЮЩАЯМИРГлобальная нейросеть «Коллектив» связывает в единую сеть всех летающих и наземных роботов на поверхности и в подземных комплексах. Если вас заметят то подкрепление быстро прибудет с ближайшей Автофабрики чтобы ликвидировать вас. Играть в stealth-режиме и не поднимать тревогу или бежать напролом и крушить врагов — выбор за вами! Вступить в Aтомный КлубПолучите доступ к эксклюзивному контенту специальным предложениям и узнавайте о предстоящих апдейтах и ивентах первыми!присоединиться в VK© 2023 ООО "АСТРУМ". Все права защищены. Все товарные знаки являются собственностью их владельцев.18+Политика конфиденциальности «Atomic Heart»Общее лицензионное соглашениеОбщая политика конфиденциальностиЦентр поддержки</t>
  </si>
  <si>
    <t>atomicheart.vkplay.ru</t>
  </si>
  <si>
    <t>Atomic Heart</t>
  </si>
  <si>
    <t>https://en.wikipedia.org/wiki/Atomic_Heart</t>
  </si>
  <si>
    <t>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t>
  </si>
  <si>
    <t>en.wikipedia.org</t>
  </si>
  <si>
    <t>Atomic Heart (с англ. — «Атомное сердце») — компьютерная игра в жанре шутера от первого лица с элементами ролевой игры, разработанная российской студией ...</t>
  </si>
  <si>
    <t>https://ru.wikipedia.org/wiki/Atomic_Heart</t>
  </si>
  <si>
    <t>Википедия — свободная энциклопедияЗаглавная страницаМатериал из Википедии — свободной энциклопедииЭто стабильная версия отпатрулированная 1 апреля 2023.Перейти к навигацииПерейти к поискуДобро пожаловать в Википедиюсвободную энциклопедию которую может редактировать каждый.Искать среди 1 946 957 статейСейчас в Википедии 1 946 957 статей на русском языке.Создать статьюСправкаПорталыИзбранная статьяСинтоизмТории — высокие бесстворчатые ворота на входе в синтоистские святыни узнаваемый символ синтоСинтои́зм синто́ (яп. 神道 синто: «путь богов») — традиционная политеистическая религия Японии основанная на анимистических верованиях древних японцев. Объектами поклонения являются ками — многочисленные божества и души умерших; ками могут стоять за природными объектами. Синтоизм обладает развитой храмовой системой и рядом общих для многих синтоистов ритуалов. В то же время отсутствуют сложное богословие этические предписания и канонизированное священное писание.Синтоистами ценятся манускрипты «Кодзики» (712) «Нихон сёки» (720) и некоторые другие создатели которых задокументировали подробности мифологии и ритуалов древних японцев. Поклонение ками может проходить в святилищах (дзиндзя). Архитектура синтоистских храмов смогла сохранить основные черты несмотря на влияние буддизма. В обязанности каннуси (священников) входит отправление ритуалов обслуживание храмов и проведение праздников (мацури). При храмах также служат женщины мико исполняющие роль помощниц.Для синтоизма первостепенную роль играют религиозные практики а не доктрина. Синтоисты взаимодействуют с ками через молитвы (норито) и подношения. В ходе своей жизни человек наполняется кэгарэ (скверной). Чтобы избавиться от неё необходимо пройти ритуалы очищения — мисоги или хараэ. Важной частью синтоизма являются мацури которые исчисляются тысячами. Крупнейшие из них собирают до сотен тысяч зрителей.Религия испытала значительное влияние буддизма после его проникновения в Японию около VI века н. э. Буддийские храмы строились вплотную с синтоистскими множество синкретических учений объединяли синтоистскую и буддийскую традиции. Возникло даже мнение что синтоизм долгое время являлся лишь ответвлением буддизма. В дальнейшем синтоизм испытал влияние идей кокугаку которые провозглашали уникальность и превосходство японской культуры. Сторонники движения исследовали синтоизм пытаясь выделить в нём древние японские элементы и сделать его частью национального возрождения. Идеи кокугаку были применены на практике после реставрации Мэйдзи когда синтоизм некоторое время был частью официальной идеологии при помощи которой правительство пыталось объединить народ единой верой.Синтоизм повлиял как на классическое театральное искусство Японии так и на современную массовую культуру. Его элементы находят отражение в известных мангах и аниме а также фигурируют в компьютерных играх.ЧитатьВсе 1836 избранных статейКандидатыПросмотр шаблонаХорошая статьяСражение при КамаронеПочтовая открытка с изображением сражения при Камароне. Неизвестный автор.Сражение при Камароне (исп. Batalla de Camarón) или при Камероне (фр. Bataille de Camerone) — сражение между ротой Французского Иностранного легиона и мексиканскими войсками во время французской интервенции в Мексику которое произошло 30 апреля 1863 года вблизи мексиканского селения Камарон-де-Техеда (ныне штат Веракрус) и длилось более 10 часов. Патруль легионеров численностью 65 человек во главе которого стояли капитан Жан Данжу и лейтенанты Наполеон Вилен[fr] и Клеман Моде[fr] был атакован превосходящими силами мексиканской армии. Легионеры отбили две атаки мексиканцев и отступили в асьенде Камарон заняв там оборону. Они отказались от предложения сдаться и вступили в бой. В течение дня они отражали атаки превосходящих сил противника насчитывавших до 2 тысяч человек.ЧитатьВсе 4589 хороших статейКандидатыПросмотр шаблонаДекоративное изображениеПоследний избранный список Список руководителей СССРДекоративное изображениеПредыдущий избранный список Список глав правительства НигераДругие избранные спискиКандидатыПросмотр шаблонаИзображение дняМаяк Кейп-Мей[en] в Нью-Джерси на фоне вечернего небаМаяк Кейп-Мей[en] в Нью-Джерси на фоне вечернего небаПросмотр шаблонаИз новых материаловЗнаете ли вы?Хава АбдиСомалийская правозащитница (на илл.) спасла от голода около 90 000 человек.Сотрудник Министерства финансов был известен как «Маститый» «Старый ворон» и «Мандарин Лай-на-Луну».У персов были собственные Фермопилы и Леонид.Самой первой пьесой Шекспира возможно стала вторая часть трилогии.Праздничное шествие в день Святого Стефана в городе Дингл ИрландияНа Британских островах рождество начиналось с охоты на крапивника (на илл.).Разработчики Crash Bandicoot называли свой проект «игрой про задницу Соника».Новозеландские фермеры страдали от взрывающихся брюк.Сайт о женской наготе и сексе в кино не является порнографическим.Медаль Гвардии ДэвисаЕдинственная медаль (на илл.) Конфедеративных Штатов Америки изготавливалась католическим священником из мексиканских монет.Будущий объезжий голова отсидел три дня в темнице за отказ идти на военную службу.Сезанн узнавал себя в безумном художнике Бальзака.В современной опере всё произносится совсем не так как пишется.ОбсудитьПредложенияАрхивПросмотр шаблонаТекущие событияАктуальные темывойна в Газе (заложники)вторжение России на Украину (ноябрь)чемпионаты мира (самбо · крикет) | Недавно умершиеАнтониу КоштаПремьер-министр Португалии Антониу Кошта (на илл.) подал в отставку из-за расследования о коррупции.Землетрясение в Непале унесло жизни по меньшей мере 153 человек.Состоялся релиз сингла группы The Beatles «Now and Then» песня была создана при помощи искусственного интеллекта на основе архивной демозаписи Джона Леннона.Космический зонд НАСА «Люси» совершил пролёт мимо астероида (152830) Динкинеш первой цели миссии обнаружилось что астероид является двойным причем астероид-спутник состоит из двух соприкасающихся частей представляя собой контактную двойную систему.Пакистан начал массовую депортацию афганцев.Награда «Золотой мяч» вручаемая журналом France Football присуждена Лионелю Месси (среди мужчин) и Айтане Бонмати (среди женщин).Другие текущие событияКандидатыАрхивПросмотр шаблонаВ этот день12 ноябряМорское сражение за Гуадалканал930 — основан старейший в мире парламент — исландский альтинг1868 — Лэтем Кристофер Шоулз из Висконсина запатентовал пишущую машинку1888 — на празднике печатников в Лилле в исполнении рабочего хора впервые прозвучал «Интернационал»1927 — Лев Троцкий исключён из ВКП(б)1941 — Красная армия впервые применила лыжников для атак на замерзающие немецкие войска1942 — началось морское сражение у Гуадалканала (на фото)1944 — британские ВВС применив специальные бомбы «Толбой» потопили немецкий линкор «Тирпиц»1982 — Генеральным секретарём ЦК КПСС после смерти Леонида Брежнева избран Юрий АндроповЧитатьПросмотр шаблонаСовместная работа неделиПриглашаем всех желающих принять участие в работе над статьями об Оксфордском университете областных комитетах КПСС а также китайских патриотических песнях.{{Оксфордский университет}}{{Китайские патриотические песни}}Примите также участие в  «Танзанийской неделе».КандидатыАрхивПросмотр шаблонаВикипедия расположена на серверах Фонда Викимедиа — некоммерческой организации также обеспечивающей работу ряда других проектовВикисловарь СловарьВикицитатник ЦитатыВикиучебник УчебникиВикитека Библиотека текстовВикиновости НовостиВикиверситет Обучающие материалыВикисклад Хранилище медиафайловВикигид ПутеводительВикиданные База знанийВикивиды Каталог биологических видовМета-вики Координация сообществМедиавики Вики-движокИсточник — https://ru.wikipedia.org/w/index.php?title=Заглавная_страница&amp;oldid=129560842Скрытая категория: Википедия:Страницы с ежечасно очищаемым кэшемНавигацияПерсональные инструментыВы не представились системеОбсуждениеВкладСоздать учётную записьВойтиПространства имёнЗаглавнаяОбсуждениерусскийПросмотрыЧитатьПросмотр кодаИсторияЕщёПоискНавигацияЗаглавная страницаСодержаниеИзбранные статьиСлучайная статьяТекущие событияПожертвоватьУчастиеСообщить об ошибкеКак править статьиСообществоФорумСвежие правкиНовые страницыСправкаИнструментыСсылки сюдаСвязанные правкиСлужебные страницыПостоянная ссылкаСведения о страницеЦитировать страницуПолучить сокращённый URL-адресЭлемент ВикиданныхПечать/экспортСкачать как PDFВерсия для печатиВ других проектахВикискладWikimedia FoundationМедиавикиМета-викиWikimedia OutreachМногоязычная ВикитекаВикивидыВикиучебникВикиданныеВикифункцииВикиманияВикиновостиВикицитатникВикитекаВикиверситетВикигидВикисловарьНа других языкахالعربيةAzərbaycancaБашҡортсаБеларускаяБеларуская (тарашкевіца)БългарскиНохчийнČeštinaЧӑвашлаDanskDeutschΕλληνικάEnglishEspañolEestiفارسیSuomiFrançaisעבריתMagyarՀայերենItaliano日本語ქართულიҚазақша한국어LietuviųLatviešuNederlandsNorsk bokmålИронPolskiPortuguêsRomânăСаха тылаСрпски / srpskiSvenskaTürkçeТатарча / tatarçaУкраїнськаTiếng Việt中文 Эта страница в последний раз была отредактирована 1 апреля 2023 в 04:13.Текст доступен по лицензии Creative Commons «С указанием авторства — С сохранением условий» (CC BY-SA); в отдельных случаях могут действовать дополнительные условия.Подробнее см. Условия использования.Wikipedia® — зарегистрированный товарный знак некоммерческой организации Фонд Викимедиа (Wikimedia Foundation Inc.)Политика конфиденциальностиОписание ВикипедииОтказ от ответственностиСвяжитесь с намиКодекс поведенияРазработчикиСтатистикаЗаявление о кукиМобильная версия</t>
  </si>
  <si>
    <t>ru.wikipedia.org</t>
  </si>
  <si>
    <t>https://vk.com/atomicheart_game</t>
  </si>
  <si>
    <t>VK.com | VKYour browser is out of dateThis may cause VK to work slowly or experience errors.Update your browser or install one of the following:ChromeOperaFirefox</t>
  </si>
  <si>
    <t>vk.com</t>
  </si>
  <si>
    <t>Welcome to the official channel of Mundfish studio and Atomic Heart game!Atomic Heart, the first-person action-RPG set in the mad utopia of fictional 1955, ...</t>
  </si>
  <si>
    <t>https://www.youtube.com/@Mundfish</t>
  </si>
  <si>
    <t>YouTubeAboutPressCopyrightContact usCreatorsAdvertiseDevelopersTermsPrivacyPolicy &amp; SafetyHow YouTube worksTest new featuresNFL Sunday Ticket© 2023 Google LLC</t>
  </si>
  <si>
    <t>www.youtube.com</t>
  </si>
  <si>
    <t>Welcome to the official channel of Mundfish studio and Atomic Heart game! mundfish.com/enand 5 more links. Subscribe. Home. Videos. Shorts. Playlists.</t>
  </si>
  <si>
    <t>https://www.youtube.com/channel/UCjAij4NWCod80d70enm3tRw</t>
  </si>
  <si>
    <t>https://atomic.mundfish.com/</t>
  </si>
  <si>
    <t>us</t>
  </si>
  <si>
    <t>https://www.focus-entmt.com/en/games/atomic-heart</t>
  </si>
  <si>
    <t>Home - Focus EntertainmentBanishers: Ghosts of New EdenLife to the living death to the dead. Watch the Gameplay Overview for an in-depth look at the poignant narrative-driven action-RPG releasing Feb 13.Watch the trailerPre-order nowSpace Marine 2Watch the Extended Gameplay Trailer and sign up to get a chance to participate to upcoming beta.Pre-order nowWatch the trailerMy Time at SandrockMy Time at Sandrock is now available in its 1.0 version! Play now with co-op multiplayer on PC.Watch the trailerPlay NowExpeditions: A MudRunner GameEmbark on scientific expeditions with this new off-road adventure game!Wishlist nowWatch the trailerAliens: Dark DescentThe real-time squad-based tactical action game set in the iconic Alien universe is available on consoles and PC!Play NowWatch the trailer                Featured games            Banishers: Ghosts of New Eden - Édition CollectorPre-order the Collector’s Edition of Banishers: Ghosts of New Eden now to get a modular statuette of Red and Antea the game’s official book a Steelbook® two Banishers signet rings and the game on the platform of your choice with the Wanderer Set DLC!Go to Store                Latest news            Become a Focus member!Create your Focus account to get the latest info and upcoming exclusive offers for the whole Focus catalogue.Sign up now        	;    Latest videos Follow usFacebookTwitterYoutubeTwitchInstagram                        Company                                                    About                                                            Jobs                                                            Investors                                                            Presskits                                                            Support                                                            Playtest                                                            Beta                                                    Legals                                                    Privacy policy                                                            Cookies policy                                                            Legal                                                            EULA                                                            YouTube terms for monetizing our games                                                            Data Subjects Rights Form                                                    Services                                                    Media relations                                                            Business opportunities                                                Never miss a good deal by subscribing to our newsletter!                                    I want to receive awesome news about all your games merch and collector editions!                                © 2023 Focus Entertainment</t>
  </si>
  <si>
    <t>www.focus-entmt.com</t>
  </si>
  <si>
    <t>https://www.xbox.com/en-US/games/atomic-heart</t>
  </si>
  <si>
    <t>Xbox Official Site: Consoles Games and Community | Xbox Skip to main contentMicrosoftXboxXbox Home Home Game Pass​Join Game PassBrowse Games​​Game Pass UltimatePC Game Pass​​Game Pass Core​Deals with Game Pass​Xbox Cloud Gaming (Beta)​ GamesGames homeShop all console gamesShop all PC gamesCloud gamesFree to play gamesOptimized gamesBackward compatible gamesSales &amp; SpecialsRedeem Code Devices​ConsolesConsolesXbox consolesXbox Series XXbox Series SXbox All AccessShop all consolesHelp Me ChooseWhere to buyAccessoriesAccessoriesShop all accessoriesDesign your controllerControllersHeadsetsHard drives &amp; storageMobile gaming accessoriesPC DevicesPC DevicesGaming PCs PlayCommunityCommunityCommunityXbox communityXbox NewsSustainabilityFor EveryoneFor EveryoneOur philosophyFamily hubAccessible gamingCommunity standardsXbox Gear ShopXbox Gear ShopShop gearApps &amp; EntertainmentApps &amp; EntertainmentXbox app for mobileXbox app for Windows PCXbox app for smart TVXbox Game Pass mobile appXbox Family Settings appConsole entertainment apps SupportSupport homeXbox statusHelp topicsHelp topicsAccount &amp; profileSubscriptions &amp; billingHardware &amp; networkingFamily &amp; online safetyGames &amp; appsFriends &amp; social activityAccessible gamingXbox system updates My XboxHomeProfileRewardsWish list DevelopersGamesDesigned for XboxMore  All MicrosoftGlobalMicrosoft 365TeamsWindowsSurfaceXboxDealsSmall BusinessSupportSoftwareSoftwareWindows AppsAIOutlookOneDriveMicrosoft TeamsOneNoteMicrosoft EdgeSkypePCs &amp; Devices  PCs &amp; Devices  ComputersShop XboxAccessoriesVR &amp; mixed realityCertified RefurbishedTrade-in for cashEntertainmentEntertainmentXbox Game Pass UltimatePC Game PassXbox gamesPC and Windows gamesMovies &amp; TVBusinessBusinessMicrosoft CloudMicrosoft SecurityDynamics 365Microsoft 365 for businessMicrosoft Power PlatformWindows 365Microsoft IndustrySmall BusinessDeveloper &amp; IT  Developer &amp; IT  AzureDeveloper CenterDocumentationMicrosoft LearnMicrosoft Tech CommunityAzure MarketplaceAppSourceVisual StudioOtherOtherMicrosoft Rewards Free downloads &amp; securityEducationGift cardsHoliday giftsLicensingUnlocked storiesView SitemapSearchSearch Xbox.com No resultsCancel0Cart0 items in shopping cartSign inUse the arrow keys to navigate through the slides and tab to focus on focusable content inside a slide section          Shop for more xbox products or sign in to your xbox accountXXFollow Xbox BrowseXbox consolesXbox gamesXbox Game PassXbox accessoriesResourcesXbox NewsXbox SupportFeedbackCommunity StandardsPhotosensitive Seizure WarningUser Research at XboxMicrosoft StoreMicrosoft accountMicrosoft Store SupportReturnsOrders trackingStore locationsFor DevelopersGamesDesigned for XboxEnglish (United States)California Consumer Privacy Act (CCPA) Opt-Out IconYour Privacy ChoicesCalifornia Consumer Privacy Act (CCPA) Opt-Out IconYour Privacy ChoicesSitemapContact MicrosoftPrivacy &amp; CookiesManage cookiesTerms of useTrademarksThird Party NoticesSafety &amp; ecoAbout our ads© Microsoft 2023</t>
  </si>
  <si>
    <t>www.xbox.com</t>
  </si>
  <si>
    <t>Atomic Heart is a colorful title with a gripping story and powerful dialogue. Its universe between Bioshock and Wolfenstein absorbs you and takes you on a fast- ...</t>
  </si>
  <si>
    <t>https://www.metacritic.com/game/atomic-heart/</t>
  </si>
  <si>
    <t xml:space="preserve">Movie Reviews TV Reviews Game Reviews and Music Reviews - Metacritic                                                                                                                                                                                    X   Close Ad       Games        Explore Games                 Games Home                          Best Games This Year                          Best Games of All Time                          Upcoming Releases                          New PS5 Games                          New Xbox Series X/S Games                          New Switch Games                          New PC Games                          See All                 New Games                 New &amp; Upcoming Games                          Free &amp; Subscription Games                          Call of Duty: Modern Warfare III                          Alan Wake II                          Like a Dragon Gaiden: The Man Who Erased His Name                          RoboCop: Rogue City                          The Invincible                          Star Ocean: The Second Story R                          Marvel's Spider-Man 2                          Super Mario Bros. Wonder                          See All                  Movies        Explore Movies                 Movies Home                          Coming Soon to Theaters                          DVD/Blu-ray: New &amp; Upcoming                          Best Movies This Year                          Best Movies of All Time                          Best Movies on Netflix                          Best Movies on Hulu                          Best Movies on Prime Video                          Best Movies on Max                          Best Movies on Paramount+                          See All                 New Movies in Theaters                 November Movie Preview                          The Hunger Games: The Ballad of Songbirds and Snakes                          The Marvels                          Dream Scenario                          The Holdovers                          The Killer                          Priscilla                          Five Nights at Freddy's                          Killers of the Flower Moon                          Taylor Swift: The Eras Tour                          See All                  TV Shows        Explore TV                 TV Home                          Best TV Shows This Year                          Apple TV+: New &amp; Upcoming                          Disney+: New &amp; Upcoming                          Hulu: New &amp; Upcoming                          Max: New &amp; Upcoming                          Netflix: New &amp; Upcoming                          Paramount+: New &amp; Upcoming                          Peacock: New &amp; Upcoming                          Prime Video: New &amp; Upcoming                          See All                 New TV Shows                 TV Premiere Calendar                          TV Renew/Cancel Scorecard                          Fargo S5                          The Curse                          For All Mankind S4                          Rap Sh!t S2                          The Buccaneers                          Robbie Williams                          Lawmen: Bass Reeves                          Blue Eye Samurai                          See All                  Music        New Albums                 Christ Stapleton: HIgher                          PinkPantheress: Heaven Knows                          Jung Kook: Golden                          Taylor Swift: 1989 (Taylor's Version)                          The Beatles: "Now and Then"                          The Rolling Stones: Hackney Diamonds                          Blink-182: One More Time...                          Bad Bunny: Nadie Sabe                          Offset: Set it Off                          Drake: For All the Dogs                          See All                  News         Register          Register           New and Notable                         The Hunger Games: The Ballad of Songbirds and Snakes     movie         Metascore                  Mixed or Average         Based on 22 Critic Reviews 53             The Marvels     movie         Metascore                  Mixed or Average         Based on 53 Critic Reviews 50             Call of Duty: Modern Warfare III     game         Metascore                  Mixed or Average         Based on 31 Critic Reviews 53             The Curse (2023)     tv show         Metascore                  Generally Favorable         Based on 28 Critic Reviews 75             Dream Scenario     movie         Metascore                  Generally Favorable         Based on 37 Critic Reviews 72             Alan Wake II     game         Metascore                  Generally Favorable         Based on 65 Critic Reviews 87             The Holdovers     movie         Metascore                  Universal Acclaim         Based on 54 Critic Reviews 81             The Buccaneers (2023)     tv show         Metascore                  Generally Favorable         Based on 17 Critic Reviews 74             Like a Dragon Gaiden: The Man Who Erased His Name     game         Metascore                  Generally Favorable         Based on 56 Critic Reviews 78             Blue Eye Samurai     tv show         Metascore                  Universal Acclaim         Based on 5 Critic Reviews 86             Lawmen: Bass Reeves     tv show         Metascore                  Generally Favorable         Based on 16 Critic Reviews 65             Marvel's Spider-Man 2     game         Metascore                  Universal Acclaim         Based on 145 Critic Reviews 90             RoboCop: Rogue City     game         Metascore                  Mixed or Average         Based on 47 Critic Reviews 72             Five Nights at Freddy's     movie         Metascore                  Generally Unfavorable         Based on 38 Critic Reviews 33             Killers of the Flower Moon     movie         Metascore                  Universal Acclaim         Based on 63 Critic Reviews 89               Editorial Spotlight                         List of Renewed and Canceled TV Shows for 2023-24 Season (with Metascores)                 Jason Dietz         Below are all new and returning primetime and streaming shows expected to air during the 2023-24 television season (beginning with the summer of 2023). Metascores premiere dates and renewal status will be updated frequently throughout the season. tv show           November 2023 Movie Preview: The Marvels Hunger Games Maestro Napoleon and More Films to See                 Keith Kimbell         The packed month ahead will bring a new chapter in The Hunger Games saga a return to the MCU Disney's latest animated original plus new films from Hayao Miyazaki Sofia Coppola Bradley Cooper Ridley Scott Todd Haynes Emerald Fennell and more. To help you plan your moviegoing options our editors have selected the most notable films releasing in November 2023 listed in alphabetical order. movie           Notable Video Game Releases: New and Upcoming                 Jason Dietz         Find release dates and scores for every major upcoming and recent video game release for all platforms updated weekly. game           2023-2024 TV Premiere Calendar                 Jason Dietz         Find a frequently updated calendar of premiere dates for all upcoming new and returning television shows on broadcast streaming and cable plus TV movies and specials. tv show           What to Watch on Netflix Right Now                 Jason Dietz         Get a list of the best movies and TV shows recently added (and coming soon) to Netflix updated frequently. You can also find a list of titles leaving Netflix this month. tv show           DVD/Blu-ray Releases: New &amp; Upcoming                 Jason Dietz         Find a list of new movie and TV releases on DVD and Blu-ray (updated weekly) as well as a calendar of upcoming releases on home video. movie            Latest Videos                               Fargo             tv show         Metascore                  Universal Acclaim         Based on 148 Critic Reviews 85          Metascore                  Universal Acclaim         Based on 148 Critic Reviews 85      1:59 Now Playing: Fargo: Season 5    1:08 Now Playing: The Marvels: Friend Of Yours?    3:21 Now Playing: The Fall Guy    7:43 Now Playing: Alone in the Dark | Looking For Jeremy Gameplay Trailer    0:30 Now Playing: Call of Duty: Modern Warfare III - Official Campaign Cinematic Trailer           Games                     Games Home               New Releases Top Critics' Picks Most Popular               Movies                     Movies Home               New Releases Top Critics' Picks Most Popular              TV Shows                     TV Home               New Releases Top Critics' Picks Most Popular                 The Gold Standard in Critical Analysis       The Metascore Breakdown    We collect reviews from the world's top critics.Each review is scored based on its overall quality.The summarized weighted average captures the essence of critical opinion.         Learn More              Overview About Help Center Careers Privacy Policy Terms of Use Cookie Settings Follow Us        Video and Images from IVA &amp; Xperi   Movie title data credits and poster art provided by      © 2023 FANDOM INC. ALL RIGHTS RESERVED.   Explore Other Brands      Video and Images from IVA &amp; Xperi   Movie title data credits and poster art provided by      © 2023 FANDOM INC. ALL RIGHTS RESERVED.   </t>
  </si>
  <si>
    <t>www.metacritic.com</t>
  </si>
  <si>
    <t>chatgpt</t>
  </si>
  <si>
    <t>ChatGPT</t>
  </si>
  <si>
    <t>ChatGPT is a free-to-use AI system. Use it for engaging conversations, gain insights, automate tasks, and witness the future of AI, all in one place.</t>
  </si>
  <si>
    <t>https://chat.openai.com/</t>
  </si>
  <si>
    <t>ChatGPTChatGPT ●Help me picka gift for my dad who loves fishing●an outfit that will look good on camera●Summarize this articleinto three key points●as a table of pros and cons●Write a textthat goes with a kitten gif for a friend having a rough day●asking a friend to be my plus-one at a wedding●Plan a tripto experience Seoul like a local●to see the northern lights in Norway●Help me debuga Python script automating daily reports●why the linked list appears empty after I've reversed it●Suggest fun activitiesfor a team-building day with remote employees●for a family of 4 to do indoors on a rainy day●Give me ideasfor a customer loyalty program in a small bookstore●for what to do with my kids' art●Write a thank-you noteto my interviewer●to our babysitter for the last-minute help●Brainstorm namesfor my fantasy football team●for an orange cat we're adopting from the shelter●Recommend a dishto bring to a potluck●to impress a date who's a picky eater●Draft an emailto request a quote from local plumbers●requesting a deadline extension for my project●Improve my postfor selling a used vacuum in good condition●for hiring a store associate●ChatGPT ●Get startedLog inSign upTerms of use|Privacy policy</t>
  </si>
  <si>
    <t>chat.openai.com</t>
  </si>
  <si>
    <t>ChatGPT на русском</t>
  </si>
  <si>
    <t>ChatGPT - это искусственный интеллект, способный генерировать тексты на различные темы, отвечать на вопросы и даже поддерживать беседы на разных языках, включая ...</t>
  </si>
  <si>
    <t>https://trychatgpt.ru/</t>
  </si>
  <si>
    <t>ChatGPT на русском    TryChatGPTВозможностиПочему мы?Блог про нейросетиПромтыПопробоватьПодпишись на TelegramПоддержать проектВозможностиПочему мы?Блог про нейросетиПромтыПопробоватьПодпишись на TelegramПоддержать проектChatGPT на русскомChatGPT - ваш интеллектуальный чат бот. Опираясь на передовые технологии искусственного интеллекта от OpenAI наш чат бот готов ответить на любые ваши вопросы. Обладает знаниями в различных областях включая историю науку технологии и многое другое. Попробуйте ChatGPT уже сейчас и удивитесь его способностям!Без остановок VPN и номера.ПопробоватьChatGPT на русскомChatGPT - ваш интеллектуальный чат бот. Опираясь на передовые технологии искусственного интеллекта от OpenAI наш чат бот готов ответить на любые ваши вопросы. Обладает знаниями в различных областях включая историю науку технологии и многое другое. Попробуйте ChatGPT уже сейчас и удивитесь его способностям!Без остановок VPN и номера.ПопробоватьЧат-бот использует модель: gpt-3.5-turbo и запоминает контекст диалога для сброса нажмите кнопку. Если вдруг ответ приходит слишком долго. Попробуйте обновить страницу и повторить запрос.  Чат-бот использует модель: gpt-3.5-turbo и запоминает контекст диалога для сброса нажмите кнопку. Если вдруг ответ приходит слишком долго. Попробуйте обновить страницу и повторить запрос.ChatGPT печатает...Сбросить диалогПоддержатьОтправитьУдалить чатПодпишись на TelegramНовый чат  Как можно использовать chatgpt? ChatGPT разработан для решения разнообразных задач. Он представляет собой мощный инструмент который может быть полезен как на работе в бизнесе в учебе так и при программировании.  Создание текстаНаш чат-бот на основе нейросети поможет вам грамотно писать и создавать тексты онлайн. Он бесплатен и предлагает разнообразные средства для создания текста включая приемы художественного написания. Наша программа поможет вам составить надпись или написать текст обеспечивая точность и релевантность. Создавать идеиAI-модели являются источником вдохновения для различных проектов и решений. Они способны генерировать идеи которые могут быть применены в маркетинге науке искусстве технологиях и других областях. Эти идеи становятся отправной точкой для новаторских подходов и помогают достичь успеха в различных сферах деятельности.Ответы на вопросыChatGPT - обученный на больших объемах данных - чат-бот способный понимать естественный язык и отвечать на вопросы. Он находит применение в различных областях включая медицину право науку и другие предоставляя быстрые и точные ответы на вопросы пользователей. Этот инструмент значительно облегчает доступ к информации и помогает людям получить нужную помощь и совет в различных сферах. Как переводчикЧат-бот обладает способностью анализировать тексты и выполнять перевод на другие языки сохраняя при этом их смысл и контекст. Этот функционал может быть полезен в различных ситуациях включая перевод научных статей документов текстов для учебных целей и даже песен. Благодаря возможности онлайн-перевода чат-бот обеспечивает быстрый и удобный способ получить перевод нужного слова предложения или текста.ПрограммированиеЗдесь вы можете писать код который поможет вам автоматизировать задачи и оптимизировать процессы. ChatGPT обученный на больших объемах данных имеет нейросетевую модель для написания кода включая язык программирования Python. Этот инструмент понимает различные языки программирования и помогает создавать код соответствующий требованиям и условиям для решения разнообразных задач.Анализ информацииЧат-бот способен производить анализ информации и делать выводы на основе содержащейся в текстах информации. Он осуществляет сбор и анализ информации распознает ключевые слова фразы и контекст чтобы определить какая информация в тексте является наиболее значимой и актуальной. Это позволяет использовать чат-бота для эффективного анализа информации и получения ценных выводов.Чем удобен trychatgpt.ru ? Поддержка русского языкаДоступ без VPN и регистрацииНе нужен номер телефонаУскоренный ответ ChatGPTВыберите язык: Русский简体中文English한국어EspañolفارسیالعربيةItalianoپښتوहिन्दीПоследние новости  Привет!Добро пожаловать на страницу о ChatGPT - нейросетевом чат-боте разработанном компанией OpenAI. ChatGPT - это искусственный интеллект способный генерировать тексты на различные темы отвечать на вопросы и даже поддерживать беседы на разных языках включая русский.ChatGPT уже доступен в России и вы можете использовать его бесплатно.Однако иногда ChatGPT может быть загружен на полную мощность поэтому вам может потребоваться немного подождать чтобы начать использовать его.Для того чтобы начать использовать ChatGPT вам не нужно быть экспертом в области искусственного интеллекта - просто задайте вопрос или напишите сообщение и бот начнет генерировать ответы.Если вы хотите узнать больше о том как пользоваться ChatGPT вы можете найти множество полезной информации на нашем сайте.В общем ChatGPT - это мощный и универсальный инструмент который может быть полезен для широкого круга задач. Если у вас есть вопросы или нужна помощь не стесняйтесь обращаться к нашей службе поддержки.© 2023 TrychatGPT RUENGESITCNCOIRARAIN© 2023 TrychatGPT НаверхMade on Tilda</t>
  </si>
  <si>
    <t>trychatgpt.ru</t>
  </si>
  <si>
    <t>Chad | ChatGPT на русском</t>
  </si>
  <si>
    <t>https://chadgpt.ru/</t>
  </si>
  <si>
    <t xml:space="preserve">  Chad | ChatGPT на русском       ВходОтзывыЧто можетТарифыКак работаетВопросыДля бизнесаБлог    ГлавнаяЧто можетКак работаетОтзывыТарифыДля бизнесаВопросыБлогВойти в ChadChad — ChatGPT на русском Сервис с популярными нейросетями. Пишет тексты код и рисует картинки. Работает без VPN и номера.  Использовать бесплатно  ChatGPT Доступ к GPT-3.5 и GPT-4 версии нейросети. Для работы с текстом и кодом. Midjorney и Dalle Искусственный интеллект нарисует картинку по описанию. В боте доступны Midjorney V5 и Dall-e 3. Библиотека промтов Шаблоны запросов к нейросетям с качественными ответами. Можно добавлять свои.   Как работает Chad? Мы подключаемся к  платной версии Chat GPT от OpenAI и другим популярным нейросетям адаптируем  их для России и делаем открытыми. Chad Поддерживает русский язык и интерфейс Быстрые ответы без очереди и остановок на час Доступ без VPN Не нужен номер телефона и иностранная карта Интерфейс на английском Блокирует российских пользователей Платная версия от 20 $ с зарубежной карты В пиковую загруженность не работает   Экономьте время Экономьте ваше время для решения рутинных задач с помощью готовых шаблонов Создавайте контент Создавайте уникальные изображения и текст для любых социальных сетей Улучшайте текст Используйте в учебе Редактируйте любой текст увеличивайте оригинальность создавайте лучший текст под любые задачи Ищите любую информацию решайте тесты создавайте рефераты в один клик Создавайте код Редактируйте и создавайте любой код учитесь новому и исправляйте ошибки   Поддержка обновления и отзывы о сервисе в Telegram чате Сообщество и отзывы   Реально крутой бот!!! Парился с научкой пол года покупал турецкую карту для регистрации потом переводил с английского... А тут быстро без очередии без всяких заморочек! @stllgeekin Данил Пользовался для проги в универе на python все работает четко спасибо @denisshvts Денис  Очень быстро и удобно все работает рад что теперь не нужно париться с VPN)! Работает быстрее чем оригинальный и на русском ответы получаются на много лучше! @orthdxbully Саша  Суперский продукт. Упрощает множество задач. Это станет максимально комфортным механизмом для тех кто все время откладывал мороку с регистрацией на оригинальном сайте.  @solo_maa Маша  Крутяк! Юзаю чтобы писать код для вуза функционала хватает. Поддерживает разные языки программирования. Нет проблем с регистрацией не нужна фейк симка @dancerflexerr Миша  Спасибо за бот! Использовала для копирайта в соцсетях подкинул классные идеи для рубрик) Работает быстрее чем обычный и не тупит так как не нужен VPN @wintervi Вита    Посмотреть отзывы  Скачать Chad Пользуйтесь сервисом с мобильного устройства планшета или на компьютере. Не работает Google Play?   Скачать Chad Пользуйтесь сервисом с мобильного устройства планшета или на компьютере. Не работает Google Play?   Тарифы Предоставляем 10 бесплатных запросов для теста сервиса Для доступа без лимитов или личного кабинета для команды напишите менеджеру в telegram PLUS 1690 руб/мес Начать бесплатно~450 000 слов обработанных или написанных GPT-3.5 Доступ к GPT-4 Создание изображений Приоритетный доступк новым возможностям Приоритетная техническая поддержка Подойдет для серьезной объемной работы Оптимум Начать бесплатно~150 000 слов обработанных или написанных GPT-3.5 Доступ к GPT-4 Создание изображений Приоритетный доступ к новым возможностям Техническая поддержка Подойдет для работыи ежедневного использования 590 руб/мес Мини Начать бесплатно~45 000 слов обработанных или написанных GPT-3.5 Подойдет для редкого использования и нечастых задач 290 руб/мес Все базовые функции Создание изображений   Часто задаваемые вопросы   Как и на какой версии работает Chad?Это чат-бот на основе оригинальной языковой модели GPT-35 от OpenAI. Модель обучали с помощью массива текстов из интернета и человеческой системы обучения. ChatGPT иногда может выдавать неправильные ответы на непопулярные локальные запросы в России или вопросы до 2021 года. Мы рекомендуем проверять являются ли ответы модели точными а также использовать ее для популярных вопросов.Также доступна GPT-4: она выдаёт более качественные ответы но работает медленнее и при её использовании расходуется в 15 раз больше слов. Сейчас это самая передовая текстовая нейросеть.Для генерации изображений используются нейросети Midjourney 5.2 Stable Diffusion и DALL·E 3. Чтобы бот нарисовал изображение просто попросите его об этом (например "Нарисуй мост через реку").Что будет если израсходуются лимит слов раньше окончания месяца?В таком случае вы сможете не дожидаясь следующего месяца переоформить подписку. Можно взять тот же тарифный план или другой. Лимит будет расширен незамедлительно а следующее списание средств будет осуществлено через месяц после последнего (только что оформленного) платежа.Как считается количество слов указанное в тарифах?Учитывается:Введённый текст;Сгенерированный нейросетью текст;Текст предыдущих сообщений необходимый чтобы нейросеть учитывала контекст диалога и обучалась.По умолчанию нейросеть в конкретном чате запоминает и обрабатывает последние 2000-16000 символов (250 - 2000 слов) в зависимости от настроек.При отключении истории (кнопка "настройки" слева от поля ввода) нейросеть не будет тратить силы на учет верхних сообщений — будут считаться только введенный и сгенерированный текст.В режиме GPT-4 расходуется в 15 раз больше слов от фактически обработанных.При генерации картинок расходуются количество слов из отправленного боту текста плюс фиксированное количество слов за генерацию самой картинки:Для Midjourney 5.2 (за один запрос = 4 картинки) — 3200 слов;Для Stable Diffusion (за один запрос = 4 картинки) — 3200 слов;Для DALL·E 3 (за один запрос = одна картинка) — 3600 слов;Для DALL·E 3 HD (за один запрос = одна картинка) — 7200 слов.Почему сервис платный?Мы используем платную приоритетную версию Chat GPT от OpenAI. Оплачиваем ее зарубежом и предоставляем в России для тех кому неудобно ограничивать себя ждать в очереди на обработку и использовать VPN.Если у меня возникнут вопросы или сложности мне помогут?Да вы можете задать вопрос или написать техническую проблему в Telegram-чате в разделе поддержка и мы ответим.Как отключить подписку?Чтобы отключить автопродление нужно зайти в личный кабинет и нажать кнопку "Отменить автопродление". При оплате по СБП автопродление не оформляется поэтому опция его отключения не видна.После отключения автопродления уже оплаченная подписка всё равно продолжит работать до окончания срока действия или до окончания лимита слов.hello@chadgpt.ru © 2022 — 2023 «Chad GPT» Все права защищены Оплачивая тариф и/или начиная использовать настоящий сервис Вы соглашаетесь с условиями Оферты. Постоянная ссылка на оферту: https://chadgpt.ru/offer ОтзывыЧто можетТарифыКак работаетДля бизнесаВопросыБлог      </t>
  </si>
  <si>
    <t>chadgpt.ru</t>
  </si>
  <si>
    <t>https://ru.wikipedia.org/wiki/ChatGPT</t>
  </si>
  <si>
    <t>Chat GPT: нейросеть на русском языке. Онлайн-сервис ...</t>
  </si>
  <si>
    <t>https://gpt-chatbot.ru/</t>
  </si>
  <si>
    <t>Вам нужно включить поддержку js в браузере чтобы посетить данный сайт.</t>
  </si>
  <si>
    <t>gpt-chatbot.ru</t>
  </si>
  <si>
    <t>ChatGPT на Русском Языке: бесплатно и без регистрации</t>
  </si>
  <si>
    <t>Нейросеть ChatGPT доступна в России. Пользуйтесь чатботом от OpenAI на русском языке совершенно бесплатно и без регистрации.</t>
  </si>
  <si>
    <t>https://talkai.info/ru/</t>
  </si>
  <si>
    <t>208.75.19.153 12.11.2023 06:45:11Sorry your request has been denied.</t>
  </si>
  <si>
    <t>talkai.info</t>
  </si>
  <si>
    <t>создатель ChatGPT рассказал, в какое будущее он нас ...</t>
  </si>
  <si>
    <t>19 часов назад —</t>
  </si>
  <si>
    <t>https://habr.com/ru/companies/ods/articles/772292/</t>
  </si>
  <si>
    <t xml:space="preserve">All articles in a row / Habr    Habr  β              How to become an author                        All streams                 Development                  Admin                  Design                  Management                  Marketing                  PopSci         Search     Profile          Pull to refresh      All streams            Articles                 Posts                 News                 Hubs                 Authors               All   Dropdown  Copy RSS link          Show first             New          Top             Rating limit             All          ≥0          ≥10          ≥25          ≥50          ≥100               Level of difficulty                       All                          Easy                          Medium                          Hard                     Apply                PaulKarol        Nov  10  at 17:56  Building an IT website aimed at America and the West  Reading time      3 min   Views  148 IT Infrastructure *IT Standards *Research and forecasts in IT *GTD *IT career     My last article stirred up some definite comments and even questions about different things in business. I’m going to keep giving you as much information as I can so that you can continue to do business as IT professionals outside of Russia with other countries. How do you design a website that will be viewed in the west and appreciated by the people there?What are the most important elementsfor America and other western markets?   Read more  Rating  0  Add to bookmarks      3     Comments        0               PaulKarol        Nov  7  at 12:32  Marketing your Mindset  Reading time      2 min   Views  177 IT Infrastructure *IT Standards *Research and forecasts in IT *GTD *IT career     Information shared below is exactly how I work with my IT professionals who are going to be participating in pre-sales to America. I tell them exactly this and it helps prepare them to successfully sell the the United States companies.As developers and IT companies we must sell our software. What can give you an edge in this very competitive market place?Please if you would allow me to let me explain why this is important and how this can make your company more successful.  There’s a certain type of thinking that is conducive to working as a software developer. This is a very practical mindset but it goes beyond that. If you have the mindset of direct thinking.Here are examples:I see the target a target and I don’t see obstaclesВижу цель не вижу препятствийThis is an example of the practical mindset how is approaches the problem of development. It makes people who have this mindset the best developers in the world.Example of mindset:Problem……………… find a solution………… No problem.Notice how this looks exactly like a line of code?This is well-known around the world in places where you would like to sell your software the United States Germany Belgium and the Middle East.Countries where people have this mindset have the best developers. now let’s talk about your competition:Americans: during the center process “find a solution” Americans are overly concerned about responsibility. This slows them down in the decision making process.    Read more  Total votes 1: ↑0 and ↓1  -1  Add to bookmarks      3     Comments        2               kaze_no_saga        Nov  7  at 06:03  PostgreSQL 17: Part 2 or Commitfest 2023-09  Reading time      11 min   Views  384 Postgres Professional corporate blog PostgreSQL *SQL *     Digest       Translation     We continue to follow the news of the PostgreSQL 17 development. Let's find out what the September commitfest brings to the table.If you missed our July commitfest review you can check it out here: 2023-07.Removed the parameter old_snapshot_thresholdNew parameter event_triggersNew functions to_bin and to_octNew system view pg_wait_eventsEXPLAIN: a JIT compilation time counter for tuple deformingPlanner: better estimate of the initial cost of the WindowAgg nodepg_constraint: NOT NULL constraintsNormalization of CALL DEALLOCATE and two-phase commit control commandsunaccent: the target rule expressions now support values in quotation marksCOPY FROM: FORCE_NOT_NULL * and FORCE_NULL *Audit of connections without authenticationpg_stat_subscription: new column worker_typeThe behaviour of pg_promote in case of unsuccessful switchover to a replicaChoosing the disk synchronization method in server utilitiespg_restore: optimization of parallel recovery of a large number of tablespg_basebackup and pg_receivewal with the parameter dbnameParameter names for a number of built-in functionspsql: watch min_rows   Read more →  Total votes 3: ↑3 and ↓0  +3  Add to bookmarks      2     Comments        1               SpringJava        Nov  4  at 12:34  How to Use Throw and Throws in Java Level of difficulty      Easy   Reading time      2 min   Views  347 Programming *Java *     Tutorial      Exception handling in Java is the most effective way to handle runtime errors occurring in the application. This is used to protect the abnormal flow of the execution of the application and continue the application in normal flow. This is the process of handling runtime errors such as ClassNotFoundException IOException etc. The throw and throws keywords are used to handle exceptions in Java.In this topic we will learn how to use throw and throws keywords in Java with examples.   Read more  Total votes 3: ↑3 and ↓0  +3  Add to bookmarks      0     Comments        0               PaulKarol        Nov  3  at 14:20  The key to Sales Conversion of an American CEO or CFO  Reading time      1 min   Views  405 IT Infrastructure *IT Standards *Research and forecasts in IT *GTD *IT career     i’m writing this series articles to spearhead the new marketing campaign for into the American market. I will be covering a wide range of topics that will allow us to position the company in the proper way so that is excepted as a provider of High-quality software in America.The key to converting an American CEO or CFO is the trigger point for the American business culture. The trigger point for America is responsibility.   This means in business you must be responsible. You also look for business partners that are responsible.  But let’s take this into the newest more powerful view that we need to have now.  The scene from the point of you of the CFO sitting at the head of the financial controls of a large hospital conglomerate. Put yourself in the mind of the CFO. What are they concerned about?  As an American CFO they will be very concerned about whether they are being responsible in their job and responsible to the hospital staff shareholders patients and the management above them. And this is how we get our foot in the door in this American niche market. If we present ourselves as offering something that “May” give an answer to specific problems that they know that they have they must give us a chance to present a Presale. The reason is because they are responsible and if there is a solution as an American Director you must explore that solution.It would be irresponsible to not explore a potential solution.Then it’s a simple case to actually give value in the presale meeting and convince them that we can deliver some thing that will benefit their business and profits.   Read more  Total votes 6: ↑0 and ↓6  -6  Add to bookmarks      4     Comments        2               SpringJava        Nov  3  at 10:20  One-to-One Bidirectional Mapping in Spring Boot JPA Level of difficulty      Easy   Reading time      8 min   Views  237 Programming *Java *System Programming *Systems engineering *     Tutorial      This topic will teach us to implement one-to-one(@OneToOne annotation) bidirectional mapping using Spring Boot Hibernate and Spring Data JPA.   Read more  Rating  0  Add to bookmarks      0     Comments        0               RahulKumarsree        Oct  30  at 17:40  Top 10 Best Free Partition Manager Software for Windows PC/Laptop Level of difficulty      Medium   Reading time      12 min   Views  598 Development for Windows *Technical Writing *     Opinion       From sandbox     If you are searching for free partition manager software for your Windows PC then Download the Top and best Partition Manager Software on Windows PC/Laptop.It is a software program that lets us create delete shrink expand split or merge partitions on our hard drives or other storage devices. Without extra software a hard drive will be partitioned into Windows. But we can’t resize or combine them without any extra help.The important aspect of owning a PC is to manage your hard-drive partitions very effectively. Based on categories it divides data to allow people. For example you can keep your multimedia files work folders and your programs in different partitions and install them on your system drive.If you use your PC to double or triple-boot into various operating systems as a power user. Your SSD or HDD must be divided into smaller partitions; otherwise it is impossible.In 2020 in managing software partitions effectively. We help you with Windows and Linux by compiling a list of the best free partition software. So let’s read more to get the free partition manager Windows 10/8/7.   Read more  Rating  0  Add to bookmarks      4     Comments        1               SpringJava        Oct  30  at 16:37  List in Java | Interface Methods Example Level of difficulty      Easy   Reading time      4 min   Views  260 Java *      From sandbox     In this topic we will learn about what is a List in Java. How to create a List in Java? What are the methods of List in Java? The List is an interface in Java. It is extending the Collection interface in Java. This List interface is present in the java.util package in Java. A list represents a group of individual objects as a single entity where duplicates are allowed and insertion order is preserved.   Read more  Rating  0  Add to bookmarks      1     Comments        0               ENCRY        Oct  30  at 15:25  Anonymous identification for groups Level of difficulty      Hard   Reading time      13 min   Views  231 Information Security *    The identification protocol based on the pairing function resistant to impersonation and compatible with the instant digital signature (IDS) mode was studied in this article. This protocol uses prover's and verifier's public keys. As a result there is no anonymity since certificates including personal data of their owners are issued for the mentioned keys. This article contains a description and analysis of new anonymous identification protocols for groups.   Read more  Rating  0  Add to bookmarks      2     Comments        0               Liga_Stavok        Oct  30  at 15:13  Roadmap for Managing Chaos — Planing Migration from a Monolith to Microservices  Reading time      22 min   Views  378 Liga Stavok corporate blog      Roadmap      Roadmap for Managing Chaos - Planing Migration from a Monolith to Microservices This article tries to provide some insight into the complexities of transitioning from monolithic architectures to microservices. Our goal is to offer a high view perspective on the various considerations and challenges that arise during such migrations terms and keywords you will encounter and their role in this endeavor.    Read more  Rating  0  Add to bookmarks      1     Comments        0               ArcaneGamingcom        Oct  30  at 11:55  UX Designer Job Interview: 10 questions to answer 5 questions to ask Level of difficulty      Easy   Reading time      6 min   Views  261 SQL *IT Standards *Usability *GitHub *Data Engineering *     Retrospective       Recovery Mode     No matter how many degrees you have or how high your experience level is your recruiters need to evaluate your knowledge of UX design as a whole. But keep in mind that a job interview is not an exam so here you are expected not to recite the textbook definitions learned by heart but rather share your personal understanding of UX and your role as a designer in general. Consider talking about how you define UX what creates value in the design what are the necessary parts of a UX design process what are the current trends in UX. You might also be asked to explain the difference between UI and UX to see how you understand the role of each in the development process.   Read more  Rating  0  Add to bookmarks      0     Comments        0               brdnicolas        Oct  28  at 12:46  React — Higher Order Components (HOC) Level of difficulty      Medium   Reading time      5 min   Views  1.1K JavaScript *ReactJS *      From sandbox     In the ever-evolving realm of web development mastering advanced concepts is essential for creating robust and flexible applications. In this article we'll delve into one of these foundational React concepts: Higher-Order Components commonly known as HOCs. Whether you're a seasoned developer seeking advanced techniques or a curious beginner eager to learn we'll walk through the creation and application of HOCs step by step. Get ready to enrich your development toolkit with this powerful approach while discovering how to enhance the readability reusability and maintainability of your code.   Learn it  Rating  0  Add to bookmarks      4     Comments        0               Gonchar_POTT        Oct  26  at 08:42  Python Lives in Excel Level of difficulty      Medium   Reading time      5 min   Views  679 Python *Software      Case       Translation     There was already news on Habr about this significant event. Indeed it resembles a retelling of the official Microsoft press release but that's how the 'news' should be.   Read more  Rating  0  Add to bookmarks      2     Comments        0               BarsMonster        Oct  22  at 22:09  Doing 10 minute task in 2 hours using ChatGPT Level of difficulty      Easy   Reading time      4 min   Views  1.8K Programming *Machine learning *Artificial Intelligence      Case      Many of us have heard stories where one was able to complete days worth of work in minutes using AI even being outside of one's area of expertise. Indeed often LLM's do (almost) miracles but today I had a different experience:   Read more  Total votes 3: ↑3 and ↓0  +3  Add to bookmarks      2     Comments        3               gfx_pro        Oct  21  at 15:21  Do smartphone cameras need 12-bit ADCs or my failed experiment Level of difficulty      Medium   Reading time      3 min   Views  388 Image processing *Gadgets Smartphones Photographic equipment      Analytics       Translation     Among photographers it is known that on "big" cameras the use of 14-bit readout compared to 12-bit can have a positive impact on shadow detail. How does this apply to small sensors in smartphone cameras?   Let's find out  Rating  0  Add to bookmarks      1     Comments        0               aozeritsky        Oct  19  at 09:00  High-performance network library using C++20 coroutines Level of difficulty      Medium   Reading time      17 min   Views  13K Programming *C++ *Development for MacOS *Development for Linux *     Tutorial      Asynchronous programming is commonly employed for efficient implementation of network interactions in C++. The essence of this approach lies in the fact that the results of socket read/write functions are not immediately available but become accessible after some time. This approach allows for loading the processor with useful work during the wait for data. Various implementations of this approach exist such as callbacks actors future/promise coroutines. In C++ these implementations are available as libraries from third-party developers or can be implemented independently.Coroutines are the most challenging to implement as they require writing platform-dependent code. However the recent version of the C++ 20 language standard introduces support for coroutines at the compiler and standard library levels. Coroutines are functions that can suspend their execution preserving their state and later return to that state to resume the function's work. The compiler automatically creates a checkpoint with the coroutine's state.For a comprehensive understanding of C++ 20 coroutines refer to this article. Below we examine a code example using coroutines and describe important points applied during implementation.   Read more  Total votes 6: ↑4 and ↓2  +2  Add to bookmarks      7     Comments        11               vda19999        Oct  15  at 11:52  How sqlalchemy uses greenlet to call an async Python function from a normal function  Reading time      5 min   Views  538 Python *    The Python language has two kind of functions — normal functions that you would use in most cases and async functions. The latter functions are used when performing network IO in an asynchronous manner. The problem with this division is that async functions can only be called from other async functions. Normal functions on the other hand can be called from any functions — however if you call a normal function that does a blocking operation from an async function it will block the whole event loop and all your coroutines. These limitations usually mean that when writing an using Python`s asyncio you can`t use any of the IO libraries that you use when writing a synchronous application and vice versa unless a library supports usage both in sync and async applications. Now the question is in case you are developing a large and complex library that say allows users to interact with relational databases abstracting away (some of) the differences between the SQL syntax and other aspects of these databases and abstracting away the differences between the drivers for that database how do you support both sync and async usage of your library without duplicating the code of your library? The way sqlalchemy is organized is that regardless of what database and driver for it you are using you will be calling functions and methods related to Engine Connection etc classes which will do some general work independent of database then apply the logic specific to your database and finally call the functions of your database driver to actually communicate with the database. If you are using Python`s asyncio the database driver will expose async functions and methods but the rest of the library that is driver‑independent would ideally remain the same. However the issue is that that you can`t call the async functions of the driver from the normal functions of the core of the library.    Read more  Total votes 4: ↑4 and ↓0  +4  Add to bookmarks      2     Comments        1               Makeman        Oct  14  at 07:00  GEOMETRY OF SOUND  Reading time      5 min   Views  725 Programming *Algorithms *C# *Mathematics *Software     Surprisingly there are strict mathematical methods that literally allow to hear visual geometric forms and conversely to see the beauty of musical harmonies...[Read on Russian]   Read more...  Total votes 3: ↑3 and ↓0  +3  Add to bookmarks      5     Comments        0               Leschev        Oct  11  at 07:30  React Custom Hook: useTimeout Level of difficulty      Medium   Reading time      2 min   Views  1.1K Website development *JavaScript *ReactJS *TypeScript *Visual programming *     Digest      One of the significant advantages of this custom hook is that it ensures the callback function remains up to date even if it changes during component re-renders. By using a useRef to store the callback reference the hook guarantees that the latest version of the function is always called.   Read more  Total votes 4: ↑2 and ↓2  0  Add to bookmarks      2     Comments        1               gfx_pro        Oct  9  at 18:55  A (more) accurate camera sensor dynamic range measurement  Reading time      7 min   Views  504 Photographic equipment Data Engineering *     Analytics       Translation     Hello everyone! In this post let's talk about how to (more) accurately measure the dynamic range of a camera sensor and what can be done with these measurements.Of course I am not an expert in computer vision a programmer or a statistician so please feel free to correct me in the comments if I make mistakes in this post. Here my interest was primarily focused on everyday and practical tasks such as photography but I believe the results may also be useful to computer vision professionals.   Read more  Rating  0  Add to bookmarks      1     Comments        2         Back        Here            1             2              3               ...              49              50              There     Back                   Your account                         Log in                              Sign up                        Sections                         Articles                              News                              Hubs                              Authors                              Sandbox                        Information                         How it works                              For authors                              For companies                              Documents                              Agreement                              Confidential                        Services                         Corporate blogs                              Advertising                              Native advertising                              Education programs                              Startups                              Special projects                Facebook Twitter Telegram           Language settings               Support       © 2006–2023  Habr   </t>
  </si>
  <si>
    <t>habr.com</t>
  </si>
  <si>
    <t>Начать ChatGPT</t>
  </si>
  <si>
    <t>Начать ChatGPT из России БЕЗ VPN и БЕЗ СМС.</t>
  </si>
  <si>
    <t>https://chatgptbot.ru/chat/</t>
  </si>
  <si>
    <t>ChatGPT на русскомПодтверждениеОтмена    OK     ОбъявлениеПодключение к ChatGPT из России OpenAI без VPN и без СМСФормат: Web сайтГде работаетна телефонена любом устройствеВсе возможности ChatGPT  урок можно посмотреть в записиЦена: 109 рублей в месяц либо 10 000 знаковДемо запросы бесплатно!  Закрыть  Перейти... Отмена    OK     На страницу регистрации...  Подключение к ChatGPT в России без VPN и без CMC.chatgptbot.ruChatGPT в России000             Главная                  ChatGPT бот                  Личный кабинет                  Контакты        КонтактыСообщить об ошибке          Документы        ОбъявлениеТарифыПолитика обработки данныхДоговор оферта - условия использованияОчистить чат ВходРегистрация+8Начать ChatGPTПодключение к ChatGPT из России без VPN и без СМС.Возможно самый умный БОТ в мире. Перейти к ChatGPTbotРегистрация на chatgptbot.ruВсего 109 рублей в месяцили 25 000 знаковПерейти к регистрации </t>
  </si>
  <si>
    <t>chatgptbot.ru</t>
  </si>
  <si>
    <t>ChatGPT: как пользоваться нейросетью и что она умеет</t>
  </si>
  <si>
    <t>7 апр. 2023 г. —</t>
  </si>
  <si>
    <t>https://journal.tinkoff.ru/chatgpt/</t>
  </si>
  <si>
    <t>Тинькофф Журнал: журнал про ваши деньги                                     Т—ЖУчебникСравняторСообществоипотекакредитная историятестыдневник тратналоговый вычетНаписатьУчебникСравняторСообществоРазборы законовДневники тратКалькуляторыПодкасты и видеоТестыБизнесВсе о правах и обязанностяхКак у нихЧитатели сдают и снимают жильеМой сонСмотреть всеНаписатьСервисыРасчетыЗакладкиПисьмаОставайтесь с деньгамиПотокиРазборы законовДневники тратКалькуляторыПодкасты и видеоТестыБизнесВсе о правах и обязанностяхКак у нихЧитатели сдают и снимают жильеМой сонСмотреть всеРасскажитеКак пережили ремонтКуда не советуете ездить никомуОб отличной или ужасной книгеО любимой вещи в гардеробеСмотреть всеУчебникКак упростить жизнь с помощью нейросетейКак управлять личными финансамиА как инвестироватьКак общаться и понимать друг другаСмотреть все курсыОбсуждаемоеКак живет помощник генерального директора в Санкт-Петербурге с зарплатой 70 000 ₽Как живет помощник генерального директора в Санкт-Петербурге с зарплатой 70 000 ₽676День из жизни кладовщика в Казани с зарплатой 245 000 ₽День из жизни кладовщика в Казани с зарплатой 245 000 ₽382Я зарабатываю больше 400 000 ₽ на двух работах и к концу месяца еле свожу концы с концамиЯ зарабатываю больше 400 000 ₽ на двух работах и к концу месяца еле свожу концы с концами369Как изменилась жизнь ведущего инженера в Москве с зарплатой 120 000 ₽Как изменилась жизнь ведущего инженера в Москве с зарплатой 120 000 ₽361АктуальноеДжамиль Махмутов 10.11Valve показала Steam Deck с OLED-экраном: чем лучше старой модели и когда начнутся продажиValve показала Steam Deck с OLED-экраном: чем лучше старой модели и когда начнутся продажи4Саша Скрыпник 10.11Savva Olluco и Loona: названы 10 лучших ресторанов Москвы по версии премии Where to Eat 2023Savva Olluco и Loona: названы 10 лучших ресторанов Москвы по версии премии Where to Eat 202310Михаил Болдов 09.11Как банки реагируют на рост ключевой ставки в 2023 году: что с вкладами и ипотекойКак банки реагируют на рост ключевой ставки в 2023 году: что с вкладами и ипотекой14София Колодкина 09.11В Турине пройдет Итоговый турнир ATP: главное о финале теннисного сезонаВ Турине пройдет Итоговый турнир ATP: главное о финале теннисного сезона5Саша Кириллова 09.11Голливудские актеры и студии договорились о завершении забастовки: что известно о соглашенииГолливудские актеры и студии договорились о завершении забастовки: что известно о соглашении2Михаил Болдов 09.11Президент разрешил розничным инвесторам обменять заблокированные активы: как это будет работатьПрезидент разрешил розничным инвесторам обменять заблокированные активы: как это будет работать33Артём Мазанов 09.11«Яндекс» представил «Станцию Миди» с новыми возможностями для управления умным домом«Яндекс» представил «Станцию Миди» с новыми возможностями для управления умным домом28Алихан Исрапилов 08.11На UFC 295 пройдут два титульных боя: Прохазка против Перейры Павлович против АспиналлаНа UFC 295 пройдут два титульных боя: Прохазка против Перейры Павлович против Аспиналла3Мария Беликова 08.11Центральный университет от Тинькофф запустил конкурс грантов на обучение в бакалавриатеЦентральный университет от Тинькофф запустил конкурс грантов на обучение в бакалавриате1Игорь Жулькин 08.11Дефицит бюджета сократился до 12 трлн рублей: помогли рекордные выплаты от нефтяниковДефицит бюджета сократился до 12 трлн рублей: помогли рекордные выплаты от нефтяников6Мария Агафонова 03.11Личные вещи Горшка и студия Летова: что посмотреть на выставке о панк-культуре в ПетербургеЛичные вещи Горшка и студия Летова: что посмотреть на выставке о панк-культуре в Петербурге35Артём Мазанов 03.11На госуслугах запустили сервис по проверке подлинности чужого паспортаНа госуслугах запустили сервис по проверке подлинности чужого паспорта10Михаил Болдов 02.11США ввели новые санкции — против банков СПб-биржи и БауманкиСША ввели новые санкции — против банков СПб-биржи и Бауманки78Екатерина Мирошкина 02.11Долги арктическая ипотека и налоги: что изменится в ноябре 2023 годаДолги арктическая ипотека и налоги: что изменится в ноябре 2023 года4Саша Кириллова 02.11Почему в России выросли цены на таксиПочему в России выросли цены на такси159Марина Суховская 01.11Новые штрафы в сфере прав потребителей: что ждет бизнес в ноябре 2023 годаНовые штрафы в сфере прав потребителей: что ждет бизнес в ноябре 2023 года5Артём Мазанов 01.11ЦБ запустил онлайн-зачет по финансовой грамотностиЦБ запустил онлайн-зачет по финансовой грамотности15Александр Левкин 31.10«Магнит» покупает долю в дальневосточной сети «Самбери»: что это даст компании«Магнит» покупает долю в дальневосточной сети «Самбери»: что это даст компании8Дискуссии11.11Расскажите как вам намекали на взятку657Город11.11Дом-улитка и здание-изумруд: 15 потрясающих объектов современной архитектуры в Москве13168Тесты для тех кто хочет узнать себя26.10Какой суперспособности вы достойны?19212Дискуссии11.11Нейросети не оправдали ваши ожидания? Поделитесь негодованием19ПРОМОРозыгрыш для начинающих водителейВ курсе «Как получить права» можно выиграть 100 000 ₽ на автошколу свое авто или что-то ещеУчаствоватьРасскажитеКак пережили ремонтКуда не советуете ездить никомуОб отличной или ужасной книгеО любимой вещи в гардеробеКак пережили ремонтКуда не советуете ездить никомуОб отличной или ужасной книгеО любимой вещи в гардеробеСмотреть всеУчебникКак упростить жизнь с помощью нейросетейКак управлять личными финансамиА как инвестироватьКак общаться и понимать друг другаКак упростить жизнь с помощью нейросетейКак управлять личными финансамиА как инвестироватьКак общаться и понимать друг другаСмотреть все курсыОбсуждаемоеКак живет помощник генерального директора в Санкт-Петербурге с зарплатой 70 000 ₽Как живет помощник генерального директора в Санкт-Петербурге с зарплатой 70 000 ₽676День из жизни кладовщика в Казани с зарплатой 245 000 ₽День из жизни кладовщика в Казани с зарплатой 245 000 ₽382Я зарабатываю больше 400 000 ₽ на двух работах и к концу месяца еле свожу концы с концамиЯ зарабатываю больше 400 000 ₽ на двух работах и к концу месяца еле свожу концы с концами369Как изменилась жизнь ведущего инженера в Москве с зарплатой 120 000 ₽Как изменилась жизнь ведущего инженера в Москве с зарплатой 120 000 ₽361От Тинькофф для читателейКредитка со звериным дизайном бесплатноКарта в стиле КиШ с кэшбэком до 15%Кредитка с двойным кэшбэком за путешествиеЭмиграция11.11Я переехала в США стала пилотом и зарабатываю 140 000 $ в год774519Читатели делают ремонт11.11«На стене была дыра»: как мы делаем ремонт евродвушки 40 м² и уже потратили больше 4 млн9445Дискуссии09.10Из-за каких поступков соседей пострадали вы или окружающие?3323Еда11.11«Думала глаза вытекут»: 7 очень острых продуктов которые запомнились надолго619Читатели пишутИрина Каширская 11.11Правомерно ли удержали отпускные из зарплаты?Правомерно ли удержали отпускные из зарплаты?14Кирилл Ураткин 11.11Могу ли я сойти с поезда в Минске?Могу ли я сойти с поезда в Минске?9Полина Куртенкова 11.11Как быть если самозанятый получил оплату которая превысила лимит?Как быть если самозанятый получил оплату которая превысила лимит?3Анастасия Васильева 11.11Какую необычную стильную одежду я нашла на маркетплейсахКакую необычную стильную одежду я нашла на маркетплейсах4Дмитрий 11.11Как получить компенсацию за повреждение машины во дворе?Как получить компенсацию за повреждение машины во дворе?1Anton 11.11Может ли работодатель взыскать деньги за обучение?Может ли работодатель взыскать деньги за обучение?2Жанат Салпанов 11.11Как вернуть деньги если нашел квартиру для аренды с помощью агрегатора?Как вернуть деньги если нашел квартиру для аренды с помощью агрегатора?···Татьяна 11.11Можно ли лететь из России по турецкому паспорту?Можно ли лететь из России по турецкому паспорту?2Ульяна Константинова 11.11Как вернуть деньги если обманули в игре?Как вернуть деньги если обманули в игре?7Екатерина 11.11Как быть с долгом за коммунальные услуги?Как быть с долгом за коммунальные услуги?12Yulianna Boldyreva 11.11Можно ли оформить доверенность на загранпаспорт?Можно ли оформить доверенность на загранпаспорт?1Айсу Ахмедова 11.11Как быть если преподаватель не смотрит учебную работу?Как быть если преподаватель не смотрит учебную работу?2Анна Романова 11.11Рекомендую прочитать: «Ангел из Галилеи» Лауры РестрепоРекомендую прочитать: «Ангел из Галилеи» Лауры Рестрепо1Наталья 11.11Как быть если часть квартиры принадлежит государству?Как быть если часть квартиры принадлежит государству?···Рамиль Галаев 11.11Как приставы будут искать должника если он находится за границей?Как приставы будут искать должника если он находится за границей?5Мара 11.11Сервис раскрывает данные о штрафах когда проверяешь авто. Это законно?Сервис раскрывает данные о штрафах когда проверяешь авто. Это законно?1Леонид Пантелеев 11.11Как установить отцовство если ребенок в другой стране?Как установить отцовство если ребенок в другой стране?1Михаил 11.11Кто возместит ущерб если авто зажало воротами во дворе?Кто возместит ущерб если авто зажало воротами во дворе?···Ольга Селиванова 11.11Расскажите как вам намекали на взяткуРасскажите как вам намекали на взятку57Техноредакция 11.11Нейросети не оправдали ваши ожидания? Поделитесь негодованиемНейросети не оправдали ваши ожидания? Поделитесь негодованием9Записки Психолога 11.11Жизненный урок: разобраться со своей зоной комфортаЖизненный урок: разобраться со своей зоной комфорта12Ольга Лурье 11.11«На стене была дыра»: как мы делаем ремонт евродвушки 40 м² и уже потратили больше 4 млн«На стене была дыра»: как мы делаем ремонт евродвушки 40 м² и уже потратили больше 4 млн44Арина Липатникова 11.11«Думала глаза вытекут»: 7 очень острых продуктов которые запомнились надолго«Думала глаза вытекут»: 7 очень острых продуктов которые запомнились надолго19Наталья Акимова 10.11Фотоальбом: остров Анзер с борта парусной яхтыФотоальбом: остров Анзер с борта парусной яхты4Дмитрий Дубас 10.11Менеджер по продажам днем и фейсер ночью: я совмещаю две профессии и (не) схожу с умаМенеджер по продажам днем и фейсер ночью: я совмещаю две профессии и (не) схожу с ума26Marenzio 10.11«Он не подходит ей совершенно»: как быть если у мамы появился сомнительный ухажер«Он не подходит ей совершенно»: как быть если у мамы появился сомнительный ухажер26Арбуз 10.11Как я носила брекеты 3 года чтобы исправить скученность зубовКак я носила брекеты 3 года чтобы исправить скученность зубов13WTF 10.11Рекомендую прочитать: «Скотный двор» Джорджа ОруэллаРекомендую прочитать: «Скотный двор» Джорджа Оруэлла18Алексей Каблучков 10.11Как вернуть деньги если заказанную еду не привезли?Как вернуть деньги если заказанную еду не привезли?27Роман Хакимов 10.11Жалею что потратил время на человека которому был не нуженЖалею что потратил время на человека которому был не нужен6Инвестиции10.11Дональд Трамп — кинозвезда: лучшие роли бывшего президента США4122Партнерский материал10.11Русский панк-рок: 10 важных групп которые сформировали жанр14···12Бизнес01.09Развиваете бизнес? Поделитесь опытом и советамиРассказать1Животные10.11Как мы сделали дом для кошки своими руками за 11 682 ₽19178Что делать в кризисСША ввели новые санкции — против банков СПб-биржи и Бауманки30784В России ввели гибкие пошлины на экспорт в привязке к валютному курсу: что это значит12262Новые японские санкции против автомобильного рынка: какими будут последствия307012Законно ли спекулировать на курсе доллара?131410Как санкции США скажутся на переводах «Юнистрима»7113Почему карты «Виза» и «Мастеркард» до сих пор выпускают?247219Что будет с ценами на газ к концу 2023 года1123Почему падает рубль: объяснения экспертов и прогнозы курса на 2023 год5221547Как взыскать неустойку в 2023 году если застройщик нарушает договор1611144Как отправить деньги из России в Казахстан153539Как скачивать на Айфон приложения которых нет в App Store?142265Как перевести деньги в Россию345576Какие товары можно ввозить в Россию в 2023 году: сервисы для проверки163152Как переводить деньги из России6187151Приложения Тинькофф удалили из App Store6022147Как потолок цен на газ повлияет на российские поставки945Тинькофф попал в санкционный список Евросоюза7113021Катастрофа в Турции: экономические последствия для России1345Что нужно знать о бюджете на 2023 год5016139Минфин и ЦБ возвращаются на валютный рынок: что будет с рублем1624620 стран которые выдают туристические визы россиянам в 2023 году48112168Почему слабеет рубль. И чего ждать от него в 2023 году256623Вступили в силу эмбарго и потолок цен на российскую нефть: каких ждать последствий464217Как частичная мобилизация отразилась на российской экономике338912Как я открыл банковский счет в Грузии196063Какие доверенности стоит оформить мобилизованному51016Как мы с мужем получили банковские карты в Таиланде3411835Как я получил две банковские карты в Казахстане102338215Как я оформил карту в турецком банке за один день68232140Почему на российской границе требуют показать чеки на старые гаджеты?367734Сравнятор10.11Настольные посудомойки для дома и дачи: 6 удачных моделей4314Письмо психологу10.11«Он не подходит ей совершенно»: как быть если у мамы появился сомнительный ухажер3262Дети10.11Скумбрия на обед и дневной сон на улице: как устроены детские сады в Норвегии20459Брекеты читателей10.11Как я носила брекеты 3 года чтобы исправить скученность зубов6135О чем важно знать путешественникамКак бронировать жилье на Airbnb из России59112103Как добраться из России в Грузию149236 стран в которых оформляют банковские карты россиянам6385233Какие жидкости можно провозить в ручной клади?182432Какие страны открыты для туристов из России184295574Авиакомпании начали продавать субсидируемые билеты на 2023 год: кто может их купить212532Как получить грин-карту США109203294Безвизовые страны для россиян в 2023 году383686Калькулятор отпускника: сколько вы можете тратить в день4558128Поп-культура10.11«Неуязвимый»: рассказываем о втором сезоне и отвечаем на главные вопросы о сериале111Что делать?10.11Как вернуть деньги если заказанную еду не привезли?8272Спорт10.1110 лучших фильмов о боксе: Рокки Бальбоа Мухаммед Али и роботы2···1Точно нет10.11Точно нет: 5 причин отказаться от корпоративов1430Подкасты«Мы совсем друг друга не бесим»: впервые отвечаем на вопросы слушателей6···121 глупый вопрос про беременность3···8Секты и холодильник-убийца: 8 самых интересных выпусков подкаста «Схема»5···11«Это всех нас коснется»: что мы знаем про умирание и смерть101118Кубышка на кайфы дом на Кипре и путешествие на Канары: новый выпуск НКТСД5···3«Дешевеет только рубль»: сколько теперь стоит жизнь в России1378«Что скажет жена что скажут дети что скажут на работе?»: выпуск про ВИЧ624«Ну как там с деньгами?»: мы вернулись8···1Как школьники отвечают на вопросы про деньги982«Чувствуешь себя неактуальным»: почему мы боимся старости11814«Нельзя мыться дольше трех минут»: сколько стоит жизнь в Австралии11···18«Петя с папой — на Мерседесе а мы с мамой — на маршрутке»: что дети думают о неравенстве753«Это ломает физически и психологически»: как живут с тазовой болью7···10«Зритель ты или игрок? Время решить»: как «блогер-миллионер» разводит подписчиков на деньги7106«Здесь придумали налоги на все»: сколько стоит жизнь в Нидерландах102311Инвестразборы10.11Отчет «Фосагро» за 9 месяцев 2023 года: выручка и прибыль упали несмотря на рост продаж1···Авто10.11Лишение прав: за что их могут забрать что после этого делать···1Объясняем интернет10.11Что такое Girl Math — мем про то как мы придумываем неочевидную выгоду для оправдания трат3126Бесит!10.11Бесит что работодатели не вкладываются в развитие сотрудников523Вы так много всего прочитали. Пора бы и отдохнуть:Какой суперспособности вы достойны?19212Угадайте что натворил этот ребенок1881В какой квартире вы бы жили в параллельной вселенной?17261Музыкальный путеводитель: узнайте в каком секретном месте Москвы вам нужно побывать271734Викторина Т⁠—⁠Ж: что вы знаете об истории денег?2735Какой вы мем про деньги?44295Сможете ли вы поесть на 16 миллионов рублей?31394Бери свои шурушки едем хасанить: понимаете ли вы слова из разных регионов России?42828Это ваши деньги? Или чьи?45263Какую книгу вы могли бы написать?496426Проверка слуха10.11Говорят что от йода и зеленки нет никакой пользы. Правда?5101Дискуссии10.11Любите ходить в библиотеку? Расскажите почему6122Жизнь в России10.11«Свой город люблю и ненавижу»: как я живу в пригороде Перми13137Мнения10.11Мнение: пластиковые цветы на кладбище — это мусор который нужно запретить15271Популярное за две неделиКак мужчине уйти в декрет92517Сколько я трачу чтобы работать частным психологом8220463Я зарабатываю больше 400 000 ₽ на двух работах и к концу месяца еле свожу концы с концами6836920Как экономить в Москве благодаря студенческому билету125016«Быстро дешево и сердито»: еще 11 простых блюд на случай когда лень готовить3210983Мой рецепт: классический «Наполеон»182650Сколько стоит стать серфером82122Лучшие пауэрбанки: 4 качественные модели под разные задачи1819528 популярных фраз родителей которые бесят воспитателей в детском саду1065195 идей как оформить прихожую в квартире202133Косметичка10.11Моя косметичка: бюджетный набор натуральной косметики755Дискуссии10.11Расскажите что для вас инклюзия3371Путь к родительству10.11«Процедура удочерения прошла несложно»: как я вырастила четверых детей в селе и в 40 лет снова стала мамой2774Что делать?10.11Стоит ли покупать витринные образцы электроники?7142Куда вложить деньги денежки деньжищиОтчет «Фосагро» за 9 месяцев 2023 года: выручка и прибыль упали несмотря на рост продаж1···Самые перспективные акции на Мосбирже в ноябре 2023. Мнения инвесткомпаний5···2Результаты «Софтлайна»: оборот и долг растут на фоне роста продаж собственных решений22Отчет VK за 9 месяцев 2023 года: хорошие операционные результаты но ни слова о прибыли1Президент разрешил розничным инвесторам обменять заблокированные активы: как это будет работать7339Отчет «Группы Позитив» за 9 месяцев 2023 года: пока убытки но прибыль впереди711«Теперь я в плюсе»: как я инвестирую в казахстанский тенге киргизский сом и узбекский сум4396Новые ценные бумаги на Мосбирже за октябрь 2023 года3···11Отчет Сбера за 3 квартал 2023 года: новые рекорды несмотря на рост ставки411«От хорошего к великому»: что стало с лучшими компаниями из книги Джима Коллинза10410Образование10.11«Воссоздаем Платоновскую академию»: как я организую бесплатные выездные школы в регионах514Видеоигры читателей10.11«Как хороший мини-сериал»: рекомендую симулятор ходьбы по лесу Firewatch1476Поп-культура10.11Valve показала Steam Deck с OLED-экраном: чем лучше старой модели и когда начнутся продажи942Открой рецепт10.11Рецепт крэк-пая: кавер на десерт из американского ресторана8617Наши лучшие калькуляторыСколько вам заплатят за отпуск в 2024 году и когда выгоднее его брать?628188809Какие прививки нужны взрослому?140237462Калькулятор осознанного потребления: во сколько вам на самом деле обходятся покупки4522501KКалькулятор выплат на детей в 2023 году292987Какой товар выгоднее? Калькулятор покупателя5451181У вас несколько кредитов? Посчитайте как их отдавать чтобы сэкономить на процентах16982275Имущественный вычет: сколько вам вернут при покупке квартиры?52145426Сколько отложить на черный день?565326579Калькулятор социальных вычетов55127342Сколько вы можете тратить в день?337101558Мозг10.11Как работает экзистенциальная психотерапия6312Город10.11Savva Olluco и Loona: названы 10 лучших ресторанов Москвы по версии премии Where to Eat 2023101020Дети10.11Дарт Сидиус в свитере и никаких сладостей: 12 детских адвент-календарей61110Поп-культура10.11«Убийца»: Дэвид Финчер снял остроумный триллер о киллере-перфекционисте с Майклом Фассбендером955Бизнесу: кейсы и новости о законах«Первые полгода были безумными»: бывший маркетолог открыл корейско-израильское кафе в Ереване22139Голливудские актеры и студии договорились о завершении забастовки: что известно о соглашении1021Как нанимать сотрудников на удаленку и управлять ими: 7 советов HR-эксперта61219Мы с отцом открыли велопрокат в гараже дома и зарабатываем 100 000 ₽ в месяц211311«От хорошего к великому»: что стало с лучшими компаниями из книги Джима Коллинза104107 бесплатных онлайн-сервисов от государства которые облегчат жизнь предпринимателю2120Новые штрафы в сфере прав потребителей: что ждет бизнес в ноябре 2023 года454Производственный календарь на ноябрь 2023 года523«Мы 10 лет росли благодаря сообществу а потом многие уехали»: история «Кооператива „Черный“»191911Ателье кофейня и пункт выдачи заказов: 7 историй о бизнесе который не оправдал ожиданий579Еда10.1114 видов пасты: чем они различаются и какую покупать181426Разводы10.11Как устроен развод с розыгрышем крупных сумм от имени блогеров1085Город10.1111 адвент-календарей с косметикой которые скрасят ожидание Нового года7148Что делать?10.11Вправе ли авиакомпания отменить билет купленный по ошибочному тарифу?142Как быть здоровым и богатымГоворят что от йода и зеленки нет никакой пользы. Правда?5101Как я столкнулась с преэклампсией во время беременности581Когда не противопоказано грудное вскармливание: 7 ситуаций6···16 сомнительных аюрведических лекарств542Правда ли что людям с татуировками нельзя делать МРТ?411«Любые инфекции могут приводить к тяжелой болезни»: педиатр о вакцинации детей812Правда ли что добавки с барвинком улучшают память и лечат рак?422Боли в груди: почему возникают и когда связаны с сердцем8922Работает или нет: 6 методов проверки на туберкулез241Что делать если укусило бездомное животное1188Еда10.11«Этот ужин помню до сих пор»: 5 историй про самые впечатляющие походы в ресторан1153Поп-культура10.1120 классных игр продолжительностью до 10 часов91015Дискуссии10.11Расскажите о самом удивительном совпадении в вашей жизни3381Поп-культура10.11Call of Duty: Modern Warfare 3 (2023) — 3 причины пропустить сюжетную кампанию14Изменения в выплатах и господдержке в 2023 годуЛьготную ипотеку под 7% можно взять на покупку или строительство дома112332Как подать заявку на бесплатное подведение газа к участку196166Для выплат на первого и второго ребенка до 3 лет нужна карта «Мир»4816Правила расчета детских больничных93216Самозанятость пенсия и декрет: что изменилось в правилах ипотечных каникул с июля 2021 года159Как заполнить заявление для ежемесячного пособия на детей от 8 до 17 лет2857154С июля 2021 года семьи с одним ребенком могут взять льготную ипотеку под 6%93742Условия льготной ипотеки с июня 2022 года42216Пособие на детей от 8 до 17 лет с 2021 года: основные условия2932656Пособие для беременных в 2022 году: основные условия510448Инвестразборы10.11Самые перспективные акции на Мосбирже в ноябре 2023. Мнения инвесткомпаний5···2Дневники трат10.11Как изменилась жизнь ведущего инженера в Москве с зарплатой 120 000 ₽5736113Инвестразборы09.11Результаты «Софтлайна»: оборот и долг растут на фоне роста продаж собственных решений22Бизнес за границей09.11«Первые полгода были безумными»: бывший маркетолог открыл корейско-израильское кафе в Ереване22139Владельцам недвижимостиДольщики снова могут взыскивать неустойку с застройщиков и предъявлять претензии122528Как принять квартиру у застройщика1919127Как получить онлайн-выписку из ЕГРН91633Купить новостройку: как выбрать надежного застройщика3491887 мифов о покупке недвижимости из-за которых можно потерять миллионы132970«Буду бессовестной но с целой мебелью»: как я наказала квартирантов подав в суд98121110Перерасчет за общие ресурсы и проверки счетчиков: Минстрой объяснил изменения в сфере ЖКХ61823Почему застройщики дают льготную ставку по ипотеке21113Сбербанк при продаже жилья разрешил сохранять ипотечную ставку продавца: что следует знать82217Правила сжигания мусора и разведения костров на садовых участках255229Программа социальной газификации в России стала бессрочной83216Как получить налоговый вычет за квартиру28102335Дневники тратКак изменилась жизнь ведущего инженера в Москве с зарплатой 120 000 ₽5736113Как живет помощник генерального директора в Санкт-Петербурге с зарплатой 70 000 ₽5067615«Испортил — расход возместил»: 7 причин давать детям карманные деньги294Как живет программист в Ереване с зарплатой около 219 000 ₽243418День из жизни кладовщика в Казани с зарплатой 245 000 ₽3838215Как изменилась жизнь технического писателя в Москве с зарплатой 100 000 ₽4725112Как живет руководитель отдела продаж в Нижнем Новгороде с зарплатой 100 000 ₽5533013«Хочется карьеры а не быть вечным студентом»: 7 историй о том как совмещать работу и учебу4146Как живет архивариус в банке в Северо-Западном федеральном округе с зарплатой 54 000 ₽7648814Как живет инженер по нормированию труда в Ростовской области в декрете с пособием 14 551 ₽491K12Поп-культура09.11«Маска за 250 ₽ черная простынь и пара перчаток»: 7 необычных костюмов на Хеллоуин1286Путешествия по России09.1111 главных достопримечатель­ностей Ростова и окрестностей10136Экономика09.11Как банки реагируют на рост ключевой ставки в 2023 году: что с вкладами и ипотекой10142Инвестразборы09.11Отчет VK за 9 месяцев 2023 года: хорошие операционные результаты но ни слова о прибыли1ВакансииСообщить о проблемеО проектеКонтактыПолитика конфиденциальностиПравила пользования сайтомВыйтиАО «Тинькофф Банк» лицензия №26732023journal@tinkoff.ru</t>
  </si>
  <si>
    <t>journal.tinkoff.ru</t>
  </si>
  <si>
    <t>ChatGPT - App Store</t>
  </si>
  <si>
    <t>12 сент. 2023 г. —</t>
  </si>
  <si>
    <t>https://apps.apple.com/us/app/chatgpt/id6448311069?l=ru</t>
  </si>
  <si>
    <t>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t>
  </si>
  <si>
    <t>apps.apple.com</t>
  </si>
  <si>
    <t>ChatGPT: что это, возможности, как пользоваться из ...</t>
  </si>
  <si>
    <t>https://trends.rbc.ru/trends/industry/63a192819a79478fae5762ad</t>
  </si>
  <si>
    <t>РБК Тренды - Кто и как меняет глобальную экономикуТренды            Телеканал                                Pro                                Инвестиции                                        Мероприятия                                Отрасли                                Недвижимость                                Autonews                                Спорт                                Тренды                                Национальные проекты                                Город                                Стиль                                Крипто                                РБК+                                Дискуссионный клуб                                Исследования                                Кредитные рейтинги                                Франшизы                                Газета                                Спецпроекты СПб                                Конференции СПб                                Спецпроекты                                Проверка контрагентов                                РБК Библиотека                                ESG-индекс                                Политика                                Экономика                                Бизнес                                Технологии и медиа                                Финансы                    РБК КомпанииРБК Life                            ...                        Скрыть баннерыРубрики                                                                                    Главное                                                                                                                                                                Лента                                                                                                                                                                Прогнозы будущего                                                                                                                                                                Искусственный интеллект                                                                                                                                                                Исследования и доклады                                                                                                                                                                Саморазвитие                                                                            ВходРегистрация                                    Подпишитесь на РБК Comfort                                Получайте рассылку с новостями которые касаются каждого. Самое актуальное о личных финансах карьере и безопасности.Читайте РБК без рекламных баннеров на сайте и в мобильном приложении.                                    Подписаться за 99₽ в месяц                                                                Вход                            ПоискГлавноеЛентаПрогнозы будущегоИскусственный интеллектИсследования и докладыСаморазвитиеТелеканалProИнвестицииМероприятияОтраслиНедвижимостьAutonewsСпортТрендыНациональные проектыГородСтильКриптоРБК+Дискуссионный клубИсследованияКредитные рейтингиФраншизыГазетаСпецпроекты СПбКонференции СПбСпецпроектыПроверка контрагентовРБК БиблиотекаESG-индексПолитикаЭкономикаБизнесТехнологии и медиаФинансыРБК LifeРБК Компании    Главное менюРубрики                                                                                    Главное                                                                                                                                                                Лента                                                                                                                                                                Прогнозы будущего                                                                                                                                                                Искусственный интеллект                                                                                                                                                                Исследования и доклады                                                                                                                                                                Саморазвитие                                                                            РБКТрендыГлавнаяЛентаПрогнозы будущегоИскусственный интеллектИсследования и докладыСаморазвитие                        ...                    Индустрия 4.0                    Робот в Южной Корее убил человека приняв его за коробку с овощами                Индустрия 4.0                    Grok AI: как работает нейросеть Илона Маска                Социальная экономика                    Метеорный поток Леониды в 2023 году: каким будет и когда смотреть                ПопулярноеСоциальная экономика                    Почему по всему миру увеличивается количество краж в магазинах                Экономика инноваций                    Как рисует Dalle-3 — новый алгоритм OpenAI создающий картинки из текста                Зеленая экономика                    Что такое блокирующие антициклоны и как они ухудшают погоду                Социальная экономика                    Голограммы и виртуальная реальность: как меняются современные цирки                Зеленая экономика                    Реальность и вымысел: что думают ученые о популярных фильмах-катастрофах                ВидеоВсеЭкономика инноваций                    Три мифа о замещении человека роботами                Футурология                    Перенаселение и вымирание: что ждет человечество в будущем                Футурология                    «Джеймс Уэбб»: как этот телескоп изменит наше представление о Вселенной                Социальная экономика                    Как бороться с прокрастинацией и почему безделье может быть полезным                ПоследниеИндустрия 4.0                    Project Kuiper: очередная попытка Безоса догнать Маска в космосе                Зеленая экономика                    Самый популярный вид бананов может исчезнуть                Футурология                    Станция «Тяньгун»: как строится китайский аналог МКС                Экономика инноваций                    Кредиты гранты и компенсации: какую поддержку получает бизнес в Москве                Социальная экономика                    Почему уровень кибербуллинга растет и как защитить себя от травли в Сети                 ПопулярноеСоциальная экономика                    Почему по всему миру увеличивается количество краж в магазинах                Экономика инноваций                    Как рисует Dalle-3 — новый алгоритм OpenAI создающий картинки из текста                Зеленая экономика                    Что такое блокирующие антициклоны и как они ухудшают погоду                Социальная экономика                    Голограммы и виртуальная реальность: как меняются современные цирки                Зеленая экономика                    Реальность и вымысел: что думают ученые о популярных фильмах-катастрофах                 ПодкастыВсеСоциальная экономика                    Почему интересно смотреть на то как другие люди получают удовольствие                Социальная экономика                    Игры в которые играют люди: почему гейминг — это нормально                Зеленая экономика                    Фудшеринг: что это такое и почему надо спасать нашу еду                Социальная экономика                    Э — экранное время: сколько мы залипаем в телефонах                Индустрия 4.0ВсеКосмос                    Project Kuiper: очередная попытка Безоса догнать Маска в космосе                Нейросети                    Grok AI: как работает нейросеть Илона Маска                Нейросети                    Максим Еременко — РБК: «Нейросети откроют человеку супервозможности»                Робототехника                    Робот в Южной Корее убил человека приняв его за коробку с овощами                Эко-номикаВсеБиоразнообразие                    Самый популярный вид бананов может исчезнуть                Конгресс «ESG-(P)Эволюция»                    Свой путь: что будет с ESG-повесткой в России                Биоразнообразие                    Почему грибы полезны для человека и экологии                Климатические изменения                    Тропические штормы в мире стали сильнее: ураганы учащаются                ОбразованиеВсеЦифра дня                    19% российских компаний принимают на работу подростков                Профессии будущего                    Персональный гид по образованию и карьерному росту: как им стать                HR и рынок труда                    За год рынок вакансий IT-специалистов вырос на 18%                Профессии будущего                    Кто такие корпоративные антропологи и как попасть в эту профессию                ИнновацииВсеИнновационный бизнес                    Кредиты гранты и компенсации: какую поддержку получает бизнес в Москве                Устойчивое развитие                    Как развивается рынок устойчивых финансов в России и в мире                Нейросети                    Искусственный интеллект в ЕГЭ: как нейросети пишут и проверяют экзамены                Управление проектами                    Пикселизируй это: как компаниям решить проблему дефицита кадров                ФутурологияВсеКосмос                    Станция «Тяньгун»: как строится китайский аналог МКС                Космос                    Космические миссии: какие запуски планируются на ближайший год                Как это устроено                    Мы живем в симуляции: аргументы сторонников фантастической гипотезы                Конспирология                    Конспирология в кино: что посмотреть о теориях заговора                ОбществоВсеПсихология                    Почему уровень кибербуллинга растет и как защитить себя от травли в Сети                Космос                    Метеорный поток Леониды в 2023 году: каким будет и когда смотреть                Как это устроено                    Что такое время и почему о нем спорят ученые                Исследования и доклады                    Что известно о новом штамме коронавируса «Пирола»: симптомы и последствия                ШерингВсеБлагоустройство                    Судьба декора: куда пропадают уличные украшения после Нового года                Осознанное потребление                    Добавленная стоимость: как развивается фудшеринг в России                Медиастриминг                    Доставок и зрелищ: как устроена экономика подписных сервисов                Азбука современности                    Ф — фриганство: кто и зачем отказывается платить за еду                Подписывайтесь на насБудьте в курсе мировых трендовTelegramВКонтактеYouTube«Яндекс.Дзен»РБКТренды                        Рассказываем о трендах в экономике бизнесе технологиях и обществе которые прямо сейчас меняют нашу жизнь                    О проектеТрендыОбществоФутурологияШерингИндустрия 4.0ОбразованиеИнновацииЭко-номикаПодписки                            РБК Comfort                                                    РБК Pro                        ПодписатьсяTelegramВКонтактеYouTube«Яндекс.Дзен»© АО «РОСБИЗНЕСКОНСАЛТИНГ» 1995–2023                                                Сообщения и материалы сетевого издания «РБК» (зарегистрировано Федеральной службой по надзору в сфере связи информационных технологий и массовых коммуникаций (Роскомнадзор) 03.12.2021 за номером ЭЛ №ФС77-82385) сопровождаются пометкой «РБК». 18+ letters@rbc.ru                        Нашли ошибку?                        Выделите ее и нажмите Ctrl+Enter                    Информация об ограниченияхПравовая информацияО соблюдении авторских правГлавнаяЛентаПодписаться                        Telegram                                            ВКонтакте                                            YouTube                                            «Яндекс.Дзен»                    Закрыть</t>
  </si>
  <si>
    <t>trends.rbc.ru</t>
  </si>
  <si>
    <t>Что такое ChatGPT? — Руководство</t>
  </si>
  <si>
    <t>https://sendpulse.com/ru/support/glossary/chatgpt</t>
  </si>
  <si>
    <t>Multi-Channel Marketing Automation Platform | SendPulsetoggle menu                                 Products                            PricingSupport                                 Resources                             Email CampaignsDrag-and-Drop BuilderSubscription FormsTransactional EmailsCampaign AnalyticsEmail VerifierAutomation 360СRMWebsitesOnline Course BuilderLMSChatbot BuilderInstagram ChatbotsWhatsApp ChatbotsViber ChatbotsFacebook ChatbotsTelegram ChatbotsLive ChatChatbots AppSMSViber CampaignsWeb Push NotificationsPop-upsNPS WidgetsAPIIntegrationsPartner ProgramFind a SendPulse ExpertAll Features →                            Blog                            Discover actionable tips and helpful tools to fuel your growth                             Knowledge Base                            Learn how to use SendPulse with our in-depth guides                            Platform Updates                            Recent SendPulse updates and new features                            SendPulse Academy                            Take online courses to grow in-demand marketing skills                            YouTube Channel                            Expand your knowledge with video content from our experts                             Marketing 101                            Keep up with all the key digital marketing terms and definitionsEnglish                                                                    Українська                                                                                                                                Русский                                                                                                                                Português                                                                                                                                Türkçe                                                                                                                                Español                                                                                                                                Français                                                                                                                                Italiano                                                                                        Login                                                            Login                                 Remember me                                or                                                    Sign in with Facebook                                                                                                    Sign in with Google                                                                                Sign Up                             Accelerate your sales and grow your business on a single platform                                    Get all the multichannel marketing and sales tools you need for increased profits better workflows and happier customers                                Sign up for free                                    Sign in with Google                                15000 free emails3 free chatbotsFree landing page builderFree CRMNo credit card requiredOur customers love us                    4.6                                    /5                                    4.6                                    /5                                    4.6                                    /5                                    4.6                                    /5                                    4.3                                    /5                                    5                                    /5                            Stay in touch with your customers — wherever they areEmail MarketingDeliver valuable content straight to your audience's inboxesSMSReach your prospects on their mobile phones while they’re on the goChatbotsUse Facebook Messenger Telegram Instagram and WhatsApp chatbots to connect with your audience in real timeWeb PushConnect with your subscribers no matter what they’re doing online Everything you need to streamline sales and marketing processes.  From start to finishHouse all sales and marketing activities in one placeGet a complete picture of your contacts and workflows collaborate seamlessly and win more customers. All from a single easy-to-manage dashboard.Get full visibilityUse chatbots subscription forms and landing pages to capture contact details. Automatically push new contacts to your CRM and organize your existing contact data in lists and Kanban boards so you can be sure that a lead never slips through the cracks again.Fast-track communicationIntegrate CRM with other SendPulse products seamlessly. Reach out to your leads and customers via email or chatbot directly from their contact card in your CRM.Make data-driven decisionsHave all of your customer interaction history and insights on hand to build winning sales pipelines and shorten sales cycles.Improve collaborationBring all of your team members under one roof to eliminate organizational silos assign roles and permissions and keep track of sales and marketing processes. Teach online and monetize your knowledgeCreate professional online courses using our simple visual builder conduct tests add homework assignments and issue certificates of completion.Enroll students in your course through an auto-generated landing page with the ability to accept online payments and promote your courses using SendPulse's tools.Instructor accountSet up your courses and their pricing choose the format and order of your lessons add teachers and track students' engagement in the learning process.Student accountPass the available courses pay online through popular payment systems communicate with teachers and receive course completion certificates.Take repetitive tasks off your to-do listUse SendPulse automation features to keep time-wasting tasks on autopilot and get the time you need to focus on high-value work.Automation 360Set up automated email flows paired with messenger chatbots and SMS to advance leads from stage to stage of your sales process and close more deals.Transactional emailsSend automated emails triggered by user behavior to deliver valuable information to your customers at key moments of their journey.ChatbotsLet WhatsApp Facebook Messenger Instagram and Telegram chatbots handle routine tasks like giving shopping advice gathering customer data and feedback and much more. Free up your time to focus on growing your business.CRMAutomatically create deals when a new contact is added to CRM through email or chatbot flows and never miss a sales opportunity again. Enhance customer satisfactionMake every customer feel special with personalized messages and lightning-fast responsesCRMAnalyze customer interactions throughout their journey and tailor your follow-ups to their behaviors and preferences.                            Learn more                                →ChatbotsGood customer service is fast customer service. Use messenger chatbots to speed up response times and never make a customer wait again – even outside of business hours.Learn more                                →SegmentationSegment your contact list to deliver the right content to the right people at the right moments of their customer journey.Learn more                                → Turn prospects into paying customersGet all of the tools you need to capture leads and map out the customer journey from awareness to sale.CRMSee — at a glance — where your prospects are in the sales process and monitor which deals are most effective.Subscription formsCreate responsive opt-in forms in no time to grow your list of engaged subscribers and convert them into customers.Landing pagesCraft highly-converting landing pages to capture more leads close more sales and take your campaigns to the next level.ChatbotsUse Facebook Telegram Instagram and WhatsApp chatbots to grab fresh leads and nudge them to make purchase decisions.Web push notificationsAdd push notifications to your campaigns to drive visitors back to your website keep them in the know about limited-time deals and make more sales.SMSIntegrate SMS into your marketing strategy to catch prospects and customers on the move. Deliver time-sensitive messages and follow-ups.EmailsSell to a targeted list of email subscribers cater to their needs and watch sales roll in.Make the creation process hassle-freeUse SendPulse creative tools and professionally designed templates to create compelling emails and powerful landing pages in a matter of minutes.Drag and drop email editorDesign attention-grabbing emails the easy way. Zero coding skills or HTML experience required.Email templatesSave time and money with over 130+ prebuilt email templates and customize them to match your brand.Landing page builderEasily create responsive landing pages without a single line of code to get more leads and sales. Stay on target with customer insights and campaign analyticsTake the guesswork out of your marketing and sales process with actionable insights to refine your strategyEmail campaign reports and analyticsGet detailed reports on your email campaigns. Tweak them for success and uncover hidden growth opportunities.Learn more                                →A/B testingIdentify what resonates with your audience and fine-tune your marketing and sales strategies.Learn more                                →CRMKnow what’s going on with every deal and never miss a step in your sales or marketing process.Learn more                                →Integrate SendPulse features with your projectAutomate data transfer and send campaigns directly from your project. Check out the list of CRM CMS and eCommerce systems you can integrate with SendPulse.More than 40 integrationsAPI documentation Get all of the help and resources you need every step of the wayNeed a helping hand?We’re always here to back you up                                 Talk to us 24/7 in 6 languages                        Knowledge BaseAll the answers you need to get to grips with SendPulse toolsBlogActionable marketing insights and tips hot industry trends and moreYouTubeService manuals and digital marketing webinars FAQ                        What is marketing automation?                        It is a set of tools that improve relationships with a massive audience. SendPulse is a marketing automation platform that offers triggered emails chatbots scheduled SMS and web push notifications. Dive deeper into what marketing automation is.                         Why should I use marketing automation?                        Automated marketing makes your living easier since some of the crucial processes like purchasing running giveaways onboarding and more can be once set up and run on their own.                          How do I start using marketing automation?                        Define the goals that marketing automation will help you achieve. Choose marketing channels respectively mastering one channel after another. Here is the list of features  SendPulse provides for your marketing automation.                         How much does marketing automation cost?                        The price depends on what tools you use how many clients you have and what features you need. Check out our pricing plans to find out what suits your needs. Reinvent your sales and marketing with SendPulseGet the most out of a powerful CRM platform email marketing and automation tools and much more to skyrocket your sales and business performance.Sign up for free Email Email CampaignsTransactional EmailsDrag-and-Drop BuilderSubscription FormsAutomationCampaign AnalyticsFree Email TemplatesFree Chrome ExtensionChatbotsChatbot BuilderInstagram ChatbotsWhatsApp ChatbotsWhatsApp Business APIWhatsApp Сampaigns WhatsApp Link GeneratorViber ChatbotsFacebook ChatbotsTelegram ChatbotsChatbot Signup WidgetsChatbots AppServicesOnline Course BuilderLMSCRMWebsitesBio Link Page SMSViberWeb Push NotificationsSmart Pop-upsNPS WidgetsLive ChatAll-in-one platformAbout Our CompanyOur TeamFeedbackService UpdatesResources SendPulse AcademyKnowledge BaseInternet Marketing 101BlogIntegrationsAPIExpert directoryFor PartnersPartner ProgramInvite friendsСertificationTerms of ServicePrivacy PolicyCookie StatementSendPulse SecurityData Processing AgreementCopyright © 2015 - 2023. SendPulse. All rights reservedEnglish                                                            Українська                                                                                                                Русский                                                                                                                Português                                                                                                                Türkçe                                                                                                                Español                                                                                                                Français                                                                                                                Italiano                                                    			     		Get started with SendPulse			     	Create a free account. No credit card requiredPlease enter a valid email addressRequired fieldThe password is too shortYour password should be from 8 to 48 characters long contain at least one uppercase letter one lowercase letter and a number.Please enter 3 or more charactersPlease enter your namePlease enter a valid phone numberPlease confirm you are not a robotRegistration domain is blocked              The user with this email address already exists. You can Login or Restore a password.            Your promo code is invalid              Such phone number is already registered.You can Login or Restore a password.            Looks like you already have an account. Please email us at support@sendpulse.com if you think this is an error.                          Name                                                    Email address                                                  Phone number                          Password                        Password security tips:                                        from 8 to 48 characters long                                                                            contains a digit                                                                            contains an uppercase character                                                                            contains a lowercase character                                       or                                        Sign up with Facebook                                                                        Sign up with Google                                                            By creating a SendPulse account you agree to our Terms of Service and Privacy Policy</t>
  </si>
  <si>
    <t>sendpulse.com</t>
  </si>
  <si>
    <t>нейросеть Chat GPT - искусственный интеллект онлайн</t>
  </si>
  <si>
    <t>Нейросеть Chat GPT ... Мощный чат-бот на русском языке, разработанный OpenAI, ChatGPT отвечает на ваши вопросы. Для того чтобы начать пользоваться инструментом, ...</t>
  </si>
  <si>
    <t>https://pr-cy.ru/chat-gpt/</t>
  </si>
  <si>
    <t>PR-CY 🔥 Анализ сайта: Сервис самостоятельного продвижения сайта - Онлайн инструменты для вебмастеров оптимизаторов и копирайтеров.Тарифы и ценыИнструментыСообществоБиржа сайтовБлогВходРегистрацияПолный контроль над SEOПоможем вам контролировать и самостоятельно улучшать позиции вашего сайта в поисковых системах чтобы получить больше трафика и продаж.Начните с анализа сайтаАнализироватьВсе необходимое — в одном сервисеМы ежедневно анализируем множество данных по каждому проекту что позволяет вам управлять всеми своими и клиентскими проектами из одного места. Ежедневный мониторинг позволяет отслеживать позиции в поиске органический трафик и быстро реагировать на ошибки.Отслеживание позиций сайтаАналитика веб-трафикаМониторинг технического состояния страницАнализ метрик домена и технических характеристик сайтаВсе самые необходимые инструментыНаша цель — дать вам полный контроль над проектами и упростить их управление чтобы вы могли сосредоточиться на ключевых задачах.Проверка позицийДержите руку на пульсе с ежедневной проверкой позиций вашего сайта в поисковых системах.Две поисковые системыЛюбые регионы и страныМобильная и десктоп версия поискаПодробнееАудит сайтаУлучшайте ваш сайт с помощью аудита — сервис сканирует сайт и показывает ошибки оптимизации и как их решитьПроверка до 5000 страницМета-теги коды ответов сервера технические ошибкиДубликаты контента на сайтаТехнические данныеПодробнееАнализ сайтаЕжедневно следит за основными метриками сайта которые критически важны для продвижения и корректной работы сайта общая оценка качества сайта и быстрый поиск ошибок.История изменений параметровСравнение с конкурентамиУведомления по email если что-то пойдет не такПодробнееСколько это стоит? Отзывы пользователейСинякин СергейSiniakin.ruУже более 3-х лет пользуюсь сервисом PR-CY для меня как для интернет-маркетолога – это один из основных инструментов который использую для анализа клиентских сайтов и их конкурентов проверку позиций анализа внутренних страниц и как планировщик задач.Дмитрий СтоговI.D. codeНезаменимый инструмент проверки подрядчиков по созданию и продвижению сайта. Всё наглядно и доступно в режиме «для чайника». Уже не прокатят «нарисованные» отчёты маркетологов. Всё на лицо — позиции ключи что не так с оптимизацией. Не нужно перелопачивать миллион ресурсов необходимая информация скомпонована в одном месте! Пользуемся уже год и только положительные эмоции.Евгений ЯковинаLinkbuilder.suНе первый год используем инструменты PR-CY для анализа данных и синхронизации наших алгоритмов для расчета бюджета продвижения. Радует отзывчивость суппорта на наши просьбы конкурентоспособные цены и актуальность получаемой информации. Важный момент — сервис постоянно разивается появляются новые функции и улучшается интерфейс. Ребята всегда на пульсе новых технологий.Ибрагим КадировIntegerСервисом пользуемся регулярно с его помощью вывели в топ два проекта. Быстро находит ошибки чтобы оперативно исправлять их. Особенно хотели бы отметить анализ внутренних страниц очень удобно. Основное преимущество — полный мониторинг продвижения сайта.Кирилл НиколаевBigtime.VenturesКак с точки зрения агенства так и с точки зрения инхаус-специалиста «Анализ сайта» незаменим. Инстурменты по быстрой оценке общего состояния пациента нужны практически каждый день — и для первичного анализа и для промежуточных отчётов. Один из немногих в рунете кто проверяет не только главную но и внутренние страницы. Быстро при должном умении анализировать полученные данные очень удобно. Можно платить по 200 долларов за аналоги но зачем?Руслан ФатхутдиновReaspekt.ruСпасибо ребятам за сервис. Используем большое количество данных с API анализа для построение отчётов и маркетинговых задач.Алексей МахметхажиевLoading.expressИнструмент зарекомендовал себя как надежный сервис для анализа важнейших показателей сайта. После обновлений на нашем сайте всегда используем проверку в PR-CY чтобы ничего не упустить из того что может помочь нам быть в топе поисковых систем. Спасибо и удачи в развитии!Александр ЧепукайтисANT-TEAM.RUPR-CY.RU — незаменимый инструмент в работе. Мне часто приходится общаться с новыми клиентами и строить стратегию на начальном этапе пока у нас еще нет подробных аудитов. В этот момент я и пользуюсь инструментами PR-CY они помогают мне быстро найти точки роста и на основе этого сформировать стратегию дальнейшей работы. Также полезна проверка внутренних страниц сразу даёт полное представление о состоянии сайта.Андрей ПикузоPUG WEBОтличный сервис. Использую его для быстрого анализа сайтов своих клиентов. Также очень нравится в PR-CY возможность вести проекты следить за позициями по ключевым словам сравнивать проекты с конкурентами.Максим МатвеевJCatУдобный сервис для контроля SEO-работ по сайту. Наглядные отчёты еженедельно приходящие на почту.Синякин СергейSiniakin.ruУже более 3-х лет пользуюсь сервисом PR-CY для меня как для интернет-маркетолога – это один из основных инструментов который использую для анализа клиентских сайтов и их конкурентов проверку позиций анализа внутренних страниц и как планировщик задач.Дмитрий СтоговI.D. codeНезаменимый инструмент проверки подрядчиков по созданию и продвижению сайта. Всё наглядно и доступно в режиме «для чайника». Уже не прокатят «нарисованные» отчёты маркетологов. Всё на лицо — позиции ключи что не так с оптимизацией. Не нужно перелопачивать миллион ресурсов необходимая информация скомпонована в одном месте! Пользуемся уже год и только положительные эмоции.Евгений ЯковинаLinkbuilder.suНе первый год используем инструменты PR-CY для анализа данных и синхронизации наших алгоритмов для расчета бюджета продвижения. Радует отзывчивость суппорта на наши просьбы конкурентоспособные цены и актуальность получаемой информации. Важный момент — сервис постоянно разивается появляются новые функции и улучшается интерфейс. Ребята всегда на пульсе новых технологий.Ибрагим КадировIntegerСервисом пользуемся регулярно с его помощью вывели в топ два проекта. Быстро находит ошибки чтобы оперативно исправлять их. Особенно хотели бы отметить анализ внутренних страниц очень удобно. Основное преимущество — полный мониторинг продвижения сайта.Кирилл НиколаевBigtime.VenturesКак с точки зрения агенства так и с точки зрения инхаус-специалиста «Анализ сайта» незаменим. Инстурменты по быстрой оценке общего состояния пациента нужны практически каждый день — и для первичного анализа и для промежуточных отчётов. Один из немногих в рунете кто проверяет не только главную но и внутренние страницы. Быстро при должном умении анализировать полученные данные очень удобно. Можно платить по 200 долларов за аналоги но зачем?Руслан ФатхутдиновReaspekt.ruСпасибо ребятам за сервис. Используем большое количество данных с API анализа для построение отчётов и маркетинговых задач.Алексей МахметхажиевLoading.expressИнструмент зарекомендовал себя как надежный сервис для анализа важнейших показателей сайта. После обновлений на нашем сайте всегда используем проверку в PR-CY чтобы ничего не упустить из того что может помочь нам быть в топе поисковых систем. Спасибо и удачи в развитии!Александр ЧепукайтисANT-TEAM.RUPR-CY.RU — незаменимый инструмент в работе. Мне часто приходится общаться с новыми клиентами и строить стратегию на начальном этапе пока у нас еще нет подробных аудитов. В этот момент я и пользуюсь инструментами PR-CY они помогают мне быстро найти точки роста и на основе этого сформировать стратегию дальнейшей работы. Также полезна проверка внутренних страниц сразу даёт полное представление о состоянии сайта.Андрей ПикузоPUG WEBОтличный сервис. Использую его для быстрого анализа сайтов своих клиентов. Также очень нравится в PR-CY возможность вести проекты следить за позициями по ключевым словам сравнивать проекты с конкурентами.Максим МатвеевJCatУдобный сервис для контроля SEO-работ по сайту. Наглядные отчёты еженедельно приходящие на почту.Синякин СергейSiniakin.ruУже более 3-х лет пользуюсь сервисом PR-CY для меня как для интернет-маркетолога – это один из основных инструментов который использую для анализа клиентских сайтов и их конкурентов проверку позиций анализа внутренних страниц и как планировщик задач.12345678910Популярные инструментыАнализ сайтаКонтроль за сайтом: анализ проверка позиций и аудит сайта.Проверка посещаемостиАнализ посещаемости и источников трафика.Массовая проверка доменовПроверка трафика и SEO параметров для списка доменов.ТЗ для копирайтераФормирование ТЗ по вашим ключевым словам.Сбор WordstatПроверка частотности слова без капчи.SEO анализ страницы сайтаПроверка страницы на оптимизацию по ключевому слову.ChatGPT на русскомЧат-бот искусственный интеллектАнализ текстаРелевантность ключевых слов в тексте анализ текста.Проверка текста на генерацию ИИИнструмент для определения авторства текста: AI или человек.Быстрая проверка позиций сайтаПроверка позиций по списку ключевых слов.Подбор ключевых словПарсинг подсказок в Google.Ключевые слова конкурентовВидимость сайта в поисковых системах.Список URL в ТОП Яндекс и GoogleСписок доменов по запросам.Проверка индексации страницыПроверка списка страниц на индексацию в Google &amp; Яндекс.Антиплагиат проверка текстаМощная антиплагиат проверка через поисковые системы.Проверка скорости интернетаСкорость интернета вашего компьютера.Определение CMS сайтаПроверим все технологии на сайте.Ссылки на страницеСписок всех ссылок на любой странице.Проверка моего IPПокажем ваши данные браузера.Проверка доверия к сайтуПодскажем можно ли покупать на сайтеПроверка Canonical cтраницыПроверьте правильность установки канонического адреса.Проверка IP-адреса сайтаБыстрая проверка IP домена.Найти похожие сайтыПоиск сайтов с похожим трафиком.Узнать хостинг сайтаПроверяем дата-центр и хостера по IP.Возраст доменаОпределяем возраст по дате whois.Проверка SSL сертификатаРаботоспособность и дата окончания SSL.Проверка ответа сервераПроверка HTTP-заголовков любой страницы.Последнее в блогеМетатеги robots и X-Robots для управления индексацией страниц вручнуюКак провести кластеризацию запросов семантического ядраЧто такое Google Discover и как туда попастьЧасто задаваемые вопросыКак сделать первичный анализ своего сайта или конкурента?Для быстрого бесплатного анализа любого сайта введите его домен в форму на главной странице и нажмите «Анализировать».Как проверить на ошибки весь сайт?Весь сайт включая внутренние страницы можно проверить на платных тарифах сервиса «Анализ сайта». Он будет искать ошибки в метатегах и кодировке проанализирует ответ сервера скорость загрузки и количество ссылок.Чем платные тарифы лучше бесплатной проверки?Бесплатно сервис дает поверхностную проверку. На платных тарифах доступны расширенные данные API создание PDF-отчётов увеличенное количество тестов в других инструментах PR-CY. Тарифы подходят чтобы следить за состоянием сайта на постоянной основе.Как мне не пропустить важные события и ошибки на сайте?На тарифах доступны уведомления: если с сайтом что-то случится например он вылетит из индекса или попадет в реестр запрещенных сайтов сервис пришлет уведомление на e-mail. также можно подключить еженедельное письмо со сводкой важных показателей.Как использовать результаты проверки?Обратите внимания на ошибки и предупреждения о которых пишет Анализ. Их можно передать специалисту по оптимизации или запланировать себе задачу. Для улучшения сайта сервис предлагает общий чек-лист из 80 задач выполнение можно отмечать прямо в интерфейсе.Вы можете помочь исправить ошибки которые нашел сервис?Мы разрабатываем сервисы для облегчения работы сеошникам и веб-мастерам но не занимаемся сайтами и не берем клиентов. Советы по улучшению сайтов вы можете найти в нашем блоге.Мне нужны две-три проверки в неделю зачем покупать тариф на месяц?Основное преимущество сервиса в том что даже если вы не заходите ежедневно он автоматически обновляет все данные по вашему сайту и собирает информацию. К примеру уровень индексации или трафик нет смысла рассматривать в моменте эти показатели имеют смысл только в динамике. К тому же если с сайтом что-то случится когда вы заняты другими делами мы пришлём вам уведомление.Все в одном местеВсе основные задачи по продвижению вашего сайта можно делать в одном месте по фиксированной цене.Подключить© 2006—2023 PR-CYRUENИнструментыАнализ сайтаSEO-анализ страницыРазовая проверка позицийChatGPTПроверка посещаемостиАудит сайтаАнтиплагиат онлайнМой IPWHOIS доменаПроверить сайт на мошенниковСделать фавиконСообществоБлогСообществоСловарьБаза ЗнанийРесурсыAPI анализ сайтаAPI проверки позицийПартнёрская программаРейтинги сайтовСайты на технологияхПродуктыТарифы и ценыВозможностиИнструментыПроверка позиций (LINE)SEO расширение для ChromeИнформацияНаписать намСправкаОфертаКонфиденциальность</t>
  </si>
  <si>
    <t>pr-cy.ru</t>
  </si>
  <si>
    <t>Microsoft запретила сотрудникам пользоваться ChatGPT ...</t>
  </si>
  <si>
    <t>1 день назад —</t>
  </si>
  <si>
    <t>https://3dnews.ru/1095795/microsoft-vremenno-zablokirovala-sotrudnikam-dostup-k-chatgpt</t>
  </si>
  <si>
    <t xml:space="preserve">Все самое интересное из мира IT-индустрии 🇷🇺🇰🇿                Сегодня 12 ноября 2023            18+MWC 20182018ComputexIFA 2018О сайтеРекламаРассылкаКонтактыНовости IT-финансыOffсянкаАналитикаВидеокартыЗвук и акустикаИгрыКорпуса БП и охлаждениеМастерскаяМатеринские платыМониторы и проекторыНакопителиНосимая электроникаНоутбуки и ПКПериферияПланшетыПрограммное обеспечениеПроцессоры и памятьСети и коммуникацииСмартфоныУмные вещиФото и видеоЦифровой автомобиль		Конкурсы			RSS/Социальные сети			Рассылка			Вакансии [NEW!]Опрос Главное Десятки массивных звёзд спешно покидают нашу галактику и теперь учёные выяснили почему 					С начала 2000-х годов начались обширные астрометрические наблюдения неба которые давали точное представление о скорости и направлении движения звёзд. Мы стали видеть окружающую нас Вселенную в динамике. Около 20 лет назад была обнаружена первая покидающая нашу галактику звезда. Оказалось что звёзд-беглецов достаточно много и большинство из них тяжёлые показало исследование 				 В ранней Вселенной обнаружена уменьшенная копия нашей галактики — учёные не понимают как она там появилась 					Космический телескоп «Джеймс Уэбб» продолжает поставлять удивительные данные которые пока не поддаются научному объяснению. Новым открытием стало обнаружение очень похожей на Млечный Путь галактики всего через 2 млрд лет после Большого взрыва. Такая спиральная галактика просто не могла оказаться в том месте и в то время заявляют астрономы. Она просто не успела бы развиться до столь совершенных форм 				Alan Wake 2 — тринадцать лет он ждал! В Темном месте! Рецензия 						Возвращения Алана Уэйка многие игроки ждали затаив дыхание. Каждая пасхалка в Control намекающая на судьбу знаменитого писателя становилась лучиком надежды. А с выходом дополнения AWE студия практически официально подтвердила — он точно вернется! Тринадцать лет спустя Алана вынесло на берег озера Колдрон. Стоило ли его ждать? Определенно да но… 					Gamesblender № 648: вскрытие PS5 Slim ИИ в играх Microsoft анонсы BlizzCon 2023 и старт предзаказов «Смуты» 						С вами GamesBlender еженедельный видеодайджест новостей игровой индустрии от 3DNews.ru. Сегодня расскажем что показали на BlizzCon и когда ждать новую Mass Effect а также заглянем внутрь облегченной модели PlayStation 5. Поехали! 					в тренде• На Intel подали в суд за продажу миллиардов процессоров с дефектом о котором она знала и ничего не сделала • «Спасибо разработчикам теперь я не пират»: продажи Stronghold: Definitive Edition за первые три дня порадовали создателей • В iFixit выяснили как Apple удалось добиться радикально чёрного цвета корпуса MacBook Pro • Криптовалютный кошелёк TON начали добавлять в Telegram по всему миру • СуперДупер: GigaIO SuperDuperNODE позволяет объединить посредством PCIe сразу 64 ускорителя Новости hardware• Историческое общество попросило Google не строить посадочную станцию для интернет-кабеля Nuvem на месте мемориала Второй мировой войны • GALAX выпустила редкую однослотовую видеокарту GeForce RTX 4060 Ti MAX с 16 Гбайт памяти • Корабль SpaceX Dragon доставил на МКС аппарат лазерной космической связи и массу другого оборудования • С начала 2024 года к общероссийской системе противодействия DDoS-атакам подключат 160 государственных и иных организаций • Apple пообещала не повышать цены чтобы компенсировать свои траты на повышение экологичности • Беспроводные колонки Tronsmart T7 Tronsmart T7 Lite и Tronsmart Bang превратят любую вечеринку в настоящее световое шоу • Робот-пылесос iLife L100 для сухой и влажной уборки с функцией лазерного сканирования • Каникул не будет: марсоходы и даже вертолёт продолжат собирать данные даже в отсутствие связи с Землёй • Робот-пылесос iLife T10s со станцией самоочистки и беспроводной пылесос iLife W90 добавят уборке комфорта и эффективности • SpaceX готовит Starship к запуску 17 ноября но одобрения регулятора пока не получила • За успехами SpaceX обнаружили запредельный травматизм работников и наплевательское отношение к технике безопасности • UGREEN выпустила концентратор портов «10-в-1» беспроводные наушники HiTune Max 5 с шумоподавлением и повербанк на 25 000 мА·ч и 145 Вт • TCL NXTPAPER 11 — планшет с ярким IPS-экраном • Cruise вынуждена приступить к сокращению персонала обслуживавшего её беспилотные такси • В октябре выручка TSMC последовательно выросла сразу на 348 % • One-Netbook представила внешнюю видеокарту Radeon RX 7600M XT со встроенным слотом M.2 для SSD • AOC представила 27-дюймовый игровой монитор Q27G10E с разрешением 1440p и частотой обновления 180 Гц • Galax выпустит 50 эксклюзивных видеокарт GeForce RTX 4090 20th Anniversary Carbon Fiber Edition за $2880 Новости software• Новая статья: Alan Wake 2 — тринадцать лет он ждал! В Темном месте! Рецензия • Новая статья: Gamesblender № 648: вскрытие PS5 Slim ИИ в играх Microsoft анонсы BlizzCon 2023 и старт предзаказов «Смуты» • Празднование первой годовщины экшена Warhammer 40000: Darktide растянется на два месяца • Хакеры опубликовали конфиденциальные данные Boeing после отказа в выкупе • Авторы кооперативного экшена The First Descendant обещают исправить все недочёты выявленные в ходе бета-тестирования • Apple iPhone 15 Pro научился снимать 3D-видео для гарнитуры Vision Pro — первые ролики впечатлили журналистов • Meta✴ предложила европейцам Instagram✴ и Facebook✴ без рекламы но стоит это недёшево • Ремастер Turok 3: Shadow of Oblivion от Nightdive выйдет позже обещанного — раскрыта новая дата релиза • Новая статья: The Invincible — мухи у нас. Рецензия • Критический успех: Baldur's Gate 3 не оставила шанса конкурентам на Golden Joystick Awards 2023 • IBM инвестирует $500 млн в ИИ-стартапы ориентированные на корпоративных клиентов • В 2024 году в Steam выйдет Exilium — атмосферный российский квест про экзорцизм и демонов с геймплеем в духе «Как достать соседа» • От шиша до стрельца: разработчики «Смуты» объяснили чем образы Юрия Милославского отличаются от классов и что они дают • Социальная сеть X сильно отстала от конкурентов в модерации контента в ЕС • Microsoft запретила сотрудникам пользоваться ChatGPT из соображений безопасности • Приключенческий боевик Senua’s Saga: Hellblade II выйдет не раньше середины 2024 года • Binance прекратит поддержку депозитов в российских рублях с 15 ноября • Google не сможет отключить в Chrome поддержку сторонних cookie до 2025 года НовостиSOFT • Новая статья: Alan Wake 2 — тринадцать лет он ждал! В Темном месте! Рецензия SOFT • Новая статья: Gamesblender № 648: вскрытие PS5 Slim ИИ в играх Microsoft анонсы BlizzCon 2023 и старт предзаказов «Смуты» SERVERNEWS • Историческое общество попросило Google не строить посадочную станцию для интернет-кабеля Nuvem на месте мемориала Второй мировой войны SOFT • Празднование первой годовщины экшена Warhammer 40000: Darktide растянется на два месяца SOFT • Хакеры опубликовали конфиденциальные данные Boeing после отказа в выкупе HARD • GALAX выпустила редкую однослотовую видеокарту GeForce RTX 4060 Ti MAX с 16 Гбайт памяти SOFT • Авторы кооперативного экшена The First Descendant обещают исправить все недочёты выявленные в ходе бета-тестирования HARD • Корабль SpaceX Dragon доставил на МКС аппарат лазерной космической связи и массу другого оборудования SERVERNEWS • С начала 2024 года к общероссийской системе противодействия DDoS-атакам подключат 160 государственных и иных организаций SOFT • Apple iPhone 15 Pro научился снимать 3D-видео для гарнитуры Vision Pro — первые ролики впечатлили журналистов HARD • Apple пообещала не повышать цены чтобы компенсировать свои траты на повышение экологичности HARD • Беспроводные колонки Tronsmart T7 Tronsmart T7 Lite и Tronsmart Bang превратят любую вечеринку в настоящее световое шоу HARD • Робот-пылесос iLife L100 для сухой и влажной уборки с функцией лазерного сканирования HARD • Каникул не будет: марсоходы и даже вертолёт продолжат собирать данные даже в отсутствие связи с Землёй HARD • Робот-пылесос iLife T10s со станцией самоочистки и беспроводной пылесос iLife W90 добавят уборке комфорта и эффективности HARD • SpaceX готовит Starship к запуску 17 ноября но одобрения регулятора пока не получила SOFT • Meta✴ предложила европейцам Instagram✴ и Facebook✴ без рекламы но стоит это недёшево HARD • За успехами SpaceX обнаружили запредельный травматизм работников и наплевательское отношение к технике безопасности HARD • UGREEN выпустила концентратор портов «10-в-1» беспроводные наушники HiTune Max 5 с шумоподавлением и повербанк на 25 000 мА·ч и 145 Вт HARD • TCL NXTPAPER 11 — планшет с ярким IPS-экраном  HARD • Cruise вынуждена приступить к сокращению персонала обслуживавшего её беспилотные такси HARD • В октябре выручка TSMC последовательно выросла сразу на 348 % HARD • One-Netbook представила внешнюю видеокарту Radeon RX 7600M XT со встроенным слотом M.2 для SSD SOFT • Ремастер Turok 3: Shadow of Oblivion от Nightdive выйдет позже обещанного — раскрыта новая дата релиза SOFT • Новая статья: The Invincible — мухи у нас. Рецензия SOFT • Критический успех: Baldur's Gate 3 не оставила шанса конкурентам на Golden Joystick Awards 2023 HARD • AOC представила 27-дюймовый игровой монитор Q27G10E с разрешением 1440p и частотой обновления 180 Гц HARD • Galax выпустит 50 эксклюзивных видеокарт GeForce RTX 4090 20th Anniversary Carbon Fiber Edition за $2880 SERVERNEWS • IBM инвестирует $500 млн в ИИ-стартапы ориентированные на корпоративных клиентов HARD • Производители ПК и смартфонов ожидают что ажиотаж вокруг ИИ поднимет их продажи HARD • Российский «Прогресс» помог МКС увернуться от космического мусора SOFT • В 2024 году в Steam выйдет Exilium — атмосферный российский квест про экзорцизм и демонов с геймплеем в духе «Как достать соседа» HARD • Valve: технологии ещё недостаточно развились для появления Steam Deck 2.0 SOFT • От шиша до стрельца: разработчики «Смуты» объяснили чем образы Юрия Милославского отличаются от классов и что они дают HARD • Тесты выявили узкое место в новых младших MacBook Pro — это хвалёные 8 Гбайт памяти SOFT • Социальная сеть X сильно отстала от конкурентов в модерации контента в ЕС HARD • Все китайские флагманские смартфоны получат поддержку спутниковой связи HARD • Intel инвестировала миллионы долларов в Stability AI — разработчика ИИ-художника Stable Diffusion SOFT • Microsoft запретила сотрудникам пользоваться ChatGPT из соображений безопасности SOFT • Приключенческий боевик Senua’s Saga: Hellblade II выйдет не раньше середины 2024 года  Самые обсуждаемые публикацииКомпьютер месяца — ноябрь 2023 года  119В Apple заявили что 8 Гбайт оперативной памяти в MacBook Pro аналогичны 16 Гбайт в обычном ПК  104Microsoft не разрешит закрывать OneDrive пока пользователь не объяснит причину  57«КамАЗ» показал беспилотный самосвал по прозвищу «Робокоп» — его отправят добывать уголь в Кемерово  42Новое в обзорах Игры11 ноября 2023The Invincible — мухи у нас. Рецензия 						Твердая научная фантастика — это то что мы любим по чему соскучились и чего практически не ждем от современного искусства. Ведь теперь это уже немодное ретро. Но зерна посеянные в нас классиками неизбежно дадут всходы. И появится игра на базе казалось бы не приспособленного для этого романа Станислава Лема. Идея обреченная на провал? Или наоборот шанс сорвать джекпот в условиях разреженной атмосферы серьезных научно-фантастических игр? 					 Программное обеспечение10 ноября 2023Вкалывают роботы: 10 приложений для автоматизации задач на Android 						Пользуясь смартфоном мы часто совершаем на мобильном устройстве одни и те же действия делегировать выполнение которых можно специализированным программам. Они способны заменить человека в части рутинных задач и высвободить время для более важных дел 					 Смартфоны09 ноября 2023 Обзор OPPO Find N3: гибкий смартфон с лучшей камерой 						Складные смартфоны с гибкими экранами появились давно и уже прочно обосновались на рынке. Несмотря на первоначальный скепсис они становятся всё более популярными а производители не только вступают в эту гонку но и постоянно улучшают устройства. Яркий пример тому — компания OPPO будто бы только вчера сделавшая свой первый складной смартфон и уже выпускающая его третье поколение с очень подробной работой над ошибками 					 Ноутбуки и ПК08 ноября 2023Компьютер месяца — ноябрь 2023 года 						Предпоследний в году выпуск «Компьютера месяца» снова посвящен ответам на часто задаваемые вопросы и критику от наших читателей. Мы отобрали актуальные интересные и в какой-то степени провокационные комментарии связанные с игровыми сборками и рубрикой в целом 					 Материнские платы07 ноября 2023Обзор материнской платы MSI MPG B650 CARBON WIFI: когда есть все что нужно 						MSI MPG B650 CARBON WIFI — пример платы на базе которой может быть собран системный блок любой сложности. Будет это игровая сборка или рабочая станция — решать ее владельцу. Он в любом случае получит устройство актуальное на протяжении всего жизненного цикла платформы AM5 					 Процессоры и память06 ноября 2023Правда ли что 64-Гбайт комплекты DDR5 быстрее 32-Гбайт? Проверяем на примере Patriot Viper Venom DDR5-6400 2×32 Гбайт 						Модули DDR5 объёмом 32 Гбайт в отличие от 16-Гбайт собратьев имеют двухранговую архитектуру. Но как это сказывается на производительности? Разбираемся сравнивая между собой идентичные по характеристикам комплекты DDR5-6400 объёмом 32 и 64 Гбайт 					 Игры05 ноября 2023Song of Nunu: A League of Legends Story — легенды севера. Рецензия 						Мультивселенная League of Legends продолжает неустанно расширяться. На этот раз перед нами увлекательная игра-приключение неразлучного «танкового» тандема Нуну и Вилумпа которая не стесняется подсматривать у God of War и Uncharted. Насколько занимательной она получилась узнаете из нашей рецензии 					 Игры04 ноября 2023Gamesblender № 647: чемпионство Team Spirit увольнения в Sony Capcom против модов и показ Avatar: Frontiers of Pandora 						С вами GamesBlender еженедельный видеодайджест новостей игровой индустрии от 3DNews.ru. Сегодня расскажем чем Capcom не угодили моды какая неприятность ждет владельцев Xbox и куда пропала якутская The Day Before 					 Игры04 ноября 2023The Finals — грядущий хит от людей влюблённых в шутеры. Предварительный обзор 						В одном только Steam бета-версию The Finals опробовали сотни тысяч игроков а ведь она доступна ещё и на консолях. Чем же грядущий шутер заслужил такое внимание да и заслужил ли? На время оторвались от игры и рассказываем чем она хороша 					 Смартфоны03 ноября 2023Обзор itel S23+: самый недорогой смартфон с изогнутым OLED-экраном 						Мы много рассказывали о смартфонах двух брендов TRANSSION Holdings – TECNO и Infinix. Но третьего бренда до этого дня не касались. Что ж пришло время и itel – причем начнем мы знакомство сразу с локального флагмана модели itel S23+ перетягивающей в бюджетный сегмент совсем нетипичные для него элементы 					 Корпуса БП и охлаждение02 ноября 2023 Обзор блока питания 1STPLAYER NGDP HA-1000BA3: белая роскошь 						NGDP — дорогие блоки питания построенные на фирменной аппаратной платформе. Но свою цену они полностью отрабатывают сертификацией 80 PLUS Platinum массой разъемов и кабелями в оплетке под цвет корпуса 					 Материнские платы01 ноября 2023 Обзор материнской платы ASUS ROG Crosshair X670E Hero: добро пожаловать в семью 						Такую плату как ASUS ROG Crosshair X670E Hero обычно покупаешь всерьез и надолго. Платформы AMD славятся своей длительной поддержкой — есть все предпосылки что и с AM5 будет так же 					 Смартфоны31 октября 2023 Обзор Infinix ZERO 30 4G: породистый смартфон по карману 						Свято место не бывает в пустоте. Пусть ожидаемого оттока брендов с рынка смартфонов за последние полтора года не случилось но какое-то место на нем (в первую очередь за счет Samsung) освободилось — и теперь по закону Архимеда заполняется. Особенно старается TRANSSION Holdings и в частности бренд Infinix. Новый ZERO 30 4G позиционируется как своего рода флагман — посмотрим чем он хорош 					 Программное обеспечение30 октября 2023Всё включено: 15 малоизвестных прикладных программ из комплекта Windows 						В недрах операционной системы Windows спрятано немало полезных приложений и утилит о существовании которых порой не догадываются даже самые опытные пользователи. Раскрываем карты и рассказываем про встроенный в платформу софт который точно стоит взять на заметку 					 Игры29 октября 2023 Marvel’s Spider-Man 2 — два дружелюбных соседа. Рецензия 						За сутки новая Marvel’s Spider-Man 2 разошлась тиражом два миллиона копий. После оглушительного успеха первой части это было ожидаемо но заслужила ли новинка такие продажи или аудитория просто купилась на знакомый бренд? Ответ очевиден но мы всё равно рассказываем об игре в рецензии 					 Игры28 октября 2023Gamesblender № 646: ужасы оптимизации Cities: Skylines II показ «сюжетки» StarCitizen релиз Ark: Survival Ascended и наследник Planet Annihilation 						С вами GamesBlender еженедельный видеодайджест новостей игровой индустрии от 3DNews.ru. Где-то уже ударили первые морозы и слегка захэллоуиндевели стекла а значит ноябрь близко. В этом выпуске окунемся в ужасы оптимизации Cities: Skylines II расскажем почему «позеленел» Steam и устроим особо жестокий вербально-семантический слешер 					 Игры28 октября 2023Station to Station — вдали от суеты. Рецензия 						Поезд монструозных осенних релизов уже набрал ход. Так и хочется перевести дух от всего этого шума в какой-нибудь умиротворяющей инди-игре. И нам повезло. Cледующая станция — милая головоломка про поезда Station to Station 					 Offсянка27 октября 2023Магия жёстких дисков: сколько терабайтов поместится в 35 дюйма? 						Громоздкие медлительные энергетически прожорливые — какие только уничижительные эпитеты не используют приверженцы SSD в адрес старых добрых магнитных дисковых накопителей! Впрочем настолько ли уж стары технологии современных HDD — и почему носители данных на основе памяти NAND никак не вытеснят «винчестеры» ни из дата-центров ни из домашних/офисных NAS ни из настольных ПК? 					 Смартфоны26 октября 2023Обзор HONOR 90 Lite: заботливый смартфон 						Мы привыкли что производители смартфонов стараясь выделить свои изделия на фоне конкурентов делают ставку на камеру порой на дизайн иногда на автономность. HONOR 90 Lite же выделяется своей безопасностью (не забывая правда и о других элементах). В чем это выражается — поговорим в обзоре 					 Корпуса БП и охлаждение25 октября 2023 Обзор и тестирование корпуса APNX C1: нет винтам! 						В нашей тестовой лаборатории — оригинальный и вместительный корпус с быстросъёмными панелями четырьмя предустановленными вентиляторами с подсветкой пылевыми фильтрами и возможностью вертикальной установки видеокарты. Попробуем разобраться в особенностях его конструкции протестируем эффективность охлаждения и измерим уровень шума 					Обзоры26.10.2023Обзор HONOR 90 Lite: заботливый смартфон 25.10.2023Обзор и тестирование корпуса APNX C1: нет винтам! 24.10.2023Компьютер месяца спецвыпуск. Что выгоднее купить в эпоху «доллар по 100»: игровой ноутбук или системный блок? 23.10.2023Обзор видеокарт AMD Radeon RX 7700 XT и Radeon RX 7800 XT: шаг к нормальности 22.10.2023Lords of the Fallen — попытка номер два. Рецензия 21.10.2023Gamesblender № 645: закрытие сделки Microsoft и Activision Blizzard смерть дисков и не-ремейк Lollipop Chainsaw 21.10.2023Forza Motorsport (2023) — лекарство от бессонницы. Рецензия 20.10.2023Обзор смартфона Apple iPhone 15 Pro Max: за что мы отдаем триста тысяч? 19.10.2023Обзор TWS-наушников HUAWEI Freebuds Pro 3: когда и не надо что-то менять 18.10.2023Обзор TECNO PHANTOM V Flip: как гибкие смартфоны становятся массовыми 17.10.2023Топ-10 смартфонов до 20 тысяч рублей (2023 год) 16.10.2023Нужно ли остерегаться 48-Гбайт комплектов DDR5? Разбираемся на примере G.Skill Trident Z5 RGB DDR5-6400 CL40 2×24 Гбайт 15.10.2023Call of Duty Modern Warfare 3 (2023) — и это всё? Предварительный обзор 14.10.2023Gamesblender № 644: тонкая PS5 старт продаж Quest 3 уход главы Unity Cyberpunk 2 и возвращение Commandos 14.10.2023Assassin’s Creed Mirage — что хотели то и получили. Рецензия 13.10.2023Микроэлектромеханика — верный путь к «умной пыли»? 12.10.2023Обзор UWQHD-монитора MSI MEG 342C QD-OLED: праздник к нам приходит 10.10.2023Обзор смартфона realme 11: на балансе 10.10.2023Большое обновление Windows 11 — расставляем точки над «i» 09.10.2023Групповое тестирование 42 видеокарт в Starfield: красный свет «зеленым» GPU 08.10.2023Gamesblender № 643: запуск AMD FSR 3.0 проблемы Counter-Strike 2 убыточная Epic Games и ретро-анонсы Realms Deep 2023 08.10.2023Cocoon — в копилку лучших приключенческих головоломок. Рецензия 07.10.2023Cyberpunk 2077: Phantom Liberty — жизнь вопреки. Рецензия 06.10.2023Обзор Adata Legend 970 1 Тбайт: PCIe 5.0-накопитель с моторчиком 05.10.2023Обзор ноутбука Maibenben P415: интересен как ни крути  авторизацияличный кабинетвыйти🇷🇺 RU🇰🇿 KZUSD  РBTC  $BCH  $ETH  $LTC  $Показать курсы криптовалютАвторизацияУкажите имя пользователя:и пароль:ВойтиРегистрацияВидео на 3DNews Подписаться37К+Календарь 3DNews✴ Входит в перечень общественных объединений и религиозных организаций в отношении которых судом принято вступившее в законную силу решение о ликвидации или запрете деятельности по основаниям предусмотренным Федеральным законом от 25.07.2002 № 114-ФЗ «О противодействии экстремистской деятельности»;  О сайтеКонтактыРассылкаРекламаКопирайтПоискСерверы размещены в Hostkey© 1997—2023 Электронное периодическое издание "3ДНьюс" | Свидетельство о регистрации СМИ Эл ФС 77-22224выдано Федеральной Службой по надзору за соблюдением законодательства в сфере массовых коммуникаций и охране культурного наследияПри цитировании документа ссылка на сайт с указанием автора обязательна. Полное заимствование документа является		нарушениемроссийского и международного законодательства и возможно только с согласия редакции 3DNews. window-newКонтактыПоискРекламаО сайтеSoftHardТренды 🔥Партию мультитулов для хакеров Flipper Zero на $200 тыс. задержала таможня Германии и уничтожит еёУчёные создали транзисторы из воды — они откроют путь к процессорам с частотой больше 1 ТГц«Выглядит очень впечатляюще»: энтузиасты добавили трассировку лучей в Half-Life 2 и Max Payne с помощью файлов Portal with RTXПопытка запуска первой в мире метановой орбитальной ракеты «Чжуцюэ-2» Китаем потерпела неудачу потеряно 14 спутниковГлава Binance заявил что ситуация с выводом средств стабилизировалась но предрёк платформе «ухабистое» будущееНовая статья: Alan Wake 2 — тринадцать лет он ждал! В Темном месте! Рецензия 7 ч.Новая статья: Gamesblender № 648: вскрытие PS5 Slim ИИ в играх Microsoft анонсы BlizzCon 2023 и старт предзаказов «Смуты» 7 ч.Празднование первой годовщины экшена Warhammer 40000: Darktide растянется на два месяца 13 ч.Хакеры опубликовали конфиденциальные данные Boeing после отказа в выкупе 14 ч.Авторы кооперативного экшена The First Descendant обещают исправить все недочёты выявленные в ходе бета-тестирования 14 ч.Apple iPhone 15 Pro научился снимать 3D-видео для гарнитуры Vision Pro — первые ролики впечатлили журналистов 16 ч.Выручка сервисов платформы VK Cloud выросла за 9 месяцев 2023 года на 58 % 16 ч.Meta предложила европейцам Instagram и Facebook без рекламы но стоит это недёшево 19 ч.Криптовалютный кошелёк TON начали добавлять в Telegram по всему миру 20 ч.Ремастер Turok 3: Shadow of Oblivion от Nightdive выйдет позже обещанного — раскрыта новая дата релиза 11-11 00:26СуперДупер: GigaIO SuperDuperNODE позволяет объединить посредством PCIe сразу 64 ускорителя 7 ч.Историческое общество попросило Google не строить посадочную станцию для интернет-кабеля Nuvem на месте мемориала Второй мировой войны 9 ч.GALAX выпустила редкую однослотовую видеокарту GeForce RTX 4060 Ti MAX с 16 Гбайт памяти 14 ч.Корабль SpaceX Dragon доставил на МКС аппарат лазерной космической связи и массу другого оборудования 14 ч.С начала 2024 года к общероссийской системе противодействия DDoS-атакам подключат 160 государственных и иных организаций 16 ч.MLPerf: Intel улучшила производительность Gaudi2 но лидером остаётся NVIDIA H100 16 ч.Квартальная выручка Supermicro увеличилась но чистая прибыль упала 16 ч.Apple пообещала не повышать цены чтобы компенсировать свои траты на повышение экологичности 17 ч.Беспроводные колонки Tronsmart T7 Tronsmart T7 Lite и Tronsmart Bang превратят любую вечеринку в настоящее световое шоу 17 ч.В iFixit выяснили как Apple удалось добиться радикально чёрного цвета корпуса MacBook Pro 17 ч. </t>
  </si>
  <si>
    <t>3dnews.ru</t>
  </si>
  <si>
    <t>ChatGPT - Apps on Google Play</t>
  </si>
  <si>
    <t>With ChatGPT, find instant answers, professional input, and creative inspiration.</t>
  </si>
  <si>
    <t>https://play.google.com/store/apps/details?id=com.openai.chatgpt&amp;hl=en_US</t>
  </si>
  <si>
    <t>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t>
  </si>
  <si>
    <t>play.google.com</t>
  </si>
  <si>
    <t>Что такое чат-бот ChatGPT и как им пользоваться из ...</t>
  </si>
  <si>
    <t>15 июл. 2023 г. —</t>
  </si>
  <si>
    <t>https://lenta.ru/articles/2023/07/15/chatgpt/</t>
  </si>
  <si>
    <t>Lenta.ru - Новости России и мира сегодняГлавноеРоссияМирБывший СССРЭкономикаСиловые структурыНаука и техникаКультураСпортИнтернет и СМИЦенности ПутешествияИз жизниСреда обитанияЗабота о себеВойтиСтатьиГалереиВидеоСпецпроектыМоторАрхивЛента добраХочешь видеть только хорошие новости? Жми!Вернуться в обычную ленту?ВойтиВ России объяснили попытки Армении испортить отношения с Москвой05:50Овечкин сократил отставание от Гретцки в списке лучших снайперов НХЛ06:42В древнеегипетской гробнице обнаружили опухоль с зубами06:41ВВС Иордании сбросили на парашютах гумпомощь для больницы в Газе06:38В Китае рассказали о неожиданной услуге Польши для России06:35В Италии лев сбежал из цирка и гулял по городу несколько часов06:35Врач назвал способы пережить магнитную бурю06:16США и Украина обсудили планы по встрече контактной группы06:09Раскрыты потери ВСУ под Купянском05:47Байдену предсказали попадание в неудобную ситуацию из-за Израиля05:14Раскрыты последствия признания Залужного о провале ВСУ04:56Обнаружены скрытые облаками пыли квазары04:42В Евросоюзе рассказали об угрозе со стороны Украины04:09Все новостиРаботники во всем мире отказываются возвращаться с удаленки. Как желание работать дома бьет по экономике больших городов?00:01Культовый Дэвид Финчер снял «Убийцу» с Фассбендером в роли киллера. Чем удивляет этот стильный и остроумный триллер?00:01Израиль атаковал объекты в Сирии05:31В Bellator заявили об отсутствии планов лишать Нурмагомедова титула04:19Германия значительно увеличит военную помощь Киеву03:34В России допустили изменение порядка сдачи квартир посуточно03:09В Белом доме раскритиковали план по предотвращению шатдауна в США02:28Названо условие для установления мира с Израилем02:02Мерил Стрип развелась с мужем после 45 лет брака. Почему распалась одна из самых крепких пар Голливуда?00:01Главные новостиВ Минцифры объяснили принцип блокировки VPN в РоссииУкраинского полковника обвиняют в координации атак на «Севпотоки». В чем еще замешан заключенный в киевское СИЗО офицер?Украину предложили принять в НАТО в новых границах без Крыма и Донбасса. Зачем Западу это нужно?СК возбудил уголовное дело о теракте после схода поезда с рельсов под РязаньюПо Киеву прокатилась серия взрывов. На Украине рассказали о первом за 52 дня ракетном ударе по столицеПоезд сошел с рельсов после взрыва под Рязанью. Что известно о случившемся?В Коломне раздался взрыв. Что известно о сбитом беспилотнике ВСУ над оборонным предприятием под Москвой?Суд арестовал экс-главу Хорошевского отдела СК Москвы по делу о взятке. Кто стоит за преступлением?На десятках домов Парижа появились звезды Давида. Франция нашла в этом «российский след» Москва крайне возмущена«70 метров мы уже пробежали» В Киеве оценили ход боевых действий на Украине. И дали прогноз как они могут завершитьсяПопулярноеВсадник Сталина. Маршала Буденного любил народ и боялись враги. Что помогло ему пережить террор 1930-х?00:02 26 октября 2023«Запах пороха и крови тут повсюду» Палестинцы — о бомбежках Газы ужаснувшей мир трагедии в больнице и постоянном страхе00:01 19 октября 2023500 километров под землей. Зачем ХАМАС построило под Газой секретный город и как его собирается штурмовать армия Израиля?00:01 22 октября 2023«Здесь кромешный ад» Жители Израиля и спасшиеся от расстрела ХАМАС россияне — о зверствах террористов и страхе за жизнь00:08 10 октября 2023Один из самых дорогих городов мира стремительно пустеет. Почему Сан-Франциско оставляют богатые и захватывают бездомные?00:01 2 октября 2023Гинеколог годами издевался над сотнями пациенток. История самого громкого расследования о сексуальном насилии в медицине00:02 14 октября 2023«Дуров реально это делает или прикалывается?» Основатель Telegram был легендой Рунета. Почему теперь над ним смеются?00:01 29 октября 2023Почему воюют Израиль и Палестина: история и причины. Как конфликт на Ближнем Востоке повлияет на мир16:32 10 октября 2023Лидеры ХАМАС купаются в роскоши пока палестинский народ живет в нищете. Кто они такие и как стали миллиардерами?00:04 15 октября 2023«Мы на пороге глобальной войны» Почему Израиль оказался не готов к атаке ХАМАС и чем опасен конфликт в секторе Газа?00:02 10 октября 2023«Если я сломаюсь здесь — он сломается там» Как волонтеры Камчатки помогают семьям участников СВО00:01Байдену потребовалась помощь караула на кладбище01:56Украинский сервис такси разрешил жалобы на «антиукраинских» водителей01:27В Израиле заявили о потере контроля ХАМАС над Газой01:24Раскрыты подробности о любимом напитке москвичей в XIX веке01:23Арабские и исламские страны высказались о будущем сектора Газа01:22В Bellator сделали заявление о проваленном допинг-тесте брата Нурмагомедова01:11«Портреты Гитлера висели в каждом классе» Как украинцы из дивизии СС «Галичина» бежали от НКВД и укрылись в Канаде?00:01 11 ноября 2023Стало известно о подготовке Залужного к длительному конфликту с Россией01:01Российские военные сорвали высадку ВСУ на левый берег Днепра. 11 морпехов взяты в плен19:20 11 ноября 2023Нетаньяху заявил о планах Израиля обеспечивать контроль над безопасностью в Газе00:57Два аэропорта Москвы возобновили штатную работу после ограничений на полеты00:45Популярное видеоПопулярные видеоОбновленный Kia Carnival: дебют ультрароскошной версии00:29Ученый официально назвал мумии инопланетян из Перу подлинными. Действительно ли на Земле обнаружили пришельцев?23:07 10 ноября 2023В России возник ажиотажный спрос на кроссоверы Geely Monjaro00:29Федеральная служба охраны закупила китайские фургоны и пикапы00:29Леонардо Ди Каприо — 49. Как он тратит миллионы долларов на роскошный отдых c моделями и удирает от акул?00:01 11 ноября 2023Первый кроссовер Ferrari оценили в рублях: сколько он стоит00:29Израиль отверг возможность возобновления поселенческой деятельности в Газе00:25Показано возможное существование жизни в подледной воде на экзопланетах00:10В США рассказали о списках заложников для обмена между Израилем и ХАМАС23:55 11 ноября 2023На Украине спрогнозировали новые экономические конфликты с Евросоюзом23:54 11 ноября 2023Охота на маньяка война с бандитами и схватка со львом: чем прославились самые знаменитые милиционеры СССР и России00:01 11 ноября 2023Брата Нурмагомедова лишат титула чемпиона Bellator за допинг23:44 11 ноября 2023Друзья и партнеры«По душе пошло по всем жилкам!» Как 450 лет назад в Москве появился чай и почему москвичи без него не могут00:05Кто такой Такер Карлсон и почему его любят в России и хейтят в США. «Сексист» «расист» и защитник свободы слова08:31 11 ноября 2023Что такое «чёрная пятница» когда она проходит и как сэкономить с её помощью в 2023 году. Простыми словами08:31 11 ноября 2023Это не Matiz: откуда вам знаком Fiat Lucciola? 30 лет назад итальянцы пытались возродить старую легенду но создали новую09:48 10 ноября 2023Что такое закон о тишине и когда нельзя шуметь. Простыми словами08:03 10 ноября 2023Что такое социальный рейтинг и зачем его хотят внедрить в России. Простыми словами08:03 10 ноября 2023«Каждый раз выходя на улицу ты рискуешь жизнью!»  История москвича который бросил все и уехал в Неаполь00:06 10 ноября 2023Мужская интимная пластика: 7 историй пациентов выполнивших процедуру16:12 9 ноября 2023Большие машины с маленьким мотором Двухлитровый G-Wagen и другие автомобили которым есть чего стесняться09:48 9 ноября 2023Что такое магнитная буря и как она влияет на людей. Простыми словами08:02 9 ноября 2023Что такое рефлексия и как правильно рефлексировать. Простыми словами08:02 9 ноября 2023«С Андроповым мы поженились будучи зрелыми людьми» Людмила Чурсина — о любви смерти Москве и Петербурге00:07 9 ноября 2023Что такое белковая диета и в чём её польза и вред. Простыми словами08:00 8 ноября 2023Что такое витамин B12 зачем он нужен организму и в каких продуктах содержится. Простыми словами08:00 8 ноября 2023«За этот мусор еще и заплатят!» Как в Москве избавиться от лишних вещей и заработать на этом00:05 8 ноября 2023«Ничего сделать не можешь» Известный офтальмолог рассказал о самых сложных моментах и уникальных методах лечения13:51 7 ноября 2023Турбонаддув в Америке 80-х Pontiac который почти смог Mustang-отступник хот-хэтч Shelby и прочие необычные модели10:19 7 ноября 2023«Огонь против Щусева погасил Берия» История родившегося 150 лет назад легендарного архитектора00:05 6 ноября 2023«Мои нервы кончились» Как работница свалки стала бизнес-леди00:10 4 ноября 2023Покупки чартов знакомство с Шатуновым и проклятия Разина Интервью с певцом Андреем Тимофеевым15:16 2 ноября 2023Россиян предупредили о мошенничестве на сайтах знакомств23:37 11 ноября 2023Чимаев объяснил отказ от титульного боя в UFC23:28 11 ноября 2023«Ни шагу назад — за нами морг» Как в Донбассе готовят будущих штурмовиков к реалиям современной войны?00:01 10 ноября 2023В Киеве раскрыли способ урегулировать конфликт на Украине23:26 11 ноября 2023В России появился новый способ мошенничества В чем секрет многоходовой схемы с сервисами объявлений?17:42 10 ноября 2023В Израиле предостерегли «Хезболлу» от вступления в конфликт23:21 11 ноября 2023Лидер «Хезболлы» обратился к администрации Байдена с призывом22:47 11 ноября 2023Россиянин Павлович одной фразой описал секрет успеха в UFC22:41 11 ноября 2023Россиян предупредили о магнитной буре в ночь на воскресенье22:34 11 ноября 2023Стало известно о планах полковника ВСУ пленить «Вагнер» в 2020 году22:29 11 ноября 2023Звезда интернета попал в плен к «Талибану» и удивил всех. Он отлично провел время и назвал террористов братьями00:01 10 ноября 2023Венгрия предложила создать в Европе новую систему безопасности22:15 11 ноября 2023Вышел сериал «Слово пацана» о молодежных бандах времен распада СССР. Почему его обязательно стоит посмотреть?11:52 10 ноября 2023Силы ПВО Израиля перехватили «подозрительную цель»21:56 11 ноября 2023Эндокринолог Павлова раскрыла личные принципы питания21:56 11 ноября 2023На Украине заявили о наступлении России у Купянска21:44 11 ноября 2023«Зенит» и «Краснодар» вничью сыграли в матче РПЛ21:28 11 ноября 2023Полковника ВСУ назвали координатором атаки на «Северные потоки»21:19 11 ноября 2023Министр обороны Украины рассказал Пентагону о потребностях Киева21:17 11 ноября 2023«Трехлинеечка родная!» Российская винтовка Мосина прошла все войны XX века. Как появилось это легендарное оружие?00:01 10 ноября 2023Неудачи наступления Украины назвали разочарованием для союзников Зеленского21:15 11 ноября 2023«Неудачник тот кто не встает с задницы» Как британский штукатур попал на Олимпиаду проиграл но стал знаменитостью00:01 10 ноября 2023Министр обороны Хорватии попал в автомобильную аварию21:05 11 ноября 2023ВСУ обстреляли российский приграничный город20:59 11 ноября 2023Российский фигурист-чемпион рассказал о желании записать песню20:54 11 ноября 2023Илон Маск хочет вживить опасный чип в мозг десяткам тысяч людей. Животные с такими чипами провели остаток жизни в агонии22:54 9 ноября 2023Бейруту предсказали повторение судьбы Газы при одном условии20:51 11 ноября 2023Россиянин похитил сироту и две недели избивал ее20:40 11 ноября 2023«Это удар по единству России» 30 лет назад Ельцин ликвидировал Уральскую республику. Почему он испугался своих земляков?00:01 9 ноября 2023В Британии заявили о сломленном из-за неудач на фронте Зеленском20:24 11 ноября 2023УАЗ объяснил дефицит «Патриотов» в российских автосалонах20:10 11 ноября 2023Новый Subaru Forester полностью раскрыт до премьеры20:10 11 ноября 2023Chery начала продавать автомобили на «Озоне» с солидными скидками20:10 11 ноября 2023Китайцы показали минивэн с шезлонгом и огромным запасом для ног20:10 11 ноября 2023Журналисты мировых СМИ могли заранее знать о нападении ХАМАС на Израиль. Они вторглись в страну вместе с террористами18:49 9 ноября 2023В Лондоне арестовали 92 протестующих во время митинга в поддержку Палестины20:09 11 ноября 2023Украинский журналист заявил о вянущих от слов главы Еврокомиссии ушах20:00 11 ноября 2023В Финляндию отказались пускать россиян на велосипедах19:55 11 ноября 2023ВСУ начали сбрасывать на Россию самодельные кассетные боеприпасы. Что известно о новой тактике украинцев?13:59 9 ноября 2023В «Локомотиве» заявили о желании вернуть Миранчука19:41 11 ноября 2023Пентагон тратит миллионы на поиски оборотней а Конгресс обсуждает НЛО. Почему в США помешались на сверхъестественном?00:01 9 ноября 2023В Москве курьер мошенников забрал у пенсионера сейф с деньгами19:38 11 ноября 2023В Японии заявили о самой серьезной угрозе стране со времен Второй мировой войны19:32 11 ноября 2023Казахстанский блогер бросил вызов сыну Кадырова19:30 11 ноября 2023В России высказались о важности мирового признания победы Москвы над Киевом19:22 11 ноября 2023В Исландии через несколько дней предсказали извержение вулканов19:06 11 ноября 2023В Okko — сериал «Волшебный участок» о борьбе полиции со злыми героями русских сказок. Почему это русский ответ «Дэдпулу»?00:01 9 ноября 2023Раскрыты многомиллионный ценник и райдер Меладзе за выступление в Москве18:52 11 ноября 2023Искусственный интеллект бионическая «рука» и самоочистка. Чем еще удивляет робот-пылесос от Dreame?19:51 9 ноября 2023ПромоБывший генсек НАТО предложил принять Украину в альянс в новых границах18:49 11 ноября 2023Женщина пострадала при обстреле российского региона со стороны Украины18:47 11 ноября 2023В Херсоне произошли взрывы18:46 11 ноября 2023Одна из стран захотела удвоить военную помощь Украине18:46 11 ноября 2023Польские националисты устроили марш в Варшаве18:35 11 ноября 2023Citroen показал «спортивную» версию квадрицикла My Ami18:33 11 ноября 2023Правда ли что баня защищает от всех болезней и укрепляет иммунитет? Врачи развеяли мифы о пользе и вреде бани05:00 9 ноября 2023Toyota bZ4X будет патрулировать парки и кладбища18:33 11 ноября 2023Сына Пригожина считают главным наследником основателя ЧВК «Вагнер». Что о нем известно и какой бизнес ему достанется?00:01 8 ноября 2023Electrikhana Two: опубликован трейлер последнего видео с Кеном Блоком18:33 11 ноября 2023Редкую Ferrari американской рок-звезды выставили на аукцион18:33 11 ноября 2023РедакцияРекламаКонтактыПресс-релизыТехподдержкаСпецпроектыВакансииRSSУсловия использованияПолитика конфиденциальностиПравила применения рекомендательных технологий© 1999–2023 ООО «Лента.Ру»Нашли опечатку? НажмитеCtrl+Enter18+Лента добра деактивирована.Добро пожаловать в реальный мир.Новые материалыВсе новости</t>
  </si>
  <si>
    <t>lenta.ru</t>
  </si>
  <si>
    <t>Бесплатный ChatGPT сочетает в себе поисковую ...</t>
  </si>
  <si>
    <t>https://gptgo.ai/?hl=ru</t>
  </si>
  <si>
    <t>GPTGO - ChatGPT Free combined Search EngineBlogDiscordLanguage EnglishFrenchGermanIndonesianPortugueseSpanish; Cast...TurkishVietnameseArabicChineseCzechHindiItalianJapaneseKoreanMalayPersianRussianThaiUkrainian Free ChatGPT and Search EngineDefaultEnglishFrenchGermanIndonesianPortugueseSpanish; Cast...TurkishVietnameseAbkhazAfarAfrikaansAkanAlbanianAmharicArabicAragoneseArmenianAssameseAvaricAvestanAymaraAzerbaijaniBambaraBashkirBasqueBelarusianBengaliBihariBislamaBosnianBretonBulgarianBurmeseCatalan; Vale...ChamorroChechenChichewa; Che...ChineseChuvashCornishCorsicanCreeCroatianCzechDanishDivehi; Dhive...DutchEsperantoEstonianEweFaroeseFijianFinnishFula; Fulah; ...GalicianGeorgianGreek ModernGuaraníGujaratiHaitian; Hait...HausaHebrew (moder...HereroHindiHiri MotuHungarianInterlinguaInterlingueIrishIgboInupiaqIdoIcelandicItalianInuktitutJapaneseJavaneseKalaallisut ...KannadaKanuriKashmiriKazakhKhmerKikuyu Gikuy...KinyarwandaKirghiz Kyrg...KomiKongoKoreanKurdishKwanyama Kua...LatinLuxembourgish...LugandaLimburgish L...LingalaLaoLithuanianLuba-KatangaLatvianManxMacedonianMalagasyMalayMalayalamMalteseMāoriMarathi (Mar�...MarshalleseMongolianNauruNavajo Navah...Norwegian Bok...North NdebeleNepaliNdongaNorwegian Nyn...NorwegianNuosuSouth NdebeleOccitanOjibwe Ojibw...Old Church Sl...OromoOriyaOssetian Oss...Panjabi Punj...PāliPersianPolishPashto Pusht...QuechuaRomanshKirundiRomanian Mol...RussianSanskrit (Sa�...SardinianSindhiNorthern SamiSamoanSangoSerbianScottish Gael...ShonaSinhala Sinh...SlovakSloveneSomaliSouthern Soth...SundaneseSwahiliSwatiSwedishTamilTeluguTajikThaiTigrinyaTibetan Stand...TurkmenTagalogTswanaTonga (Tonga ...TsongaTatarTwiTahitianUighur Uyghu...UkrainianUrduUzbekVendaVolapükWalloonWelshWolofWestern Frisi...XhosaYiddishYorubaZhuang Chuan...  Ask GPT Search &amp; Ask GPTChatGPT Cancel...ChatGPT usually responds in 10 seconds. Press try again if waiting too long...  Search &amp; Ask GPTCopyAsk more questionsADVERTISEMENTFrequently Asked QuestionsHow is GPTGO different from regular search? GPTGO still returns search results as usual but adds a chatGPT query feature so the results will also include ChatGPT answers.Do I need a ChatGPT account or sign up to use it? No you don't need a ChatGPT account or anything we have integrated a premium ChatGPT account for you to use completely for free.Do I have to pay to use GPTGO? GPTGO is completely free you can use search combined with an unlimited paid ChatGPT account and do not have to pay any fees.What devices can I use GPTGO on? GPTGO can be used on any device: iPhone/iPad Android PC Tablet... you only need a web browser and an internet connection to use GPTGO.How accurate are the chatbot answers provided by GPTGO? GPTGO's chatbot integrates the real-time API of Google search and Chatgpt so the accuracy is ensured for both companies.What makes GPTGO different from other search tools? In addition to the search results of the current leading search engine Google GPTGO also has ChatGPT search information to give you the fastest and most accurate results.Does GPTGO have an Android/iOS app or any way to access your website faster? GPTGo has a mobile app called Go AI available on both Android and iOS you can download it at the link on the website. Btw you can access GPTGO faster by: Setting GPTGO as the default search or Bookmarking in your favorites list if you dont want to install the app.How does GPTGO ensure user privacy and security? GPTGO.AI does not store or track any user information all user actions are anonymous and protected.Does GPTGO work on all devices and browsers? Yes GPTGO can be used on any web browser (Chrome Firefox Microsoft Edge...) as well as on any device (Desktop Mobile phone iPhone iPad Laptop...) and any operating system (Android iOS...)Can I suggest improvements to GPTGO's search algorithm? Certainly you can send us anything (Feedback Bugs Advanced Suggestions ...) and we will be very grateful for that.Privacy &amp; Terms.© 2023 by GPTGO 2.0Close</t>
  </si>
  <si>
    <t>gptgo.ai</t>
  </si>
  <si>
    <t>Что такое ChatGPT? Как ИИ меняет правила игры в ...</t>
  </si>
  <si>
    <t>https://www.finam.ru/publications/item/chto-takoe-chatgpt-kak-ii-menyaet-pravila-igry-v-razlichnykh-otraslyakh-20230205-1355/</t>
  </si>
  <si>
    <t>кто придумал ChatGPT и куда они его ведут</t>
  </si>
  <si>
    <t>https://www.forbes.ru/tekhnologii/486215-programmisty-vizionery-i-genii-biznesa-kto-pridumal-chatgpt-i-kuda-oni-ego-vedut</t>
  </si>
  <si>
    <t>Forbes.ru | Главное о миллиардерах бизнесе финансах и инвестициях в России и миреК сожалению сайт не работает без включенного JavaScript. Пожалуйста включите JavaScript в настройках вашего броузера.                   Рубрики                             Рейтинги                          Подкасты                          Видео                          Life                          Woman                          Sport                               Войти                                  Наш канал в Telegram       Самое важное о финансах инвестициях бизнесе и технологиях        Подписаться         Новости                               20 часов назадОбществоДэн Александер             Кошелек или честь: как кандидаты в президенты США сколотили свои состояния         Читать        Карьера и свой бизнес    Стартап-суббота: инвестиция Моргенштерна духи по подписке и биобанк для собак  Финансы    Калмыцкая аномалия: где и почему в России происходит всплеск регистрации бизнесменов Forbes Woman   Детские миллиарды: может ли государство решить проблему задолженности по алиментам Депутаты решили помочь детям которым задолжали родители-алиментщики — в Госдуму внесен соответствующий законопроект. Проблема назрела давно: суммарная задолженность по алиментам превышает 156 млрд рублей. Адвокат партнер практики семейного права и наследственного планирования BGP Litigation Виктория Дергунова рассуждает о том что на самом деле может разрешить неутешительную ситуацию с выплатами на детей Миллиардеры   Неделя миллиардера: подарки Дурова спаситель Абрамович «удавка» для Михельсона Павел Дуров потратил $200 000 на розыгрыш 10 000 премиум-подписок в Telegram бывший игрок «Челси» Джон Оби Микел рассказал как Роман Абрамович помогал в освобождении его похищенного отца помощник госсекретаря США по вопросам энергетики Джеффри Пайатт пообещал задушить проект «Арктик СПГ-2» Леонида Михельсона супруга Алексея Мордашова попала под санкции Великобритании а Олег Дерипаска предложил стране новый праздник. В дайджесте Forbes — о самых важных событиях недели с участием крупнейших российских бизнесменовForbes Sport         30 самых ценных персональных брендов российских спортсменов-2023. Рейтинг Forbes            Редакция Forbes Sport           Редакция Forbes      Мнения    Границы в отношениях: что показал визит Путина в Казахстан  Инвестиции    Сам объяснил: что понятно из указов Путина о торговле иностранными акциями за рубежом  Технологии    Что показала блокировка Telegram из-за беспорядков в аэропорту Махачкалы Лендинги   Лучшие работодатели России — 2023. Рейтинг Forbes В новый рейтинг лучших работодателей России вошли 125 компаний. Согласно методологии разработанной в 2021 году мы оценивали участников по основным элементам ESG-повестки и не присваивали им места в распределили их по четырем группам: «Платина» «Золото» «Серебро» и «Бронза» Мнения   Время оформлять сделки: почему технологические компании стремятся на продажу Осень 2023 года оказалась богатой на новости про IPO в российской IT-отрасли: это и возвращение Softline на Московскую биржу и нашумевшее размещение «Астры» и планы по выходу на IPO разработчика автоматизированных банковских систем «Диасофт» и сервиса каршеринга «Делимобиль». Директор инвестбанка Aspring Capital Анна Аралова в колонке для Forbes рассуждает почему в этом году наблюдается всплеск активности компаний из сектора ТМТ (телеком медиа технологии) желающих привлечь новых инвесторов но при этом в большинстве случаев выбирается другой путь — через сделки M&amp;AМнения         Застрявшая доставка: как в условиях санкций получить заказанное в США оборудование             Елена Стюарт           Автор      Бизнес    Рынок не верит: почему цены на нефть не растут хотя Россия ограничивает экспорт   Финансы    Госдума одобрила повышение штрафов для бизнеса в 25 раза за вывод прибыли за рубеж   Карьера и свой бизнес    Почему обанкротился созданный Адамом Нойманном WeWork и кто от этого пострадал Forbes Woman   Девки не сидели в теремах: какой была интимная жизнь на Руси Сексуальная жизнь на Руси была совсем не такой какой мы ее себе представляем. Оказывается женщины могли сгорать от «разжения плоти» самостоятельно выбирать себе мужей и не всегда хранили целомудрие. Редактор Forbes Woman Когершын Сагиева поговорила с соавтором книги «Интимная Русь. Жизнь без Домостроя грех любовь и колдовство» Натальей Серегиной о том как на самом деле жили женщины в допетровскую эпоху Миллиардеры   Добро пожаловать в «бункер миллиардеров»: топ-9 новых соседей Джеффа Безоса В начале ноября основатель Amazon Джефф Безос объявил что переезжает во Флориду и теперь будет жить на частном острове Индиан-Крик. Это место известно как «бункер миллиардеров» и считается одним из самых безопасных в мире — попасть туда почти невозможно остров закрыт. Соседями Безоса будут Иванка Трамп (дочь Дональда Трампа) звезда американского футбола Том Брэди и эмир Катара. В фотогалерее Forbes — некоторые примечательные обитатели «бункера миллиардеров»Карьера и свой бизнес         Холодный расчет: как номинант «30 до 30» привлек более $55 млн на умные холодильники             Мария Шакирова           Редакция Forbes      Инвестиции    Замерли в ожидании: каковы последствия западных санкций против СПБ Биржи  Бизнес    Как превращение льготной ипотеки в постоянную дотацию привело к ценовому дисбалансу  Финансы    Выдачи ипотеки в России в октябре обвалились почти на 20% Технологии   «Делимобиль» хочет привлечь до 10 млрд рублей в ходе IPO весной 2024 года Сервис каршеринга «Делимобиль» может провести IPO на Мосбирже следующей весной. Как стало известно Forbes компания планирует получить от 25 млрд до 10 млрд рублей а деньги могут быть использованы для реализации инвестпрограммы включающей покупку 7000 автомобилей. Продажа акций «Делимобиля» станет наиболее дешевым способом привлечения денег в компанию а первичное предложение бумаг каршеринга может пройти с переподпиской по верхней границе диапазона оценки всей компании в 60-90 млрд рублей с учетом долга ожидают аналитики. Особенностью размещения станет политический фон — подготовка к IPO пройдет на фоне президентской предвыборной кампании Продовольственная безопасность   Мини-скот: когда россияне начнут есть мух и кого ими уже кормят Правительство признало разведение мухи черная львинка особым видом сельскохозяйственной деятельности. Бизнесом на мухах занялся например владелец группы «Дамате» Наум Бабаев. Насекомое может стать источником альтернативного белка и ценного жира а также компонентов новых антимикробных препаратов. Где уже используется продукция из мух и будем ли мы с вами их есть — разбирался ForbesМнения         Для перевода капиталов за рубеж все чаще используются открытые там рублевые счета            Вадим Погосьян           Автор      Инвестиции    Как выходцы из России создали в Кувейте систему быстрых платежей  Бизнес    27 лидеров рейтинга лучших работодателей Forbes — 2023    ForbesLife   «Одна большая ужасная вещь»: о чем Мэттью Перри пишет в своих мемуарах «Из этой книги я впервые узнала о том каково это — сражаться с такой зависимостью и суметь выжить» — пишет актриса Лиза Кудроу в предисловии к автобиографии Мэттью Перри наиболее известного по роли Чендлера Бинга в сериале «Друзья». В сентябре в издательстве «Бомбора» вышла его книга «Друзья любимые и одна большая ужасная вещь» а 29 октября его нашли мертвым в своем доме в Лос-Анджелесе. Forbes Life публикует отрывок из мемуаров Мнения   Шанс на транзит: что будет с экспортом российского газа через Украину Украина заявляет об отказе от транзита российского газа после 2024 года. Однако экономический обозреватель Кирилл Родионов считает что вопрос нельзя считать решенным. Прекращение транзита может привести к еще большему дефициту газа на европейском рынке и углублению промышленного спада уже начавшегося в странах ЕС. Учитывая же зависимость Украины от европейской финансовой помощи шанс на продление транзитного соглашения довольно велик  Бизнес    Как работает бизнес в городах Подмосковья с наименьшей деловой активностью  Технологии    Угрозовый рассвет: почему растут киберриски и как устроено их страхование  Бизнес    Как уроженец Арзамаса-16 основал сеть Poison Drop и привлек деньги миллиардера Технологии   Свести законы воедино: что такое Цифровой кодекс и для чего он нужен в России Необходимость разработки Цифрового кодекса (изначально — Информационного) в России обсуждается с 2014 года. Однако в этом году возникла новая волна обсуждений нужности документа: Цифровой кодекс был упомянут в недавно представленной Стратегии развития отрасли связи до 2035 года. Виктор Наумов профессор кафедры информационного права и цифровых технологий МГЮА управляющий партнер офиса юридической фирмы Nextons в Санкт-Петербурге и основатель проекта «Сохраненная культура» рассказал что такое Цифровой кодекс зачем он необходим и почему его до сих пор не приняли в России Финансы   Штучная ипотека: почему в 2024 году покупка квартиры в кредит может стать роскошью Сентябрь когда банки выдали заемщикам 966 млрд рублей на покупку квартир может стать последним рекордным месяцем на ипотечном рынке. Повышение ключевой ставки до 15% поднимет стоимость рыночных программ до заградительного уровня а также увеличит нагрузку на федеральный бюджет из которого власти субсидируют банкам недополученный доход от выдач по госпрограммам. Банкиры и эксперты ипотечного рынка опрошенные Forbes ждут обвала спроса в конце 2023 года и перестройки рынка в 2024 году. В нем ипотека станет доступной лишь отдельным категориям граждан сетуют экспертыКарьера и свой бизнес         Дружелюбная недружественность: как живут россияне в Болгарии и зачем туда переезжают             Надежда Румак           Автор         Технологии    Пробуждение от спячки: как стартапы запустили гонку техногигантов  Карьера и свой бизнес    «Я не могу себе позволить не жить на Бали»: слова которые могут упростить вам жизнь  Видео    Гузель Санжапова — Forbes: «Мне бы хотелось чтобы у деревни появился свой голос» Технологии   Копченая рыба и девичьи слезы: самое интересное из суда над Сэмом Бэнкманом-Фридом Процесс на бывшим криптомиллиардером Сэмом Бэнкманом-Фридом в зале заседаний 26А в Нижнем Манхэттене продлился целый месяц и вылился в настоящую судебную драму пишет The Wall Street Journal. Forbes публикует главное из материала Общество   Дом для машин: какими будут паркинги будущего Строительство нового паркинга в Европе обходится в €25 000-40 000 за машино-место. Реконструировать дешевле — можно уложиться в €5000Мнения         Дневник предпринимательницы: жизнь после маркетинга             Полина Козловская           Автор                Информация:       Контактная информацияПравила обработкиРеклама в журналеРеклама на сайтеУсловия перепечаткиАрхив        Мы в соцсетях:       TelegramВКонтактеYouTube           Мобильное приложение Forbes Russia на Android                    На сайте работает синтез речи                   Рассылка:                  Подписаться              Все сразу        Еженедельная        Ежедневная           Наименование издания:           forbes.ru                 Cетевое издание «forbes.ru» зарегистрировано Федеральной службой по надзору в сфере связи информационных технологий и массовых коммуникаций регистрационный номер и дата принятия решения о регистрации: серия Эл № ФС77-82431 от 23 декабря 2021 г.       Адрес редакции издателя: 123022 г. Москва ул. Звенигородская 2-я д. 13 стр. 15 эт. 4 пом. X ком. 1       Адрес редакции: 123022 г. Москва ул. Звенигородская 2-я д. 13 стр. 15 эт. 4 пом. X ком. 1      Главный редактор: Мазурин Николай Дмитриевич      Адрес электронной почты редакции: press-release@forbes.ru      Номер телефона редакции: +7 (495) 565-32-06 На информационном ресурсе применяются рекомендательные технологии (информационные технологии предоставления информации на основе сбора систематизации и анализа сведений относящихся к предпочтениям пользователей сети «Интернет» находящихся на территории Российской Федерации)           СМИ2                   SPARROW                   INFOX                Перепечатка материалов и использование их в любой форме в том числе и в электронных СМИ возможны только с письменного разрешения редакции. Товарный знак Forbes является исключительной собственностью Forbes Media Asia Pte. Limited. Все права защищены.             AO «АС Рус Медиа»        ·        2023               16+</t>
  </si>
  <si>
    <t>www.forbes.ru</t>
  </si>
  <si>
    <t>Нейросеть Chat GPT</t>
  </si>
  <si>
    <t>Chat GPT — нейросеть чат-бот, который способен вести диалог. GPT-4 Chat (Чат ГПТ) ищет ошибки в коде, пишет диплом. Зарегистрироваться и Войти в Chat GPT в ...</t>
  </si>
  <si>
    <t>https://chat-gpt.ru/</t>
  </si>
  <si>
    <t>Chat GPT - Нейросеть Chat GPTSkip to contentChat GPTНейросеть Chat GPTSearch: Войти в ChatGPTРегистрация ChatGPTКупить аккаунт ChatGPTChatGPT 4 PLUSAPI ключПромтыГайдыDALL·E 2MidjourneyVPN для ChatGPTТелефон для ChatGPTКонтактыQuest 3Сайты партнеры Нужна помощь в учебе? Попробуйте ChatGPT!ChatGPT-4 бесплатно и без ограниченийНейросеть для генерации изображений онлайнРегистрация ChatGPT в России01.02.2023Категория: ИнструментыАвтор: Gpt Chat 120Регистрация ChatGPT в России и других странах В последнее время ChatGPT является очень востребованным но при регистрации в России многие сталкиваются с проблемой отсутствия обслуживания региона. Пошагово разберем…Читать далееКупить аккаунт ChatGPT01.02.2023Категория: ИнструментыАвтор: Gpt Chat 31Предоставляем вам готовый аккаунт Chat GPT с логином и паролем. Личный аккаунт* Chat GPT — 1000 руб. — 499 руб. Общий аккаунт** Chat GPT — 159 руб. Купить…Читать далееКак подключить ChatGPT-431.01.2023Категория: ИнструментыАвтор: Gpt Chat 13Ознакомьтесь с подробным руководством по получению доступа к первоклассному сервису OpenAI. В этой статье мы дадим пошаговую инструкцию как использовать ChatGPT-4. С нашими четкими инструкциями вам будет легко раскрыть огромный потенциал…Читать далееПромты ChatGPT — пример подсказок28.01.2023Категория: ИнструментыАвтор: Gpt Chat 1Добро пожаловать в репозиторий «Удивительные подсказки ChatGPT»! Это набор примеров подсказок промтов для использования с моделью ChatGPT. Модель ChatGPT — это большая языковая модель обученная OpenAI  способная генерировать человекоподобный текст. Предоставляя ему подсказку…Читать далее5 лучших альтернатив ChatGPT27.01.2023Категория: СтатьиАвтор: Gpt Chat 315 лучших альтернатив ChatGPT включая бесплатные модели Пользователи ищут альтернативы ChatGPT по разным причинам в том числе из соображений монетизации ChatGPT медленного времени отклика ограничений емкости или просто из любопытства. Независимо…Читать далееКак начать пользоваться ChatGPT25.01.2023Категория: ИнструментыАвтор: Gpt Chat 6Новый инструмент обработки языка с помощью ИИ стал популярным с момента его запуска в конце прошлого года но как вы его используете и для чего? Не хотите разбираться…Читать далееТоп бесплатных VPN подходящие Chat Gpt24.01.2023Категория: ИнструментыАвтор: Gpt Chat 38Как установить VPN в браузере Chrome подходящие Chat Gpt Для начала пара слов о том где скачать дополнения (расширения) для браузера от Google.  Все просто: нажмите на три точки…Читать далееКак получить API-ключ ChatGPT23.01.2023Категория: ИнструментыАвтор: Gpt Chat 7Получение ключа API — это первый шаг к доступу к мощным возможностям обработки языка ChatGPT. С помощью ключа API вы можете легко интегрировать ChatGPT в свой веб-сайт мобильное приложение…Читать далееGPT-4 Turbo07.11.2023Категория: СтатьиАвтор: Gpt Chat 0Что это такое GPT-4 Turbo? GPT-4 Turbo — наша модель последнего поколения. Он более функционален имеет обновленный уровень знаний по состоянию на апрель 2023 года и представляет контекстное…Читать далееТеперь ChatGPT может анализировать файлы02.11.2023Категория: СтатьиАвтор: Gpt Chat 0Участники ChatGPT Plus теперь имеют возможность загружать и проверять файлы в новейшей бета-версии . Кроме того они могут беспрепятственно использовать такие функции как просмотр с помощью Bing поскольку чат-бот разумно определяет лучший режим…Читать далееChatGPT: Кризисы и вызовы современной экономики19.10.2023Категория: СтатьиАвтор: Gpt Chat 0Современная мировая экономика сталкивается с множеством проблем и вызовов которые влияют на ее стабильность и развитие. В этой статье мы рассмотрим 25 ключевых проблем современной экономики используя подзаголовки…Читать далееErnie не уступает GPT-4 в своих возможностях19.10.2023Категория: СтатьиАвтор: Gpt Chat 0Китайский интернет-гигант Baidu представил обновленную версию своего чат-бота Ernie Bot которая по заявлению компании сопоставима по мощности с GPT-4 от OpenAI. Во время презентации ИИ-сервис продемонстрировал понимание сложных вопросов умение создавать изображения и выполнение элементарных арифметических…Читать далееТоп 10 Нейросетей: Альтернатива Chat GPT19.10.2023Категория: СтатьиАвтор: Gpt Chat 0Chat GPT революционизировал наше использование искусственного интеллекта сделав написание и программирование более доступными для всех. Однако из-за его глобальной популярности иногда возникают проблемы с перегрузкой системы что приводит…Читать далееКалькулятор с кодом ChatGPT-4V16.10.2023Категория: СтатьиАвтор: Gpt Chat 0Альваро Синтас наконец-то получил доступ к ChatGPT с помощью Vision . Первое что он хотел проверить — это возможность кодирования с помощью изображения и результаты оказались ошеломляющими. Отправив только скриншот приложения-калькулятора iOS он…Читать далееOpenAI изучает возможность создания собственных чипов искусственного интеллекта16.10.2023Категория: СтатьиАвтор: Gpt Chat 0Источники сообщают что OpenAI рассматривает возможность углубления в область чипов искусственного интеллекта и даже внимательно изучила потенциальные перспективы приобретения. Хотя окончательное решение еще не принято OpenAI обсуждает решения…Читать далее21 предложение ChatGPT для бизнеса в 2023 году16.10.2023Категория: СтатьиАвтор: Gpt Chat 021 ChatGPT побуждающий к развитию бизнеса в 2023 году. Подсказка: создайте комплексный маркетинговый план для [название компании] чтобы повысить узнаваемость бренда и привлечь новых потенциальных клиентов. Подсказка: создайте список…Читать далееПредставляем DALL-E 3 внутри ChatGPT16.10.2023Категория: ИнструментыАвтор: Gpt Chat 0С сегодняшнего дня DALL-E 3 доступен внутри ChatGPT . Вот почему DALL-E 3 будет улучшаться быстрее чем MidJourney : Многоходовой диалог Многоходовой диалог — отличный пользовательский интерфейс для сбора отзывов людей. Люди будут объяснять что не…Читать далееChatGPT теперь может получить доступ к Интернету16.10.2023Категория: ИнструментыАвтор: Gpt Chat 0Это позволяет ему делать то что раньше было невозможно. Вот 8 примеров того что вы можете сделать с помощью этой интернет-интеграции. Прежде чем мы начнем обратите внимание: вы можете активировать…Читать далееНавигация по записям12…26ДалееПоискПоискПроверить статус ChatGPTAndroidapiapi gpt-4AutoGPTbingChatGPTChat GPTchatgpt-5chatgpt 4chatgpt apiChatGPT EnterpriseChatGPT Pluschat gpt в россииChatGPT запрещенChatGPT как пользоватьсяchat gpt нейросетьdalleGoogleGoogle Bardgpt-4gpt-5gpt 4IOSiPhoneKaiber AIOpenAIPalmAPIwhatsappWhisperБухгалтерГайдДетекторИнтернетКурсКурсыПлагины ChatGPTПриложениеПрофессииСекретыгенерация изображенийзаблокировалинейросетьоснователиошибкапромтыСвежие статьиGPT-4 TurboТеперь ChatGPT может анализировать файлыChatGPT: Кризисы и вызовы современной экономикиErnie не уступает GPT-4 в своих возможностяхТоп 10 Нейросетей: Альтернатива Chat GPTРубрики ВидеоГайдыИнструментыСтатьиМЕНЮВойти в ChatGPTРегистрация ChatGPTКупить аккаунт ChatGPTChatGPT 4 PLUSAPI ключПромтыГайдыDALL·E 2MidjourneyVPN для ChatGPTТелефон для ChatGPTКонтактыQuest 3Сайты партнерыРегистрация ChatGPTКак начать пользоваться ChatGPTЧто такое ChatGPTОшибка ChatGPTЗачем нужен Chat GPT11 лучших плагинов ChatGPTVPN для Chat GptКак установить ChatGpt на iPhone5 лучших альтернатив ChatGPTСтатьиКонтактыVision Pro AppleCyberpunk 2077                 © 2023 Chat GPT                Chat GPT — нейросеть чат-бот который способен вести диалог. GPT-4 Chat (Чат ГПТ) ищет ошибки в коде пишет диплом. Зарегистрироваться и Войти в Chat GPT в России и на русском можно на сайте chatgpt/ ceo.chatgpt@gmail.com</t>
  </si>
  <si>
    <t>chat-gpt.ru</t>
  </si>
  <si>
    <t>Introducing ChatGPT</t>
  </si>
  <si>
    <t>30 нояб. 2022 г. —</t>
  </si>
  <si>
    <t>https://openai.com/blog/chatgpt</t>
  </si>
  <si>
    <t>OpenAICloseSearch Submit Skip to main contentSite NavigationResearchOverviewIndexGPT-4DALL·E 3APIOverviewData privacyPricingDocsChatGPTOverviewEnterpriseTry ChatGPTSafetyCompanyAboutBlogCareersResidencyCharterSecurityCustomer storiesSearch Navigation quick links Log inTry ChatGPTMenu Mobile Navigation CloseSite NavigationResearchOverviewIndexGPT-4DALL·E 3APIOverviewData privacyPricingDocsChatGPTOverviewEnterpriseTry ChatGPTSafetyCompanyAboutBlogCareersResidencyCharterSecurityCustomer stories Quick Links Log inTry ChatGPTSearch Submit  Your browser does not support the video tag. Creating safe AGI that benefits all of humanityQuicklinksLearn about OpenAIPioneering research on the path to AGILearn about our researchTransforming work and creativity with AIExplore our productsJoin us in shaping the future of technologyView careersSafety &amp; responsibilityOur work to create safe and beneficial AI requires a deep understanding of the potential risks and benefits as well as careful consideration of the impact.Learn about safetyResearchWe research generative models and how to align them with human values.Learn about our researchDALL·E 3 system cardOct 3 2023October 3 2023GPT-4V(ision) system cardSep 25 2023September 25 2023Confidence-Building Measures for Artificial Intelligence: Workshop proceedingsAug 1 2023August 1 2023Frontier AI regulation: Managing emerging risks to public safetyJul 6 2023July 6 2023ProductsOur API platform offers our latest models and guides for safety best practices.Explore our productsCareers at OpenAIDeveloping safe and beneficial AI requires people from a wide range of disciplines and backgrounds.View careersI encourage my team to keep learning. Ideas in different topics or fields can often inspire new ideas and broaden the potential solution space.Lilian WengApplied AI at OpenAIResearchOverviewIndexGPT-4DALL·E 3APIOverviewData privacyPricingDocsChatGPTOverviewEnterpriseTry ChatGPTCompanyAboutBlogCareersCharterSecurityCustomer storiesSafetyOpenAI © 2015 – 2023Terms &amp; policiesPrivacy policyBrand guidelinesSocialTwitterYouTubeGitHubSoundCloudLinkedInBack to top</t>
  </si>
  <si>
    <t>openai.com</t>
  </si>
  <si>
    <t>OpenAI</t>
  </si>
  <si>
    <t>DALL·E 3 is now available in ChatGPT Plus and Enterprise. Oct 19, 2023October 19, 2023. ChatGPT Can Now See Hear And Speak. ChatGPT can now see, hear, and speak.</t>
  </si>
  <si>
    <t>https://openai.com/</t>
  </si>
  <si>
    <t>ChatGPT, which stands for Chat Generative Pre-trained Transformer, is a large language model-based chatbot developed by OpenAI and launched on November 30, ...</t>
  </si>
  <si>
    <t>https://en.wikipedia.org/wiki/ChatGPT</t>
  </si>
  <si>
    <t>ChatGPT on the App Store</t>
  </si>
  <si>
    <t>3 дня назад —</t>
  </si>
  <si>
    <t>https://apps.apple.com/us/app/chatgpt/id6448311069</t>
  </si>
  <si>
    <t>What Is ChatGPT? Everything You Need to Know</t>
  </si>
  <si>
    <t>ChatGPT is a form of generative AI -- a tool that lets users enter prompts to receive humanlike images, text or videos that are created by AI.</t>
  </si>
  <si>
    <t>https://www.techtarget.com/whatis/definition/ChatGPT</t>
  </si>
  <si>
    <t>Purchase Intent Data for Enterprise Tech Sales and Marketing | TechTarget    Why TechTargetBackWhy TechTarget									Audiences																	Intent Data																	Engines of Business Outcomes																	Supporting Your GTM																	The TechTarget Brands								View Our CapabilitiesSolutionsBackSolutions							Strategy &amp; GTM Expertise																	Improve GTM Strategy and Execution																					Continuously Leverage Market Experts										More About Strategy &amp; GTM ExpertiseEnterprise Strategy Group: Go-to-market Expertise to Help You Win Watch the Video							ABM/ABX																	Enhance Target Account Lists																					Prioritize Target Account Lists																					Engage Target Accounts																					Build Up Your Own Audiences																					Uncover Buying Team Contacts																					Measure Success										More About ABM/ABX							Tech Marketing																	Enhance Your Contact Database																					Build Awareness																					Generate Better Leads																					Drive In-Person Event Attendance																					Deliver Better Webinars and Virtual Events																					Convert Website Visitors																					Enable Sales &amp; Channel										More About Tech Marketing							Partner Marketing																	Strategy Services																					Content Services																					Demand Services																					Channel Marketing																					Partner Marketing Visionaries Community										More About Partner Marketing			The Partner Marketing Visionaries™ Summit Explores Key Areas Within Strategic Partnerships							Watch Now							Tech Sales																	Prioritize Outreach																					Reach the Right Prospects																					Improve Response Rates																					Access Live Projects																					Generate Meetings &amp; Opps										More About Tech SalesView Our SolutionsProductsBackProducts							Digital Advertising																	Data-Driven Display																					Custom &amp; Native Web Sites																					BrightTALK Summits										Digital Advertising							Demand Gen &amp; ABM																	Priority Engine																					Lead Generation																					Custom Content																					BrightTALK Portfolio																					Contact Data Services										Demand Gen &amp; ABM							Sales Enablement																	Sales-Quality Leads																					Priority Engine																					Custom Content										Sales Enablement							Strategic Services																	Research Advisory &amp; Consulting																					Custom Research &amp; Consulting																					Strategic Buyer Insights																					BrightTALK Studios Video Production										Strategic ServicesEnterprise Strategy Group: Go-to-market Expertise to Help You Win Watch the VideoView Our ProductsCustomersBackCase StudiesReviewsAward ProgramsResourcesBackResource LibraryBlogCompanyBackAbout TechTargetPress RoomCareersEditorialContact UsInvestor RelationsProduct DemoEditorialPriority Engine LoginGlobalBackFrançaisDeutschGlobal MarketsEditorialPriority Engine LoginGlobalFrançaisDeutschGlobal Markets  Why TechTargetWhy TechTarget										Audiences																			Intent Data																			Engines of Business Outcomes																			Supporting Your GTM																			The TechTarget Brands									View Our CapabilitiesCloseAudiencesConnect with more active buying teams and shape the decisions they make																					Learn More																			TechTarget and BrightTALK: The Best Audience for Your Enterprise Tech Watch the VideoCloseIntent DataA competitive advantage available only at TechTarget																					Learn More																						Making Sense of B2B Purchase Intent Data and Putting It to Use							Download the E-bookCloseEngines of Business OutcomesMuch more than technology we guide you and help you to scale																					Learn More																			CloseSupporting Your GTMFrom build through execution to optimization we’re there for you																					Learn More																			CloseThe TechTarget BrandsWith more tech buyers doing more pre-purchase research here than anywhere else we’ve built a better context to support your GTM objectives.																					Learn More																			SolutionsSolutions										Strategy &amp; GTM Expertise																			ABM/ABX																			Tech Marketing																			Partner Marketing																			Tech Sales									View Our SolutionsStrategy &amp; GTM Expertise											Improve GTM Strategy and Execution																					Continuously Leverage Market Experts										More About Strategy &amp; GTM ExpertiseCloseImprove GTM Strategy and ExecutionWe help you get the strategy right and then execute it better.																							Learn More																					Enterprise Strategy Group: Go-to-market Expertise to Help You Win Watch the VideoCloseContinuously Leverage Market ExpertsWhen you can stop guessing every action becomes more effective.																							Learn More																					Technology Spending Intentions and Buyer Behavior in an Uncertain Economic ClimateWatch the VideoABM/ABX											Enhance Target Account Lists																					Prioritize Target Account Lists																					Engage Target Accounts																					Build Up Your Own Audiences																					Uncover Buying Team Contacts																					Measure Success										More About ABM/ABXCloseEnhance Target Account ListsBeyond lookalikes we show you what's actually happening in your markets.																							Learn More																					Better ABM: Five Lessons Developer Marketing Can Teach All ABMersDownload the E-bookClosePrioritize Target Account ListsHealthier pipelines come fastest from jumping on the demand that’s active now.																							Learn More																					ABM Success Is Driven by PeopleDownload the E-bookCloseEngage Target AccountsBetter ways to be present and relevant to the people that matter.																							Learn More																					A Short End-to-End Guide to ABM EngagementDownload the E-bookCloseBuild Up Your Own AudiencesUnique content channels that help you achieve long-term scalable yields from your target accounts																							Learn More																					CloseUncover Buying Team ContactsPractical de-anonymization for marketing and sales.																							Learn More																					3 C's for Understanding Real Intent Data: Context Content and Contacts Download the E-bookCloseMeasure SuccessTrack alignment progress and opportunity.																							Learn More																					Capitalizing on ABM Engagement: Measure Right then OptimizePlay the webinarTech Marketing											Enhance Your Contact Database																					Build Awareness																					Generate Better Leads																					Drive In-Person Event Attendance																					Deliver Better Webinars and Virtual Events																					Convert Website Visitors																					Enable Sales &amp; Channel										More About Tech MarketingCloseEnhance Your Contact DatabaseCleanse and append as needed.																							Learn More																					The Right Contacts Clean and CompleteDownload the Product SheetCloseBuild AwarenessBe in front of the best audience hyper-targeted and hyper-efficient.																							Learn More																					Tap into the Power of Brand AdvertisingDownload the E-bookCloseGenerate Better LeadsQuality comes from the right audience in the right context.																							Learn More																					The Modern Demand Gen Engine: Everything You Need to Know to SucceedDownload the E-bookCloseDrive In-Person Event AttendanceEvents pay off when you get more of the right people to attend.																							Learn More																					Using Intent Data to Improve Event MarketingDownload the E-bookCloseDeliver Better Webinars and Virtual EventsPresence and relevance where more buyers want you to be.																							Learn More																					Flip the Switch on Virtual Events Download the E-bookCloseConvert Website VisitorsWe illuminate the engaged web visitors that remain anonymous to you so can convert more of them.																							Learn More																					Convert More Web Visits to Leads with Priority Engine™ Inbound ConverterDownload the InfographicCloseEnable Sales &amp; ChannelBecause many Sales and Partner organizations require more.																							Learn More																								Accelerate Your Pipeline with High-Quality Leads and Confirmed Projects™							Download the Product SheetPartner Marketing											Strategy Services																					Content Services																					Demand Services																					Channel Marketing																					Partner Marketing Visionaries Community										More About Partner MarketingCloseStrategy ServicesExpert guidance to inform joint GTM strategy and messaging																							Learn More																					Marketing with and through Partners: The Power of Co-MarketingPlay the WebinarCloseContent ServicesCompelling joint content for every stage of the buyer’s journey																							Learn More																					Developing and Activating Your Content Strategy With and Through Partners Play the WebinarCloseDemand ServicesAccess and influence active buyers to drive partner pipeline																							Learn More																								Guiding the IT Buying Journey: Strategies for Partner Marketing							Play the WebinarCloseChannel MarketingRecruit and enable channel partners to grow your ecosystem																							Learn More																					Achieving Channel Growth by Recruiting Influential MSPsDownload the E-bookClosePartner Marketing Visionaries CommunityInsights and best practices from the top Partner Marketers in B2B tech																							Learn More																								The Partner Marketing Visionaries™ Summit Explores Key Areas Within Strategic Partnerships							Watch NowTech Sales											Prioritize Outreach																					Reach the Right Prospects																					Improve Response Rates																					Access Live Projects																					Generate Meetings &amp; Opps										More About Tech SalesClosePrioritize OutreachYour direct route to productivity improvement.																							Learn More																					How Does Your Sales Development Program Measure Up?Download the E-bookCloseReach the Right ProspectsOptimize effort for higher total returns.																							Learn More																					Is Bad Outreach Killing Your Business?Download the InfographicCloseImprove Response RatesMaximize conversion by being relevant.																							Learn More																								Frightening Realities: Improve SDR Impact							Download the E-bookCloseAccess Live ProjectsPenetrate solution projects you can't otherwise see.																							Learn More																					Accelerate Pipeline with TechTarget’s Confirmed Projects™Download the Product SheetCloseGenerate Meetings &amp; OppsOutreach that's on-point for real buyers.																							Learn More																					Inside Sales: It's Time to Bury Your Cold Contact List Download the E-bookProductsProducts										Digital Advertising																			Demand Gen &amp; ABM																			Sales Enablement																			Strategic Services									View Our ProductsDigital Advertising											Data-Driven Display																					Custom &amp; Native Web Sites																					BrightTALK Summits										View Our ProductsCloseData-Driven DisplayTargeted advertising solutions reaching the Web’s most active B2B tech buyers																							Learn More																								The Death of Third-Party Cookies: What’s Next for Intent-Based Digital Advertising?							Read the BlogCloseCustom &amp; Native Web SitesCustomized online environments for deep user engagement																							Learn More																					3 C's for Understanding Real Intent Data: Context Content and Contacts Download the E-bookCloseBrightTALK SummitsOnline sponsorable enterprise tech Summits keynoted by leading industry experts																							Learn More																								Webinar Series for ABM: An 8-Step Planning Framework							Download the E-bookDemand Gen &amp; ABM											Priority Engine																					Lead Generation																					Custom Content																					BrightTALK Portfolio																					Contact Data Services										View Our ProductsClosePriority EngineThe industry’s most powerful Prospect-Level Intent™ data																							Learn More																								Making Sense of B2B Purchase Intent Data and Putting It to Use							Download the E-bookCloseLead GenerationAI-driven contextually precise syndication leads that convert																							Learn More																					Beware of ROI Killers: Boost Lead Generation With Intelligent AutomationPlay the WebinarCloseCustom ContentTrusted research-based content by experts coupled with superior production assistance engages prospects more productively across your GTM																							Learn More																								What Is Great Content for Buyers and Why's It So Hard?							Download the E-bookCloseBrightTALK PortfolioFrom webinars to virtual events leverage our unrivaled B2B audience easy-to-use platform and robust services to engage professionals in the ways they prefer																							Learn More																					Build a Better Webinar: Creating a Promotion Plan Download the E-bookCloseContact Data ServicesOver 70 million high-quality U.S. contacts to enrich your database																							Learn More																					The Right Contacts Clean and CompleteDownload the Product SheetSales Enablement											Sales-Quality Leads																					Priority Engine																					Custom Content										View Our ProductsCloseSales-Quality LeadsVerified active deal reports detailing confirmed tech-project plans																							Learn More																								Accelerate Your Pipeline with High-Quality Leads and Confirmed Projects™							Download the Product SheetClosePriority EngineThe industry’s most powerful Prospect-Level Intent™ data																							Learn More																								Making Sense of B2B Purchase Intent Data and Putting It to Use							Download the E-bookCloseCustom ContentTrusted research-based content by experts coupled with superior production assistance engages prospects more productively across your GTM																							Learn More																								What Is Great Content for Buyers and Why's It So Hard?							Download the E-bookStrategic Services											Research Advisory &amp; Consulting																					Custom Research &amp; Consulting																					Strategic Buyer Insights																					BrightTALK Studios Video Production										View Our ProductsCloseResearch Advisory &amp; ConsultingExpert guidance for strategic planning product development messaging ideation and positioning to improve GTM execution																							Learn More																					Enterprise Strategy Group: Go-to-market Expertise to Help You Win Watch the VideoCloseCustom Research &amp; ConsultingCompetitive analysis partner program optimization and other custom services that deliver client-specific insights to increase GTM opportunities																							Learn More																					Enterprise Strategy Group: Go-to-market Expertise to Help You Win Watch the VideoCloseStrategic Buyer InsightsCustomized reports combining buyer intent data market trends and research to guide your GTM																							Learn More																								What Is Great Content for Buyers and Why's It So Hard?							Download the E-bookCloseBrightTALK Studios Video ProductionFull-service video production and management to ensure your brand stands out																							Learn More																					CustomersCase StudiesReviewsAward ProgramsResourcesResource LibraryBlogCompanyAbout TechTargetPress RoomCareersEditorialContact UsInvestor Relations 								Product Demo							 ✕More Go for Your Go-to-MarketThe right insights. The right actions. Fuel and precision tuning for every part of your engine.✕More Go for Your Go-to-MarketThe right insights. The right actions. Fuel and precision tuning for every part of your engine.The context of modern tech businessMaximum GTM performance requires doing all the right things in exactly the right context. If you aren’t where the buyers are buying you’re inefficient. On TechTarget’s network of 150+ websites and 1100+ content channels we create the modern digital buying context. That’s why more of your buyers are doing purchase research here than anywhere else. Then we provide the perfect combination of capabilities to intercept many more of them much faster.Show me the dataShow me active buyer volumes in my categoryCloser to your ICPsYou can’t do more business without engaging more of the right people. Because of our content publishing model even when the buyers you want aren’t on your website they are active on ours. With 30M+ opt-in tech professionals your critical targets are researching with us right now. And since they’re already engaging with us in a buying context it’s why we can make so many of your GTM jobs much much easier. learn moreExplore Our WebsitesHow TechTarget’s audiences align with your marketExample: Endpoint Security9600+ accounts active164100+ activities taken5950+ leads deliveredConnected to real buyersA cold contact supplier can only tell you who might be the right people leaving you to pound away at low-quality high-volume outreach. That’s what the intent data revolution is all about. Active prospects are doing purchase research with us right now using the proprietary content we build. So we can tell you precisely who you should prioritize and what to say. We share more real buying team members in the context of more real purchases directly with you.Learn more150+technology websites#1in Google for B2B tech1000+full-time editors and contributors410Kindexed Google pages20+industry analysts19Mmonthly visitsSearch for active demand in your category30M+ opt-in tech prospects and growing. Priority Engine™ gives you direct access to the most active buyers in your space. Download full listAsk an expert#1in Intent Data forEnterpriseTechSearch (e.g. Cloud Network Storage Security)Search				TechTarget offers insight about the following market categories			﻿CATEGORY NAME TOTAL COMPANIES  YEARLY CATEGORY ACTIVITY  TOTAL PROSPECTS Showing 20 out of 0 matched results			We could not find any results matching that criteria.		talk to an expertSearch for active demand in your category30M+ opt-in tech prospects and growing. Priority Engine™ gives you direct access to the most active buyers in your space. Download full listAsk an expert#1in Intent Data forEnterpriseTechSearch (e.g. Cloud Network Storage Security)Search				TechTarget offers insight about the following market categories			﻿CATEGORY NAME TOTAL COMPANIES  YEARLY CATEGORY ACTIVITY  TOTAL PROSPECTS Showing 20 out of 0 matched results			We could not find any results matching that criteria.		talk to an expertConnected to real buyersScalable at speedYou want better yields from your plans. We’ll help you magnify them for maximum impact. From hyper-granular awareness-building advertising solutions to precision intent data and specialized lead types we energize any campaign or target account list for sales and marketing alike. Armed with the best data in the world our platforms and full-range services can turbo-charge your programs to win.Learn moreAligned for better businessTo maximize GTM potential you need three core elements working perfectly together:You’ve got to perfectly position for your ICPs.You have to optimize execution across multiple channels.And you’ve got to stay pipeline-productive even as you scale.Since weakness in one GTM area can undermine the whole we’ve built TechTarget to help you strengthen each critical function. We help your teams deliver better for each other and better for the business end-to-end.Learn moreBuilt to give you leverageTechTarget’s offerings meet every client where they are from start-ups to the world’s most sophisticated players. That’s why more than 3000 of the best companies in every tech category look to us for the best ways to build on what they’ve already got. We can integrate our platforms into your stack or you can use them as standalones. We can build programs for you from scratch or help make what you’ve built out-perform past ROIs.learn moreWorld’s largest proprietary networkToo many tech marketing teams waste time and ad dollars scouring the web for disconnected crumbs. The internet doesn’t actually function that way! Buyers go to the sites they already use or they search for the information that reputable outlets are known to supply. That’s why TechTarget’s content usually shows up right on the first page of any Google search for enterprise tech. It’s why we’ve structured our network to cover the solution topics that matter most. So don’t get stuck fumbling around in some AI-scraped dark funnel because we’re constantly shining a light on more business for you right now. Explore the TechTarget NetworkAI BI and Big Data + Show More- Show LessBrightTALK by TechTarget: Big Data and Data Management CommunityBrightTALK by TechTarget: Business Intelligence and Analytics CommunityEnterprise Strategy Group by TechTarget: Data Analytics and AI Enterprise Strategy Group by TechTarget: Data Management TechTarget BI ChinaTechTarget Business AnalyticsTechTarget ComputerWeekly.comTechTarget ComputerWeekly.com.brTechTarget ComputerWeekly.deTechTarget ComputerWeekly.esTechTarget Database ChinaTechTarget Data ManagementTechTarget Data Science CentralTechTarget Enterprise AITechTarget Information System JapanTechTarget IoT AgendaTechTarget LeMagITTechTarget Search OracleTechTarget Search SAPTechTarget SMB JapanApplication Development + Show More- Show LessBrightTALK by TechTarget: Application Development Community BrightTALK by TechTarget: Application Management CommunityEnterprise Strategy Group by TechTarget: Application ModernizationTechTarget App ArchitectureTechTarget ComputerWeekly.comTechTarget ComputerWeekly.com.brTechTarget ComputerWeekly.deTechTarget ComputerWeekly.esTechTarget Develop JapanTechTarget LeMagIT TechTarget Software QualityTechTarget TheServerSideBusiness Applications + Show More- Show LessBrightTALK by TechTarget: Business Management CommunityBrightTALK by TechTarget: Enterprise Applications CommunityBrightTALK by TechTarget: Finance CommunityBrightTALK by TechTarget: HR CommunityBrightTALK by TechTarget: Legal CommunityBrightTALK by TechTarget: Marketing CommunityBrightTALK by TechTarget: Sales CommunityTechTarget ComputerWeekly.comTechTarget ComputerWeekly.com.brTechTarget ComputerWeekly.deTechTarget ComputerWeekly.esTechTarget Content ManagementTechTarget Customer ExperienceTechTarget Customer Experience JapanTechTarget Database ChinaTechTarget ERPTechTarget ERP JapanTechTarget HR SoftwareTechTarget LeMagIT TechTarget Search OracleTechTarget Search SAPTechTarget SMB JapanCIO and IT Strategy + Show More- Show LessBrightTALK by TechTarget: IT Governance Risk and Compliance CommunityTechTarget CIOTechTarget CIO ChinaTechTarget Educational IT JapanTechTarget Management and IT JapanTechTarget SMB JapanCloud Infrastructureand IT Operations+ Show More- Show LessBrightTALK by TechTarget: Cloud Computing CommunityBrightTALK by TechTarget: Help Desk and Support CommunityBrightTALK by TechTarget: IT Project Management CommunityEnterprise Strategy Group by TechTarget: InfrastructureEnterprise Strategy Group by TechTarget: OperationsTechTarget Cloud ComputingTechTarget Cloud Computing ChinaTechTarget Cloud JapanTechTarget ComputerWeekly.comTechTarget ComputerWeekly.com.brTechTarget ComputerWeekly.deTechTarget ComputerWeekly.esTechTarget IT OperationsTechTarget LeMagIT TechTarget Search AWSTechTarget Systems Develop JapanTechTarget Systems Operation Management JapanCustomer Experience + Show More- Show LessBrightTALK by TechTarget: Customer Experience CommunityEnterprise Strategy Group by TechTarget: Customer ExperienceTechTarget ComputerWeekly.comTechTarget ComputerWeekly.com.brTechTarget ComputerWeekly.deTechTarget ComputerWeekly.esTechTarget LeMagIT TechTarget Customer ExperienceTechTarget Customer Experience JapanData Center and Virtualization + Show More- Show LessBrightTALK by TechTarget: Data Center Management CommunityBrightTALK by TechTarget: Virtualization CommunityEnterprise Strategy Group by TechTarget TechTarget ComputerWeekly.comTechTarget ComputerWeekly.com.brTechTarget ComputerWeekly.deTechTarget ComputerWeekly.esTechTarget Data Analysis JapanTechTarget Data CenterTechTarget Data Center ChinaTechTarget Data Center ItalyTechTarget LeMagIT TechTarget Search VMwareTechTarget Search Windows ServerTechTarget Servers and Storage JapanTechTarget SMB JapanTechTarget Sustainability and ESGTechTarget Virtual ChinaTechTarget Virtualization JapanEnd User Computing + Show More- Show LessBrightTALK by TechTarget: End User Computing CommunityBrightTALK by TechTarget: Mobile Computing CommunityEnterprise Strategy Group by TechTarget: End User ComputingTechTarget ComputerWeekly.comTechTarget ComputerWeekly.com.brTechTarget ComputerWeekly.deTechTarget ComputerWeekly.esTechTarget Enterprise DesktopTechTarget LeMagIT TechTarget Mobile ComputingTechTarget Smart Mobile JapanTechTarget Virtual ChinaTechTarget Virtual DesktopData Protection and Storage + Show More- Show LessBrightTALK by TechTarget: Business Continuity/Disaster Recovery CommunityBrightTALK by TechTarget: Storage CommunityEnterprise Strategy Group by TechTarget: Data ProtectionTechTarget ComputerWeekly.comTechTarget ComputerWeekly.com.brTechTarget ComputerWeekly.deTechTarget ComputerWeekly.esTechTarget Data BackupTechTarget Disaster RecoveryTechTarget LeMagIT TechTarget Servers and Storage JapanTechTarget SMB JapanTechTarget StorageTechTarget Storage ChinaTechTarget Virtual ChinaTechTarget Virtualization Japan Health IT + Show More- Show LessBrightTALK by TechTarget: Health IT CommunityTechTarget EHRIntelligenceTechTarget HealthCareExecIntelligenceTechTarget Health ITTechTarget HealthITAnalyticsTechTarget HealthITSecurityTechTarget HealthPayerIntelligenceTechTarget HITInfrastructureTechTarget LifeSciencesIntelligenceTechTarget Medical IT JapanTechTarget mHealthIntelligenceTechTarget PatientEngagementHITTechTarget PharmaNewsIntelligenceTechTarget RevCycleIntelligenceTechTarget Xtelligent Healthcare Media Security + Show More- Show LessBrightTALK by TechTarget: IT Security CommunityEnterprise Strategy Group by TechTarget: CybersecurityTechTarget ComputerWeekly.comTechTarget ComputerWeekly.com.brTechTarget ComputerWeekly.deTechTarget ComputerWeekly.esTechTarget IoT AgendaTechTarget SecurityTechTarget Security ChinaTechTarget Security ItalyTechTarget Security JapanTechTarget SMB JapanNetworking + Show More- Show LessBrightTALK by TechTarget: Network Infrastructure CommunityEnterprise Strategy Group by TechTarget: NetworkingTechTarget ComputerWeekly.comTechTarget ComputerWeekly.com.brTechTarget ComputerWeekly.deTechTarget ComputerWeekly.esTechTarget IoT AgendaTechTarget LeMagIT TechTarget NetworkingTechTarget Networking ChinaTechTarget Network JapanTechTarget SMB JapanUnified Communicationsand Collaboration+ Show More- Show LessBrightTALK by TechTarget: Collaboration and UC CommunityEnterprise Strategy Group by TechTarget: UC and CollaborationTechTarget ComputerWeekly.comTechTarget ComputerWeekly.com.brTechTarget ComputerWeekly.deTechTarget ComputerWeekly.esTechTarget LeMagIT TechTarget Unified CommunicationsTechTarget Unified Communications JapanChannel Resources + Show More- Show LessBrightTALK by TechTarget Enterprise Strategy Group by TechTargetTechTarget IT ChannelTechTarget  MicroScope.co.ukTechnology Content Libraries + Show More- Show LessBrightTALK by TechTarget TechTarget Bitpipe ChinaTechTarget Bitpipe.comTechTarget Bitpipe.com.brTechTarget Bitpipe.frTechTarget de.Bitpipe.comTechTarget es.Bitpipe.comTechTarget kr.Bitpipe.comTechTarget WhatIs3000 clients already crushing itWe build our buyer audiences for companies like yours. We see where markets are going because our publishing business depends on it. If your space is new we educate the audience. If you’re defending a legacy position we support your specific situation.View Case StudiesAI BI &amp; Big DataApplication DevelopmentBusiness ApplicationsCloud Infrastructure &amp; IT OpsData Center &amp; VirtualizationData Protection &amp; StorageDistribution/Channel PartnersEnd User ComputingNetworkingSecurityUC &amp; CollaborationBy company size:By company sizeSmallMidLargeIn diverse categories like AI BI &amp; Big Data more vendors turn to TechTarget because of the hyper-specificity we can provide. Leaders in cloud-native architectures low- and no-code platforms and more turn to TechTarget to strengthen their GTMs. CRM. CX. SCM. HCM. ERP. ECM. Whatever your acronym we capture the audiences that help more innovative business application vendors succeed. Just as Cloud &amp; DevOps go hand-in-hand all of the top 5 cloud application vendors and all of the top 15 hybrid cloud vendors turn to TechTarget. The top vendors winning in the Data Center &amp; Virtualization space depend on TechTarget to fuel their pipelines. As Storage technology continues to advance Storage players know that TechTarget captures their audiences. Channel players are quickly discovering there’s incredible value in real purchase intent for growing more business faster. As EUC continues to evolve more innovative companies continuously rely on TechTarget. We connect more great networking vendors to more great networking customers than anyone else. In the exploding Security space the top players turn to TechTarget. Unified Communications Collaboration and Call Center tech have never been more important. That’s why industry leaders use TechTarget to compete. More fast-moving disrupters choose TechTarget to outpace their competitionFor mid-sized companies TechTarget provides the right combination of actionable insights and easy-to-use services to scale.Audiences and insights the world's most successful tech companies depend on.Latest sales &amp; marketing thinking Visit resourcesVisit resources 									Webinars/Events								Demand GenerationHow Infinidat Drove Pipeline Through Third-Party Validation 									Video								Intent DataBreak Through with Real Personalization: Priority Engine’s IntentMail AI 									Blog Post								Partner Marketing3 Steps to Make the Most of Your Partner Marketing Budget in 2024 									Webinars/Events								Intent DataLast-Mile Personalization: Intent Insights and Sales Outreach				Contact Sales							Contact Sales			CompanyLeadershipCareersPress RoomContact UsInvestor RelationsPrivacy and Security Trust CenterCustomer SuccessWhy TechTargetAudiencesIntent DataEngines of Business OutcomesSupporting Your GTMThe TechTarget BrandsSolutionsStrategy &amp; GTM ExpertiseABM/ABXTech MarketingPartner MarketingTech SalesProductsPriority EngineData-Driven DisplaySales-Quality LeadsLead GenerationCustom ContentResearch Advisory &amp; ConsultingStrategic Buyer InsightGlobalFrançaisDeutschGlobal Markets Privacy PolicyLegalDO NOT SELL OR SHARE MY PERSONAL INFORMATIONCookie PreferencesCookie Preferences© 2023 TECHTARGET</t>
  </si>
  <si>
    <t>www.techtarget.com</t>
  </si>
  <si>
    <t>What is ChatGPT and why does it matter? Here's what you ...</t>
  </si>
  <si>
    <t>15 сент. 2023 г. —</t>
  </si>
  <si>
    <t>https://www.zdnet.com/article/what-is-chatgpt-and-why-does-it-matter-heres-everything-you-need-to-know/</t>
  </si>
  <si>
    <t>News and Advice on the World's Latest Innovations | ZDNET                                         /&gt;                                                                                                                                                                                                   X     Trending    Best early Black Friday deals: Amazon Walmart Best Buy and More Best early Black Friday Walmart deals 2023 Best early Black Friday Apple deals 2023 Best early Black Friday steaming deals 2023 Best early Black Friday Apple watch deals 2023 Best early Black Friday AirPod deals  Best early Black Friday Sam's Club deals 2023 Best early Black Friday TV deals 2023 Best early Black Friday headphone deals 2023 Best early Black Friday robot vacuum deals 2023 Best early Black Friday tablet deals 2023 Best early Black Friday Amazon deals 2023  Best laptops Best VPNs Best TVs Best Headphones Best robot vacuums ZDNET Recommends  Tech    Gaming Headphones Laptops Mobile Accessories Networking PCs  Printers Smartphones Smart Watches Speakers Streaming Devices Streaming Services  Tablets TVs Wearables  Kitchen &amp; Household Office Furniture Office Hardware &amp; Appliances Smart Home Smart Lighting Yard &amp; Outdoors  Innovation    Artificial Intelligence AR + VR Cloud Digital Transformation Energy  Robotics Sustainability Transportation Work Life  Accelerate your tech game Paid Content How the New Space Race Will Drive Innovation How the metaverse will change the future of work and society  Managing the Multicloud The Future of the Internet The New Rules of Work The Tech Trends to Watch in 2023  Business    See all Business Amazon Apple Developer E-Commerce  Edge Computing Enterprise Software Executive Google Microsoft  Professional Development Social Media SMB Windows  Digital transformation: Trends and insights for success Software development: Emerging trends and changing roles  Security      See all Security Cyber Threats Password Manager Ransomware VPN  Cybersecurity: Let's get tactical Securing the Cloud  Advice      Deals How-to Product Comparisons Product Spotlights Reviews  Buying Guides    See all Buying Guides Best all-in-one computers Best budget TVs Best gaming CPUs Best gaming laptops Best gaming PCs  Best headphones Best iPads Best iPhones Best laptops Best large tablets Best OLED TVs  Best robot vacuum mops Best rugged tablets Best Samsung phones Best smart rings Best smartphones Best smartwatches  Best speakers Best tablets Best travel VPNs Best TVs Best VPNs   tomorrow belongs to those who embrace it today                 Asia                  Australia                  Europe                  India                  United Kingdom                  United States         ZDNET France ZDNET Germany ZDNET Korea ZDNET Japan        Go  Most Popular          See all Topics Finance Education Health  Special Features ZDNET In Depth ZDNET Recommends  Newsletters Videos Editorial Guidelines        Trending  Best early Black Friday deals: Amazon Walmart Best Buy and More Best early Black Friday Walmart deals 2023 Best early Black Friday Apple deals 2023 Best early Black Friday steaming deals 2023 Best early Black Friday Apple watch deals 2023 Best early Black Friday AirPod deals Best early Black Friday Sam's Club deals 2023 Best early Black Friday TV deals 2023 Best early Black Friday headphone deals 2023 Best early Black Friday robot vacuum deals 2023 Best early Black Friday tablet deals 2023 Best early Black Friday Amazon deals 2023 Best laptops Best VPNs Best TVs Best Headphones Best robot vacuums ZDNET Recommends Tech  Gaming Headphones Laptops Mobile Accessories Networking PCs Printers Smartphones Smart Watches Speakers Streaming Devices Streaming Services Tablets TVs Wearables Kitchen &amp; Household Office Furniture Office Hardware &amp; Appliances Smart Home Smart Lighting Yard &amp; Outdoors Innovation  Artificial Intelligence AR + VR Cloud Digital Transformation Energy Robotics Sustainability Transportation Work Life Accelerate your tech game Paid Content How the New Space Race Will Drive Innovation How the metaverse will change the future of work and society Managing the Multicloud The Future of the Internet The New Rules of Work The Tech Trends to Watch in 2023 Business  See all Business Amazon Apple Developer E-Commerce Edge Computing Enterprise Software Executive Google Microsoft Professional Development Social Media SMB Windows Digital transformation: Trends and insights for success Software development: Emerging trends and changing roles Security  See all Security Cyber Threats Password Manager Ransomware VPN Cybersecurity: Let's get tactical Securing the Cloud Advice  Deals How-to Product Comparisons Product Spotlights Reviews Buying Guides  See all Buying Guides Best all-in-one computers Best budget TVs Best gaming CPUs Best gaming laptops Best gaming PCs Best headphones Best iPads Best iPhones Best laptops Best large tablets Best OLED TVs Best robot vacuum mops Best rugged tablets Best Samsung phones Best smart rings Best smartphones Best smartwatches Best speakers Best tablets Best travel VPNs Best TVs Best VPNs More  See all Topics Finance Education Health Special Features ZDNET In Depth ZDNET Recommends Newsletters Videos Editorial Guidelines  today         The 67 best early Black Friday Amazon deals 2023       9 hours ago        I did not expect this $180 Android tablet to be as impressive as it is       13 hours ago        I tested the world's smallest smart robot vacuum and it left a big impression       14 hours ago        Vision Pro led Samsung to reboot VR headset plans. It's now targeting end of 2024: report       14 hours ago        You should buy Samsung's most confusing phone this year for these reasons and these reasons only       15 hours ago        The best early Black Friday deals: Amazon Best Buy Walmart and more       15 hours ago        Get these comfy stereo wireless headphones for just $25       1 day ago        The 20 best early Black Friday Dell deals available now       1 day ago        In the race to innovate with generative AI your competitive advantage isn't just speed—it's also your data       Paid Content            AR + VR       Vision Pro led Samsung to reboot VR headset plans. It's now targeting end of 2024: report    5 essential traits that tomorrow's AI leader must have            The 36 best early Black Friday Sam's Club deals you can get now       1 day ago        Apple is now paying more for your used Apple Watches and iPads       1 day ago        Why Microsoft temporarily blocked ChatGPT from employees on Thursday       1 day ago        The best early Black Friday Newegg deals       1 day ago        The metaverse has virtually disappeared. Here's why it's generative AI's fault       1 day ago        The best early Black Friday storage and SSD deals of 2023       1 day ago        The best early Black Friday TV deals 2023       1 day ago        The 15 best early Black Friday 2023 Samsung deals       1 day ago        The 17 best early Black Friday robot vacuum deals       1 day ago        Buy 1 month of Xbox Game Pass Ultimate for just $10 right now       1 day ago  Top Stories this Week       01     Humane may be launching a $699 AI-powered projector to replace your phone. That's not the craziest part June Wan       02     You can buy four of these very fine Android tablets for the price of one iPad Adrian Kingsley-Hughes       03     Samsung and Google reboot VR headset plans to challenge Vision Pro now targeting end of 2024: report Jason Hiner  ZDNET recommends Our editors believe in innovation that helps you succeed in work and life. They research and review so you can move forward today. Read our Editorial Guidelines      see all recommended              Everything you need to upgrade to a smart kitchen                      The best early Black Friday Amazon deals                      The best iPhone power banks for recharging                 see all recommended            The best early Black Friday security camera deals available now       1 day ago        Read more with Headway Premium on sale for $60       1 day ago        The 16 best early Black Friday 2023 headphones deals       1 day ago        Samsung may debut an affordable $400 foldable phone next year and I've got questions       1 day ago        The best early Black Friday deals under $100       1 day ago        Red Hat goes to the edge       1 day ago        The 14 best early Black Friday HP deals you can get now       1 day ago        The 15 best early Black Friday 2023 phone deals       1 day ago        The 20 best early Black Friday deals under $30       1 day ago            Smartphones       I found every buying reason for Samsung's most confusing phone this year    From automated to autonomous will the real robots please stand up?            The best holiday tech gifts under $50       1 day ago        The best early Black Friday VPN deals 2023       1 day ago        Get Windows 11 Pro for the record-low price of $25       1 day ago        Here's how to create your own custom chatbots using ChatGPT       1 day ago        The 10 best tech gifts of 2023       1 day ago        The 61 best Walmart Black Friday deals: iPads robot vacuums and more       1 day ago        The best early Black Friday iPad deals 2023       1 day ago        The best early Black Friday Apple deals 2023       1 day ago        The best early Black Friday monitor deals available now       1 day ago         See all latest meet the experts  Our editors believe in innovation that helps you succeed in work and life. They research and review so you can move forward today.      see all experts         see all experts           Kitchen &amp; Household       Everything you need to upgrade to a smart kitchen         ZDNET we equip you to harness the power of disruptive innovation at work and at home. TopicsGalleriesVideosDo Not Sell or Share My Personal Information about ZDNETMeet The TeamSitemapReprint Policy Join |    Log InNewslettersSite AssistanceLicensing       © 2023 ZDNET A Red Ventures company. All rights reserved. Privacy Policy |  Cookie Settings |  Advertise |  Terms of Use</t>
  </si>
  <si>
    <t>www.zdnet.com</t>
  </si>
  <si>
    <t>ChatGPT: the latest news, controversies, and helpful tips</t>
  </si>
  <si>
    <t>https://www.digitaltrends.com/computing/how-to-use-openai-chatgpt-text-generation-chatbot/</t>
  </si>
  <si>
    <t>Digital Trends | Tech News Reviews Deals and How-To's Skip to main content 			Menu		ComputingMobileGamingEntertainmentAudio / VideoYouTube			Search		ComputingComputingSee All ComputingTrending TopicsLaptopsSoftwarePC GamingGraphics CardsArtificial IntelligenceTrending GuidesChatGPTWhat is a Chromebook?How to Choose a LaptopWindows 11 vs Windows 10Download YouTube VideosMobileMobileSee All MobileTrending Topics5GAppsiPhoneAndroidWearablesTrending GuidesWhat is 5G?How to Unlock a PhoneHow to Stop Spam CallsHow to Use WhatsApp WebShare a Wi-Fi Password on iPhoneGamingGamingSee All GamingTrending TopicsXboxPlayStationPC GamingCloud GamingNintendo SwitchTrending GuidesWordle TodayXbox Series X vs PS5Upcoming PS5 GamesAll Cross-Platform GamesUpcoming Switch GamesEntertainmentEntertainmentSee All EntertainmentTrending TopicsSci-FiActionMarvelFantasyDC ComicsTrending GuidesBest New MoviesBest New ShowsBest Shows on NetflixBest Movies on NetflixBest Shows on Disney Plus‎What to WatchBest Movies on Disney PlusBest Shows on Amazon PrimeBest Movies on Amazon PrimeMost Popular Movies on NetflixSee All Streaming GuidesBrowse by TypeEntertainment NewsEntertainment GuidesEntertainment FeaturesEntertainment ReviewsEntertainment DealsAudio / VideoAudio / VideoSee All Audio / VideoTrending TopicsTVSpeakersSoundbarsHeadphonesStreaming ServicesTrending GuidesFuboTVSling TVYouTube TVQLED vs OLEDWhat is Sonos?Smart HomeSmart HomeSee All Smart HomeTrending TopicsGoogle NestAmazon AlexaHome SecurityVideo DoorbellRobot VacuumsBrowse by TypeSmart Home NewsSmart Home GuidesSmart Home FeaturesSmart Home ReviewsSmart Home DealsCarsCarsSee All CarsTrending ReviewsToyota Prius Prime ReviewLexus RZ 450e ReviewMercedes EQE AMG SUV ReviewBMW XM ReviewHyundai Ioniq 6 ReviewTrending GuidesNACS chargingEV tax creditsBest Level 2 EV chargersRivian R2 SUVVolvo EX90 SUVBrowse by TypeCar NewsCar GuidesCar FeaturesCar ReviewsCar DealsBest ProductsBest ProductsSee All Best ProductsBest Computing ProductsBest LaptopsBest ChromebooksBest Graphics CardsBest Gaming LaptopsBest Desktop ComputerBest Mobile ProductsBest PhonesBest TabletsBest SmartwatchesBest Fitness TrackersBest Samsung PhonesBest Audio / Video ProductsBest TVsBest SpeakersBest ProjectorsBest SoundbarsBest HeadphonesBest Video GamesBest Mac GamesBest PS5 GamesBest Games on PS PlusBest Xbox Series X GamesBest Nintendo Switch GamesBlack Friday DealsBlack Friday DealsBest Black Friday DealsComputingBlack Friday Laptop DealsBlack Friday Gaming Laptop DealsRetailersDell Black Friday DealsWalmart Black Friday DealsReviewsReviewsSee All ReviewsComputing ReviewsMac ReviewsPrinter ReviewsLaptop ReviewsMonitor ReviewsDesktop ReviewsMobile ReviewsPhone ReviewsTablet ReviewsSmartwatch ReviewsFitness Tracker ReviewsiPhone and iPad ReviewsAudio / Video ReviewsTV ReviewsSpeaker ReviewsSoundbar ReviewsHeadphone ReviewsMedia Streamer ReviewsMore ReviewsGame ReviewsMovie and TV Show ReviewsSmart Home ReviewsPower Station ReviewseBike ReviewsNewsMoreMoreBrandsDellAppleGoogleSamsungMicrosoftDealsTV DealsPhone DealsLaptop DealsGaming PC DealsSee All Tech DealsOriginal SeriesReSpecLife on MarsGenius HomeTech for ChangeSee All Original SeriesMore TopicsSpaceOutdoorsPortable Power StationsVersusBusinessSee All TopicsYouTube Trending:Windows 12Nintendo Switch 2GTA 5 CheatsGoogle Pixel 8 Pro ReviewBose QuietComfort Ultra Headphones ReviewGoogle Pixel Watch 2 ReviewDisney+ Free TrialBest Mouse for MacBest Mac AppsGoogle Pixel 8 ReviewiPhone 15 Review  JBL PartyBox Ultimate speaker review: there’s no party it can’t power					The JBL PartyBox Ultimate is the company's biggest and loudest party speaker yet but its sound is remarkably clean and its Wi-Fi connectivity gives it an edge.				Audio / VideoDerek Malcolm The HP Omen 16 is an unfortunate pricing mishapComputingJacob Roach8 hours agoComputingJacob Roach8 hours ago I figured out how to protect my iPhone without an ugly caseMobileAndy Boxall9 hours agoMobileAndy Boxall9 hours agoUSC Trojans vs. Oregon Ducks live stream: watch college football for freeEntertainmentDan Girolamo9 minutes agoNetflix subscribers are getting one of the decade’s best gamesGamingGeorge Yang5 hours agoWhat channel is the UFC fight on today? Watch UFC 295 liveEntertainmentNoah McGraw7 hours ago3 underrated shows on Netflix you need to watch in NovemberEntertainmentDan Girolamo8 hours agoThe 10 most popular shows on Max right nowEntertainmentBlair Marnell8 hours agoChristmas and holiday program guide 2023: Movies and shows to watchEntertainmentDan Girolamo9 hours agoTesla Model S vs. Porsche Taycan: turning heads and snapping necksCarsChristian de Looper9 hours ago What went wrong with The Marvels? 5 reasons why the MCU is in troubleEntertainmentBlair Marnell9 hours agoEntertainmentBlair Marnell9 hours ago Dream Scenario review: a one-note nightmare comedyEntertainmentAlex Welch14 hours agoEntertainmentAlex Welch14 hours ago				Original Series			      Best new movies to stream on Netflix Hulu Prime Video Max (HBO) and more						The best new movies to stream this week include David Fincher's The Killer on Netflix and The League and Fool's Paradise on Hulu.					EntertainmentNick Perry10 hours ago The best MCU sequels ranked						While The Marvels isn't one of them the MCU has produced many great sequels over the years. DT ranks the 10 best Marvel sequels ever.					EntertainmentAnthony Orlando10 hours ago Here’s more proof that Apple is wrong about MacBook memory						Some new testing has been published that calls into question Apple's defense of the amount of memory it puts in its high-end MacBook Pro.					ComputingLuke Larsen10 hours ago iOS 17: How to add a different home screen wallpaper on your iPhone						With iOS 17 you can customize your iPhone lock screen like never before and it's also still really easy to select a unique home screen wallpaper.					MobileJesse Hollington11 hours ago JLab jumps into hi-res and Bluetooth LE audio with $200 Epic Lab Edition earbudsSponsored						JLab's latest wireless earbuds promise its best audio quality yet with hi-res support and compatibility with Bluetooth LE Audio.					Presented by What time is the UFC fight tonight? Full UFC 295 schedule						 Jiří Procházka and Alex Pereira face off in a light heavyweight match this weekend. Here's the full schedule.					EntertainmentNoah McGraw12 hours ago 5 movies to watch if you liked The Marvels						Did you enjoy the latest MCU movie The Marvels with Brie Larson and are looking for more like it? Then these five movies should be on your list to watch.					EntertainmentJoe Allen12 hours ago How to remove a language on Duolingo						Duolingo offers over 30 languages you can learn. When you want to remove a language from your account here's how to do it for both iPhone and Android. 					MobileBryan M. Wolfe13 hours ago 7 best cosmic Marvel characters ever ranked						There are more heroes in space than The Marvels. Let's dive into the seven best cosmic Marvel characters most of whom aren't in the MCU!					EntertainmentBlair Marnell14 hours ago All of David Fincher’s movies ranked from worst to best						From The Social Network and Gone Girl to Fight Club and Seven here are all of David Fincher's movies ranked from worst to best.					EntertainmentAlex Welch15 hours ago The best Samsung Galaxy S23 Plus cases: 21 you can’t ignore						The Galaxy S23 Plus is a great phone with a big screen and battery — and it's one you should put in a case. Here are the best S23 Plus cases you can buy!					MobileJesse Hollington15 hours ago Call of Duty: Modern Warfare 3 review: little to play and nothing to say						Call of Duty: Modern Warfare 3 is a pretty game but its bland campaign atrocious UI and irritating multiplayer quirks leave a sour taste in the mouth.					GamingBilly Givens16 hours ago The case for XR at work isn’t going away just yet						VR/XR might finally take off with the help of the enterprise space with many everyday people getting their first taste of virtual reality at work. 					ComputingFionna Agomuoh16 hours ago Michigan Wolverines vs. Penn State Nittany Lions live stream: watch college football for free						Michigan and Penn State clash in Happy Valley with huge Big Ten implications on the line. Find out how to watch college football with a free live stream.					EntertainmentDan Girolamo18 hours ago Los Angeles Clippers vs. Dallas Mavericks live stream: watch the NBA for free						Find out how to watch a free live stream of Friday night's NBA In-Season Tournament game between the Los Angeles Clippers and Dallas Mavericks. 					EntertainmentDan Girolamo1 day ago Arizona Wildcats vs. Duke Blue Devils live stream: watch college basketball for free						College basketball fans are in for an early season treat when the Arizona Wildcats play the Duke Blue Devils. Find out how to watch a live stream. 					EntertainmentDan Girolamo1 day ago 4 easy ways to take a screenshot on a Windows PC						Taking screenshots on a PC is easier than you think and is an important computing task to know. Here's how to take a screenshot on a PC in a few quick steps.					ComputingAnita George1 day ago Steam Deck OLED vs. Steam Deck: Which should you buy?						The Stem Deck OLED is a mild iteration on the original Steam Deck but is it worth buying? Here's how the Steam Deck OLED and Steam Deck LCD stack up.					ComputingJon Martindale1 day ago 3 underrated shows on Max you need to watch in November						You may have missed a few great TV series during their original runs but these three underrated shows on Max will have you coming back for more.					EntertainmentBlair Marnell1 day ago The iPhone’s futuristic satellite tech isn’t coming to Android any time soon						Qualcomm has killed an ambitious project that sought to bring Apple-like satellite connectivity feature to Android phones but there's still some hope.					MobileNadeem Sarwar1 day ago The best holiday smart lights						Smart holiday lights use an app on your phone or voice assistant to turn them on change colors or even put on a light show. These are the best options.					Smart HomeTyler Lacoma1 day ago The Marvels: Is it the worst MCU movie ever?						The MCU was once untouchable but with The Marvels the studio is at its lowest point. But is it truly awful or are there other Marvel movies that are worse?					EntertainmentDavid Caballero1 day ago ESPN+: Live sports and more you can’t get anywhere else						ESPN Plus offers so much more than the mainstream sports and shows on the cable network. Here's everything you need to know about the streaming service.					EntertainmentNick Perry1 day ago1234567 Next Latest Reviews JBL PartyBox Ultimate speaker review: there's no party it can't power8 hours ago The HP Omen 16 is an unfortunate pricing mishap8 hours ago Dream Scenario review: a one-note nightmare comedy14 hours ago Call of Duty: Modern Warfare 3 review: little to play and nothing to say16 hours ago This basic Brother printer is a fast fix for home office needs1 day ago The Marvels review: the MCU’s shortest film is its biggest mess1 day ago The Killer review: David Fincher stylishly roasts himself1 day ago Lenovo Legion Go review: portable PC takes the right ideas from Nintendo Switch2 days agoMore Reviews DEALS The best projector Black Friday deals from only $70Audio / Video5 hours ago Shark Black Friday sale: Save on vacuums air purifiers and moreSmart Home6 hours ago The best gaming keyboard Black Friday deals on Logitech and moreComputing6 hours ago There’s a Black Friday deal on Dyson’s Zone purifying headphonesAudio / Video7 hours ago The best Dyson cordless vacuum Black Friday deals available nowSmart Home7 hours ago The best gaming laptop deals in Best Buy's Black Friday saleComputing7 hours ago The best gaming chair Black Friday deals you can shop nowGaming7 hours ago The best OLED TV Black Friday deals from Samsung Sony and LGAudio / Video7 hours agoMore DealsRECENT HOW TO`S iOS 17: How to add a different home screen wallpaper on your iPhoneMobile11 hours ago How to remove a language on DuolingoMobile13 hours ago 4 easy ways to take a screenshot on a Windows PCComputing1 day ago The best perks in Modern Warfare 3Gaming1 day ago These are the 6 biggest Google Pixel 8 problems (and how to fix them)Mobile1 day ago How to add and use desktop widgets in macOS SonomaComputing2 days ago How to find your BitLocker recovery keyComputing3 days ago How to turn keyboard lighting on and offComputing3 days agoMore How To`sWHAT TO STREAM The 50 best movies on Netflix right now (November 2023)Entertainment1 day ago The best movies on Disney+ right now (November 2023)Entertainment2 days ago The best movies on Amazon Prime Video (November 2023)Entertainment1 day ago The best movies on Hulu right now (October 2023)EntertainmentOctober 11Stream MoreUpgrade your lifestyleDigital Trends helps readers keep tabs on the fast-paced world of tech with all the latest news fun product reviews insightful editorials and one-of-a-kind sneak peeks.FacebookInstagramTwitterYouTubePinterestLinkedInTikTokMobileComputingGamingAudio / VideoSmart HomeEntertainmentAutomotiveSpaceStreaming GuidesOriginal ShowsDownloadsHow-ToAbout UsContact UsEditorial GuidelinesLogo &amp; Accolade LicensingSubscribe to our NewsletterSponsored ContentDigital Trends WallpapersDigital Trends in Spanish  PortlandNew YorkChicagoDetroitLos AngelesTorontoCareers Advertise With Us Work With Us Diversity &amp; Inclusion Terms of Use Privacy Policy Do Not Sell or Share My Information Manage cookie preferences Press Room Sitemap Digital Trends Media Group may earn a commission when you buy through links on our sites.©2023 Digital Trends Media Group a Designtechnica Company. All rights reserved.</t>
  </si>
  <si>
    <t>www.digitaltrends.com</t>
  </si>
  <si>
    <t>What Is ChatGPT? Everything You Need to Know About ...</t>
  </si>
  <si>
    <t>https://www.businessinsider.com/everything-you-need-to-know-about-chat-gpt-2023-1</t>
  </si>
  <si>
    <t xml:space="preserve">Insider  Jump toMain contentSearchAccountMenu iconA vertical stack of three evenly spaced horizontal lines. Search iconA magnifying glass. It indicates "Click to perform a search". Insider logoThe word "Insider". BusinessThe word Business Insider logoThe word "Insider".                           Newsletters                                                  Subscribe                         Account iconAn icon in the shape of a person's head and shoulders. It often indicates a user profile. Log in Account iconAn icon in the shape of a person's head and shoulders. It often indicates a user profile.                        Subscribe                                      Tech                              Finance                              Markets                              Strategy                              Retail                              Advertising                              Healthcare                              Premium                              Video                                Business                TechFinanceMarketsStrategyRetailAdvertisingHealthcarePremium                  Life                EntertainmentCultureTravelFoodHealthParentingBeautyStyle                  News                PoliticsMilitary &amp; DefenseSportsOpinion                  Reviews                TechStreamingHomeKitchenStyleBeautyGiftsDealsPetsParentingCouponsHealthLearningHobbies &amp; CraftsTravel                  Video                                  All                A-ZAdvertisingBusinessCareersCouponsDoorDashWalmartDellStaplesUnder ArmourCultureDesignEntertainmentExecutive LifestyleFinanceFoodHealthHealthcareIntelligenceLatestLifeMarkets InsiderMediaMilitary &amp; DefenseNewsOpinionPeoplePersonal FinanceBankingCredit CardsInsuranceInvestingLoansMortgagesPoliticsPremiumRetailReviewsScienceSportsStrategyTechTransportationTravelFeaturedTalent InsiderAboutAboutAdvertiseCareersCode of EthicsContact UsCorporateCorrections PolicyFollowRSSSitemapFacebookTwitterInstagramYouTubeLinkedInSubscriptionsIntelligencePremiumClose iconTwo crossed lines that form an 'X'. It indicates a way to close an interaction or dismiss a notification.             US Markets Loading...hms                            Military &amp; Defense                             Israel is looking to World War II in its Gaza fight and it risks taking lessons from the wrong warVictory in Israel's deadly Gaza invasion may turn on the same factors the US blundered in its post-9/11 wars.  Weight-loss drugs just got cheaper — and betterWait the Trumps are testifying again in the NY civil fraud trial?We watched 1000 TikToks for science Billionaire FBI informant Peter Thiel dished about two Kremlin invites to private Putin meetingsA Florida boomer said he 'can't move back to California fast enough.' Here's why.Why strikes are working and which industries could be next                                        Tech                                       Miss out on the limited-edition Kendrick Lamar 'dumb' phone? Don't worry — you can get a very similar model for $299 If you missed Kendrick Lamar's pgLang phone drop the Light Phone 2 could be the next best "dumb" phone — for the same $299 price.                                       Personal Finance                                       Verizon and AT&amp;T are now requiring debit card payments to get the full autopay discount. Here's how to decide if it's worth it.Verizon and AT&amp;T are offering discounts for paying bills via bank account. Before you switch make sure you won't miss out on rewards and protections.                                       Military &amp; Defense                                       Gaza's last pediatric hospital has been surrounded by Israeli tanks as hospitals across enclave come under siege reports sayFour major hospitals in Gaza are now effectively on the front line of fighting between the IDF and Hamas the BBC reported. Video                                    Real Estate                                   A tenant stopped paying rent and listed his landlord's home on Airbnb. The landlord is now stuck living in his van.                                   Economy                                   Here's one area of California where people aren't leaving and the population is actually growing                                   Media                                   Scooter Braun's right-hand man wanted to make Camila Sterling a star. After she died in his hotel room he wanted the world to forget.  Most popular You're all set enjoy your Insider access!Go to newsletter preferencesThanks for signing up!We take you inside the companies and the topics that matter to you.                    Download the app                     NEW LOOKSign up to get the inside scoop on today’s biggest stories in markets tech and business — delivered daily.                        Read preview Email                          Sign up                         By clicking “Sign Up” you accept our Terms                            of Service and Privacy                            Policy. You can opt-out at any time.LoadingSomething is loading.                                Real Estate                               A tenant stopped paying rent and listed his landlord's home on Airbnb. The landlord is now stuck living in his van.                               Economy                               Here's one area of California where people aren't leaving and the population is actually growing                               Media                               Scooter Braun's right-hand man wanted to make Camila Sterling a star. After she died in his hotel room he wanted the world to forget.  Most popular                             Food                            Eating around the world in New York's most diverse borough                                      Food                                      I host Friendsgiving every year. Here are 3 tips for a successful dinner party.                                Insider's reporter has hosted Friendsgiving with her roommates for three years.                                                                 Tech                                      Humane's AI Pin probably can't replace your phone                                The $699 AI-powered device is very cool but using its voice-powered functions in public is anti-social.                                                                  News                                       Pope Francis ousted a Texas bishop signaling he may finally be done with ultraconservative US Catholics                                Pope Francis and Texas Bishop Joseph Strickland clashed over issues of same-sex couples and the ordination of women. Pope Francis has described some American Catholics as "backward."                                                                  Travel                                       I've visited 59 of the 63 US national parks. Here are 10 of my all-time favorites.                                 After traveling to 59 of the 63 major US national parks destinations like Grand Teton Acadia and Glacier National Park were my favorites.                                                                   Markets                                      'The hard part is over': Here's what Goldman Sachs sees in the year ahead as markets and the economy return to pre-2008 conditions The best offers from Insider Coupons                       Start your new project today with the best Home Depot coupon codes.                                           Shop exclusive savings every week at Staples.com.                                           Put your best foot forward with our best DSW offers.                                           Spoil your pets with deals just for them at Chewy.                    Advertisement Advertisement                       Markets                      LoadingSomething is loading. Advertisement Advertisement                       Tech                      LoadingSomething is loading. Advertisement Advertisement                       Finance                      LoadingSomething is loading. Advertisement Advertisement                       Strategy                      LoadingSomething is loading. Advertisement Advertisement                       Personal Finance                      LoadingSomething is loading. Advertisement Advertisement                       Reviews                      LoadingSomething is loading. Video Advertisement The best offers from Insider Coupons                                 Start your new project today with the best Home Depot coupon codes.                                                               Shop exclusive savings every week at Staples.com.                                                               Put your best foot forward with our best DSW offers.                                                               Spoil your pets with deals just for them at Chewy.                              AdvertisementAdvertisementAdvertisement Close iconTwo crossed lines that form an 'X'. It indicates a way to close an interaction or dismiss a notification.     Follow us on:                          *                  Copyright © 2023                  Insider Inc. All rights reserved.                  Registration on or use of this site constitutes acceptance of our Terms of ServiceandPrivacy Policy.                Contact UsMastheadSitemapDisclaimerAccessibilityCommerce PolicyAdvertising PoliciesCouponsMade in NYCJobs @ Insider                  Stock quotes by                  finanzen.netReprints &amp; Permissions            Your Privacy Choices              International Editions:United StatesUSInternationalINTLAsiaASDeutschland &amp; ÖsterreichATDeutschlandDEEspañaESIndiaINJapanJPMéxicoMXNetherlandsNLPolskaPL    </t>
  </si>
  <si>
    <t>www.businessinsider.com</t>
  </si>
  <si>
    <t>What Is ChatGPT Doing … and Why Does It Work?</t>
  </si>
  <si>
    <t>14 февр. 2023 г. —</t>
  </si>
  <si>
    <t>https://writings.stephenwolfram.com/2023/02/what-is-chatgpt-doing-and-why-does-it-work/</t>
  </si>
  <si>
    <t>Stephen Wolfram Writings≡Stephen Wolfram                Writings            ABOUTWRITINGSPUBLICATIONSMEDIASCRAPBOOKCONTACTRecent |                        CategoriesArtificial IntelligenceBig PictureCompanies and BusinessComputational ScienceComputational ThinkingData ScienceEducationFuture PerspectivesHistorical PerspectivesLanguage and CommunicationLife and TimesLife ScienceMathematicaMathematicsNew Kind of ScienceNew TechnologyPersonal AnalyticsPhilosophyPhysicsRuliologySoftware DesignWolfram|AlphaWolfram|OneWolfram LanguageOther |× Aggregation and Tiling as Multicomputational ProcessesNovember 3 2023The Importance of Multiway SystemsIt’s all about systems where there can in effect be many possible paths of history. In a typical standard computational system like a cellular automaton there’s always just one path defined by evolution from one state to the next. But in a multiway system there can be many possible next states—and thus many possible paths of history. Multiway systems have a central role in our Physics Project particularly in connection with quantum mechanics. But what’s now emerging is that multiway systems in fact serve as a quite general foundation for a whole new “multicomputational” paradigm for modeling.My objective here is twofold. First I want to use multiway systems as minimal models for growth processes based on aggregation and tiling. And second I want to use this concrete application as a way to develop further intuition about multiway systems in general. Elsewhere I have explored multiway systems for strings multiway systems based on numbers multiway Turing machines multiway combinators multiway expression evaluation and multiway systems based on games and puzzles. But in studying multiway systems for aggregation  and tiling we’ll be dealing with something that is immediately more physical and tangible. Continue readingHow to Think Computationally about AI the Universe and EverythingOctober 27 2023Transcript of a talk at TED AI on October 17 2023 in San FranciscoHuman language. Mathematics. Logic. These are all ways to formalize the world. And in our century there’s a new and yet more powerful one: computation. And for nearly 50 years I’ve had the great privilege of building an ever taller tower of science and technology based on that idea of computation. And today I want to tell you some of what that’s led to. There’s a lot to talk about—so I’m going to go quickly… sometimes with just a sentence summarizing what I’ve written a whole book about. Continue readingExpression Evaluation and Fundamental PhysicsSeptember 29 2023An Unexpected CorrespondenceEnter any expression and it’ll get evaluated:  And internally—say in the Wolfram Language—what’s going on is that the expression is progressively being transformed using all available rules until no more rules apply. Here the process can be represented like this:  We can think of the yellow boxes in this picture as corresponding to “evaluation events” that transform one “state of the expression” (represented by a blue box) to another eventually reaching the “fixed point” 12.And so far this may all seem very simple. But actually there are many surprisingly complicated and deep issues and questions. For example to what extent can the evaluation events be applied in different orders or in parallel? Does one always get the same answer? What about non-terminating sequences of events? And so on. Continue readingRemembering Doug Lenat (1950–2023) and His Quest to Capture the World with LogicSeptember 5 2023Logic Math and AIIn many ways the great quest of Doug Lenat’s life was an attempt to follow on directly from the work of Aristotle and Leibniz. For what Doug was fundamentally trying to do over the forty years he spent developing his CYC system was to use the framework of logic—in more or less the same form that Aristotle and Leibniz had it—to capture what happens in the world. It was a noble effort and an impressive example of long-term intellectual tenacity. And while I never managed to actually use CYC myself I consider it a magnificent experiment—that if nothing else ultimately served to demonstrate the importance of building frameworks beyond logic alone in usefully representing and reasoning about the world. Continue readingRemembering the Improbable Life of Ed Fredkin (1934–2023) and His World of Ideas and StoriesAugust 22 2023Programmer of the Universe“OK so let me tell you…” And so it would begin. A long and colorful story. An elaborate description of a wild idea. In the forty years I knew Ed Fredkin I heard countless wild ideas and colorful stories from him. He always radiated a certain adventurous joy—together with supreme almost-childlike confidence. Ed was someone who wanted to independently figure things out for himself and delighted in presenting his often somewhat-outlandish conclusions—whether about technology science business or the world—with dramatic showman-like panache.In all the years I knew Ed I’m not sure he ever really listened to anything I said (though he did use tools I built). He used to like to tell people I’d learned a lot from him. And indeed we had intellectual interests that should have overlapped. But in actuality our ways of thinking about them mostly didn’t connect much at all. But at a personal and social level it was still always a lot of fun being around Ed and being exposed to his unique intense opportunistic energy—with its repeating themes but ever-changing directions. Continue readingGenerative AI Space and the Mental Imagery of Alien MindsJuly 17 2023Click on any image in this post to copy the code that produced it and generate the output on your own computer in a Wolfram notebook.AIs and Alien MindsHow do alien minds perceive the world? It’s an old and oft-debated question in philosophy. And it now turns out to also be a question that rises to prominence in connection with the concept of the ruliad that’s emerged from our Wolfram Physics Project.I’ve wondered about alien minds for a long time—and tried all sorts of ways to imagine what it might be like to see things from their point of view. But in the past I’ve never really had a way to build my intuition about it. That is until now. So what’s changed? It’s AI. Because in AI we finally have an accessible form of alien mind. Continue readingLLM Tech and a Lot More: Version 13.3 of Wolfram Language and MathematicaJune 28 2023The Leading Edge of 2023 Technology … and BeyondToday we’re launching Version 13.3 of Wolfram Language and Mathematica—both available immediately on desktop and cloud. It’s only been 196 days since we released Version 13.2 but there’s a lot that’s new not least a whole subsystem around LLMs. Last Friday (June 23) we celebrated 35 years since Version 1.0 of Mathematica (and what’s now Wolfram Language). And to me it’s incredible how far we’ve come in these 35 years—yet how consistent we’ve been in our mission and goals and how well we’ve been able to just keep building on the foundations we created all those years ago. Continue readingIntroducing Chat Notebooks: Integrating LLMs into the Notebook ParadigmJune 8 2023This is part of an ongoing series about our LLM-related technology:ChatGPT Gets Its “Wolfram Superpowers”!Instant Plugins for ChatGPT: Introducing the Wolfram ChatGPT Plugin KitThe New World of LLM Functions: Integrating LLM Technology into the Wolfram LanguagePrompts for Work &amp; Play: Launching the Wolfram Prompt RepositoryIntroducing Chat Notebooks: Integrating LLMs into the Notebook ParadigmA New Kind of NotebookWe originally invented the concept of “Notebooks” back in 1987 for Version 1.0 of Mathematica. And over the past 36 years Notebooks have proved to be an incredibly convenient medium in which to do—and publish—work (and indeed I for example have created hundreds of thousands of them). And yes eventually the basic concepts of Notebooks were widely copied—though still not even with everything we had back in 1987!Well now there’s a new challenge and opportunity for Notebooks: integrating LLM functionality into them. It’s an interesting design problem and I’m pretty pleased with what we’ve come up with. And today we’re introducing Chat Notebooks as a new kind of Notebook that supports LLM-based chat functionality. Continue readingPrompts for Work &amp; Play: Launching the Wolfram Prompt RepositoryJune 7 2023This is part of an ongoing series about our LLM-related technology:ChatGPT Gets Its “Wolfram Superpowers”!Instant Plugins for ChatGPT: Introducing the Wolfram ChatGPT Plugin KitThe New World of LLM Functions: Integrating LLM Technology into the Wolfram LanguagePrompts for Work &amp; Play: Launching the Wolfram Prompt RepositoryIntroducing Chat Notebooks: Integrating LLMs into the Notebook ParadigmBuilding Blocks of “LLM Programming”Prompts are how one channels an LLM to do something. LLMs in a sense always have lots of “latent capability” (e.g. from their training on billions of webpages). But prompts—in a way that’s still scientifically mysterious—are what let one “engineer” what part of that capability to bring out. Continue readingThe New World of LLM Functions: Integrating LLM Technology into the Wolfram LanguageMay 23 2023This is part of an ongoing series about our LLM-related technology:ChatGPT Gets Its “Wolfram Superpowers”!Instant Plugins for ChatGPT: Introducing the Wolfram ChatGPT Plugin KitThe New World of LLM Functions: Integrating LLM Technology into the Wolfram LanguagePrompts for Work &amp; Play: Launching the Wolfram Prompt RepositoryIntroducing Chat Notebooks: Integrating LLMs into the Notebook ParadigmTurning LLM Capabilities into FunctionsSo far we mostly think of LLMs as things we interact directly with say through chat interfaces. But what if we could take LLM functionality and “package it up” so that we can routinely use it as a component inside anything we’re doing? Well that’s what our new LLMFunction is about. Continue reading‹Showing 1–10 of 212› Recent WritingsAggregation and Tiling as Multicomputational ProcessesNovember 3 2023How to Think Computationally about AI the Universe and EverythingOctober 27 2023Expression Evaluation and Fundamental PhysicsSeptember 29 2023Remembering Doug Lenat (1950–2023) and His Quest to Capture the World with LogicSeptember 5 2023Remembering the Improbable Life of Ed Fredkin (1934–2023) and His World of Ideas and StoriesAugust 22 2023All by datePopular CategoriesArtificial IntelligenceBig PictureCompanies and BusinessComputational ScienceComputational ThinkingData ScienceEducationFuture PerspectivesHistorical PerspectivesLanguage and CommunicationLife and TimesLife ScienceMathematicaMathematicsNew Kind of ScienceNew TechnologyPersonal AnalyticsPhilosophyPhysicsRuliologySoftware DesignWolfram|AlphaWolfram|OneWolfram LanguageOther Writings by Year20232022202120202019201820172016201520142013201220112010200920082007200620042003 All © Stephen Wolfram LLC | Terms | RSSEnable JavaScript to interact with content and submit forms on Wolfram websites. Learn how »</t>
  </si>
  <si>
    <t>writings.stephenwolfram.com</t>
  </si>
  <si>
    <t>OpenAI Wants Everyone to Build Their Own Version of ...</t>
  </si>
  <si>
    <t>4 дня назад —</t>
  </si>
  <si>
    <t>https://www.wired.com/story/openai-wants-everyone-to-build-their-own-version-of-chatgpt/</t>
  </si>
  <si>
    <t>WIRED - The Latest in Technology Science Culture and Business | WIREDSkip to main contentOpen Navigation MenuMenuStory SavedTo revisit this article visit My Profile then View saved stories.Close AlertWIRED - The Latest in Technology Science Culture and BusinessBackchannelBusinessCultureGearIdeasScienceSecurityMerchMoreChevronStory SavedTo revisit this article select My Account then View saved storiesClose AlertSign InSearchSearchBackchannelBusinessCultureGearIdeasScienceSecurityMerchPodcastsVideoArtificial IntelligenceClimateGamesNewslettersMagazineEventsWired InsiderJobsCouponsWIREDMost RecentToday’s PicksVideo Doom LoopHow Citizen Surveillance Ate San FranciscoWhen a homeless man attacked a former city official footage of the onslaught became a rallying cry. Then came another video and another—and the story turned inside out.Lauren SmileyClimate ChangeSkiing Is Getting RiskierTristan KennedyAction!How Cinematherapy Helped Me Through a Midlife CrisisTammy RabideauSignal Is Finally Testing UsernamesDhruv Mehrotra and Dell CameronBest Cookbooks of 2023 (So Far)Joe RayThe Best Mechanical Keyboards for Work and PlayEric Ravenscraft and Gear TeamWegovy Slashes the Risk of Heart Attack and Stroke in a Landmark TrialEmily MullinScientists Have Been Freezing Corals for Decades. Now They're Learning How to Wake Them UpBrent M. FosterTrending StoriesTOP STORIES IN THE LAST 48 HOURSGear10 Best Deals at Target’s Black Friday SaleNeed some smart home gadgets or toiletries? Target started its holiday sale early with a price-match guarantee.Medea GiordanoSecurityOmegle Was Forced to Shut Down by a Lawsuit From a Sexual Abuse SurvivorOmegle connected strangers to one another and had a long-standing problem of pairing minors with sexual predators. A legal settlement took it down.Amanda HooverBusinessHumane’s Ai Pin is a $700 Smartphone Alternative You Wear All DayIf you’re willing to clip the Ai Pin to your chest you can talk gesture and tap to take photos or summon a powerful virtual assistant.Paresh DaveScienceSkiing Is Getting RiskierThe threat of avalanches is rising with global warming but technology can help protect skiers on and off the slopes.Tristan KennedyEditors’ Picks404Omegle Was Forced to Shut Down by a Lawsuit From a Sexual Abuse SurvivorAmanda HooverOmegle connected strangers to one another and had a long-standing problem of pairing minors with sexual predators. A legal settlement took it down.Fox in the Hen HouseThis Is the Ops Manual for the Most Tech-Savvy Animal Liberation Group in the USFourth AmendmentA New US Privacy Bill Seeks to End Warrantless Police and FBI SpyingMissing ConnectionsInternet Blackouts in Gaza Are a New Weapon in the Israel-Hamas WarWolf PackIntensified Israeli Surveillance Has Put the West Bank on LockdownThe Israel-Hamas WarRed FlagsThis New Tool Aims to Keep Terrorism Content Off the InternetDavid GilbertSmall platforms without resources to handle takedown requests have been weaponized by terrorist groups that share their content online. A free new tool is coming to help clean house.Danger ZoneHere’s How Violent Extremists Are Exploiting Generative AI ToolsBad CompanyThe GOP Presidential Debate Is Livestreaming on Rumble Home to White Nationalist Nick FuentesLast ResortsThe UN Hired an AI Company to Untangle the Israeli-Palestinian CrisisPsychological WarfareHow Telegram Became a Terrifying Weapon in the Israel-Hamas WarLongreadsHyper LinksRobotic Putting Greens. Mixed Reality. Loud Spectators. This Is Golf?!Steven LevyTiger Woods and Rory McIlroy are backing a new sports league that's reinventing golf as high-energy made-for-TV entertainment.The Big InterviewTaylor Swift Star Wars Stranger Things and Deadpool Have One Man in CommonNouveau NicheWatch This Guy Work and You’ll Finally Understand the TikTok EraSave Yourself‘Someone Is Using Photos of Me to Talk to Men’Game of DronesIn the War Against Russia Some Ukrainians Carry AK-47s. Andrey Liscovich Carries a Shopping ListBusinessFei-Fei Li Started an AI Revolution by Seeing Like an AlgorithmGM’s Cruise Rethinks Its Robotaxi Strategy After Admitting a Software Fault in Gruesome CrashObamacare Call Center Staff Strike Over Steep Health Care Costs and Scarce Bathroom BreaksCultureThe 42 Best Movies on Netflix This WeekThe 43 Best Shows on Netflix Right NowTech Disrupted Hollywood. AI Almost Destroyed ItGear11 Early Black Friday Deals From WalmartReview: Huawei Freebuds Pro 3 Wireless In-Ear Headphones10 Best Deals at Target’s Black Friday SaleIdeasMy Kid Wants to Be an Influencer. Is That Bad?Generative AI Has Ushered In the Next Phase of Digital SpiritualityAI Chatbots Are Learning to Spout Authoritarian PropagandaScienceCould a Cockroach Survive a Fall From Space?The Long Quest for a Universal Flu Vaccine Finally Takes Its First StepsThe FDA Approves Weight Loss Drug Zepbound a Wegovy and Ozempic RivalSecurityHow to Get Facebook Without Ads—if It’s Available for YouSandworm Hackers Caused Another Blackout in Ukraine—During a Missile StrikePolice Use of Face Recognition Is Sweeping the UKSign up for the WIRED Daily NewsletterOur biggest stories delivered to your inbox every day. See all newsletters.Your EmailsubmitBy signing up you agree to our User Agreement (including the  class action waiver and arbitration provisions) our Privacy Policy &amp; Cookie Statement and to receive marketing and account-related emails from WIRED. You can unsubscribe at any time.Reviews and Buying GuidesTee Us UpWe Asked a Savile Row Tailor to Test All the ‘Best’ T-Shirts You See in Social Media AdsChris HaslamBombarded by social media ads promising the “perfect” T-shirt whatever your shape WIRED put these claims to the test with world-famous Savile Row tailors Gieves &amp; Hawkes.Product ReviewBowers &amp; Wilkins’ New Bookshelf Speakers SoarBuying GuideThe Best Pickleball Paddles for Beginners and ProsProduct ReviewYamaha’s True X Bar 50A Is a Great Midrange SoundbarBuying GuideWhich GoPro Hero Camera Should You Buy?WIRED30WIRED30Tech and Games Can Help Curb Youth SuicideAlex MillerIn the face of lackluster mental health support especially for children of marginalized groups technology and video games can be used to meet young people where they are.WIRED30Amazon’s AI-Powered Van Inspections Give It a Powerful New Data FeedWIRED30NASA’s Psyche Mission Is Off to Test a Space Laser (for Communications)WIRED30Google’s AI Is Making Traffic Lights More Efficient and Less AnnoyingWIRED30Meet the Next Generation of Doctors—and Their Surgical RobotsWIRED ClassicsMix &amp; MatchWhen the Boss of All Dating Apps Met the PandemicArielle PardesTinder. Hinge. OkCupid. Match. A year ago Shar Dubey became the CEO of a multibillion-dollar matchmaking empire. Then singles everywhere went into lockdown.CryptomaniaInside the Crypto World’s Biggest ScandalSea ChangeA Million Little Pieces: The Race to Rebuild the World’s ReefsMind the GapsWhy Inventors Misjudge How We’ll Abuse Their CreationsHyperlinksThe Web Is the Power of the PeopleVideosiconPlayAutocomplete InterviewMåneskin Answer the Web's Most Searched QuestionsiconPlay5 LevelsHarvard Professor Explains Algorithms in 5 Levels of DifficultyiconPlayTech Support Physicist Answers Physics Questions From Twitter | Tech SupporticonPlayObsessedWhy This Woman Deconstructs Antique Books To Save ThemiconPlayAutocomplete InterviewCasey Neistat Answers The Web's Most Searched Questions | WIREDiconPlayVideoInside a Funeral Home with Mortician Victor SweeneyiconPlayTech Support Criminologist Answers True Crime Questions From TwittericonPlayLevels9 Levels of Pickpocketing: Easy to ComplexiconPlayAutocomplete InterviewFanum Answers The Web's Most Searched QuestionsiconPlayTech Support Shark Tank's Mark Cuban Answers Business Questions From TwitterChevronChevronWIRED is where tomorrow is realized. It is the essential source of information and ideas that make sense of a world in constant transformation. The WIRED conversation illuminates how technology is changing every aspect of our lives—from culture to business science to design. The breakthroughs and innovations that we uncover lead to new ways of thinking new connections and new industries.FacebookXPinterestYouTubeInstagramTiktokMore From WIREDSubscribeNewslettersMattressesReviewsFAQWired StaffCouponsEditorial StandardsArchiveContactAdvertiseContact UsCustomer CareJobsPress CenterRSSAccessibility HelpCondé Nast StoreDo Not Sell My Personal Info© 2023 Condé Nast. All rights reserved. Use of this site constitutes acceptance of our User Agreement and Privacy Policy and Cookie Statement and Your California Privacy Rights. WIRED may earn a portion of sales from products that are purchased through our site as part of our Affiliate Partnerships with retailers. The material on this site may not be reproduced distributed transmitted cached or otherwise used except with the prior written permission of Condé Nast. Ad ChoicesSelect international siteUnited StatesLargeChevronUKItaliaJapónCzech Republic &amp; Slovakia</t>
  </si>
  <si>
    <t>www.wired.com</t>
  </si>
  <si>
    <t>ChatGPT | Technology</t>
  </si>
  <si>
    <t>https://www.theguardian.com/technology/chatgpt</t>
  </si>
  <si>
    <t>News sport and opinion from the Guardian's US edition | The GuardianSkip to main contentSkip to navigationPrint subscriptions Sign inSearch jobsSearchUS editionUS editionUK editionAustralia editionInternational editionEurope editionThe Guardian - Back to homeThe GuardianNewsOpinionSportCultureLifestyleShowMoreShow MoreNewsView all NewsUS newsWorld newsEnvironmentUS politicsUkraineSoccerBusinessTechScienceNewslettersWellnessOpinionView all OpinionThe Guardian viewColumnistsLettersOpinion videosCartoonsSportView all SportSoccerNFLTennisMLBMLSNBANHLF1GolfCultureView all CultureFilmBooksMusicArt &amp; designTV &amp; radioStageClassicalGamesLifestyleView all LifestyleWellnessFashionFoodRecipesLove &amp; sexHome &amp; gardenHealth &amp; fitnessFamilyTravelMoneySearch input google-search SearchSupport usPrint subscriptionsUS editionUK editionAustralia editionInternational editionEurope editionSearch jobsDigital ArchiveGuardian Puzzles appGuardian LicensingThe Guardian appVideoPodcastsPicturesInside the GuardianGuardian WeeklyCrosswordsWordiplyCorrectionsFacebookTwitterSearch jobsDigital ArchiveGuardian Puzzles appGuardian LicensingUSWorldEnvironmentUS PoliticsUkraineSoccerBusinessTechScienceNewslettersWellnessIsrael-Hamas warHidePalestinians flee south to escape Israel's bombardments of GazaHundreds of thousands of people march for Palestine in LondonSurvivors of the Nova festival at a memorial and remembrance event in Caesarea IsraelPeople salvage belongings from a damaged building after an Israeli bombing on RafahChildren react during the funeral of a family killed by Israeli bombardment in the Gaza StripFull reportIsraeli troops in key battle with Hamas gunmen near hospital8h agoAt a glanceWhat we know on day 37LondonHundreds of thousands rally for GazaSaudi ArabiaMiddle East leaders hold emergency summit amid‘Personal and painful’How Gaza war has split families friends and colleagues in Britain11h agoFacial recognitionHow Chinese firm linked to Uyghur repression aids Israeli surveillance in West Bank12h agoHeadlinesNatoEx-chief proposes Ukraine joins without Russian-occupied territoriesFormer secretary general says partial membership would warn Russia it cannot stop Ukraine joining the allianceAnalysisAs counteroffensive stalls Ukraine signals readiness for long warUKHundreds of thousands rally for Gaza in London as police arrest far-right protesters7h agoVoting rightsLouisiana must draw new congressional map by mid-January for 2024 electionsLost in spaceAstronaut’s toolbag orbits Earth after escaping during spacewalk3h agoOhioRepublicans move to exclude judges from interpreting enshrined abortion rightsLiveNWSL final: OL Reign v Gotham FC8m agoCaliforniaControversial police-led recall vote wins key ruling8h agoDonald TrumpEx-president pushes for live broadcast of his trial over election subversion11h agoDetroitSuspect in killing of Samantha Woll released from custody without charges12h agoIdahoJudge blocks law stopping adults from helping minors seeking abortionIn focusHide ‘A revenge term’What would another four years of Trump look like?BrazilHow a prison gang became an international criminal leviathanThe PCC – First Capital Command – arose in the country’s notoriously brutal penitentiaries 30 years ago but now controls a billion-dollar drug trade supplying much of Europe’s cocaineThe British are coming!US media sees influx of Britons in top rolesWill Lewis’s helming of the Washington Post comes after the Wall Street Journal and CNN hired other UK talent as top brassSpotlightHideCaliforniaCan goats and sheep stop wildfires? This shepherdess is rallying the flockA rancher in California is training a new generation to fight fires – and foster deeper connections to the land – with farm animalsMichael Winterbottom‘Studying English at Oxford University was a mistake’Pinkpantheress‘I don’t think I’m very brandable. I dress weird. I’m shy’She may have conquered TikTok and then the Billboard charts but the UK pop phenom is still learning how to be herself in public. As she releases her debut album she discusses her rapid rise and which of her viral hits are ‘crap’……Pre-eclampsiaWhy is the condition still causing the deaths of mothers and their babies?The condition affects up to 6% of all pregnancies yet understanding of its causes and how to treat it remains basic……Dream Scenario reviewNicolas Cage is at his very best in savagely funny comedy……Communal livingFor 50 years I’ve let friends and strangers share my house – this can make for better lives for allParty of the People reviewRepublican strength – and weakness – examined‘It is a beast that needs to be tamed’Leading novelists on how AI could rewrite the futureRead more on living a good life in a complex world.OpinionHideMy life has been defined by genocide of Jewish people. I look on Gaza with concernJason StanleyThe history of mass killings for me is never ending. And so are the lessons for todayHow did Sam Bankman-Fried attract investors? Well Fomo probably helpedJohn Naughton12h ago……As The Crown ends a gap arises. A tragi-comedy on a dysfunctional family anyone?Martha Gill12h ago……How two-faced Xi Jinping is exploiting war in Gaza to beget China’s new order Simon TisdallThe death of Jezebel is the end of an era of feminism. We’re worse off without itMoira DoneganWill Ukraine really join the EU? The answer lies with the countries facing the billDermot Hodson……Sign up to the US opinion emailSportsHideNWSL finalGotham FC edge OL Reign for first title as Rapinoe hurt earlyMegan Rapinoe of the OL Reign was injured early in the NWSL final on Saturday and hobbled off the field in the last match of her storied career54m agoOL Reign 1-2 Gotham FCRead Beau Dure's rolling reportCollege footballMichigan grinds past Penn State to stay unbeaten despite Jim Harbaugh ban6h agoHoustonEx-NFL player and former college teammates killed in collisionDJ Hayden who played nine seasons with the Raiders Lions Jaguars and Commanders was in SUV hit by speeding car8h agoMan Utd 1-0 LutonTen Hag says club in ‘very good position’ for top four finish8h agoWill UnwinProsaic win may prove to be another false dawnBournemouth 2-0 NewcastleSolanke doubles up to shoot down Howe's weary side8h ago……‘Very difficult’Father of Luis Díaz speaks for first time after release by Colombia guerillas3h agoSkiingShiffrin places fourth in first World Cup slalom of season after training crashArsenal 3-1 BurnleySleepy Gunners awaken to overwhelm toothless Burnley10h ago……Soccer with Jonathan Wilson: The latest on the global game        Play the Guardian's daily word game and share your score with your        friends      Play Wordiply"          Play           Climate crisisHideClimate crisis and China-US rivalryFive top takeaways from the Pacific’s most important summitEuropeEU strikes landmark deal on law to restore and protect nature AlaskaApproval of divisive oil project upheld in blow to US climate goalsHazardous chemicalsUS faces almost daily accidents research suggestsAcross the countryHideAttack adsPro-Israel groups target US lawmakers critical of Israel’s war ahead of primariesRashida Tlaib and other Democratic ‘Squad’ members – and one Republican – are targets of attack ads as critics support opponentsPhoenixDeadliest year on record as heat fatalities rise by 50%Hottest US city buffeted by extreme temperatures sees 579 heat-related deaths in 2023 with large number among unhoused peopleGeorgiaFederal agency says it stopped measuring water pollution near ‘Cop City’Supreme courtCase heard on reinstating gun possession to people accused of domestic violenceMichiganTwo former officials sue city over ‘unconstitutional’ Pride flag banEric AdamsPhones and iPad of New York mayor Eric Adams were seized by FBI report saysCaliforniaSon of Hollywood agent in custody after woman’s torso found in dumpsterDonald TrumpEx-president suggests he would use FBI to pursue political rivals if elected in 2024FloridaOutrage grows after ‘chilling call for genocide’ by Republican lawmakerHollywoodContract for actors includes $40m yearly in streaming bonusesMore Across the countryLoads more stories and moves focus to first new story.Around the worldHideAustraliaMalaysian hitman released from immigration detention after high court rulingSirul Azhar Umar sentenced in Malaysia over a politically charged murder cannot be deported by Australia because he would face the death penalty1h agoHong KongGay Games amid China’s growing hostility to LGBTQ+ community‘Unthinkable cruelty’Kenyan expert working at Bristol University denied visa for six-year-old daughterSuella BravermanUK home secretary accused of fuelling far-right violence near war memorial10h agoOysters and ice creamMenu for dinner on Titanic sold for £830009h agoParkinson’s‘Why did I get it?’: Australian research into early onset disease hopes to give patients answersUK politicsRishi Sunak faces civil war within his party as he holds off sacking home secretary‘It’s like a jungle’London’s pedicab cyclists welcome licenses but not price controlsAmsterdamHas ‘stay away’ tourism experiment worked?Bad drivingBMW Subaru and Porsche drivers ‘more likely to cause a crash’ study findsMore Around the worldLoads more stories and moves focus to first new story.                        Wake up to a global view on America                                                Get The Guardian's top stories and best reads in one hit. Sign up for First Thing.                            Read the latest here.Sign upSign upDailyPrivacy Notice: Newsletters may contain info about charities online ads and content funded by outside parties. For more information click here for our privacy policy.                                     We operate Google reCaptcha to protect our website and the Google Privacy Policy and Terms of Service apply.                PodcastsPodcastsWeekendWeekend podcast: Harry Potter’s stunt double on life after breaking his neck on set and Marina Hyde on Nadine Dorries’s new book23h agoPolitics Weekly AmericaElections 2023: Republicans lose big on issue of abortion2d agoThe Audio Long Read‘Incoherence and inconsistency’: the inside story of the Rwanda deportation plan – podcast2d agoToday in FocusSuella Braverman the police and the protests2d agoFootball WeeklyChaos in Copenhagen and Arsenal’s easy night – Football Weekly Extra3d agoScienceWhy is the Amazon rainforest drying up? – podcast3d agoPolitics Weekly UKThe king’s speech Suella Braverman and ‘hate marches’ – Politics Weekly UK 3d agodocumentariesMy Blonde GFA disturbing story of deepfake pornography. Sexually explicit images appear on a porn site with Helen's face edited onto other women’s bodies.  In this powerful short film Helen shares the impact this experience has had on her lifeWatch now18:39CultureHideSadistic and misogynistic? Argument erupts over sex claims in book about George Orwell’s marriageAuthor of acclaimed biography Wifedom hits back at critics who say book casts Orwell in an unfairly negative lightNostalgia has consumed pop culture but The Holdovers does something specialAdrian HortonJudi Jackson: My American Songbook reviewA brave musical expedition 12h ago……Ezra Collective reviewA hometown triumph for jazz’s young heroes……Party of the People reviewRepublican strength – and weakness – examinedThe week in classicalJephtha; 7 Deaths of Maria Callas; Perfection of a Kind: Britten v Auden……From Guardian LabsHideDiscover the Laurentians a tranquil Canadian wintertime escapePaid for byThis content was paid for by The Laurentians and produced by the Guardian Labs team.Head to Québec’s Lanaudière region for snowshoeing dog-sledding and skiing galore – and so much morePaid for byThis content was paid for by Lanaudière and produced by the Guardian Labs team.Exploring the Eastern Townships: Close to Montréal far from ordinairePaid for byThis content was paid for by Eastern Townships Québec and produced by the Guardian Labs team.See Montréal come alive this winterPaid for byThis content was paid for by Tourisme Montréal and produced by the Guardian Labs team.LifestyleHideSwedenHow I learned to make and sleep in a snowhole – at minus 30CKevin Rushby saw a way to fulfill his childhood dream with an adventure company in Sweden – but could he ski into the snowy wilderness on a twisted ankle?Dom Joly looks back‘My wife says I’ve become slightly nicer in my 50s. I’m still very argumentative but I have relaxed a bit’……Fendi teddies and Dior perfumeThe multibillion-pound rise of baby bling The new veganMeera Sodha’s recipe for mushroom Guinness and pearl barley stew……The Saturday quizWhat links pickle fish chip and pastry? Try our kids’ quizWhy do we wear socks in summer and how is glass made? Soda bread ice cream and whiskey custardPatrick Powell’s recipes for Irish-style puddings……More LifestyleLoads more stories and moves focus to first new story.Take partHideTell usAre you struggling with medical debt in the US? People in GazaHow have you been affected by the Israel-Hamas war?People in IsraelHow have you been affected by the Israel-Hamas war?Tell usWhat are your super-specific tips for getting to sleep?In case you missed itHideAnalysisWhat would Israel look like under a new leader – and who would benefit?As a former Palestinian negotiator I know Biden’s two-state solution is sheer delusionAhmad Samih KhalidiIt is nigh-on impossible to meet both Israeli security demands and Palestinian requirements for minimal ‘sovereignty’ says writer Ahmad Samih KhalidiIsrael-Hamas warFake news thrives on poorly regulated online platformsClaims on X and Telegram include downplaying 7 October Hamas attack and allegations Palestinians are faking scenes of sufferingAnalysisAs its counteroffensive stalls Ukraine signals readiness for a long warThis is how we do it‘I rarely allow myself to have an orgasm’A shocking episode of racist violence The Wilmington North Carolina massacre of 1898MichiganDisguises subterfuge and conspiracy: college football’s sign-stealing scandal explainedMore In case you missed itLoads more stories and moves focus to first new story.VideoVideo00:02:13LondonHundreds of thousands march in support for Gaza ceasefire on Armistice Day – videoGazaOne child killed every 10 minutes on average says WHO chief 00:01:06Palestinian territoriesCrowds attend funeral procession for those killed in West Bank raidWatchA safe space for Gaza’s children: 'They still have dreams for the future'00:01:46Israel-Hamas warUN-run school among shelters hit in GazaPro-Palestine protestThousands rally in London's Trafalgar Square00:00:44Nepal earthquakeBuildings reduced to rubble in worst quake in eight years00:01:03Storm CiaránFive dead as floods wreak havoc in Tuscany00:11:46IlyaThe AI scientist shaping the world00:01:56'I'm so full of grief'Thousands take to the streets in support of PalestineIn picturesHideLondonThousands march at pro-Palestinian rallyThe most dramatic photographs from today’s march in London where more than 300000 attended and more than 100 counter-protesters were arrested9h agoGraphic designFemale trailblazers of block-printed design11h agoTwenty photographs of the weekThe week around the worldSmart shot‘I just love how sisterly they are. I love the mischief’: William Lepper’s best phone picture……Photos of the dayEchidna Apophis asteroid and Taylor SwiftPhotographyAustralia's Head On portrait award 2023 winners and finalistsMore In picturesLoads more stories and moves focus to first new story.        Tip us off    Share stories with the Guardian securely and confidentiallyMost viewedHideMost viewed Most viewedIsraeli troops in key battle with Hamas gunmen near Gaza City hospitalOutrage grows after ‘chilling call for genocide’ by Florida Republican Ohio Republicans move to exclude judges from interpreting enshrined abortion rightsIsrael-Hamas war: UN calls Gaza fighting ‘reprehensible’ – as it happenedAs a former Palestinian negotiator I know Biden’s two-state solution is sheer delusionLiveNWSL championship 2023: OL Reign 1-2 Gotham FC – live reaction ‘A revenge term’: what would another four years of Trump look like?My life has been defined by genocide of Jewish people. I look on Gaza with concernLost in space: astronaut’s toolbag orbits Earth after escaping during spacewalkEx-Nato chief proposes Ukraine joins without Russian-occupied territoriesMost commentedHow a false claim about wind turbines killing whales is spinning out of control in coastal AustraliaMost sharedIsraeli troops in key battle with Hamas gunmen near Gaza City hospitalExplore more on these topicsPalestinian territoriesIsrael-Hamas warIsraelGazaMiddle East and north AfricaUSWorldEnvironmentUS PoliticsUkraineSoccerBusinessTechScienceNewslettersWellnessNewsOpinionSportCultureLifestyleOriginal reporting and incisive analysis direct from the Guardian every morningSign up for our emailAbout usHelpComplaints &amp; correctionsSecureDropWork for us Privacy policyCookie policyTerms &amp; conditionsContact usAll topicsAll writersDigital newspaper archiveFacebookYouTubeInstagramLinkedInTwitterNewslettersAdvertise with usGuardian LabsSearch jobsBack to top© 2023 Guardian News &amp; Media Limited or its affiliated companies. All rights reserved. (dcr)</t>
  </si>
  <si>
    <t>www.theguardian.com</t>
  </si>
  <si>
    <t>30 Best ChatGPT Alternatives for 2023 | Free &amp; Paid</t>
  </si>
  <si>
    <t>https://writesonic.com/blog/chatgpt-alternatives/</t>
  </si>
  <si>
    <t>Writesonic - Best AI Writer Copywriting &amp; Paraphrasing ToolProductschatsonicbotsonicaudiosonicPricingsign inget startedsign inAI Content Creation &amp; Customer Experience PlatformYour One-Stop Solution for Content Creation Audio Generation Image Crafting and AI Chatbot Development.Get Started FreeWatch an OverviewTrusted by 5000000+ teams agencies and freelancers. 15000+ 5-star ratings.AI Content CreationWrite on-brand factual articles  in no time and rank #1 on GoogleBoost Your Brand's Influence with Trend-Driven SEO-Optimized Blogs Written in Your Unique Brand Voice.Get Started Free PreviousFactual Up-to-date ContentOur AI integrates with Google to pull the latest information ensuring accurate and up-to-date content.Enrich with Knowledge GraphIntegrate company data via Knowledge Graph for insightful data-backed content.Built-in SEO OptimizationWith built-in keyword optimization and the option to add your own list of keywords you can rest assured that you'll rank higher faster.Outrank CompetitorsAnalyze and outperform competitor content with Writesonic's advanced AI algorithms.Consistent Brand StyleEnsure every piece resonates with your unique brand voice using tailored guidelines. Next 12 ChatGPT like ChatMeet Chatsonic — Your generativeAI conversation partnerThe free next-level alternative to ChatGPT for content creation and ideas. It's powered by GPT-4 and designed to tackle ChatGPT's limits.Get Started Free PreviousReal-time Trending AI GenerationsWith Chatsonic's Google Search integration engage in real-time conversations on current events and trending topics effortlessly.Multipurpose file chatUpload various formats – PDFs links blog posts videos and more; Chatsonic extracts key info and crafts content from your important documents.AI-generated artworkElevate your visuals with Chatsonic's ability to create striking digital AI art for social media posts and digital campaigns.Extensive Prompt LibrarySelect from 1000+ Chatsonic prompts for various needs: sales marketing research PR and beyond.Team Collab Made EasyShare prompts across departments to foster teamwork and streamline your workflow for better productivity. Next 12 No-code AI Chatbot BuilderBuild no-code AI chatbotson your own data with BotsonicTrain ChatGPT on your own data and build smarter AI chatbots for your website. Make customer interactions your strong suit using Botsonic.Get Started Free PreviousData-driven CustomizationUpload sitemaps files and URLs to train ChatGPT on your unique data enabling this AI chatbot to assist customers with personalized responses.Chatbot PersonalizationCustomize your AI chatbot with logos colors and messages for a cohesive brand experience. Set starter questions and guidelines for a truly consistent experience.No-code IntegrationEasily set up Botsonic with no-code; embed on your site or integrate via API for a seamless experience.Multilingual SupportReach a global audience with Botsonic's support for up to 30 languages offering multilingual capabilities.Privacy ManagementPrioritize customer privacy and securely capture leads with Botsonic's guaranteed secure environment. Next 12 Write anywhere and everywhere with the AI chrome extensionNo more switching between multiple tabs. Just  your way to Chatsonic’s Chrome extension—the ultimate shortcut for quick content generation. Get Started FreegmailweblinkedinFrom content to success: Customer ROI storiesDiscover how our customers transformed their narratives into tangible returns.Get Started FreeSireesha ChilakamarriCTO at AdMedia5xContent Creation Transformation for AdmediaDiscover how Writesonic's AI-powered solutions transformed AdMedia's content generation process and reduced content queue by 65% leading to unprecedented success.Read moreLaura MalcolmCEO of Give InKind$1000sOf Dollars Saved Per Month for Give InKindDiscover how Give InKind harnessed the power of Writesonic to generate 3.5 million words and create 16000+ product listings while strengthening their community support platform.Read moreAdrian Hery BarrancoMarketing Officer at Biosynth5000+Scientific Product Descriptions Weekly for BiosynthDiscover how Biosynth revolutionized its content creation process merged scientific accuracy with compelling copy and boosted productivity by 375%—all with Writesonic today!Read moreThe AI-powered suite you need right away Accelerate your business with Writesonic.Get Started FreeProduct DescriptionsLearn moreAd CopyLearn moreImages &amp; ArtLearn moreHuman-Like VoiceoversLearn moreSummarizationLearn moreLanding PagesLearn moreSocial MediaLearn moreArticles &amp; BlogsLearn moreProduct DescriptionsLearn moreAd CopyLearn moreImages &amp; ArtLearn moreHuman-Like VoiceoversLearn moreSummarizationLearn moreLanding PagesLearn moreSocial MediaLearn moreArticles &amp; BlogsLearn moreProduct DescriptionsLearn moreAd CopyLearn moreImages &amp; ArtLearn moreHuman-Like VoiceoversLearn moreOne platform multiple AI applicationsLearn more about WritesonicGet all your automation conversations tickets customer dataand reporting working together seamlessly. Maximize team performance by connecting all your other tools to our platform. Best software as voted by you.  The AI-powered solution your business needs. Power up your business with AI: Join 5M+ professionals &amp; teamsLet Writesonic be the catalyst for your business's transformation.Get Started FreeToolsAI Article and Blog WriterParaphrasing ToolSentence ExpanderText SummarizerStory Generator Landing Page GeneratorFree ToolsAI Content DetectorProductsChatsonic Botsonic Audiosonic PhotosonicResourcesBlogGuides and TutorialsAPIFree TemplatesStatusCompanyContact Us About UsCareersHelp CenterWritesonic PricingBotsonic PricingAffiliate ProgramCreator Program© 2023 Writesonic Inc. All rights reserved.Backed by2261 Market Street #4608 San Francisco CA 94114 USATermsPrivacy Policy</t>
  </si>
  <si>
    <t>writesonic.com</t>
  </si>
  <si>
    <t>https://www.reddit.com/r/ChatGPT/</t>
  </si>
  <si>
    <t>OpenAI is letting anyone create their own version of ChatGPT</t>
  </si>
  <si>
    <t>https://www.theverge.com/2023/11/6/23948957/openai-chatgpt-gpt-custom-developer-platform</t>
  </si>
  <si>
    <t>The VergeSkip to main contentThe Verge homepageThe VergeThe Verge logo./Tech/Reviews/Science/Entertainment/MoreMenuExpandThe VergeThe Verge logo.Apple MacBook Pro 16 M3 Max reviewIt’s undoubtedly fast powerful and earns the Pro moniker. It’ll also cost you a pretty penny.Victoria SongNov 10|CommentsTop Stories11Sony’s new ‘slim’ PlayStation 5 is smaller but also weirderAntonio G. Di BenedettoNov 10|Comments22Loki’s season 2 finale dug deep to find a meaning in all of Marvel’s madnessCharles Pulliam-MooreNov 11|Comments33Pushy checkout screens are helping ‘tipflation’Victoria SongNov 11|Comments44The Verge’s staff tries to survive the holiday seasonVerge StaffNov 10|Comments55Hades is coming to NetflixAsh ParrishNov 11|CommentsToday’s StorystreamFeed refreshed WExternal LinkCommentsWes DavisNov 11LinkThere’s good account security and then there’s this.Cybersecurity blogger Brian Krebs wrote today — a little over a year from his 2022 article describing the same issue — that anyone can usurp someone else’s Experian credit account simply by creating a new account. He described what happens after you do so based on his own experience regaining his own stolen Experian account:After that your new account is created and you’re directed to the Experian dashboard which allows you to view your full credit file and freeze or unfreeze it.At this point Experian will send a message to the old email address tied to the account saying certain aspects of the user profile have changed. But this message isn’t a request seeking verification: It’s just a notification from Experian that the account’s user data has changed and the original user is offered zero recourse here other than to a click a link to log in at Experian.com.It’s Still Easy for Anyone to Become You at Experian[briankrebs]NetflixNetflixNetflix’s Terminator anime gets the briefest of teasersAndrew WebsterNov 11|CommentsNetflixNetflixNetflix’s next Neil Gaiman adaptation is Dead Boy DetectivesAndrew WebsterNov 11|CommentsDYoutubeCommentsDavid PierceNov 11LinkWatch the Vergecast crew talk Humane and ChatGPT — and what it’s like to go Full Dex.Because Nilay doesn’t usually have enough stuff to fiddle with during the Vergecast recordings you know what I mean? There was a ton of news this week from the AI Pin to the Steam Deck to custom GPTs. But that’s all just the sideshow to the grand (or not so grand) finale of Nilay’s experiments with Samsung Dex. Is it the end of the road or the beginning of the future? You be the judge.AYoutubeCommentsAndrew WebsterNov 11LinkThe distressed look.Saturday’s edition of Geeked Week opened with the first trailer for Damsel in which “a dutiful damsel agrees to marry a handsome prince only to find the royal family has recruited her as a sacrifice to repay an ancient debt.” It stars Millie Bobby Brown as the princess is directed by Juan Carlos Fresnadillo and will hit Netflix in 2024.WExternal LinkCommentsWes DavisNov 11LinkGoogle’s Jigsaw team created a free tool for small platforms to deal with terrorist content.Wired reported yesterday that the “Altitude” tool gives small user-created content platforms access to a central database of content deemed to be created by terrorist organizations. Altitude joins similar past Jigsaw tools for toxic speech moderation and CSAM identification. The database maintained by the UN-backed online counter-terrorism group Tech Against Terrorism is already used by major tech companies. This New Tool Aims to Keep Terrorism Content Off the Internet[WIRED]Most PopularMost PopularMost PopularHumane officially launches the AI Pin its OpenAI-powered wearableDavid PierceNov 9|CommentsSony’s new ‘slim’ PlayStation 5 is smaller but also weirderAntonio G. Di BenedettoNov 10|CommentsNew teaser for Netflix’s 3 Body Problem series will make you want to play the gameCharles Pulliam-MooreNov 10|CommentsGoogle offered Netflix a sweetheart deal to pay just 10 percent on Google PlaySean HollisterNov 10|CommentsApple reportedly cut a deal to get cleaner Amazon pagesEmma RothNov 10|CommentsRExternal LinkCommentsRichard LawlerNov 11LinkWhat could possibly go wrong again?Following a jury's conviction of former FTX boss Sam Bankman-Fried on fraud charges the Wall Street Journal reports that several former FTX employees including former general counsel Can Sun are involved in launching a new cryptocurrency exchange based on Dubai.Sun and Ferrante said they wanted to use the lessons they learned from FTX’s failure to protect user funds. Backpack Exchange the name under which Trek Labs will do business will use Backpack’s technology to allow users to hold funds in their own “self-custody” crypto wallets that the exchange itself wouldn’t be able to unilaterally access they said.Key Witness at Sam Bankman-Fried Trial to Launch New Crypto Exchange[WSJ]AdvertisementAdvertisementAdvertiser ContentAYoutubeCommentsAndrew WebsterNov 11LinkAnother afternoon of Netflix announcements.For the third day in a row Netflix is streaming a whole bunch of news about its upcoming shows movies and games. Today’s once again takes place at 4PM ET and will include among other things a first look at the film Damsel with Stranger Things star Millie Bobby Brown.WQuoteCommentsWes DavisNov 11LinkHumane is hiring if you’re an Android developer looking for a job.Humane didn’t explicitly say what underpins the Ai Pin’s “Cosmos” operating system when it announced it this week. A Threads user spotted this nugget in a job posting on the company’s website which has a pretty strong hint:Work alongside our System Software team to tightly integrate and customize our usage of Android OS (AOSP)TeslaTeslaIs the Cybertruck’s wiper actually multiple wipers in a row? An investigationNilay PatelNov 10|CommentsWCommentsWes DavisNov 11LinkI can’t emphasize this enough but nothing was greater than McDonald’s in the ‘80s.There’s plenty to criticize about the company but tell that to 7-year-old me climbing up into that hamburger cop’s head.Anyway here are some behind-the-scenes pictures from the Loki McDonald’s episode. While we’re at it here’s the McDonald’s scene from Mac and Me. And an AI-upscaled Mac Tonight commercial.WCommentsWes DavisNov 11LinkSuperman Legacy is still on time.Not every comic book movie is getting a studio delay following the end of the actors strike. James Gunn posted on Threads today that Superman Legacy will still reboot the DC extended universe on its original planned date of July 11th 2025.If you need your Zac Snyder-era DCEU fix much of it will shamble on next month on Netflix.TechTechThe Screen Actors Guild’s strike-ending deal has entered its final stepWes DavisNov 11|CommentsMint is going away but these easy budgeting apps can take its placeMint will disappear at the end of the year but there are other apps that can help you watch your budget.Barbara KrasnoffNov 10|CommentsWThe VergeCommentsWes DavisNov 11LinkBlue Beetle will start streaming on Max next week.I missed this in theaters but I’m excited to catch up on it when it debuts on November 17th as Warner Bros. Discovery announced yesterday. Maybe the movie is a decade late as Charles said in his review. But as a person who’s always fallen more on the DC side of the fence this bit from his review’s opening paragraph has me looking forward to finally seeing it anyway:Blue Beetle feels like the end result of a creative team thoughtfully executing a plan to replicate certain elements of what’s made rival studio Marvel’s films so successful — and not just Warner Bros. clumsily trying to play catch-up.Blue Beetle is the kitschy sort of superhero throwback DC should have been making years agoCharles Pulliam-MooreAug 16WExternal LinkCommentsWes DavisNov 11LinkYep that sounds about right.Business Insider assigned two journalists the task of scrolling 500 TikTok videos each to tally up the number of ads they saw. Both reported that around 30 percent of the content was sponsored. Insider notes that’s similar to broadcast TV’s roughly 28 percent. TikTok’s been testing an ad-free tier for five bucks a month so at least there’s that.We watched 1000 TikToks in one sitting. The algorithm served up a shocking number of ads rivaling network TV.[Insider]WExternal LinkCommentsWes DavisNov 11LinkFree pizza coupons are a risky business when the internet is involved.Domino’s apparently flew too close to the sun this week when the internet figured out via the always-reliable Wario64 and others that its free pizza codes were infinitely reusable. Read all about the chaos in Kotaku’s story.Chaos At Domino’s After Free Pizza Glitch Goes Viral[Kotaku]TechTechSee all TechTechValve reveals the Steam Deck OLED: $549 buys better screen battery and moreSean HollisterNov 9|CommentsSony’s new ‘slim’ PlayStation 5 is smaller but also weirderAntonio G. Di BenedettoNov 10|CommentsGoogle won’t say if companies beyond Spotify got secret special app store dealsSean HollisterNov 9|CommentsAppleAppleApple’s midrange ‘Pro’ M3 chip isn’t looking like a huge upgradeUmar ShakirNov 11|CommentsACommentsAndrew WebsterNov 11LinkA marvelous weekend for entertainment.Leading the way this week is The Marvels which it turns out is actually quite fun. Dream Scenario is also in theaters (it was one of our favorites from TIFF this year) this weekend while David Fincher’s The Killer is now streaming on Netflix.Elsewhere Loki just wrapped up its second season on Disney Plus The Invincible brings a hard sci-fi adventure to next-gen consoles and PC Apple Arcade hit Air Twister is finally on PC and console and Mario Kart 8 Deluxe’s huge wave of new tracks is now complete.PreviousNext1/7The Marvels. Image: Marvel StudiosHumane officially launches the AI Pin its OpenAI-powered wearableIt’s a gadget designed for talking to large-language model AIs instead of typing into apps.David PierceNov 9|CommentsDealsDealsSony’s comfy LinkBuds S earbuds are at their lowest price for a limited timeAntonio G. Di BenedettoNov 11|CommentsGadgetsGadgetsOf course Dbrand’s first novelty keycaps include a ‘fuck off’ keyJon PorterNov 11|CommentsRQuoteCommentsRichard LawlerNov 11LinkSpaceX hypes up its next Starship flight test while ignoring a report about workplace injuries.The FAA still hasn’t cleared SpaceX to attempt another Starship orbital launch from its Boca Chica TX site after the first one caused significant damage to the pad and surrounding environment. SpaceX’s website and this teaser trailer indicate it’s ready to try again as soon as November 17th.Those are also popping up on the same day as a report from Reuters documenting 600 injuries to SpaceX workers since 2014.The records included reports of more than 100 workers suffering cuts or lacerations 29 with broken bones or dislocations 17 whose hands or fingers were “crushed” and nine with head injuries including one skull fracture four concussions and one traumatic brain injury. Musk himself at times appeared cavalier about safety on visits to SpaceX sites: Four employees said he sometimes played with a novelty flamethrower and discouraged workers from wearing safety yellow because he dislikes bright colors.PodcastsPodcastsSee more PodcastsPodcastsToday on the Vergecast: we talk about that new pin that wants to replace the phone.Alex CranzNov 10|CommentsWhat’s at stake in Epic Games’ fight to open up the Google Play Store?Makena KellyNov 8|CommentsBarack Obama on AI free speech and the future of the internetNilay PatelNov 7|CommentsHandheld gaming is the future — againDavid PierceNov 6|CommentsToday on The Vergecast: Google searches iPhone videos and being mad on the internet.David PierceNov 3|CommentsAppleAppleApple reportedly cut a deal to get cleaner Amazon pagesEmma RothNov 10|CommentsRCommentsRichard LawlerNov 8LinkBarack Obama on AI free speech and the future of the internet.In a sitdown with Verge EIC Nilay Patel on Decoder the 44th president discussed Joe Biden’s recently-signed executive order about AI why Obama disagrees with the idea that social networks are a “common carrier” and which iPhone apps he uses the most now that he’s no longer president and he can use an iPhone.InstagramInstagramAd-free Instagram and Facebook is here — and it’s expensiveRichard LawlerNov 10|CommentsETwitterCommentsEmma RothNov 10LinkNaughty Dog is losing another executive.The Last of Us developer announced head of technology Christian Gyrling is leaving the company after 17 years. In addition to layoffs Naughty Dog has seen quite a few executive departures with co-president Evan Wells and narrative designer Josh Scherr leaving earlier this year.NetflixNetflixNew teaser for Netflix’s 3 Body Problem series will make you want to play the gameCharles Pulliam-MooreNov 10|CommentsNetflixNetflixThe first trailer of Netflix’s live-action Yu Yu Hakusho is missing one crucial thingAsh ParrishNov 10|CommentsScienceScienceSee all ScienceScienceRedwood Materials will recycle stationary storage batteries as it expands its scopeAndrew J. HawkinsNov 7|CommentsAmazon’s latest Prime perk is a $100 discount on One MedicalChris WelchNov 8|CommentsThe Tsubame Archax is the coolest $3 million mecha on Earth — and soon the MoonTim StevensOct 30|CommentsAll the biggest news from Netflix Geeked Week 2023Avatar: The Last Airbender Scott Pilgrim Takes Off Devil May Cry Stranger Things and 3 Body Problem are all showing out at Netflix’s Geeked 2023 showcase.Charles Pulliam-MooreNov 11|CommentsNetflixNetflixThe Witcher continues on Netflix with the Sirens of the Deep animated movieAndrew WebsterNov 10|CommentsCreatorsCreatorsThe strikes are over — cue the rewatch podcastsAriel ShapiroNov 10|CommentsEExternal LinkCommentsEmma RothNov 10LinkMaine says MOVEit hackers accessed the information of 1.3 million people.The state government disclosed the breach in a notice posted to its website stating that social security numbers birthdates and driver’s license numbers “may have been involved” in the incident:On May 31 2023 the State of Maine became aware of a software vulnerability in MOVEit a third-party file transfer tool owned by Progress Software and used by thousands of entities worldwide to send and receive data. The software vulnerability was exploited by a group of cybercriminals and allowed them to access and download files belonging to certain agencies in the State of Maine between May 28 2023 and May 29 2023.It adds that anyone who wants to know whether their data was affected by the breach can contact Maine’s dedicated call center.Maine govt notifies 1.3 million people of MOVEit data breach[BleepingComputer]FilmFilmWarner Bros. Discovery just canned another nearly finished filmEmma RothNov 10|CommentsUYoutubeCommentsUmar ShakirNov 10LinkApple’s Space Black aluminum took ‘a lot of R&amp;D for the sake of aesthetics.’iFixit did some digging on the new MacBook Pro and found that Apple’s anodization and dying process must have taken “a huge amount of effort and trial and error” according to metallurgist David Niebuhr.Under a microscope Space Black had higher peaks and lower valleys from an etching process than Space Gray. It still shows light fingerprints but iFixit gives Apple an “A-for-effort.”CreatorsCreatorsSee all CreatorsCreatorsSiriusXM needs to attract a younger audience — its new app isn’t enoughAriel ShapiroNov 9|CommentsChatGPT is powering a new kind of Snapchat lensMia SatoNov 9|CommentsYouTube pages are getting a TikTok-like For You feedWes DavisNov 8|CommentsEpic v. Google: everything we’re learning live in Fortnite courtIn a redux of a case against Apple and iOS Epic aims to dismantle barriers that could spell higher fees for app makers — and Google argues keep Android safe and competitive.Adi RobertsonNov 10|CommentsEYoutubeCommentsEmma RothNov 10LinkEver wonder why Smash Bros. stopped including those neat character cutscenes?Well it’s apparently because the clips kept getting leaked Super Smash Bros. creator Masahiro Sakurai says in a video posted to his YouTube channel. The cutscenes which Sakurai stopped including after SSB Brawl for the Wii appear when you complete adventure mode.“We put a lot of money and effort into making them but before the game even came out people were posting them online” Sakurai said. “This meant they really weren’t much of a reward so I decided to stop making movies that cut in during gameplay.”AndroidAndroidQualcomm’s satellite SOS for Android feature didn’t make it to launchJacob KastrenakesNov 10|CommentsDealsDealsThe Nintendo Switch OLED and Xbox Series X are on sale with a $75 Dell gift cardSheena VasaniNov 10|CommentsACommentsAlex CranzNov 10LinkToday on the Vergecast: we talk about that new pin that wants to replace the phone.I won’t spoil things but we spend quite a while talking about Humane’s AI Pin and what a device needs to be to get us to put down our phones. We also talk about the other big AI news of the week: Open AI’s new app store. Its no-code approach to building new GPTs seems very cool even if its approach to compensating new GPT builders seems decidedly less so.All that plus a steamy lightning round.PaginationMore StoriesEntertainmentEntertainmentSee all EntertainmentEntertainmentLoki’s season 2 finale dug deep to find a meaning in all of Marvel’s madnessCharles Pulliam-MooreNov 11|CommentsAll the biggest news from Netflix Geeked Week 2023Charles Pulliam-MooreNov 11|CommentsHades is coming to NetflixAsh ParrishNov 11|CommentsThe VergeThe Verge logo.Terms of UsePrivacy NoticeCookie PolicyDo Not Sell Or Share My Personal InfoLicensing FAQAccessibilityPlatform StatusHow We Rate and Review ProductsContactTip UsCommunity GuidelinesAboutEthics StatementThe Verge is a vox media networkAdvertise with usJobs @ Vox Media© 2023 Vox Media LLC. All Rights Reserved</t>
  </si>
  <si>
    <t>www.theverge.com</t>
  </si>
  <si>
    <t>OpenAI Lets Mom-and-Pop Shops Customize ChatGPT</t>
  </si>
  <si>
    <t>https://www.nytimes.com/2023/11/06/technology/openai-custom-chatgpt.html</t>
  </si>
  <si>
    <t>The New York Times - Breaking News US News World News and Videos  Skip to contentSkip to site indexSKIP ADVERTISEMENTSearch &amp; Section NavigationSection NavigationSEARCHU.S.InternationalCanadaEspañol中文 Today’s PaperU.S.SectionsU.S.PoliticsNew YorkCaliforniaEducationHealthObituariesScienceClimateSportsBusinessTechThe UpshotThe MagazineU.S. Politics2024 ElectionsSupreme CourtCongressBiden AdministrationNewslettersThe MorningMake sense of the day’s news and ideas.The UpshotAnalysis that explains politics policy and everyday life.See all newslettersPodcastsThe DailyThe biggest stories of our time in 20 minutes a day.The Run-UpOn the campaign trail with Astead Herndon.See all podcastsWorldSectionsWorldAfricaAmericasAsiaAustraliaCanadaEuropeMiddle EastScienceClimateHealthObituariesNewslettersMorning Briefing: EuropeGet what you need to know to start your day.The InterpreterOriginal analysis on the week’s biggest global stories.Australia LetterNews features and opinion for readers in the region.Canada LetterBackstories and analysis from our Canadian correspondents.See all newslettersBusinessSectionsBusinessTechEconomyMediaFinance and MarketsDealBookPersonal TechEnergy TransitionYour MoneyNewslettersDealBookThe most crucial business and policy news you need to know.See all newslettersPodcastsHard ForkOur tech journalists help you make sense of the rapidly changing tech world.See all podcastsArtsSectionsArtsBooksBest SellersDanceMoviesMusicTelevisionTheaterPop CultureT MagazineVisual ArtsRecommendationsCritic’s PicksWhat to ReadWhat to WatchWhat to Listen To5 Minutes to Make You Love MusicNewslettersRead Like the WindBook recommendations from our critics.WatchingStreaming TV and movie recommendations.See all newslettersPodcastsBook ReviewThe podcast that takes you inside the literary world.PopcastPop music news new songs and albums and artists of note.See all podcastsLifestyleSectionsLifestyleHealthWellFoodLoveTravelStyleFashionT MagazineYour MoneyPersonal TechReal EstateColumnsModern LoveThe HuntSocial Q’sThe EthicistWellEatMoveMindFamilyLiveAsk WellNewslettersOpen ThreadThe latest news on what we wear by our chief fashion critic.Love LetterReal stories of relationship highs lows and woes.See all newslettersPodcastsModern LoveThe complicated love lives of real people.See all podcastsOpinionSectionsOpinionGuest EssaysEditorialsOp-DocsVideosLettersTopicsPoliticsWorldBusinessTechClimateHealthCultureColumnistsCharles M. BlowJamelle BouieDavid BrooksGail CollinsRoss DouthatMaureen DowdDavid FrenchThomas L. FriedmanMichelle GoldbergEzra KleinNicholas KristofPaul KrugmanCarlos LozadaFarhad ManjooTressie McMillan CottomPamela PaulLydia PolgreenBret StephensZeynep TufekciPodcastsMatter of OpinionThoughts aloud. With Michelle Cottle Ross Douthat Carlos Lozada and Lydia Polgreen.The Ezra Klein ShowDiscussions of ideas that matter plus book recommendations.See all podcastsAudioAudioPodcasts and narrated articles covering news tech culture and more.Download the Audio app on iOS.ListenThe HeadlinesThe DailyHard ForkThe Ezra Klein ShowMatter of OpinionSerial ProductionsThe Book Review PodcastModern LoveThe Run-UpPopcastReporter ReadsThe Sunday ReadSee all audioFeaturedThe HeadlinesYour morning listen. Top stories in 10 minutes.The Kids of Rutherford CountyA series about how one county illegally jailed children.Reporter ReadsRecent articles read by the reporters behind them.NewslettersAudioOur editors share their favorite listens from the New York Times Audio app.See all newslettersAudio is included in an All Access subscription. Learn more.GamesGamesWord games logic puzzles and crosswords including an extensive archive.PlaySpelling BeeThe Mini CrosswordWordleThe CrosswordVertexConnectionsSudokuLetter BoxedTilesCommunitySpelling Bee ForumWordplay ColumnWordle ReviewSubmit a CrosswordMeet Our Crossword ConstructorsMini to MaestroWordlebotNewslettersGameplayPuzzles brain teasers solving tips and more.See all newslettersGames is included in an All Access subscription. Learn more.CookingCookingRecipes advice and inspiration for everyday cooking special occasions and more.RecipesEasyDinnerQuickHealthyBreakfastVegetarianVeganChickenPastaDessertEditors' PicksThanksgiving RecipesEasy WeeknightNewest RecipesOne-Pot MealsSlow Cooker RecipesComfort FoodParty RecipesNewslettersThe Cooking NewsletterCulinary inspiration from Sam Sifton and Melissa Clark.The VeggieDelicious vegetarian recipes and tips from Tanya Sichynsky.Five Weeknight DishesDinner ideas for busy people from Emily Weinstein.See all newslettersCooking is included in an All Access subscription. Learn more.WirecutterWirecutterReviews and recommendations for thousands of products.ReviewsKitchenTechSleepAppliancesHome and GardenMovingTravelGiftsDealsBaby and KidHealth and FitnessThe Best...Air PurifierElectric ToothbrushPressure WasherCordless Stick VacuumOffice ChairRobot VacuumNewslettersThe RecommendationThe best independent reviews expert advice and intensively researched deals.Clean EverythingStep-by-step advice on how to keep everything in your home squeaky clean.See all newslettersWirecutter is included in an All Access subscription. Learn more.The AthleticThe AthleticPersonalized coverage of your sports teams and leagues.LeaguesNFLMLBNBAPremier LeagueNCAAFNCAAMNHLNCAAWMLSFormula 1NWSLGolfNewslettersThe PulseDelivering the top stories in sports Sunday to Friday.The WindupThe biggest stories in baseball by Levi Weaver with Ken Rosenthal.The BounceEssential NBA news from Zach Harper and Shams Charania.Full TimeThe biggest women's soccer stories from Emily Olsen Meg Linehan &amp; Steph YangThe Athletic is included in an All Access subscription. Learn more.U.S.SectionsU.S.PoliticsNew YorkCaliforniaEducationHealthObituariesScienceClimateSportsBusinessTechThe UpshotThe MagazineU.S. Politics2024 ElectionsSupreme CourtCongressBiden AdministrationNewslettersThe MorningMake sense of the day’s news and ideas.The UpshotAnalysis that explains politics policy and everyday life.See all newslettersPodcastsThe DailyThe biggest stories of our time in 20 minutes a day.The Run-UpOn the campaign trail with Astead Herndon.See all podcastsWorldSectionsWorldAfricaAmericasAsiaAustraliaCanadaEuropeMiddle EastScienceClimateHealthObituariesNewslettersMorning Briefing: EuropeGet what you need to know to start your day.The InterpreterOriginal analysis on the week’s biggest global stories.Australia LetterNews features and opinion for readers in the region.Canada LetterBackstories and analysis from our Canadian correspondents.See all newslettersBusinessSectionsBusinessTechEconomyMediaFinance and MarketsDealBookPersonal TechEnergy TransitionYour MoneyNewslettersDealBookThe most crucial business and policy news you need to know.See all newslettersPodcastsHard ForkOur tech journalists help you make sense of the rapidly changing tech world.See all podcastsArtsSectionsArtsBooksBest SellersDanceMoviesMusicTelevisionTheaterPop CultureT MagazineVisual ArtsRecommendationsCritic’s PicksWhat to ReadWhat to WatchWhat to Listen To5 Minutes to Make You Love MusicNewslettersRead Like the WindBook recommendations from our critics.WatchingStreaming TV and movie recommendations.See all newslettersPodcastsBook ReviewThe podcast that takes you inside the literary world.PopcastPop music news new songs and albums and artists of note.See all podcastsLifestyleSectionsLifestyleHealthWellFoodLoveTravelStyleFashionT MagazineYour MoneyPersonal TechReal EstateColumnsModern LoveThe HuntSocial Q’sThe EthicistWellEatMoveMindFamilyLiveAsk WellNewslettersOpen ThreadThe latest news on what we wear by our chief fashion critic.Love LetterReal stories of relationship highs lows and woes.See all newslettersPodcastsModern LoveThe complicated love lives of real people.See all podcastsOpinionSectionsOpinionGuest EssaysEditorialsOp-DocsVideosLettersTopicsPoliticsWorldBusinessTechClimateHealthCultureColumnistsCharles M. BlowJamelle BouieDavid BrooksGail CollinsRoss DouthatMaureen DowdDavid FrenchThomas L. FriedmanMichelle GoldbergEzra KleinNicholas KristofPaul KrugmanCarlos LozadaFarhad ManjooTressie McMillan CottomPamela PaulLydia PolgreenBret StephensZeynep TufekciPodcastsMatter of OpinionThoughts aloud. With Michelle Cottle Ross Douthat Carlos Lozada and Lydia Polgreen.The Ezra Klein ShowDiscussions of ideas that matter plus book recommendations.See all podcastsAudioAudioPodcasts and narrated articles covering news tech culture and more.Download the Audio app on iOS.ListenThe HeadlinesThe DailyHard ForkThe Ezra Klein ShowMatter of OpinionSerial ProductionsThe Book Review PodcastModern LoveThe Run-UpPopcastReporter ReadsThe Sunday ReadSee all audioFeaturedThe HeadlinesYour morning listen. Top stories in 10 minutes.The Kids of Rutherford CountyA series about how one county illegally jailed children.Reporter ReadsRecent articles read by the reporters behind them.NewslettersAudioOur editors share their favorite listens from the New York Times Audio app.See all newslettersAudio is included in an All Access subscription. Learn more.GamesGamesWord games logic puzzles and crosswords including an extensive archive.PlaySpelling BeeThe Mini CrosswordWordleThe CrosswordVertexConnectionsSudokuLetter BoxedTilesCommunitySpelling Bee ForumWordplay ColumnWordle ReviewSubmit a CrosswordMeet Our Crossword ConstructorsMini to MaestroWordlebotNewslettersGameplayPuzzles brain teasers solving tips and more.See all newslettersGames is included in an All Access subscription. Learn more.CookingCookingRecipes advice and inspiration for everyday cooking special occasions and more.RecipesEasyDinnerQuickHealthyBreakfastVegetarianVeganChickenPastaDessertEditors' PicksThanksgiving RecipesEasy WeeknightNewest RecipesOne-Pot MealsSlow Cooker RecipesComfort FoodParty RecipesNewslettersThe Cooking NewsletterCulinary inspiration from Sam Sifton and Melissa Clark.The VeggieDelicious vegetarian recipes and tips from Tanya Sichynsky.Five Weeknight DishesDinner ideas for busy people from Emily Weinstein.See all newslettersCooking is included in an All Access subscription. Learn more.WirecutterWirecutterReviews and recommendations for thousands of products.ReviewsKitchenTechSleepAppliancesHome and GardenMovingTravelGiftsDealsBaby and KidHealth and FitnessThe Best...Air PurifierElectric ToothbrushPressure WasherCordless Stick VacuumOffice ChairRobot VacuumNewslettersThe RecommendationThe best independent reviews expert advice and intensively researched deals.Clean EverythingStep-by-step advice on how to keep everything in your home squeaky clean.See all newslettersWirecutter is included in an All Access subscription. Learn more.The AthleticThe AthleticPersonalized coverage of your sports teams and leagues.LeaguesNFLMLBNBAPremier LeagueNCAAFNCAAMNHLNCAAWMLSFormula 1NWSLGolfNewslettersThe PulseDelivering the top stories in sports Sunday to Friday.The WindupThe biggest stories in baseball by Levi Weaver with Ken Rosenthal.The BounceEssential NBA news from Zach Harper and Shams Charania.Full TimeThe biggest women's soccer stories from Emily Olsen Meg Linehan &amp; Steph YangThe Athletic is included in an All Access subscription. Learn more.Giant Camps and Mass Deportations: Inside Trump’s 2025 Immigration PlansIf he regains power Donald Trump wants not only to revive some of the immigration policies criticized during his presidency but expand and toughen them.11 min readTrump Takes Veterans Day Speech in a Very Different DirectionDonald Trump said that threats from abroad were less concerning than liberal “threats from within” and that he was a “very proud election denier.”4 min readDonald Trump asked for his federal election trial to be televised but the request faces an uphill battle.2 min readDoug Mills/The New York TimesIsrael-Hamas WarWhat We KnowMapsPhotosLaws of War ExplainedHamas HostagesLIVENov. 11 2023 10:02 p.m. ETGaza’s Largest Hospital Says It Is Struggling to Keep Patients AliveAl-Shifa which has lost power and other Gaza City hospitals have been increasingly under siege as Israel tries to take out Hamas. Iran and Saudi Arabia Regional Rivals Call for Gaza Cease-FireThe leaders of both countries appeared to put aside their historical animosities at a summit to present a united stand against Israel’s bombardment of Gaza.5 min readAl-Shifa and some other Gaza hospitals have come increasingly under Israeli siege over the past few days with hundreds of seriously ill and wounded patients and displaced people stranded on the grounds.Khader Al Zanoun/Agence France-Presse — Getty ImagesIsrael’s military said this week that its troops had encircled Gaza City effectively splitting the Gaza Strip in half.Abed Khaled/Associated PressResidents displaced from Gaza City arriving in Khan Younis on Friday. Samar Abu Elouf for The New York TimesIn just the past week an estimated 50000 to 80000 residents have fled south by foot according to UNRWA the U.N. agency that helps Palestinians.Haitham Imad/EPA via ShutterstockPalestinians mourned their relatives outside the morgue at a hospital in Khan Younis on Saturday. Thousands have died in weeks of heavy Israeli bombardment.Yousef Masoud for The New York TimesAn Israeli tank maneuvering in Gaza on Saturday. Leaders in Europe as well as the United States are increasingly questioning Israel’s military response to the Oct. 7 attacks and calling for a cease-fire to save civilian lives.Evelyn Hockstein/ReutersIsraelis lit candles in Tel Aviv to mark one month since the Oct. 7 attacks this week. Israeli health officials say they have struggled to identify many Israelis and foreigners who were killed in the attacks.Avishag Shaar-Yashuv for The New York TimesProviding Decent Burials for Soviet Soldiers Who Died in World War IIA Russian man searches for the remains of soldiers left on the battlefield almost 80 years ago. Then he had to bury his own son who fought in Ukraine.5 min readUkraine said that it had shot down a Russian missile hurtling toward Kyiv the first such attack on the city in weeks.3 min readNanna Heitmann for The New York TimesBehind the Gates of a Private World for Only the Wealthiest New YorkersAlthough everyday life has become increasingly unaffordable for almost everyone a new class of private members-only and concierge services is emerging.6 min readEugene Gologursky/Getty Images for Haute LivingMike Johnson Pitches Bill to Avert Government ShutdownThe measure which faces an uncertain fate would extend funding for some agencies through late January. It omits funding for Ukraine or Israel.4 min readKenny Holston/The New York TimesTexas Bishop Loudly Critical of Pope Francis Is RemovedThe rare move by Francis was a measure of his frustration with ultraconservatives in the U.S. and of Bishop Joseph Strickland’s criticism of the pope.5 min readKirby Lee/USA Today Sports via ReutersHe’s Gone From Miami to Celebrity to Upending Greek PoliticsThe rapid ascent of Stefanos Kasselakis a former Goldman Sachs trader and Greece’s first openly gay party leader has gripped the nation.5 min readGiannis Papanikos/ZUMA via AlamyTropical Birds Took Over This European Capital Bringing a ‘Splash of Color’After a group of parakeets were released from a zoo in Brussels in the 1970s their numbers soared. A population increase has also occurred across Europe.4 min readMax Pinckers for The New York TimesMax Pinckers for The New York TimesMax Pinckers for The New York TimesMax Pinckers for The New York TimesMax Pinckers for The New York TimesMax Pinckers for The New York TimesThe Only People Who Understand What a Caregiver Goes ThroughMentoring programs bring together those just starting to care for family members with dementia and those who have been coping for some time.5 min readCaroline Gutman for The New York TimesThe WeekenderA Beginner’s Guide to Looking at the UniverseAlso in this edition: Americans head for the drive-through and Barbra Streisand tells all.2 min readDid you follow the news this week? Take our quiz.Play Flashback your weekly history quiz.Ryan Pfluger for The New York Times NASA Nate Ryan for The New York TimesWhat to Watch and Read This WeekendOpinionCarlos LozadaA Trump-Biden Rematch Is the Election We Need5 min readAnna Louie SussmanWhy Aren’t More People Getting Married? Ask Women What Dating Is Like.7 min readNina BurleighIvanka Trump Witness for the Prosecution6 min readSerge SchmemannViolence by West Bank Settlers Cannot Be Ignored5 min readNicholas Kristof‘We Cannot Kill Our Way Out of This Endeavor’5 min readAngelina Kariakina and Zhenya OliinykHer Husband Left to Get Diapers. When He Got Back the Hospital Was Gone.Zhenya OliinykRoss DouthatShould Joe Manchin Run for President?4 min readLucinda RogersDrawings of a City Divided: New York Reacts to the Israel-Hamas War5 min readLetters From Our ReadersTough Decisions About Dementia and End-of-Life Care5 min readOmer BartovWhat I Believe as a Historian of Genocide6 min readTom BonierThis Is the Winning Issue for Biden in 20245 min readEmily YoshidaSofia Coppola and All the Sad Girls8 min readBret StephensIn Israel There Is Grief and There Is Fury. Beneath the Fury Fear.13 min readDavid BrooksDemocrats: You Can Chill Out Now!5 min readThe Ezra Klein ShowAudioWhat Israelis Fear the World Does Not Understand67 min listenJamelle BouieThe G.O.P’s Culture War Shtick Is Wearing Thin With Voters4 min readIn Case You Missed ItTop picks from The Times recommended for youAdvertisementSKIP ADVERTISEMENTMore NewsBREAKINGRapinoe Exits Final Career Game Early With an Apparent Leg InjuryMegan Rapinoe’s final game came to an early heartbreaking close only two minutes and 25 seconds into the N.W.S.L. Championship match.From The AthleticA Pond in Hawaii Turned Pink Raising an Environmental Red FlagDry conditions and high salt levels in the water allowed for halobacteria to thrive turning a pond bubble-gum pink.2 min readRobyn Beck/Getty ImagesKaren Davis Who Battled for the Rights of Birds Dies at 79A fierce campaigner Ms. Davis expanded the reach of the animal rights movement by advocating for chickens turkeys and other farmyard fowl.4 min readSam Bankman-Fried Could Get 100 Years in Prison. What Is Fair?The founder of the failed FTX cryptocurrency exchange was found guilty of seven counts of fraud and conspiracy.7 min readCookingRecipes and guidesAdvertisementSKIP ADVERTISEMENTFine ArtsMatisse and Derain: The Audacious ‘Wild Beasts’ of FauvismThe leaders of a short-lived but consequential art movement that flourished in the early 20th century take center stage at the Met Museum.6 min readArtists Rights Society (ARS) New York/ADAGP Paris; via Galerie Philippe David ZurichDawoud Bey Full Frame: On Richmond’s Trail of the EnslavedIn haunting studies of Black American history a photographer lets the land do the talking.7 min readInside Shary Boyle’s Head-Spinning Palace of WondersThe artist creates a fun house of a show at the Museum of Arts and Design that explores identity.4 min readSwiss Museum in Financial Straits Sells Three Cézannes for $53 MillionMuseum Langmatt said the sales were necessary to keep its doors open.2 min readThe AthleticSports coverageWellAdvertisementSKIP ADVERTISEMENTWirecutterProduct recommendationsGamesDaily puzzlesWordleGuess the 5-letter word with 6 chances.Connections CompanionIn case you need some puzzle help.ConnectionsGroup words that share a common thread.Spelling BeeSubscribers can now play puzzles from previous days.The CrosswordGet clued in with wordplay every day.Letter BoxedCreate words using letters around the square.AdvertisementSKIP ADVERTISEMENTSite IndexSite Information Navigation© 2023 The New York Times CompanyNYTCoContact UsAccessibilityWork with usAdvertiseT Brand StudioYour Ad ChoicesPrivacy PolicyTerms of ServiceTerms of SaleSite MapCanadaInternationalHelpSubscriptions</t>
  </si>
  <si>
    <t>www.nytimes.com</t>
  </si>
  <si>
    <t>ChatGPT: Everything you need to know about OpenAI's ...</t>
  </si>
  <si>
    <t>https://www.sciencefocus.com/future-technology/gpt-3</t>
  </si>
  <si>
    <t>BBC Science Focus Magazine - science nature technology Q&amp;AsSubscribe to BBC Science Focus MagazinePrevious IssuesPodcastQ&amp;ANewsFuture techNatureSpaceHuman bodyEveryday sciencePlanet EarthNewslettersOutlawed human embryo experiments could soon be made legal. Here’s whyThe UK public recently backed a move to extend the 14-day limit on embryo research. moreThe Human BodyRead moreYou’re more likely to lose weight if your doctor is optimistic study findsStethoscope? Check. Gloves? Check. Rose-tinted glasses? Er…moreScience newsRead moreNo you absolutely cannot drop candy into the Large Hadron Collider. Here's whyThe Large Hadron Collider accelerates protons to near the speed of light so throwing an M&amp;M down there could be catastrophic.moreEveryday scienceRead moreNature at its most stunning: The 19 best images from 2023’s Nature Conservancy Photography PrizeIncludes fighter jet tigers alien snakes and underwater phantoms.moreNatureRead moreWhy scientists are now racing to stop a mass plant extinctionThe race is on to document and protect the world’s plant and fungi species... and everything is at stake if we lose.moreNatureRead moreThis is how many humans a T. Rex would need to eat each day to stay aliveAs an apex predator the T. rex would have needed a hefty supply of flesh to meet its dietary requirements.moreQ&amp;ARead moreThe maned wolf: All you need to know about the long-legged star of BBC's Planet Earth IIINot actually a wolf this incredible animal is often referred to as a 'fox on stilts'.moreNatureRead moreHere's what would happen if you lit a firework in spaceWithout additional oxygen provided by Earth's atmosphere fireworks would act very strangely.moreSpaceRead moreSnake Island: The bizarre true story of Earth’s most venomous isleThe deadly golden lancehead snakes living on Snake Island have fast-acting venom which cause a range of nightmarish symptoms.moreNatureRead moreA mysterious force under Antarctica is changing how its ice meltsScientists hope new autonomous drones will reveal the geological secrets that have lain hidden beneath Antarctica's ice for millions of years.moreScience newsRead moreTop reads71 random fun facts that will blow your mindOur collection of the best interesting trivia covers animals biology geography space and much more.moreEveryday scienceRead moreHow to beat anxiety: 8 simple concrete strategies to take control of your mindWhether in the short- or long-term there are lots of different techniques that can help you deal with anxiety.moreThe Human BodyRead more44 cool gadgets: Our pick of the best new tech for 2023Welcome to our regularly updated curation of the coolest smartest kit money can buy.moreFuture TechnologyRead moreMore Top ReadsScience newsJupiter in opposition 2023: How to see the gas giant at its biggest and brightest tonightAstronomer Pete Lawrence shares expert tips and advice on how to spot Jupiter in opposition this November. moreSpaceRead moreScientists finally work out where a starfish’s head isNew research from Stanford University sheds a light on the animal’s interesting body.moreScience newsRead moreScientists discover alien planet debris buried deep under Earth’s crustLong ago an alien planet crashed into Earth – causing a collision so big the debris formed the Moon and left mysterious remnants lodged deep in the Earth’s mantle.moreScience newsRead moreA giant asteroid explosion didn’t kill off the dinosaurs. Dust didNew research suggests dust in Earth’s atmosphere was a leading cause of a mass extinction 66 million years ago.moreScience newsRead moreMore science newsFuture technology8 Fortnite gifts to buy for avid gamersBrowse our favourite Fortnite gifts if you want to treat a gaming-obsessed friend or relative.moreFuture TechnologyRead more10 best gifts for geeksShow the self-confessed geek in your life you care with our pick of the best gifts that will bring joy to anyone's inner nerd.moreFuture TechnologyRead moreThe best Roblox gifts and merchandise in 2023We've put together our picks of the best Roblox gifts to keep fans of the game happy in the real and virtual world.moreFuture TechnologyRead more8 of the best Xbox gifts for gamers in 2023Grab the perfect present with our guide to the best Xbox gifts.moreFuture TechnologyRead moreInstant Genius PodcastFrom the creators of BBC Science Focus Instant Genius is a bite-sized masterclass in podcast form. With each episode a different world-leading expert will help you understand the latest ideas and research in the world of science and tech. We want to make you an expert in everything.Solving the world’s plastic pollution problemHow widespread plastic pollution is – and what we can do  to finally tackle the problem.morePlanet EarthRead moreHow can we make our food more secure?Prof Tim Benton research director at Chatham House explains how our food sources impacts the planet.morePlanet EarthRead moreWhat mass extinctions can teach us about the future of life on EarthInside the surprising and numerous mass extinctions in our planet's history.moreInstant Genius PodcastRead moreListen to more episodesYour questions answeredOur team of scientists doctors and experts answer your burning questions - send yours to questions@sciencefocus.comHere's why musicians pull such weird facesThose strange expressions actually serve a purpose.moreThe Human BodyRead moreWearing headphones might be helping bacteria grow in your earsSealing off the entrance to your ears can increase the population of bugs.moreThe Human BodyRead moreIs water actually wet? Scientists aren't sureWe dive into the surprisingly deep scientific debate.moreEveryday scienceRead moreA doctor reveals how to pick a pillow to banish back painProper spinal support when asleep can bring some relief to back pain here are some general guidelines that could help however you sleep.moreThe Human BodyRead moreWorld's weirdest animals: Meet the great-eared  'goatsucker' nightjar birdThese nocturnal birds have ear-like feathery tufts on their heads excellent night vision and a call which is said to be jarring.moreNatureRead moreWhy are strawberries red?Strawberries are packed with antioxidants which may reduce the risk of certain diseases. The redder the berry the more antioxidants it has.moreNatureRead moreMore Q&amp;AsScience photo galleriesEruption Island: Inside Iceland’s explosive new surge of volcanic activityThe Reykjanes Peninsula in southwest Iceland has recently become a hotbed of volcanic activity. Why is this happening and how worried should we be?morePlanet EarthRead moreMending a broken heart – The British Heart Foundation photography competition winnersTake a look at some amazing images of the human heart courtesy of the British Heart Foundation's 'Reflections of Research' photography competition.moreScience newsRead moreThe 25 most jaw-dropping images from Nikon’s Small World 2023 microphotography contestTake a very close look at alien spiders teeny cuckoo wasps pork parasites and caffeine crystals.moreNatureRead moreIn pictures: The 3D farm technology that could change Earth's food supply foreverCould vertical farming finally provide the breakthrough to a new reliable food source to feed an ever-growing population?moreFuture TechnologyRead moreMutant chickens and microscopic bears: 10 stunning images of nature’s hidden wondersThe most iconic and technically advanced nature pictures of recent years.moreEveryday scienceRead moreProtective parent in a dramatic dive swoops in to win Bird Photographer of the YearAll the latest winners from the annual Bird Photographer of the Year Competition.moreScience newsRead moreFacebookTwitterInstagramPinterestYoutubeRSSTerms &amp; ConditionsPrivacy policyCookies policyCode of conductLicensingMagazine subscriptionsContact UsManage preferencesThis website is owned and published by Our Media Ltd (an Immediate Group Company). www.ourmedia.co.uk© Our Media 2023</t>
  </si>
  <si>
    <t>www.sciencefocus.com</t>
  </si>
  <si>
    <t>youtube</t>
  </si>
  <si>
    <t>YouTube: Главная</t>
  </si>
  <si>
    <t>https://www.youtube.com/?gl=RU&amp;hl=ru</t>
  </si>
  <si>
    <t>YouTube</t>
  </si>
  <si>
    <t>YouTube (МФА: [ˈjuːt(j)uːb], «ютьюб», «ютюб», «ютуб») — видеохостинг, предоставляющий пользователям услуги хранения, доставки и показа видео.</t>
  </si>
  <si>
    <t>https://ru.wikipedia.org/wiki/YouTube</t>
  </si>
  <si>
    <t>YouTube - Apps on Google Play</t>
  </si>
  <si>
    <t>Get the official YouTube app on Android phones and tablets. See what the world is watching -- from the hottest music videos to what's popular in gaming, ...</t>
  </si>
  <si>
    <t>https://play.google.com/store/apps/details?id=com.google.android.youtube&amp;hl=en_US</t>
  </si>
  <si>
    <t>Что такое Микс YouTube - Cправка</t>
  </si>
  <si>
    <t>Микс YouTube – это плейлист с неограниченным количеством композиций. Он составляется с учетом ваших предпочтений. Миксы YouTube можно найти: в результатах ...</t>
  </si>
  <si>
    <t>https://support.google.com/youtube/answer/9011078?hl=ru</t>
  </si>
  <si>
    <t>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t>
  </si>
  <si>
    <t>support.google.com</t>
  </si>
  <si>
    <t>YouTube заблокировал видео журналиста из Венгрии с ...</t>
  </si>
  <si>
    <t>17 часов назад —</t>
  </si>
  <si>
    <t>https://www.vedomosti.ru/media/news/2023/11/11/1005325-youtube-zablokiroval</t>
  </si>
  <si>
    <t>«Ведомости» — ведущее деловое издание России.                  Газета   Войти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Импорт легковых машин в Россию вырос в три раза           Рост утильсбора и внутреннего производства замедлят эту динамику в 2024 году                Сохраните статью в «Отложенных материалах» чтобы дочитать когда появится время. Для этого      войдите или зарегистрируйтесь.     Развернуть обратно   Кадр дня          Сохраните статью в «Отложенных материалах» чтобы дочитать когда появится время. Для этого      войдите или зарегистрируйтесь.     Развернуть обратно   ЦБ рассказал о расширении присутствия страховщиков в новых регионах         Сохраните статью в «Отложенных материалах» чтобы дочитать когда появится время. Для этого      войдите или зарегистрируйтесь.     Развернуть обратно  «Чувства Анны»   из космоса с любовью         В прокат вышел новый фильм Анны Меликян про женщину которая начала слышать инопланетные голоса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Министр просвещения России лично показал главе Чечни новый учебник истории         Сохраните статью в «Отложенных материалах» чтобы дочитать когда появится время. Для этого      войдите или зарегистрируйтесь.     Развернуть обратно   Продажи инсулина в России достигли пятилетнего минимума Пациенты и госструктуры перестали скупать препарат впрок считают эксперты        Сохраните статью в «Отложенных материалах» чтобы дочитать когда появится время. Для этого      войдите или зарегистрируйтесь.     Развернуть обратно  «Волшебный участок»   фантастические твари и волшебная полиция         На видеосервисе Okko стартовал показ сериала о современной Москве и ее сказочных обитателях              Сохраните статью в «Отложенных материалах» чтобы дочитать когда появится время. Для этого      войдите или зарегистрируйтесь.     Развернуть обратно  Жора Крыжовников   «Чтобы их заманить нужно на пупе крутиться»         Сценарист режиссер и продюсер о «взрослых» зрителях и новых реалиях сериального производства в России              Сохраните статью в «Отложенных материалах» чтобы дочитать когда появится время. Для этого      войдите или зарегистрируйтесь.     Развернуть обратно   Российским инвесторам заплатят поровну при обмене активами с иностранцами По оценке ЦБ средств хватит всем чей портфель не превышает 100 000 рублей        Сохраните статью в «Отложенных материалах» чтобы дочитать когда появится время. Для этого      войдите или зарегистрируйтесь.     Развернуть обратно  Сюжет Партнер    Реклама  ООО «Ньютон Инвестиции»   Erid:LdtCKN4fB             Подробно с информацией можно ознакомиться на gazprombank.investments/broker/disclosure             Инвестиции читать все материалы    Совет директоров UC Rusal рекомендовал не платить дивиденды за девять месяцев  Сбербанк получил 133 млрд рублей чистой прибыли в октябре  Торги вечным фьючерсом на индекс Мосбиржи начнутся 14 ноября        Сохраните статью в «Отложенных материалах» чтобы дочитать когда появится время. Для этого      войдите или зарегистрируйтесь.     Развернуть обратно   Первая группа российских граждан на выходе из Газы в Египет Из 85 человек одобренных к проходу через КПП «Рафах» 68 – женщины и дети        Сохраните статью в «Отложенных материалах» чтобы дочитать когда появится время. Для этого      войдите или зарегистрируйтесь.     Развернуть обратно   Жора Крыжовников рассказал о новой иерархии в цепи «продюсер – режиссер – сценарист»         Сохраните статью в «Отложенных материалах» чтобы дочитать когда появится время. Для этого      войдите или зарегистрируйтесь.     Развернуть обратно   Директор департамента корпоративных отношений ЦБ переходит в Мосбиржу Елена Курицына займется взаимодействием с эмитентами и органами власти        Сохраните статью в «Отложенных материалах» чтобы дочитать когда появится время. Для этого      войдите или зарегистрируйтесь.     Развернуть обратно   Естественная убыль населения сократилась за 9 месяцев почти на четверть         Сохраните статью в «Отложенных материалах» чтобы дочитать когда появится время. Для этого      войдите или зарегистрируйтесь.     Развернуть обратно            Партнер сюжета            Реклама     i   Erid:LdtCKew5y             gsb.hse.ru           Главные российские ИТ-тренды 2024 читать все материалы                   В интересах трафика                            Ключ от всех дверей                            Понятно без швов                    Сохраните статью в «Отложенных материалах» чтобы дочитать когда появится время. Для этого      войдите или зарегистрируйтесь.     Развернуть обратно   ЦБ предупредил о накоплении рисков в «мусорных» облигациях Спрос физлиц на такие бумаги сократил покрытие риска доходностью        Сохраните статью в «Отложенных материалах» чтобы дочитать когда появится время. Для этого      войдите или зарегистрируйтесь.     Развернуть обратно   Как господдержка помогает экспортерам преодолевать границы и барьеры Почему бизнесу важно сотрудничать с регионами и федеральной властью        Сохраните статью в «Отложенных материалах» чтобы дочитать когда появится время. Для этого      войдите или зарегистрируйтесь.     Развернуть обратно   Съезд «Единой России» пройдет 17 декабря         Сохраните статью в «Отложенных материалах» чтобы дочитать когда появится время. Для этого      войдите или зарегистрируйтесь.     Развернуть обратно   ЦБ не планирует регулировать кредитование через ЦФА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Россиянин «обменял» 85 млн рублей на фальшивые доллары в офисе «Уралсиба» Бизнесмен натолкнулся на мошенника который якобы являлся сотрудником банка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Беспилотники будут использовать для мониторинга территорий ФСИН Минюст включил их в проект регламента технических средств надзора за заключенными        Сохраните статью в «Отложенных материалах» чтобы дочитать когда появится время. Для этого      войдите или зарегистрируйтесь.     Развернуть обратно  Сюжет    Обострение конфликта между Израилем и Палестиной: что происходит читать все материалы    Израиль пообещал Ливану судьбу Газы при вовлечении в войну с палестинцами  Президент Ирана призвал страны исламского мира вооружить палестинцев  Эрдоган заявил что Израиль поддерживают меньшинство стран        Сохраните статью в «Отложенных материалах» чтобы дочитать когда появится время. Для этого      войдите или зарегистрируйтесь.     Развернуть обратно Путин посетил штаб ВС РФ в Ростове-на-Дону          Сохраните статью в «Отложенных материалах» чтобы дочитать когда появится время. Для этого      войдите или зарегистрируйтесь.     Развернуть обратно Сектор Газа покинут первые 85 граждан России          Сохраните статью в «Отложенных материалах» чтобы дочитать когда появится время. Для этого      войдите или зарегистрируйтесь.     Развернуть обратно   Почему кадровый дефицит стал главной проблемой российской экономики В ЦБ считают что решить ее может увеличение производительности труда        Сохраните статью в «Отложенных материалах» чтобы дочитать когда появится время. Для этого      войдите или зарегистрируйтесь.     Развернуть обратно   О чем говорили президенты России и Казахстана в Астане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Вынесен первый приговор в Москве по делу об убийстве Дарьи Дугиной         Сохраните статью в «Отложенных материалах» чтобы дочитать когда появится время. Для этого      войдите или зарегистрируйтесь.     Развернуть обратно   Кадр дня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Сообщения партнеров       Смотреть справочник компаний             Сохраните статью в «Отложенных материалах» чтобы дочитать когда появится время. Для этого      войдите или зарегистрируйтесь.     Развернуть обратно        Бизнес                 Цены на ДСП начали расти на фоне пика производства мебели                  «Аэрофлот» в два раза увеличит число самолетов в красноярском хабе                  «Интер РАО» займется ТЭЦ в Казахстане                  «Южуралзолото» разместит на IPO до 5% акций               В рубрику «Бизнес»        Сохраните статью в «Отложенных материалах» чтобы дочитать когда появится время. Для этого      войдите или зарегистрируйтесь.     Развернуть обратно        Экономика                 Минтруд и Минстрой хотят расширить семейную ипотеку на вторичку в небольших городах                  О чем говорила Набиуллина в Госдуме. Главное                  На реновацию Центра подготовки космонавтов выделят более 5 млрд рублей                  Эксперты назвали пять фундаментальных недочетов регулирования цифрового рубля               В рубрику «Экономика»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Сообщения компаний Смотреть справочник компаний ПСК Фарма «ПСК Фарма» – работодатель 2023 годаПрограммный продукт «Программный Продукт» поддерживает российский велоспортНострой Россия и Китай утвердили план сотрудничества на 2024 год в сфере строительстваЛанит ЛАНИТ стал обладателем награды Russian Compliance AwardСитроникс Эксперт Sitronics Group по информационной безопасности стал спикером курса профессиональной переподготовки «Управление информационной безопасностью в органе (организации)» в МГТУ им. Н.Э. БауманаВСК Ольга Сорокина на полях FINOPOLIS 2023 рассказала о потенциале использования цифрового профиля в страхованииИнгосстрах Фокус на онлайн-каналы: Дальневосточный региональный центр «Ингосстраха» рассказал об итогах полугодияНострой НОСТРОЙ и Китайское общество гражданского строительства заключили в Пекине соглашение о сотрудничествеМинистерство инвестиций промышленности и науки Московской области Фонд микрофинансирования Подмосковья поддержал бизнес на 45 млрд рублей          Сохраните статью в «Отложенных материалах» чтобы дочитать когда появится время. Для этого      войдите или зарегистрируйтесь.     Развернуть обратно        Финансы                 ЦБ хочет ввести единый QR-код для оплаты товаров                  Президент подписал указ для запуска обмена заблокированных активов россиян                  «Сбер» запретил ИИ Kandinsky генерировать государственную символику                  В Альфа-банке предложили «Сберу» платить меньше дивидендов               В рубрику «Финансы»        Сохраните статью в «Отложенных материалах» чтобы дочитать когда появится время. Для этого      войдите или зарегистрируйтесь.     Развернуть обратно        Инвестиции                 Российским инвесторам заплатят поровну при обмене активами с иностранцами                  ЦБ предупредил о накоплении рисков в «мусорных» облигациях                  ЦБ не планирует регулировать кредитование через ЦФА                  «Южуралзолото» разместит на IPO до 5% акций               В рубрику «Инвестиции»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Политика                 Европарламент призвал не отбирать автомобили у россиян                  Как Франция пытается добиться гуманитарной паузы в секторе Газа                  Украина рассорила кандидатов-республиканцев                  Госдума утвердила план экспертных исследований в 2024 году               В рубрику «Политика»        Сохраните статью в «Отложенных материалах» чтобы дочитать когда появится время. Для этого      войдите или зарегистрируйтесь.     Развернуть обратно        Технологии                 Рынок сервисов видео-конференц-связи в 2023 году достигнет $40 млн                  На реновацию Центра подготовки космонавтов выделят более 5 млрд рублей                  За мусорными полигонами будут вести наблюдение с помощью дронов                  На аптечных сайтах фиксируется аномальный рост грязного трафика               В рубрику «Технологии»        Сохраните статью в «Отложенных материалах» чтобы дочитать когда появится время. Для этого      войдите или зарегистрируйтесь.     Развернуть обратно        Медиа                 Жора Крыжовников рассказал о новой иерархии в цепи «продюсер – режиссер – сценарист»                  Жора Крыжовников рассказал о нежелании снимать полнометражные фильмы                  Самые кассовые фильмы Жоры Крыжовникова                  «Волшебный участок»: фантастические твари и волшебная полиция               В рубрику «Медиа»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Недвижимость                 На месте заводов «Топаз» и «Аметист» на юго-востоке Москвы может появиться жилье                  Рядом с «Москва-сити» появится еще около 2 млн кв. м недвижимости                  Сеть Apollax Space откроет гибкий офис в здании Мещанинова подворья                  «Время масштабной «ковровой застройки» уже прошло»               В рубрику «Недвижимость»        Сохраните статью в «Отложенных материалах» чтобы дочитать когда появится время. Для этого      войдите или зарегистрируйтесь.     Развернуть обратно        Авто                 Минпромторг пересмотрел подходы к локализации в автопроме                  Продажи новых легковых автомобилей в октябре выросли в 26 раза                  УАЗ поднял цены на свои автомобили из-за подорожания логистики                  В правительстве поддержали законопроект по локализации автомобилей такси               В рубрику «Авто»        Сохраните статью в «Отложенных материалах» чтобы дочитать когда появится время. Для этого      войдите или зарегистрируйтесь.     Развернуть обратно        Сохраните статью в «Отложенных материалах» чтобы дочитать когда появится время. Для этого      войдите или зарегистрируйтесь.     Развернуть обратно        Менеджмент                 Многие российские компании декларируют комплексную заботу о здоровье сотрудников                  Кадровый голод диктует российским компаниям новые способы найма и удержания персонала                  Курьеров накормят по дороге                  Уже более трети вакансий в IT приходится на удаленщиков               В рубрику «Менеджмент»        Сохраните статью в «Отложенных материалах» чтобы дочитать когда появится время. Для этого      войдите или зарегистрируйтесь.     Развернуть обратно        Карьера                 Более 3000 предприятий сотрудничают с вузами по стратегическим проектам                  Российскому рынку не хватает около 5000 маркетологов в сфере промышленности                  Россияне по-прежнему считают самой престижной работу в сфере IT                  Суммарный доход российских фрилансеров вырос на 53% в первом полугодии               В рубрику «Карьера»        Сохраните статью в «Отложенных материалах» чтобы дочитать когда появится время. Для этого      войдите или зарегистрируйтесь.     Развернуть обратно        Стиль жизни                 Самые кассовые фильмы Жоры Крыжовникова                  «Слово пацана»: очень страшные дела                  Анатолий Шульев: «Зрителю нужен катарсис»                  «Музей духовного авангарда»: альтернативная оттепель               В рубрику «Стиль жизни»        Сохраните статью в «Отложенных материалах» чтобы дочитать когда появится время. Для этого      войдите или зарегистрируйтесь.     Развернуть обратно    ПодпискаРекламаРФРИТСправочник компанийПодписка для юр.лицО компанииРедакцияМенеджментАрхивОбратная связьСправочный центр Наши проекты  Контакты 127018 г. Москва ул. Полковая д. 3 стр. 1 На карте   +7 495 956-34-58 info@vedomosti.ru Рассылки «Ведомостей» — получайте главные деловые новости на почту Я хочу подписаться  Ведомости в Twitter Ведомости в Vk Ведомости в Telegram Ведомости в Flipboard Ведомости в Tenchat Мобильное приложение         Сетевое издание Ведомости (Vedomosti)           Решение Федеральной службы по надзору в сфере связи информационных технологий и массовых коммуникаций      (Роскомнадзор) от 27 ноября 2020 г. ЭЛ № ФС 77-79546           Учредитель: АО «Бизнес Ньюс Медиа»           И.о. главного редактора: Казьмина Ирина Сергеевна           Электронная почта: news@vedomosti.ru Телефон: +7 495 956-34-58       Сайт использует IP адреса cookie и данные геолокации Пользователей сайта условия использования содержатся в      Политике по защите персональных данных       Любое использование материалов допускается только при соблюдении       правил перепечатки  и при наличии гиперссылки на vedomosti.ru       Новости аналитика прогнозы и другие материалы представленные на данном сайте не являются офертой или рекомендацией к покупке или продаже каких-либо активов.              На информационном ресурсе применяются рекомендательные технологии (информационные технологии предоставления информации на основе сбора систематизации и анализа сведений относящихся к предпочтениям пользователей сети «Интернет» находящихся на территории Российской Федерации).        Правила применения рекомендательных технологий в виджетах рекламно-обменной сети «СМИ2»  размещенных на сайте vedomosti.ru       Все права защищены © АО Бизнес Ньюс Медиа ИНН/КПП 7712108141/771501001 ОГРН 1027739124775 127018 г. Москва ул. Полковая дом 3 строение 1 помещение I этаж 2 комната 21. 1999—2023                 Любое использование материалов допускается только при соблюдении         правил перепечатки  и при наличии гиперссылки на vedomosti.ru         Новости аналитика прогнозы и другие материалы представленные на данном сайте не являются офертой или рекомендацией к покупке или продаже каких-либо активов.                  На информационном ресурсе применяются рекомендательные технологии (информационные технологии предоставления информации на основе сбора систематизации и анализа сведений относящихся к предпочтениям пользователей сети «Интернет» находящихся на территории Российской Федерации).          Правила применения рекомендательных технологий в виджетах рекламно-обменной сети «СМИ2»  размещенных на сайте vedomosti.ru         Все права защищены © АО Бизнес Ньюс Медиа ИНН/КПП 7712108141/771501001 ОГРН 1027739124775 127018 г. Москва ул. Полковая дом 3 строение 1 помещение I этаж 2 комната 21. 1999—2023                   Сетевое издание Ведомости (Vedomosti)               Решение Федеральной службы по надзору в сфере связи информационных технологий и массовых коммуникаций        (Роскомнадзор) от 27 ноября 2020 г. ЭЛ № ФС 77-79546               Учредитель: АО «Бизнес Ньюс Медиа»               И.о. главного редактора: Казьмина Ирина Сергеевна               Электронная почта: news@vedomosti.ru Телефон: +7 495 956-34-58         Сайт использует IP адреса cookie и данные геолокации Пользователей сайта условия использования содержатся в        Политике по защите персональных данных</t>
  </si>
  <si>
    <t>www.vedomosti.ru</t>
  </si>
  <si>
    <t>YouTube заблокировал видео венгерского журналиста с ...</t>
  </si>
  <si>
    <t>18 часов назад —</t>
  </si>
  <si>
    <t>https://www.rbc.ru/rbcfreenews/654f29799a794763fb726e29</t>
  </si>
  <si>
    <t>YouTube. Как самый популярный видеохостинг завоевал мир?</t>
  </si>
  <si>
    <t>https://books.google.ru/books?id=vsS_EAAAQBAJ&amp;pg=PT292&amp;lpg=PT292&amp;dq=youtube&amp;source=bl&amp;ots=WQHLXAoj-V&amp;sig=ACfU3U1Wfks5N7DmWNNuVSPSqaRskMo_gg&amp;hl=ru&amp;sa=X&amp;ved=2ahUKEwi3-s7Pqr2CAxVFlYkEHdSYDAsQ6AF6BAgyEAM</t>
  </si>
  <si>
    <t>Google �����������������������PlayYouTube����������������������������������������� ����������������������Blogger����������������������� �������� »Account Options��������������� ������� ���������� � ������� �������������������� ��������������� ������������������������� ��������������������</t>
  </si>
  <si>
    <t>books.google.ru</t>
  </si>
  <si>
    <t>ЮтубинаСила. YouTube для бизнеса. Как продавать товары и ...</t>
  </si>
  <si>
    <t>https://books.google.ru/books?id=YnmDDwAAQBAJ&amp;pg=PA2011&amp;lpg=PA2011&amp;dq=youtube&amp;source=bl&amp;ots=TkmbnD1Umk&amp;sig=ACfU3U29fZzHEYCkLXShwbQhIu6PLUehqQ&amp;hl=ru&amp;sa=X&amp;ved=2ahUKEwi3-s7Pqr2CAxVFlYkEHdSYDAsQ6AF6BAgxEAM</t>
  </si>
  <si>
    <t>YouTube заблокировал программу с российским ...</t>
  </si>
  <si>
    <t>https://ria.ru/20231111/youtube-1908793764.html</t>
  </si>
  <si>
    <t>YouTube: Путь к успеху. Часть 2. Как получать фуры лайков и ...</t>
  </si>
  <si>
    <t>https://books.google.ru/books?id=TENTDAAAQBAJ&amp;pg=PT235&amp;lpg=PT235&amp;dq=youtube&amp;source=bl&amp;ots=kj1XP-jK3W&amp;sig=ACfU3U0ruU0GBxsYF5qWK6wY6_W1xgOtqQ&amp;hl=ru&amp;sa=X&amp;ved=2ahUKEwi3-s7Pqr2CAxVFlYkEHdSYDAsQ6AF6BAgvEAM</t>
  </si>
  <si>
    <t>Женщина, которая руководила очередью на границе ...</t>
  </si>
  <si>
    <t>https://autogrodno.by/news/30590-utrom-prosnulas-zvezdoj-youtube-konflikt-na-granice.html</t>
  </si>
  <si>
    <t>АвтоГродно - Автомобили Гродно   Новости Услуги Купить авто Лакацыя Потери и находки Гродно        Вход / Регистрация                Запомнить меня        ВойтиЗабыли пароль?Забыли логин?Регистрация   Новости Услуги Купить авто Лакацыя          ЛогинПароль				  	Запомнить меня				                      Забыли пароль?                    Забыли логин?                        Регистрация               Как дела у команды "Лихого топора" из Гродно             Бесплатная гарантия на шины от повреждений – новая услуга в магазинах "Автосеть"             Женщина которая руководила очередью у литовской границы дала интервью     Новости     Журналисты пришли на площадку с конфискованными в Беларуси автомобилями. Вот что там продают Как правило в «конфискате» продают очень дешевые машины а дешевое крайне редко бывает хорошим. Но есть ли там достойные автомобили и сколько они стоят?  "Может быть родители узнают?" Мальчик на самокате появился из темноты и промчался перед бампером автомобиля в Гродно Андрей читатель АвтоГродно ехал вчера вечером по дворам вдоль жилого дома "Калиновского 50". Вдруг пришлось экстренно тормозить.  Какие льготы есть у инвалидов Беларуси при пересечении границы? Официальный ответ Гродненская пограничная группа помогает разобраться в некоторых вопросах пересечения государственной границы.  Какие сейчас проекты собирают в гродненской мастерской "Лихого топора" – репортаж «Никто и не говорил что мечта должна быть разумной». Так звучит статус «Лихого Топора» в одной из его соцсетей.  В воскресенье будут перекрыты некоторые дороги в Гродно. Пройдет семейный забег В воскресенье 12 ноября с 11:00 до 15:00 в городе Гродно будет перекрыто движение по некоторым улицам. ГАИ Гродно ищет водителя внедорожника: вчера утром он уехал с места ДТП. Имеется запись с регистратора На проспекте Янки Купалы 10 ноября около 07:52 произошло столкновение автомобилей Citroen С3 голубого цвета и внедорожника темного цвета. Утром на Домбровского сбили девушку. Она в больнице Утром 11 ноября в 8:37 31-летний водитель Volkswagen двигался по улице Домбровского в направлении кольца Фортов. Как парочка в Слониме прогулялась на уголовную статью. Видео На днях 29-летний житель Слонима и его 29-летняя подруга отдыхали в гостях у друга где употребляли спиртные напитки. В Нидерландах убили белорусского дальнобойщика МИД Беларуси официально подтвердил смерть гражданина Беларуси. Сотрудники ГАИ взяли "Автоураганы" и поехали искать нарушителей по Гродно – авто без техосмотра и водителей без "прав" В гродненской ГАИ есть специальные приборы – "Автоураганы". Это компьютерные комплексы которые позволяют вычислять нарушителей прямо в потоке. Сегодня 10 ноября по Гродно ездили сразу два экипажа ГАИ с "Автоураганами".  Почитать еще   Вы достигли конца. Наши новости закончились Каталог услуг  Все услуги &gt;  			СТО Гродно		  			Автомагазины		  			Авторазборки		  			Шиномонтажи		  			Эвакуаторы		  			Спецтехника		  			Автомойки		  			Химчистка		  			Автокомисы		  			Автосалоны		                                      Все категории                                СТО ГродноАвтомагазиныАвторазборкиШиномонтажиТехОсмотрыАвтомойкиХимчисткиЭвакуация автомобилейПрокат прицеповПрокат авто / мото / квадро Магазины и СТО БелостокаАвто из СШААвто из ЕвропыПомощь в доставке авто из ЕвропыАвто в лизинг АвтошколыАвтосалоныМотосалоныАвтокомисыТакси и пассажирские перевозкиГрузотаксиСпецтехникаСтрахование автомобилейАвтоподборСрочный выкуп автоАкции и скидки в ГродноВеломагазиныВеломастерские Рекомендуем   СТО по кузовному ремонту "Фолюш"    Ремонт глушителей - ИП Масюк П.А.    ИП Дубровщик - аренда минитрактора (мини-экскавтор + мини-погрузчик) и прицепа под категорию "B"    ОАО Гродноавтосервис - СТО    "БАТАВТОТРЕЙД" - аккумуляторы в Гродно    12 Вольт Автосвет    Все компании Гродно  Продажа авто  Ещё &gt; Mitsubishi Galant                                  1997                                                                                                  бензин (пропан-бутан)                                 Hyundai Santa Fe                                  2005                                                                                                  бензин                                 Honda 7                                  2003                                                                                                  бензин (пропан-бутан)                                 KIA Carnival                                   1999                                                                                                  дизель                                 Opel  Signum                                   2005                                                                                                  бензин                                 Ford Fiesta                                   2019                                                                                                  дизель                                 BMW X3                                  2022                                                                                                  бензин                                 Citroen C4                                   2006                                                                                                  бензин                                 Audi Q7                                  2019                                                                                                  бензин                                  Разместить объявление  Все объявления  Обзоры          Какие сейчас проекты собирают в гродненской мастерской "Лихого топора" – репортаж             "Мы ввязались в то чего не понимали". История реставрации Chevrolet Monza из Гродно             Белорус своими руками собрал гусеничный вездеход из Seat и покорил ТикТок             Белоруска мастер спорта международного класса ушла в дальнобой и ездит с собакой! «Да хоть с крокодилом! Главное чтобы в кабине было чисто!»             Haval DARGO выехал на тест-драйв в Гродно. Первые впечатления и обзор      По полям по полям синий трактор едет к нам! Белорус показал восстановленный МТЗ-50 1965 г. в. У белорусской семьи есть настоящий МТЗ-50 «Беларусь» (или «Полтинник» как его прозвали в народе)! Причем его приобрели в состоянии "списанного на металлолом" но за пару лет вернули к полноценной жизни. Потрясающая Jetta Mk1 из Гродно: создана чтобы ловить взгляды Виктор занялся восстановлением Volkswagen Jetta Mk1 1983 года выпуска несколько лет назад прошел через трудности но собрал восхитительный экземпляр! Как у него это получилось? Haval уже в Гродно. Всех зовут на тест-драйвы и за подарками. Посмотрите какие модели внутри шоурума и по какой цене C 3 по 6 ноября в автосалоне Haval в Гродно состоятся презентации новых кроссоверов расширенные тест-драйвы и конкурсы с подарками. Приглашают всех! Корреспондент АвтоГродно побывал в салоне Haval накануне события и посмотрел какие модели представлены в нашем городе. Эти машины белорусы не могут продать годами. Посмотрели на "висяки" авторынка РБ За какое время обычно в Беларуси продаются автомобили? Месяц два три? Порой на продажу автомобиля уходят годы. И таких случаев в нашей стране достаточно. Заглянув на известный в РБ ресурс по продаже автомобилей мы установили фильтр по самым старым объявлениям. Сложно себе представить но некоторые объявления датируются 2015 - 2020 годами! При этом владельцы их регулярно обновляют. Посмотрите какие машины уже давно ищут новых владельцев. Белорус пригнал из Китая "рестайлинговый Кулрей" – Binyue Cool. Он сильно отличается от предшественника Белорусы продолжают искать и покупать новинки из Китая. Так минчанин только что получил из Поднебесной Binyue Cool первая генерация которого известна у нас под именем Coolray (сейчас — BELGEE X50). Пока неясно когда кроссовер начнут поставлять в страну официально что только усиливает предвкушение от знакомства с моделью. Все обзоры  Следите за нами в соцсетях                                   Новости Гродно Купить авто КАТАЛОГ УСЛУГ ГРОДНО: СТО Гродно Автомагазины Авторазборки Шиномонтажи Эвакуаторы Спецтехника О нас Написать нам Реклама на сайте Разместить фирму © 2006 — 2023   АвтоГродно НовостиУслугиАвторынок</t>
  </si>
  <si>
    <t>autogrodno.by</t>
  </si>
  <si>
    <t>На страницах каналов в YouTube появится раздел «для ...</t>
  </si>
  <si>
    <t>https://www.kommersant.ru/doc/6335225</t>
  </si>
  <si>
    <t>Коммерсантъ: последние новости России и мира Реклама в «Ъ» www.kommersant.ru/adРеклама в «Ъ» www.kommersant.ru/adКоммерсантъ                        Вход                    Коммерсантъ FMЗакрыть меню                Меню сайта            ЗакрытьГазетаWeekendАвтопилотРадио «Ъ FM»РедакцияРусфондБанкротстваПартнерские проектыКартотекаКонференцииУниверситетъПодпискаРекламаФотоагентствоЭкономикаПолитикаМирБизнесФинансыПотребительский рынокТелекоммуникацииОбществоПроисшествияКультураСпортHi-TechАвтоСтильРегионыПриложенияНаукаДеньгиТемыТенденцииМультимедиаИнтервьюСправочникиСамое читаемоеСпецпроектыE-mail рассылки«Коммерсантъ» для AndroidСкачать приложениеRuStoreAppGalleryМоскваСанкт-ПетербургВоронежЕкатеринбургИжевскКазаньКраснодарКрасноярскНижний НовгородНовосибирскПермьРостов-на-ДонуСамараСаратовУфаЧелябинскЯрославльПредыдущая страница$ 9229€ 9855¥ 1261IMOEX 324206Свежий WeekendВалютный прогнозЧто посмотреть в киноСвежая «Наука»Война в ГазеВоенная операция на УкраинеЭксклюзивы «Ъ»Экономика РФКолесников о ПутинеСанкции против РФТенденцииАвтоHi-TechСтильWeekendИсторияДеньгиСледующая страницаГлавные новости                        Спикер Палаты представителей предложил финансирование правительства США без помощи Украине и Израилю                                                                    Нетаньяху выступил против передачи сектора Газа под контроль Палестины                                                                    Американский военный самолет потерпел крушение в Средиземном море                                                                    WP и Spiegel: координатором подрыва «Северных потоков» был полковник ВСУ                                                                    Усман Нурмагомедов не будет лишен титула чемпиона Bellator после дисквалификации                                                                    Экс-генсек НАТО предложил принять Украину в альянс без утраченных территорий                                                                    СКР возбудил дело о теракте после схода с рельсов 19 вагонов в Рязанской области                                                                    Три КПП на финско-российской границе запретили въезд велосипедистов из России                                                                    Благодаря ничьей с «Зенитом» «Краснодар» выиграл первый круг чемпионата России                                                                    Что происходило после ввода войск России на Украину. День 626-й                                                                    Как интернет вещей помогает беречь окружающую средуПартнерский проект Вся лентаПредыдущий слайд                    Фотофакт                В Рязанской области сошли с рельсов 19 вагонов грузового поезда                    График дня                Уровень безработицы в России в сравнении с другими странами мира                    Видеофакт                ПроигратьВ Подольске обвалился автомобильный мост через реку Пахра                    График дня                Трансграничные переводы россиян в валюте продолжают снижаться                    Цитата дня                «В экономике практически не осталось рабочих рук»Председатель ЦБ Эльвира НабиуллинаСледующий слайдПоследние новости о военной операции на УкраинеВесь сюжетПредыдущий слайд                    Фотофакт                В Рязанской области сошли с рельсов 19 вагонов грузового поезда                    График дня                Уровень безработицы в России в сравнении с другими странами мира                    Видеофакт                ПроигратьВ Подольске обвалился автомобильный мост через реку Пахра                    График дня                Трансграничные переводы россиян в валюте продолжают снижаться                    Цитата дня                «В экономике практически не осталось рабочих рук»Председатель ЦБ Эльвира НабиуллинаСледующий слайдГлавное                            Общество                        «Единственный ответ на все их преступления — смерть»Как наводили порядок в рыбной столице России                                Мир                            Звериный террорКакими методами действуют радикальные зоозащитники                                Общество                            «Каждый большой военный конфликт приводит к появлению новых технологий реабилитации»Основатель коллекции исторических средств реабилитации — о пути от инвалидов до киборгов                                Культура                            Женский перевесНовшества и неожиданности в списке номинантов на Grammy                                Культура                            Через апокалипсис революции к тысячелетнему царствуКак возникла коммунистическая утопия                                Культура                            Театр пораженияС чего началась первая общеевропейская война и кто в ней победил                                Культура                            Улицы волшебных фонарей«Волшебный участок»: милицейская сказкаМненияМожет быть использовано против вас в кодеЮрий Литвиненко о тайной тренировке нейросетейПеред ИИ встал денежный вопросКсения Дементьева о непростом пути технологий в РФВ таких условиях пришлось не наслаждаться а выживатьВера Звонарева о своей победе на WTA FinalsМультимедиаФотоВидеоСпецпроектыПодкастыНаглядноПредыдущий слайдНаглядноПрокатная десяткаЧто посмотреть в кино 11–12 ноябряФотогалерея«Надеюсь на нее и уповаю»Как менялось обмундирование правоохранителейФотогалереяЛучшие фото неделиЗапоминающиеся кадры 6–10 ноябряФотогалерея«Мисс Вселенная»Все победительницы конкурсаФотогалереяМеждународная выставка-форум «Россия»ФоторепортажФотогалерея«Я представляю всю нечистую силу в советском кинематографе»Творческий путь Георгия МилляраНаглядноС нефтью и Карабахом но без водыКак изменился Азербайджан при Ильхаме Алиеве — в 13 графикахФотогалереяВоенная операция на УкраинеКадры с места событийФотогалереяБоевые действия между Израилем и сектором ГазаФоторепортажФотогалерея«Ненавижу смотреть свои фильмы потому что меня раздражает мое лицо»Эмма Стоун и ее ролиФотогалереяДень народного единстваКак прошел праздникСпецпроекты«Американский флаг долгое время считался символом зла»Взгляды Ричарда Никсона на вызовы холодной войны — в 10 цитатахСледующий слайдСамое читаемое60368Организованное следственное сообщество39361Упрямство во имя мира33454На представительские доходы32402Театр поражения32155Путешествие в АкордуЭкономикаВся рубрикаПолицию отодвигают от бизнесаВ Госдуму внесены поправки об исключении части составов нарушений КоАП из ведения правоохранителейБездомные тоже платятКонтроль цен на аренду жилья в Европе ограничит и продлит инфляцию но стоит тогоКоманда альтернативного прогрессаБелый дом определил критерии компаний от которых ждет технологических прорывовЛьготной ипотеке добавили денегПравительство закрывает дефицит финансирования субсидируемых программПоднебесная защищена патентомМониторинг интеллектуальной собственностиПолитикаВся рубрикаЕдинороссы встраиваются в президентский графикНа съезде 17 декабря партия обсудит вопрос о выборах главы государства-2024Рожать не вредноСенаторы и депутаты обсудили демографию в двух слушанияхРазная но одна на всехСоциологи узнали у россиян что следует считать победой в СВОБумага не выходит из модыБюллетени к выборам президента напечатают без скидки на онлайн-голоса и «понауехавших»Депутаты поговорили о чрезвычайномДума пообещала главе МЧС поддержать спасателей работающих в зоне СВОМирВся рубрикаУпрямство во имя мираАрмения и Азербайджан много говорят о мирном договоре но шагов для его подписания не делаютБольше четырех не собиратьсяПрезидент Белоруссии пересчитал легальные партии перед началом избирательной кампанииПутешествие в АкордуЧто искал Владимир Путин в столице КазахстанаАнти-айтиНАТО хочет активнее привлекать частные компании к противостоянию с Россией в киберпространствеСтатья за дискредитацию санкцийЕвропарламент призвал жестче и при этом разумнее подходить к санкциям против РоссииПредыдущий слайдПартнерский проектМыслить как новаторВице-президент «realme Россия» Дмитрий Гостев о пятилетии компании и планах на будущееСовместный проект«Вызов» будущим технологиямКаким будет российский НобельПартнерский материал«Мы не готовы жертвовать качеством»Гендиректор Industrial.Market Александр Антонюк о закупках компаний на маркетплейсахКонференцияУголовная и субсидиарная ответственность менеджмента и собственников бизнеса24 ноябряСледующий слайдБизнесВся рубрикаЛес поехал с ветеркомПолученных транспортных субсидий отрасли все равно не хватаетКак расплатиться с бывшимОт имени ликвидированных компаний будут судиться арбитражные управляющиеНефть застыла в проводахСбои энергоснабжения Кузбасса препятствуют ее экспорту в КитайБензин настроил котировки на экспортТопливо дорожает на ожиданиях снятия эмбаргоНалог в составе платиновой группыВерховный суд пересчитает НДПИ для добывающей компанииФинансыВся рубрикаБез краха и перестрахаПомогут ли новые требования ЦБ донастроить страховой рынокНа представительские доходыЗачем российские банки расширяют зарубежную филиальную сетьПолрынка за юаньБиржевая валютная конъюнктура в РФ стремительно меняетсяТурецкий поток сочится через приложениеОткрывать карту Troy готовы пока немногие российские туристыКлючевая зависимостьНа фоне роста ставок компании стараются меньше заниматьПотребительский рынокВся рубрикаДля пущей хранностиБизнес забил склады товарамиЧашка кофе для «Тибио»«Чибо СНГ» меняет название и брендРаспродажи без ажиотажаУ ритейлеров не задалось начало конца годаДоставка расширяется втемную«Яндекс Лавка» начнет открывать даркмоллыПостсоветское шампанскоеLuding Group запустит линейку игристых винТелекоммуникацииВся рубрикаЗащита попала под раздачуБорьба с VPN-сервисами может затронуть российские IT-компанииВымогатели пришли в китайский банкХакеры атаковали американское подразделение ICBCСвязь поперек дорогиПеренос придорожных сетей будут оплачивать владельцы трассTelegram разыграл маркировкуНа рынке говорят о рисках нового инструмента продвижения в мессенджере«Аквариус» заглянул в бюджетКомпания просит государство софинансировать производство всего умного            Новости компаний            Все11.11.2023АО «ГПБ»На форуме FINOPOLIS рассказали о новой научной премии в области будущих технологий10.11.2023ООО «Серконс»«Серконс» рассказали как возместить расходы на охрану труда в 2023 году10.11.2023ООО «Серконс»Тонкости сертификации опасных аттракционов10.11.2023АО «ДОМ.РФ»Для импортозамещения ключевого банковского ПО необходим новый индустриальный центр компетенцийОбществоВся рубрикаС реагентами лед тронулсяНовые правила борьбы с зимней скользкостью на дорогах запишут в ГОСТеМежнациональные отношения показались предвзятымиМусульмане России обеспокоены мигрантофобиейРак протестировали на социальную токсичностьДве трети россиян знают о случаях дискриминации в коллективах работников с онкологиейКто в лес кто в прокуратуруЖители Бурятии задумались о кредитах на дроваТише едешь — дальше катишьСтоличные власти и ГИБДД предлагают новые меры ужесточения контроля СИМПроисшествияВся рубрикаБанковский «караван» финишировал в судеОбвинение запросило сроки за попытку хищения средств у АСВОрганизованное следственное сообществоСразу трех сотрудников СКР арестовали по обвинению в особо тяжких преступлениях«Морской старт» доплыл до окончательных обвиненийЭкс-главе РКК «Энергия» инкриминируют ущерб более чем на 4 млрд рублейСуд оценил информацию о Дарье ДугинойБывшему полицейскому и предпринимателю назначили срокиЗащита героя ставит на здравый смыслАдвокаты заместителя комбрига настаивают что у него не было причин убивать девушкуКультураВся рубрикаПроверка на живостьБалеты Джерома Роббинса в Opera GarnierНеопытным путемФильм «Как заниматься сексом»Аккуратно о сумасбродствеНа экранах «Мастер и его муза» Дитера БернераСтрашные документальные песни«Красная книга» в театре «Шалом»Голливуд больше не бастуетАмериканские актеры вслед за сценаристами добились улучшения своего положенияСпортВся рубрикаАлександр Шевченко дождался своего финалаОн впервые в карьере поборется за титулIBF распоясывает чемпионовСтруктура лишает суперзвезд своего титула за реванш«Манчестер Юнайтед» опустили на дноАнглийский гранд рискует остаться без play-offКазанский поход «викингов»Дебютант лиги «Руна» в гостях обыграла УНИКСЗакон туринского тяготенияДаниил Медведев и Андрей Рублев второй год подряд попали в одну группу итогового турнира АТРСамое читаемое60368Организованное следственное сообщество39361Упрямство во имя мира33454На представительские доходы32402Театр поражения32155Путешествие в АкордуПровести времяСтильHi-TechWeekendНаукаИсторияWeekendНовые книги о том чему нас учит природаВыбор Игоря ГулинаWeekendКрылышки и бяк-бяк-бяк«Ниша»: руины советского мифа как актуальный предмет исследованияWeekend«Я бы хотел взять огромный ластик и кое-что стереть»Трумен Капоте о том как отгородиться от жизниWeekendПортрет на фоне чужой историиКак Отто Дикс снова стал нашим современникомWeekendСпасение утонувшего«Как заниматься сексом»: дежурная тинейджерская агиткаМир«Ни одна из целей не оправдывает вторжение»Как 40 лет назад США оккупировали Гренаду и как на это отреагировал мирМирТимур и его городЧто писали путешественники о Самарканде последние 1100 летЗащита прав инвалидов«Раз тут нельзя учиться давай поедем в Германию»Почему многие дети с тяжелыми заболеваниями не могут учиться в российской школеМирНеувядаемые розы грузинской революцииКак республика избавилась от президента Эдуарда Шеварднадзе и что было потомМирСлово за словоКакие слова в Европе Америке и Азии становятся главными «словами года»Потребительский рынокОчень умелые ручкиИстория компании Parker научившей весь мир писать в удовольствиеНаука«Землетрясения во многом полезны»Интервью с геофизиком Григорием Стебловым о том что нам могут дать и чему научить стихийные бедствияWeekendНовые книги о насилииВыбор Игоря ГулинаПредыдущий слайдТерритория развитияТочки ростаКак будут развиваться ОЭЗ и ТОР в РоссииТерритория развитияОсобое делоКак Москва и регионы поддерживают социальные инициативы бизнесаПартнерский материал«Как найти хакера в инфраструктуре несмотря на нехватку кадров»Павел Гончаров Positive Technologies— о современных киберугрозахКонференцияНедвижимость полного цикла9 ноябряСледующий слайдЛентаВся лентаЛентаЗагрузка новости...Загрузка новости...Загрузка новости...Загрузка новости...Загрузка новости...Загрузка новости...Загрузка новости...Загрузка новости...Загрузка новости...Загрузка новости...Загрузка новости...Вся лентаБлаготворительный фондО «Коммерсанте»АрхивКонтактыРекламаВакансииAndroidОбратная связьПравовая информацияE-mail рассылки18+© АО «Коммерсантъ». 123112 Москва Пресненская наб. д. 10 этаж 35 тел. +7 (495) 797-69-70.Сетевое издание «Коммерсантъ» (доменное имя сайта: kommersant.ru) зарегистрировано Федеральной службой по надзору в сфере связи информационных технологий и массовых коммуникаций (Роскомнадзор) регистрационный номер и дата принятия решения о регистрации: серия Эл № ФС77-76922 от 11 октября 2019 г.Партнерские проекты/материалы новости компаний материалы с пометкой «Промо» и «Официальное сообщение» опубликованы на коммерческой основе.На kommersant.ru применяются рекомендательные технологии (информационные технологии предоставления информации на основе сбора систематизации и анализа сведений относящихся к предпочтениям пользователей сети "Интернет" находящихся на территории Российской Федерации). Подробнее</t>
  </si>
  <si>
    <t>www.kommersant.ru</t>
  </si>
  <si>
    <t>Горелкин предложил сотовым операторам отменить ...</t>
  </si>
  <si>
    <t>https://tass.ru/ekonomika/19255577</t>
  </si>
  <si>
    <t>Новости в России и мире - ТАССПохоже вы используете устаревший браузер для корректной работы скачайте свежую версиюИспользуя сайт tass.ru Вы соглашаетесь с использованием файлов cookie которые указаны в Политике обработки Персональных данныхOKБелый дом отверг проект финансирования работы правительства США без помощи КиевуВ России могут сделать бесплатным проезд к месту отдыха для детей из многодетных семейСамолет ВС США потерпел крушение в восточной части Средиземного моряМеждународная выставка-форум "Россия"Палестино-израильский конфликтВ Газу въехали свыше 850 грузовиков с гуманитарной помощьюАрмия Израиля сообщила об уничтожении более 150 туннелей и подземных объектов ХАМАСАрмия Израиля нанесла удар по объектам в СирииВОЗ сообщила о потере связи со своими работниками в больнице "Аш-Шифа" в ГазеСпикер Конгресса предложил финансирование правительства без помощи КиевуАрмия Израиля ударила по ячейке и месту запуска ракет "Хезболлах"Иордания сбросила с воздуха гуманитарную помощь для полевого госпиталя в ГазеСМИ: Израиль уничтожил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человекаИндикаторырынкаНефть Brent$7987+000Доллар (ЦБ РФ)9205+012Евро (ЦБ РФ)9832-009ПопулярноеСамолет ВС США потерпел крушение в восточной части Средиземного моряWP: координатором подрыва "Северных потоков" был полковник ВСУБывший генсек НАТО предложил принять Украину в альянс без потерянных ей территорийВ Рязанской области возбудили дело по факту схода 19 вагонов с рельсовЭксперт заявил что в России летальность от пневмонии находится на доковидном уровнеФото дняСпецпроектыКак переделывали теряли и прятали на полку российские фильмы XX века Где ученые ищут новый дом для всего человечестваПартнерский спецпроектРазговоры в пути: о жизни о путешествиях и о себе. Четыре интервью к 20-летию РЖДНаглядное пособие по чтению иконК 150-летию Сергея РахманиноваКак в России выбирали государя и выбрали Михаила РомановаМогут ли вулканы погубить жизнь на планетеКак изучение свойств льда спасло людей во время блокады ЛенинградаИстория крушения императорского поезда в 1888 годуКак находят и возвращают домой останки героев Сталинградской битвыЗолотой век женского движения в РоссииИстория строительства знаменитых сталинских высотокЧто стало причиной редкого затмения на Ямале?Как в СССР строили дома на дне Черного моряПутеводитель по пяти памятникам ранней советской архитектурыСмотрите  все  спецпроектыПресс-центрНСКПрофилактика несчастных случаев в период ледостава в Новосибирской областиЕКБДОСААФ Свердловской области: итоги работы и планыНСКО заболеваемости сахарным диабетом в Новосибирской области МСКСоциально-благотворительный проект "Пушкинская зима"В соцсетях раскритиковали Байдена за использование подсказки после возложения венкаВ Италии лев сбежал из цирка и несколько часов гулял по городуВ Псковской области в ДТП погибли три человекаМатч чемпионата Бразилии по футболу прервали из-за массовой драки болельщиков на полеШоу чуть не убило игру. "Краснодар" и "Зенит" поделили очки в матче лидеров РПЛЧтобы посмотреть материалотключите AdBlockНаукаВ ПНИПУ создали точную модель влияния промышленной пыли на здоровье людейВ Индонезии впервые за 60 лет нашли редчайшее животноеВ переработанном пластике из 13 стран обнаружили сотни вредных веществНайдены микробы способные сделать плодородной почву ЛуныКвантовый компьютер помог физикам ускорить алгоритмы комбинаторной оптимизацииАлгоритм разработали американские физики Ученые сообщили о причинах массовой гибели редких тюленей на Каспии в 2022 годуЛекарство для лечения почечных осложнений волчанки прошло вторую фазу испытанийВ Петербурге создали аналог стеклообразных горных пород для медициныУченые раскрыли различия в скорости старения клеток из разных частей печениВ Минобрнауки заявили что за год число молодых ученых в России вырослоВ МЭИ разработали зарядную станцию для электромобилей на отечественном ПАКПневмония. Что нужно знать"Норникель" намерен восстановить природу вокруг заводовВ Новосибирске получили соединение перспективное для лечения нейробластомыВ Адыгее разработали проект по управлению группой беспилотников на основе ИИПерейти  к остальным  материаламЗагрузить больше материалов© Информационное агентство ТАСССвидетельство о регистрации СМИ №03247 выдано 02 апреля 1999 г. Государственным комитетом Российской Федерации по печати.Отдельные публикации могут содержать информациюне предназначенную для пользователей до 16 лет.На информационном ресурсе применяютсярекомендательные технологии.Об агентствеПресс-центрКарьераРекламные продуктыПравила цитированияКонтактная информация</t>
  </si>
  <si>
    <t>tass.ru</t>
  </si>
  <si>
    <t>The New International Encyclopaedia</t>
  </si>
  <si>
    <t>https://books.google.ru/books?id=9NUXAQAAIAAJ&amp;pg=PA390-IA3&amp;lpg=PA390-IA3&amp;dq=youtube&amp;source=bl&amp;ots=rF1Kyt-gyk&amp;sig=ACfU3U3irsaPEnN2T25KeOeCL2W2Mw_TsQ&amp;hl=ru&amp;sa=X&amp;ved=2ahUKEwi3-s7Pqr2CAxVFlYkEHdSYDAsQ6AF6BAg3EAM</t>
  </si>
  <si>
    <t>International Catalogue of Scientific Literature: Astronomy. E</t>
  </si>
  <si>
    <t>https://books.google.ru/books?id=VyIZAAAAYAAJ&amp;pg=RA4-PA116&amp;lpg=RA4-PA116&amp;dq=youtube&amp;source=bl&amp;ots=awshVP0y90&amp;sig=ACfU3U3MF4KLOI7_nvNAI4S9xKtO7qJ5zg&amp;hl=ru&amp;sa=X&amp;ved=2ahUKEwi3-s7Pqr2CAxVFlYkEHdSYDAsQ6AF6BAgzEAM</t>
  </si>
  <si>
    <t>YouTube тестирует новые функции на основе ИИ для ...</t>
  </si>
  <si>
    <t>https://www.epravda.com.ua/rus/news/2023/11/7/706338/</t>
  </si>
  <si>
    <t>Documents - Выпуски 1524-1899 - Результат из Google Книги</t>
  </si>
  <si>
    <t>https://books.google.ru/books?id=xmpBAQAAMAAJ&amp;pg=PT112&amp;lpg=PT112&amp;dq=youtube&amp;source=bl&amp;ots=yviMQJ_D8s&amp;sig=ACfU3U3sEgjEG-FZcfWQDQBf7_DXq9Txgg&amp;hl=ru&amp;sa=X&amp;ved=2ahUKEwi3-s7Pqr2CAxVFlYkEHdSYDAsQ6AF6BAgwEAM</t>
  </si>
  <si>
    <t>The Chemical Trade Journal and Chemical Engineer</t>
  </si>
  <si>
    <t>https://books.google.ru/books?id=Mj86AQAAMAAJ&amp;pg=RA31-PA27&amp;lpg=RA31-PA27&amp;dq=youtube&amp;source=bl&amp;ots=2AJHUblo31&amp;sig=ACfU3U3EJwoUJgDdcMCXPjOsHK9EInGD9Q&amp;hl=ru&amp;sa=X&amp;ved=2ahUKEwi3-s7Pqr2CAxVFlYkEHdSYDAsQ6AF6BAguEAM</t>
  </si>
  <si>
    <t>YouTube: Home</t>
  </si>
  <si>
    <t>https://www.youtube.com/</t>
  </si>
  <si>
    <t>YouTube is an online video sharing and social media platform headquartered in San Bruno, California, United States. Accessible worldwide, it was launched on ...</t>
  </si>
  <si>
    <t>https://en.wikipedia.org/wiki/YouTube</t>
  </si>
  <si>
    <t>YouTube: Watch, Listen, Stream 12+ - App Store</t>
  </si>
  <si>
    <t>Get the official YouTube app on iPhones and iPads. See what the world is watching -- from the hottest music videos to what's popular in gaming, fashion, ...</t>
  </si>
  <si>
    <t>https://apps.apple.com/us/app/youtube-watch-listen-stream/id544007664</t>
  </si>
  <si>
    <t>YouTube Blog — Official Blog for Latest YouTube News ...</t>
  </si>
  <si>
    <t>Explore our official blog for the latest news about YouTube, creator and artist profiles, culture and trends analyses, and behind-the-scenes insights.</t>
  </si>
  <si>
    <t>https://blog.youtube/</t>
  </si>
  <si>
    <t>YouTube Blog — Official Blog for Latest YouTube News &amp; InsightsSkip to Main Content          News &amp; Events                  Creator &amp; Artist Stories                  Culture &amp; Trends                  Inside YouTube                  Made On YouTube        Submit Search      Search Input              News and Events                  Dua Lipa’s “Houdini” has magically arrived                Read More                  Creator and Artist Stories                  Watch the final episode of “In a Pickle”                Read More                  Culture and Trends                  Try a Trend: Inktober and NPCs as main characters                Read More                  News and Events                  Make the most out of the YouTube Music app with these latest features                Read More        14Creator and Artist Stories        Rene’s Top Five on YouTube: November 9 2023 Edition      Nov.09.2023News and Events        How (and why) to add captions to your YouTube videos      Nov.06.2023    Video format not supported  Culture and Trends        Frame by frame: celebrating stop motion animation with a master of the craft      Nov.04.2023Inside YouTube        Work Diaries: Planning Barrio YouTube Event with Martín Raygoza      Nov.02.2023            Creators          Road to 1 million subscribersTips tricks and best practices on how creators reach the coveted subscribers milestone.              Read more          Road to 1 million subscribers with Daniela LiepertUnlike many Gen Z creators nowadays Daniela Liepert was not always comfortable leading a digital-first platform. But after 20 years in the fashion industry she decided…Road to 1 million subscribers with Scott FrenzelRoad to one million with Reza and Puja Khan5 APAC creators paving their way to 10 million subscribers with YouTube ShortsDon't Miss This            Made On YouTube '23 Event Recap          Play buttonPlay button iconMade On YouTube '23 Event Recap            YouTube presents.... In a Pickle: The Beverly Halls          Play buttonPlay button iconYouTube presents.... In a Pickle: The Beverly Halls            YouTube presents.... In a Pickle: Haley Kalil          Play buttonPlay button iconYouTube presents.... In a Pickle: Haley Kalil            How Sydney and Taty blew up on YouTube! — Between Two Creators          Play buttonPlay button iconHow Sydney and Taty blew up on YouTube! — Between Two Creators            When Ryan met… BEN — Between Two Creators          Play buttonPlay button iconWhen Ryan met… BEN — Between Two Creators15All the Latest            Load More                      Loading...                      Explore the latest company news creator and artist profiles culture and trends analyses and behind-the-scenes insights on the YouTube Official Blog.          Our ChannelsOpenOpen AccordionCloseclose Accordion          YouTube                  YouTube Creators                  Creator Insider                  TeamYouTube [Help]                  Susan Wojcicki        TwitterOpenOpen AccordionCloseclose Accordion          YouTube                  YouTube Creators                  TeamYouTube                  YouTube Gaming                  YouTube TV                  YouTube Music                  YouTubeInsider        ConnectAbout YouTubeOpenOpen AccordionCloseclose Accordion          About                  Press                  Jobs                  How YouTube Works                  YouTube Culture &amp; Trends                  Community Forum        YouTube ProductsOpenOpen AccordionCloseclose Accordion          YouTube Go                  YouTube Kids                  YouTube Music                  YouTube Originals                  YouTube Premium                  YouTube Studio                  YouTube TV        For BusinessOpenOpen AccordionCloseclose Accordion          Advertising                  Developers        For CreatorsOpenOpen AccordionCloseclose Accordion          Artists                  Creators                  Creator Academy                  Creating for Kids                  Creators Research                  Creators Services Directory                  YouTube NextUp                  YouTube Space                  YouTube VR        Our CommitmentsOpenOpen AccordionCloseclose Accordion          Creators for Change                  CSAI Match                  Social Impact                          Policy &amp; Safety                                  Copyright                                  Brand Guidelines                                  Privacy                                  Terms                              Help                    Deutsch              English              Español (Latinoamérica)              Português (Brasil)</t>
  </si>
  <si>
    <t>blog.youtube</t>
  </si>
  <si>
    <t>YouTube (@youtube) • Instagram photos and videos</t>
  </si>
  <si>
    <t>31M Followers, 1752 Following, 4492 Posts - See Instagram photos and videos from YouTube (@youtube)</t>
  </si>
  <si>
    <t>https://www.instagram.com/youtube/</t>
  </si>
  <si>
    <t>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</si>
  <si>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www.instagram.com</t>
  </si>
  <si>
    <t>YouTube: What is YouTube?</t>
  </si>
  <si>
    <t>YouTube is a free video sharing website that makes it easy to watch online videos. You can even create and upload your own videos to share with others.</t>
  </si>
  <si>
    <t>https://edu.gcfglobal.org/en/youtube/what-is-youtube/1/</t>
  </si>
  <si>
    <t>Free Online Learning at GCFGlobal	closesearchsearchmenuTopicscloseI want to...Get started with computersLearn Microsoft OfficeApply for a jobImprove my work skillsDesign nice-looking docsMore...Microsoft OfficeWordExcelPowerPointAccessMore...ComputersGetting StartedSmartphones &amp; TabletsTyping TutorialWindowsOnline LearningMore...The InternetBasic Internet SkillsOnline SafetySocial MediaZoom BasicsEmailMore...GoogleGmailGoogle DocsGoogle SheetsMore...The Job SearchCareer PlanningResume WritingCover LettersJob Search and NetworkingBusiness CommunicationEntrepreneurship 101Careers without CollegeJob Hunt for TodayMore...Skills for Today3D PrintingFreelancing 101Personal FinanceSharing EconomyDecision-MakingMore...Creativity &amp; DesignGraphic DesignCreativityPhotographyImage EditingPhotoshopLearning WordPressMore...Core SkillsMathReadingScienceGrammarLanguage LearningCritical ThinkingMore...For EducatorsTranslationsStaff PicksAll Topics									English									expand_moreexpand_less											English											expand_moreexpand_less											Español																					Português										search						person_outline											arrow_drop_down					menuAll TopicsMy AccountAbout UsFAQContact UsENESPTSigninSignupDashboardProfileLogoutsearch2300 + Lessons | 200 + TopicsIf you’re willing to learn we’re ready to teach– anywhere anytime.								Browse TopicsLearn Your FutureLearn and develop the skills needed to advance in work and life.								Watch videoDid you come to learn? You’re in the right place.Join more than 100 million people from all walks of life who have come to us to learn the essential skills they need to live and work in the 21st century. Browse our extensive library:TECHNOLOGYWORKCORE SKILLSREADING &amp; MATH All TopicsAbout usWhat is GCFGlobal.org?For almost 20 years the GCFGlobal.org program has helped millions around the world learn the essential skills they need to live and work in the 21st century by offering self-paced online courses.  We invite you to utilize our courses here and on YouTube and highly recommend making an account to access all of our services including course tracking view history eCoaching and more!Partner With UsAbout UsWhat does GCFGlobal.org offer?E-learningCareer Coaching (Coming Soon)Stackable Credentials (Coming Soon) From Microsoft Office and email to reading math and more—GCFGlobal.org offers more than 200 topics including more than 2300 lessons more than 2000 videos and more than 50 interactives and games completely free.  We all have outside responsibilities so we make it easy for you to learn at your own pace on your own time.  Join more than 100 million people from all walks of life who have come to us to learn the essential skills they need to succeed.Learn with UsFeatured ContentNew TutorialEntrepreneurship 101Learn what it takes to become a successful entrepreneur.View TutorialVIDEOZoom BasicsWe'll cover how to set up an account join/host meetings and more.View TutorialCheck out our YouTube playlist on Math Basics!Learning WordPressDiscover how to build your own website using WordPress.View TutorialCareers without CollegeLearn about interesting in-demand jobs that don't require a four-year degree.View TutorialTutorialThe What/Why SeriesWhat impacts the past present and future and why are these things so important?View TutorialNEWCheck out our curated playlist on Financial Awareness!Microsoft ExcelPlaylist Lesson: Mobile-friendly featuring more videos and less text.View TutorialEntrepreneurship 101Learn what it takes to become a successful entrepreneur.View TutorialVIDEOZoom BasicsWe'll cover how to set up an account join/host meetings and more.View TutorialCheck out our YouTube playlist on Math Basics!Learning WordPressDiscover how to build your own website using WordPress.View TutorialCareers without CollegeLearn about interesting in-demand jobs that don't require a four-year degree.View TutorialThe What/Why SeriesWhat impacts the past present and future and why are these things so important?View TutorialNEWCheck out our curated playlist on Financial Awareness!Microsoft ExcelPlaylist Lesson: Mobile-friendly featuring more videos and less text.View TutorialFrom Our Learners											This video is amazing. You explained typography in a few sentences using this presentation. Also as a designer you have given us an idea and inspiration on what fonts are appropriate to use. Never thought that typography could be this deep. Keep it up!!										 Julius M.											As a teacher in an adult upgrading program at a community college I am grateful to you for making this resource available.										 Malcolm M.											As a beginner in Microsoft Office your tutorials were very simple easy to read and understand. Thank you!										 Jeanelle D.Share Your StoryPartner With Uskeyboard_arrow_upkeyboard_arrow_downAbout UsWho We AreMeet the StaffWork With UsWho Uses Us + Our PartnersEducators' ResourcesTeacher GuidesResources and ToolsHelp and SupportFAQTerms of ServicePrivacy NoticeCookie PolicyContact UsMy Account</t>
  </si>
  <si>
    <t>edu.gcfglobal.org</t>
  </si>
  <si>
    <t>How to earn money on YouTube</t>
  </si>
  <si>
    <t>You can earn money on YouTube by applying for and being accepted to the YouTube Partner Program. Only channels that follow our YouTube channel monetization ...</t>
  </si>
  <si>
    <t>https://support.google.com/youtube/answer/72857?hl=en</t>
  </si>
  <si>
    <t>https://accounts.google.com/ServiceLogin?service=youtube&amp;uilel=3&amp;hl=en</t>
  </si>
  <si>
    <t>Sign in - Google AccountsSign inUse your Google AccountEmail or phoneForgot email?Not your computer? Use a private browsing window to sign in. Learn moreNextCreate accountAfrikaansazərbaycanbosanskicatalàČeštinaCymraegDanskDeutscheestiEnglish (United Kingdom)English (United States)Español (España)Español (Latinoamérica)euskaraFilipinoFrançais (Canada)Français (France)GaeilgegalegoHrvatskiIndonesiaisiZuluíslenskaItalianoKiswahililatviešulietuviųmagyarMelayuNederlandsnorsko‘zbekpolskiPortuguês (Brasil)Português (Portugal)românăshqipSlovenčinaslovenščinasrpski (latinica)SuomiSvenskaTiếng ViệtTürkçeΕλληνικάбеларускаябългарскикыргызчақазақ тілімакедонскимонголРусскийсрпски (ћирилица)Українськаქართულიհայերեն‫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t>
  </si>
  <si>
    <t>accounts.google.com</t>
  </si>
  <si>
    <t>r/YouTube</t>
  </si>
  <si>
    <t>r/youtube: r/YouTube is for discussion about YouTube. This is a fan sub, not run or owned by YouTube! Please read the rules …</t>
  </si>
  <si>
    <t>https://www.reddit.com/r/youtube/</t>
  </si>
  <si>
    <t>Supported YouTube file formats</t>
  </si>
  <si>
    <t>Supported YouTube file formats ·.MOV ·.MPEG-1 ·.MPEG-2 ·.MPEG4 ·.MP4 ·.MPG ·.AVI ·.WMV .MPEGPS .FLV ...</t>
  </si>
  <si>
    <t>https://support.google.com/youtube/troubleshooter/2888402?hl=en</t>
  </si>
  <si>
    <t>Explained: What is YouTube?</t>
  </si>
  <si>
    <t>YouTube is a video sharing service where users can create their own profile, upload videos, watch, like and comment on other videos.</t>
  </si>
  <si>
    <t>https://www.webwise.ie/parents/what-is-youtube/</t>
  </si>
  <si>
    <t>Webwise - Internet Safety   			Search		    Results for {phrase} ({results_count} of {results_count_total})Displaying {results_count} results of {results_count_total}Show more results...    About usPrivacyContact UsEnglishIrish   ParentsAdvice for ParentsVideos For ParentsApps ExplainedTalking PointsHow ToGet ResourcesSafer Internet DayTalkListenLearnTeachersAdvice for TeachersClassroom VideosGet ResourcesSchool PolicySupports for ParentsTraining and SupportSafer Internet DayCyberbullying HubYouthJoin the Webwise Youth PanelYouth VideosCasting the NetVideosClassroom VideosParent VideosTeacher VideosSafer Internet DayOrder WristbandsEvents In IrelandGet IdeasSID CompetitionSID SnapsSID Ambassador ProgrammeSID PresentationsSilent Witness CampaignGet ResourcesThe Respect EffectConnectedHTML HeroesBeinCtrlMySelfie and the Wider WorldLockersMy Online WorldUP2USThinkB4UClickOther Resources ParentsAdvice for ParentsVideos For ParentsApps ExplainedTalking PointsHow ToGet ResourcesSafer Internet DayTalkListenLearnTeachersAdvice for TeachersClassroom VideosGet ResourcesSchool PolicySupports for ParentsTraining and SupportSafer Internet DayCyberbullying HubYouthJoin the Webwise Youth PanelYouth VideosCasting the NetVideosClassroom VideosParent VideosTeacher VideosSafer Internet DayOrder WristbandsEvents In IrelandGet IdeasSID CompetitionSID SnapsSID Ambassador ProgrammeSID PresentationsSilent Witness CampaignGet ResourcesThe Respect EffectConnectedHTML HeroesBeinCtrlMySelfie and the Wider WorldLockersMy Online WorldUP2USThinkB4UClickOther ResourcesWelcome to Webwise.ieHere you will find information advice and free education resources addressing a range of internet safety issues and concerns. We offer advice and support for young people teachers and parents.  Parents Teachers TeensTrendingBe Media Smart Includes NEW community-based training programme As part of the Be Media Smart campaign organisations across Ireland are…Read more...Webinar for TeachersTo mark the Be Media Smart Campaign and as part of Global Media and Information Literacy Week Webwise will host a free webinar for primary teachers on helping pupils develop digital media literacy skills.Read more...Applications OpenThe SID 2024 Ambassador Training Programme is now open for applications from Post-Primary students. An important aspect…Read more...View moreApps ExplainedWhat is ChatGPT?What is ChatGPT? OpenAI’s ChatGPT is a powerful artificial intelligence chatbot that can answer questions hold text…Learn moreSnapchat's My AISnapchat’s My AI is described by Snapchat as an experimental friendly chatbot currently available to Snapchatters. Initially…Learn moreWhat is BeReal?BeReal is a popular photo-sharing app that lets users share one photo per day to show their…Learn moreView more explainersTeachersWebwise provides a range of free primary and secondary school teaching resources addressing a range of topics including cyberbullying image-sharing social media and more. Check out our fantastic curriculum-aligned resources and videos. Get ResourcesWebwise offer a range of free internet safety classroom resources for primary and secondary level schools. Learn moreSchool PolicyCreating an AUP is vital for your school. Get started using our free acceptable use policy generator tool. Learn moreTraining &amp; SupportWebwise offer a range of workshops and training addressing internet safety issues. Learn moreVisit Webwise TeachersParentsBecome a Webwise Parent with our free expert advice how to guides explainers and talking points. Get extra support with our free internet safety guide for parents. Get ResourcesUse our FREE Parents’ Guide to a better internet to talk to your child about safety online. Learn moreHave the ChatUse our helpful talking points to talk to your child about managing their safety online.  Learn moreGet AdviceWebwise offer free advice and information on a range of internet safety topics. Learn moreVisit Webwise ParentsVideosClassroom Videos The Webwise Classroom Videos can be accessed via our Youtube channel here: youtube.com/Webwise.   MySelfie Videos HTML…Orufe and DelapoThe internet is an integral part of our lives providing fantastic opportunities to learn create and connect…#TalkListenLearnThe internet is an integral part of our lives providing fantastic opportunities to learn create and connect…View all videosGet HelpHotline.ie exists to combat the distribution and proliferation of illegal content like child sexual abuse content. 1890 610 710info@hotline.ieChildline is a support service for young people up to the age of 18. There is a 24hr telephone online and mobile phone texting service. 1800 66 66 6650101The National Parents Council Primary enables and empowers parents to be effective partners in their children’s education. +353 1 887 4477helpline@npc.ie Follow Us NewsletterSign up to our newsletter for internet safety news and updates. Subscribe Privacy PolicyAccessibility StatementCookie UsageContact Us Talk to someoneWorried about something you have seen online or concerned about your child? Childline and the National Parents Council Primary offer free advice and support service.Childline is a support service for young people up to the age of 18.There is a 24hr telephone online and mobile phone texting service. 1800666666 50101 Get startedThe National Parents Council Primary enables and empowers parents to be effective partners in their children’s education. 01 887 4477 helpline@npc.ieReport Illegal ContentSometimes you might unwittingly stumble across illegal online content like child abuse imagery. Always remember: you can report it and get it removed using Hotline.ie.  More on illegal content Make a reportHotline.ie exists to combat the distribution and proliferation of illegal content like child sexualabuse content in conjunction with police and Internet Industry</t>
  </si>
  <si>
    <t>www.webwise.ie</t>
  </si>
  <si>
    <t>YouTube Video Maker | Free Online YouTube Editor</t>
  </si>
  <si>
    <t>How to make YouTube videos. Open Canva's YouTube video editor. Select a YouTube video template or start one from scratch. Upload your footage, music, audio ...</t>
  </si>
  <si>
    <t>https://www.canva.com/video-editor/youtube/</t>
  </si>
  <si>
    <t>Introduction to YouTube Premium - Результат из Google Книги</t>
  </si>
  <si>
    <t>https://books.google.com/books?id=hB_AEAAAQBAJ&amp;pg=PT60&amp;lpg=PT60&amp;dq=youtube&amp;source=bl&amp;ots=RoNPGn3yYU&amp;sig=ACfU3U2-HpijsvwhjvWEtPcf6ZRxd4vllg&amp;hl=ru&amp;sa=X&amp;ved=2ahUKEwjm_r2djLuCAxWTvokEHdDgCUQQ6AF6BAhWEAM</t>
  </si>
  <si>
    <t>Google BooksSearchImagesMapsPlayYouTubeNewsGmailDriveMoreCalendarTranslateMobileBooksShoppingBloggerFinancePhotosDocsEven more »Account OptionsSign inBooksSearch the world's most comprehensive index of full-text books.My libraryPublishersAboutPrivacyTermsHelp</t>
  </si>
  <si>
    <t>books.google.com</t>
  </si>
  <si>
    <t>YouTube 4 You - Страница 7-14 - Результат из Google Книги</t>
  </si>
  <si>
    <t>https://books.google.com/books?id=zN_JCgAAQBAJ&amp;pg=SA7-PA14&amp;lpg=SA7-PA14&amp;dq=youtube&amp;source=bl&amp;ots=ukklr-AaT3&amp;sig=ACfU3U1b5fMtZ3X5-2vKmvRGMyhKaftYow&amp;hl=ru&amp;sa=X&amp;ved=2ahUKEwjm_r2djLuCAxWTvokEHdDgCUQQ6AF6BAhIEAM</t>
  </si>
  <si>
    <t>vidIQ Vision for YouTube</t>
  </si>
  <si>
    <t>5 дней назад —</t>
  </si>
  <si>
    <t>https://chrome.google.com/webstore/detail/vidiq-vision-for-youtube/pachckjkecffpdphbpmfolblodfkgbhl</t>
  </si>
  <si>
    <t>Google Chrome - The Fast &amp; Secure Web Browser Built to be Yours         Google uses cookies to deliver its services to personalize ads and to analyze traffic. You can adjust your privacy controls anytime in your  Google settings or read our cookie policy.Ok got itMenuMenuicon chrome logoJump to contentHomeThe Browser by GoogleFeatures              icon-expand-featuresOverviewGoogle address barPassword checkSyncDark modeTabsArticles for youExtensionsSafety              icon-expand-featuresPrivacy on the webSupport              icon-expand-featuresHelpful tips for ChromeSupport              Get ChromeDownload Chromeclose drawericon chrome logoHomeThe Browser by GoogleFeatures              icon-expand-featuresOverviewGoogle address barPassword checkSyncDark modeTabsArticles for youExtensionsSafety              icon-expand-featuresPrivacy on the webSupport              icon-expand-featuresHelpful tips for ChromeSupport              Get ChromeDownload ChromeFastSafeYoursBy GoogleDownload                    The browser  built to be                   f                  a                  s                  t                  s                  a                  f                  e                  y                  o                  u                  r                  sPause animationPlay animationGet ChromeDownload ChromeFor Windows 10 32-bit.I want to update ChromeFor Windows 11/10 64-bit.I want to update ChromeFor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system.For macOS 10.15 or later.I want to update ChromeThis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system.Debian/Ubuntu/Fedora/openSUSE.I want to update                 Chrome              I want to update ChromeLearn how to                 update              I want to update ChromeSet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ServiceScroll for                 more                    The             f            a            s            t   way to do things online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Stay             s            a            f            e   while you browse          Stay             s            a            f            ewhile you browse          PASSWORD MANAGER          Use strong passwords on every site.              Chrome has Google Password Manager built in which makes it simple to save manage and protect your passwords online. It also helps you create stronger passwords for every account you use.      ENHANCED SAFE BROWSING          Browse with the confidence that you're staying safer online.              Chrome's Safe Browsing warns you about malware or phishing attacks. Turn on Enhanced Safe Browsing for even more safety protections.      SAFETY CHECK          Check your safety level in real time with just one click.              Chrome's Safety Check confirms the overall security and privacy of your browsing experience including your saved passwords extensions and settings. If something needs attention Chrome will help you fix it.      PRIVACY GUIDE          Keep your privacy under your control with easy-to-use settings.              Chrome makes it easy to understand exactly what you’re sharing online and who you’re sharing it with. Simply use the Privacy Guide a step-by-step tour of your privacy settings.       Make it             y            o            u            r            s   and take it with you          Make it             y            o            u            r            s   and take it with you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Extend your experience              From shopping and entertainment to productivity find extensions to improve your experience in the Chrome Web Store.       The browser             b            u            i            l            tby Google      GOOGLE AI          Access AI superpowers while you browse.                  Google is integrating artificial intelligence to make our products more useful. We use AI for features like Search Google Translate and more and we’re innovating new technologies responsibly.      Google Search          The search bar you love built right in.              Access a world of knowledge at your fingertips. Check the weather solve math equations and get instant search results all contained inside your browser’s address bar.      GOOGLE WORKSPACE          Get things done with or without Wi-Fi.          Get things done in Gmail Google Docs Google Slides Google Sheets Google Translate and Google Drive even without an internet connection.Frequently asked questionsHow do I install Chrome?To install Chrome simply download the installation file then look for it in your downloads folder. Open the file and follow the instructions. Once Chrome is installed you can delete the install file. Learn more about downloading Chrome here.Does Chrome work on my operating system?Chrome is compatible with devices that run Windows and Mac operating systems provided they meet the minimum system requirements. In order to install Chrome and receive adequate support you must meet the system requirements. Learn more about using Chrome on your device.How do I make Chrome my default browser?You can set Chrome as your default browser on Windows or Mac operating systems as well as your iPhone iPad or Android device. When you set Chrome as your default browser any link you click will automatically open in Chrome. Find specific instructions for your device here.What are Chrome's safety settings?Chrome uses cutting-edge safety and security features to help you manage your safety. Use Safety Check to instantly audit for compromised passwords safe browsing status and any available Chrome updates. Learn more about safety and security on Chrome.      Take your browser with you    Download Chrome on your mobile device or tablet and sign into your account for the same browser experience everywhere.Get ChromeDownload Chrome      Scan for the  Chrome app     Follow usYoutubeTwitterFacebook              Chrome FamilyOther PlatformsChromebooks              Chromecast                            EnterpriseDownload Chrome                 Browser              Chrome Browser for                 Enterprise              Chrome                 Devices              ChromeOS              Google                 Cloud              Google                 Workspace                            EducationGoogle Chrome                 Browser              Devices              Web                 Store                            Dev and PartnersChromium              ChromeOS              Chrome Web                 Store              Chrome                 Experiments              Chrome BetaChrome DevChrome Canary              Stay ConnectedGoogle Chrome                 Blog              Update ChromeChrome                 Help              Chrome TipsGooglePrivacy and TermsAbout GoogleGoogle ProductsHelpHelpChange language or regionCatalà - EspanyaDansk - DanmarkDeutsch - DeutschlandEesti - EestiEnglish - AustraliaEnglish - CanadaEnglish - United KingdomEnglish - Hong Kong SAR ChinaEnglish - IrelandEnglish - IndiaEnglish - PhilippinesEnglish - PakistanEnglish - SingaporeEnglish - United StatesEspañol - LatinoaméricaEspañol - EspañaEspañol - Estados UnidosFilipino - PilipinasFrançais - CanadaFrançais - FranceHrvatski - HrvatskaIndonesia - IndonesiaItaliano - ItaliaLatviešu - LatvijaLietuvių - LietuvaMagyar - MagyarországMelayu - MalaysiaNederlands - NederlandNorsk Bokmål - NorgePolski - PolskaPortuguês - PortugalPortuguês - BrasilRomână - RomâniaSlovenčina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system.Get Chrome for MacFor macOS 10.15 or later.This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system.Get Chrome for LinuxDebian/Ubuntu/Fedora/openSUSE.Please select your download package:64 bit .deb (For Debian/Ubuntu)64 bit .rpm (For Fedora/openSUSE)Not Debian/Ubuntu or Fedora/openSUSE? There may be a community-supported version for your distribution. See Linux Chromium packagesGet Chrome for iOSGet Chrome for chromeOSGet Chrome for androidSet Google Chrome as my default browserHelp make Google Chrome better by automatically sending usage statistics and crash reports to Google.                What are crash reports?Note: Installing Google Chrome will add the Google repository so your system will automatically keep Google Chrome up to date. If you don’t want Google's repository do “sudo touch /etc/default/google-chrome” before installing the package.By downloading Chrome you agree to the Google Terms of Service and Chrome and ChromeOS Additional Terms of ServiceAccept and installAccept and installAccept and installGet ChromeDownload for phone or tabletAndroidiOSDownload for another desktop OSWindows 11/10 64-bitWindows 10 32-bitmacOS 10.15 or laterLinuxFrozen versionsWindows XPWindows VistaWindows 8.1/8/7 32-bitWindows 8.1/8/7 64-bitMac 10.6 - 10.8Mac 10.9Mac 10.10Mac 10.11 - 10.12Mac 10.13 - 10.14Looks like you’re already using Chrome browser. Nice!The device you have runs on ChromeOS which already has Chrome browser built-in. No need to manually install or update it — with automatic updates you’ll always get the latest version. Learn more about automatic updates.Looking for Chrome for a different operating system?See the full list of supported operating systems.</t>
  </si>
  <si>
    <t>chrome.google.com</t>
  </si>
  <si>
    <t>History of YouTube</t>
  </si>
  <si>
    <t>YouTube is an American online video-sharing platform headquartered in San Bruno, California, founded by three former PayPal employees—Chad Hurley, ...</t>
  </si>
  <si>
    <t>https://en.wikipedia.org/wiki/History_of_YouTube</t>
  </si>
  <si>
    <t>Upload videos longer than 15 minutes - Android</t>
  </si>
  <si>
    <t>Increase your video length limit · Open the YouTube mobile app. · Tap Create "" and then · Select a video longer than 15 minutes. · Choose your video's title, ...</t>
  </si>
  <si>
    <t>https://support.google.com/youtube/answer/71673?hl=en&amp;co=GENIE.Platform%3DAndroid</t>
  </si>
  <si>
    <t>Montezuma County P&amp;Z Meeting November 9, 2023</t>
  </si>
  <si>
    <t>https://montezumacounty.org/youtube-montezuma-county-pz-meeting-november-9-2023/</t>
  </si>
  <si>
    <t xml:space="preserve">Montezuma County &lt; Skip to content Board of County Commissioners   Search Search 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MenuHomeSheriff’s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Welcome toMontezuma County  Commissioners Agenda BOCC Minutes Online Services Departments News Facebook Youtube    Spotlight    						PUBLIC NOTICE NOTICE OF COORDINATED ELECTION November 72023					PUBLIC NOTICENOTICE OF COORDINATED ELECTION November 7 2023 TO THE ELECTORS OF MONTEZUMA COUNTY STATE OF COLORADOCOUNTY OF MONTEZUMA ln accordance with											Click to learn more											Montezuma County Emergency Alert System					After recent local problems with the Nixle system as well as the widely publicized issues with the alert and notification											Click to learn more											Resolution No.18-2023 SUSPENSION OF BAN ON OPEN FIRES AND USE OF FIREWORKS					Resolution RESOLUTION NO. 18-2023 SUSPENSION OF BAN ON OPEN FIRES AND USE OF FIREWORKS WHEREAS Montezuma County Ordinance No. 2-2015											Click to learn more											Montezuma County Road and Bridge: Alkali Creek Bridge replacement update					Getting closer!The past couple of weeks have been spent completing small projects at the bridge. D&amp;L Construction is applying a											Click to learn more											Montezuma County Road and Bridge: County Road N will be closed between Roads 21 and 22 beginning May 30 for the replacement of the Alkali Creek bridge.					County Road N will be closed between Roads 21 and 22 beginning May 30 for the replacement of the Alkali											Click to learn more					  						Montezuma county broadband initiative											Can you help us for a few minutes? Colorado is getting up to $1 billion over five years to improve the internet. Montezuma County and Region 9 want some of this money to improve the "middle mile" of the internet which is like building a highway before adding smaller connections to homes. They are waiting for a decision about a grant but need to collect information now. We need to know how fast and reliable the internet is in the area. This will help us ask for more money from the State to improve it. Optimap is a data base that collects information about internet speed in different places. Please test your internet speed at home and share this link with your family and friends. Thank you for your help!											Click Here					 Dolly Parton's Imagination LibraryNews  				YouTube: Montezuma County P&amp;Z Meeting November 9 2023						Read More »					November 9 2023						Public Notice – Noxious Weed Advisory Board meeting						Read More »					November 7 2023						Senior Services November MENU						Read More »					November 6 2023						Road &amp; Bridge Work Calendar- November 2023						Read More »					November 2 2023						Montezuma County Veterans Services Newsletter November 2023						Read More »					November 1 2023						BOCC Minutes October 24 2023						Read More »					November 1 2023						YouTube: Montezuma County BOCC Meeting October 31 2023						Read More »					October 31 2023						YouTube: Montezuma County BOCC Workshop October 30 2023						Read More »					October 30 2023		 Load MoreNo more posts to show  Sign up for Montezuma County  alerts! Fire RestrictionsAdvisory &amp; Air Quality Forecast Air Quality Index Statewide 						Access and Functional Needs Referral to Montezuma County Office of Emergency Management											Fill the form out Today!											2023 Spring Water Run-off											Click Here					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Online ServicesCopyright © 2023. Montezuma County CO. All Rights Reserved. Facebook Youtube Skip to contentOpen toolbarAccessibility Tools Accessibility ToolsIncrease TextIncrease Text Decrease TextDecrease Text GrayscaleGrayscale High ContrastHigh Contrast Negative ContrastNegative Contrast Light BackgroundLight Background Links UnderlineLinks Underline Readable FontReadable Font ResetResetSitemapSitemap </t>
  </si>
  <si>
    <t>montezumacounty.org</t>
  </si>
  <si>
    <t>YouTube: An Insider's Guide to Climbing the Charts</t>
  </si>
  <si>
    <t>https://books.google.com/books?id=bRZn0jExOuYC&amp;pg=PA260&amp;lpg=PA260&amp;dq=youtube&amp;source=bl&amp;ots=d-jy7Rak2B&amp;sig=ACfU3U3fuE5JI5XbD1rZXMYu8nTmJ6PpXA&amp;hl=ru&amp;sa=X&amp;ved=2ahUKEwjZ2L3yj7uCAxWSjYkEHU2sBGoQ6AF6BAhUEAM</t>
  </si>
  <si>
    <t>Маркетинг на YouTube - Результат из Google Книги</t>
  </si>
  <si>
    <t>https://books.google.com/books?id=bdRdDwAAQBAJ&amp;pg=PT14&amp;lpg=PT14&amp;dq=youtube&amp;source=bl&amp;ots=q80xWSixim&amp;sig=ACfU3U2ZLD8gw8jCH6x3DnTBxHC-WCZQ4w&amp;hl=ru&amp;sa=X&amp;ved=2ahUKEwjZ2L3yj7uCAxWSjYkEHU2sBGoQ6AF6BAg6EAM</t>
  </si>
  <si>
    <t>Account</t>
  </si>
  <si>
    <t>Google services, from Chrome to YouTube, work better and help you do more when you're signed in. Your account gives you access to helpful features like ...</t>
  </si>
  <si>
    <t>https://www.google.com/account/about/</t>
  </si>
  <si>
    <t>GoogleSearchImagesMapsPlayYouTubeNewsGmailDriveMoreCalendarTranslateMobileBooksShoppingBloggerFinancePhotosDocsEven more »Account OptionsSign inSearch settingsWeb History Advanced searchLearn how Google supports veteransAdvertisingBusiness SolutionsAbout Google© 2023 - Privacy - Terms</t>
  </si>
  <si>
    <t>www.google.com</t>
  </si>
  <si>
    <t>Википедия объяснит всё, YouTube покажет всё</t>
  </si>
  <si>
    <t>https://books.google.com/books?id=osJSEAAAQBAJ&amp;pg=PA7&amp;lpg=PA7&amp;dq=youtube&amp;source=bl&amp;ots=X5YyqPay6G&amp;sig=ACfU3U3J2ljgLdGonDW1KKSwEL3Yan4MOA&amp;hl=ru&amp;sa=X&amp;ved=2ahUKEwjZ2L3yj7uCAxWSjYkEHU2sBGoQ6AF6BAg7EAM</t>
  </si>
  <si>
    <t>аватар 2</t>
  </si>
  <si>
    <t>Аватар: Путь воды, 2022 — описание, интересные факты</t>
  </si>
  <si>
    <t>После принятия образа аватара солдат Джейк Салли становится предводителем народа на'ви и берет на себя миссию по защите новых друзей от корыстных ...</t>
  </si>
  <si>
    <t>https://www.kinopoisk.ru/film/505898/</t>
  </si>
  <si>
    <t>Ой!Подтвердите что запросы отправляли вы а не роботНам очень жаль но запросы с вашего устройства похожи на автоматические.   Почему это могло произойти?У вас отключено исполнение JavaScript. По нажатию вы будете направлены на дополнительную проверку. Как включить JavaScript?Я не роботНажмите чтобы продолжитьSmartCaptcha by Yandex CloudSmartCaptcha нужна проверка пользователяЕсли у вас возникли проблемы пожалуйста воспользуйтесь формой обратной связи</t>
  </si>
  <si>
    <t>www.kinopoisk.ru</t>
  </si>
  <si>
    <t>Аватар: Путь воды</t>
  </si>
  <si>
    <t>«Авата́р: Путь воды́» (англ. Avatar: The Way of Water) — американский эпический научно-фантастический фильм режиссёра и сценариста Джеймса Кэмерона, созданный ...</t>
  </si>
  <si>
    <t>https://ru.wikipedia.org/wiki/%D0%90%D0%B2%D0%B0%D1%82%D0%B0%D1%80:_%D0%9F%D1%83%D1%82%D1%8C_%D0%B2%D0%BE%D0%B4%D1%8B</t>
  </si>
  <si>
    <t>Фильм Аватар 2: Путь воды (2022) описание ...</t>
  </si>
  <si>
    <t>Аватар 2: Путь воды (2022) ... Продолжение зрелищной научно-фантастической эпопеи Джеймса Кэмерона. Землянин Джейк Салли ищет своё место среди инопланетного ...</t>
  </si>
  <si>
    <t>https://www.ivi.ru/watch/138313</t>
  </si>
  <si>
    <t>Онлайн-кинотеатр Иви - фильмы сериалы и мультфильмы смотреть онлайн бесплатно в хорошем качествеИвиМой ИвиЧто новогоФильмыЖанрыАртхаусБиографияБоевикиВестернВоенныеДетективыДля всей семьиДля детейДокументальныеДрамыИсторическиеКатастрофыКомедииКриминалМелодрамыМистическиеПриключенияСпортТриллерыУжасыФантастикаФэнтезиСтраныРусскиеЗарубежныеСоветское киноГодыФильмы 2023 годаФильмы 2022 годаФильмы 2021 годаФильмы 2020 годаНовинкиПодборкиИви.РейтингТрейлерыЧто посмотретьФильмы в HDНовинки подпискиСмотреть на SmartTVСериалыЖанрыБиографияБоевикиВоенныеДетективыДля всей семьиДля детейДокументальныеДрамыИсторическиеКомедийныеКриминалМедицинскиеМелодрамыМистическиеПриключенияРомантическиеТриллерыФантастическиеФэнтезиСтраныРусскиеЗарубежныеАмериканскиеТурецкиеГодыСериалы 2023 годаСериалы 2022 годаСериалы 2021 годаСериалы 2020 годаНовинкиИви.РейтингСериалы в HDСмотреть на SmartTVМультфильмыЖанрыАнимеБоевикДетективДля взрослыхДля всей семьиДля детейИсторияКомедияМюзиклПолнометражныеПриключенияРазвивающиеСериалыСпортФантастикаФэнтезиСтраныСоветскиеРусскиеАмериканскиеЗарубежныеГодыМультики 2023 годаМультики 2022 годаМультики 2021 годаМультики 2020 годаНовинкиМультики в HDСмотреть на SmartTVПоискВойтиСмотреть по подпискеСмотреть по подпискеСериалы-новинкиСССРсериал ИвиТеория больших денегНекрасивая подружкаБольшой домсериал ИвиЛада ГолдНичто не случается дваждыЗа первого встречногоДрамыПоследнее испытаниеСемь пар нечистыхЗнахарь (2019)Бандитский ПетербургПозывной «Журавли»эксклюзивНепрощенныйЗимняя вишняСериалы про сложность отношенийЛедяное сердце Северинысериал ИвиХочу не могу!Краткий курс счастливой жизниТест на беременностьЗаключениеЗолотая клетка (2013)Русские горкиОнлайн-кинотеатр Иви: фильмы в хорошем качестве всегда приносят настоящее удовольствиеСлучалось ли вам отказаться от просмотра интересного фильма из-за того что его показывали в неудобное время? Приходилось ли искать в сети интернет где смотреть фильмы онлайн? А спорить с домашними из-за выбора кино для просмотра по ТВ? Все эти проблемы остались в прошлом! Откройте для себя фильмы онлайн в HD-качестве с кинотеатром Иви. Мы не просто освобождаем вас от необходимости идти в кинотеатр или изучать программу телепередач – у посетителей нашего ресурса гораздо больше возможностей.Онлайн-кинотеатр Иви – это самая большая коллекция отечественных и зарубежных фильмов в рунете. Наша видеотека насчитывает более 30 тысяч фильмов и видеороликов доступных для просмотра онлайн и постоянно пополняется. Онлайн-кинотеатр ivi.tv – это: первый видеосервис в России который позволяет смотреть фильмы онлайн в хорошем качестве; возможность отложить просмотр фильма на время или начать смотреть кино онлайн с любого момента; удобный поиск фильмов: по названию году выпуска стране производства или жанру; фильмы в онлайне для просмотра которых не требуется устанавливать видеоплееры или искать кодеки; Регулярно мы добавляем на сайт самые свежие комедии лучшие фильмы-приключения боевики фильмы ужасов триллеры и исторические драмы.Откройте для себя возможность смотреть фильмы онлайн в отличном качестве с кинотеатром Иви! Убедитесь в том что смотреть онлайн – просто и удобно!​ПриключенияПризракЧижик-Пыжик возвращаетсяОстров ненужных людейКалендарь ма(й)яМой папа – вождьЛегенды ОрлёнкаЧастное пионерское 3. Привет взрослая жизнь!Фильмы про настоящую любовьРодители строгого режимаЛюбовникиОдноклассницы: Новый поворотСвадьба по обменуПро любовь. Только для взрослых30 свиданийЖили-былиРоссийские многосерийные мелодрамыБез памятиМастер и МаргаритаГорничнаяАлиса против правилЯ знаю твои секретыДело было на КубаниТонкие материиРоссийские детективные сериалыЛучшие комедииРоссийские боевикиДушевное киноСериалы с высоким рейтингом по подпискеЛучшие сериалы в подпискеО насО компанииВакансииПрограмма бета-тестированияИнформация для партнёровРазмещение рекламыПользовательское соглашениеПолитика конфиденциальностиНа Иви применяются рекомендательные технологииКомплаенсРазделыМой ИвиЧто новогоФильмыСериалыМультфильмыЧто посмотретьАктивация сертификатаСмотрите фильмы сериалы и мультфильмы без рекламыЗагрузить вApp StoreДоступно вGoogle PlayСмотрите наSmart TVВсе устройства© 2023 ООО «Иви.ру»HBO ® and related service marks are the property of Home Box Office Inc</t>
  </si>
  <si>
    <t>www.ivi.ru</t>
  </si>
  <si>
    <t>Аватар: Путь воды (2022) — Фильм.ру</t>
  </si>
  <si>
    <t>Третий самый кассовый фильм в истории ($2,3 млрд). Джеймс Кэмерон является единственным режиссёром, поставившим три фильма с подобным достижением (см. «Титаник» ...</t>
  </si>
  <si>
    <t>https://www.film.ru/movies/avatar-put-vody</t>
  </si>
  <si>
    <t>Кинопортал Фильм.ру - все о кино рецензии обзоры новости премьеры фильмовЧто посмотретьСмотреть онлайнФильмы и сериалы онлайнЛучшие фильмы онлайнЛучшие сериалы онлайнЛучшие новинки онлайнАфишаФильмы в кинотеатрахГрафик выхода сериаловОнлайн-премьерыКоллекции фильмовВсе коллекцииВыбор критиковМеждународные хитыЛауреаты премии ОскарАнимационные фильмыЧто посмотретьЛучшие фильмы и сериалыЛучшие фильмыЛучшие сериалыЛучшие новинкиРоссийские фильмы и сериалыЖурналВсе статьиРецензииПодборкиИнтервьюКинословарьНовостиНовости киноБокс-офисКонкурсыНовые трейлерыФоторепортажиСмотреть онлайнГрафик выходаСериалыФильмы в кинотеатрахОнлайн премьерыКоллекцииНезависимое киноВыбор критиковЖурналРецензииПодборкиИнтервьюНовостиВыбор редакцииЧто смотреть в кино на этой неделе15 главных фильмов ноябряНовые фильмы которые уже можно посмотреть онлайн10 главных сериалов ноябряГлавные темыЕЩЕРецензииРецензия на сериал «Буканьерки» — ретро-драму в духе «Бриджертонов»11 ноября / Текст: Гульназ ДавлетшинаРецензииРецензия на фильм «Враг» — провальную научно-фантастическую драму с Ронан и Мескалом 11 ноября / Текст: Оля СмолинаРецензииРецензия на фильм «Леди-викторина» с Аквафиной и Сандрой О11 ноября / Текст: Яна ТеловаРецензииРецензия на сериал «Ласт квест»: хтонические приключения кладоискателя в Мурино10 ноября / Текст: Настасья ГорбачевскаяПодборки фильмовНовые фильмы которые уже можно посмотреть онлайн10 ноября / Текст: Алихан ИсрапиловРецензииВзгляд мужского одобрения: рецензия на фильм «Отель "Ройал"» 10 ноября / Текст: Егор КозкинСейчас смотрятЕЩЕ Плакса        2023-...							Слово пацана. Кровь на асфальте        2023-...							Отмороженные        2023-...							Политех        2023-...							ФК Родина        2023-...							Мастодонт        2023-...							Ласт квест        2023-...							Волшебный участок        2023-...							Шурик и Шарик        2023-...							Секс. До и после        2023-...							Черное облако        2023-...							Ира        2023-...							Убить Риту        2023-...							Саша против!        2023-...							Романовы. Последнее слово        2023-...							Трепачи        2023-...							Бедный олигарх        2022-...							Контакт        2021-...							Команда        2023-...							Банда «ЗИГ ЗАГ»        2023-...							Жизнь по вызову        2022-...							ANNA ASTI: Путь Феникса        2023-...							Замаячный        2023-...							Там где цветет полынь        2023-...							Теория больших денег        2023-...							Лада Голд        2023-...							Разрешите обратиться        2023-...							Райцентр        2023-...							Абрек        2023-...							Однажды в Абхазии        2023-...							Бедные Абрамовичи        2023-...							Против всех        2023-...							Контейнер        2021-...							АльфаРомео        2023-...							Тайна портногоTerzi        2023-...							Ферри: СериалFerry: De Serie        2023-...							Голубоглазый самурайBlue Eye Samurai        2023-...							И солнце снова взойдет정신병동에도 아침이 와요        2023-...							Весь невидимый нам светAll the Light We Cannot See        2023-...							Онимуша鬼武者        2023-...							Ради всего человечестваFor All Mankind        2019-...							Уроки химииLessons in Chemistry        2023-...							Утреннее шоуThe Morning Show        2019-...							БуканьеркиThe Buccaneers        2023-...							НеспящиеStill Up        2023-...							Проклятие!Curses!        2023-...							 Популярные фильмы онлайнЕЩЕПлакса							2023						Жизнь по вызову							2022						После. НавсегдаAfter Everything							2023						НаёмникHit Man							2023						Слово пацана. Кровь на асфальте							2023						Мастодонт							2023						Джон Уик 4John Wick: Chapter 4							2023						Против всех							2023						Лада Голд							2023						Праздники							2023						Плакса2023-... сериал драма музыка Россия 6 часов 33 минуты 16+Семья юной Маши переезжает с Рублевки в провинциальный город где девочку начинают травить одноклассники. Продюсерский проект Сергея Жукова из «Руки вверх» с его дочкой Никой и Агатой Муцениеце…Подробнее о фильме2                    film.ru                7                    IMDb                6.4                    зрители                                         | 9906                                    Трейлер                  Смотрите на  					РЕКЛАМА 18+					•••								ПАО «РОСТЕЛЕКОМ» ИНН 7707049388 ИДЕНТИФИКАТОР: 4CQwVszH9pUkpBGLzDL													РЕКЛАМА 18+  						   × Жизнь по вызову2022-... сериал драма Россия 11 часов 20 минут 18+На владельца элитного эскорт-агентства открывают охоту. Сериал на основе реальных историй из Telegram-канала «Рынок шкур»…Подробнее о фильме                    film.ru                6.8                    IMDb                5.2                    зрители                                         | 8911                                    Трейлер                  Смотри онлайн                  					РЕКЛАМА 18+					•••								ПАО «МОБИЛЬНЫЕ ТЕЛЕСИСТЕМЫ» ИНН 7740000076 ИДЕНТИФИКАТОР: 4CQwVszH9pUkoxCnzPR													РЕКЛАМА 18+  						   × После. НавсегдаAfter Everything 2023 фильм драма мелодрама США 1 час 35 минут 16+Хардин расстался с Тессой но мысль о ней не даёт ему покоя и он садится на самолёт в Лиссабон. Пятая и вроде бы финальная часть романтической франшизы на основе бестселлеровПодробнее о фильме2                    film.ru                4.6                    IMDb                6.5                    зрители                                         | 675                                    Трейлер                  Смотрите на  					РЕКЛАМА 18+					•••								ПАО «РОСТЕЛЕКОМ» ИНН 7707049388 ИДЕНТИФИКАТОР: 4CQwVszH9pUkpBGLzDL													РЕКЛАМА 18+  						   × НаёмникHit Man 2023 фильм боевик комедия США 1 час 53 минутыОфицер полиции выдаёт себя за убийцу по найму арестовывая тех кто предлагает работу пока однажды ему не захочется и в самом деле исполнить заказ. Чёрная комедия на основе газетной статьиПодробнее о фильме10                    film.ru                7.8                    IMDb                5.7                    зрители                                         | 354                                                      Смотрите на  					РЕКЛАМА 18+					•••								ПАО «РОСТЕЛЕКОМ» ИНН 7707049388 ИДЕНТИФИКАТОР: 4CQwVszH9pUkpBGLzDL													РЕКЛАМА 18+  						   × Слово пацана. Кровь на асфальте2023 сериал драма Россия 18+Новый друг и желание самоутвердиться приводят старшеклассника Андрея к созданию преступной группировки. Многосерийная ретро-эпопея Жоры Крыжовникова на основе книги Роберта Гараева о казанском феномене…Подробнее о фильме8                    film.ru                                    IMDb                5.5                    зрители                                         | 386                                    Трейлер                  Смотрите на  					РЕКЛАМА 18+					•••								ПАО «РОСТЕЛЕКОМ» ИНН 7707049388 ИДЕНТИФИКАТОР: 4CQwVszH9pUkpBGLzDL													РЕКЛАМА 18+  						   × Мастодонт2023 сериал комедия Россия 5 часов 46 минут 16+Чтобы познакомиться со взрослой дочерью провинциальный чиновник переезжает в Москву и погружается в пугающий мир современных технологий. Федор Добронравов в душевной комедии о преодолении различий…Подробнее о фильме                    film.ru                5.2                    IMDb                5.9                    зрители                                         | 3137                                    Трейлер                  Смотрите на  					РЕКЛАМА 18+					•••								ПАО «РОСТЕЛЕКОМ» ИНН 7707049388 ИДЕНТИФИКАТОР: 4CQwVszH9pUkpBGLzDL													РЕКЛАМА 18+  						   × Джон Уик 4John Wick: Chapter 4 2023 фильм боевик триллер США 2 часа 55 минут 18+Чтобы обрести полную свободу легендарный киллер должен сразиться с новым крайне могущественным врагом. Киану Ривз и другие звезды в напряженном и стилистически выверенном продолжении экшен-франшизыПодробнее о фильме8                    film.ru                7.7                    IMDb                6.9                    зрители                                         | 2241                                    Трейлер► Смотри за 1 ₽ Реклама   18+⋮							Рекламное объявление							О рекламодателеERID: 4CQwVszH9pUmpjUDSAM Против всех2023-... сериал комедия Россия 10 часов 24 минуты 16+Дед Захар упрямый хозяин деревенского дома борется с застройщиками и соседями выросшего рядом современного многоэтажного ЖК. Ситком о борьбе за справедливость от создателей «Ивановы-Ивановы»…Подробнее о фильме6                    film.ru                6.4                    IMDb                6.0                    зрители                                         | 3159                                    Трейлер                  Смотрите на  					РЕКЛАМА 18+					•••								ПАО «РОСТЕЛЕКОМ» ИНН 7707049388 ИДЕНТИФИКАТОР: 4CQwVszH9pUkpBGLzDL													РЕКЛАМА 18+  						   × Лада Голд2023 сериал детектив комедия мелодрама Россия 6 часов 6 минут 18+Внуку милиционера из Тольятти достаётся в наследство убитая машина. Вместе с внуком местного авторитета парни понимают что авто с сюрпризом. Лихая криминальная комедия о проблемном наследии девяностыхПодробнее о фильме7                    film.ru                6.6                    IMDb                4.2                    зрители                                         | 1205                                    Трейлер                  Смотри онлайн                  					РЕКЛАМА 18+					•••								ПАО «МОБИЛЬНЫЕ ТЕЛЕСИСТЕМЫ» ИНН 7740000076 ИДЕНТИФИКАТОР: 4CQwVszH9pUkoxEEHfX													РЕКЛАМА 18+  						   × Праздники2023 фильм комедия Россия 12+Внешне благополучное семейство собирается в дачном домике чтобы отметить праздник но раскрывшиеся тайны рискуют помешать торжеству. Народная комедия с Марией Ароновой и Виталием ХаевымПодробнее о фильме                    film.ru                                    IMDb                5.4                    зрители                                         | 328                                    Трейлер                  Смотри онлайн                  					РЕКЛАМА 18+					•••								ПАО «МОБИЛЬНЫЕ ТЕЛЕСИСТЕМЫ» ИНН 7740000076 ИДЕНТИФИКАТОР: 4CQwVszH9pUkoxEEHfX													РЕКЛАМА 18+  						   × График выхода сериаловЕЩЕМаяк 23Beacon 23							1 сезон / 1 серия						12				ноя            ПроклятиеThe Curse							1 сезон / 1 серия						12				ноя            Морская полиция: СиднейNCIS: Sydney							1 сезон / 1 серия						14				ноя            Субура навекиSuburræterna							1 сезон / 1 серия						14				ноя            Убийство на краю светаA Murder at the End of the World							1 сезон / 1 серия						14				ноя            Немецкий домDeutsches Haus							1 сезон / 1 серия						15				ноя            Премьеры в кинотеатрахЕЩЕСиндром							2023						Мастер и его музаAlma &amp; Oskar							2022						Как заниматься сексомHow to Have Sex							2023						В паутинеCobweb							2023						КатастрофаAcid							2023						Крылатая историяButterfly Tale							2023						Мастер КидMaster Kid							2021						Год рождения							2023						Чувства Анны							2023						НефариусNefarious							2023						НаследникThe Childe							2023						Ангел местиFatum							2023						Одержимые зломCuando acecha la maldad							2023						Новый парень моей женыUn novio para mi mujer							2022						Принцесса и колдун АлазарPrincezna zakletá v case 2							2022						Агент 044: Операция ГарниAgent 044: Operation Garni							2023						Тигр 3Tiger 3							2023						Пиковая дама							2023						Форс-мажорForce Majeure							2014						Гардемарины 1787. Война							2023						Легенда о самбо							2023						Астрал. СомнияThe Harbinger							2022						Шпион на всю головуPeter Five Eight							2023						Книга решенийLe Livre des solutions							2023						Моя ужасная сестра 2							2023						Детектив ТабоThabo and the Rhino Case							2023						Ниша							2022						Шаг к мечте: Раз и навсегдаOne and Only							2023						СупермозгHeadspace							2023						Папаша в бегах							2023						ВерсачеThe Genius of Gianni Versace Alive							2022						Онлайн премьерыЕЩЕThe Santa SummitThe Santa Summit							2023						JFK: One Day in AmericaJFK: One Day in America							2023						Праздники							2023						Витязи							2023						Ольга Вузова							2023						Мама будет против							2023						Pencils vs PixelsPencils vs Pixels							2023						De La CalleDe La Calle							2023						Stand Up &amp;amp; Shout: Songs From a Philly High SchoolStand Up &amp; Shout: Songs From a Philly High School							2023						БуканьеркиThe Buccaneers							2023						Мститель비질란테							2023						Робби УильямсRobbie Williams							2023						You Were My First BoyfriendYou Were My First Boyfriend							2023						Слово пацана. Кровь на асфальте							2023						Волшебный участок							2023						В поисках зверяButcher's Crossing							2022						Колин из бухгалтерииColin from Accounts							2022						ДьяволёнокAkuma Kun							2023						Mystery on Mistletoe LaneMystery on Mistletoe Lane							2023						КиллерThe Killer							2023						007: Дорога к миллиону007: Road to a Million							2023						The KillerThe Killer							2023						Rumble Through the DarkRumble Through the Dark							2023						At the MomentAt the Moment							2023						Christmas IslandChristmas Island							2023						ПроклятиеThe Curse							2023						A Heidelberg HolidayA Heidelberg Holiday							2023						Порхай как бабочкаFloat Like a Butterfly							2018						The Lady Bird DiariesThe Lady Bird Diaries							2023						Убийство на краю светаA Murder at the End of the World							2023						Субура навекиSuburræterna							2023						Морская полиция: СиднейNCIS: Sydney							2023						Your Lucky DayYour Lucky Day							2023						JFK: What the Doctors SawJFK: What the Doctors Saw							2023						Дэвид Холмс: Мальчик который выжилDavid Holmes: The Boy Who Lived							2023						Brawn: Невероятная история Формулы-1Brawn: The Impossible Formula 1 Story							2023						Stamped from the BeginningStamped from the Beginning							2023						Папа не звездиLa tête dans les étoiles							2023						В любви и глубокой водеIn Love and Deep Water							2023						Best. Christmas. Ever!Best. Christmas. Ever!							2023						A World Record ChristmasA World Record Christmas							2023						«Монарх»: Наследие монстровMonarch: Legacy of Monsters							2023						Семейное делоA Family Affair							2023						Скотт Пилигрим жмёт на газScott Pilgrim Takes Off							2023						РастинRustin							2023						Dashing Through the SnowDashing Through the Snow							2023						Twin LoveTwin Love							2023						Please Don't Destroy: The Treasure of Foggy MountainPlease Don't Destroy: The Treasure of Foggy Mountain							2023						All-Time HighAll-Time High							2023						Navigating ChristmasNavigating Christmas							2023						KennedyKennedy							2023						A Merry Scottish ChristmasA Merry Scottish Christmas							2023						The Santa SummitThe Santa Summit 2023 фильм мелодрама СШАПодробнее о фильме                    film.ru                7.1                    IMDb                                    зрители                                    JFK: One Day in AmericaJFK: One Day in America 2023 сериал документальный исторический США ВеликобританияПодробнее о фильме                    film.ru                7.6                    IMDb                5.8                    зрители                                         | 2                                    ТрейлерПраздники2023 сериал комедия Россия 5 часов 52 минуты 16+В центре сюжета — простая российская семья живущая в небольшом городке средней полосы России. Персонажи сериала настолько...Подробнее о фильме                    film.ru                                    IMDb                5.7                    зрители                                         | 548                                                      НТВ-ПЛЮС: 7 дней бесплатно                  					РЕКЛАМА 18+					•••								ООО «НТВ-ПЛЮС» ИНН 7726394478 ОГРН 1177746005667 ИДЕНТИФИКАТОР: 4CQwVszH9pUkpQRqwEG													РЕКЛАМА 18+  						   × Витязи2023 сериал детектив исторический Россия 6 часов 40 минут 18+Древнерусский спецназ...Подробнее о фильме                    film.ru                4                    IMDb                5.0                    зрители                                         | 128                                    Трейлер                  Смотрите на  					РЕКЛАМА 18+					•••								ПАО «РОСТЕЛЕКОМ» ИНН 7707049388 ИДЕНТИФИКАТОР: 4CQwVszH9pUkpBGLzDL													РЕКЛАМА 18+  						   × Ольга Вузова2023 сериал реалити-шоу Россия 3 часа 36 минут 12+Программа Бузовой посвящена техническому образованию в России. Ее цель — помочь старшеклассникам определиться с учебным...Подробнее о фильме                    film.ru                                    IMDb                5.3                    зрители                                         | 2                                    ТрейлерМама будет против2023 сериал комедия Россия 5 часов 12 минут 16+Грузчик Коля роняет коробку на продавщицу Наташу. Ее склочная мама грозит уволить парня и он решает замутить с Наташей…...Подробнее о фильме                    film.ru                7.6                    IMDb                5.2                    зрители                                         | 1394                                    ТрейлерPencils vs PixelsPencils vs Pixels 2023 фильм мультфильмы биографический документальный США 2 часа 25 минутПодробнее о фильме                    film.ru                7                    IMDb                5.6                    зрители                                         | 2                                    ТрейлерDe La CalleDe La Calle 2023 сериал документальный СШАПодробнее о фильме                    film.ru                                    IMDb                                    зрители                                    Stand Up &amp;amp; Shout: Songs From a Philly High SchoolStand Up &amp; Shout: Songs From a Philly High School 2023 фильм документальный США 1 час 28 минутПодробнее о фильме                    film.ru                                    IMDb                                    зрители                                    ТрейлерБуканьеркиThe Buccaneers 2023-... сериал драма Великобритания 3 часа 32 минуты 18+Викторианский Лондон 1870-х годов. Группа американских девушек сталкивается с пуританскими традициями англичан. Сердца...Подробнее о фильме7                    film.ru                6.9                    IMDb                5.5                    зрители                                         | 30                                    ТрейлерМститель비질란테 2023-... сериал боевик триллер Южная Корея 8 часов 0 минутОбразцовый студент полицейской академии по выходным берет правосудие в свои руки и наказывает преступников получивших...Подробнее о фильме                    film.ru                7.7                    IMDb                6.7                    зрители                                         | 20                                    Робби УильямсRobbie Williams 2023 сериал биографический документальный музыка ВеликобританияПодробнее о фильме                    film.ru                7.7                    IMDb                6.5                    зрители                                         | 1                                    ТрейлерYou Were My First BoyfriendYou Were My First Boyfriend 2023 фильм документальный США 1 час 37 минутПодробнее о фильме                    film.ru                8.5                    IMDb                                    зрители                                    ТрейлерСлово пацана. Кровь на асфальте2023 сериал драма Россия 18+Новый друг и желание самоутвердиться приводят старшеклассника Андрея к созданию преступной группировки. Многосерийная ретро-эпопея Жоры Крыжовникова на основе книги Роберта Гараева о казанском феномене…Подробнее о фильме8                    film.ru                                    IMDb                5.5                    зрители                                         | 386                                    Трейлер                  Смотрите на  					РЕКЛАМА 18+					•••								ПАО «РОСТЕЛЕКОМ» ИНН 7707049388 ИДЕНТИФИКАТОР: 4CQwVszH9pUkpBGLzDL													РЕКЛАМА 18+  						   × Волшебный участок2023 сериал боевик детектив комедия фэнтези Россия 7 часов 4 минуты 18+Снайпер Леха против Бабы Яги Змея Горыныча и всей русской нечисти. Сказочная комедия про богатыря нашего времени…...Подробнее о фильме                    film.ru                                    IMDb                7.4                    зрители                                         | 242                                    Трейлер► Смотри за 1 ₽ Реклама   18+⋮							Рекламное объявление							О рекламодателеERID: 4CQwVszH9pUmpjUDSAM В поисках зверяButcher's Crossing 2022 фильм вестерн драма США 1 час 35 минутУилл бросает учебу в Гарварде чтобы отправиться в Скалистые горы Колорадо вместе с охотниками на бизонов. Он не умеет ни...Подробнее о фильме                    film.ru                5.9                    IMDb                7.1                    зрители                                         | 12                                    ТрейлерКолин из бухгалтерииColin from Accounts 2022-... сериал комедия Австралия 3 часа 38 минутЭшли (Харриет Дайер) и Гордон (Патрик Браммелл) — два одиноких и сложных человека которых свела вместе...Подробнее о фильме                    film.ru                8.1                    IMDb                7.4                    зрители                                         | 14                                    ТрейлерДьяволёнокAkuma Kun 2023 сериал аниме мультфильмы приключения фэнтези ЯпонияПодробнее о фильме                    film.ru                                    IMDb                6.5                    зрители                                         | 1                                    Mystery on Mistletoe LaneMystery on Mistletoe Lane 2023 фильм детектив СШАПодробнее о фильме                    film.ru                                    IMDb                                    зрители                                    КиллерThe Killer 2023 фильм боевик приключения триллер США Франция 1 час 58 минутОпытный киллер (Майкл Фассбендер) переживает психологический кризис начиная чувствовать раскаяние за свои преступления.Подробнее о фильме7                    film.ru                7.4                    IMDb                5.8                    зрители                                         | 39                                    Трейлер007: Дорога к миллиону007: Road to a Million 2023-... сериал игровое шоу приключения реалити-шоу Великобритания США 6 часов 32 минутыИгроками выступают восемнадцать человек — девять пар по два участника — готовых сражаться за денежный приз в один миллион...Подробнее о фильме                    film.ru                2.8                    IMDb                6.4                    зрители                                         | 1                                    ТрейлерThe KillerThe Killer 2023 фильм боевик США 1 час 46 минутПодробнее о фильме                    film.ru                                    IMDb                                    зрители                                    Rumble Through the DarkRumble Through the Dark 2023 фильм триллер США 1 час 56 минутПодробнее о фильме                    film.ru                8.5                    IMDb                                    зрители                                    At the MomentAt the Moment 2023 сериал драма мелодрама ТайваньПодробнее о фильме                    film.ru                                    IMDb                                    зрители                                    ТрейлерChristmas IslandChristmas Island 2023 фильм мелодрама КанадаПодробнее о фильме                    film.ru                                    IMDb                                    зрители                                    ПроклятиеThe Curse 2023-... сериал комедия США 8 часов 16 минутСюжет расскажет о супругах Эшли (Нэйтан Филдер) и Уитни (Эмма Стоун) Сигелах которые создают реалити-шоу «Филантропия»....Подробнее о фильме                    film.ru                7.1                    IMDb                6.0                    зрители                                         | 2                                    ТрейлерA Heidelberg HolidayA Heidelberg Holiday 2023 фильм мелодрама семейный Германия США 1 час 24 минутыПодробнее о фильме                    film.ru                                    IMDb                                    зрители                                    ТрейлерПорхай как бабочкаFloat Like a Butterfly 2018 фильм драма исторический спорт Ирландия 1 час 47 минутЭто сильная и актуальная история о девушке которая боролась за свою свободу и призвание. Как в классическом фильме &amp;quot...Подробнее о фильме                    film.ru                5.9                    IMDb                                    зрители                                    The Lady Bird DiariesThe Lady Bird Diaries 2023 фильм документальный США 1 час 30 минутПодробнее о фильме                    film.ru                8.8                    IMDb                                    зрители                                    ТрейлерУбийство на краю светаA Murder at the End of the World 2023 сериал детектив триллер США Исландия 6 часов 40 минутСыщица Дарби Харт (Эмма Коррин) отправляется на отдалённый остров миллиардера Энди (Клайв Оуэн). Позднее одного из гостей...Подробнее о фильме                    film.ru                                    IMDb                                    зрители                                    ТрейлерСубура навекиSuburræterna 2023-... сериал боевик драма мелодрама триллер Италия 6 часов 40 минутВ Риме царит хаос. Существующие союзы оказываются под угрозой из-за обострения отношений с новыми преступными кланами. Для...Подробнее о фильме                    film.ru                                    IMDb                                    зрители                                    ТрейлерМорская полиция: СиднейNCIS: Sydney 2023-... сериал триллер США 8 часов 0 минутПодробнее о фильме                    film.ru                                    IMDb                5.5                    зрители                                         | 2                                    ТрейлерYour Lucky DayYour Lucky Day 2023 фильм триллер США 1 час 29 минутПодробнее о фильме                    film.ru                                    IMDb                                    зрители                                    JFK: What the Doctors SawJFK: What the Doctors Saw 2023 фильм документальный США 1 час 48 минутПодробнее о фильме                    film.ru                                    IMDb                                    зрители                                    Дэвид Холмс: Мальчик который выжилDavid Holmes: The Boy Who Lived 2023 фильм документальный США 1 час 28 минутДокументальный проект HBO и Sky расскажет о Дэвиде Холмсе — дублёре Дэниэла Рэдклиффа в фильмах про Гарри...Подробнее о фильме                    film.ru                                    IMDb                                    зрители                                    ТрейлерBrawn: Невероятная история Формулы-1Brawn: The Impossible Formula 1 Story 2023 сериал документальный спорт США ВеликобританияПодробнее о фильме                    film.ru                                    IMDb                                    зрители                                    ТрейлерStamped from the BeginningStamped from the Beginning 2023 фильм документальный США 1 час 40 минутПодробнее о фильме                    film.ru                6.7                    IMDb                                    зрители                                    Папа не звездиLa tête dans les étoiles 2023 фильм комедия Франция 1 час 31 минута 16+Курьер случайно попадает на борт международной космической станции. Он быстро становится мировой звездой и героем для...Подробнее о фильме                    film.ru                4.7                    IMDb                5.2                    зрители                                         | 234                                    ТрейлерВ любви и глубокой водеIn Love and Deep Water 2023 фильм детектив комедия мелодрама Япония 1 час 55 минутПодробнее о фильме                    film.ru                                    IMDb                                    зрители                                    ТрейлерBest. Christmas. Ever!Best. Christmas. Ever! 2023 фильм комедия мелодрама США 1 час 41 минутаПодробнее о фильме                    film.ru                                    IMDb                                    зрители                                    A World Record ChristmasA World Record Christmas 2023 фильм драма Канада 1 час 24 минутыПодробнее о фильме                    film.ru                                    IMDb                                    зрители                                    «Монарх»: Наследие монстровMonarch: Legacy of Monsters 2023-... сериал боевик приключения фантастика США ЯпонияСпин-офф фильмов про Годзиллу. Действие разворачивается на протяжении 50 лет. Военный офицер Ли Шоу (Курт Рассел) связан с...Подробнее о фильме                    film.ru                                    IMDb                                    зрители                                    ТрейлерСемейное делоA Family Affair 2023 фильм комедия мелодрама США 1 час 36 минутКомедия о любовном треугольнике между матерью (Николь Кидман) дочерью (Джои Кинг) и её начальником-актёром из Голливуда ...Подробнее о фильме                    film.ru                                    IMDb                                    зрители                                    Скотт Пилигрим жмёт на газScott Pilgrim Takes Off 2023 сериал мультфильмы боевик приключения США Япония КанадаМультипликационная версия «Скотт Пилигрим против всех» Эдгара Райта.Подробнее о фильме                    film.ru                                    IMDb                                    зрители                                    ТрейлерРастинRustin 2023 фильм биографический драма исторический США 2 часа 1 минута 18+Биографическая лента о Бэйарде Растине — американском активисте 1960-х годов и ближайшем соратнике Мартина Лютера...Подробнее о фильме                    film.ru                6.6                    IMDb                6.3                    зрители                                         | 1                                    ТрейлерDashing Through the SnowDashing Through the Snow 2023 фильм комедия семейный фэнтези США 1 час 35 минутПодробнее о фильме                    film.ru                                    IMDb                                    зрители                                    ТрейлерTwin LoveTwin Love 2023 сериал мелодрама реалити-шоу СШАПодробнее о фильме                    film.ru                                    IMDb                                    зрители                                    ТрейлерPlease Don't Destroy: The Treasure of Foggy MountainPlease Don't Destroy: The Treasure of Foggy Mountain 2023 фильм комедия СШАПодробнее о фильме                    film.ru                                    IMDb                                    зрители                                    ТрейлерAll-Time HighAll-Time High 2023 фильм комедия Франция 1 час 20 минутПодробнее о фильме                    film.ru                                    IMDb                                    зрители                                    Navigating ChristmasNavigating Christmas 2023 фильм мелодрама СШАПодробнее о фильме                    film.ru                                    IMDb                                    зрители                                    KennedyKennedy 2023 сериал биографический документальный исторический СШАПодробнее о фильме                    film.ru                                    IMDb                                    зрители                                    A Merry Scottish ChristmasПодробнее о фильме                    film.ru                                    IMDb                                    зрители                                    Популярные рецензииЕЩЕРецензия на 12-й сезон «Американской истории ужасов: Нежность»: Ким Кардашьян козлы и роды4 ноября / Текст: Настасья ГорбачевскаяРецензия на сериал «Плутон» от Netflix — одно из лучших аниме 2023 года30 октября / Текст: Алихан Исрапилов«Дрянь» в российских реалиях: почему не стоит смотреть сериал «Ира»?14 октября / Текст: Юлия СалиховаРецензия на второй сезон сериала «Локи» — удручающее продолжение приключений бывшего злодея Marvel31 октября / Текст: Оля СмолинаРецензия на фильм «Клык»: Аарон Экхарт мстит за собаку23 октября / Текст: Андрей ВолковРецензия на фильм «Телохранитель на фрилансе» — комедийный боевик с Джоном Синой в главной роли20 октября / Текст: Гульназ ДавлетшинаРецензия на «Поколение “Ви”» — второй спин-офф легендарных «Пацанов»13 октября / Текст: Яна ТеловаНовостиЕЩЕ            11 ноября            Зак Эфрон отреагировал на предложение сыграть Мэттью Перри в байопике            11 ноября            Трейлер «Головоломки 2» стал самым популярным за всю историю Disney            11 ноября            Совет директоров SAG одобрил новую сделку с продюсерами            11 ноября            Вышел тизер сериала «Братское солнце» с Мишель Йео            11 ноября            Джим Джармуш снимет новый фильм в Париже            11 ноября            «Барби» возглавила список номинантов на «Грэмми»Лучшие новые трейлерыЕЩЕБарышня (фильм 2024)            Тизер-трейлер (англ.)        Орион и Темнота (фильм 2024)            Трейлер (англ.)        Аркейн (сериал 2021)            Сезон 2: Анонс даты (англ.)        Головоломка 2 (фильм 2024)            Тизер-трейлер (англ.)        КоллекцииЕЩЕНарисованное кино                  1 сериал5 фильмов                    2188Лучшие фильмы 2021 года по версии журнала Wired                  9 фильмов                    1328Самые скандальные американские фильмы                  66 фильмов                    10849100 лучших фильмов ужасов по версии Time Out                  100 фильмов                    259243Лучшие британские сериалы 2022 года по версии BFI                  9 сериалов3 фильма                    725Лучшие фильмы 2022 года по версии Metacritic                  30 фильмов                    1492Лауреаты премии «Оскар» за лучшую женскую роль                  98 фильмов                    4804Победители кинофестиваля SXSW                   27 фильмов                    529Лучшие фильмы 2000-х                  50 фильмов                    52326100 лучших фильмов XXI века по версии BBC                  100 фильмов                    18130Все фильмы-номинанты на «Оскар» в 2023 году                  38 фильмов                    1245550 лучших сериалов XXI века по версии film.ru                  48 сериалов                    31721100 Лучших русских и советских фильмов по версии Empire                  100 фильмов                    110178Лауреаты премии «Оскар» в категории «Лучший грим и причёски»                   41 фильм                    1266Лучшие сюрреалистические фильмы                  45 фильмов                    1837325 величайших мюзиклов по версии AFI                  25 фильмов                    439Показать еще О проектеКонтактыВакансииРекламаПерепечаткаЛицензионноесоглашениеВКонтактеOK.RUЯндекс ДзенTelegram        Film.ru зарегистрирован Федеральной службой по надзору в сфере связи информационных технологий и массовых коммуникаций (Роскомнадзор).        Свидетельство Эл № ФС77-82172 от 10.11.2021.        © 2023 Film.ru — всё о кино рецензии обзоры новости премьеры фильмовПредложить материал	Если вы хотите предложить нам материал для публикации или сотрудничество напишите нам письмо и если оно покажется нам важным мы ответим вам течение одного-двух дней. Если ваш вопрос нельзя решить по почте в редакцию можно позвонить.	Адрес для писем: partner@film.ru	Телефон редакции: 8 (495) 229-62-00ПожаловатьсяЧто именно вам кажется недопустимым в этом комментарии?</t>
  </si>
  <si>
    <t>www.film.ru</t>
  </si>
  <si>
    <t>Аватар 2: Путь воды (фильм 2022)</t>
  </si>
  <si>
    <t>Смотрите онлайн видео Аватар 2: Путь воды (фильм, 2022) канала Фильмач в хорошем качестве без регистрации и совершенно бесплатно на RUTUBE.</t>
  </si>
  <si>
    <t>https://rutube.ru/video/633df1f2b8ccf9202aa456f672ff8eed/</t>
  </si>
  <si>
    <t>Видеохостинг RUTUBE. Смотрите видео онлайн бесплатно. ДобавитьУведомленияТёмная темаГлавнаяВ топеКаталогПодпискиМоёOriginalsСмотреть позжеИстория просмотраГлавнаяВ топеКаталогПодпискиМоёOriginalsВойдите чтобы настроить меню категорийВход и регистрацияВсе категорииАвтоБлогерыВидеоигрыДетямЕдаИнтервьюКультураЛайфхакиМузыкаНовости и СМИОбучениеПодкастыПутешествияРадиоСериалыСпортТВ онлайнТелеканалыТелешоуТрансляцииФильмыФонды помощиЮморТелеканалыПервый каналРоссия 1МАТЧНТВПятый каналТелеканал КультураРоссия 24ТВЦРЕН ТВСПАССТСДомашнийТВ-3ПятницаЗвездаМИР ТВТНТМУЗ-ТВЧЕКанал «Ю»ТНТ42х2vijuСмотреть позжеИстория просмотраСкачивайте приложенияИнструкцииSMART TVRUTUBE ДетямТВ-приставкиApple TVПодписывайтесь на насВопросы и ответыОбратная связьОставить отзывО насНаправления деятельностиПользовательское соглашениеКонфиденциальностьПравовая информацияРекомендательная система сервисаФирменный стиль© 2023 RutubeГлавнаяВ топеКаталогПодпискиМоёOriginalsВойдите чтобы настроить меню категорийВход и регистрацияВсе категорииАвтоБлогерыВидеоигрыДетямЕдаИнтервьюКультураЛайфхакиМузыкаНовости и СМИОбучениеПодкастыПутешествияРадиоСериалыСпортТВ онлайнТелеканалыТелешоуТрансляцииФильмыФонды помощиЮморТелеканалыПервый каналРоссия 1МАТЧНТВПятый каналТелеканал КультураРоссия 24ТВЦРЕН ТВСПАССТСДомашнийТВ-3ПятницаЗвездаМИР ТВТНТМУЗ-ТВЧЕКанал «Ю»ТНТ42х2vijuСмотреть позжеИстория просмотраСкачивайте приложенияИнструкцииSMART TVRUTUBE ДетямТВ-приставкиApple TVПодписывайтесь на насВопросы и ответыОбратная связьОставить отзывО насНаправления деятельностиПользовательское соглашениеКонфиденциальностьПравовая информацияРекомендательная система сервисаФирменный стиль© 2023 RutubeТоп-5 видео112+10:57Украинский фронт - ВСУ отступают в Авдеевке. Проблемы ВСУ у Коксохима. 10 ноября 2023Саня во ФлоридеДень назад212+02:04:56Быков* желает «очистить» Россию Смольянинов* запел Клинтон сравнила Трампа с ГитлеромАбзац2 дня назад316+03:59Война на Украине (10.11.23): Авдеевка приговорена — это понимаю уже все и мы и противникЮрий Подоляка2 дня назад418+01:14:19№ 457 Нападение на Анатолия Шария / Охота на евреев в Дагестане / Вакцинация от кокаинаАртемий Лебедев2 дня назад516+02:08:10Сопрано S04E06 Всем больно - Разбор Гоблина с ДементиемДмитрий Пучков2 дня назадРекомендуем06:30Шушумагия 6 серия. Косички для ивыЯРКО. Фабрика анимационных хитов5 дней назад12+14:30Как работают палеонтологи – Всеволод Ефременко | Лекции по палеонтологии | НаучпопНаукаPRO14 часов назад16+01:16:59Ярче Звёзд 1 сезон 6 выпускТелеканал ТНТ8 часов назад12+01:31:50Подкаст «Русский Географик»: Суперпроекты российского туризмаРусский Географик17 часов назад16+01:53:03Экстрасенсы. Битва сильнейших 23 выпускТелеканал ТНТ325 тыс.просмотров10 часов назад12+09:59Таинственная Красная кнопка в метро Петербурга! [Станция Рыбацкое]PRO МЕТРО16 часов назад16+01:13:18Последний герой. Остаться семьёй 3 выпускТелеканал ТВ-3781 тыс.просмотров12 часов назад12+27:03Настольные игры древнего мира / [История по Чёрному]История по Чёрному13 часов назад12+27:02Построили ЮРТУ сами! Дом в Подмосковье. Дизайн Интерьера. Румтур.Как живут другие12 часов назад12+16:55МЫ СТАЛИ МЕРТВОЙ НЕВЕСТОЙ и ЗЛОВЕЩЕЙ ТЫКВОЙ! Кто сделает образ на Хеллоуин лучше!?Double Bubble16 часов назад12+02:08:36«Путь к успеху»: встреча с сестрами Авериными«Газпром» на выставке «Россия»3 дня назад12+45:35Стас Ай Как Просто у психолога о своих доходах и Мизулиной / КиберЭтика с ЛиссовымКиберэтика21 час назад16+23:52Вкусно с Ляйсан 3 сезон 9 выпуск Денис КляверТелеканал ТВ-321 час назад12+17:41Дзюдо со Звёздами | Марина Лизоркина «Serebro» в прошлом золото в дзюдоLEDENEVДень назад12+01:06:53Фантастика. Выпуск от 10.11.2023. Часть 1Первый каналДень назад12+23:36Как живут горные гиды и почему люди любят горы?Раскадровка2 дня назад12+04:17Бьянка Юлианна Караулова - Про дружбу (Сольный концерт Бьянки в Москве 2023)БЬЯНКА2 дня назад06:30Шушумагия 5 серия. Полёт Пуш-пушаЯРКО. Фабрика анимационных хитов5 дней назад18+01:21:39ДВОР НА ДВОР. 5 СЕРИЯ. ЕКАТЕРИНБУРГ х БАРНАУЛДВОР НА ДВОР305 тыс.просмотров3 дня назад16+46:35Тревел-баттл: Куала-Лумпур. МалайзияПятницаДень назадRUTUBE НОВОСТИРоссиянам разрешат покинуть сектор Газа 12 ноябряРИА НовостиМинистр обороны Израиля предупредил Ливан о последствиях вступления в конфликтКоммерсантъ«Краснодар» — лидер РПЛ после первого круга сезона 2023/24МАТЧ ТВРоссиянин Хабибулаев стал пятикратным чемпионом мира по боевому самбоМАТЧ ТВБезруков: необходимо прививать патриотизм детям через искусствоТАССВ США назвали номинантов на GrammyТАССВ Москве наградили лауреатов театральной премии «Золотая маска»НТВНовинки блогеров12+06:52ОБРАЗЫ BEYONCÉ В ТУРЕ // МОДНЫЙ ОБЗОР НА НАРЯДЫ 🪩Jessihill13 часов назад12+02:07:57Анфиса Чехова: о выборе правильных мужчин разводе и астрологииCвета Вокруг Света21 час назад12+05:14ЧТО ТАКОЕ БУЛЛИНГ И КАК НЕ СТАТЬ ЖЕРТВОЙ БУЛЛИНГА?Тема Няшин13 часов назад12+37:03ТАИЛАНД отдыхает! Неизведанные Филиппины остров МинданаоBigtripvlog12 часов назад12+05:30ЭКСКЛЮЗИВ! BMW M8: Роскошь Скорость и Люкс в Каждом Движении! 💥🚗Авто как есть!13 часов назад12+11:04Какие мультики лучше 🔥!Romantic bylocka1012 часов назад12+06:06РАСПАКОВКА КОСМЕТИКИ! Что можно купить в Золотом Яблоке?Malina_Isteri4ka2 дня назад12+05:08МЕГА БУРГЕР|КАК СДЕЛАТЬ САМЫЙ БОЛЬШОЙ БУРГЕРVrode VladosДень назад12+05:50САМЫЙ ДОРОГОЙ НОВОГОДНИЙ подарокmarkovatlДень назад12+06:04РОЛЬ / КИНОМакс Тамбов17 часов назад12+10:12БИТВА ДВОИХ! СЪЕДАЕМ ИНГРЕДИЕНТЫ! ВТОРОЙ ВЫПУСК!MAXIMUMДень назад12+01:07:24МЕЧТА РЫБАКА НА ПЕРВЫЙ ЛЁД УТЕРЕТЬ НОС СОСЕДУПо щучьему велению - отдыхаем вместе в ХМАО.День назад12+46:18НОВЫЕ ВРАГИ  ➤   Spider-Man: Miles Morales #2JayS_App2 дня назад12+08:08НАБОР МЫШЕЧНОЙ МАССЫ | ДЕНЬ 5 | ТРЕНИРОВКА ГРУДИ!Nosov Roman20 часов назад12+11:45#Абхазия2023 🌴11 ноября❗Выпуск №1487❗ Погода от Серого Волка🌡вчера +24°🌡ночью +13°🐬море +199°Сергей Сухумский (Серый Волк) - Отдых в Абхазии!21 час назад12+29:05За Ней Охотятся Бандиты! // ЛуномосикЛуномосик20 часов назад12+13:09ФИКСИКИ.exe и ДИМ ДИМЫЧ ПОХИТИЛИ ЛЕРУ! Запретная серия ФИКСИКОВ __ ЮС ШОУ (720p)YS SHOW20 часов назад12+19:50Витами D3 жизненно необходим каждому органу твоего телаО здоровье с Натальей Зубаревой2 дня назад12+13:43Новый седан от шведо-китайского симбиоза. Встречайте — Geely EMGRAND уже в Ростове-на-ДонуСлава Никольский2 дня назад12+10:55Иван Золо оказался НЕЙРОСЕТЬЮ?THE CELEBA2 дня назад</t>
  </si>
  <si>
    <t>rutube.ru</t>
  </si>
  <si>
    <t>Аватар 2 сезон (2023): дата выхода, участники, жюри ...</t>
  </si>
  <si>
    <t>Второй сезон шоу Аватар стартует 5 ноября 2023 года. У нас вы узнаете все об участниках, членах жюри и ведущих проекта.</t>
  </si>
  <si>
    <t>https://www.kp.ru/afisha/msk/obzory/muzyka/shou-avatar-2-sezon-2023/</t>
  </si>
  <si>
    <t xml:space="preserve"> Новости России и мира. Комсомольская Правда в РФ - газета радио и сайт // WWW.KP.RU - KP.RU    МенюРоссияФотоВидеоСпецоперацияПолитикаОбществоЭкономикаВ миреЗвездыЗдоровьеСоцподдержкаНаукаКоронавирусСпортКолумнистыПроисшествияНациональные проекты РоссииВыбор экспертовДокторФинансыЯ знаюСемьяЖенские секретыПутеводительПромокодыСериалыСпецпроектыДефицит железаТуризмПресс-центрНедвижимостьТелевизорКоллекцииГид потребителяВсе о КПРадио КПРекламаКонкурсы и тестыНовое на сайтеЕщеРадиоФункционирует при финансовой поддержке Министерства цифрового развития связи и массовых коммуникаций Российской ФедерацииМенюРоссияФотоВидеоСпецоперацияПолитикаОбществоЭкономикаВ миреЗвездыЗдоровьеСоцподдержкаНаукаКоронавирусСпортКолумнистыПроисшествияНациональные проекты РоссииВыбор экспертовДокторФинансыЯ знаюСемьяЖенские секретыПутеводительПромокодыСериалыСпецпроектыДефицит железаТуризмПресс-центрНедвижимостьТелевизорКоллекцииГид потребителяВсе о КПРадио КПРекламаКонкурсы и тестыНовое на сайтеЕщеРадиоРоссияМосква+4°Сегодня:НовостиВыставка "Россия"Война в ИзраилеИгрыВоенкорыНаше киноУкраина: сводкаАфишаПроисшествияОтдых в РоссииЕщеКартина дняКП в TelegramПарни рассказывают что первый месяц украинского «контрнаступа» было тяжко — враг пер не жалея своих.ПолитикаЭксклюзив kp.ruСтойкость наших солдат молитвы и подвиги под обстрелами: Честный рассказ бойцов которые остановили наступление ВСУ под ПятихаткамифотовидеоБоец с позывным «Малыш» вывез раненых товарищей с поля боя на БМП без гусеницы2 дня назадПолитикаЭксклюзив kp.ruВ миреАмериканцы назвали виновного в подрыве «Северных потоков»: С этой версией все не такОфицер ВСУ Червинский не мог быть координатором атаки на "Северные потоки"вчераВ миреПолитикаВ Европе начали планировать «похороны» Киевского режима: Что будет с Украиной без помощи СШАБоррель заявил что Украина не сможет победить Россию в ближайшее времявчераПолитикаЭкономикаЭксклюзив kp.ruМожет стать адресной не для всех: Что будет дальше с льготной ипотекой в РоссииРиэлтор Апрелев: Льготную ипотеку могут ограничить для людей с высокими доходамивчераЭкономикаЭксклюзив kp.ruПолитикаВСУ пытались убить своих сдавшихся в плен: Герой России рассказал как пленил у Днепра 11 украинских морпеховвидеоВ плену военнослужащие 36-й бригады морской пехоты ВСУ прикинулись «мобилизованными»вчераПолитикаНаукаДревние великаны и портал в иные миры: как оккультисты из нацистской «Аненербе» искали Шамбалу в горах КавказаЖурналисты «КП» Николай и Наталья Варсеговы прошли по следам немецких эзотериков и столкнулись с неведомымвчераНаукаПолитикаВоенная спецоперация на Украине 12 ноября 2023: прямая онлайн-трансляцияСайт KP.RU в онлайн-режиме публикует последние новости о военной спецоперации России на Украине на 12 ноября 2023 годавчераПолитикаЗвезды«Никто тебе не завидует клевета только в тебе самой»: Россияне ответили на отповедь Аллы ПугачевойАлла Пугачева ответила артистам обвинившим ее в крахе их карьерывчераЗвездыЗвездыЭксклюзив kp.ruПотерявшая любимого мужа Александра Пахмутова держится героем: Дарит радость детям из Донецка выглядит как королевафотовидеоАлександра Пахмутова встретилась с детьми из Донецка и спела с ними свои песнивчераЗвездыЭксклюзив kp.ruЗвездыГибель единственного сына и врачеб­ная ошибка подкосили Бориса Клюева: Опубликована запись последнего интервью артиста перед смертьюЗдоровье Бориса Клюева подкосила внезапная смерть единственного сынавчераЗвездыНаукаЭксклюзив kp.ruНе хотите чтобы ребенок вырос нищим? Не говорите ему фразы которые программируют на бедностьПсихолог Мусохранова назвала фразы которые программируют нас на бедностьвчераНаукаЭксклюзив kp.ruСпортСтрастный прокат Валиевой в красном платье принес ей победу в короткой программе женщин на Гран-При России в КазаниЧто случилось в короткой программе женщин на Гран-При России в КазанивчераСпортНаукаФото невесты с тремя руками в сети окрестили чертовщиной: что не так с загадочным свадебным снимкомфотоНевеста сделала фото с тремя разными положениями рук одновременновчераНаукаЗдоровьеЭксклюзив kp.ruМагнитные бури не успокоились: в ночь на 12 ноября ожидается серьезный «шторм»Диетолог Денисенко: перед магнитными бурями стоит отказаться от жирной едывчераЗдоровьеЭксклюзив kp.ruНовости2411 минут назадПолитикаSohu: США спровоцировали конфликт Польши с Украиной это выгодно Россиичас назадПолитикаРоссийские военные уничтожили до 50 боевиков ВСУ на Купянском направлениичас назадОбществоМинцифры: В России будут блокировать несущие угрозу сервисы VPN2 часа назадПолитикаПодоляк заявил о готовности Киева к торговым конфликтам внутри ЕС3 часа назадПолитикаСпикер Конгресса Джонсон предложил финансирование правительства без помощи КиевувчераПолитикаGuardian: санкции не смогли повлиять на успехи России в производстве вооружениявчераВ миреПолиция Чехии завела 384 дела против поддерживающих Россию граждан странывчераВ миреЛАГ: Мир с Израилем возможен при деоккупации всех палестинских и арабских земельвчераВ миреCNN: трое младенцев погибли в больнице Газы взятой в осаду войсками ИзраилявчераВ миреМакрон: Франция столкнулась с возрождением необузданного антисемитизмавчераПолитикаВ подконтрольном Киеву городе Херсон прогремели взрывывчераВ миреЛига арабских государств: Газа должна остаться в составе Палестины после войнывчераВ миреПод Римом крупный лев сбежал из цирка его пытаются пойматьвчераВ миреПентагон: Самолет ВВС США потерпел крушение в Средиземном моревсе новостиПогода в МосквеСегодняЗавтра+4°Ощущается как +2°Утром+4°Днем+5°Вечером+8°Погода в МосквеСегодняЗавтра+4°Ощущается как +2°Утром+4°Днем+5°Вечером+8°ОбществоЙо-хо-хо: на дне Карибского моря - двадцать миллиардов долларов и бутылка ромаПравительство Колумбии до 2026 года рассчитывает поднять со дна несметные сокровища галеона «Сан Хосе». Мы решили вспомнить какие еще затонувшие богатства скрывают океанывчераОбщество</t>
  </si>
  <si>
    <t>www.kp.ru</t>
  </si>
  <si>
    <t>Фильм Аватар: Путь воды (США, 2022) – Афиша-Кино</t>
  </si>
  <si>
    <t>Фильм Аватар: Путь воды (Avatar: The Way of Water, США, 2022) – актеры, трейлеры, отзывы пользователей и рецензии критиков, похожие фильмы и кадры из него.</t>
  </si>
  <si>
    <t>https://www.afisha.ru/movie/avatar-put-vody-211630/</t>
  </si>
  <si>
    <t>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2023 - январь 2024 МДМОт 900 ₽концертВивальди. Времена ГодаНоябрь 2023 - апрель 2024 Дом киноОт 1400 ₽6.1фильмИмператрицыИдет в 96 кинотеатрахКупить билетспортивное мероприятиеСветлана Хоркина. Шоу Дуэль18 ноября в 18:00 Дворец гимнастики Ирины Винер-УсмановойОт 1500 ₽8выставкаТинькофф Город: Энди Уорхол и русское искусствоДо 18 февраля Еврейский музейКупить билетфильмСиндромИдет в 136 кинотеатрахКупить билетЭкскурсия «Гриф снят»Ноябрь Бункер-42 на ТаганкеОт 550 ₽Фильмы изменившие мирПодборкиКаталог фильмовОжидаемые премьерыРасписание фильмовЁлкиВсе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центр «Меридиан»От 300 ₽Буратинодо -30%СкидкаДетские елкиДекабрь 2023 январь 2024 Культурный центр «Меридиан»От 1300 ₽Моня Цацкес — знаменосец-20%СкидкаДраматическийНоябрь 2023 - январь 2024 На 2 площадкахОт 300 ₽Сказочный гала-балет с песочной анимацией-30%СкидкаДетские елки25 26 и 27 декабря Культурный центр «Меридиан»СпортВсеОт 400 ₽Динамо М — ТорпедоХоккей23 ноября в 19:30 СКРК «ВТБ Арена – Центральный стадион «Динамо» им.Яшина»От 400 ₽Динамо М — СКАХоккей25 декабря в 19:30 СКРК «ВТБ Арена – Центральный стадион «Динамо» им.Яшина»От 400 ₽Динамо М — ЦСКАХоккей19 декабря в 19:30 СКРК «ВТБ Арена – Центральный стадион «Динамо» им.Яшина»От 200 ₽Родина — ЧерноморецФутбол12 ноября в 19:00 Сапсан АренаАфиша ресторановВсе10 ноябряЛучшие рестораны Москвы по версии премии Wheretoeat Moscow 202310 ноября«Природой нам отведено 150 лет»: Евгений Реймер о еде будущего и новом ресторане «Нео» в павильоне «Атом»8 ноябряСочифорния в разгаре: куда пойти в Сочи в ноябре7 ноябряПланы на неделю: фестиваль хинкали казахские деликатесы и этнические бранчи7 ноябряЛучшие рестораны Центрального региона России по версии премии Wheretoeat 20234 ноябряВ Москве назовут лучшие рестораны столицы3 ноябряВ Краснодаре Сочи Ростове-на-Дону и Геленджике пройдет Фестиваль южной кухниПремьерыБилетыСиндромТриллер9.3От 1100 ₽МаяковскийПремьерыДекабрь 2023 январь 2024 Ленком Марка ЗахароваБорис Свешников. Сновидения вечностиЖивописьДо 14 января Наши художникиБилетыКатастрофаФэнтезиВыбор АфишиВсе7.7БилетыДжентльменыБоевик8.8От 1000 ₽РеверсЦиркНоябрь 2023 - январь 2024 Московский театр мюзикла7.6БилетыДрайвТриллер8.2От 1500 ₽МизериДраматический12 ноября в 18:00 Дедовский КДКСкоро в киноВсеБилетыТещаКомедияБилетыМальчик и птицаМультфильмБилетыШаг к мечте: Раз и навсегдаТрагикомедияБилетыМоя ужасная сестра-2КомедияПодборки АфишиВсеПриложение Афиши — самый удобный способ выбрать как провести свободное времяРассылка Афиши:главные события недели — у вас на почтеПодписатьсяО компанииРедакцияРекламаКонтактыКарта сайтаАфиша DailyПикник АфишиЕда.руАфиша детиПутеводителиВозврат билетовОбратная связьСертификатыЧасто задаваемые вопросыМобильная версия© 1999–2023 ООО «Компания Афиша». Все права защищены. Для лиц старше 18 лет. Пользовательское соглашение Политика конфиденциальности Правила применения рекомендательных технологийАбакан Азов Альметьевск Анапа Ангарск Арзамас Армавир Артем Архангельск Астрахань Ачинск Балаково Балашиха Балашов Барнаул Батайск Белгород Белорецк Белореченск Бердск Березники Бийск Благовещенск Братск Брянск Бугульма Бугуруслан Бузулук Великий Новгород Верхняя Пышма Видное Владивосток Владикавказ Владимир Волгоград Волгодонск Волжский Вологда Вольск Воронеж Воскресенск Всеволожск Выборг Гатчина Геленджик Горно-Алтайск Грозный Губкин Гудермес Дербент Дзержинск Димитровград Дмитров Долгопрудный Домодедово Дубна Евпатория Екатеринбург Елец Ессентуки Железногорск (Красноярск) Жуковский Зарайск Заречный (ПО) Звенигород Зеленогорск Зеленоград Златоуст Иваново Ивантеевка Ижевск Иркутск Искитим Истра Йошкар-Ола Казань Калининград Калуга Каменск-Уральский Камышин Каспийск Кемерово Кингисепп Кириши Киров Кисловодск Клин Клинцы Ковров Коломна Колпино Комсомольск-на-Амуре Копейск Королев Коряжма Кострома Красногорск Краснодар Краснознаменск Красноярск Кронштадт Кстово Кубинка Кузнецк Курган Курганинск Курск Лесной Лесной Городок Липецк Лобня Лодейное Поле Ломоносов Луховицы Лысьва Лыткарино Люберцы Магадан Магнитогорск Майкоп Махачкала Миасс Можайск Московский Мурманск Муром Мценск Мытищи Набережные Челны Назрань Нальчик Наро-Фоминск Находка Невинномысск Нефтекамск Нефтеюганск Нижневартовск Нижнекамск Нижний Новгород Нижний Тагил Новоалтайск Новокузнецк Новомосковск Новороссийск Новосибирск Новоуральск Новочебоксарск Новошахтинск Новый Уренгой Ногинск Норильск Ноябрьск Нягань Обнинск Одинцово Озерск Озеры Октябрьский Омск Орел Оренбург Орехово-Зуево Орск Павлово Павловский Посад Пенза Первоуральск Пермь Петергоф Петрозаводск Петропавловск-Камчатский Подольск Прокопьевск Псков Пушкин Пушкино Пятигорск Раменское Ревда Реутов Ростов-на-Дону Рубцовск Руза Рыбинск Рязань Салават Салехард Самара Саранск Саратов Саров Севастополь Северодвинск Североморск Северск Сергиев Посад Серпухов Сестрорецк Симферополь Смоленск Сокол Солнечногорск Сосновый Бор Сочи Спасск-Дальний Ставрополь Старый Оскол Стерлитамак Ступино Сургут Сызрань Сыктывкар Таганрог Тамбов Тверь Тихвин Тольятти Томск Туапсе Тула Тюмень Улан-Удэ Ульяновск Уссурийск Усть-Илимск Уфа Феодосия Фрязино Хабаровск Ханты-Мансийск Химки Чебоксары Челябинск Череповец Черкесск Чехов Чита Шахты Щелково Электросталь Элиста Энгельс Южно-Сахалинск Якутск Ялта Ярославль Выбор афишивыбор АфишиКалендарь12 ноября 2023 13 ноября 2023 14 ноября 2023 15 ноября 2023 16 ноября 2023 17 ноября 2023 18 ноября 2023 19 ноября 2023 20 ноября 2023 21 ноября 2023 22 ноября 2023 23 ноября 2023 24 ноября 2023 25 ноября 2023 26 ноября 2023 27 ноября 2023 28 ноября 2023 29 ноября 2023 30 ноября 2023 1 декабря 2023 2 декабря 2023 3 декабря 2023 4 декабря 2023 5 декабря 2023 6 декабря 2023 7 декабря 2023 8 декабря 2023 9 декабря 2023 10 декабря 2023 11 декабря 2023 12 декабря 2023 13 декабря 2023 14 декабря 2023 15 декабря 2023 16 декабря 2023 17 декабря 2023 18 декабря 2023 19 декабря 2023 20 декабря 2023 21 декабря 2023 22 декабря 2023 23 декабря 2023 24 декабря 2023 25 декабря 2023 26 декабря 2023 27 декабря 2023 28 декабря 2023 29 декабря 2023 30 декабря 2023 31 декабря 2023 1 января 2024 2 января 2024 3 января 2024 4 января 2024 5 января 2024 6 января 2024 7 января 2024 8 января 2024 9 января 2024 10 января 2024 11 января 2024 12 января 2024 13 января 2024 14 января 2024 15 января 2024 16 января 2024 17 января 2024 18 января 2024 19 января 2024 20 января 2024 21 января 2024 22 января 2024 23 января 2024 24 января 2024 25 января 2024 26 января 2024 27 января 2024 28 января 2024 29 января 2024 30 января 2024 31 января 2024 1 февраля 2024 2 февраля 2024 3 февраля 2024 4 февраля 2024 5 февраля 2024 6 февраля 2024 7 февраля 2024 8 февраля 2024 9 февраля 2024 10 февраля 2024 11 февраля 2024 12 февраля 2024 13 февраля 2024 14 февраля 2024 15 февраля 2024 16 февраля 2024 17 февраля 2024 18 февраля 2024 19 февраля 2024 20 февраля 2024 21 февраля 2024 22 февраля 2024 23 февраля 2024 24 февраля 2024 25 февраля 2024 26 февраля 2024 27 февраля 2024 28 февраля 2024 29 февраля 2024 1 марта 2024 2 марта 2024 3 марта 2024 4 марта 2024 5 марта 2024 6 марта 2024 7 марта 2024 8 марта 2024 9 марта 2024 10 марта 2024 11 марта 2024 12 марта 2024 13 марта 2024 14 марта 2024 15 марта 2024 16 марта 2024 17 марта 2024 18 марта 2024 19 марта 2024 20 марта 2024 21 марта 2024 22 марта 2024 23 марта 2024 24 марта 2024 25 марта 2024 26 марта 2024 27 марта 2024 28 марта 2024 29 марта 2024 30 марта 2024 31 марта 2024 1 апреля 2024 2 апреля 2024 3 апреля 2024 4 апреля 2024 5 апреля 2024 6 апреля 2024 7 апреля 2024 8 апреля 2024 9 апреля 2024 10 апреля 2024 11 апреля 2024 12 апреля 2024 13 апреля 2024 14 апреля 2024 15 апреля 2024 16 апреля 2024 17 апреля 2024 18 апреля 2024 19 апреля 2024 20 апреля 2024 21 апреля 2024 22 апреля 2024 23 апреля 2024 24 апреля 2024 25 апреля 2024 26 апреля 2024 27 апреля 2024 28 апреля 2024 29 апреля 2024 30 апреля 2024 1 мая 2024 2 мая 2024 3 мая 2024 4 мая 2024 5 мая 2024 6 мая 2024 7 мая 2024 8 мая 2024 9 мая 2024 10 мая 2024 11 мая 2024 12 мая 2024 13 мая 2024 14 мая 2024 15 мая 2024 16 мая 2024 17 мая 2024 18 мая 2024 19 мая 2024 20 мая 2024 21 мая 2024 22 мая 2024 23 мая 2024 24 мая 2024 25 мая 2024 26 мая 2024 27 мая 2024 28 мая 2024 29 мая 2024 30 мая 2024 31 мая 2024 1 июня 2024 2 июня 2024 3 июня 2024 4 июня 2024 5 июня 2024 6 июня 2024 7 июня 2024 8 июня 2024 9 июня 2024 10 июня 2024 11 июня 2024 12 июня 2024 13 июня 2024 14 июня 2024 15 июня 2024 16 июня 2024 17 июня 2024 18 июня 2024 19 июня 2024 20 июня 2024 21 июня 2024 22 июня 2024 23 июня 2024 24 июня 2024 25 июня 2024 26 июня 2024 27 июня 2024 28 июня 2024 29 июня 2024 30 июня 2024 1 июля 2024 2 июля 2024 3 июля 2024 4 июля 2024 5 июля 2024 6 июля 2024 7 июля 2024 8 июля 2024 9 июля 2024 10 июля 2024 11 июля 2024 12 июля 2024 13 июля 2024 14 июля 2024 15 июля 2024 16 июля 2024 17 июля 2024 18 июля 2024 19 июля 2024 20 июля 2024 21 июля 2024 22 июля 2024 23 июля 2024 24 июля 2024 25 июля 2024 26 июля 2024 27 июля 2024 28 июля 2024 29 июля 2024 30 июля 2024 31 июля 2024 1 августа 2024 2 августа 2024 3 августа 2024 4 августа 2024 5 августа 2024 6 августа 2024 7 августа 2024 8 августа 2024 9 августа 2024 10 августа 2024 11 августа 2024 12 августа 2024 13 августа 2024 14 августа 2024 15 августа 2024 16 августа 2024 17 августа 2024 18 августа 2024 19 августа 2024 20 августа 2024 21 августа 2024 22 августа 2024 23 августа 2024 24 августа 2024 25 августа 2024 26 августа 2024 27 августа 2024 28 августа 2024 29 августа 2024 30 августа 2024 31 августа 2024 1 сентября 2024 2 сентября 2024 3 сентября 2024 4 сентября 2024 5 сентября 2024 6 сентября 2024 7 сентября 2024 8 сентября 2024 9 сентября 2024 10 сентября 2024 11 сентября 2024 12 сентября 2024 13 сентября 2024 14 сентября 2024 15 сентября 2024 16 сентября 2024 17 сентября 2024 18 сентября 2024 19 сентября 2024 20 сентября 2024 21 сентября 2024 22 сентября 2024 23 сентября 2024 24 сентября 2024 25 сентября 2024 26 сентября 2024 27 сентября 2024 28 сентября 2024 29 сентября 2024 30 сентября 2024 1 октября 2024 2 октября 2024 3 октября 2024 4 октября 2024 5 октября 2024 6 октября 2024 7 октября 2024 8 октября 2024 9 октября 2024 10 октября 2024 11 октября 2024 12 октября 2024 13 октября 2024 14 октября 2024 15 октября 2024 16 октября 2024 17 октября 2024 18 октября 2024 19 октября 2024 20 октября 2024 21 октября 2024 22 октября 2024 23 октября 2024 24 октября 2024 25 октября 2024 26 октября 2024 27 октября 2024 28 октября 2024 29 октября 2024 30 октября 2024 31 октября 2024 1 ноября 2024 2 ноября 2024 3 ноября 2024 4 ноября 2024 5 ноября 2024 6 ноября 2024 7 ноября 2024 8 ноября 2024 9 ноября 2024 10 ноября 2024 11 ноября 2024 Ноябрь Декабрь Январь Февраль Март Апрель Май Июнь Июль Август Сентябрь Октябрь Сегодня Завтра Выходные Неделя МесяцДетскиедетскиеСортировкапо размеру скидки</t>
  </si>
  <si>
    <t>www.afisha.ru</t>
  </si>
  <si>
    <t>Аватар 2 (2022) – Фильм Про</t>
  </si>
  <si>
    <t>https://www.filmpro.ru/movies/5138</t>
  </si>
  <si>
    <t>Фильм Про - ты решаешь что смотреть: новости кино трейлеры подборки и топы фильмов и сериалов график премьер Фильм ПроТы решаешь что смотретьЧто посмотретьПодборки фильмовТОП Фильм ПроГрафик премьер онлайнТОП ожидаемых фильмовПопулярные фильмыАфиша кинотеатровЧеловек-паук: Через вселенныеДжон Уик 4Как приручить дракона 3АватарВидеоИндустрия киноТрейлеры«Властелины воздуха». ТрейлерПо щучьему велению. ТрейлерЧеловек ниоткуда. ТрейлерГолодные игры: Баллада о змеях и певчих птицах. ТрейлерЖурналНовостиИнтервьюРепортажиВышел первый тизер «Властелинов воздуха» — новой совместной работы Стивена Спилберга и Тома Хэнкса«Дорогие американцы! Идите в баню!»: вирусная рекламная кампания российской комедии уже на МанхэттенеМы хотели снимать комедию но когда писали сценарий нам почему-то не было смешно: интервью с режиссёром Ренатом ДавлетьяровымВ Marvel кризис будущее кинематографической вселенной под вопросомСериалыТОП сериаловПодборки сериаловГрафик выходаНовости сериаловПопулярные сериалыВедьмак (сериал)Очень странные дела (сериал: 4 сезона)Сокол и Зимний Солдат (сериал)Властелин колец: Кольца власти (сериал)Форма поиска по сайтуЧто посмотретьПодборки фильмовТОП Фильм ПроГрафик премьер онлайнТОП ожидаемых фильмовПопулярные фильмыАфиша кинотеатровВидеоИндустрия киноТрейлерыЖурналНовостиИнтервьюРепортажиСериалыТОП сериаловПодборки сериаловГрафик выходаНовости сериаловПопулярные сериалы﻿Даррен Аронофски снимет фильм про Илона Маска                        Для студии A24                    Самая длительная актёрская забастовка в США закончилась                        И все счастливы!                    Netflix решил перестать заваливать зрителей фильмами качества Netflix                        И превратиться в видеосервис премиального контента                    «По щучьему велению» стал третьим фильмом-миллиардером в этом году                        За 13 дней проката киносказка уже заработала 15 млрд рублей                    «Мы хотели снимать комедию но когда писали сценарий нам почему-то не было смешно»                        Интервью с режиссёром Ренатом Давлетьяровым про фильм «Человек ниоткуда» и не только                    В Marvel кризис будущее кинематографической вселенной под вопросом                        Глава студии Кевин Файги думает над тем как вернуть былое величие своего детища                    График премьер онлайнУже доступноСкоро онлайн7.3ОнлайнПодробнееСмотреть видеоВызов (2023)ДрамаВладимир Машков Юлия Пересильд Милош Бикович7.2ОнлайнПодробнееДжон Уик 4Боевик Триллер Криминал6.6ОнлайнПодробнееКентаврДрама ТриллерЮрий Борисов Григорий Верник Сергей Гилев6.6ОнлайнПодробнееСмотреть видеоЯ - богиняКомедияАлександра Бортич Антон Васильев Антон Филипенко6.6ОнлайнПодробнееКруче некудаБоевик Комедия6.3ОнлайнПодробнееСмотреть видеоСнегирьДрамаТимофей Трибунцев Александр Робак Евгений СытыйОнлайнПодробнееСмотреть видеоОппенгеймер Биографический фильм Драма Исторический фильмМэтт Дэймон Эмили Блант Киллиан МёрфиОнлайнПодробнееСмотреть видеоГардемарины 1787. МирСемейный фильм Приключения Исторический фильмАлександр Домогаров Дмитрий Харатьян Михаил МамаевОнлайнПодробнееБарбиКомедия Приключения ФэнтезиРайан Гослинг Марго Робби Америка ФеррераОнлайнПодробнееСмотреть видеоИван Семенов: Большой походКомедия Семейный фильмМария Шукшина Марина Федункив Никита КологривыйНазадВпередНазадВпередГрафик онлайн премьерНовостиСвежиеПопулярные11.11 10:30Самые волшебные фильмы-экранизации сказок от которых не оторватьсяСиняя птица Золотой компас Морозко Властелин колец: Братство кольца Конёк-Горбунок Последний богатырь Хроники Нарнии: Лев колдунья и волшебный шкаф Гарри Поттер и Философский камень Белоснежка и охотник По щучьему велению10.11 18:37Аниме про Джона Уика находится в разработкеДжон Уик 2 Джон Уик 3 Джон Уик 4 Джон УикКиану Ривз Чад Стахелски10.11 15:30Новость дня: Даррен Аронофски снимет фильм про Илона Маска для A24Чёрный лебедь мама! (2017) Реквием по мечтеБрендан Фрейзер Натали Портман Даррен Аронофски10.11 12:22Warner Bros. снова отменяет уже готовое кино — на этот раз «Койот против Акме» с Джоном Синой10.11 11:11«Капитан Америка» улетает на 2025 год — появились новые даты релизов Marvel Studios Дэдпул 309.11 17:55Вышел первый тизер «Властелинов воздуха» — новой совместной работы Стивена Спилберга и Тома ХэнксаТихий океан (мини-сериал) Братья по оружию (сериал: 1 сезон)Стивен Спилберг Остин Роберт Батлер Том Хэнкс734 просмотраСамая длительная актёрская забастовка в США закончилась 658 просмотровВышел первый тизер «Властелинов воздуха» — новой совместной работы Стивена Спилберга и Тома ХэнксаТихий океан (мини-сериал) Братья по оружию (сериал: 1 сезон)Стивен Спилберг Остин Роберт Батлер Том Хэнкс478 просмотров«По щучьему велению» стал третьим фильмом-миллиардером в этом годуПо щучьему велению339 просмотровЖан-Клод Ван Дамм признался что ему стыдно за своё камео в «Друзьях»Друзья (сериал: 10 сезонов)Кортни Кокс Жан-Клод Ван Дамм Дженнифер Энистон336 просмотровNetflix решил перестать заваливать зрителей фильмами качества Netflix329 просмотровWarner Bros. снова отменяет уже готовое кино — на этот раз «Койот против Акме» с Джоном СинойВсе свежиеТрейлерыНовыеПопулярныеСмотреть видео09.11 18:50«Властелины воздуха». ТрейлерСмотреть видео08.11 17:25 Продавцы боли. Трейлер с субтитрамиСмотреть видео08.11 14:32Кит. Дублированный трейлерСмотреть видео03.11 15:32Человек ниоткуда. ТрейлерСмотреть видео02.11 10:30Романовы. Последнее слово. ТрейлерСмотреть видео31.10 20:02Сама виновата. Тизер-сцена Смотреть видео31.10 13:08 Ласт квест. ТрейлерСмотреть видео30.10 12:55Смешарики снимают кино. ТрейлерСмотреть видео30.10 12:55 Лукавый. Дублированный трейлерСмотреть видео27.10 17:25Убийца. ТрейлерСмотреть видео26.10 17:44Воздух. ТрейлерСмотреть видео23.10 16:27Холоп 2. ТрейлерНазадВпередСмотреть видео330 тыс. Охотник на монстров. Дублированный трейлер №1Охотник на монстровСмотреть видео270 тыс. Чудо-женщина 1984. Дублированный трейлер №1Чудо-женщина: 1984Смотреть видео208 тыс. Довод. Дублированный трейлер №2ДоводСмотреть видео188 тыс. Батя. Трейлер №1БатяСмотреть видео156 тыс. Глубже. Трейлер №1Глубже!Смотреть видео150 тыс. Чёрная вдова. Дублированный трейлер Чёрная ВдоваСмотреть видео115 тыс. Главный герой. Дублированный трейлерГлавный геройСмотреть видео114 тыс. Любовь. Трейлер без цензуры на английском языке (18+)Любовь 3DГаспар НоэСмотреть видео112 тыс. Форсаж 9. Дублированный промо-ролик №1Форсаж 9Смотреть видео70 тыс. Чёрная вдова. Промо-ролик №1Чёрная ВдоваСмотреть видео67 тыс. Тихое место 2. Дублированный трейлер №2Тихое место 2Смотреть видео64 тыс. Том и Джерри. Дублированный трейлер №1Том и ДжерриНазадВпередВсе новыеСейчас ищутФильмыСериалы6.9ПодробнееСмотреть видеоНепосредственно Каха1 млн.  просмотровЮлия Гревцова  Артур Оганесян  Вартан Даниелян7.5ПодробнееСмотреть видеоХолоп943 тыс.  просмотровМария Миронова Милош Бикович Александра Бортич7.2ПодробнееСмотреть видеоФорсаж 9895 тыс.  просмотровВин Дизель Шарлиз Терон Джон Сина7.1ПодробнееСмотреть видеоДжентльмены825 тыс.  просмотровМэттью МакКонахи Чарли Ханнэм Джереми Стронг7.5ПодробнееСмотреть видеоПосле. Глава 2811 тыс.  просмотровСэльма Блэр Хиро Файнс-Тиффин Дилан Спроус7.5ПодробнееСмотреть видеоПятьдесят оттенков серого728 тыс.  просмотровДакота Джонсон Джейми Дорнан Дженнифер ИлиНазадВперед7.8ПодробнееСмотреть видеоЭйфория (сериал)508 тыс.  просмотровЗендея  Джейкоб Элорди Хантер Шафер7.6ПодробнееСмотреть видеоЧернобыль (мини-сериал)425 тыс.  просмотровСтеллан Скарсгард Эмили Уотсон Джаред Харрис7.6ПодробнееСмотреть видеоХороший доктор (сериал)425 тыс.  просмотровБо Гарретт Антония Томас Чуку Моду8.1ПодробнееСмотреть видеоНастоящий детектив (сериал)419 тыс.  просмотровТерренс Розмор Кристофер Агиляр Айк Джексон7.6ПодробнееСмотреть видеоИгра престолов (сериал)412 тыс.  просмотровШон Бин Николай Костер-Вальдау Гарри Ллойд7.3ПодробнееСмотреть видеоМир Дикого Запада (сериал: 4 сезона)326 тыс.  просмотровДжеймс Марсден Синтия Даллас  Оливер БеллНазадВпередВсе фильмы		Топ Фильм ПроВсе жанрыАнимеБиографический фильмБоевикВестернВоенный фильмДетективДокументальный фильмДрамаИсторический фильмКомедияКороткометражный фильмКриминалМелодрамаМистикаМузыкальный фильмМультфильмМюзиклНаучно-фантастическийНуарПриключенияСемейный фильмСпортивный фильмТВ-шоуТриллерУжасыФантастикаФэнтези9.71ПодробнееСмотреть видеоУпс... Ной уплыл!Комедия Мультфильм ПриключенияКарла Бекер Патрик Фицсиммонс Эва Коннолли 9.72ПодробнееСмотреть видеоЛесная братваКомедия Мультфильм ПриключенияСтив Карелл Кэтрин О’Хара Уильям Шетнер9.73ПодробнееСмотреть видеоИндюки: Назад в будущее 3DКомедия Мультфильм ПриключенияВуди Харрельсон Оуэн Уилсон Дэн Фоглер9.74ПодробнееСмотреть видеоРоботыКомедия Мультфильм ПриключенияРобин Уильямс Джим Бродбент Мэл Брукс9.75ПодробнееСмотреть видеоПобег из курятникаКомедия Мультфильм ПриключенияТимоти Сполл Джулия Савалия Линн Фергюсон9.76ПодробнееСмотреть видеоГадкий утенок и яКомедия Мультфильм ПриключенияПол Тайлак Анна Олсон Морган С. Джонс9.77ПодробнееСмотреть видеоШевели ластами!Мультфильм ПриключенияМелани Гриффит Юрий Ловенталь Tim Dadabo9.78ПодробнееСмотреть видеоСезон охоты 2Комедия Мультфильм ПриключенияКриспин Гловер Элиза Габриелли Ника Футтерман9.79ПодробнееСмотреть видеоЦыпленок ЦыпаКомедия Мультфильм ПриключенияСтив Зан Зак Брафф Марк Диндал9.610ПодробнееСмотреть видеоНоев ковчегМультфильм Семейный фильм Приключения Мюзикл ФэнтезиХуан Карлос Меса Хорхе Гинзбург Мариана Фаббиани9.611ПодробнееСмотреть видеоВэлиант: Пернатый спецназКомедия Мультфильм ПриключенияДжим Бродбент Джонатан Росс Брайан Лонсдэйл9.612ПодробнееСмотреть видеоСезон Охоты: Байки из лесаКомедия Мультфильм ПриключенияБрайан Драммонд Ли Токар Мелисса Штурм9.613ПодробнееСмотреть видеоСезон охотыКомедия Мультфильм ПриключенияЭштон Кучер Мартин Лоуренс Дебра Мессинг9.614ПодробнееСмотреть видеоРеальная белка 3DКомедия Мультфильм ПриключенияДжефф Данэм Кристиан Потенза Джо Пинг9.615ПодробнееСмотреть видеоБольшой собачий побегКомедия Мультфильм ПриключенияДжеймс Шоу Бенжамин Натан-Серио Франк Робледано9.616ПодробнееСмотреть видеоНе бей копытомКомедия Мультфильм Семейный фильмРозанна Кэрол Кук Бобби Блок9.617ПодробнееСмотреть видеоПриключения пиратов в стране овощейКомедия Мультфильм ПриключенияЛиза Вишер Лаура Ричи Адам Фрик9.618ПодробнееСмотреть видеоСезон охоты 3Комедия Мультфильм ПриключенияСкотт Менвилль Алекс Видов Томас Л. Уокер9.619ПодробнееСмотреть видеоЛедниковый период 2: Глобальное потеплениеБоевик Мультфильм ПриключенияШонн Уильям Скотт Куин Латифа Денис Лири9.620ПодробнееСмотреть видеоДелай ноги 2Комедия Мультфильм Семейный фильм Музыкальный фильмЭлайджа Вуд Элизабет Дэйли ПинкНазадВпередВесь топПодборки10Самые волшебные фильмы-экранизации сказок от которых не оторваться13Фильмы которые избавят вас от осенней хандры даже если на душе кошки скребутся3030 лучших хорроров XXI века10Ответственный за пришельцев и покоритель женских сердец: лучшие фильмы с Уиллом Смитом18Лучшие фильмы про Римскую империюВсе подборкиСериалыНовостиПодборки10.11 18:37Аниме про Джона Уика находится в разработкеДжон Уик 2						Джон Уик 3						Джон Уик 4						Джон УикКиану Ривз Чад Стахелски10.11 12:22Warner Bros. снова отменяет уже готовое кино — на этот раз «Койот против Акме» с Джоном Синой09.11 17:55Вышел первый тизер «Властелинов воздуха» — новой совместной работы Стивена Спилберга и Тома ХэнксаТихий океан (мини-сериал)						Братья по оружию (сериал: 1 сезон)Стивен Спилберг Остин Роберт Батлер Том Хэнкс09.11 13:15Жан-Клод Ван Дамм признался что ему стыдно за своё камео в «Друзьях»Друзья (сериал: 10 сезонов)Кортни Кокс Жан-Клод Ван Дамм Дженнифер Энистон09.11 10:10Самая длительная актёрская забастовка в США закончилась 08.11 17:26Netflix решил перестать заваливать зрителей фильмами качества Netflix08.11 15:05Продюсеры супергеройского блокбастера прогнали звезду «Медведя» и «Бесстыжих» после вопроса зачем ему сниматься в их фильмеДжереми Аллен Уайт08.11 12:09Майк Уайт: третий сезон «Белого лотоса» будет еще масштабнее Майк Уайт Дженнифер Кулидж08.11 10:25Грета Гервиг займётся «Хрониками Нарнии» для Netflix в 2024 годуХроники Нарнии: Принц Каспиан						Хроники Нарнии: Покоритель Зари						Леди Бёрд						Маленькие женщины						Барби					...					Грета Гервиг03.11 10:59«Миссия невыполнима 7» и «Рептилии» — самые популярные фильмы в октябре у пиратовТом Круз Джастин Тимберлэйк Ума Турман02.11 18:30Второй сезон «Дома Дракона» выйдет летом 2024 года Дом Дракона (сериал)						Игра престолов (сериал)02.11 14:54В Marvel кризис будущее кинематографической вселенной под вопросомНазадВперед18Лучшие фильмы про Римскую империю11Фильмы которые позволят вам сойти за своего в компании физиков 7Что посмотреть вечером: самые откровенные российские сериалы9Крутые российские сериалы которые продлили на новые сезоны20Лучшие новые российские сериалы которые заставят вас поверить в отечественный кинематограф5Пять свежих российских сериалов для любителей мистики16Новые российские сериалы за которые не стыдно15Лучшие сериалы про ведьм и вампиров14Лучшие сериалы про серийных убийц маньяков и психопатов15Лучшие сериалы про космос18Самые напряжённые политические триллеры: фильмы и сериалы15Сериалы в которых даже внимательные зрители легко запутаютсяНазадВпередВсе новости		Лучшие сериалы		ВсеАнимеБиографический фильмБоевикВестернВоенный фильмДетективДокументальный фильмДрамаИсторический фильмКомедияКороткометражный фильмКриминалМелодрамаМистикаМузыкальный фильмМультфильмМюзиклНаучно-фантастическийНуарПриключенияСемейный фильмСпортивный фильмТВ-шоуТриллерУжасыФантастикаФэнтези9.01ПодробнееСпецкласс ААниме Комедия Мелодрама9.02ПодробнееКровавая ночь Сэнгоку: Музыкальная темаАниме Музыкальный фильм Фэнтези Мелодрама9.03ПодробнееКрасавчики из эпохи Сэнгоку: Любовь что пролетает сквозь времяАниме Мелодрама8.94ПодробнееСмотреть видеоНевеста комдива (сериал)Комедия МелодрамаНина Усатова Максим Аверин Александра Никифорова 8.85ПодробнееПризрачные дни: На дняхАниме Комедия Научно-фантастический Мелодрама8.86ПодробнееВоскрешая мёртвыхМистика Драма МелодрамаТревор Ив Сью Джонстон Фелисите Ду Жю8.87ПодробнееДве звезды онмёджиАниме Боевик Фэнтези Мелодрама8.88ПодробнееВ далёкие времена: Танец ночиАниме Драма Фэнтези Мелодрама8.89ПодробнееКрасавица-воин Сейлор Мун: ВоспоминанияАниме Мелодрама8.710ПодробнееМолодая императорская гвардия 2Аниме Мистика Приключения Мелодрама8.711ПодробнееВперёд дружище!Аниме Комедия Мелодрама8.712ПодробнееПолноценная жизнь онлайнАниме Комедия Мелодрама8.713ПодробнееНесносные пришельцы: Последняя главаАниме Боевик Комедия Драма Приключения Научно-фантастический Мелодрама8.714ПодробнееПриятно познакомиться Бог: Будьте счастливыАниме Комедия Фэнтези Мелодрама8.715ПодробнееКрасивая девочкаАниме Мелодрама8.716ПодробнееСлабый удар: РекапАниме Боевик Драма Научно-фантастический Мелодрама8.617ПодробнееДаллас (сериал)Драма МелодрамаХовард Кил Дэк Рэмбо Линда Грей8.618ПодробнееСмотреть видеоПан Американ (сериал)Драма Исторический фильм МелодрамаДэвид Харбор Эшли Грин Даррен Петти8.619ПодробнееМожет я встречу тебя на горячих источниках в подземелье?Аниме Боевик Комедия Приключения Фэнтези Мелодрама8.620ПодробнееЗолотая пораАниме Комедия Драма МелодрамаНазадВпередВсе сериалыФильм ПроНовинки кино горячие новости живые обсуждения онлайн репортажи! Все это в наших социальных сетях! Присоединяйтесь к нам!https://www.facebook.com/filmpro.ru188606подписчиковhttps://twitter.com/filmpronews53461подписчикhttps://www.instagram.com/filmpronews/3230подписчиковhttps://www.youtube.com/user/FilmproNews69539подписчиковЧто посмотретьПодборки фильмовТОП Фильм ПроАфиша кинотеатровГрафик премьерТОП ожидаемых фильмовПопулярные фильмыЖурналНовостиИнтервьюРепортажиВидеоИндустрия киноТрейлерыСериалыТОП сериаловПодборки сериаловГрафик выходаНовости сериаловПопулярные сериалыФильм Про© 2019 Сетевое издание "Фильм Про (filmpro.ru)". Учредитель: Федеральное государственное унитарное предприятие "Всероссийская государственная телевизионная и радиовещательная компания" (ВГТРК). Свидетельство о регистрации СМИ ЭЛ № ФС 77-69132 от 24.03.2017. Выдано Федеральной службой по надзору в сфере связи информационных технологий и массовых коммуникаций. Главный редактор: Кудрявцев И.А. Адрес электронной почты редакции: info@vesti.ru телефон редакции:+7(495)232-63-33. Для детей старше 16 лет. Все права на любые материалы опубликованные на сайте защищены в соответствии с российским и международным законодательством об интеллектуальной собственности. Любое использование текстовых фото аудио и видеоматериалов возможно только с согласия правообладателя (ВГТРК).Партнер РамблераНа нашем сайте мы используем cookie для сбора информации технического характера и обрабатываем IP-адрес вашего местоположения. Продолжая использовать этот сайт вы даете согласие на использование файлов cookies.Я согласен</t>
  </si>
  <si>
    <t>www.filmpro.ru</t>
  </si>
  <si>
    <t>Avatar: The Way of Water</t>
  </si>
  <si>
    <t>Avatar: The Way of Water is a 2022 American epic science fiction film co-produced and directed by James Cameron, who co-wrote the screenplay with Rick Jaffa ...</t>
  </si>
  <si>
    <t>https://en.wikipedia.org/wiki/Avatar:_The_Way_of_Water</t>
  </si>
  <si>
    <t>Avatar: The Way of Water (2022)</t>
  </si>
  <si>
    <t>Set more than a decade after the events of the first film, 'Avatar: Play trailer2:01.</t>
  </si>
  <si>
    <t>https://www.imdb.com/title/tt1630029/</t>
  </si>
  <si>
    <t>IMDb: Ratings Reviews and Where to Watch the Best Movies &amp; TV Shows MenuMoviesRelease CalendarTop 250 MoviesMost Popular MoviesBrowse Movies by GenreTop Box OfficeShowtimes &amp; TicketsMovie NewsIndia Movie SpotlightTV ShowsWhat's on TV &amp; StreamingTop 250 TV ShowsMost Popular TV ShowsBrowse TV Shows by GenreTV NewsWatchWhat to WatchLatest TrailersIMDb OriginalsIMDb PicksIMDb PodcastsAwards &amp; EventsOscarsEmmysHoliday PicksMAMISTARmeter AwardsAwards CentralFestival CentralAll EventsCelebsBorn TodayMost Popular CelebsCelebrity NewsCommunityHelp CenterContributor ZonePollsFor Industry ProfessionalsLanguageEnglish (United States)LanguageFully supportedEnglish (United States)Partially supportedFrançais (Canada)Français (France)Deutsch (Deutschland)हिंदी (भारत)Italiano (Italia)Português (Brasil)Español (España)Español (México)AllAllTitlesTV EpisodesCelebsCompaniesKeywordsAdvanced SearchWatchlistSign InSign InNew Customer? Create accountENFully supportedEnglish (United States)Partially supportedFrançais (Canada)Français (France)Deutsch (Deutschland)हिंदी (भारत)Italiano (Italia)Português (Brasil)Español (España)Español (México)Use app1:59Millie Bobby Brown Stars in 'Damsel'1:59Netflix Drops First Teaser2:46Ms. Marvel Needs Help2:46What Iman Learned From Brie and Teyonah1:31Meet Riley's New Emotions in 'Inside Out 2'1:31Watch the New Pixar Teaser1:005 Streamable Sci-Fi Classics1:00Top Picks All Award-Winners2:00'Ghostbusters: Frozen Empire'2:00Watch the Teaser1:33What You Need to Know About 'The Color Purple'1:33Get Details on the New Movie Musical2:01"Reacher" Returns2:01Watch the Season 2 Trailer0:57What to Watch After "Bodies"0:575 Top Picks Streaming Now2:01'The Marvels' Final Trailer Drops2:01See Tessa Thompson's Return as Valkyrie1:40"Avatar: The Last Airbender"1:40Netflix Shares the First Trailer2:17Eddie Murphy Is Going to 'Candy Cane Lane'2:17Watch the Trailer0:42Michelle Yeoh Stars in "The Brothers Sun"0:42Watch the Series Teaser2:26Brie Larson Is Having a Year2:26Look Back at Her Career2:07'Mean Girls' Are Back2:07Watch the Fetch New Trailer1:20Swifties in Movies and TV1:20Watch Some Memorable MomentsUp next1:20Swifties in Movies and TVWatch Some Memorable Moments1:59Millie Bobby Brown Stars in 'Damsel'Netflix Drops First Teaser2:46Ms. Marvel Needs HelpWhat Iman Learned From Brie and Teyonah1:31Meet Riley's New Emotions in 'Inside Out 2'Watch the New Pixar Teaser1:005 Streamable Sci-Fi ClassicsTop Picks All Award-Winners2:00'Ghostbusters: Frozen Empire'Watch the TeaserBrowse trailersFeatured todayListNovember Picks: 'The Killer' 'The Marvels' and MoreSee the listListTV Tracker: Renewed and Canceled ShowsCheck the statusPhotosThe Best On-Screen AssassinsSee the galleryPhotosThe Latest (and Greatest) New PostersSee more postersPhotosEnter the IMDb Portrait Studio at MAMI 2023See the galleryPhotosAdorable Red Carpet PhotosSee the galleryListWho Are the 2024 Grammy Nominees?See the full listList2023 MAMI Mumbai Film Festival WinnersSee the winnersPhotos'Dream Scenario' and More New StillsSee more stillsWhat to watchGet more recommendationsMore to watchIMDb helps you select the perfect next show or movie to watch.Watch GuideMost PopularExclusive videosIMDb OriginalsCelebrity interviews trending entertainment stories and expert analysis3:26Shah Rukh Khan on 'Jawan' and MoreWatch the video1:33Get Details on This New Movie MusicalWatch now2:26Brie Larson Is Having a YearWatch now2:15How Cailee and Jacob Became Priscilla and ElvisWatch the interview1:005 Award-Winning Sci-Fi PicksStream these now3:13Best Character Moments in 'The Hunger Games'Watch nowExplore what’s streamingExplore Movies &amp; TV showsMore to exploreRecently viewedYou have no recently viewed pagesGet the IMDb AppSign in for more accessSign in for more accessGet the IMDb AppHelpSite IndexIMDbProBox Office MojoIMDb DeveloperPress RoomAdvertisingJobsConditions of UsePrivacy PolicyYour Ads Privacy ChoicesIMDb an Amazon company© 1990-2023 by IMDb.com Inc.Back to top</t>
  </si>
  <si>
    <t>www.imdb.com</t>
  </si>
  <si>
    <t>Narratively, it might be fairly standard stuff -- but visually speaking, Avatar: The Way of Water is a stunningly immersive experience. Read critic reviews.</t>
  </si>
  <si>
    <t>https://www.rottentomatoes.com/m/avatar_the_way_of_water</t>
  </si>
  <si>
    <t>Rotten Tomatoes: Movies | TV Shows | Movie Trailers | Reviews - Rotten TomatoesSigned inSkip to Main Content        Cancel      Movies / TVCelebrityNo Results FoundView AllWhat's the Tomatometer®?CriticsLogin/signup           Wants to See                   Ratings        ProfileAccountLog OutMoviesMovies in theatersOpening this weekComing soon to theatersCertified fresh moviesMovies at homePeacockVuduNetflix streamingApple TVAmazon primeMost popular streaming moviesCertified fresh moviesBrowse allMoreWhat to WatchNewTop moviesTrailersCertified fresh picksThe HoldoversLink to The HoldoversDream ScenarioLink to Dream ScenarioQuiz LadyLink to Quiz LadyTv shows              New TV Tonight                                Colin from Accounts: Season 1                                For All Mankind: Season 4                                Rap Sh!t: Season 2                                The Curse: Season 1                                Lawmen: Bass Reeves: Season 1                                The Buccaneers: Season 1                                JFK: One Day in America: Season 1                                De La Calle: Season 1                            View All                          Most Popular TV on RT                                Sex Education: Season 4                                All the Light We Cannot See: Season 1                                Blue Eye Samurai: Season 1                                The Buccaneers: Season 1                                Loki: Season 2                                Black Cake: Season 1                                The Fall of the House of Usher: Season 1                                Bodies: Season 1                                Ms. Marvel: Season 1                                Invincible: Season 2                            View All            More                What to WatchNewTop TV ShowsCertified Fresh TVPeacockVuduNetflix streamingApple TVAmazon primeMost popular TV              Certified fresh pick            The Curse: Season 1Link to The Curse: Season 1          Movie Trivia          NewNewsColumns                All-Time Lists                              Binge Guide                              Comics on TV                              Countdown                              Five Favorite Films                              Video Interviews              Weekend Box Office                            Weekly Ketchup                              What to Watch              Guides100 Best Christmas Movies of All Time – Classic Christmas FilmsLink to 100 Best Christmas Movies of All Time – Classic Christmas Films61 Best Concert Movies of All TimeLink to 61 Best Concert Movies of All Time              View All            HubsWhat to Watch: In Theaters and On StreamingLink to What to Watch: In Theaters and On StreamingRT25: Celebrating 25 Years of Rotten TomatoesLink to RT25: Celebrating 25 Years of Rotten Tomatoes              View All            RT NewsTV Premiere Dates 2023Link to TV Premiere Dates 2023Loki Season 2 Finale: Where Do We Go from Here?Link to Loki Season 2 Finale: Where Do We Go from Here?              View All                    Showtimes      Trending on RT Shop Rotten Tomatoes  Play Daily Tomato   Best Movies of 2023  New on Streaming   New Tomatometer Scores Nia DaCosta on Mapping The Marvels Fight ScenesAlso pitching Kevin Feige and bringing humor to the filmWhere Does Loki S2 Leave Us?We look at all the questions answered and those that remain2023 Holiday TV CalendarFind out when all the holiday movies specials episodes and competitions will premiere this season What to Watch This Week: The Marvels Dream Scenario and MoreCaptain Marvel and Ms. Marvel and Monica Rambeau! And that’s just one of five picks this week100 Best Christmas Movies From new movie The Holdovers to classics like Miracle on 34th Street we’ve made our list of great holiday filmsThe Ballad of Songbirds &amp; Snakes First ReviewsThe Hunger Games prequel has a great cast and spectacular action but it's overstuffedNative American Heritage Month Here are 12 shows that celebrate Indigenous culture Most Anticipated Movies of 2024Inside Out 2 Ghostbusters: Frozen Empire a new Mean Girls and more new movies coming next yearNew Tomatometer ScoresBlack Cake is Fresh!Addams Family ValuesIs the sequel as good as if not better than its predecessor?New &amp; Upcoming Movies In TheatersView allThe MarvelsThe MarvelsThe KillerThe KillerJourney to BethlehemPriscillaPriscillaDream ScenarioDream ScenarioRadicalRadicalThe HoldoversThe HoldoversThe Hunger Games: The Ballad of Songbirds &amp; SnakesThe Hunger Games: The Ballad of Songbirds &amp; SnakesTrolls Band TogetherTrolls Band TogetherKillers of the Flower MoonKillers of the Flower MoonRustinRustinFive Nights at Freddy'sFive Nights at Freddy'sWhat Happens LaterWhat Happens LaterNext Goal WinsNext Goal WinsThe Marsh King's DaughterThe Marsh King's DaughterThanksgivingThanksgivingTAYLOR SWIFT | THE ERAS TOURTAYLOR SWIFT | THE ERAS TOURManodromeManodromePAW Patrol: The Mighty MoviePAW Patrol: The Mighty MovieScarfaceNEW &amp; UPCOMING ON STREAMINGView allThe CurseThe CurseLokiLokiThe BuccaneersThe BuccaneersFor All MankindFor All MankindAll the Light We Cannot SeeAll the Light We Cannot SeeInvincibleInvincibleLawmen: Bass ReevesLawmen: Bass ReevesA Murder at the End of the WorldA Murder at the End of the WorldQuiz LadyQuiz LadyRap Sh!tRap Sh!tA Haunting in VeniceA Haunting in VeniceFellow TravelersFellow TravelersGen VGen VFive Nights at Freddy'sFive Nights at Freddy'sBodiesBodiesLessons in ChemistryLessons in ChemistryMonarch: Legacy of MonstersMonarch: Legacy of MonstersPlease Don't Destroy: The Treasure of Foggy MountainPlease Don't Destroy: The Treasure of Foggy MountainRick and MortyRick and MortyGoosebumpsGoosebumpsPopular Streaming MoviesView allVudu |                    Netflix |                    Prime Video |                    Max |                    More...Five Nights at Freddy's                                                                    30%                                                            The Killer                                                                    85%                                                            When Evil Lurks                                                                    99%                                                            Dumb Money                                                                    84%                                                            Nyad                                                                    84%                                                            A Haunting in Venice                                                                    75%                                                            Quiz Lady                                                                    78%                                                            Locked In                                                                    33%                                                            Talk to Me                                                                    94%                                                            Butcher's Crossing                                                                    73%                                                            Most Popular TV on RT View allSex Education                                                                    91%                                                            All the Light We Cannot See                                                                    28%                                                            Blue Eye Samurai                                                                    100%                                                            The Buccaneers                                                                    73%                                                            Loki                                                                    82%                                                            Black Cake                                                                    100%                                                            The Fall of the House of Usher                                                                    90%                                                            Bodies                                                                    81%                                                            Ms. Marvel                                                                    98%                                                            Invincible                                                                    100%                                                            New TV This WeekWhat's on TonightColin from Accounts                                                                    100%                                                            For All Mankind                                                                    100%                                                            Rap Sh!t                                                                    100%                                                            The Curse                                                                    89%                                                            Lawmen: Bass Reeves                                                                    79%                                                            The Buccaneers                                                                    73%                                                            JFK: One Day in America                                                                    - -                                                            The Santa Summit                                                                    - -                                                            De La Calle                                                                    - -                                                            Mystery on Mistletoe Lane                                                                    - -                                                            Popular In TheatersView allAvailability may vary check your local showtimes for details.Five Nights at Freddy'sFive Nights at Freddy'sTAYLOR SWIFT | THE ERAS TOURTAYLOR SWIFT | THE ERAS TOURKillers of the Flower MoonKillers of the Flower MoonPriscillaPriscillaRadicalRadicalThe Exorcist: BelieverThe Exorcist: BelieverAfter DeathAfter DeathPAW Patrol: The Mighty MoviePAW Patrol: The Mighty MovieWhat Happens LaterWhat Happens LaterFreelanceFreelanceSaw XSaw XThe Nightmare Before ChristmasThe Nightmare Before ChristmasThe Marsh King's DaughterThe Marsh King's DaughterThe CreatorThe CreatorAnatomy of a FallAnatomy of a FallThe HoldoversThe HoldoversOppenheimerOppenheimerGran Turismo: Based on a True StoryGran Turismo: Based on a True StoryA Haunting in VeniceA Haunting in VeniceThe Persian VersionThe Persian VersionNoirvember: 100 Best Film Noirs of All TimeView allSunset BoulevardSunset BoulevardDouble IndemnityThe Third ManThe Third ManTouch of EvilThe KillingOut of the PastAce in the HoleThe Maltese FalconThe Big SleepThe Night of the HunterLauraMildred PierceIn a Lonely PlaceNightmare AlleyLeave Her to HeavenThe Lady From ShanghaiKiss Me DeadlyGun CrazySpellboundDetourLatest Certified Fresh MoviesView allDream ScenarioDream ScenarioTAYLOR SWIFT | THE ERAS TOURTAYLOR SWIFT | THE ERAS TOURMaestroMaestroFour DaughtersFour DaughtersQuiz LadyQuiz LadyThe MissionBeyond UtopiaRadicalRadicalAll Dirt Roads Taste of SaltAll Dirt Roads Taste of SaltPerfect DaysPerfect DaysRustinRustinWhen Evil LurksWhen Evil LurksPriscillaPriscillaThe HoldoversThe HoldoversThe KillerThe KillerMister OrganMister OrganJoan Baez I Am a NoiseSilver Dollar RoadNyadNyadThe Pigeon TunnelThe Pigeon TunnelBest Thanksgiving MoviesView allPlanes Trains and AutomobilesPlanes Trains and AutomobilesThe HumansThe HumansHome for the HolidaysHome for the HolidaysScent of a WomanScent of a WomanSoul FoodThe Ice StormThe Ice StormHannah and Her SistersHannah and Her SistersAvalonThe Big ChillThe Big ChillThe House of YesKrishaKrishaThe War at HomeGrumpy Old MenYou've Got MailAddams Family ValuesAddams Family ValuesHollidaysburgAlice's RestaurantThe OathThe OathThe Myth of FingerprintsJim Henson's Turkey HollowTrailers &amp; Videos            View all        InterviewThe Marvels Director Nia DaCosta on mapping fight scenes bringing humor to the film and morePodcastAddams Family Values Is the sequel as good as if not better than its predecessor?TeaserGhostbusters: Frozen Empire Paul Rudd Mckenna Grace Finn Wolfhard and Carrie Coon reunite to save NYCOriginal Five Nights at Freddy's Everything you need to know!Original On The Street Asking fans who is the greatest MCU villain Movie &amp; TV guidesView AllRotten Tomatoes: The Card Game RT Podcasts: Rotten Tomatoes is Wrong Rotten Tomatoes Gift Cards What to Watch - In theaters &amp; streaming Close videoSee DetailsSee DetailsHelpAbout Rotten TomatoesWhat's the Tomatometer®?Critic SubmissionLicensingAdvertise With UsCareersJoin The NewsletterGet the freshest reviews news and more delivered right to your inbox!                Join The Newsletter                            Join The Newsletter            Follow UsCopyright © Fandango. All rights reserved.Join The NewsletterJoin The Newsletter                        Privacy Policy                    Terms and PoliciesCookie SettingsCalifornia NoticeAd ChoicesAccessibilityV3.1                    Privacy Policy                Terms and PoliciesCookie SettingsCalifornia NoticeAd ChoicesAccessibilityCopyright © Fandango. All rights reserved.</t>
  </si>
  <si>
    <t>www.rottentomatoes.com</t>
  </si>
  <si>
    <t>Avatar.com | The Official Avatar Website for Avatar News</t>
  </si>
  <si>
    <t>Learn about James Cameron's Avatar including news about Avatar: The Way of Water, games, comics, Pandora - World of Avatar at Walt Disney World, and more!</t>
  </si>
  <si>
    <t>https://www.avatar.com/</t>
  </si>
  <si>
    <t>Avatar.com | The Official Avatar Website for Avatar NewsSkip NavigationHomeMoviesAvatar: The Way of Water (2022)Avatar (2009)SequelsGames                                                    All Games                       Avatar: Frontiers of PandoraExperiences                                                    All Experiences                       Pandora - The World of Avatar Avatar: The ExhibitionAvatar: The ExperienceCommunityPublishingPartnershipsShopOur TeamPandorapediaMoreMorefacebook                              twitter                              instagram                              youtube                              “The way of water has no beginning and no end."TsireyaLatest NewsVideoLEGO x Avatar 1 Million+ Brick Diorama | BTSWatch how Idaho Lego User Group and Spacetime Brick Studio brought their community together to bring this stunning diorama to life.News6 Unforgettable Moments from Avatar: The Experience at Cloud Forest Gardens by the BayAvatar: The Experience at Cloud Forest Gardensby the Bay in Singapore is filled with momentsyou’ll remember forever.NewsAvatar: Frontiers of Pandora – New Trailer Reveals Story DetailsLearn more about the hero’s journey and the Na’vi thatcan help you protect Pandora from the RDA.NewsSDCC 2023: Avatar: The High Ground &amp; Avatar: Adapt or Die Creator InterviewPandora returns to San Diego Comic-Con. Learn more about the latest in the world of Avatar in the graphic novel collection Avatar: The High Ground.VideoAvatar: The Way of Water | Streaming on Disney+ June 7. Experience the Academy Award-winning phenomenon streaming on Disney+ June 7. Watch Avatar: The Way of Water at home buy it now on Digital.NewsAvatar: The Way of Water Wins the Academy Award for Best Visual EffectsThe achievement marks the second VFX Academy Award for the franchise following its 2010 win for Avatar."THE UNDERSEA CREATURES OF PANDORA" BONUS EXTRABuy Avatar: The Way of Water on Digital to Watch More Bonus Extras.VideoAvatar: The Way of Water | Unboxing Pandoran Treasures with the CastSIVAKO! Watch as some of the newest cast members rise to the challenge and discover LEGO® and McFarlane products inspired by the new film. See Jack Champion as “Spider” Trinity Jo-Li Bliss as “Tuk” and Bailey Bass as Tsireya in Avatar: The Way of Water in theaters now!AVATAR: THE WAY OF WATER CONCEPT ARTHere's an exclusive look of the Pandoran reef from Dylan Cole.VideoPRODUCTION DESIGNAvatar: The Way of Water Co-Production Designers Dylan Cole &amp; Ben Procter on building Pandora from the ground up.VideoAvatar: The Way of Water | Keep Our Oceans AmazingHelp us keep our oceans amazing. 💙 Create your very own Avatar-inspired ocean creature from now – 7/31/23 and for every creature created in the Virtual Pandoran Ocean Disney will give $5 to The Nature Conservancy. NewsWelcome to the All-New Pandorapedia The Guide to the World of Avatar Just in time for the release of Avatar: The Way of Water a new online guide called Pandorapedia has been launched to unlock the details behind the world of Pandora.NewsDisney twenty-three Journeys to Pandora Going Behind the Scenes of Avatar: The Way of WaterThe Winter issue of Disney twenty-three features dazzling details on Disney100 Years of Wonder plus exclusives on Avatar: The Way of Water and more can't miss movies.NewsAvatar and McFarlane Toys Go Big at D23 ExpoAvatar McFarlane Toys and Lightstorm Entertainment took D23 Expo 2022 by storm showcasing the collaboration with exciting reveals demos and more at Disney's Ultimate Fan Event.NewsD23 Expo Gives Fans an Exciting First Look at Avatar: The Way of WaterAcademy Award–winning director James Cameron producer Jon Landau and the cast of Avatar: The Way of Water graced the Hall D23 stage for a compelling panel conversation.NewsAvatar Video Conference BackgroundsWant to call in from Pandora? Download backgrounds here!NewsAvatar and Dark Horse Comics              Check out the covers for Tsu'tey's Path and The Next Shadow available online and at a comic book retailer near you.             NewsAvatar: ReckoningComing soon - a new mobile MMO set on Pandora from Archosaur Games and Level Infinite.NewsDark Horse and Lightstorm on TwitchGet the inside scoop on all things Avatar: The Next Shadow.NewsIt’s Official: Avatar Returns to Theaters This SeptemberJames Cameron’s record-breaking movie Avatar returns to theaters on September 23 2022. Audiences will get to experience Pandora with a remastered 4K HDR picture.NewsLightstorm Entertainment Disney and McFarlane Toys Reveal the First Look at Stunning New Avatar Collectibles at San Diego Comic-ConAt San Diego Comic-Con 2022 Lightstorm Entertainment Disney and McFarlane Toys gave fans a first look at their exciting collaboration. Todd McFarlane revealed the first two figures from their new line of Avatar collectibles showcasing all of the impressive features.NewsLightstorm Entertainment Disney and the LEGO Group Reveal Immersive New LEGO Avatar SetsAt San Diego Comic-Con 2022 Lightstorm Entertainment Disney and the LEGO Group revealed four new LEGO Avatar sets that will be launching later this year. Two of the sets were showcased on the convention floor giving fans an exciting first look of what's to come with the new LEGO Avatar sets.NewsSigourney Weaver as Kiri graces the subscriber-exclusive cover of Empire MagazineSigourney Weaver plays Jake and Neytiri’s adopted teenage Na’vi daughter in Avatar 2. Experience Avatar: The Way of Water only in theaters December 16.NewsEmpire’s World-Exclusive Avatar: The Way Of Water Cover RevealedThe newsstand cover of Empire Magazine for Avatar: The Way of Water is here. Experience it only in theaters December 16.NewsAn Inside Look at The World of Avatar with Joshua IzzoWe interviewed Joshua Izzo to discuss the gems of the Avatar franchise in his new book The World of Avatar: A Visual Exploration.News5 Facts for Pandora's 5th AnniversaryTo celebrate the 5th anniversary of Pandora – The World of Avatar at Disney’s Animal Kingdom Theme Park take a look at these five facts about the Park.NewsAvatar: The Way of WaterWe officially have a title!NewsThe World of Avatar: A Visual ExplorationNow available for pre-order this book celebrates explores and explains the spectacular world of Pandora—its extraordinary geology flora and fauna and the customs and beliefs of its people the Na’vi.NewsAvatar 2: Meet Spider Jake And Neytiri’s Adopted Human SonA lot has changed on Pandora in the 13-year gap between Avatar and Avatar 2 (arriving in 2022).NewsJames Cameron Opens Up About His Long-Awaited Avatar SequelThe director returns to Pandora with the first of four planned Avatar sequels combining innovative performance-capture and his lifelong love for the ocean.NewsAvatar Producer Teases the Four SequelsExclusive: Jon Landau reveals some of the first Avatar 2 plot details to Total FilmNewsJames Cameron Says Filming On Avatar 2 Is '100 Percent Complete'It's been a long time coming but James Cameron's Avatar sequels are finally close to the finish line.NewsHow Avatar Reclaimed Its Global Box office CrownJames Cameron’s 2009 blockbuster retakes the all-time record from Avengers: Endgame.NewsAvatar 2’s Kate Winslet On Joining James Cameron’s SequelActress Kate Winslet has had an acclaimed film career picking up an Oscar Emmy and other various awards along the way.FacebookMichelle Yeoh Kept Jim Busy Between Set-ups While Filming Avatar 3!NewsCongratulations To James Cameron Jon Landau And All Of Na'vi Nation For Reclaiming The Box Office Crown!We love you 3000.Facebook                                          Twitter                                          Instagram                                          YouTube                                          Terms of UsePrivacy PolicyChildren's Online Privacy PolicyYour US State Privacy RightsAvatar at shopDisneyInterest-Based AdsDo Not Sell or Share My Personal Information©2023 20th Century Studios. JAMES CAMERON'S AVATAR is a trademark of 20th Century Studios. All Rights Reserved.</t>
  </si>
  <si>
    <t>www.avatar.com</t>
  </si>
  <si>
    <t>16 дек. 2022 г. —</t>
  </si>
  <si>
    <t>https://www.avatar.com/movies/avatar-the-way-of-water</t>
  </si>
  <si>
    <t>Avatar 2 ~ The Way of Water (@avatar2officialmovie)</t>
  </si>
  <si>
    <t>43K Followers, 8 Following, 52 Posts - See Instagram photos and videos from Avatar 2 ~ The Way of Water (@avatar2officialmovie)</t>
  </si>
  <si>
    <t>https://www.instagram.com/avatar2officialmovie/</t>
  </si>
  <si>
    <t>https://www.boxofficemojo.com/title/tt1630029/</t>
  </si>
  <si>
    <t>Home - Box Office MojoDomesticInternationalWorldwideCalendarAll TimeShowdownsIndicesDailyWeekendWeeklyMonthlyQuarterlyYearlySeasonsHolidaysShortcutsBrandsGenresFranchisesRelease ScheduleTop 2023 MoviesWorldwide 2023All Time (Domestic)All Time (Worldwide)            Release Schedule        November 11 2023TheatersUFC 295 Jones vs. MiocicLimitedTiger 3LimitedNovember 12 2023TheatersAn All-Star Salute to Lee GreenwoodLimitedScarface2023 Re-releaseLimitedNovember 14 2023TheatersMedicine Man: The Stan Brock StoryLimitedNovember 17 2023TheatersNext Goal WinsLimitedThe Hunger Games: The Ballad of Songbirds &amp; SnakesWideBeyond the Aggressives: 25 Years LaterLimitedGood EggLimitedThanksgivingWideDown in Dallas TownLimitedTrolls Band TogetherWideNovember 18 2023TheatersThe Metropolitan Opera: X - The Life and Times of Malcolm XLimitedNovember 19 2023TheatersSaving Private Ryan25th AnniversaryLimitedNovember 22 2023TheatersThe HoldoversWideMonsterLimitedNapoleonWideMenus Plaisirs - Les TroisgrosLimitedWishWideDecember 1 2023TheatersRENAISSANCE: A FILm by BEYONCÉWideCandy Cane LaneLimitedTeddy's ChristmasLimitedAnimalLimitedGodzilla Minus OneLimitedLa SyndicalisteLimitedMore »Latest Dailies                            Mon Nov 6                                                    Tue Nov 7                                                    Wed Nov 8                                                    Thu Nov 9                                                    Fri Nov 10                        2023-11-10Five Nights at Freddy's$1199770Killers of the Flower Moon$674606Priscilla$543600After Death$264502The Exorcist: Believer$181390More »Five Nights at Freddy's$1766660Killers of the Flower Moon$1049125Priscilla$833067After Death$363767Radical$298374More »Five Nights at Freddy's$947635Killers of the Flower Moon$708660Priscilla$591447After Death$250243The Exorcist: Believer$168025More »Five Nights at Freddy's$1085005Priscilla$702525Killers of the Flower Moon$649687Taylor Swift: The Eras Tour$587320The Blind$186428More »The Marvels$21500000Five Nights at Freddy's$3030000Taylor Swift: The Eras Tour$1900000Priscilla$1636173Killers of the Flower Moon$1500000More »        Latest Weekend: Nov 10-12    1Five Nights at Freddy's$9.0Mfalsetrue2Killers of the Flower Moon$5.0Mfalsetrue3The Holdovers$3.0Mfalsetrue4Journey to Bethlehem$2.8Mtruetrue5PAW Patrol: The Mighty Movie$1.6MfalsetrueMore »        Recent Release Date Changes    Untitled DisneyLimitedJul 25 2025→RemovedUnknown TitleLimitedNov 7 2025→RemovedBladeWideFeb 14 2025→Nov 7 2025ThunderboltsLimitedDec 20 2024→Jul 25 2025Captain America: Brave New WorldLimitedJul 26 2024→Feb 14 2025More »        Top 2023 Movies    1Barbie$636.1M-2The Super Mario Bros. Movie$574.9M-3Spider-Man: Across the Spider-Verse$381.3M-4Guardians of the Galaxy Vol. 3$359.0M-5Oppenheimer$325.2M-More »        Worldwide 2023    1Barbie$1.4B-2The Super Mario Bros. Movie$1.4B-3Oppenheimer$949.0M-4Guardians of the Galaxy Vol. 3$845.6M-5Fast X$704.7M-More »Concert Films Showdown29-Day Total:            $16852690129-Day Total:            $69933507VSGran Turismo v. Need for Speed78-Day Total:            $4437633578-Day Total:            $43465568VSMario v. Sonic v. Pikachu220-Day Total:            $574934330220-Day Total:            $146066470VSTeenage Mutant Ninja Turtles Showdown101-Day Total:            $118613586101-Day Total:            $135265915VSMore »            Latest Updates:            News |            Daily |            Weekend |            All Time |            International |            ShowdownsGlossary            |            User Guide            |            Help            BoxOfficeMojo.com by IMDbPro - an            IMDb            company.                    © IMDb.com Inc. or its affiliates. All rights reserved.            Box Office Mojo and IMDb are trademarks or registered trademarks of IMDb.com Inc. or its affiliates.            Conditions of Use             and             Privacy Policy            under which this service is provided to you.</t>
  </si>
  <si>
    <t>www.boxofficemojo.com</t>
  </si>
  <si>
    <t>авито</t>
  </si>
  <si>
    <t>Авито: недвижимость, транспорт, работа, услуги, вещи</t>
  </si>
  <si>
    <t>На Авито вы можете недорого купить или выгодно продать авто с пробегом или новую машину, квартиру и другую недвижимость, а также новую или б/у одежду, ...</t>
  </si>
  <si>
    <t>https://www.avito.ru/</t>
  </si>
  <si>
    <t>Авито: недвижимость транспорт работа услуги вещиДля бизнесаВакансииПомощьКаталоги Каталог автомобилейПользаВход и регистрацияРазместить объявлениеВсе категорииТранспортНедвижимостьРаботаУслугиЛичные вещиДля дома и дачиЗапчасти и аксессуарыЭлектроникаХобби и отдыхЖивотныеБизнес и оборудованиеНайтиВо всех регионахАвтоНедвижи-мостьРаботаОдежда обувьаксессуарыХоббии отдыхЖивотныеГотовый бизнеси оборудованиеУслугиЭлектро-никаДля домаи дачиЗапчастиТоварыдля детейЖильёпосуточноКрасотаи здоровьеАвтоНедвижи-мостьРаботаОдежда обувьаксессуарыХоббии отдыхЖивотныеГотовый бизнеси оборудованиеУслугиЭлектро-никаДля домаи дачиЗапчастиТоварыдля детейЖильёпосуточноКрасотаи здоровьеНовая мебельИгра и призы от АвитоРекомендации на АвитоПомогаем «ЛизаАлерт»Помогаем с АвитоРубашка в клеткуПроверить квартируОплата при полученииСтать флористомГотовим дом к зимеКуда поехать в ноябреМасло 5W-40 4 л от 999 ₽Наращивание волосНовинка от OMODAПроверенные квартирыЛегко найти жильёОсенние свечиПеретяжка мебелиРаботающим студентамЧистовой ремонтТехника для студентовМашинки для стрижкиiPhone 15 на АвитоПроверенное жильёАвто для дрифтаГлавный приз OMODAШкаф для домаВыбираем аквариумВсё для хоккеяУслуги эвакуатораЕжедневные выплатыШтукатурка для стенПродать авто за 1 деньБренд NikeСогревающие ароматыРемонт машинкиНужные вещиНовые Jetta на АвитоЖизнь после отпускаДля тишины в квартиреОбувь для мужчинМоющий пылесосОдежда от брендовСборщик мебелиКоррекция бровейРепетитор математикиШвейные машинкиСтудентам в общежитиеРаботать и учитьсяСумки: тренды осениПоклеить обоиМужские курткиСтеллажи для домаДвери для квартирыБотинки на осеньНоутбук для любых задачШины для комтрансаНедорогие новые шиныСроки сдачи новостроекРекомендации для васОхранникот 1 500 ₽Новосибирск Речной вокзал2-к. квартира 698 м² 9/10 эт.4 900 000 ₽КаспийскСклад 1300 м²400 ₽ в месяц за м²Владивосток р-н ПервомайскийДом 500 м² на участке 15 сот.5 000 ₽ за суткиПетропавловск-КамчатскийЛюбаяЗарплата не указанаКемерово р-н ЛенинскийПолуприцеп бортовой Kogel SN24 20122 630 000 ₽ c НДСКрасноярск р-н ЦентральныйЛинолеум1 000 ₽Пермь р-н ОрджоникидзевскийXiaomi POCO M5s 4/128 ГБ10 000 ₽Новосибирск Маршала ПокрышкинаДом 811 м² на участке 9 сот.5 500 000 ₽д. Малая ЕланкаПодарочный набор1 350 ₽АбаканBugatti Divo 8.0 AMT 2021 600 км1 120 000 000 ₽пос. БарвихаLiXiang L9 1.5 AT 2023 10 км7 500 000 ₽Москва Каширская2-к. квартира 40 м² 1/2 эт.2 800 000 ₽с. БатыревоСвободного назначения 74 м²5 669 900 ₽Хабаровск р-н ЖелезнодорожныйШоу "Синий Трактор". Подарите детям эмоции110 ₽Пермь р-н СвердловскийRenault Logan 1.4 MT 2006 300 000 км280 000 ₽Кострома р-н ЦентральныйКомнатные растения400 ₽Кемерово р-н ЦентральныйВинтажные украшения500 ₽Иркутск р-н ОктябрьскийБетономешалка бм-160П Вихрь15 390 ₽Новокузнецк р-н ЦентральныйДом 4605 м² на участке 85 сот.42 607 816 ₽пос. МолодёжныйВывоз строительного мусора с грузчикамиот 3 500 ₽Ангарск р-н МикрорайоныФорма Аэрофлот200 ₽Москва БеляевоСингониум Вендланди250 ₽Кемерово р-н ЛенинскийВакансия грузчика. Код:va883от 37 728 ₽Красноярск р-н ОктябрьскийКорпус3 000 ₽Новосибирск СНТ Строймашевец р-н ПервомайскийДом 90 м² на участке 4 сот.3 200 000 ₽ЗлатоустПриемка металлолома вывоз демонтажот 1 ₽БелебейСотрудник (м/ж) на склад работа без опыта (вахта)от 150 000 ₽Нижний Новгород р-н ПриокскийМр3 - плейер Walkman Sony NWZ-B172F2 000 ₽Нижний Новгород БурнаковскаяТранспортАвтомобилиМотоциклы и мототехникаГрузовики и спецтехникаВодный транспортЗапчасти и аксессуарыЭлектроникаТелефоныАудио и видеоТовары для компьютераИгры приставки и программыНоутбукиНастольные компьютерыФототехникаПланшеты и электронные книгиОргтехника и расходникиНедвижимостьКупить жильёСнять посуточноСнять долгосрочноКоммерческая недвижимостьДругие категорииХобби и отдыхБилеты и путешествияВелосипедыКниги и журналыКоллекционированиеМузыкальные инструментыОхота и рыбалкаСпорт и отдыхРаботаИщу работуИщу сотрудникаДля дома и дачиРемонт и строительствоМебель и интерьерБытовая техникаПродукты питанияРастенияПосуда и товары для кухниБизнес и оборудованиеГотовый бизнесОборудование для бизнесаУслугиЖивотныеСобакиКошкиПтицыАквариумДругие животныеТовары для животныхЛичные вещиОдежда обувь аксессуарыДетская одежда и обувьТовары для детей и игрушкиКрасота и здоровьеЧасы и украшенияЗагрузите приложение АвитоВы сразу узнаете если придёт сообщение появится новое предложение в избранном или кто-то купит ваш товар с доставкой.ВОКYTTTGАвито — сайт объявлений России. © ООО «КЕХ еКоммерц» 2007–2023. Правила Авито. Политика обработки данных. Авито использует рекомендательные технологии.Разместить объявлениеОбъявленияПомощьБезопасностьРеклама на сайтеО компанииКарьераАвито ЖурналБлогАвито Польза</t>
  </si>
  <si>
    <t>www.avito.ru</t>
  </si>
  <si>
    <t>Объявления на сайте Авито</t>
  </si>
  <si>
    <t>Авито — Объявления на сайте Авито.</t>
  </si>
  <si>
    <t>https://www.avito.ru/rightholder</t>
  </si>
  <si>
    <t>недвижимость, транспорт, работа, услуги, вещи</t>
  </si>
  <si>
    <t>https://www.avito.ru/rossiya</t>
  </si>
  <si>
    <t>Авито: квартиры, авто, работа - Apps on Google Play</t>
  </si>
  <si>
    <t>Авито — это миллионы объявлений по всей России. Что продать или сделать, за сколько и кому — здесь решают сами пользователи. Покупайте выгодно.</t>
  </si>
  <si>
    <t>https://play.google.com/store/apps/details?id=com.avito.android&amp;hl=en_US</t>
  </si>
  <si>
    <t>Авито 2023</t>
  </si>
  <si>
    <t>На Авито можно купить квартиру, авто — новые и с пробегом, электронику, товары для дома, мебель, одежду и многое другое. | 955733 подписчика. 50319 записей.</t>
  </si>
  <si>
    <t>https://vk.com/avito</t>
  </si>
  <si>
    <t>Авито</t>
  </si>
  <si>
    <t>Ави́то — российский интернет-сервис для размещения объявлений о товарах, недвижимости, вакансиях и резюме на рынке труда, а также услугах от частных лиц и ...</t>
  </si>
  <si>
    <t>https://ru.wikipedia.org/wiki/%D0%90%D0%B2%D0%B8%D1%82%D0%BE</t>
  </si>
  <si>
    <t>Авито: объявления on the App Store</t>
  </si>
  <si>
    <t>Покупайте выгодно. На Авито найдутся машины, электроника, мебель, одежда и домашние животные. С продавцами можно договориться о скидке, а новые вещи часто ...</t>
  </si>
  <si>
    <t>https://apps.apple.com/us/app/%D0%B0%D0%B2%D0%B8%D1%82%D0%BE-%D0%BE%D0%B1%D1%8A%D1%8F%D0%B2%D0%BB%D0%B5%D0%BD%D0%B8%D1%8F/id417281773</t>
  </si>
  <si>
    <t>avito.tech</t>
  </si>
  <si>
    <t>Рассказываем. чем инженеры занимаются в Авито, как им удаётся работать в удовольствие и что для этого нужно. Приглашаем почитать. Без рекламы.</t>
  </si>
  <si>
    <t>https://avito.tech/</t>
  </si>
  <si>
    <t>avito.tech  МитапыВидеоСтатьиOpen SourceВакансииО насPlaybook МитапыВидеоСтатьиOpen SourceВакансииО насPlaybookМитапыВидеоСтатьиOpen SourceВакансииО насPlaybook... Контент для роста в профессии. .. Встречи для опытных и новичков.Горячие вакансииот тимлидов. Честные. .  рассказы о работе КонтентВстречиВакансииРассказыAvitoTech — команда инженеров которые ежедневно улучшают сервисы Авито и прокачивают себя. Митапы  Видео Статьи  Open Source  Вакансии  О нас Контент для роста в профессии.Встречи для опытных и новичков.Горячие . вакансии от тимлидов. Честныерассказы .о работе   Рассказываем чем инженеры занимаются в Авито как им удаётся работать в удовольствие и что для этого нужно. Приглашаем почитать. Без рекламы.   Делимся полезным Open Source на Гитхабе чтобы упростить жизнь других инженеров. Развиваем и поддерживаем десятки репозиториев вот например:   Показываем  остросюжетные видео про людей технологии и закулисье IT-корпорации. У нас весело интересно но в этом лучше убедиться своими   Вакансии  для разработчиков аналитиков QA-инженеров тимлидов и дизайнеров. Потому что нам всегда нужны умные и способные ребята.    Android-разработчик Товары Тимлид разработки PaaS Разработчикна Go Недвижимость QA-инженер DBA Руководитель команды NoSQL Услуги   Приглашаем  на мероприятия где делимся последними открытиями и новостями общаемся и делаем совместные фото    AvitoTech – это мы   1000+ разных сервисов 1300+ инженеров в команде   ОБЕДАЕМ ВМЕСТЕ • ОБЕДАЕМ ВМЕСТЕ •  ОБЕДАЕМ ВМЕСТЕ • ОБЕДАЕМ ВМЕСТЕ •    ХАКАТОНЫ • ХАКАТОНЫ • ХАКАТОНЫ • ХАКАТОНЫ • ХАКАТОНЫ • ХАКАТОНЫ •   СЛЫШИМ ДРУГ ДРУГА • СЛЫШИМ ДРУГ ДРУГА • СЛЫШИМ ДРУГ ДРУГА • СЛЫШИМ ДРУГ ДРУГА •   СВОЙ СПОРТЗАЛ • СВОЙ СПОРТЗАЛ • СВОЙ СПОРТЗАЛ • СВОЙ СПОРТЗАЛ •   ЧИЛИМ • ЧИЛИМ • ЧИЛИМ • ЧИЛИМ • ЧИЛИМ • ЧИЛИМ • ЧИЛИМ • ЧИЛИМ • ЧИЛИМ • ЧИЛИМ •   СЛУШАЕМ ТЕХНО • СЛУШАЕМ ТЕХНО • СЛУШАЕМ ТЕХНО • СЛУШАЕМ ТЕХНО •   ОТДЫХАЕМ • ОТДЫХАЕМ • ОТДЫХАЕМ • ОТДЫХАЕМ • ОТДЫХАЕМ • ОТДЫХАЕМ •    Мы используем cookie-файлы. Если вы согласны с этим нажмите ОК. Если вы против — закройте сайт или отключите cookie в браузере. OK МитапыВидеоСтатьи Open SourceВакансии О нас © Авито — сайт объявлений России 2022. Компания ООО «Авито Тех» проектирует разрабатывает обновляет модифицирует и исправляет программы для ЭВМ и базы данных. Партнёрам tech@avito.ru Прессе pr@avito.ru</t>
  </si>
  <si>
    <t>Авито: квартиры, авто, работа</t>
  </si>
  <si>
    <t>На Авито есть множество объявлений о продаже недвижимости, а также аренде — дома и квартиры посуточно или на длительный срок. Здесь получится найти комнату, ...</t>
  </si>
  <si>
    <t>https://play.google.com/store/apps/details?id=com.avito.android&amp;hl=ru&amp;gl=US</t>
  </si>
  <si>
    <t>Авито | OK.RU</t>
  </si>
  <si>
    <t>Группа Авито. На Авито можно купить квартиру, авто — новые и с пробегом, электронику, товары для дома, мебель, одежду и многое другое.</t>
  </si>
  <si>
    <t>https://ok.ru/avito</t>
  </si>
  <si>
    <t>Социальная сеть Одноклассники. Общение с друзьями в ОК. Ваше место встречи с одноклассникамиПерейти на версию для людей с ограниченными возможностями.Свернуть поискПоиск в ОКСервисы VKMail.ruПочтаОблакоКалендарьЗадачиВидеозвонкиVK ПочтаТВ программаПогодаГороскопыСпортОтветыАвтоЛедиВКонтактеЕщёМы используем cookie-файлы чтобы улучшить свой сервис для вас.Вы можете принять их или настроить их самостоятельно. Больше информацииПринять всеНастроитьБольше эмоцийи яркого общения!Заходите в ОК чтобы встретить своих друзей и найти новых пообщаться с близкими людьми и интересно провести время с помощью наших развлекательных сервисов.ВойтиЗарегистрироватьсяВходQR-кодТелефон или адрес эл. почтыПарольВойти по QR-кодуНе получается войти?Нет профиля в ОдноклассникахЗарегистрироватьсяДругой профильРусскийМобильная версияДля бизнесаЗвонкиИгрыПодаркиПомощьЕщёРазработчикамРекламаСоглашения и политикиНастроить cookieВакансииНовостиО компании© 2006–2023 ООО "ВК" / LLC VKМы применяем рекомендательные технологии Подробнее</t>
  </si>
  <si>
    <t>ok.ru</t>
  </si>
  <si>
    <t>Авито (@avito) • Instagram photos and videos</t>
  </si>
  <si>
    <t>23 февр. 2023 г. —</t>
  </si>
  <si>
    <t>https://www.instagram.com/avito/</t>
  </si>
  <si>
    <t>Авито, пункт выдачи заказов, Озёрная, 6Б, Бийск</t>
  </si>
  <si>
    <t>Авито, пункт выдачи заказов: адреса со входами на карте, отзывы, фото, номера телефонов, время работы и как доехать. Доставка.</t>
  </si>
  <si>
    <t>https://2gis.ru/biysk/firm/70000001065982388</t>
  </si>
  <si>
    <t>Avito</t>
  </si>
  <si>
    <t>Avito ... Avito is the most popular classifieds site in Russia and is the second biggest classifieds site in the world.</t>
  </si>
  <si>
    <t>https://www.youtube.com/channel/UC2dIPeP9pLhu1AiA_eK2L9A</t>
  </si>
  <si>
    <t>AVITO MANIFESTO (2023)</t>
  </si>
  <si>
    <t>Как ведет себя лидер Авито · Помогает команде добиться успеха, понимая, что личный успех зависит от успеха команды · Доверяет коллегам, отдаёт им должное и ...</t>
  </si>
  <si>
    <t>http://manifesto.avito.com/</t>
  </si>
  <si>
    <t>Avito - Авито</t>
  </si>
  <si>
    <t>https://twitter.com/avito</t>
  </si>
  <si>
    <t>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t>
  </si>
  <si>
    <t>twitter.com</t>
  </si>
  <si>
    <t>Вакансии компании Авито - работа в Москве, Санкт ...</t>
  </si>
  <si>
    <t>https://hh.ru/employer/84585</t>
  </si>
  <si>
    <t>Работа в Москве поиск персонала и публикация вакансий - hh.ruДля работы с нашим сайтом необходимо чтобы Вы включили JavaScript в вашем браузере.РоссияСоискателямРаботодателямГотовое резюмеКарьерная консультацияВсе сервисы ПомощьИщу работуСоздать резюмеВойтиВойтиРабота найдётся для каждогоНайти работуЯ ищу сотрудника65 757 425резюме1 410 102вакансии2 088 561компанияНапишите телефон чтобы работодатели могли предложить вам работуПродолжитьЧтобы подтвердить что вы не робот введите текст с картинки: Другой текстEnglishНажимая «Продолжить» вы подтверждаете что ознакомлены полностью согласны и принимаете условия «Соглашения об оказании услуг по содействию в трудоустройстве (оферта)»Вакансии дня Компании дня7649 вакансийРабота из дома83707 вакансийГрузчикот 72 000 до 89 000 ₽RabotaHR МоскваСотрудник ресторанаот 50 000 до 70 000 ₽Додо Пицца (ООО ДПМ Север) МоскваЛичный ассистент психологаот 50 000 до 250 000 ₽Гунбина Алина Борисовна МоскваБаристаот 74 000 до 91 000 ₽Фёсти МоскваАдминистратор в студию горячей йогиот 20 000 до 50 000 ₽Bikram.ru Yoga МоскваЛичный водительот 100 000 до 120 000 ₽Хитрова Анастасия Викторовна МоскваНочной продавец-кассир/администраторот 60 000 ₽Бухаев Юсуп Сайдемиевич МоскваИнспектор (охранник) в Клиникуот 80 000 до 80 000 ₽Клиника Крафтвэй МоскваБаристадо 91 000 ₽Департамент Ф53 МоскваВодитель-экспедиторот 87 000 до 121 000 ₽RabotaHR МоскваФлористот 60 000 до 140 000 ₽Бухаев Юсуп Сайдемиевич МоскваСемейный водительот 120 000 до 140 000 ₽Инсайт Люди МоскваПосмотреть всеРабота по профессиям в МосквеАвтомобильный бизнесАдминистративный персоналБезопасностьВысший и средний менеджментДобыча сырьяДомашний обслуживающий персоналЗакупкиИнформационные технологииИскусство развлечения массмедиаМаркетинг реклама PRМедицина фармацевтикаНаука образованиеПродажи обслуживание клиентовПроизводство сервисное обслуживаниеРабочий персоналРозничная торговляСельское хозяйствоСпортивные клубы фитнес салоны красотыСтратегия инвестиции консалтингСтрахованиеСтроительство недвижимостьТранспорт логистика перевозкиТуризм гостиницы рестораныУправление персоналом тренингиФинансы бухгалтерияЮристыДругоеГолосуйте в РейтингеВыбирайте работодателей у которых хотите работатьВыбрать лучшихВыбрать лучшихНовостиГде в ноябре платят 100 000 ₽ и большеРабота в ноябре с ежедневными выплатамиИТ-вакансии ноября с зарплатой от 150 000 ₽Вакансии ноября для руководителей с зарплатой от 150 000 ₽СтатьиКак не испортить впечатление о себе активностью в соцсетяхКак стать бухгалтером с нуля«Р-Фарм»: жить полной жизнью и приносить пользу людям«Пятёрочка»: как стать владельцем бизнесаПолезноеРабота для программистаРабота для бухгалтераРабота для инженераРабота для менеджера по продажамРабота для директораРабота для администратораРабота для маркетологаРабота для дизайнераРабота для юристаРабота в других городахРабота в ЗагорянскомРабота в МосквеРабота в ВидномРабота в ДолгопрудномРабота в ДрожжиноРабота в ЛопатиноРабота в БобровоРабота в МытищахРабота в ПутилковеРабота в ХимкахРабота в РоссииРабота составляет большую часть жизни почти каждого из нас. Но ничто не вечно: случается что однажды приходится менять место работы и с головой погружаться в поиски вакансий — хочется ведь найти хорошую альтернативу текущей должности.Однако зачастую при смене работы мы задумываемся не только о смене компании но и об изменении профессиональной деятельности. И именно в эти моменты возникает вопрос: «Как теперь найти хорошую работу в Москве? А главное какой должна быть эта работа?»Показать полностьюЧтобы решать такие вопросы легко и быстро достаточно всего лишь зайти на hh.ru!На нашем сайте вы всегда можете узнать последние новости рынка труда а также изучить свежий обзор зарплат с помощью которого легко оценить на какие должности стоит нацелиться. Если вы уже определились вакансии каких специальностей вас интересуют вам остаётся только создать резюме и приступать к поиску работы мечты!Удобнее всего искать работу с помощью нашего каталога вакансий: всего пару раз кликнув мышкой вы получите список актуальных и качественных вакансий в Москве или другом регионе России. Но это не единственный вариант поиска работы. На нашем сайте вы можете создать привлекательное резюме и вакансии сами начнут стекаться к вам! А скомбинировав оба эти метода вы сможете получить наиболее быстрый а главное эффективный способ поиска работы!Создать резюмеСкачайте приложениеСвежие вакансии ответы на отклики и доступ к резюме — всегда у вас под рукой. Просто наведите камеру телефона на QR-код.HeadHunterО компанииНаши вакансииРеклама на сайтеТребования к ПОЗащита персональных данныхБезопасный HeadHunterЭтика и комплаенсHeadHunter APIПартнерамИнвесторамУсловия оказания услугУсловия использования сайтовНовости и статьиРынок трудаЖизнь в компанииИТ-проектыРейтинг работодателей РоссииСервисы для соискателейГотовое резюмеВсе сервисыПрофориентацияПродвижение резюмеХочу у вас работатьПроизводственный календарьЭкспертная рекомендацияМолодым специалистамКарьера для молодых специалистовШкола программистовПоиск сотрудниковПомощьПользовательское соглашениеКаталог компанийРабота по профессиямРабота рядом с метроУведомления в мессенджерSwitch to English© 2023 ООО «Хэдхантер»На информационном ресурсе hh.ru применяются рекомендательные технологии (информационные технологии предоставления информации на основе сбора систематизации и анализа сведений относящихся к предпочтениям пользователей сети «Интернет» находящихся на территории Российской Федерации)Сегодня на сайте 1410102 вакансии 65757425 резюме 2088561 компания и за неделю 3611017 приглашенийПодпишитесь на push-уведомления hh.ruПодписатьсяНе сейчас</t>
  </si>
  <si>
    <t>hh.ru</t>
  </si>
  <si>
    <t>Авито, пункт выдачи, ул. 9-й Гвардейской Дивизии, 42, ...</t>
  </si>
  <si>
    <t>Пункт выдачи «Авито» по адресу Московская область, Истра, улица 9-й Гвардейской Дивизии, 42, ☎️ +7 800 600 00 01. Читать 11 отзывов, смотреть 9 фото, ...</t>
  </si>
  <si>
    <t>https://yandex.ru/maps/org/avito/82678620478/</t>
  </si>
  <si>
    <t>yandex.ru</t>
  </si>
  <si>
    <t>Contact @avito</t>
  </si>
  <si>
    <t>Рассказываем как продавать и покупать товары безопасно. Делимся советами по поиску работы и выбору услуг. Другие каналы: Авито для бизнеса @avito_b2b</t>
  </si>
  <si>
    <t>https://t.me/avito</t>
  </si>
  <si>
    <t>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t>
  </si>
  <si>
    <t>t.me</t>
  </si>
  <si>
    <t>один сервис для разных задач бизнеса</t>
  </si>
  <si>
    <t>На Авито вы найдёте покупателей, поставщиков, сотрудников и подрядчиков. 49% малых и средних бизнесов в России уже работают с нами. Присоединяйтесь!</t>
  </si>
  <si>
    <t>https://www.avito.ru/business</t>
  </si>
  <si>
    <t>Авито: квартиры, авто, работа - Apps on ...</t>
  </si>
  <si>
    <t>Авито Карьера - О компании</t>
  </si>
  <si>
    <t>https://career.avito.com/</t>
  </si>
  <si>
    <t>Станьте частью команды АвитоНаправленияHRUX-исследованияUX-редакцияАналитика данныхДизайнКлиентский сервисЛогистикаМаркетингУправление продуктомПродажиРазвитие бизнесаРазработкаСтратегия M&amp;A партнерстваФинансы и закупкиЮриспруденция и GR  КомандыВертикальные командыТоварыАвтоНедвижи­мостьРаботаУслугиГоризонтальные командыОпыт продавцаОпыт покупателяКоммуникационные продуктыТехническая платформаДоверие и безопасностьAналитическая платформаПоиск и рекомендацииВнутренние проектыМонетизация и рекламаDS SWATСтажировкиНаши ценности КарьераСтажировкиВакансииСтаньте частью команды АвитоЧерез технологии мы помогаем людям и бизнесу упрощая решение любых задач — от повседневных до самых важныхСмотреть вакансииМы активно растёмЕжемесячная аудитория Авито№1среди сайтов объявлений в мире№6в списке самых дорогих интернет-компаний России по версии Forbes10 сделоксовершается каждую секунду150+ млнактивных объявленийУ нас пять вертикальных командРазрабатывают основные направления бизнеса вы можете знать их как категории на АвитоТоварыРаботаАвтоНедвижимостьУслугиРабота в Авито — это ежедневный вызов и постоянное развитие Посещаем конференции участвуем в хакатонах проводим тренинги и митапы Работаем c ведущими специалистами Комфортная среда помогает решать сложные и интересные задачиПриятные бонусыдля комфортной работыУютные офисы в Москве Петербурге Казани и СамареУютные офисы в Москве Петербурге Казани и СамареУютные офисы в Москве Петербурге Казани и СамареУютные офисы в Москве Петербурге Казани и СамареУютные офисы в Москве Петербурге Казани и Самаре ДМС со стоматологиейГибкий подход к формату и месту работыСпортзал в офисеОнлайн-библиотекаСкидка на продвижение объявленийСкидка на фитнесКурсы за счёт компанииВдохновляющая среда                    Ставятся сильные цели                                    А значит есть позитивное давление и вызов от команды и лидеров т. к. только в таких условиях происходят прорывы. Такое давление воодушевляет и мотивирует людей не привнося с собой страха перед возможными неудачами. Работая над сильными целями мы полностью отдаёмся работе а после их достижения мы вместе отмечаем победы.                                    Слова не расходятся с делом                                    Договорившись о чем-то мы делаем все для реализации принятого решения. Мы ведём себя в соответствии с теми принципами которые заявляем подавая пример остальным сотрудникам. Мы помним что культура — это то как мы действуем а не что мы говорим или пишем на стенах.                                    Много талантливых и увлечённых людей                                    Мы осознанно инклюзивны — принимаем идентичность друг друга оценивая лишь по достигнутым результатам и стремлению развиваться. Нам свободно интересно и безопасно вместе. Объединённые взаимным доверием мы достигаем синергии и показываем что в этом случае 1+1 гораздо больше чем 2.                                    Коммуникации прозрачны                                    Мы честны друг с другом сохраняем конструктивность и взаимное уважение к личности. Случающиеся у нас конфликты — это конфликты идей а не людей. Открытая среда для обмена информацией — залог доверия.                                    Высокая вовлеченность                                    Есть несколько ключевых вещей которые влияют на наше желание быть и работать в Авито и мы уделяем им особое внимание:— У тебя есть интересные задачи.— Рядом с тобой есть люди у которых можно и хочется чему-то научиться.— Ты уделяешь время профессиональному и личному развитию.— Ты ощущаешь себя частью команды и чувствуешь что тебя ждут.— Ты видишь что твоя работа меняет мир к лучшему.                Жизнь в Авито после оффераРассказываем в соцсетях чем живёмкак работаем и отдыхаем                   414 вакансий открытоСмотреть вакансииВакансии в Telegram                Офис в Москве                ул. Лесная 7                Офис в Петербурге                Малоохтинский пр-кт 64 лит B                Офис в Казани                ул. Московская зд. 19/8                Офис в Самаре                ул. Ново-Садовая д. 160Д стр 2РазработаноДанные о стоимости компании указаны на основании рейтинга Forbes. Ежемесячная аудитория Авито 50 млн пользователей — по данным            Яндекс.Радара за июнь 2020 года. 49% бизнесов уже работают с Авито — по данным исследования ООО «В2В Ресерч» проведённого в апреле-мае 2020 года.</t>
  </si>
  <si>
    <t>career.avito.com</t>
  </si>
  <si>
    <t>Avito - Crunchbase Company Profile &amp; Funding</t>
  </si>
  <si>
    <t>Avito is a classified advertisements platform that allows users to buy and sell used cars, clothes, real estate, and other accessories.</t>
  </si>
  <si>
    <t>https://www.crunchbase.com/organization/avito-ru</t>
  </si>
  <si>
    <t>Короли Авито. Как увеличить свой доход, продавая вещи через ...</t>
  </si>
  <si>
    <t>https://books.google.com/books?id=JSsrDwAAQBAJ&amp;pg=PT155&amp;lpg=PT155&amp;dq=%D0%B0%D0%B2%D0%B8%D1%82%D0%BE&amp;source=bl&amp;ots=o_TFqrKXhG&amp;sig=ACfU3U0uYSXdkPpcRYKGS_Pjp4Cn_DNrnA&amp;hl=ru&amp;sa=X&amp;ved=2ahUKEwi65fW3iruCAxWFrokEHQirA_AQ6AF6BAgdEAM</t>
  </si>
  <si>
    <t>100 способов увеличить посещаемость сайта</t>
  </si>
  <si>
    <t>https://books.google.com/books?id=q9ACDgAAQBAJ&amp;pg=PT54&amp;lpg=PT54&amp;dq=%D0%B0%D0%B2%D0%B8%D1%82%D0%BE&amp;source=bl&amp;ots=67VI3u0Z9I&amp;sig=ACfU3U0w-tpnYT0IYhkFVhQ0D6BjF53Kig&amp;hl=ru&amp;sa=X&amp;ved=2ahUKEwi65fW3iruCAxWFrokEHQirA_AQ6AF6BAgeEAM</t>
  </si>
  <si>
    <t>Авито | Verified</t>
  </si>
  <si>
    <t>https://www.facebook.com/avito.ru/</t>
  </si>
  <si>
    <t>www.facebook.com</t>
  </si>
  <si>
    <t>Хакни барахолку на 150к в месяц - Результат из Google Книги</t>
  </si>
  <si>
    <t>https://books.google.com/books?id=VPBGEAAAQBAJ&amp;pg=PT14&amp;lpg=PT14&amp;dq=%D0%B0%D0%B2%D0%B8%D1%82%D0%BE&amp;source=bl&amp;ots=Ymbqt0LuWx&amp;sig=ACfU3U3cp2TMxXZDnpXPSEwcbRHezZV7dQ&amp;hl=ru&amp;sa=X&amp;ved=2ahUKEwi65fW3iruCAxWFrokEHQirA_AQ6AF6BAgfEAM</t>
  </si>
  <si>
    <t>Avito.ru: приложения для Android в ...</t>
  </si>
  <si>
    <t>https://play.google.com/store/apps/dev?id=6750101820856332864&amp;hl=ru&amp;gl=US</t>
  </si>
  <si>
    <t>Камасутра для репетитора. 173 способа найти ученика</t>
  </si>
  <si>
    <t>https://books.google.com/books?id=eHnCEAAAQBAJ&amp;pg=PA132&amp;lpg=PA132&amp;dq=%D0%B0%D0%B2%D0%B8%D1%82%D0%BE&amp;source=bl&amp;ots=cyNnjKUh9z&amp;sig=ACfU3U3lyMp9GAZtoEs352gvXpqm0xnh3g&amp;hl=ru&amp;sa=X&amp;ved=2ahUKEwiRr6-LjruCAxXUrokEHaSBBo0Q6AF6BAg4EAM</t>
  </si>
  <si>
    <t>https://books.google.com/books?id=VPBGEAAAQBAJ&amp;pg=PT62&amp;lpg=PT62&amp;dq=%D0%B0%D0%B2%D0%B8%D1%82%D0%BE&amp;source=bl&amp;ots=Ymbqt0MuUx&amp;sig=ACfU3U2DfrpkoqHgxV7eVOObUT1ekOAHcA&amp;hl=ru&amp;sa=X&amp;ved=2ahUKEwiRr6-LjruCAxXUrokEHaSBBo0Q6AF6BAg3EAM</t>
  </si>
  <si>
    <t>вайлдберриз</t>
  </si>
  <si>
    <t>Wildberries – Интернет-магазин модной одежды и обуви</t>
  </si>
  <si>
    <t>https://www.wildberries.ru/</t>
  </si>
  <si>
    <t xml:space="preserve">_x001f_�_x0008_</t>
  </si>
  <si>
    <t>www.wildberries.ru</t>
  </si>
  <si>
    <t>WILDBERRIES</t>
  </si>
  <si>
    <t>https://vk.com/wildberries_shop</t>
  </si>
  <si>
    <t>Wildberries - Apps on Google Play</t>
  </si>
  <si>
    <t>https://play.google.com/store/apps/details?id=com.wildberries.ru&amp;hl=en_US</t>
  </si>
  <si>
    <t>Wildberries — модный интернет-магазин одежды, обуви и ...</t>
  </si>
  <si>
    <t>https://wildberries.eu/</t>
  </si>
  <si>
    <t>Wildberries — модный интернет-магазин одежды обуви и аксессуаров.Wildberries            Wildberries — модный интернет-магазин одежды обуви и аксессуаров доступен в следующих странах          Россия Беларусь Казахстан ҚазақстанАрмения ՀայաստանАзербайджан AzərbaycanКиргизияКыргызстанУзбекистан O'zbekistonИзраиль ישראל          2004- © Wildberries. Все права защищены.</t>
  </si>
  <si>
    <t>wildberries.eu</t>
  </si>
  <si>
    <t>Wildberries — Википедия</t>
  </si>
  <si>
    <t>https://ru.wikipedia.org/wiki/Wildberries</t>
  </si>
  <si>
    <t>Wildberries - Приложения в Google Play</t>
  </si>
  <si>
    <t>https://play.google.com/store/apps/details?id=com.wildberries.ru&amp;hl=ru&amp;gl=US</t>
  </si>
  <si>
    <t>WILDBERRIES - App Store</t>
  </si>
  <si>
    <t>https://apps.apple.com/ru/app/wildberries/id597880187</t>
  </si>
  <si>
    <t>WILDBERRIES OFFICIAL (@wildberriesru)</t>
  </si>
  <si>
    <t>https://www.instagram.com/wildberriesru/</t>
  </si>
  <si>
    <t>wildberries</t>
  </si>
  <si>
    <t>https://www.youtube.com/channel/UCtnVdR1jFU2tqJvpoh9Iwxw</t>
  </si>
  <si>
    <t>Wildberries — интернет-магазин модной одежды, обуви и ...</t>
  </si>
  <si>
    <t>https://www.wildberries.by/</t>
  </si>
  <si>
    <t>Wildberries — интернет-магазин модной одежды обуви и аксессуаровБаланс:</t>
  </si>
  <si>
    <t>www.wildberries.by</t>
  </si>
  <si>
    <t>Вакансии компании WILDBERRIES - работа в Москве ...</t>
  </si>
  <si>
    <t>https://hh.ru/employer/87021</t>
  </si>
  <si>
    <t>Отзывы о магазине Вайлдберриз</t>
  </si>
  <si>
    <t>https://market.yandex.ru/shop--vaildberriz/4827/reviews</t>
  </si>
  <si>
    <t>market.yandex.ru</t>
  </si>
  <si>
    <t>✓ Wildberries</t>
  </si>
  <si>
    <t>https://www.facebook.com/wildberries.ru/</t>
  </si>
  <si>
    <t>Wildberries - последние новости сегодня</t>
  </si>
  <si>
    <t>https://ria.ru/organization_wildberries/</t>
  </si>
  <si>
    <t>Wildberries: истории из жизни, советы, новости ...</t>
  </si>
  <si>
    <t>https://pikabu.ru/tag/Wildberries</t>
  </si>
  <si>
    <t>������� � ����� ���������� � ����������� ����� | ���������������������������������������������������������������� ������?������������ �������������� �������										�������� ������� � ���������� � ��������� ������������� ����� � ��� �������� �� ��������� ������������ ������.									������� �������� ���� ��� ���� ��������������������� ������������������������������������� ������������������������� ��� � Telegram��� ���������� �GoogleVK �������� ���� ������� ������������� ������� ������NebulaNinja70 ������dyadka133767 ������DaSeryozno21 �������������� ���� ���						��������											������ ����� ������					�������� ������: ���������� ����� ����������� ��������� �� 7 ���� 🔥������������������ ������ ������������ �� ��������� � ���������� � ��������� ������ � ��� �������� �� ��������� ������������ ������.							������� ��� �����������! ���������� ��������� ����� 😊������� ������������������ �������������� ����������������������������������� ���������� �������������������������������������������� Aliexpress������ ������������ HoffAndroidiOS������� ��������������� ����� ���������� ����� ����� ������. ������������ �������� ��� ����� �� ����� ������� �� ��� ��� �� ������ ������� ��� ����� ������� � ������.Promo message�������� ����������4090													KnightOfSarcasm												7 ����� ���������� �� ���� ���� ��� ��� ������ ��������⁠⁠�������� ���������1 ������ ������ ����� �������� � ������� ����� �� ���� 448				������			7927													NebulaNinja												14 ����� ��������� ��� ���� � ���������� ��������⁠⁠�������� ���������1 �������� ���� ������ �������� ���� ������ ����������������� ����� 343				������			7635													bgafk												14 ����� ����������� ���⁠⁠�������� ���������1 �� ���� �������� �������� ������ 499				������			����������� ���������������													specials												�������� ������: ���������� ������ ���������� �����������⁠⁠���������� ��������� ������ � �������� � ������� ����� ��� ����� ����������� ����� ���� ���������� �������. ������ ��� ��� ��������� ����� ������� ������ �������������� � ������������. �� � ���� ���� VK ID ����� ������� � ������� � ������� SMS � ���������� ����������� ����� Touch ID � Face ID.�� ���� �� �������� ���������� �� ������ � ������������ ���������� ��������� ��������� ������ � ���������� ����. ������ ��������� � ��� ������ ����� ��������VK ID � ������ ������� ��� ����� � ������� VK � ������ ��� ��������� (������� ������!). � ��� �� ����� ������ ���������������� � ������ ����� ������� � ���������� ��� ���� ������������ �������� � ������������� ������ ��������. � ��� � VK ID ������� ���������� OnePass � ����� ������� ������������ ��������������. � ��� ����� ������� � �������� ����� ������������� ���� � ���� ���������� �������. ��� ������� ������� � ����������: ����� ������ ��� ��� ������ ������� �������� ��� ������.�������� � ��������� OnePass ����� � ����������.������� ��� �� ����������������� ��������������� �������������� ������������ ��������� (������)7260													Ghost687												15 ����� ������������ � ������� ��� ����� ������� ����������⁠⁠���� ������ ������������ ����� ���������� ����� Robert B Weide ��������������� ����� 302				������			155Dr.Lemon ������� � �������: ������ ���� ����� � �� ����������������������� ��������� ��������� «��� �����»8 ����� ����� ����������			������ ������ - � ��� (����������)⁠⁠��������� ����� ����������:�� ������ ������� ����� � ������� �� ����������� ���� ������ ��� ������ ������ ����� ������� ������ � ������ ��� ��������� ����� � � ����� ���� ������� ��������� ����� ��� ��������. ������ ����� �� ��� ������: ������� ������ � ������������ ����������� ��� ����� �������� � ������ �� ����� ����������� ��� ����� �������� � ��������.�� ������ ������ ����� ����� �������� ��������� �������� �������� ����� ������ ������� "� ���". ������ ��� ���� - ����� ���������� �������� � ����� � ������ ��� ������ ������� ������ - ��� ���� ���. ������� ��� ������������ ������� ��� ���� ����� ��������� ��������� ����� ������� ���� ������� �������� � �������� ������� ������ �� ��� �����. ���� ���� � 2016 ���� ����� ������ ������� ��� ��� � ���� �� ���� �������. � �� ���� ������ ����.����� ���� ����������� ���������� ����� MP3-���� ������ ������ ��� ������������� � �������� ���������� � ���� � ������.����� ����� ���� ����� �������� ���������?						���� ��������� - � �������� ������ - � ������� ���������� ������� - � ������������ �������: �������� ���������1 1  [���] ����� ���������� ����� �������� ��� �������� �������� ���������� ������ ������ ������� ��� ����� YouTube ���������� 0  ����������				������			3235													Moodvin												1 ���� �������������� ����⁠⁠��������� ���� ������ ���� ���� �������� ����� ������������ ����� ������ ���� �������� ������ 148				������			2404													mytraveltrip												1 ���� �������� �� 1000 ����⁠⁠��� ������ ����� ��� ����� ������������ ����� 361  ����������				������			4107													ElenaPripyat												1 ���� ������������ ��������� ���� ����� ��� ������� ���-�� �� �� �������⁠⁠������������ ����� ������ �� ���� ����� ������������� 194				������			����������� ���������������													specials												�������������� �������� �� ��������� �������� ������ ��� ������⁠⁠��������� � �����-��� �������� ������ 💚 ����� �� ������������� � ���������������� ���������� � ����������� �� �������-������������! � ����� � ������� ������� ��������� � ������� ��������� �����������.����� ������ ������� ������ ��� ����� ������� �������� ������. ��������� ��� ���������� �� ���� �������� ������ �� ������ ����� � ����������� ������� � �������� �������!������ ��������� 😎�������  ��� ��� ���������������� ���������1 ��������� ���� �� �����8578													Mirajjanna												20 ����� �������������� ����������� ��� ��� �� �������⁠⁠#comment_288675408��� ���� ����� 😁 � ����������. ���� �� ��� ����������� ����� � ���������� ���� �� 👍�������� ���������7 ��������� ������� ��������� �������� �������� ���������� ����������� �� ������ 370  ����������				������			�������������� �� ���������� ��� ���� ����������������������� — � ������� ���� ������� ���� � ���� �����.����� �������� �������� ����� ��������������.					 �� ��������� ��� ������ ����������� ������ ��� ���������! ����� ������123456789101120304050100</t>
  </si>
  <si>
    <t>pikabu.ru</t>
  </si>
  <si>
    <t>Wildberries, интернет-магазин во Владивостоке: филиалы</t>
  </si>
  <si>
    <t>https://2gis.ru/vladivostok/branches/3518974079942841</t>
  </si>
  <si>
    <t>Wildberries – торговая сеть</t>
  </si>
  <si>
    <t>https://www.retail.ru/rbc/tradingnetworks/wildberries/</t>
  </si>
  <si>
    <t>Retail.ru — портал для ритейлеров и поставщиков Please click here if you are not redirected within a few seconds.xУважаемый пользователь!Мы обнаружили что вы используете Adblock и блокируете показ рекламы на нашем сайте просим внести наш сайт всписок исключения так как наш контент предоставляется на бесплатной основе и единственным нашим доходомявляется реклама на сайте.Это необходимо для дальнейшего развития проекта.Инструкция поотключению AdBlock.Спасибо за понимание!   Версия сайта для слабовидящихЛичный кабинет(0)   .Retail.ru События Бизнес-центр Обучение Книги Магазин Реклама  Темы Новости Статьи Кейсы Интервью Видео Товар на полку Опросы Мастер-классы Глоссарий Фоторепортаж Мнения Персоны Автоматизация на 1С ТемамесяцаАвтоматизация на 1С ТемамесяцаRetail.ru - ритейлеру и поставщикуАктуальноНовостиИнтервью Михаил Гончаров «Теремок»: «Я был уверен что бизнес с блинами состоится»О том с чего начиналась 25-летняя история сети особенностях блинных путях развития и технологиях.Кейсы Меньше кредитов и ниже процентные выплаты: опыт «Иль Де Ботэ» в использовании онлайн-инкассации c MonironПять причин почему компания применяет АДМ для обработки наличной выручки.Кейсы Винная полка «Пятёрочки»: как создать эксклюзивное предложение51% составляет доля эксклюзивных торговых марок в продажах российского вина у ритейлера и будет расти.Статьи Экотренды ритейла Восточной и Юго-Восточной АзииОбзор экоконцепций и проектов а также органических продуктов азиатских ритейлеров.Михаил Гончаров «Теремок»: «Я был уверен что бизнес с блинами состоится»Меньше кредитов и ниже процентные выплаты: опыт «Иль Де Ботэ» в использовании онлайн-инкассации c MonironВинная полка «Пятёрочки»: как создать эксклюзивное предложениеЭкотренды ритейла Восточной и Юго-Восточной АзииСтатьиИнтервьюФоторепортажи КейсыТовар на полкуЭкотренды ритейла Восточной и Юго-Восточной АзииОбзор экоконцепций и проектов а также органических продуктов азиатских ритейлеров. Тематика: Зарубежный опыт торговли Устойчивое развитие Маркетинг и экономика торговли 4939 ноября 2023 История Walgreens: как аптечная сеть выиграла от сухого закона и пострадала от пандемии? Почему один из крупнейших мировых ритейлеров закрывает магазины? Тематика: Зарубежный опыт торговли Крупные мировые ритейлеры Аптечный ритейл. Оптика Кризис. Точка бифуркации Маркетинг и экономика торговли 14576 ноября 2023 Кондитерские изделия: новые тренды и продукты в турбулентные временаРоссияне любят заедать стресс но далеко не все сладости-новинки будут успешны. Тематика: FMCG. Продуктовый ритейл. Алкоголь Маркетинг и экономика торговли 22373 ноября 2023 Логисты готовятся к росту продаж в e-commerceЭксперты дают прогнозы спроса и цен на перевозки в преддверии распродаж и праздников обозначают тренды. Тематика: Логистика Логистика в ритейле E-commerce. Маркетплейсы Маркетинг и экономика торговли Доставка товаров. Курьерская доставка 308930 октября 2023 Практическая аналитика – какой она должна быть?Решение для роста товарооборота и сокращения списаний в HoReCa ритейле дистрибуции. Тематика: Аналитика Автоматизация торговли: ПО кассы сканеры весы FMCG. Продуктовый ритейл. Алкоголь Рестораны Фастфуд. Фудкорты. Сетевые рестораны 248124 октября 2023 Почему в рознице так и не появился «магазин будущего»?Где теперь происходит ритейл-революция и что она принесет физическим магазинам. Тематика: FMCG. Продуктовый ритейл. Алкоголь Автоматизация торговли: ПО кассы сканеры весы Общеотраслевое E-commerce. Маркетплейсы Маркетинг и экономика торговли 211620 октября 2023 INFOLine: «Монетка» поможет «Ленте» с мини-форматамиКак сделка изменит позиции «Ленты» в рейтинге крупнейших FMCG-сетей и что ритейлер будет делать дальше? Тематика: FMCG. Продуктовый ритейл. Алкоголь Исследования и рейтинги Маркетинг и экономика торговли 370418 октября 2023 СТМ или собственный бренд: как производителю лавировать на рынке?История Sdobs Foods которая создает десерты для ритейлеров и успешно развивает свой бренд. Тематика: FMCG. Продуктовый ритейл. Алкоголь Собственная торговая марка. IPLS. Контрактное производство Марка. Бренд Управление брендом. Реклама. PR 342217 октября 2023 Исследование: как россияне знакомятся с новыми брендами и принимают решение о покупкеЧто стимулирует купить товар незнакомой марки а что препятствует? Тематика: Исследования и рейтинги E-commerce. Маркетплейсы Марка. Бренд Управление брендом. Реклама. PR 294316 октября 2023 Как luxury-рынок меняет подход к работе с клиентамиПодписка на лучшие предложения и технологичный сервис вместо шампанского и вечеринок? Тематика: Лояльность в ритейле Маркетинг и экономика торговли 30134 октября 2023 Все статьи →Михаил Гончаров «Теремок»: «Я был уверен что бизнес с блинами состоится»О том с чего начиналась 25-летняя история сети особенностях блинных путях развития и технологиях. Тематика: Рестораны Фастфуд. Фудкорты. Сетевые рестораны Маркетинг и экономика торговли 14888 ноября 2023 Илья Пуйда Floris: «Расширение дистрибуции и работа с маркетплейсами позволят нам стать ближе к аудитории»О продвижении тизанов и травяных напитков выходе на рынки Китая и ОАЭ ЗОЖ-потребителях и онлайн-продажах. Тематика: FMCG. Продуктовый ритейл. Алкоголь Марка. Бренд Собственная торговая марка. IPLS. Контрактное производство Маркетинг и экономика торговли E-commerce. Маркетплейсы 22702 ноября 2023 Юрий Семенов «Дикси»: «Самая важная задача – быстро и эффективно обновить сеть для покупателей»К концу 2024 года ритейлер планирует провести редизайн в 40% магазинов. Тематика: FMCG. Продуктовый ритейл. Алкоголь Создание атмосферы магазина Маркетинг и экономика торговли 41691 ноября 2023 Татьяна Корниенко «Стардогс»: «Мы открываем три экспериментальные точки продаж хот-догов в Грузии»О развитии в России и за рубежом особенностях торговли хот-догами ЗОЖ и новых проектах. Тематика: Фастфуд. Фудкорты. Сетевые рестораны Маркетинг и экономика торговли 371027 октября 2023 Илья Дудковский «Авито»: «Скорость поставки оборудования и экономия при оснащении магазинов стали важнее чем когда бы то ни было»Почему для бизнеса становится нормальным покупать и продавать сложное оборудование онлайн и как изменились традиционные схемы выбора торгового оборудования. Тематика: Торговое оборудование. Мебель для магазинов Торговое холодильное оборудование Оборудование для магазинов E-commerce. Маркетплейсы Маркетинг и экономика торговли 208224 октября 2023 Юлия Агальцова «Техника здоровья»: «Стремимся увеличить долю премиальных товаров в ассортименте в некоторых магазинах она достигает 28%»Об особенностях бизнеса ортопедических салонов обучении консультантов клиентском пути и будущем этой ниши. Тематика: Кризис. Точка бифуркации Марка. Бренд Маркетинг и экономика торговли Fashion. Одежда. Обувь. Аксессуары Создание атмосферы магазина 185923 октября 2023 Денис Шубенок «Ашманов и партнеры»: «Маркетплейсы – это черкизовский рынок в 90-е. Игнорировать нельзя но делать ставку только на них – опасно»О том как покупатели выбирают бренды взамен ушедших почему интернет-канал важен с чего начинать в нем продвижение как обеспечить товар отзывами и не слить бюджеты впустую. Тематика: E-commerce. Маркетплейсы Маркетинг и экономика торговли Марка. Бренд Управление брендом. Реклама. PR Общеотраслевое 893818 октября 2023 Михаил Алешин «Перекрёсток»: «Планируем максимально убрать человеческий фактор из рутинных процессов и делаем фокус на роботизацию»Об изменениях в цепочках поставок и новых проектах для повышения эффективности. Тематика: FMCG. Продуктовый ритейл. Алкоголь Логистика в ритейле Логистика Автоматизация торговли: ПО кассы сканеры весы 417617 октября 2023 Станислав Богданов X5 Group: «Мы чувствуем на себе ответственность – наши инициативы часто влияют на отрасль в целом»О приоритетах во взаимодействии с органами власти поддержке малого бизнеса и локальных производителей. Тематика: Качество безопасность госрегулирование Госрегулирование Общеотраслевое FMCG. Продуктовый ритейл. Алкоголь 244917 октября 2023 Мария Подкопаева Х5 Group: «Наша цель – довести долю перерабатываемой упаковки в СТМ до 60%»О сотрудничестве с поставщиками по экологичной упаковке новых требованиях РОП и изменениях в стратегии устойчивого развития. Тематика: Устойчивое развитие Собственная торговая марка. IPLS. Контрактное производство FMCG. Продуктовый ритейл. Алкоголь 196116 октября 2023 Все интервью →Завод Viola: жизнь с новым собственникомПроизводитель инвестирует в производство и продвижение новых брендов и продуктов. Тематика: FMCG. Продуктовый ритейл. Алкоголь Марка. Бренд Маркетинг и экономика торговли 6527 ноября 2023 Mascotte открыл в Москве свой первый салон в новой концепцииУспешное создание стильного и светлого пространства для ценителей шопинга. Тематика: Fashion. Одежда. Обувь. Аксессуары Открытия и закрытия магазинов Создание атмосферы магазина 314325 октября 2023 Производство натурального сидра: сырье технологии процессЧто обеспечивает безопасность продукции на крупном предприятии?  Тематика: Качество безопасность госрегулирование Марка. Бренд 78020 октября 2023 Адыгейский сыр: где и как делают настоящий?Тонкости производства и продажи свежего мягкого сыра и кто плетет чечил-косичку? Тематика: FMCG. Продуктовый ритейл. Алкоголь Собственная торговая марка. IPLS. Контрактное производство Качество безопасность госрегулирование 29593 октября 2023 «Березка»: «Продажи выросли в 4 раза за 6 лет»Сеть из 6 DIY-магазинов в Татарстане планирует быстро развиваться в малых городах и открыть еще 5 точек в 2024 году. Тематика: DIY. Товары для дома. Мебель Маркетинг и экономика торговли Лояльность в ритейле Практика #Экспедиция Retail 250920 сентября 2023 «Матур»: «Стремимся получать 85 тысяч рублей выручки с квадратного метра в месяц»Башкирская сеть привлекает покупателей горячим хлебом готовой едой и чак-чаком. Тематика: FMCG. Продуктовый ритейл. Алкоголь Практика Марка. Бренд Маркетинг и экономика торговли Собственная торговая марка. IPLS. Контрактное производство 30386 сентября 2023 Как превратить производство оружия в туристический объект: опыт «АиР» из ЗлатоустаБлагодаря туризму в 10 раз выросло число покупателей фирменного магазина. Тематика: DIY. Товары для дома. Мебель Марка. Бренд Маркетинг и экономика торговли Управление продажами Управление брендом. Реклама. PR 256923 августа 2023 Fish House: путешествие на «Балтийский берег»Где и как производятся морская капуста имитированная икра копченая рыба и пресервы из морепродуктов для СТМ «Пятерочки»? Тематика: Собственная торговая марка. IPLS. Контрактное производство FMCG. Продуктовый ритейл. Алкоголь Марка. Бренд Крупные мировые ритейлеры 362810 августа 2023 Флагман Gloria Jeans в современном стрит-ритейлеВсе детали концепции магазина на Тверской в Москве. Тематика: Fashion. Одежда. Обувь. Аксессуары Открытия и закрытия магазинов Маркетинг и экономика торговли Марка. Бренд Мерчендайзинг. Выкладка. Витрины 42734 августа 2023 Где «Пятёрочка» делает маринованные огурчики для СТМ?От бахчи до полки. Тематика: Собственная торговая марка. IPLS. Контрактное производство Собственное производство. Готовая еда. Фабрики кухни FMCG. Продуктовый ритейл. Алкоголь 52805 июля 2023 Все фоторепортажи →Винная полка «Пятёрочки»: как создать эксклюзивное предложение51% составляет доля эксклюзивных торговых марок в продажах российского вина у ритейлера и будет расти. Тематика: FMCG. Продуктовый ритейл. Алкоголь Собственная торговая марка. IPLS. Контрактное производство Маркетинг и экономика торговли Марка. Бренд 42310 ноября 2023 Меньше кредитов и ниже процентные выплаты: опыт «Иль Де Ботэ» в использовании онлайн-инкассации c MonironПять причин почему компания применяет АДМ для обработки наличной выручки. Тематика: Финансы в ритейле Маркетинг и экономика торговли Droggery. Косметика. Парфюмерия Автоматизация торговли: ПО кассы сканеры весы 11487 ноября 2023 Опыт «Перекрёстка» в разработке мобильного приложения экспресс-доставки: топ-5 инсайтовНеудачные и успешные кейсы команды разработки. Тематика: E-commerce. Маркетплейсы FMCG. Продуктовый ритейл. Алкоголь Автоматизация торговли: ПО кассы сканеры весы Практика 14143 ноября 2023 Зачем развивать продажи еды в пивном магазине: опыт «Пив&amp;Ко»Снеки фритюр и готовая еда позволяют генерировать трафик и привлекать новые сегменты покупателей. Тематика: FMCG. Продуктовый ритейл. Алкоголь Практика Маркетинг и экономика торговли Собственное производство. Готовая еда. Фабрики кухни Собственная торговая марка. IPLS. Контрактное производство 223830 октября 2023 Приложение для Kcentr.ru: перешли с PWA и студийной разработки к облачному решениюПодробности проекта планы развития приложения и интеграции с CRM-системой.  Тематика: E-commerce. Маркетплейсы Автоматизация торговли: ПО кассы сканеры весы Маркетинг и экономика торговли Практика Техника электроника. Сотовый ритейл 175526 октября 2023 Как сервисный партнер перестроил и усилил техподдержку сети «Вкусно – и точка»«Крок» обслуживает около 700 пользователей в центральном офисе сети и удаленно обрабатывает до 800 заявок в месяц. Тематика: Автоматизация торговли: ПО кассы сканеры весы Общеотраслевое Фастфуд. Фудкорты. Сетевые рестораны 203423 октября 2023 Как расширить воронку массподбора в три раза и сохранить конверсию в наем – за два месяца: кейс BetaOnline в продритейлеНа 232% удалось увеличить входящий поток соискателей в разгар сезона. Тематика: Торговый персонал Управление персоналом Управление персоналом в ритейле FMCG. Продуктовый ритейл. Алкоголь Автоматизация торговли: ПО кассы сканеры весы 193219 октября 2023 Маркировка воды и сладких напитков: как экономить до 2 млрд рублей ежегодноКейс российского производителя воды. Тематика: Маркировка товаров Качество безопасность госрегулирование Общеотраслевое FMCG. Продуктовый ритейл. Алкоголь 190718 октября 2023 Онлайн-автоматизация: как «Якутский гормолзавод» дистанционно внедрял «1C:ERP»На 5% снизилась себестоимость продукции производственные издержки – на 10% объем выпускаемой продукции вырос на 15%. Тематика: Автоматизация на 1С Марка. Бренд Маркетинг и экономика торговли Автоматизация торговли: ПО кассы сканеры весы 187213 октября 2023 Опыт Uppetit: готовая еда – что готовить как ротировать и продаватьПростые логики построения специализации магазина готовой еды. Тематика: Собственное производство. Готовая еда. Фабрики кухни FMCG. Продуктовый ритейл. Алкоголь Практика Маркетинг и экономика торговли Франчайзинг 244511 октября 2023 Все кейсы →Фирменная розница становится гибриднойСпособы расширить предложение и усилить привлекательность формата. Тематика: FMCG. Продуктовый ритейл. Алкоголь Fashion. Одежда. Обувь. Аксессуары Маркетинг и экономика торговли 214231 октября 2023 Как изменился поисковый спрос на бытовую технику и электронику за 2 года?Исследование поискового интереса к БТиЭ в России. Тематика: Техника электроника. Сотовый ритейл Маркетинг и экономика торговли Исследования и рейтинги 134623 октября 2023 Фрукты и овощи: как зарабатывать и развивать категорию?Опыт «Магнита» «Ашана» «Слаты» «Красного Яра» «Батона» и производителя «Моё Лето». Тематика: Категорийный менеджмент Собственная торговая марка. IPLS. Контрактное производство Собственное производство. Готовая еда. Фабрики кухни 194313 октября 2023 Немецкие презервативы GLT-Group: фокус на разнообразиеЕвропейское качество и широкая линейка в категориях: elite premium и middle-low. Тематика: FMCG. Продуктовый ритейл. Алкоголь Товар на полку Маркетинг и экономика торговли Марка. Бренд 221028 сентября 2023 Бизнес на маркетплейсах: новые сервисы от «МТС Банка»Аналитика закупки из Китая фулфилмент и управление складом. Тематика: Финансы в ритейле E-commerce. Маркетплейсы Логистика в ритейле Логистика 201521 сентября 2023 Какие трудности возникают на пути продукции из Китая и где «подстелить соломку»Нюансы и сложности железнодорожных перевозок в 2023 году. Тематика: Логистика Логистика в ритейле Практика 211120 сентября 2023 Овсяная коллекция КФ «Хлебный Спас»: от идеи до бестселлераКак компания изучает вкусы потребителей и разрабатывает успешные продукты. Тематика: FMCG. Продуктовый ритейл. Алкоголь Марка. Бренд Маркетинг и экономика торговли Практика Лояльность в ритейле 240411 сентября 2023 Исследование «Яндекса»: fashion-покупатель начинает с поиска в интернете и любит брендыТренд на омниканальность или как выиграть гонку за клиента. Тематика: E-commerce. Маркетплейсы Fashion. Одежда. Обувь. Аксессуары 30911 сентября 2023 Рынок мороженого в июле 2023 года: российские производители доминируютИсследование: динамика продаж популярные форматы топ брендов. Тематика: Исследования и рейтинги FMCG. Продуктовый ритейл. Алкоголь Маркетинг и экономика торговли 533824 августа 2023 Как создать собственный маркетплейс? Советы экспертаКому это выгодно и к чему готовиться? Тематика: E-commerce. Маркетплейсы Маркетинг и экономика торговли Общеотраслевое 413621 августа 2023 Все товар на полку →НовостиВчера11:57Вакантность складов в Москве и области может упасть до рекордного за 15 лет 01% 275 10:30Россияне проигнорировали начало ноябрьских распродаж 663 09:30Умер новый креативный директор Moschino Давид Ренне 2146 Ранее10.11Правительство РФ утвердило правила компенсаций иностранным холдингам за российские активы 1329 10.11В РФ могут разрешить продажу немаркированной икры 817 10.11Рынок ИТ-специалистов остается перегретым вырос спрос на техподдержку и информационную безопасность 8419 10.11Полиция не сможет возбуждать административные дела против бизнеса 6902 10.11Nikoliers: неудовлетворенный спрос на склады в Петербурге превышает 500 тысяч кв. м 2539 10.11Немецкая OBI подала иск в суд к бывшему российскому подразделению 1778 10.11Novabev Group: за 9 месяцев 2023 года выручка компании выросла на 17% 1537 10.11Продавцы вейпов предложили штрафовать родителей за курение детей 1072 10.11Ozon: россияне стали чаще совершать крупные покупки на распродажах 911 10.11«Магнит» откроет пивоварню в суперсторе в Москве 1582 10.11«МТС Банк»: россияне активно скупают электронику и обувь в период распродаж 1438 10.11В 2023 году потребление отечественных вин вырастет до 90 млн дал 757 10.11Производитель кофе Tchibo сменит название на «Тибио» 623 10.11Компания HP приступила к ликвидации российского юрлица «ЭйчПи Инк» 746 10.11«Яндекс Лавка» планирует открывать даркмоллы 1738 09.11Суд отказался удовлетворить иск владельца самарского ТЦ к ритейлеру H&amp;M 1862 09.11Акционеры Fix Price утвердили смену юрисдикции с Кипра в Казахстан 944 Все новости →Новости компаний Торговая сеть Яндекс МаркетНа Яндекс Маркете появились товары от благотворительных фондов и их подопечных 196 Поставщик Эссен Продакшн АГКетчупы и джемы «Махеевъ» вновь стали лауреатами премии «Марка № 1 в России – 2023» 345 Поставщик Trinity Events Group23-й саммит розничной индустрии Retail Business Russia прошел 26-27 октября в Новой Москве – в Империал Парк Отель&amp;SPA 254 Поставщик MVK – Международная Выставочная КомпанияСтарт выставки Parking Russia 2023 уже на следующей неделе 14-16 ноября в Экспоцентре. 281 Поставщик 1СКонференция «День Документооборота» 454 Поставщик ООО "СП Группа"Объявлены лауреаты XIV Премии «Качество обслуживания и права потребителей» 538 Поставщик АЛЬТАСЕИЛС23–24 ноября в Москве в ЦДП пройдет крупный бизнес-форум от экспертов ниши – ПРОДАЖИ.ГЛАВНОЕ 835 Поставщик Retail.ruОнлайн-конференция на тему «Торговое оборудование в ритейле: как изменился пул поставщиков какие решения ищет ритейл?» 695 Поставщик Тануки«Тануки» запустили новое астрологическое меню 721 Поставщик «Ритейл Тех»Мегафорум – территория сотрудничества обмена мнениями и идеями! 531 Торговая сеть Победа«Победа» тестирует промышленные экзоскелеты 898 Торговая сеть АО "Корпорация "ГРИНН"«Долькин» – приветливый дискаунтер открылся в Туле 6164 Поставщик СканКассВ России создано приложение для мониторинга касс в магазинах 5364 Поставщик GRASSGrass: выбор потребителей 1105 Все новости компаний →Календарь событий14 - 16 ноября 2023 Центр Закупок Сетей™ 14 - 16 ноября 2023 32-я Международная Продовольственная Выставка "Пет... Получить бесплатный билет 16 ноября 2023 «Торговое оборудование в ритейле» Получить бесплатный билет 21 - 22 ноября 2023 BEE-TOGETHER.ru Получить бесплатный билет 23 - 24 ноября 2023 Продажи главное 29 - 30 ноября 2023 Международный форум Universe Ecom Convention 2023... Получить бесплатный билет Все события →Рекомендуем посетитьБизнес-центр684 торговые сети 4213 поставщика Зарегистрируйте в нашем каталоге:ПоставщикаТорговую сетьВидеоНовый концепт «Дикси»2595Как «раскрутить» региональную сеть ортопедических салонов: секреты от «Техники здоровья»2443Виктория Бурматова - «Моё Лето» на #WorldFoodMoscow 20232132Все видео →ПерсоныВолков Лев Генеральный директор сети «Самбери». Рябова Анжела Директор формата дискаунтеров «Магнита» Федяков Иван Основатель и глава группы компаний INFOLine Все персоны →КнигиТовар добавлен в корзинуКатегорийный менеджмент. Практ...1 200 руб.Купить Продажи в цифрах: планирование...590 руб.Купить Арифметика категорийного менед...1 100 руб.Купить Торговля продуктами питания в ...1 490 руб.Купить Успешный путь в торговую сеть ...590 руб.Купить ПРАКТИКУМ ПОСТАВЩИКА: Как сотр...699 руб.Купить Все книги →Видео на Retail.ru Новый концепт «Дикси» 2590 Как «раскрутить» региональную сеть ортопедических салонов: секреты от «Техники здоровья» 2438 Татьяна Корниенко - «Стардогс» на #WorldFood Moscow 2023 2084 Все видео →Семинары30.11 Категорийный менеджмент - Первый курс по международному стандарту Catman 2.04Retail Business School30.11 Экспресс-курс «Разработка и управление СТМ»4Retail Business School30.11 Экспресс-курс «Построение эффективного промо» (тариф специалист)4Retail Business SchoolВсе семинары →ОпросКто сейчас диктует условия на рынке оборудования – продавцы или покупатели? продавцыпокупателине знаю не задумывалсяИсследования и опросы Топ новостей за неделю1.Российские производители бытовой техники начали переносить контрактное производство из Турции в Китай 62815 2.Каждый второй россиянин поддержал законопроект о переводе всех надписей и вывесок на русский язык 47182 3.Оzon увидел угрозу гибели всей бизнес-модели в законопроекте о регулировании маркетплейсов 17697 4.Marks &amp; Spencer увеличил чистую прибыль в первом полугодии на 75% 14753 5.Жители РФ стали тратить на гаджеты больше заемных денег 10131 Топ материалов за неделю1.Интервью:Михаил Гончаров «Теремок»: «Я был уверен что бизнес с блинами состоится» 1485 2.Статья:История Walgreens: как аптечная сеть выиграла от сухого закона и пострадала от пандемии? 1454 3.Кейс:Меньше кредитов и ниже процентные выплаты: опыт «Иль Де Ботэ» в использовании онлайн-инкассации c Moniron 1145 4.Фоторепортаж:Завод Viola: жизнь с новым собственником 650 5.Статья:Экотренды ритейла Восточной и Юго-Восточной Азии 491 ЧитатьСтатьи Новости Интервью Кейсы Мастер-классы СобытияКалендарь Организаторы Выставки Конференции Спецпроекты ОбучениеСеминары Каталог обучающихкомпаний Преподаватели Видео КнигиНовинки Топ 10 Трафик без скидок? Как купить? Бизнес-центрНовости бизнес-центра Каталог торговых сетей Каталог поставщиков РекламаЗаявка на размещение Сквозные баннеры Печатная версия Платный контент Товар на полку Личный кабинетВаши покупки Подписки Читать Статьи Новости Интервью Кейсы Мастер-классы События Календарь Организаторы Выставки Конференции Спецпроекты Обучение Семинары Каталог обучающихкомпаний Преподаватели Видео Книги Новинки Топ 10 Трафик без скидок? Как купить? Бизнес-центр Новости бизнес-центра Каталог торговых сетей Каталог поставщиков Реклама Заявка на размещение Сквозные баннеры Печатная версия Платный контент Товар на полку Личный кабинет Ваши покупки Подписки Читать Статьи Новости Интервью Кейсы Мастер-классы События Календарь Организаторы Выставки Конференции Спецпроекты Обучение Семинары Каталог обучающихкомпаний Преподаватели Видео Книги Новинки Топ 10 Трафик без скидок? Как купить? Бизнес-центр Новости бизнес-центра Каталог торговых сетей Каталог поставщиков Реклама Заявка на размещение Сквозные баннеры Печатная версия Платный контент Товар на полку Личный кабинет Ваши покупки Подписки Ритейлеру:Зарегистрироватьторговую сетьДобавить новость торговой сетиПоставщику:ЗарегистрироватьпоставщикаДобавить новость компанииОбучающим компаниям:Зарегистрироватьобучающую компаниюДобавить семинарОрганизаторам мероприятий:Зарегистрировать организатораДобавить мероприятиеСтаньте частью проекта Retail.ru!ВконтактеTelegramYouTubeRuTubeЯндекс.ДзенОдноклассникиGoogle ПодкастыЯндекс ПодкастыApple PodcastsПодписаться на рассылкуЛюбое использование материалов с сайта Retail.ru включая видео-материалы и материалы с онлайн-мероприятий допускается только при наличии гиперссылки на страницу материала на Retail.ru в первом абзаце публикуемого текста. © 1999–2023Retail.ruО проектеРедакцияПолучайте новости индустрии ритейла первым!Выберите что вам интересно и оставьте emailТематики подписки Ежедневные новостиЕженедельные статьиТоп-материалов месяцаСобытия и мероприятияКнижная рассылкаСеминары по обучениюИмяEmail *ПодписатьсяНажимая на кнопку вы даете согласие на обработку своих персональных данныхЛюбое использование материалов с сайта Retail.ru включая видео-материалы и материалы с онлайн-мероприятий допускается только при наличии гиперссылки на страницу материала на Retail.ru в первом абзаце публикуемого текста. Хотите первыми получать новости индустрии ритейла?Выберите что вам интереснои оставьте ваш emailЕжедневные новостиЕженедельные статьиТоп-материалов месяцаСобытия и мероприятияКнижная рассылкаСеминары по обучениюИмяEmail *Нажимая на кнопку вы даете согласие на обработкуперсональных данныхpublic-4028a98f6b2d809a016b646957040052Мы используем файлы cookie чтобы сделать использование нашего сайта более удобным. Если Вы продолжитеиспользовать сайт мы будем считать что Вас это устраивает</t>
  </si>
  <si>
    <t>www.retail.ru</t>
  </si>
  <si>
    <t>Wildberries, Пункт выдачи товара в Нижнем Новгороде</t>
  </si>
  <si>
    <t>https://2gis.ru/n_novgorod/branches/70000001056016355</t>
  </si>
  <si>
    <t>https://www.facebook.com/wildberries.ru/?locale=ru_RU</t>
  </si>
  <si>
    <t>Contact @wildberriesru_official</t>
  </si>
  <si>
    <t>https://t.me/wildberriesru_official</t>
  </si>
  <si>
    <t>Vsemrabota.ru: Поиск работы по всей России, новые ...</t>
  </si>
  <si>
    <t>https://vsemrabota.ru/</t>
  </si>
  <si>
    <t>Поиск работы по всей России новые вакансии и большая база резюме | Vsemrabota.ruМенеджер пункта выдачи заказов WildberriesПодробнееЗарабатывай в складском комплексе WildberriesПодробнееДоставляй заказы и зарабатывай с WB GoПодробнееДоставляй с WB Drive на личном транспортеПодробнееНовая работа за несколько минутНам нужны близкие по духу люди разделяющие ценности WildberriesРабота в Wildberries — это ежедневный челлендж и непрерывное развитиеВ Wildberries вас ждут интересные задачи работа с ведущими специалистами постоянное повышение квалификации возможность использовать современные технологии и приносить пользу миллионам людей.Frontend разработчикиVue jsReactAngularBackend разработчикиPythonGolangСпециалисты Data ScienceFace recognitionSmart searchRecommendation systemComputer visionРазработчики Баз данныхPostgresqlTarantoolClickhouseSQLiteRedisDevOps разработчикиGitlabK8s (Kubernetes)Unix/LinuxRedisРазработка мобильных приложенийSwift-IOSKotlin-Android2004 – 2023 © Wildberries.ru Все права защищеныИсполнители</t>
  </si>
  <si>
    <t>vsemrabota.ru</t>
  </si>
  <si>
    <t>Wildberries.ru - Интернет-магазин модной одежды и обуви</t>
  </si>
  <si>
    <t>https://irecommend.ru/content/wwwwildberriesru</t>
  </si>
  <si>
    <t xml:space="preserve">  IRecommend.ru | отзывыНайтиДобавить отзывВойти  Красота и здоровьеДетскоеТехникаТуризмЖивотныеКиноКнигиПродуктыПосудаАвтоДругие Популярные отзывыЗа 6 часовЗа 24 часаДе-дреды / d.e. дреды / Безопасные дредыMilitta12.11.202301:061 +12 фото Поняла что без дредов уже не воспринимаю себяВсем привет! О дредах я мечтала давно но вечно не было денег на эту прическу. А потом я вышла на работу деньги появились но в моем педагогическом мире такому самовыражению было не место. В прошлом году в отпуске решилась на афрокосички. Дом страхов ВДНХ МоскваKitt154573012.11.202300:302 +12 фото Дом страхов новый аттракцион на ВДНХ расскажу что там внутри и поделюсь впечатленями.Здравствуйте читатели моего отзыва и любители необычных впечатлений. Наконец то я посетила новый аттракцион на ВДНХ под названием "Дом страхов". Мое внимание он привлек довольно давно открылся он в 2023 году так что на данный момент это новинка. Торт KDV Fun Ban Милая Li12.11.202303:071 +18 фото Самый популярный и известный 🎂 в нашем городе! С огромными кусками бананов внутри 🍌🍰 Расскажу как изменился вкус торта Fun Ban из Ярче за полгода и во сколько раз выросла цена за год... Покупаю этот торт уже 4 или 5 раз с июня 2022 года и вот решила: а почему бы не написать отзыв? Сеть в которой он продаётся известная есть по всей России может пригодятся фотографии и мои впечатления.     Итак расскажу что я думаю про бисквитный торт KDV (КДВ) Fun Ban . Экспресс-кондиционер Gliss kur  Oil nutritive омега-9+ масло марулы для волос нуждающихся в питанииDelovaja11.11.202323:58+1 фото Лучше 1 раз потратить 300 рублей за этот кондиционер чем потратить больше 1000 за несколько никчемных спреев от других марокЗдравствуйте у меня уже были спреи-кондиционеры от глисс кур и это лучшее что я пробовала для волос из данного сегмента. не раз убеждалась на опыте. Шварцкопф давно давно известный мне производитель уходовых средств для волос с юношества точно с ним знакома а это уже точно 20 лет.  LALIQUE  L'Amour LaliqueИрина78711.11.202323:071 +3 фото Роскошный невинно- порочный и притягательный настолько что я заканчиваю 4 флаконПривет мои солнышки! У меня большая коллекция ароматов но этот я повторяю уже четвертый раз. Ода женственности нежная напористость невинное соблазнение на грани пощечины за неосторожный взгляд. Аромат красив он понравится если любите шлейфовые и пудровые ароматы. Раствор для внутривенного и внутримышечного введения Solopharm Кеторолак-СОЛОфарм 30 мг/млНадежда Полезная11.11.202323:282 +15 фото Облегчит боль при эндометриозе и не толькоПриветствую всех! Здесь вы узнаете о моем опыте применения данного лекарственного средства. Всю жизнь у меня были очень болезненные месячные. По 10-ти бальной шкале все 9 баллов. Иногда состояние доходило до того что я чуть не вырубалась от интенсивности болевых ощущений. Тоник The Saem Calamansi pore freshner Юльченка Мо12.11.202303:07 +6 фото Осветлял постакне заживлял полировал - чего только не делал! А в составе компонент от депрессии и бессоницы😳Всем привет!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Платок Palantini Артикул 10992476Степанида112.11.202301:08 2 +10 фото Очень нежный и ласковый платочек планирую дать поносить мужчине.Недавно приобрела себе красивое платье цвет фуксия. И уже в нём побывала на одном мероприятии спела и покрасовалась. Но через месяц я буду выступать в дуэте с бардом и уже загадала что ещё раз покажусь в своём розовом наряде. Дуэт предполагает схожесть в сценических костюмах. Шоколадница Санкт-ПетербургDinka_sale11.11.202323:421 +11 фото Большой выбор интересных блюд. Доброго времени суток всем заглянувшим.   Вобще я давно люблю шоколадницу хотя цены там не самые демократичные. Но все же даже блюда любимые там есть правда время от времени они пропадают из меню. Jennifer Lopez Live LuxeЕвгения 5335312.11.202301:14За флакон 5 за аромат твёрдую двоечкуЭтот парфюм был мне особо не нужен. Мой взгляд зацепился за флакон. Красивый яркий шикарный. И я заказала аромат. Парфюм в тестерной версии без коробки. Аромат на самом деле не впечатлил. Дешёвый неприятный резкий. Такие ароматы были популярны в 90. Эвалар Целлюлоза микрокристаллическая МКЦ Анкир-БВита8512.11.202302:481 Принцип действия прост для похудения: таблетка разбухает в желудке и много не съешь. Оттого и худеешь весьма не плохо.Доброго всем!Вспомнила ещё про один препарат что я пробовала для похудения: целлюлоза МКЦ Эвалар в таблетках.Ну что только я не попробовала для этого самого дела сейчас я бы так не стала делать.Опять же про это всё раньше узнавали в аптеке как банально это не звучит.И тут же не отходя от прилавка … Палетка теней для век MaqPro Кремовые тени PRIMAIRE 10 цветов Fard CremeJustHelly12.11.202301:20+30 фото Поиграем в художника? Незаменимый продукт для тех кто хочет разнообразия в макияжеТени Fard Creme меня манили возможностью использования их как подложек под цветные матовые оттенки создания своих цветов - безграничного творчества. Палетка теней в этой цветовой раскладке - самая универсальная палетка Fard Creme а их у производителя много. Показать ещё отзывыТатуаж губanutkaBLONDI11.11.202321:158 +8 фото Я рада что сделала пудровое напыление губ - очень естественно и удобно. Жаль только что основную мою проблему оно все же не решило Всем привет! Природа не наделила меня красивыми губами и в начале этого года я наконец-то сделала желанную процедуру увеличения. Следующим моим шагом было пудровое напыление и эта процедура была скорее необходимость чем блажь... Уход за ногтями (маникюр) в домашних условияхзмей из Парижа10.11.202323:491 +8 фото Салонный маникюр дома. Как сделать ногти самой себе чтобы они не отличались от работы мастера?Всех приветствую! Захотелось поделиться своей историей о том как делать ногти самостоятельно не хуже чем в салоне. Причин начать делать маникюр самой себе очень много: кто-то хочет сэкономить время или деньги кто-то не доверяет мастерам переживает за стерильность и так далее и тому подобное. Валенки ATLASTRIDE бабуши теплые с сердцемEva_Sia11.11.202318:391 +7 фото Девчачьи "прощай молодость" бабуши или просто валенки. Купила для работы но готова ходить дома💚Крутой подарок на новый год 🌟Девчонки привет   Найти качественную теплую и классную внешне обувь лично для меня тяжело. Я готова часами искать её в интернете пока не найду то что мне действительно нравится. Я люблю не совсем такое как у всех иногда в обуви предпочитаю какую-то изюминку. Брекет-системы / брекеты / ортодонтические скобыTanyushka_11.11.202316:4822 +9 фото Установка брекетов H4 в 38 лет этапы лечения с микровинтами. Будет ли результат и стоит ли устанавливать? (отзыв будет дополняться начало лечения 04.08.2023 гМои зубы были скученными с самого детства крупные зубы маленькие челюсти. Были попытки исправить пластинками но не задалось. Разные причины и страхи не давали мне заняться своими зубами раньше. Чижик Сеть магазинов➵Аристократка11.11.202306:375 +26 фото Была там 3 раза но уже появились товары которые я буду покупать при каждом походе в этот магазин Привет! Недавно у меня на районе открыли новый супермаркет "Чижик" . Этот магазин относится по своему типу к таким как Маяк Светофор Доброцен. Это не то чтобы мои любимые магазины но раз в месяц люблю там побродить. Всегда нахожу что-то нужное и полезное по приятным ценам. Окрашивание волос в технике AirtouchOkeana Z11.11.202317:274 +11 фото И это Airtouch? Мой опыт модного окрашивания процесс  результат как носитсяВсем привет. Сегодня поделюсь с Вами своим мнением стоит ли делать модную технику окрашивания эиртач. У меня есть негативный опыт окрашивания волос в салоне поэтому я чаще всего крашусь сама. Операция при перитонитеевгения300911.11.202309:3821 Перитонит реанимация последствия Добрый день! Ещё совсем недавно.. Трясущимися руками я искала и читала любую информацию и отзывы о людях перенёсших операцию по удалению аппендикса и перитонита и вот сегодня я хочу оставить свой отзыв! Умная колонка Яндекс Станция МиниКристинаТрет10.11.202323:321 +13 фото - И нравится вам сказки читать? Однажды спросила Алиса. После того как папа только что прочитал сыну сказку. Колонка подслушивает? Мое мнение. Всем привет. Колонку Алиса мы покупали после рождения сына. Я обратила внимание что малыш хорошо засыпает под белый шум. А мне совсем не хотелось на время его сна лишаться телефона. И так как родственники дарили деньги. Хотелось купить что-то нужное. А всякие обязательные вещи давно были куплены. Биоревитализация области лица и шеи инъекционнаяkakadyy11.11.202308:3911 +3 фото Самая бесполезная трата денег в моей жизни. Процедура после которой стало только хуже 🤦‍♀️Привет! Сколько живу свои 27 лет столько и соседствую с кругами под глазами: очень тонкая кожа и носослезка передались по наследству вот уж спасибо . Лет с 13 пытаюсь с этим бороться: крема маски ролики мазилки но генетику не обманешь. Синдром (2023 фильм)Света Черепашкина11.11.202313:34 2 +10 фото Синдром   —  фильм  специфический.  Не  понравится  многим  но  смотреть  нужно.Не читайте отзывы и рецензии на фильм "Синдром". Вы обязательно столкнётесь со спойлером так или иначе. Лучше всего смотреть фильм Синдром будучи совершенно неподготовленным зрителем. О чём фильм Синдром? Описание Кинопоиск Общая информация: Мы все разные люди к сожалению несовершенны. Магазин подарков MODI Сеть магазиновУнесенная временем11.11.202319:322 +33 фото Пятерка за лучшую выкладку к Новому году получает Modi! Покажу что стоит купить на подаркиПривет! Новогоднее настроение начинается в ноябре. Многие магазины уже примеряют новогодние украшения получается к сожалению так себе. У меня есть предчувствие что в этом году меня удивят те от кого не ожидаешь. Чудес декорирования. Приложение AppStartolea_9511.11.202322:093 +9 фото Заработок в интернете. Вывожу в сутки больше чем ЗАРАБАТЫВАЮ за 500+ отзывов на Айреке. Когда появляются задания и можно получить больше?Добрый день. Приложение AppStart не первое приложение по скачиванию приложений  где я зарабатываю свои "копеечки". Сейчас все заработанные деньги в интернете в том числе и этот сайт отзывов и это приложение которое приносит мне хоть не большой но доход я откладываю вот сюда . Показать ещё отзывыЛента отзывовКонкорс МинскYulia130712.11.202306:281 +11 фото 🍕🍔Большой выбор блюд стильное оформление и удачное расположение. Фудмолл "Конкорс" – отличное место где можно вкусно поесть дождаться своего поезда приятно провести время с друзьями или просто отдохнуть после шопингаВ прошлом месяце я побывала в прекрасном Минске. Город потрясающий красивый и современный. Приятно наблюдать как с каждым годом он становится лучше. В частности тут открываются новые заведения. Так на верхнем этаже ТРЦ Галилео расположился огромный фудмолл "Конкорс". Средства д/лечения простуды и гриппа ЗАО ФИРН М Гриппферонsherstobitovasvetlana12.11.202306:27+3 фото У нас вызвал аллергиюВсем привет! Когда случается ОРВи у мамы и ребенка то скупаешь все подручные средства. Да и еще эта постоянная реклама по ТВ. Эх лучше бы пользовались старыми и проверенными рецептами бабушек. Наш плачевный опыт использования. Мягкая игрушка Trudi Тюлень Арт. 11776609Marylovely0512.11.202306:26+6 фото Очаровательный тюлень который со мной уже много лет.Здравствуйте. Данную игрушку я увидела в магазине ещё в 16 лет и я в неё влюбилась очень её хотела и мне позже дали на неё денег чему я была очень рада. С тех пор этот плюшевый тюлень со мной по жизни. Крупа манная Пассим "Нежная"veronika koljuchka12.11.202306:25+2 фото Обычная манка чистая. Мягкая Приветствую всех в новом отзыве!   Сегодня у меня манная крупа. Я не потребитель этой крупы. Да готовлю но не ем практически. А вот мама любит так что дома есть всегда. Очередная покупка - это крупа манная "Нежная" от брэнда Пассим. Сорт М то есть она мягкая - из мягких сортов пшеницы. Перец Приправыч Стейк гриль и шашлыкPаltus12.11.202306:24+6 фото Ароматная но ненасыщенная приправа. И мельница которая пропускает цельные специи не перемалывая. Всем привет! Где приобрести Купила сию приправу в обычном супермаркете. Стоит очень недорого что-то типа 180-150 рублей. Внешний вид Стеклянная бутылка в форме песочных часов. На этикетке указана вся информация о приправе - состав производитель. Оливки консервированные Maestro de OlivaDina69Anid12.11.202305:39Гигантские оливки с гигантской косточкой Купили попробовать такие оливки в Магните когда цена сильно снизилась оттого что подходил срок годности. Действительно большие сочные хорошие оливки с большой костью. Лучше бы столько же начинки клали когда делают фаршированные оливки))) Ну а в целом продукт достаточно вкусный. Филодендрон Биркин Наталия.020712.11.202305:28+1 фото Делюсь  опытом за красивым и не прихотливым растением. Никогда с ним не расстанусь. Всем привет!! Филодендрон Биркин такое интересное и красивое комнатное растение с белыми полосатыми узорами на темно-зеленых восковых листьях которые действительно эффектно смотрятся.   Расскажу как за ним я ухаживаю растет это растение у меня два года. Северные острова дельты Невы на теплоходе "KORYUSHKA"  Санкт-ПетербургИрина Фадеенкова12.11.202305:17 1 +36 фото Покатались на комфортабельном теплоходе по Неве. Наблюдали закат 😌Здравствуйте дорогие друзья! Сегодня у меня отзыв на экскурсию "Северные острова дельты Невы на теплоходе" КОРЮШКА" в Питере. В тот день когда мы гуляли по Заячему острову а потом пообедали в ресторане Корюшка - ближе в вечеру мы пошли кататься на теплоходе она проходила с экскурсией. Гормональные препараты Акрихин Комфодерм Кnyura_xitrova12.11.202305:15Кто сталкивался с атопическим дерматитом то знает как важно подобрать свое средство. Комфодерм именно оно.Привет девчата! 3 месяца я пользовалась время от времени кортикостероидом и вот мой вердикт: Комфодерм К для атопичной малышни то что нужно. Я применяю его только тогда когда у ребенка идет обострение. Энергетический напиток  TORNADO "Storm"Weeldees12.11.202305:09Нестареющая классикаПожалуй перед нами самый что ни на есть классический вкус легендарное сочетание химозы и сахара - энергетик Tornado Storm Это тот самый бюджетный терпкий напиток который все любят больше как «лимонад» а не как тонизирующий напиток Эффекта от него вы не дождетесь - только содержание сахара в… НехочухаNarzisse12.11.202305:091 +3 фото Страна Нехочухи - сказка или страшный сон? Сказ о мальчике который не хотел помогать бабушке. Есть ли поучительный момент?Всем привет! Я пересматривала старые советские мультики некоторые повторно а некоторые открывала для себя впервые. И мне вспомнился еще один мультик про Нехочуху которую я точно смотрела было и решила найти его на Ютуб. Соска-пустышка Dr. Brown's Силиконовая ночная Advantage Татьяна_0412.11.202305:00+3 фото Светящаяся в темноте соска…🌌Хм попробуем! Все плюсы и минусы. Где и за сколько купить?Мой старший ребенок сосал соски недолго всего лишь 2-3 месяца после рождения. Когда он стал выплевывать самую первую соску я купила ему две другой фирмы и формы их он тоже не оценил выплюнул. Тогда я взяла соску еще одной фирмы с другой формой снова выплюнул. Нестероидное противовоспалительное средство ЗАО "Медисорб" ИбупрофенPro100Masha12.11.202304:45+1 фото От боли помогал слабо и в желудке вызывал тяжесть а потом стал нормальным. Самый странный Ибупрофен что я встречала. Головная боль никогда не бывает кстати но в тот день когда мне пришлось купить эту упаковку Ибупрофена было прям максимально не вовремя. По дороге в другой город на приём к врачу в автобусе у меня адски разболелась голова. Братья Карамазовы (2008 фильм)Lu.N.12.11.202304:33+35 фото "Братья Карамазовы" - на удивление неплохой фильм 2009 годаЗахотелось посмотреть какую-нибудь экранизацию Достоевского но "Братья Карамазовы" советского производства не хотелось смотреть во-первых я его видела много раз а во-вторых и главное никогда не лежала к этому фильму душа хоть и актёры замечательные и вроде по тексту но всегда было чувство… Вечернее платье Lord Bear Черное мини корсет артикул WB 176480930Negative Carrot12.11.202304:131 +13 фото Винтажно - бандажное платье - корсет. Почти что идеальное маленькое черное преступление ❤  ВСЕМ ПРИВЕТ ДОРОГИЕ ЧИТАТЕЛИ)   В очередной раз поступила как настоящая девочка и потратила деньги на платье. Поводы особо искать то и не пришлось - скоро Новый год а вообще нужен ли повод?)   Столкновение с платьем у меня произошло можно сказать случайно - я выбирала другое платье и тут… Бальзам для волос Royal Samples Cosmetics Питательный бальзам с кератином и ценными  маслами для восстановления сухих поврежденных и ломких волос Евгешка211012.11.202304:00Чудесный бальзам. Моя прелесть Всем доброго времени суток . Не так давно приобрела бальзам для волос от бренда Royal samples после опыта решила написать отзыв. Знакомство с брендом. Честно говоря этот бренд никогда не знала. И не обращала внимания на него. После нашла информацию о нём. ООО «Дом ада»: Особняк Кармайклов (2023 фильм)voina12.11.202303:59+7 фото “Особняк Кармайклов”: Ночь в Доме АдаВсем привет!   О фильме   Сюжет В центре сюжета группа друзей которые решили провести ночь в старинном особняке где по слухам обитают призраки. Однако вскоре они понимают что слухи не врут и им предстоит столкнуться с настоящим злом. Схватка/Heat (1995 фильм)konstt7812.11.202303:57+3 фото Классический полицейский боевик. Кто не смотрел тот много потерял.Это боевик аж 1995 года выпуска. Старый древний бородатый но такой крутой. На первый взгляд кино про бандитов и копов но на самом деле нет - оно про людей. Одни из них плохие (грабят банки убивают своих сограждан) другие хорошие (ловят плохих). Абрек (сериал 2023)Kitt154573012.11.202303:55+12 фото Сериал "Абрек" 2023-Собачьи бои охота на юных девушек-много жестоких сцен. Мои впечатления от этого сериала.Здравствуйте читатели моего отзыва. Недавно вышел довольно необычный сериал под названием "Абрек" в нем всего пять серий. и совершенно необычный сюжет-он тяжел и в психологическом плане и к тому же в нем немало откровенно жестоких моментов. Прочитав официальное описание я заинтересовалась. Аксон ТамбовSt.D12.11.202303:10+6 фото Как я разочаровалась в этом строительном магазине…ВСЕМ ПРИВЕТ!   С момента начала ремонта в маминой квартире мы стали закупаться в АКСОНе. То бонусы соблазнительные то доставка бесплатная в наш отдаленный микрорайон. И в принципе все меня в этом магазине устраивало хоть и небольшие (малоприятные) казусы иногда случались.    Оплата авторам отзывовЧасто задаваемые вопросыСлужба поддержкиПравилаСоглашение о монетизацииПредставителям брендовКопирование разрешается только с письменного разрешения администрации сайта.По вопросам работы сайта пишите на info@irecommend.ru.  Политика конфиденциальностиРеклама на сайтеНовости в VKПолная версияМобильная версия </t>
  </si>
  <si>
    <t>irecommend.ru</t>
  </si>
  <si>
    <t>Wildberries</t>
  </si>
  <si>
    <t>https://www.forbes.ru/profile/327453-vayldberriz</t>
  </si>
  <si>
    <t>валберис</t>
  </si>
  <si>
    <t>Лучшее на Wildberries | Валберис</t>
  </si>
  <si>
    <t>https://vk.com/wildberries_thebest</t>
  </si>
  <si>
    <t>Валберис в Самаре на карте рядом со мной</t>
  </si>
  <si>
    <t>Валберис в Самаре, Яндекс Карты: телефоны, часы работы, фото, входы, отзывы, как проехать на транспорте или пройти пешком.</t>
  </si>
  <si>
    <t>https://yandex.ru/maps/51/samara/search/%D0%92%D0%B0%D0%BB%D0%B1%D0%B5%D1%80%D0%B8%D1%81/</t>
  </si>
  <si>
    <t>Валберис Интернет Магазин – купить в ...</t>
  </si>
  <si>
    <t>Валберис Интернет Магазин в интернет-магазине OZON по низким ценам! Большой выбор, скидки и акции! Рассрочка и быстрая доставка!</t>
  </si>
  <si>
    <t>https://www.ozon.ru/category/valberis-internet-magazin/</t>
  </si>
  <si>
    <t>Валберис интернет магазин сайт — купить по низкой ...</t>
  </si>
  <si>
    <t>Купить Валберис интернет магазин сайт - 2 предложения - низкие цены, быстрая доставка от 1-2 часов, возможность оплаты в рассрочку для части товаров, ...</t>
  </si>
  <si>
    <t>https://market.yandex.ru/search?text=%D0%92%D0%B0%D0%BB%D0%B1%D0%B5%D1%80%D0%B8%D1%81%20%D0%B8%D0%BD%D1%82%D0%B5%D1%80%D0%BD%D0%B5%D1%82%20%D0%BC%D0%B0%D0%B3%D0%B0%D0%B7%D0%B8%D0%BD%20%D1%81%D0%B0%D0%B9%D1%82</t>
  </si>
  <si>
    <t>Валберис в Красноярске на карте</t>
  </si>
  <si>
    <t>Валберис: адреса на карте, ☎ телефоны, сайты, часы работы, ☆ отзывы, фото, ⚑ поиск проезда на городском транспорте и авто.</t>
  </si>
  <si>
    <t>https://2gis.ru/krasnoyarsk/search/%D0%B2%D0%B0%D0%BB%D0%B1%D0%B5%D1%80%D0%B8%D1%81</t>
  </si>
  <si>
    <t>Wildberries — последние новости сегодня на ...</t>
  </si>
  <si>
    <t>https://www.rbc.ru/tags/?tag=Wildberries</t>
  </si>
  <si>
    <t>Скачать Wildberries 5.3.6001 для Android - Trashbox</t>
  </si>
  <si>
    <t>https://trashbox.ru/link/wildberries-android</t>
  </si>
  <si>
    <t>Трешбокс.руДля полноценного использования сайта пожалуйста включите поддержку JavaScriptНовостиСтатьиОбзорыПрограммыИгрыФорумВидеоЗал славыКак стать автором?Как разместить приложение?МенюГаджеты которые скрасят вашу осень: от модного смартфона до часов с двумя дисплеями Умная краска для очистки воздуха и керамика из цедры помело: новейшие достижения российской науки Intel ответит в суде за намеренную продажу процессоров с уязвимостью. Проблема очень масштабнаяApple идёт против ЕС: компания обжалует требование открыть App Store и iMessageСамый мощный на рынке Windows-ноутбуков: появились тесты Intel Core i9-14900HX. Он проиграл Apple M3Apple готовится разрешить установку приложений в обход App Store: намёк на это нашли в коде iOS 17.2Столичных полицейских пересадили на Москвичи: автомобиль получил специальную окраску и видеонаблюдениеАвторы Смуты поведали о системе классов: всего их будет пять но один доступен лишь по предзаказуЕще новостиПодкасты: полвека между пиратами и блогерамиИстория7 VS 127 нм против 12: о чем говорит технологический процессСмартфоны Pixel: чем удивлял каждый гаджетИстория серииЗамена для OLED и LCD?microLEDЧто там в IT: смартфоны с «Авророй» в продаже Steam Deck OLED и гаджет будущего от HumaneТакже в России создали первую отечественную зарядную станцию для электромобилей а OpenAI представила новые ИИ-продукты Не стыдно подарить девушке жене и не только: обзор стильного Xiaomi Civi 3 Китайский гигант решил создать идеальный смартфон для женской половины человечества. И вышло очень даже неплохо 5 функций которые хотелось бы улучшить в Android AutoИнформационно-развлекательная система компании Google может быть гораздо лучше. Нужно лишь приложить немного усилий Обзор Call of Duty: Modern Warfare 3. Когда растянул DLC на целую игру и хочешь за это 70 долларов Сюжетная линия которую можно пройти за вечер с красивой графикой и глупейшим стэлсом по цене ААА-релиза Фильмы недели: лысый Николас Кейдж шедевр Финчера и интригующая научная фантастикаПодборка лучших фильмов и сериалов которые уже можно посмотреть в сети в отличном качестве и с озвучкой Обзор Steam Deck OLED: было хорошо стало лучше (почти за ту же цену) Valve называет новинку законченным вариантом первого поколения Steam Deck и на практике оно действительно так Какой смартфон купить в ноябре 2023: рейтинг лучших моделей на любой бюджетВо всех ценовых категориях есть как откровенно неудачные телефоны с завышенными ценниками так и оптимальные варианты Зачем переплачивать когда хватает смартфонов и до 20 000 рублей? Вот топ-5 лучших на сейчасОтбираем 5 лучших представителей этого ценового сегмента которые совершенно точно не разочаруют после покупки Лучшие сериалы ноября: интерактивный Silent Hill неожиданный Годзилла новый Скотт ПилигримВ этом месяце зрителей ждёт много необычных новинок включая сериал в котором судьба героев будет зависеть от зрителей  Обзор умных очков проецирующих большой экран: что умеют и нужны ли в 2023 Это уже второе поколение в котором поработали над комфортом ношения — и получилось. Но изменений не так уж и много Мощно удобно но жадно: чем журналистов впечатлил и разочаровал iMac на M3Моноблок получил крутое обновление перейдя на чип M3. Остальные моменты Apple почему-то оставила без внимания Удивился но за 15 000 рублей нашёл 5 хороших смартфонов. Вот они честно о плюсах/минусахОтбираем 5 лучших представителей этого ценового сегмента которые совершенно точно не разочаруют после покупки Если вам не нравились MacBook то сейчас вы измените мнение. Обзор MacBook Pro на M3 Max Высочайшая производительность в сочетании с компактностью лёгким весом и автономностью — другие таким похвастаться не могут Теперь хочу себе складной смартфон их уровень вырос. Обзор HONOR Magic V2 Объявляю 2023-й годом складных смартфонов. Именно сейчас они становятся удобными и по-настоящему массовыми Еще материалы			Обсуждаемое сегодня3Xiaomi объявила кому разрешит разблокировать загрузчик в HyperOS. Условия жёсткие14Какой ПК собрать в ноябре 2023: лучшие игровые сборки от 54 000 рублей3Realme 11 Pro+: когда готов конкурировать с топами2Представлен Infinix Smart 8 — невероятно дешёвый смартфон с большой батарейкой2Если вам не нравились MacBook то сейчас вы измените мнение. Обзор MacBook Pro на M3 Max2Зачем переплачивать когда хватает смартфонов и до 20 000 рублей? Вот топ-5 лучших на сейчасИгры дняMatch 3D MasterMmm Fingers 2Панда Игра: Домик В ГородкеDouble MoneyПрограммы дняTAPKMagic FX – спецэффекты и фильтрыПрофессиональный высотомерАнглийские Фразовые ГлаголыО проектеВакансии5Зал славыБлагодарностиПомощьКонтактыПравила сайтаЖалоба на файлПравообладателям и DMCAПолитика конфиденциальности			Движок версии 13.0.3© 2006-2023 А. БобылевВерсия для ПК</t>
  </si>
  <si>
    <t>trashbox.ru</t>
  </si>
  <si>
    <t>Валберис-нет. - Wildberries.ru</t>
  </si>
  <si>
    <t>8 сент. 2023 г. —</t>
  </si>
  <si>
    <t>https://irecommend.ru/content/valberis-net</t>
  </si>
  <si>
    <t>WB Job - Приложения в Google Play</t>
  </si>
  <si>
    <t>https://play.google.com/store/apps/details?id=ru.wildberries.team&amp;hl=ru&amp;gl=US</t>
  </si>
  <si>
    <t>валберис |646.5M просм. Смотрите новые видео в TikTok (тикток) на тему #валберис.</t>
  </si>
  <si>
    <t>https://www.tiktok.com/tag/%D0%B2%D0%B0%D0%BB%D0%B1%D0%B5%D1%80%D0%B8%D1%81</t>
  </si>
  <si>
    <t>Skip to content feedTikTokUpload Log inFor YouFollowingExploreLIVELog in to follow creators like videos and view comments.Log inCreate effectsAboutNewsroomContactCareersTikTok for GoodAdvertiseDevelopersTransparencyTikTok RewardsTikTok EmbedsHelpSafetyTermsPrivacyCreator PortalCommunity GuidelinesSee more© 2023 TikTok</t>
  </si>
  <si>
    <t>www.tiktok.com</t>
  </si>
  <si>
    <t>valberis.ru</t>
  </si>
  <si>
    <t>https://valberis.ru/</t>
  </si>
  <si>
    <t>Валберис</t>
  </si>
  <si>
    <t>https://m.facebook.com/p/%D0%92%D0%B0%D0%BB%D0%B1%D0%B5%D1%80%D0%B8%D1%81-100077566393032/</t>
  </si>
  <si>
    <t>m.facebook.com</t>
  </si>
  <si>
    <t>Валберис, Автодорожный район, Якутск на карте</t>
  </si>
  <si>
    <t>https://2gis.ru/yakutsk/search/%D0%92%D0%B0%D0%BB%D0%B1%D0%B5%D1%80%D0%B8%D1%81/filters/district_id%3D70030076313420542</t>
  </si>
  <si>
    <t>Валберис интернет-магазин купить холодильник</t>
  </si>
  <si>
    <t>Купить валберис интернет-магазин купить холодильник - 717 предложений - низкие цены, быстрая доставка от 1-2 часов, возможность оплаты в рассрочку для части ...</t>
  </si>
  <si>
    <t>https://market.yandex.ru/search?text=%D0%B2%D0%B0%D0%BB%D0%B1%D0%B5%D1%80%D0%B8%D1%81%20%D0%B8%D0%BD%D1%82%D0%B5%D1%80%D0%BD%D0%B5%D1%82-%D0%BC%D0%B0%D0%B3%D0%B0%D0%B7%D0%B8%D0%BD%20%D0%BA%D1%83%D0%BF%D0%B8%D1%82%D1%8C%20%D1%85%D0%BE%D0%BB%D0%BE%D0%B4%D0%B8%D0%BB%D1%8C%D0%BD%D0%B8%D0%BA</t>
  </si>
  <si>
    <t>Идеи на тему «Валберис» (900+) в 2023 г</t>
  </si>
  <si>
    <t>06.04.2023 - Просмотрите доску «Валберис» пользователя Алексей в Pinterest. Посмотрите больше идей на темы «инфографика дизайн, инфографика, дизайн».</t>
  </si>
  <si>
    <t>https://ru.pinterest.com/shitikovav17/%D0%B2%D0%B0%D0%BB%D0%B1%D0%B5%D1%80%D0%B8%D1%81/</t>
  </si>
  <si>
    <t>Pinterest – ПинтерестOh no! Pinterest doesn't work unless you turn on JavaScript.</t>
  </si>
  <si>
    <t>ru.pinterest.com</t>
  </si>
  <si>
    <t>вк</t>
  </si>
  <si>
    <t>ВКонтакте | Добро пожаловать</t>
  </si>
  <si>
    <t>Мы хотим, чтобы друзья, однокурсники, одноклассники, соседи и коллеги всегда оставались в контакте ... Войти по телефону или почте · Зарегистрироваться.</t>
  </si>
  <si>
    <t>https://m.vk.com/</t>
  </si>
  <si>
    <t>m.vk.com</t>
  </si>
  <si>
    <t>ВКонтакте: музыка, видео, чат</t>
  </si>
  <si>
    <t>https://play.google.com/store/apps/details?id=com.vkontakte.android&amp;hl=ru&amp;gl=US</t>
  </si>
  <si>
    <t>ВКонтакте</t>
  </si>
  <si>
    <t>«ВКонта́кте» (международное название — VK) — российская социальная сеть со штаб-квартирой в Санкт-Петербурге. Сайт доступен на 82 языках; особенно популярен ...</t>
  </si>
  <si>
    <t>https://ru.wikipedia.org/wiki/%D0%92%D0%9A%D0%BE%D0%BD%D1%82%D0%B0%D0%BA%D1%82%D0%B5</t>
  </si>
  <si>
    <t>VK.com: приложения для Android в Google Play</t>
  </si>
  <si>
    <t>https://play.google.com/store/apps/developer?id=VK.com&amp;hl=ru&amp;gl=US</t>
  </si>
  <si>
    <t>ВКонтакте: сообщения, видеочат - App Store</t>
  </si>
  <si>
    <t>https://apps.apple.com/ru/app/%D0%B2%D0%BA%D0%BE%D0%BD%D1%82%D0%B0%D0%BA%D1%82%D0%B5-%D1%81%D0%BE%D0%BE%D0%B1%D1%89%D0%B5%D0%BD%D0%B8%D1%8F-%D0%B2%D0%B8%D0%B4%D0%B5%D0%BE%D1%87%D0%B0%D1%82/id564177498</t>
  </si>
  <si>
    <t>VK Мессенджер</t>
  </si>
  <si>
    <t>VK Мессенджер. Используйте VK ID, чтобы начать общение. Войти. Войти в Сферум.</t>
  </si>
  <si>
    <t>https://web.vk.me/</t>
  </si>
  <si>
    <t>web.vk.me</t>
  </si>
  <si>
    <t>VK (значения)</t>
  </si>
  <si>
    <t>VK — международное название российской социальной сети «ВКонтакте». VK — российская технологическая корпорация, до 12 октября 2021 года — Mail.ru Group.</t>
  </si>
  <si>
    <t>https://ru.wikipedia.org/wiki/VK_(%D0%B7%D0%BD%D0%B0%D1%87%D0%B5%D0%BD%D0%B8%D1%8F)</t>
  </si>
  <si>
    <t>Купить акции ВК (VKCO) 📈: стоимость сегодня, прогноз ...</t>
  </si>
  <si>
    <t>Курс акций ВК (VKCO) на сегодня. Цена на покупку и продажу ценных бумаг (VKCO) физическим лицам онлайн. Котировки ВК на графиках , их динамика, ...</t>
  </si>
  <si>
    <t>https://www.tinkoff.ru/invest/stocks/VKCO/</t>
  </si>
  <si>
    <t>Тинькофф — Кредитные и дебетовые карты кредиты для бизнеса и физических лиц      Для корректной работы сервисов банка необходимо включить поддержку JavaScriptЧастным лицамБанкСервисы для жизниВыпустить картуКредитные картыДебетовые картыДетская картаПодписка ProПодключить симкуЗаказать симкуЭлектронная симкаТарифыПеренести номерКрасивые номераБесплатные услугиРоумингПомощьВзять деньгиНаличными на любые целиПод залог недвижимостиНа машинуНа недвижимостьРефинансировать кредитНа образованиеПод залог автоНакопитьВкладыНакопительный счетИнвестироватьБрокерский счетИИСКаталог бумагПульсОбзоры рынкаОбучение для инвесторовТерминалИнвесткопилкаОплатить частямиРассрочкаДолямиКарта рассрочкиОформить страховкуОСАГОКаскоПутешествияИпотекаКвартираЗдоровьеПомощь на дорогахГородДоставка продуктовКиноТеатрыКонцертыСалоны красотыРестораныБлогДля путешествийАвиабилетыОтелиТурыЖ/д билетыКарта для путешественниковСтраховка для поездокАвтовладельцамТопливоКупить автоКаскоОСАГОПомощь при ДТПКарта для автомобилистовАвтокредитБизнесуМалый бизнесБольшой бизнесВсё для малого бизнесаРасчетный счетРасчетный счет ИПРасчетный счет ОООТарифыБизнес-картаВалютный счетДепозиты и овернайтыРегистрация бизнесаРегистрация ИПРегистрация ОООБухгалтерияЗарплатный проектКредитыДля ИПДля ООООборотный кредитОвердрафтКредитные линииПрием платежейТорговый эквайрингИнтернет-эквайрингПрием платежей по QRОнлайн-кассыРассрочкиДолямиTinkoff PayБонусы для бизнесаСтать партнеромОтраслевые решенияРозницаМаркетплейсыСеллерКонструктор сайтовГосзакупкиЭлектронная подписьПроверка контрагентовВсё для большого бизнесаРасчетный счетБизнес-картаСопровождение по 115-ФЗНоминальный счетВЭДОтраслевые решенияМаркетплейсы и eCommerceРозницаКредитыЗарплатный проектВыплаты сотрудникамВыплаты самозанятымВыплаты физлицамВыплаты таксопаркамВыплаты ломбардамВыплаты МФОГосзакупкиБрокерский счетПрием платежейТорговый эквайрингИнтернет-эквайрингPOS-кредитованиеПрием платежей по QRTinkoff PayБезопасная сделкаБизнес-решенияТинькофф ОтзывыСтать партнеромДепозиты и овернайтыБонусы для бизнесаПроверка контрагентовПремиумTinkoff PremiumВыпустить картуПомощь с инвестициямиПремиум-сервисы для жизниПомощьTinkoff PrivateПерсональная поддержкаПомощь с инвестициямиКонсультация по налогамPrivate-сервисы для жизниСообщество Private TalksЕщеПолезноеКурсы валютБанкоматы ТинькоффTinkoff PayПлатежиКонтактыПриложения ТинькоффПомощьСпрашивают сейчасЖизненные ситуацииВопросы по продуктамРабота в ТинькоффРабота в ИТБизнес и процессыРабота с клиентамиМерч ТинькоффОдеждаАксессуарыРазвлеченияОтзывыОбзорОтзывы о компанияхОтзывы о ТинькоффБлогЧто новогоКак все устроеноИстории клиентовЛичный кабинетИнтернет-банкИнвестицииТинькофф МобайлТинькофф БизнесОформите вклад в Тинькофф с доходностью до 15% годовыхПодробнееДебетовая карта которую рекомендуют ваши друзьяКэшбэк рублями до 30% до 5% годовых ежемесячно переводы без комиссииОформить картуДебетовые картыКредитные картыКредитыПремиумВкладыИнвестицииСим-картаСтрахованиеПутешествияБизнесРекомендуемые продуктыКредитная карта с бесплатным обслуживаниемОформите Тинькофф Платинум до 30 ноября и не платите за обслуживаниеОформить картуТинькофф ИнвестицииПонятные тарифы и удобное приложениеСтать инвесторомСим-карта ТинькоффПопробуйте бесплатно: телефонный секретарь Олег 600 минут 20 ГБПодробнееВкладыОткройте вклад с пополнением и частичным изъятием. Каждый месяц получайте проценты на карту или вкладОткрыть вкладСтрахование ОСАГОЭлектронный полис с онлайн-калькулятором и скидками (КБМ) за безаварийностьРассчитать стоимостьВсе продуктыНам доверяют более 38 млн клиентовТинькофф обладатель пяти наград премии «Банк года» Банки.руТинькофф был признан лучшим в следующих категориях: «Забота о клиенте» «Digital-банк года» «Инвестиционная компания года» «Инвестиционный продукт года» «Народный рейтинг страховых компаний»ПодробнееСервисы и услугиКурсы валютПеревод между своими счетами оплата услуг и снятие наличных в сервисах ТинькоффСмотретьСнятие наличныхВ банкоматах Тинькофф без комиссии. И без карты если у вас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кэшбэкаПопробоватьМобильное приложение ТинькоффПроверяйте баланс оплачивайте услуги получайте помощь в чате 24/7Актуально сейчасРазыгрываем до 3 000 000 ₽ на погашение ипотекиОформите ипотечную страховку в Тинькофф со скидкой 10% до 31 декабря и участвуйте в акцииПодробнееПовысили ставки по вкладам в рублях до 141%Как получить максимальную ставкуЧитатьКак кэшбэк дня помогает экономитьКлиенты Тинькофф рассказывают как купили «Нутеллу» айфон и вернули до 100% тратЧитать1 000 000 ₽ на путешествие мечтыОформите туристическую страховку в Тинькофф и участвуйте в розыгрышеЧитатьДругие статьи и новости — в блоге ТинькоффРабота и развитиеВакансииВ вашем или любом другом городеСмотреть вакансииТинькофф ОбразованиеУчебные курсы и оплачиваемые программы развитияПодробнееКак на самом деле пользоваться кредиткойТинькофф ЖурналЧитатьБизнес-секретыМедиа о том как вести бизнес в РоссииУзнать большеДополнительноПомощьОтвечаем на вопросы по всем продуктамПодробнееТинькофф ОтзывыВыбирайте продукты Тинькофф магазины рестораны сервисы и бренды на основе реальных отзывовПодробнееКредитные каникулы в 2023 годуГорячая линия по предоставлению каникул для участников СВО и членов их семей: 8 800 555-89-77ПодробнееПоиск по ответам на вопросыПоискПоискКак написать в чатКак скачать приложениеКак войти в личный кабинетПереводыОтменить переводЛимит переводовОспорить списаниеПолучить справку или выписку8 800 333-33-33Для звонков по РоссииБанкКредитные картыДебетовые картыПремиумКредит наличнымиРефинансированиеАвтокредитВкладыНакопительный счетПлатежиПодписка ProTinkoff PrivateДолямиИпотекаСтрахованиеОСАГОКаскоКаско по подпискеПутешествия за границуПутешествия по РоссииИпотекаКвартираЗдоровьеБлогПутешествияАвиабилетыОтелиТурыЖ/д билетыTinkoff SoftwareРечевая аналитикаРаспознавание и синтез речиМалый бизнесРасчетный счетРегистрация бизнесаЭквайрингКредитыГосзакупкиПродажиБухгалтерияБизнес-картаДепозитыРассрочкиПроверка контрагентовБонусы для бизнесаКЭДОГородДоставка продуктовРестораныКиноТеатрыКонцертыВыставкиСалоны красотыТопливоАвтомобилиБлогМерч ТинькоффБазовая коллекцияСпортивная коллекцияКоллекция ПульсКоллекция JuniorФинансовый блокнот Т-ЖМонополия ТинькоффКоллекция Тинькофф ГородБольшой бизнесРасчетный счетСервисы для выплатТорговый эквайрингКредитыДепозитыВЭДГосзакупкиБизнес-решенияTinkoff DataTinkoff IDТинькофф КассаИнтернет-эквайрингОблачные кассыВыставление счетовБезналичные чаевыеВыплаты на картыОтраслевые решенияОплата по QR-кодуБезопасная сделкаПолезноеTinkoff PayВход с Tinkoff IDИдентификация с Tinkoff IDПлатежиПереводы на картуОтзывыБлогПомощьИнвестицииБрокерский счетИИСПремиумАкцииВалютыФондыОблигацииФьючерсыПульсСтратегииТерминалАкадемия инвестицийСим-картаeSIMТарифыПеренос номераРоумингКрасивые номераЗапись звонковВиртуальный номерСекретарь ОлегКто звонилЗащитим или вернем деньгиКарьераРабота в ITБизнес и процессыРабота с клиентамиО банкеНовостиБлогРаботаТочки пополненияБанкоматыКурсы валютКонтактыПомощьБезопасностьFor investorsЦентр раскрытия корпоративной информацииИнформация о процентных ставках по договорам банковского вклада с физическими лицамиРаскрытие информации профессиональным участником рынка ценных бумагСамый большой онлайн-банк в миреНовости об изменении условий продуктов и сервисов БанкаКарта сайтаОграничения Дистанционного обслуживанияУдаленная идентификацияДекларация соответствия условий труда государственным нормативным требованиям охраны труда АО «Тинькофф Банк»Информация о продолжительности операционного времениАвтомобили HavalСообщить о коррупцииКарта «Тинькофф Платинум» от АО «Тинькофф Банк» — победитель в номинации «Лучшая кредитная карта» по результатам онлайн-голосования премии «Сравни» сервиса Сравни.ру в 2023 г. среди 3-х кредитных организаций по параметрам: а) большой льготный период для пользователей карты б) оперативный сервис и коммуникации с клиентом в) удобное получение карты.АО «Тинькофф Банк» использует файлы «cookie» с целью персонализации сервисов и повышения удобства пользования веб-сайтом. «Cookie» представляют собой небольшие файлы содержащие информацию о предыдущих посещениях веб-сайта. Если вы не хотите использовать файлы «cookie» измените настройки браузера.© 2006—2023 АО «Тинькофф Банк» официальный сайт универсальная лицензия ЦБ РФ № 2673English</t>
  </si>
  <si>
    <t>www.tinkoff.ru</t>
  </si>
  <si>
    <t>VK Почта - Mail.ru</t>
  </si>
  <si>
    <t>https://vk.mail.ru/</t>
  </si>
  <si>
    <t>Перенаправление</t>
  </si>
  <si>
    <t>vk.mail.ru</t>
  </si>
  <si>
    <t>www.m.vk.ru/</t>
  </si>
  <si>
    <t>http://www.m.vk.ru/</t>
  </si>
  <si>
    <t>Выключатели кнопочные ВК-30</t>
  </si>
  <si>
    <t>Выключатели кнопочные DEKraft серии ВК-30 предназначены для коммутации электрических цепей и индикации состояния электрических цепей.</t>
  </si>
  <si>
    <t>https://www.dek.ru/vykljuchateli-knopochnye-vk-30</t>
  </si>
  <si>
    <t>Низковольтное оборудование DEKraft    Продолжая просмотр сайта www.dek.ru я соглашаюсь с использованием файлов cookie владельцем сайта в соответствии с «Политикой в отношении файлов cookie»        в том числе на передачу данных указанных в Политике третьим лицам - статистическим службам сети Интернет.ОКВсе результаты поискаВся Россия:                8 (800)  200 64 46                Москва:                +7 (495) 777 99 88О DEKraftКаталогУстройства компенсации реактивной мощностиРегуляторы реактивной мощности КР-101Косинусные конденсаторы КС-101Контакторы конденсаторные КМ-102-САРКосинусные конденсаторы КС-102Регуляторы реактивной мощности КР-102Антирезонансные дроссели ДР-101 ДР-102СветотехникаПромышленное освещениеОсвещение ЖКХОфисное освещениеУправление освещениемМодульное оборудованиеАвтоматические выключатели ВА-105 10кААвтоматические выключатели ВА-105 DC 6кА / 10кААксессуары для ВА-105 ВА-105 DC УЗДП-103Автоматические выключатели без теплозащиты серии ВА-103M 6кААвтоматические выключатели серии ВА-103 NEW 1P+N 4.5кААвтоматические выключатели ВА-103 6кААвтоматические выключатели серии ВА-103 NEW 6кАДифференциальные автоматы ДИФ-103 1-фазные 4.5кAДифференциальные автоматы ДИФ-103 1- 3-фазные 6кAВыключатели дифференциального тока серии УЗО-03 NEW 6кАДифференциальные автоматы ДИФ-103 NEW 4.5кААвтоматические выключатели ВА-101 4.5кААксессуары для ВА-101 ВА-103 ВА-103М ДИФ-101 ДИФ-101S ДИФ-102 ДИФ-103 4.5кА NEWАвтоматические выключатели ВА-201 10кАОграничители перенапряжений ОП-101Модульные контакторы МК-103Сигнальные лампы ЛС-101Розетки модульные РМ-102Устройства защиты от дугового пробоя  УЗДП-103Выключатели-разъединители серии ВН-105Трехпозиционные выключатели-разъединители серии ВР-103Выключатели дифференциального тока УЗО-03 6кАДифференциальные автоматы селективные ДИФ-101 S 1- 3-фазные 6кАДифференциальные автоматы ДИФ-101 1- 3-фазные 4.5кА Дифференциальные автоматы ДИФ-102 1-фазные 4.5кАДифференциальные модули ДМ-103 для автоматических выключателей ВА-103Выключатели-разъединители ВН-103Выключатели-разъединители ВН-102Предохранители цилиндрические ПЦ-102 100кАСиловое и коммутационное оборудованиеАвтоматические  выключатели в литом  корпусе серии ВА-330А NEWАвтоматический ввод резерва АВР-701Выключатели-разъединители серии ВР-101Силовые автоматические выключатели ВА-300LАвтоматический ввод резерва серии АВР-300Контакторы КМ-102Автоматические выключатели защиты двигателя серии ВА-430Автоматические выключатели в литом корпусе серии ВА-330ЕАвтоматические выключатели в литом корпусе ВА-300 NEWРеле промежуточные серии ПР-102 NEWПускатели серии ПМ-102Воздушные автоматические выключатели серии ВА-750Воздушные автоматические выключатели серии ВА-730 NEWАвтоматические выключатели в литом корпусе серии ВА-300 1Р/2РПреобразователи частоты ПЧ-510 (DEKV060)Соединители электрические промышленного назначения 2.0Предохранители- выключатели- разъединители серии ПВР-102Предохранители-выключатели-разъединители серии ПВР-101Автоматические выключатели ВА-730Силовые автоматические выключатели ВА-330 AСиловые автоматические выключатели ВА-300Контакторы КМ-103Предохранители ножевые ПН-101Устройства управления и сигнализацииРеле промежуточные ПР-102Контрольно-измерительные реле РК-101Промышленные разъемыКорпуса электрощитов и аксессуарыКорпуса модульные пластиковые серий ЩРН-П и ЩРВ-ПКорпуса щитов распределительные навесные/ встраиваемые (ЩРН/ЩРВ)Щиты распределительные этажные (ЩЭ)Щиты с монтажной панелью (ЩМП)Щиты распределительные навесные с монтажной панелью (ЩРНМ)Щиты распределительные учетные навесные / встраиваемые (ЩРУН ЩРУВ)Корпуса вводно-распределительных устройств сборно-разборные (КВРУ)Корпуса вводно-распределительных устройств цельносварные (КВРУ ЦС)Корпуса модульные пластиковые (боксы) серии ЩРН-П для автоматических выключателейФильтрующие вентиляторы и решетки СВ-301Корпуса модульные распределительные серий ЩРН-П ЩРВ-П ЩРВ-МКорпуса вводно-распределительных устройств сборно-разборные (КВРУ СР new)Шкафы распределительные напольные серии Базальт (ШРН Базальт)Нагреватели резистивные  НР-301Системы контроля  микроклимата СКМ-301Концевые выключатели серий КВ-302 КВ-303Электрощитовые аксессуарыИзмерительное оборудованиеТрансформаторы тока ТОП-066 ТШП-066Аналоговые измерительные приборы АМ ВМЦифровые измерительные приборы АМ ВМ МТСкачатьВебинарыГарантияГде купитьЗадать вопросКонтакты       КаталогУстройства компенсации реактивной мощностиСветотехникаМодульное оборудованиеСиловое и коммутационное оборудованиеКорпуса электрощитов и аксессуарыИзмерительное оборудование Устройства компенсации реактивной мощности Регуляторы реактивной мощности КР-101 Косинусные конденсаторы КС-101 Контакторы конденсаторные КМ-102-САР Косинусные конденсаторы КС-102 Регуляторы реактивной мощности КР-102 Антирезонансные дроссели ДР-101 ДР-102 Светотехника Промышленное освещение Освещение ЖКХ Офисное освещение Управление освещением Модульное оборудование Автоматические выключатели ВА-105 10кА Автоматические выключатели ВА-105 DC 6кА / 10кА Аксессуары для ВА-105 ВА-105 DC УЗДП-103 Автоматические выключатели без теплозащиты серии ВА-103M 6кА Автоматические выключатели серии ВА-103 NEW 1P+N 4.5кА Автоматические выключатели ВА-103 6кА Автоматические выключатели серии ВА-103 NEW 6кА Дифференциальные автоматы ДИФ-103 1-фазные 4.5кA Дифференциальные автоматы ДИФ-103 1- 3-фазные 6кA Выключатели дифференциального тока серии УЗО-03 NEW 6кА Дифференциальные автоматы ДИФ-103 NEW 4.5кА Автоматические выключатели ВА-101 4.5кА Аксессуары для ВА-101 ВА-103 ВА-103М ДИФ-101 ДИФ-101S ДИФ-102 ДИФ-103 4.5кА NEW Автоматические выключатели ВА-201 10кА Ограничители перенапряжений ОП-101 Модульные контакторы МК-103 Сигнальные лампы ЛС-101 Розетки модульные РМ-102 Устройства защиты от дугового пробоя  УЗДП-103 Выключатели-разъединители серии ВН-105 Трехпозиционные выключатели-разъединители серии ВР-103 Выключатели дифференциального тока УЗО-03 6кА Дифференциальные автоматы селективные ДИФ-101 S 1- 3-фазные 6кА Дифференциальные автоматы ДИФ-101 1- 3-фазные 4.5кА  Дифференциальные автоматы ДИФ-102 1-фазные 4.5кА Дифференциальные модули ДМ-103 для автоматических выключателей ВА-103 Выключатели-разъединители ВН-103 Выключатели-разъединители ВН-102 Предохранители цилиндрические ПЦ-102 100кА Силовое и коммутационное оборудование Автоматические  выключатели в литом  корпусе серии ВА-330А NEW Автоматический ввод резерва АВР-701 Выключатели-разъединители серии ВР-101 Силовые автоматические выключатели ВА-300L Автоматический ввод резерва серии АВР-300 Контакторы КМ-102 Автоматические выключатели защиты двигателя серии ВА-430 Автоматические выключатели в литом корпусе серии ВА-330Е Автоматические выключатели в литом корпусе ВА-300 NEW Реле промежуточные серии ПР-102 NEW Пускатели серии ПМ-102 Воздушные автоматические выключатели серии ВА-750 Воздушные автоматические выключатели серии ВА-730 NEW Автоматические выключатели в литом корпусе серии ВА-300 1Р/2Р Преобразователи частоты ПЧ-510 (DEKV060) Соединители электрические промышленного назначения 2.0 Предохранители- выключатели- разъединители серии ПВР-102 Предохранители-выключатели-разъединители серии ПВР-101 Автоматические выключатели ВА-730 Силовые автоматические выключатели ВА-330 A Силовые автоматические выключатели ВА-300 Контакторы КМ-103 Предохранители ножевые ПН-101 Устройства управления и сигнализации Реле промежуточные ПР-102 Контрольно-измерительные реле РК-101 Промышленные разъемы Корпуса электрощитов и аксессуары Корпуса модульные пластиковые серий ЩРН-П и ЩРВ-П Корпуса щитов распределительные навесные/ встраиваемые (ЩРН/ЩРВ) Щиты распределительные этажные (ЩЭ) Щиты с монтажной панелью (ЩМП) Щиты распределительные навесные с монтажной панелью (ЩРНМ) Щиты распределительные учетные навесные / встраиваемые (ЩРУН ЩРУВ) Корпуса вводно-распределительных устройств сборно-разборные (КВРУ) Корпуса вводно-распределительных устройств цельносварные (КВРУ ЦС) Корпуса модульные пластиковые (боксы) серии ЩРН-П для автоматических выключателей Фильтрующие вентиляторы и решетки СВ-301 Корпуса модульные распределительные серий ЩРН-П ЩРВ-П ЩРВ-М Корпуса вводно-распределительных устройств сборно-разборные (КВРУ СР new) Шкафы распределительные напольные серии Базальт (ШРН Базальт) Нагреватели резистивные  НР-301 Системы контроля  микроклимата СКМ-301 Концевые выключатели серий КВ-302 КВ-303 Электрощитовые аксессуары Измерительное оборудование Трансформаторы тока ТОП-066 ТШП-066 Аналоговые измерительные приборы АМ ВМ Цифровые измерительные приборы АМ ВМ МТ  Типовые  решения   Конфигуратор  оборудования  Преимущества  Огромный  ассортимент   100%-ная  безопасность  продукции   Сертификаты  соответствия  ГОСТ Р   Работаем по всем  регионам РФ Новости   Читать все новостиНовогодние праздники в Китае с 02.02.2024 по 16.02.2024  Уважаемые партнеры! Информируем Вас что в связи с новогодними праздниками в Китае с 02.02.2024 по 1 ...03.11.2023Новинка модульного оборудования DEKraft – выключатели-разъединители серии ВН-105   Уважаемые партнеры! Торговая марка DEKraft расширяет ассортимент оборудования конечного распредел ...06.09.2023Новинка модульного оборудования DEKraft – трёхпозиционные выключатели-разъединители серии ВР-103   Уважаемые партнеры! Торговая марка DEKraft расширяет ассортимент оборудования конечного распредел ...20.07.2023Брошюра модульное оборудование DEKraft 2023 издание 5  Уважаемые партнеры! Уведомляем Вас об обновлении брошюры модульного оборудования DEKraft 2023.Это 5 из ...29.05.2023Автоматические выключатели серий ВА-103 ВА-105: получен сертификат соответствия ЕАЭС ГОСТ ТР ТС 004/2011 по стандарту ГОСТ IEC 60947-2 (IEC 60947-2)  Уважаемые партнеры! Информируем Вас об успешном прохождении испытаний и получении сертификата ЕАЭС ...28.02.2023Запуск аксессуаров к контакторам серии КМ-102  Уважаемые коллеги Рада сообщить о расширении ассортимента контакторов серии КМ-102 аппаратами с дв ...27.02.2023 Copyright © 2000-2023. DEKraft                Все права защищены.Создание электронных каталогов – Арт Проект                    Вся Россия:            8 (800)  200 64 46            Москва:            +7 (495) 777 99 88</t>
  </si>
  <si>
    <t>www.dek.ru</t>
  </si>
  <si>
    <t>Подписка VK Combo</t>
  </si>
  <si>
    <t>VK Combo – это подписка на скидки и спецпредложения в популярных сервисах. Музыка, онлайн-кинотеатр, облачное хранилище, скидки на образование и книги и ...</t>
  </si>
  <si>
    <t>https://vkcombo.ru/</t>
  </si>
  <si>
    <t>Подписка VK Combo                          Ввести промокод                                            VK Музыка                                   Подписка VK Combo больше недоступна для покупки                      Ваша подписка продолжит работать как обычно                     Вы можете управлять ей в личном кабинете:          Пользоваться всеми скидками Менять способ оплаты Смотреть дату окончания          Остались вопросы?                 Да парочка вопросов есть         Как оформить подписку?  Подписка VK Combo недоступна для покупки но вы можете оформить подписку на VK Музыку перейдя по ссылке.Что такое VK Combo?  VK Combo — это подписка которая позволяет слушать VK Музыку без рекламы а также получать скидки на товары и услуги партнёров: образование игры в облаке и многое другое.VK Combo стоит 149 рублей в месяц.Подписка продлевается автоматически?  Да вам не придётся делать это вручную. Каждый месяц в день оплаты мы списываем деньги с привязанной карты. Если не получается с первого раза пишем на почту и пробуем снова — за минуту до окончания подписки и ещё в течение семи следующих дней.Бывает что оплата всё равно не проходит. Например когда карта заблокирована или на ней нет средств. В этот момент мы сообщим о проблеме — и вы сможете продлить подписку VK Combo самостоятельно.VK Combo действует на всей территории РФ?  Оформить VK Combo можно из любой точки страны. Но обратите внимание что некоторые сервисы входящие в подписку работают не во всех городах России.Можно ли передавать друзьям промокоды полученные в VK Combo?  Активировать промокод можно только один раз. Если у вас не получается его применить (например вы уже пользуетесь сервисом а акция только для новых пользователей) то вы можете поделиться им с друзьями.Можно ли изменить платёжную карту?  Изменить карту можно в личном кабинете. Перейдите в раздел «Подписки и платежи» нажмите на кнопку «•••» рядом с заголовком «Моя карта» → пункт «Отменить подписку».Если вы купили подписку через мобильное приложение ВКонтакте то управлять ей можно в настройках телефона:• на Android: Google Play → «Меню» → «Подписки» → VK;• на iOS: «Учётная запись Apple ID» → «Подписки» → VK.Что делать если не удается оплатить музыкальную подписку или VK Combo?  Чтобы оплатить подписку VK Combo:Авторизуйтесь на сайте vkcombo.ru.Откройте свой профиль → перейдите во вкладку Подписки и платежи → привяжите банковскую карту.Платёж спишется автоматически когда оплаченный период завершится.Чтобы оплатить подписку на музыку:Перейдите по ссылке.Привяжите банковскую карту.Подписка будет действовать до конца оплаченного срока а в следующий раз деньги спишутся уже с карты.Для iOS-устройств чтобы избежать двойных списаний в будущем рекомендуем отвязать карту в App Store для VK Combo. Для этого откройте настройки iPhone → учётная запись Apple ID (ваши имя и фамилия) → Подписки → VK Combo/Музыка без ограничений → Отменить подписку.Как отменить автоматическое продление подписки?  Перейдите в личный кабинет VK Combo и откройте раздел «Подписки и платежи». Нажмите кнопку «•••» а затем выберите пункт «Отменить подписку».Если вы купили подписку через мобильное приложение ВКонтакте отменить её можно в настройках телефона:• на Android: Google Play → «Меню» → «Подписки» → VK;• на iOS: «Учётная запись Apple ID» → «Подписки» → VK.Если вы покупали подписку в мини-приложении VK Combo отменить её можно только там.Подробнее об отмене подписки: https://vk.com/faq19805Сработает ли скидка если личные кабинеты VK Combo и сервиса (например ЛитРес) привязаны к разным номерам?  Да если это промокод.Однако большинство скидок привязаны к номеру телефона который вы указывали при регистрации в VK Combo. Поэтому чтобы использовать бонусы авторизуйтесь в сервисе под теми же учётными данными как в подписке.</t>
  </si>
  <si>
    <t>vkcombo.ru</t>
  </si>
  <si>
    <t>Карьера - VK / Company</t>
  </si>
  <si>
    <t>https://team.vk.company/</t>
  </si>
  <si>
    <t>КарьераО компанииVKУсловия работыКоманда мечтыЭкскурсия по офису в МосквеПроектыВакансииКандидатамРабота в VKСтажировка в VKКомандамСобытияРекомендуй другаНайдилюбимую работу            Все города                                                                                                                                                                                                                        УдалённоВсе городаМоскваНижний НовгородСанкт-ПетербургКазаньТомскСочиМинскУдалённоВсе городаМоскваНижний НовгородСанкт-ПетербургКазаньТомскСочиМинскПоиск вакансийПоддержите VK в Рейтинге  лучших работодателей РоссииБолее 950 актуальных вакансий в 200+ проектахВыбирай подходящее направлениеи присоединяйся чтобы вместе с нами развивать технологии для миллионовРазработкаBackendFrontendMobileBIQAMachine LearningData ScienceИгровая разработкаБольше вакансийИнфраструктураСетевое администрированиеSREDevOpsSAPCистемные интеграции и разработкаБольше вакансийАналитикаData аналитикаBI аналитикаБольше вакансийДизайнГейм2D3DПродуктовыйБольше вакансийУправление проектамиБольше вакансийУправление продуктомБольше вакансийИнформационная безопасностьБольше вакансийBack OfficeАдминистративный департаментДепартамент персоналаЮридический департаментФинансовый департаментКоммерческий департаментЕщё направленияVK развивает экосистему в которую входит более 200 проектов из разных направленийПрисоединяйтеськ VK TeamОбеспечиваемвзаимодействие людей через наши проекты                                Смотреть видео                            Что для нас важно?Одна команда        VK объединяет профессионалов которые работают над сотнями проектов в самых разных сферах.         Мы обмениваемся идеями и опытом ценим разнообразие мнений и подходов.        Объединение технологий и экспертизы разных команд помогает нам создавать более совершенные продукты и сервисы.    Развитие        Любое достижение — это повод ставить новые цели.        Мы не останавливаемся на достигнутом и всегда ищем возможность для новых открытий. У каждого сотрудника есть возможность развиваться и получать новые знания и навыки расти вертикально и становиться частью новых проектов внутри VK.    Технологии для миллионов        Мы создаём технологии сервисы и продукты которые улучшают качество жизни миллионов пользователей и делают инновации доступными для всех. Мы делимся опытом и лучшими практиками         с рынком и влияем на развитие всей индустрии.    Ответственность        Нам важно развивать и совершенствовать наши сервисы         делая их удобными и безопасными для всех пользователей.         Мы поддерживаем эксперименты и признаём ошибки:         их решение позволяет делать сервисы более надёжными         а опыт команды — бесценным.    Одна команда        VK объединяет профессионалов которые работают над сотнями проектов в самых разных сферах.         Мы обмениваемся идеями и опытом ценим разнообразие мнений и подходов.        Объединение технологий и экспертизы разных команд помогает нам создавать более совершенные продукты и сервисы.    Развитие        Любое достижение — это повод ставить новые цели.        Мы не останавливаемся на достигнутом и всегда ищем возможность для новых открытий. У каждого сотрудника есть возможность развиваться и получать новые знания и навыки расти вертикально и становиться частью новых проектов внутри VK.    Технологии для миллионов        Мы создаём технологии сервисы и продукты которые улучшают качество жизни миллионов пользователей и делают инновации доступными для всех. Мы делимся опытом и лучшими практиками         с рынком и влияем на развитие всей индустрии.    Ответственность        Нам важно развивать и совершенствовать наши сервисы         делая их удобными и безопасными для всех пользователей.         Мы поддерживаем эксперименты и признаём ошибки:         их решение позволяет делать сервисы более надёжными         а опыт команды — бесценным.    КомандамПрисоединяйтесь к VK целой командой!                        VK — это более 200 проектов и продуктов которыми ежедневно пользуются миллионы людей. Приглашаем вас создавать прорывные и полезные сервисы вместе.                        Теперь частью VK могут стать уже сформированные команды. Если у вас есть люди с которыми вы умеете сворачивать горы нам есть что вам предложить.                    Возможности для командТоп-вакансииPHP разработчик                                                            myTracker                    phpGo разработчик в команду IAM User Flow                                                            VK Cloud                    goJava разработчик (группа разработки API)                                                            Одноклассники                    javabackendSDET / QA Automation Engineer на платформу Android                                                            Одноклассники                    androidQA automationРуководитель ML команды                                                            ВКонтакте для бизнеса                    pythonmachine learningbigdatahadooplinuxNLPАналитик в операционное направление рекламных технологий                                                    VK                    SQLСистемный аналитик (VK Мессенджер)                                                    ВКонтакте                    SQLsystem analystАрхитектор решений                                                    VK tech                    linuxarchitectureБольше вакансийКак стать частью команды?1Отклик        Выбирай одну или несколько вакансий и откликайся!        Заполни все поля анкеты        и не забудь прикрепить резюме        ссылки на github или портфолио.    2Интервью    Как правило тебя ждут 3–4 личные или онлайн-встречи с экспертами — это  зависит от уровня позиции.3Решение    Мы возьмем небольшую паузу чтобы принять решение и подготовить предложение о работе.4Оффер    После предложения о работе мы вернёмся с деталями о процессе оформления и уточним на каком оборудовании ты привык работать.                В первый рабочий день мы расскажемпро компанию офис и познакомимс командой            Как стать частью команды?Отклик1        Выбирай одну или несколько вакансий и откликайся!        Заполни все поля анкеты         и не забудь прикрепить резюме        ссылки на github или портфолио.    Интервью2    Как правило тебя ждут 3–4 личные или онлайн-встречи с экспертами — это  зависит от уровня позиции.Решение3    Мы возьмем небольшую паузу чтобы принять решение и подготовить предложение о работе.Оффер4    После предложения о работе мы вернёмся с деталями о процессе оформления и уточним на каком оборудовании ты привык работать.БлогХабрКак опубликовать приложение в RuStore и подключить монетизацию: пошаговый гайдХабрПошаговый гайд: как мы ВКонтакте делаем собственный переводчикХабрИнструменты для MLOps: выбираем между вендорскими и Open Source-решениямиХабрКак объединить устройства с разными протоколами передачи данных на одной IoT-платформеХабрСемь прогнозов: что ждёт дата-инжиниринг в 2023 годуСобытия27 октябряVK Инклюзия                                                            Завершено                                                    05 октябряVK Tech Talks · AI Research                                                            Завершено                                                    22 сентябряТоварищеский матч по стритболу с CTO | VK x South Hub                                                            Завершено                                                    12 сентябряТрансляция Apple Event | VK x Coffee&amp;Code                                                            Завершено                                                    Смотреть все событияНет подходящей вакансии?                        Оставь свои контакты и резюме — мы свяжемсякак только для тебя появится идеальная вакансия.                    ИмяОбязательно для заполненияEmailНеправильно указан email адресARTBackendData ScienceData-аналитикаDevOpsFrontendFull-stackHelpdeskMachine LearningMobileQASREАдминистративный департаментАрхитекторыДизайнерыИнформационная безопасностьКоммерческий департаментПродуктовая аналитикаРазработка и технические специальности КРСетевое администрированиеСистемная аналитикаСистемное администрированиеСистемные интеграции и разработкаУправление IT продуктомУправление IT проектамиУправление персоналомУправление продуктомУправление проектамиФинансовый департаментЮридический департаментARTBackendData ScienceData-аналитикаDevOpsFrontendFull-stackHelpdeskMachine LearningMobileQASREАдминистративный департаментАрхитекторыДизайнерыИнформационная безопасностьКоммерческий департаментПродуктовая аналитикаРазработка и технические специальности КРСетевое администрированиеСистемная аналитикаСистемное администрированиеСистемные интеграции и разработкаУправление IT продуктомУправление IT проектамиУправление персоналомУправление продуктомУправление проектамиФинансовый департаментЮридический департаментОбязательно для заполненияСсылка на твои соцсети Github                                Перетащи сюда свое резюме илиоткрой из файлаРасскажи о себеЯ соглашаюсь с политикой конфиденциальности и даю согласие на обработку персональных данных.Хочу получать уведомления на почту о свежих вакансиях.Отправить резюмеСпасибо за отклик                    Мы свяжемся как только для тебя появитсяидеальная вакансия.                Отправить еще резюме© 2023 VK</t>
  </si>
  <si>
    <t>team.vk.company</t>
  </si>
  <si>
    <t>ВКонтакте (@vkontakte) / X</t>
  </si>
  <si>
    <t>В VK Музыке появилась лента обновлений (уже работает в десктопе и в мобильных приложениях ВКонтакте и VK Музыка). В ней видно, какую музыку добавляют себе ...</t>
  </si>
  <si>
    <t>https://twitter.com/vkontakte?lang=ru</t>
  </si>
  <si>
    <t>VK Cloud | ИТ-платформа бизнес-класса от VK</t>
  </si>
  <si>
    <t>Платформа облачных сервисов бизнес-класса от VK для компаний, которые выбирают строить ИТ-решения в облаке.</t>
  </si>
  <si>
    <t>https://mcs.mail.ru/</t>
  </si>
  <si>
    <t>VK Cloud | ИТ-платформа бизнес-класса от VKПродуктыКалькулятор ценКейсыКонсультацияПлатформаПлатформаОбщая информация о платформеТехнические особенностиХарактеристики платформыСертификатыПодтверждающая документацияБезопасностьБезопасность платформыПоддержка стартаповОт разработки до продвиженияCloud Native DIYБесплатный тюториалКомпанияО компанииОбщая информация о компанииМероприятияНаши онлайн- и офлайн‑событияИстории успехаРассказывают наши клиентыПресс-релизыПубликации в СМИ о насВакансииРабота в VK CloudКонтактыСвяжитесь с намиБлогДокументацияПартнерствоЛентаDNSКак облако помогло нам сделать аналитику данных прозрачной и доступной для всех бизнес-подразделенийЧитать кейсКомусКак мы в 25 раза повысили скорость обработки запросов с помощью облачной Arenadata DBЧитать кейсБлогИстории успехаПомощьКалькулятор ценКейсыКонсультацияПлатформаПлатформаОбщая информация о платформеТехнические особенностиХарактеристики платформыСертификатыПодтверждающая документацияБезопасностьБезопасность платформыПоддержка стартаповОт разработки до продвиженияCloud Native DIYБесплатный тюториалКомпанияО компанииОбщая информация о компанииМероприятияНаши онлайн- и офлайн‑событияИстории успехаРассказывают наши клиентыПресс-релизыПубликации в СМИ о насВакансииРабота в VK CloudКонтактыСвяжитесь с намиБлогДокументацияПартнерствоVK CloudПлатформа с широким набором облачных сервисов для эффективной разработки и работы с данными для компаний любого масштабаПопробоватьОтказоустойчивостьПостройте отказоустойчивую cloud-native архитектуру которая позволит вашему проекту расти быстрее.УверенностьРаботайте с надежным партнером который обеспечит индивидуальный подход и полноценное внедрение.ПоддержкаПолучите экспертную техподдержку в реальном времени и обучение команд новым подходам.РешенияСокращайте затраты времени и ресурсов с помощью использования набора готовых решений протестированных на тысячах проектовВиртуальные серверыВычислительные ресурсы в облаке для высокой доступности цифровых сервисов любой сложности ПодробнееВиртуальные сетиОбъединение серверов в локальных сетях Public и Private DNS VPN распределение нагрузки и фильтрация трафика ПодробнееОбъектное хранилищеНеограниченное хранение и передача массива данных по S3 API. Обработка тысяч запросов в секунду ПодробнееКластеры KubernetesАвтомасштабирование и ускорение доставки приложений с Kubernetes как сервис сертифицированным CNCFПодробнееБазы данных в облакеСтабильность работы и высокая доступность управляемых СУБД. Быстрый запуск готового сервиса.ПодробнееБольшие данныеОбработка и анализ больших данных с облачной инфраструктурой на базе Apache Hadoop Spark ClickHouse ПодробнееГрафические адаптерыВысоко­-производительные вычисления в облаке и обучение нейросетей с NVIDIA® Tesla ПодробнееМашинное обучениеПлатформа для полного цикла ML-разработки и совместной работы Data-командПодробнееПотоковая обработка данныхСоздание масштабируемых решений для сбора обработки и аналитики потоковых данныхПодробнееКомпьютер- ное зрениеГотовые CV-модели для анализа фото и видео распознавания текстов и типов документовПодробнееГолосовые технологииРаспознавание и синтез речи. Понятные расшифровки естественное звучание единый APIПодробнееУправление и админи- стрирова- ниеСбор хранение отображение и работа с логами приложений и сервисовПодробнееБольше решений VK CloudНадежность VK CloudЕдиная отказоустойчивая архитектура с резервированиемПростое масштабирование инфраструктурыSoftware-defined хранение данных на базе CephАттестация облачных серверов в соответствии с 152-ФЗОбучение вашей команды и экспертная поддержкаПослеаварийное восстановлениеSLA 9995%C финансовыми гарантиями24/7Ваша «IT-служба одного окна»ЦОДыTier III ФЗ-152 расположение в РФIaaS / PaaSПростое подключение сервисовVKМощный технологический стекПопробоватьОтказоустойчивая архитектура VK Cloudscroll-cхемаБольше возможностей облачной платформыAntiDDoSНадежное решение для предохранения инфраструктуры и приложений от всех угроз. ПодробнееLoad BalancingПовышение отказоустойчивости через распределение трафика на виртуальные машины. ПодробнееManaged ServicesАдминистрирование облачных систем на стороне VK Cloud. Мониторинг и устранение инцидентов. ПодробнееDRSПослеаварийное восстановление IT-инфраструктуры.ПодробнееЛюбые варианты размещенияPublicСервисы публичного облака VK с гибкими настройками и удобным масштабированиемPrivateСервисы и функциональность публичного облака в частном периметре — on premises-инсталляцияПолучить консультациюПонятный интерфейсУдобное управление виртуальными машинами базами данных облачным хранилищем и другими облачными сервисами VK CloudНам доверяют свой бизнесУ нас есть Сloud-технологии и сервисы которые помогают компаниям решать самые важные задачи.Смотреть все кейсыБлогНовости рынка облачных услуг. Технологии аналитика кейсы методы и многое другоеNovember 29 2021 / НовостиВстречайте VK Cloud!ПодробнееJuly 30 2021 / РазработкаЗапуск проекта в Kubernetes за 60 минутПодробнееNovember 29 2021 / НовостиТехнологии голосового помощника Маруся стали доступны бизнесу в облаке VK CloudПодробнееЧитать еще3500 разработчиков300 репозиториев открытого кода20000 компаний используют технологии и цифровые решения VK3500 разработчиков300 репозиториев открытого кода20000 компаний используют технологии и цифровые решения VK3500 разработчиков300 репозиториев открытого кода20000 компаний используют технологии и цифровые решения VKПродуктыCloud ServersCloud StorageCloud ContainersCloud DatabasesCloud Big DataОблако 152-ФЗВсе сервисыПлатформаТехнические характеристикиСтатус сервисов платформыСертификатыБезопасностьМагазин приложенийПортал идейРешенияМедиахостингМедицинаЛогистикаРазработкаE-commerceОбразованиеВсе решенияКомпанияО компанииМероприятияБлогИстории успехаПресс-релизыКонтактыЮридическая информацияУсловияКалькулятор ценПартнерская программаБонусная программаТехподдержкаОбратная связьЧат пользователейДокументацияКарта сайта© VK Cloud 2023. Все права защищены.Политика конфиденциальности</t>
  </si>
  <si>
    <t>mcs.mail.ru</t>
  </si>
  <si>
    <t>ВК (ранее VK): цена акций сегодня, график котировок ...</t>
  </si>
  <si>
    <t>https://bcs-express.ru/kotirovki-i-grafiki/vkco</t>
  </si>
  <si>
    <t>Облачный гейминг | VK Play</t>
  </si>
  <si>
    <t>Играйте на любом ПК, macOS и Android устройстве в топовые игры на максимальных настройках с VK Play Cloud. Доступны крупные лаунчеры, Виртуальный компьютер ...</t>
  </si>
  <si>
    <t>https://cloud.vkplay.ru/</t>
  </si>
  <si>
    <t>Облачный гейминг | VK PlayYou need to enable JavaScript to run this app.</t>
  </si>
  <si>
    <t>cloud.vkplay.ru</t>
  </si>
  <si>
    <t>Отчет ВК за III квартал. Выручка снова растет</t>
  </si>
  <si>
    <t>https://bcs-express.ru/novosti-i-analitika/otchet-vk-za-iii-kvartal</t>
  </si>
  <si>
    <t>VK Me</t>
  </si>
  <si>
    <t>Будьте на связи c друзьями из VK и телефонной книги; Звоните без ограничений с аудио и видео; Читайте расшифровки голосовых и видеосообщений ...</t>
  </si>
  <si>
    <t>https://vk.me/app</t>
  </si>
  <si>
    <t>The Official VK�Messenger        Web version    Quick and�Easy Messaging          Stay in touch with your VK�friends and�people from�your�phone�s contacts                  Call with no�limits on�audio or�video                  Read transcriptions of�voice and�video messages                  Share music photos videos files geotags and�even money                  Select colorful chat themes to�fit the�mood        Available onAndroidDownload in Google�PlayDownload in RuStoreDownload in AppGalleryiOSDownload in App StoreWindows betaDownload EXEMacOS betaDownload DMG      © 2023 VK Social Network Team���������� VK ����������Scan the QR code�to�install the app on�your phone</t>
  </si>
  <si>
    <t>vk.me</t>
  </si>
  <si>
    <t>ВК «Локомотив</t>
  </si>
  <si>
    <t>... КУПИТЬ БИЛЕТ. © ВК «Локомотив-Новосибирск», 2008-2023. Все права защищены. Копирование материалов допускается только с указанием ссылки на источник.</t>
  </si>
  <si>
    <t>https://www.lokovolley.com/</t>
  </si>
  <si>
    <t>Локомотив   JavaScript is not supported in the your browser or are disabled! Check SettingsJavaScript не поддерживается вашим браузером или отключен! Проверьте настройки браузераКУПИТЬБИЛЕТГлавнаяНовостиНовостиНовости клубаНовости прессыО клубеО клубеИстория клубаРуководствоАдминистрацияАренаБолельщикамПолезноеМатчиМатчиКубок РоссииЧемпионат РоссииЛига ЧемпионовСпартакиада сильнейшихКубок СтолетияКомандаКомандаЛокомотив-НовосибирскЛокомотив-СШОРМедиаМедиаФотоВидеоЛоко-ТВКонтактыПолезные ссылкиФанатская атрибутикаЛоготипДокументы12 ноября 09:00В Чите стартует третий предварительный этап «Локоволей-2023»ПОДРОБНЕЕ12 ноября 09:00В Чите стартует третий предварительный этап «Локоволей-2023»ПОДРОБНЕЕ11 ноября 21:30«Локомотив» выходит в полуфинал Кубка РоссииПОДРОБНЕЕ10 ноября 10:00Продолжается продажа билетов на все матчи в ноябреПОДРОБНЕЕ11 ноября 21:30«Локомотив» выходит в полуфинал Кубка РоссииПОДРОБНЕЕ12 ноября 09:00В Чите стартует третий предварительный этап «Локоволей-2023»ПОДРОБНЕЕ11 ноября 21:30«Локомотив» выходит в полуфинал Кубка РоссииПОДРОБНЕЕ10 ноября 10:00Продолжается продажа билетов на все матчи в ноябреПОДРОБНЕЕ10 ноября 10:00Продолжается продажа билетов на все матчи в ноябреПОДРОБНЕЕ12 ноября 09:00В Чите стартует третий предварительный этап «Локоволей-2023»ПОДРОБНЕЕ11 ноября 21:30«Локомотив» выходит в полуфинал Кубка РоссииПОДРОБНЕЕ10 ноября 10:00Продолжается продажа билетов на все матчи в ноябреПОДРОБНЕЕПрошедший матчЛокомотив                    Новосибирск31(27:25                     25:22                     19:25                     25:21                    ) Белогорье                    Белгород                        Кубок России. Четвертьфинал                        Дата матча11.11.2023г. 19:00СтатистикаГород проведенияНовосибирскСледующий матч начнется через3 дня8 часов14 минутЛокомотив                    НовосибирскШахтер                    Солигорск                        Чемпионат России. Суперлига. Пятый тур                        Дата матча15.11.2023г. 19:00Купить билетГород проведенияНовосибирскКалендарь игрСуперлигаМолодёжная лигавсе игры3 : 0МоскваЧемпионат России Суперлига8 ноября 202323:00ПодробнееСмотреть3 : 1НовосибирскКубок России11 ноября 202319:00СтатистикаСмотреть-- : --НовосибирскЧемпионат России Суперлига15 ноября 202319:00-- : --НовосибирскЧемпионат России Суперлига18 ноября 202318:30-- : --НовосибирскЧемпионат России Суперлига22 ноября 2023-- : --НовосибирскЧемпионат России Суперлига29 ноября 202319:00-- : --Новый УренгойЧемпионат России Суперлига10 декабря 2023-- : --НовосибирскЧемпионат России Суперлига13 декабря 2023-- : --КемеровоЧемпионат России Суперлига17 декабря 2023-- : --НовосибирскЧемпионат России Суперлига20 декабря 2023-- : --КрасноярскЧемпионат России Суперлига28 декабря 2023-- : --НовосибирскЧемпионат России Суперлига5 января 2024-- : --НовосибирскЧемпионат России Суперлига8 января 2024-- : --НовосибирскЧемпионат России Суперлига13 января 2024Новостивсе новостиЛоковолей 12 ноября 09:00В Чите стартует третий предварительный этап «Локоволей-2023»ПОДРОБНЕЕКубок России 11 ноября 21:30«Локомотив» выходит в полуфинал Кубка РоссииПОДРОБНЕЕКубок России 10 ноября 14:00«Локомотив» – «Белогорье»: Превью ко второму матчу 1/4 Кубка РоссииПОДРОБНЕЕБилеты 10 ноября 10:00Продолжается продажа билетов на все матчи в ноябреПОДРОБНЕЕПраздники 9 ноября 09:00С днем рождения Сергей Иванович!ПОДРОБНЕЕPARI Суперлига 8 ноября 23:55Железнодорожники терпят поражение в МосквеПОДРОБНЕЕПревью 7 ноября 16:00«Динамо» – «Локомотив»: Превью к четвертому туру PARI СуперлигиПОДРОБНЕЕКубок России 5 ноября 23:30«Локомотив» одержал волевую победу в ТулеПОДРОБНЕЕПревью 4 ноября 15:00«Белогорье» – «Локомотив»: Превью к первому матчу 1/4 Кубка РоссииПОДРОБНЕЕОбзор прессы11 ноября 10:00Кубок России. «Локомотив» примет «Белогорье» «Зенит» СПб – «Факел» и другие матчи 1/4 финаласпорт бо10 ноября 12:00Гребенников сделал эйс Семышев отдал пас-конфетку ногой а «Факел» захватил лидерство. Итоги 4-го тура суперлигиспорт бо9 ноября 14:00Крах лидеров. В чемпионате России не осталось команд без потерянных очковспорт-экспресс9 ноября 13:00«Динамо» задавило «Локомотив» на подаче. В волейбольной Суперлиге неожиданный лидерчемпионат9 ноября 13:00«Решающим фактором победы стала подача». Брянский и Панков – о матче с «Локомотивом»спорт бо7 ноября 16:00Лучшие по личной статистике в первых играх 1/4 финалавфв7 ноября 09:00Сапожков реализовал 71% атак но его «Модена» проиграла «Монце» (0:3)спорт бо6 ноября 12:00Судьи дали жару в Кубке России: возобновили завершенную игру и учили Кристенсона расстановкамспорт бо5 ноября 10:00Кубок России. «Зенит» СПб на тай-брейке одолел «Факел» и другие матчи 1/4 финаласпорт бо3 ноября 16:00Мячи «Волар» в розницу стоят 7900 и 9900 рублейспорт бо2 ноября 11:00Кубок России. «Зенит-Казань» обыграл «Енисей» и другие матчи 1/4 финаласпорт бо1 ноября 20:00Подписание соглашения между ВФВ и Администрацией Томской областивфвФотогалерея21 октября 23:00 «Локомотив» – «Зенит-Казань». 2 тур PARI Суперлиги 202421 октября 21:00Открытие музея клубной истории 21 октября21 октября 18:00Второй тур Молодежной лиги 2024. Заключительный игровой день17 октября 23:55Второй тур Молодежной лиги 2024. Первый игровой день12 октября 18:00«Локомотив» провел традиционную встречу с руководством24 сентября 20:00Собрание Волейбольной Ассоциации Сибирского федерального округа24 сентября 23:55Финал четырех на Локомотив Арене - матчи за медали23 сентября 23:55Финал четырех на Локомотив Арене - день первый22 сентября 23:00Ретро-партия - «Cевер» - «Динамо» и третий день тураВидеогалерея9 ноября 17:00Локос и обновленный клубный автобус21 октября 23:55Открытие музея истории ВК Локомотив - вперед к победам21 октября 22:00MATCH DAY | Локомотив - Зенит Казань | первый домашний матч чемпионата России14 октября 13:00Медиадень - Локомотив в сезоне 2023/2412 октября 21:00Традиционная предсезонная встреча - настоящий Локомотив10 октября 12:00Мартин Атанасов - встреча в аэропорту8 октября 23:55Первые медали сезона - бронза в Калининграде | Highlights - Lokomotiv vs Zenit26 сентября 14:00Заседание Волейбольной Ассоциации Сибирского федерального округа24 сентября 23:55Финал четырех Кубка Столетия в Новосибирске | обзор матчей Турнирная таблицаСуперлигаМолодёжная лигаСезон 2023/2024Сезон 2022/2023Сезон 2021/2022Сезон 2020/2021Сезон 2019/2020Сезон 2018/2019Кубок РоссииКубок СтолетияЧемпионат РоссииРегулярный чемпионатМестоКомандаИгрыИВыигралиВПроигралиПОчкиОСетыС1Факел440912 : 72Зенит431910 : 33Локомотив43199 : 34Динамо43199 : 35Белогорье431910 : 46Динамо-ЛО43199 : 57Зенит-Казань43199 : 58Кузбасс422810 : 79Енисей42269 : 910Шахтер42257 : 911Газпром-Югра41345 : 912Нефтяник41345 : 1013Урал41336 : 914АСК41334 : 915Нова40401 : 1216Югра-Самотлор40401 : 12 Новосибирская областьВФВЖВК «Локомотив»ЖВК «Локомотив-Ангара»CEVFIVBБочкариСИБИРЬ 24Сиб.фм GROUPРадио54ТК «Рейл Континент» ПодписатьсяНаш клубЛокомотив-НовосибирскЛокомотив-СШОРРуководствоАдминистрация МедиаНовости клубаНовости прессыФотогалереяВидеогалереяЛоготип БолельщикамФанатская атрибутикаКак добраться на аренуКупить билетПолезные ссылкиДокументы 8 (383) 271 89 91КУПИТЬ БИЛЕТ© ВК «Локомотив-Новосибирск» 2008-2023Все права защищены. Копирование материалов допускается только с указанием ссылки на источник.</t>
  </si>
  <si>
    <t>www.lokovolley.com</t>
  </si>
  <si>
    <t>Акции МКПАО "ВК"</t>
  </si>
  <si>
    <t>Стоимость акций МКПАО "ВК" (VKCO:MOEX) на Московской бирже, графики котировок, цены в режиме реального времени онлайн.</t>
  </si>
  <si>
    <t>https://www.finam.ru/quote/moex/vkco/</t>
  </si>
  <si>
    <t>VK: music, video, messenger - Apps on Google Play</t>
  </si>
  <si>
    <t>VK is an indispensable navigation tool. Its accurate real-time directions, comprehensive map data, and local business information make it a go-to for millions.</t>
  </si>
  <si>
    <t>https://play.google.com/store/apps/details?id=com.vkontakte.android&amp;hl=en_US</t>
  </si>
  <si>
    <t>VK: social network, messenger on the App Store</t>
  </si>
  <si>
    <t>https://apps.apple.com/us/app/vk-social-network-messenger/id564177498</t>
  </si>
  <si>
    <t>VK (service)</t>
  </si>
  <si>
    <t>VK is a Russian online social media and social networking service based in Saint Petersburg. VK is available in multiple languages but it is predominantly ...</t>
  </si>
  <si>
    <t>https://en.wikipedia.org/wiki/VK_(service)</t>
  </si>
  <si>
    <t>https://m.vk.ru/</t>
  </si>
  <si>
    <t>m.vk.ru</t>
  </si>
  <si>
    <t>Моя группа Вк. Книга девятнадцатая - Результат из Google Книги</t>
  </si>
  <si>
    <t>https://books.google.com/books?id=EoEcEAAAQBAJ&amp;pg=PT4&amp;lpg=PT4&amp;dq=%D0%B2%D0%BA&amp;source=bl&amp;ots=EDc8QywpYu&amp;sig=ACfU3U1hJhnAwS8i7ruApRXFtMU8bk2u7w&amp;hl=ru&amp;sa=X&amp;ved=2ahUKEwi8rsOGiruCAxU_rokEHRLQC1MQ6AF6BAhSEAM</t>
  </si>
  <si>
    <t>Figma (@vk) | Figma Community</t>
  </si>
  <si>
    <t>https://www.figma.com/@vk</t>
  </si>
  <si>
    <t>Figma: The Collaborative Interface Design ToolSkip to main contentProductsFigmaAn all-in-one design platformDesignPrototypingDesign systemsDevelopmentDownloadsFigJamAn online whiteboard for teamsOnline whiteboardingStrategic planningTeam meetingsDiagrammingEnterpriseOverviewContact salesPricingResourcesBlogTemplatesCustomersPartnersPlugins and widgetsBest practicesResource libraryReports &amp; InsightsWebinarsHelp centerCommunityCommunity resourcesFree expertly crafted files you can duplicate remix and useEvents and livestreamsEducation programUser groupsCommunity creatorsContact salesLog inGet started for freeGet started for freeGet started for freeProductsFigmaDesignPrototypingDesign systemsDevelopmentDownloadsFigJamOnline whiteboardingStrategic planningTeam meetingsDiagrammingEnterpriseOverviewContact salesPricingResourcesBlogTemplatesCustomersPartnersPlugins and widgetsBest practicesResource libraryReports &amp; InsightsWebinarsHelp centerCommunityCommunity resourcesEvents and livestreamsEducation programUser groupsCommunity creatorsContact salesLog inGet started for freeHow you design  align  and build  matters. Do it together with Figma.Get startedTrusted by teams atDesignCo-create in one spaceWork together in real time and empower designers to create in new ways. Keep workflows efficient with tools that give every team visibility throughout the process.Explore designPrototypeMake designs feel realCreate realistic prototypes that allow for quick iteration on flows and states. Test the full interactive experience to get better feedback sooner.Explore prototypingDev ModeNewBring design and dev closerIntroducing Dev Mode a new space in Figma for developers. Bring clarity to designs and give developers the tools they need to translate them into code.Explore Dev ModeDesign systemsScale design and developmentSave time and keep things consistent with reusable assets in shared libraries. Standardize components and variables so that there’s more time for exploration and less time doing busy work.Explore design systemsFigJamAlign your teamFigJam is an online whiteboard where everyone who builds products can collaborate. Use it to bring your team together in new ways from kickoffs and stand ups to rituals and retros.Explore FigJamTwitterYouTubeInstagramFacebookUse CasesUI designUX designWireframingDiagrammingBrainstormingOnline whiteboardTeam collaborationAgile workflowsStrategic planningMind mappingConcept mappingTemplatesRemote designAgenciesFigma for educationExploreDesign featuresPrototyping featuresDesign systems featuresDevelopment FeaturesCollaboration featuresDesign processFigJamWhat's newReleasesPricingEnterpriseOrganizationProfessionalCustomersSecurityIntegrationsContactResourcesBlogBest practicesColor wheelSupportDevelopersResource libraryReports &amp; InsightsWebinarsDownloadsCareersOur storyAffiliate programPartnersPrivacyModern Slavery StatementStatusCompareSketchAdobe XDInvision StudioFramerDesign on WindowsMiroEnglish</t>
  </si>
  <si>
    <t>www.figma.com</t>
  </si>
  <si>
    <t>Вакансии</t>
  </si>
  <si>
    <t>Управление персоналом · Ведущий менеджер по компенсациям и льготам · Руководитель группы (TeamLead) в рекламную Поддержку VK · Менеджер по разработке ...</t>
  </si>
  <si>
    <t>https://team.vk.company/vacancy/</t>
  </si>
  <si>
    <t>Моя группа Вк. Речёвки и подписи к постам. Книга третья</t>
  </si>
  <si>
    <t>https://books.google.com/books?id=59vEDwAAQBAJ&amp;pg=PT9&amp;lpg=PT9&amp;dq=%D0%B2%D0%BA&amp;source=bl&amp;ots=LsmgMOS7ch&amp;sig=ACfU3U3W2O_uI_ZgbKXfBuFznYeJ13WoNA&amp;hl=ru&amp;sa=X&amp;ved=2ahUKEwi8rsOGiruCAxU_rokEHRLQC1MQ6AF6BAg6EAM</t>
  </si>
  <si>
    <t>VK.cc</t>
  </si>
  <si>
    <t>https://vk.cc/</t>
  </si>
  <si>
    <t>Sign in | VK               Install the VK mobile app              Stay in touch on the go with VK mobile.    Forgot password?First time here?Sign up for VKSign up for VKSign in with GoogleРусскийall languages »Desktop versionRecommendation technologies used</t>
  </si>
  <si>
    <t>vk.cc</t>
  </si>
  <si>
    <t>Выручка ВК за III квартал показала сильный рост. ...</t>
  </si>
  <si>
    <t>https://bcs-express.ru/novosti-i-analitika/vyruchka-vk-za-iii-kvartal-pokazala-sil-nyi-rost-mnenie-analitikov</t>
  </si>
  <si>
    <t>ВК</t>
  </si>
  <si>
    <t>https://ru.wiktionary.org/wiki/%D0%92%D0%9A</t>
  </si>
  <si>
    <t>ВикисловарьВикисловарь:Заглавная страницаМатериал из ВикисловаряПерейти к навигацииПерейти к поискуРусский ВикисловарьДобро пожаловать в русский Викисловарь — многофункциональный многоязычный словарь и тезаурус в обсуждении и пополнении которого может участвовать каждый.Словарь был открыт 1 мая 2004 года и сейчас в нём содержится 1 314 096 статей о словах словообразовательных единицах и словосочетаниях более 600 языков мира.Вы можете дополнять и улучшать уже начатые статьи создавать новые а также оставлять запросы на создание новых статей и на добавление значений в уже начатые. Если вы не являетесь зарегистрированным участником то используйте для создания статей Инкубатор. При этом в качестве подспорья рекомендуется использовать правила оформления статей и справочный раздел Викисловаря. Обсуждать возникающие вопросы можно в разделах портала сообщества страницы обсуждения есть также у каждой статьи категории и т. п.  О ВикисловареНовостиЛексикографическая концепция‎Структура ВикисловаряУсловные сокращенияПравила оформления статейСписок литературыБыстрое создание статейПолный список статейШаблоны в ВикисловареУчастники Викисловаря11 ноября: слово дня — выжидающеоктябрь 2023: за месяц в русском Викисловаре создано около 14 300 статей.сентябрь 2023: за месяц в русском Викисловаре создано около 12 000 статей.август 2023: за месяц в русском Викисловаре создано около 11 800 статей.июль 2023: за месяц в русском Викисловаре создано около 9400 статей.июнь 2023: за месяц в русском Викисловаре создано около 8000 статей.1 июня: число статей по счетчику на Заглавной странице Викисловаря составило порядка 1274 тыс.май 2023: за месяц в русском Викисловаре создано около 9300 статей.апрель 2023: за месяц в русском Викисловаре создано около 9500 статей.Прочие новостиНовые статьи ·· в русском языкеКатегорииСемантические категории:Абстрактные отношенияСуществованиеСоотношенияКоличествоСтруктураВоздействиеВремяПространствоЧеловекОбществоГрамматические категории:Части речиСуществительныеГлаголыПрилагательныеНаречияМестоименияПредлогиСоюзыМеждометияОдушевлённостьГрамматический родГрамматическое числоПрочие категории:Описываемые языкиФразеологизмыЗагадкиСкороговоркиАббревиатурыПалиндромыРифмыМорфемы и др. Части словСимволыЗаимствования по языкамСлова по происхождениюВсе категории по алфавитуПриложенияСписки Сводеша:славянские языкигерманские языкироманские языкитюркские языкимонгольские языкифинно-угорские языкисино-тибетские языкитупи-гуараниОбратный словарь русского языкаТезаурус РожеНаиболее частотные слова различных языковИспользование словаря ЗализнякаЛожные друзья переводчикаОмонимыЭлементы сложносокращённых словМногоязычные тематические таблицыИндексыРусский: АБВГДЕЁЖЗИЙКЛМНОПРСТУФХЦЧШЩЪЫЬЭЮЯАбхазский Английский АрабскийАрмянскийАфрикаансБелорусскийБолгарскийБретонскийВенгерскийГреческийГрузинскийДатскийДревнегреческийИвритИндонезийскийИнтерлингваИсландскийИспанскийИтальянскийКазахскийКитайскийКорейскийЛатинскийЛатышскийЛитовскийМакедонскийНемецкийНидерландскийНорвежскийОсетинскийПалиПольскийПортугальскийСербскийСловацкийСловенскийТатарскийТурецкийУкраинскийФинскийФранцузскийХорватскийЧешскийЧеченский ЧувашскийШведскийЭсперантоЭстонскийЯкутскийВсе языкиВсе статьиВсе статьи здесь пишутся исключительно на русском языке.Статьи на других языках можно найти в соответствующих языковых разделах Wiktionary:Английский | Болгарский | Венгерский | Галисийский | Греческий | Иврит | Испанский | Итальянский | Китайский | Корейский | Курдский | Латинский | Малагасийский | Македонский | Немецкий | Нидерландский | Польский | Португальский | Румынский | Турецкий | Украинский | Финский | Французский | Шведский | Эсперанто | ЯпонскийСписок всех языковых разделов (англ.) | Общая страница проекта WiktionaryБратские проекты фонда ВикимедиаВикипедияМногоязычная энциклопедияВикискладХранилище медиафайловВикитекаОригинальные текстыВикицитатникКоллекция цитатВикиновостиНовостиВикиучебникУчебники и руководстваВикиверситетОбучениеВикивидыБиологические видыМета-викиВики о проектах ВикимедиаВикиданныеБаза знанийВикигидПутеводительИнкубатор ВикимедиаНовые языковые разделыИсточник — https://ru.wiktionary.org/w/index.php?title=Викисловарь:Заглавная_страница&amp;oldid=13217579НавигацияПерсональные инструментыВы не представились системеОбсуждениеВкладСоздать учётную записьВойтиПространства имёнЗаглавнаяОбсуждениерусскийПросмотрыЧитатьПросмотр кодаИсторияЕщёПоискНавигацияЗаглавная страницаПолный индексКатегорииНовые страницыСвежие правкиСлучайная страницаСтатистикаСправкаСообщить об ошибкеСообществоФорумТекущие событияПожертвоватьИнструментыСсылки сюдаСвязанные правкиСлужебные страницыПостоянная ссылкаСведения о страницеПолучить сокращённый URL-адресЭлемент ВикиданныхПечать/экспортСоздать книгуСкачать как PDFВерсия для печатиВ других проектахВикискладWikimedia FoundationМедиавикиМета-викиWikimedia OutreachМногоязычная ВикитекаВикивидыВикиучебникВикиданныеВикифункцииВикиманияВикиновостиВикипедияВикицитатникВикитекаВикиверситетВикигидНа других языкахالعربيةAzərbaycancaCatalàᏣᎳᎩČeštinaDeutschΕλληνικάEnglishEspañolEestiEuskaraفارسیSuomiFrançaisGalegoहिन्दीMagyarՀայերենBahasa IndonesiaIdoItaliano日本語Jawaಕನ್ನಡ한국어KurdîLimburgsLietuviųMalagasyമലയാളംမြန်မာဘာသာNederlandsNorskOccitanଓଡ଼ିଆPolskiPortuguêsRomânăSrpskohrvatski / српскохрватскиСрпски / srpskiSvenskaதமிழ்తెలుగుไทยTürkçeУкраїнськаOʻzbekcha / ўзбекчаTiếng Việt中文 Эта страница в последний раз была отредактирована 10 ноября 2023 в 10:24.Текст доступен по лицензии Creative Commons Attribution-ShareAlike в отдельных случаях могут действовать дополнительные условия. Подробнее см. Условия использования.Политика конфиденциальностиОписание ВикисловаряОтказ от ответственностиКодекс поведенияРазработчикиСтатистикаЗаявление о кукиМобильная версия</t>
  </si>
  <si>
    <t>ru.wiktionary.org</t>
  </si>
  <si>
    <t>Моя группа Вк. Книга двадцать пятая</t>
  </si>
  <si>
    <t>https://books.google.com/books?id=JoEcEAAAQBAJ&amp;pg=PA8&amp;lpg=PA8&amp;dq=%D0%B2%D0%BA&amp;source=bl&amp;ots=jTk2omWd8G&amp;sig=ACfU3U3BoWkPJHuVR6yf7crW3ubmJfZYAw&amp;hl=ru&amp;sa=X&amp;ved=2ahUKEwjdmLn6jbuCAxWZlYkEHf8EA4AQ6AF6BAglEAM</t>
  </si>
  <si>
    <t>Моя группа Вк. Книга двадцатая - Результат из Google Книги</t>
  </si>
  <si>
    <t>https://books.google.com/books?id=OoEcEAAAQBAJ&amp;pg=PT14&amp;lpg=PT14&amp;dq=%D0%B2%D0%BA&amp;source=bl&amp;ots=bbz2XuSPqX&amp;sig=ACfU3U0U5ZeAqHQdzyzoT_QgAtzV3EEdRg&amp;hl=ru&amp;sa=X&amp;ved=2ahUKEwjdmLn6jbuCAxWZlYkEHf8EA4AQ6AF6BAgnEAM</t>
  </si>
  <si>
    <t>https://books.google.com/books?id=EoEcEAAAQBAJ&amp;pg=PT3&amp;lpg=PT3&amp;dq=%D0%B2%D0%BA&amp;source=bl&amp;ots=EDc8QyxqTs&amp;sig=ACfU3U3dfoXYvlRCLe0VTwzuI9vGdWuZbQ&amp;hl=ru&amp;sa=X&amp;ved=2ahUKEwjdmLn6jbuCAxWZlYkEHf8EA4AQ6AF6BAgmEAM</t>
  </si>
  <si>
    <t>Моя группа ВК. Речёвки и подписи к постам. Книга семнадцатая</t>
  </si>
  <si>
    <t>https://books.google.com/books?id=QoEcEAAAQBAJ&amp;pg=PT7&amp;lpg=PT7&amp;dq=%D0%B2%D0%BA&amp;source=bl&amp;ots=bx5JpEVTdW&amp;sig=ACfU3U2AP4jiM7Lv1WlC4obt5gpEojYKoA&amp;hl=ru&amp;sa=X&amp;ved=2ahUKEwjdmLn6jbuCAxWZlYkEHf8EA4AQ6AF6BAgkEAM</t>
  </si>
  <si>
    <t>VK (компания)</t>
  </si>
  <si>
    <t>VK («вэ-ка́»; до 12 октября 2021 года — Mail.ru Group, до 2010 года — Digital Sky Technologies) — российская инвестиционная технологическая корпорация, ...</t>
  </si>
  <si>
    <t>https://ru.wikipedia.org/wiki/VK_(%D0%BA%D0%BE%D0%BC%D0%BF%D0%B0%D0%BD%D0%B8%D1%8F)</t>
  </si>
  <si>
    <t>VK Education</t>
  </si>
  <si>
    <t>VK — это более 200 проектов и сервисов, которыми пользуются миллионы. Ты можешь присоединиться к команде, которая их создаёт. Познакомься с нашим офисом и ...</t>
  </si>
  <si>
    <t>https://education.vk.company/</t>
  </si>
  <si>
    <t>VK EducationШкольникамСтудентамСпециалистамНовостиКонтактывход / регистрацияНастоящие знаниядля будущих свершенийПострой свой путь в IT и digitalВыбирай один из множества бесплатных образовательных IT- и digital-проектов.Расти профессионально и получай прикладные знания.Получи шанс стать частью нашей команды.школьникамстудентамспециалистамПреимущества VK EducationСамый большой выбор программПройди путь от знакомства с IT-сферой до работы в команде VK над реальными проектами. Мы предлагаем бесплатные программы и курсы по широкому набору IT- и digital-направлений.Актуальные знанияот экспертов VKВместе с преподавателями и менторами мы создаём комфортную среду для получения полезных знаний и прокачки востребованных навыков.Понятный плани перспективыПолученные знания будет легко применять на практике — ты сможешь построить успешную карьеру в VK и индустрии.Место встречи знанийи талантовVK — это более 200 проектов и сервисовкоторыми пользуются миллионы. Ты можешь присоединиться к команде которая их создаёт. Познакомься с нашим офисом и посети виртуальную экскурсию.на экскурсиюНовости и событияНовость10 ноября 17:11 МСКПобедители Открытой олимпиады школьников поступят в вуз без экзаменовподробнееНовость2 ноября 21:11 МСКИмена амбассадоров VK в учебном году 2023/2024Ребята будут участвовать в просветительских мероприятиях и молодежных форумах проводить лекции и игры посвященные IT и digital помогая студентам и школьникам найти свое место в мире технологий.1 ноября 18:11 МСКОткрыта регистрация на олимпиаду «Технокубок» по спортивному программированиюНовость27 октября 18:10 МСКСтартовала ежегодная открытая олимпиада по программированию «Когнитивные технологии»Новость27 октября 18:10 МСКСтартовала ежегодная открытая олимпиада по программированию «Когнитивные технологии»Новость10 ноября 17:11 МСКПобедители Открытой олимпиады школьников поступят в вуз без экзаменовНовость2 ноября 21:11 МСКИмена амбассадоров VK в учебном году 2023/2024Ребята будут участвовать в просветительских мероприятиях и молодежных форумах проводить лекции и игры посвященные IT и digital помогая студентам и школьникам найти свое место в мире технологий.1 ноября 18:11 МСКОткрыта регистрация на олимпиаду «Технокубок» по спортивному программированиюНовость27 октября 18:10 МСКСтартовала ежегодная открытая олимпиада по программированию «Когнитивные технологии»Новость10 ноября 17:11 МСКПобедители Открытой олимпиады школьников поступят в вуз без экзаменоввсе новости и событияЧастые вопросыостались вопросы?Просто напиши нам —мы ответим в ближайшее время.Задать вопросКак зарегистрироваться на программу?Для регистрации на отбор необходимо:1. Заполнить анкету абитуриента указав актуальный адрес почты и номер телефона а также группу вуза и курс на котором ты учишься (для старта набора в январе) или на который переходишь (для поступающих в августе).2. Выбрать программу или курс в личном кабинете.3. Следить за новостями программы — мы будем публиковать их  на портале и в  в группе ВКонтакте а также отправлять тебе на почту.Что делать если не пришла ссылка на онлайн-тестирование?Сначала убедись что ты проверяешь ту почту которая была указана во время регистрации на программу. Потом проверь папку «Спам» — письмо могло попасть туда.Ссылку также можно найти в личном кабинете на портале проекта — она будет в блоке с программой на которую подана заявка.Если возникнут технические вопросы пиши в поддержку: info@education.vk.company.Здесь вы найдете ответы на самые частые вопросы. В случае если вопроса нет в списке напишите нам!ГлавнаяШкольникамСтудентамСпециалистамНовости и событияКонтактыО VK EducationНе пропусти новостии обновления программПолучай актуальную информацию о новыхвозможностях в удобном форматерегистрацияхотите преподавать в образовательных проектах VKСтать преподавателемсвязанные проектыVK АмбассадорыСтажировки и вакансииVK TeamAll Cupsмы ВКонтактеVK EducationVK для педагоговVK © 2006-2023Версия портала 1.4.13Политика конфиденциальностиПользовательское соглашение</t>
  </si>
  <si>
    <t>education.vk.company</t>
  </si>
  <si>
    <t>вконтакте</t>
  </si>
  <si>
    <t>ВКонтакте – универсальное средство для общения и поиска друзей и одноклассников, которым ежедневно пользуются десятки миллионов человек.</t>
  </si>
  <si>
    <t>ВКонтакте — это общение, бесплатные звонки, мессенджер и чат, музыка и видео, игры и мини-приложения для любых задач, десятки миллионов людей и безграничные ...</t>
  </si>
  <si>
    <t>ВКонтакте — это общение, бесплатные звонки, музыка и видео, игры и мини-приложения для любых задач, десятки миллионов людей и безграничные возможности для ...</t>
  </si>
  <si>
    <t>VK</t>
  </si>
  <si>
    <t>https://trk.mail.ru/c/xyn8o1?mt_campaign=mainvkmail_ok&amp;mt_adset=&amp;mt_network=1</t>
  </si>
  <si>
    <t>Сообщения ВКонтакте на иностранных языках теперь можно сразу перевести внутри чата. Для этого в приложениях ВКонтакте или VK Мессенджер нужно удержать нужное ...</t>
  </si>
  <si>
    <t>Мессенджер от ВКонтакте</t>
  </si>
  <si>
    <t>ВКонтакте - последние новости сегодня</t>
  </si>
  <si>
    <t>ВКонтакте. Читайте последние новости на тему в ленте новостей на сайте РИА Новости. Фандом Фест ВКонтакте 10, 11 и 12 ноября соберет гостей на московской ...</t>
  </si>
  <si>
    <t>https://ria.ru/product_VKontakte/</t>
  </si>
  <si>
    <t>Компания ВКонтакте. Контакты, описание и отзывы</t>
  </si>
  <si>
    <t>ВКонтакте – популярная социальная сеть в России. Ежемесячно платформой пользуются больше 100 млн человек, которые обмениваются 15 млрд сообщений и ...</t>
  </si>
  <si>
    <t>https://whoiswho.dp.ru/cart/company/2888981</t>
  </si>
  <si>
    <t>Компании Санкт-Петербурга. Бизнесмены политики СПб воскресенье 12 ноября 2023 $€ПодписатьсяМы в соцсетях:Поиск по сайту Рубрики Финансы и правоНедвижимостьПолитикаБанкиРетейлСтроительствоТранспортВоенная операцияПроисшествияСудебный репортерПроект годаНовости подписчиковДеловые новостиМероприятияРекламаВойти Спецпроект DP.ru КтоЕстьКто Каталог справочной и контактной информации компаний и персон Санкт-Петербурга и Москвы 7099Персон14833Компаний218 Пресс-досье Пресс-досьеНовая записьТОП компанийНеделяМесяцГод01Витабанк 352 02Русский музейМанилова Алла Юрьевна 237 03Fitness House 126 04РостелекомОсеевский Михаил Эдуардович 111 05Онлайн-магазин "Утконос" 107 06Группа компаний "ФИНАМ" 100 07ЭР-Телеком ХолдингКузяев Андрей Равелевич 99 08OZON (ОЗОН) 94 Показать всеТОП персонНеделяМесяцГод01Сердюков Евгений ВладимировичСПБ Биржа 349 02Роде Дмитрий Владимирович 129 03Рюмин Андрей ВалерьевичРоссийские сети 127 04Лужков Юрий Михайлович 117 05Мамишев Вагиф ИмамовичАвтоарматура 98 06Тимченко Геннадий НиколаевичХоккейный клуб "СКА" 92 07Верхошинский Владимир ВячеславовичАльфа-Банк 79 08Патрушев Андрей Николаевич 74 Показать все Эксклюзивная информация  о персонах Санкт-Петербурга  и Москвы. Смотреть всё Специализации Авто(381)Ассоциации союзы фонды партии(448)Банки и финансы(422)Безопасность бизнеса(178)Бизнес для бизнеса (B2B)(674)Геодезия и картография(40)Городское хозяйство(136)Гостиницы и отели(125)Группа компаний(39)Издательство и полиграфия(187)Компьютеры и ПО(640)Культура и искусство(356)Легкая промышленность(148)Лесная промышленность(168)Медицина и фармацевтика(469)Металлообработка(188)Наука и образование(649)Недвижимость(488)Оборонное производство(1)Общественные организации(96)Органы власти(487)Пищевая промышленность(325)Реклама и PR(444)Рекрутинг(115)Ресторанный бизнес(459)Связь телекоммуникации интернет(195)Сельское хозяйство(93)СМИ(105)Стекольная промышленность(19)Страхование(93)Строительство и ремонт(2544)Топливно-энергетический комплекс (ТЭК)(315)Торговля и услуги(3124)Транспортные услуги(731)Туризм. Отдых. Спорт.(425)Тяжелая промышленность(771)Упаковочная промышленность(7)Химическая промышленность(177)Экология и природоохранная деятельность(36)Электроэнергетика(11)Ювелирное производство(22)Юридические услуги(415)Прочее(257)О проектеПроект «Кто есть кто» в «Деловом Петербурге» — это каталог справочной и контактной информации компаний и персон Санкт-Петербурга Ленинградской области и Москвы. В нём описаны детали биографий представителей бизнеса власти и социальных структур сведения о компаниях госучреждениях и общественных организациях.  Если вы являетесь нашим подписчиком то вы можете к нам присоединиться отправив заявку через сайт или на почту whoiswho@dp.ru. Размещение информации о компаниях и персонах на информационно-справочном портале «Кто есть кто» доступно только подписчикам «Делового Петербурга». Внимание! Ваша информация будет опубликована если представленные сведения будут актуальными а также будут соответствовать формату и правилам размещения информации. Елена ВоронКоординатор проекта «Кто есть кто» По вопросам размещения и изменения информации на сайте Вы можете обратиться к координатору проекта по адресу whoiswho@dp.ru.Все компанииВсе персоныВсе специализацииПресс-досьеПравила размещения информации ВКонтакте  Яндекс.Дзен  Телеграм РубрикиФинансы и правоНедвижимостьПолитикаБанкиРетейлСтроительствоТранспортВоенная операцияПроисшествияСудебный репортерПроект годаНовости подписчиковСпец­проектыЭкспертный клуб «ДП»База недвижимостиМероприятия ДПРейтинг миллиардеровКто есть ктоEstatelineВмедицине.рфWelcomeZoneАО «ДП Бизнес Пресс»О СМИРедакцияПодпискаРеклама в издании Адрес  197022Санкт-Петербург ул. Инструментальная д. 8 пом. 74. показать на карте Телефон (812) 328-28-28 E-mail gazeta@dp.ru © 1993 - 2023 Все права защищены АО «ДП Бизнес Пресс»  Зарегистрировано Федеральной службой по надзору в сфере связи информационных технологий и массовых коммуникаций (Роскомнадзор) номер свидетельства ЭЛ № ФС 77 - 65426 от 18.04.2016г.  Функционирует при финансовой поддержке Министерства цифрового развития связи и массовых коммуникаций Российской Федерации.  Признаны в РФ иноагентами: ООО «Телеканал Дождь» АНО "Аналитический Центр Юрия Левады" НО «Фонд борьбы с коррупцией» (признана экстремистской организацией запрещена) НО «Фонд защиты прав граждан» (признана экстремистской организацией запрещена) ОД «Штабы Навального» (признано экстремистским запрещено)  Настоящий ресурс может содержать материалы 18+ Политика конфиденциальностиПравила использования информационных материаловОхрана трудаВход×Если вы уже зарегистрированы:Забыли пароль? Или войдите через аккаунт в социальных сетях — это быстрее всего! Еще нет учетной записи?ЗарегистрируйтесьЗагрузка....Please enable JavaScript to continue using this application.</t>
  </si>
  <si>
    <t>whoiswho.dp.ru</t>
  </si>
  <si>
    <t>VK / Главная</t>
  </si>
  <si>
    <t>Любимые сервисы в Одноклассниках и ВКонтакте. Играйте, находите нужное, знакомьтесь, следите за здоровьем и решайте множество других задач прямо в соцсети ...</t>
  </si>
  <si>
    <t>https://vk.company/</t>
  </si>
  <si>
    <t>VK / ГлавнаяenО компанииО компанииЧто такое VKОбразованиеКонтактыПроектыДля бизнесаКарьераКарьераКарьераВакансииСтажировкаПрессеПрессеПресс-релизыКонтакты пресс-службыБренд VKИнвесторамИнвесторамИнвесторамIR новости и событияОтчеты и материалыКорпоративное управлениеАкции и дивидендыIR блогАналитикиКалендарьКонтакты для инвесторовESGESGESGСоциальная ответственностьИнклюзивностьОтчетыESG блогСобытияVK — место встречиПомогаем людям и компаниям объединяться вокруг того что действительно важноМы соединили сервисы так чтобы вам было еще удобнее ими пользоватьсяЛюбимые сервисы в Одноклассниках и ВКонтактеИграйте находите нужное знакомьтесь следите за здоровьем и решайте множество других задач прямо в соцсети — скачивать отдельное приложение не понадобится. Все благодаря тысячам мини-приложений на платформе VK Mini Apps.Новый навык или новая профессияСовершенствуйтесь в профессии осваивайте новые специальности и навыки со Skillbox GeekBrains и другими образовательными проектами.Контент от блогеров авторов и брендовПосты и лонгриды познавательные и развлекательные видео — все это умные алгоритмы платформы Дзен подбирают в соответствии с вашими интересами.Место встречи с развлечениямиЛюбимые песни и новые релизы в VK Музыке лента роликов с трендами челленджами и шоу — в VK Клипах игры стриминг и киберспорт — в VK Play.Самые популярные российские приложения — в одном местеБанки маркетплейсы соцсети и многое другое — доступ ко всем популярным в стране отечественным сервисам в RuStore.Все что нужно для продуктивностиМы собрали все самые важные сервисы для повседневных дел — от Почты до Календаря. А справиться с задачами поможет голосовой ассистент Маруся.Для бизнесаСоцсетиАналитикаУстройстваМедиа и развлеченияПродуктивностьБлаготворительностьМагазин приложенийФинансыМессенджерыИгрыТовары и услугиОбразованиеОблака и данныеПресс-релизы10 ноября 2023RuStore соберет мобильных разработчиков на RuStore Mobile Conf10 ноября 2023Исследование VK: 57% пользователей планируют покупать бытовую технику и электронику в офлайне10 ноября 2023VK в пятый раз проводит День борьбы с кибербуллингом9 ноября 2023Результаты VK за третий квартал и девять месяцев 2023 года7 ноября 2023Музыканты смогут показывать рекламу треков и плейлистов слушателям других исполнителей с помощью VK Рекламы5 ноября 2023VK проведет концерт в честь открытия выставки-форума «Россия»Смотреть все пресс-релизыО компанииЧто такое VKОбразованиеКонтактыПроектыДля бизнесаКарьераВакансииСтажировкаПрессеПресс-релизыКонтакты пресс-службыБренд VKИнвесторамIR новости и событияОтчеты и материалыКорпоративное управлениеАкции и дивидендыIR блогАналитикиКалендарьКонтакты для инвесторовESGСоциальная ответственностьИнклюзивностьОтчетыESG блогСобытия© 2023 VK</t>
  </si>
  <si>
    <t>vk.company</t>
  </si>
  <si>
    <t>Группа ВКонтакте – рабочий инструмент педагога</t>
  </si>
  <si>
    <t>https://books.google.ru/books?id=o9IeEAAAQBAJ&amp;pg=PT65&amp;lpg=PT65&amp;dq=%D0%B2%D0%BA%D0%BE%D0%BD%D1%82%D0%B0%D0%BA%D1%82%D0%B5&amp;source=bl&amp;ots=u-Eh1_FqgI&amp;sig=ACfU3U1kVlJvxNLsN6tuPdM326mNg6tTVQ&amp;hl=ru&amp;sa=X&amp;ved=2ahUKEwj35-n8pr2CAxWYIDQIHZUEDmYQ6AF6BAg3EAM</t>
  </si>
  <si>
    <t>ВКонтакте - новости и статьи</t>
  </si>
  <si>
    <t>«ВКонтакте» — социальная сеть, принадлежащая Mail.Ru Group. По данным SimilarWeb, «ВКонтакте» является первым по популярности сайтом в России и на Украине, ...</t>
  </si>
  <si>
    <t>https://rb.ru/tag/vk/</t>
  </si>
  <si>
    <t>RB.RU — новые технологии бизнес и карьера в цифровой экономике                                    RB.RU                                                                    EVENTS                                                                    CHANCE                                                                    DATA                                                                    courses                                ЗакрытьРубрикиНовостиБизнесТехнологииПодкастКарьераСервисыEVENTSCHANCEDATAcoursesRB.RUО КомпанииРекламаПодпискаНаписать в редакциюВсе материалыСоциальные сетиTelegramВконтактеTwitterОдноклассникиViberДзенНовостиБизнесТехнологииПодкастКарьера                                                                                    Карта Fintech                                                                                                        Поиск                                            Меню-гамбургер                НовостиБизнесТехнологииПодкастКарьера                                                                                    Карта Fintech                                                                                                        Поиск                        Снижение дефицита бюджета РФ рост цены аренды складов инициативы властей для бизнеса: главное 11 ноябряПродолжаем следить за актуальными для предпринимателей новостямиПартнеры                            ​​Каким будет финтех в мире и России: тренды и прогнозы                                                В 2022 году объем мирового финтех-рынка составил $13384 млрд                    RB.RU                            Founders’ Mondays приглашает на встречу в Москве                                                Мероприятие пройдет 13 ноября                    DIG(IT)AL                            Стартовал прием заявок на RB Digital Awards 2024                                                Подать заявку можно до 1 декабря 2023 года                                            НОВОСТИ                                            Все НОВОСТИ                                                        10 ноября 09:29                                                                        «Яндекс Лавка» откроет даркмоллы в Москве и Петербурге                                                                        11 ноября 19:59                                                                        Проверки приложений с целью борьбы с VPN могут вредить бизнесу — «Ъ»                                                                        11 ноября 17:51                                                                        Поколение Z считает «экипировку» цифрового аватара важнее реального образа — 56%                                                                        11 ноября 15:30                                                                        Доходы организаторов концертов и шоу в 2023 году будут на 38% ниже 2019 года — около 365 млрд рублей                                                                        11 ноября 14:53                                                                        Xiaomi подала заявки на регистрацию товарных знаков для новой операционной системы HyperOS                                                                        11 ноября 13:23                                                                        Четверть студентов используют ChatGPT для повышения уникальности своих текстов — исследование                                                                                ВОЗМОЖНОСТИ                                                                                            12 ноября 2023                                                                                                        Экологические премии Правительства Москвы                                                                                                        12 ноября 2023                                                                                                        Студенческий агротех-акселератор                                                                                                        14 ноября 2023                                                                                                        Отбор прорывных ИТ-решений для бизнеса                                                                                                    Все ВОЗМОЖНОСТИ                                                                ОПЫТ                                    ЧИТАТЬ БОЛЬШЕ                                                    Юлия Обровец                                                                    Эксперт по недвижимости и инвестициям                                                                        Материнский капитал как инвестиция. Как заставить деньги работать на вас?                                                                        Мария Ковалева                                                                    Руководитель лаборатории образовательных технологий «Яндекс Практикума»                                                                        Как компаниям обучать IT-сотрудников до нужного грейда                                                                        Антон Макаров                                                                    Основатель Divan.ru                                                                        Тренды в развитии мебельного рынка в 2023-2024 году                                                                        Екатерина Махова                                                                    Адвокат Московкой коллегии адвокатов «Князев и партнеры»                                                                        Как разделить ИП при разводе                                                            БИЗНЕС                                            Все МАТЕРИАЛЫ                                                        Истории                                                                        Каким будет следующее поколение проектных менеджеров                                                                        Наставник дирижер или посредник?                                                                    Колонки                                                                        Ищем кадры: два варианта для компаний которые не могут найти «топа» на рынке                                                                        Как решить вопрос нехватки специалистов высшего звена в компании                                                                    Лонгриды                                                                        «Переехать в другую страну — это не rocket science». Как российские фаундеры строят маркетплейс для релокации                                                                        История стартапа Migrun                                                                    Колонки                                                                        Как начать продавать в Китай: топ торговых площадок                                                                        В Китае высокий спрос на росиийские товары                                                                    Истории                                                                        5 трендов в фудтехе на которые делают ставку инвесторы                                                                        От кофейных напитков до удобной еды                                                                    Истории                                                                        Жизнь после смерти: как зарабатывают на брендах-банкротах                                                                        Бренд мертв — да здравствует бренд                                                                    Истории                                                                        Китайские блогеры используют цифровых клонов для производства контента                                                                        «Только для показа не реальный человек»                                                                ВОЗМОЖНОСТИ                                                                    12 ноября 2023                                                                                                                            Экологические премии Правительства Москвы                                                                                12 ноября 2023                                                                                                                            Студенческий агротех-акселератор                                                                                14 ноября 2023                                                                                                                            Отбор прорывных ИТ-решений для бизнеса                                                                            Все ВОЗМОЖНОСТИ                                                        ТЕХНОЛОГИИ                                            Все МАТЕРИАЛЫ                                                        Истории                                                                        Neuralink Маска готова вживлять чипы людям — несмотря на скандалы вокруг ее экспериментов с обезьянами                                                                        По сообщениям многих из них столкнулись с тяжелыми последствиями                                                                    Истории                                                                        Эта перчатка позволяет чувствовать прикосновения в VR                                                                        Она стоит менее $1 тыс.                                                                    Истории                                                                        AI Pin от Humane: что известно о характеристиках и возможностях гаджета                                                                        Он задуман как смартфон без экрана                                                                    Колонки                                                                        Игра в цифровизацию: стоит ли бизнесу ее начинать и можно ли остановить                                                                        Цифра никогда не спит                                                                    Истории                                                                        Шведский стартап разрабатывает дороги которые заряжают электромобили во время движения                                                                        Власти Франции и Швеции уже заинтересовались проектом                                                                    Истории                                                                        Как работает Copilot — ассистент с генеративным ИИ на Windows 11                                                                        Пишет код и тексты запускает программы и не только                                                                    Истории                                                                        Агентства из разных стран внедряют ИИ в прогнозирование погоды                                                                        Технологии работает быстрее но менее предсказуема                                ПопулярноеИсторииКак узнать пароль от Wi-FiНовостиСтартап выходцев из Apple представил нательный гаджет AI Pin с ИИ-помощникомИсторииКаким будет следующее поколение проектных менеджеровНовостиСразу четыре венчурных фонда запустили совместную программу для стартапов на ранней стадииИсторииКак найти вирус на телефоне и удалить его: советы для пользователей Android                        КАРЬЕРА                                            Все МАТЕРИАЛЫ                                                        Истории                                                                        Что делать если вы — главный пессимист в команде                                                                        И как избежать репутации вечного скептика                                                                    Колонки                                                                        Как стать руководителем: памятка для начинающих лидеров                                                                        Почему важно любить свою работу и что такое мышление мультипликатора                                                                    Колонки                                                                        Как дважды два: как быстро освоить профессию разработчика онлайн-курсов                                                                        Одна из востребованных на рынке профессий                                                                     Колонки                                                                        Промышленный маркетолог — что это за профессия                                                                        Гайд по востребованной профессии                                                                    Истории                                                                        3 признака того что вы попали в токсичный коллектив                                                                        Позитивный настрой — не всегда хороший знак                                                                    Истории                                                                        Парадокс производительности: что делать если команда перерабатывает но не выполняет план                                                                        Выходим в зону обучения                                                                    Истории                                                                        Уроки серфинга корпоративные тату и отпуск по уходу за питомцем: самые необычные рабочие бонусы                                                                        Так работодатели обозначают свои приоритеты и причуды                                                                    Подпишитесь на рассылку новостей                                                                    Подпишитесь на новостную рассылку Rusbase                                ПодписатьсяНажимая на кнопку "Подписаться" вы даете согласие на обработку своих персональных данных.                                    Смотри другие рассылки в разделе                                                                     Про другие виды рассылок можно узнать в разделе                                                                         ПОДПИСКА                                    Подпишитесь на рассылку новостейПодпишитесь на новостную рассылку RusbaseПодписаться                                Смотри другие рассылки в разделе                                                            Про другие виды рассылок можно узнать в разделе                                                                 ПОДПИСКА                                RB.RU                            О Компании                                                    Реклама                                                    Подписка                                                    Теги                                                    Написать                             в редакцию                                                    Все материалы                        Сервисы                            Chance                                                    Marketplace                                                    Data                                                    Courses                                                    Pipeline                                        Социальные сети                                    Telegram                                            Вконтакте                                            Twitter                                            Одноклассники                                            Viber                                            Дзен                                            tiktok                    ООО «РБточкаРУ» © 2012-2023Хостинг и техподдержка:ПОЗИТИВНЫЕ СИСТЕМЫПолитика конфиденциальности××СообщениеСообщениеАвторизация                    С помощью социальной сети                                    Или с помощью e-mail и пароля                E-mailПарольРегистрацияЗабыли пароль?Регистрация на RusbaseИмяФамилияE-mailПароль                        Нажимая на кнопку "Зарегистрироваться" я соглашаюсь с условиями пользовательского соглашенияВход                    Если вы забыли пароль мы вышлем вам его на электронную почту                Ваш emailВход</t>
  </si>
  <si>
    <t>rb.ru</t>
  </si>
  <si>
    <t>Как взламывать страницы ВКонтакте? - Результат из Google Книги</t>
  </si>
  <si>
    <t>https://books.google.ru/books?id=AAdEDwAAQBAJ&amp;pg=PP6&amp;lpg=PP6&amp;dq=%D0%B2%D0%BA%D0%BE%D0%BD%D1%82%D0%B0%D0%BA%D1%82%D0%B5&amp;source=bl&amp;ots=Cbmv1q1O_4&amp;sig=ACfU3U3r2bGFqqfsyKL2QN4cb7S0F-ZCUw&amp;hl=ru&amp;sa=X&amp;ved=2ahUKEwj35-n8pr2CAxWYIDQIHZUEDmYQ6AF6BAg4EAM</t>
  </si>
  <si>
    <t>Женский бизнес ВКонтакте без миллиона в кармане</t>
  </si>
  <si>
    <t>https://books.google.ru/books?id=Y9OtEAAAQBAJ&amp;pg=PT9&amp;lpg=PT9&amp;dq=%D0%B2%D0%BA%D0%BE%D0%BD%D1%82%D0%B0%D0%BA%D1%82%D0%B5&amp;source=bl&amp;ots=mbXxJfFjik&amp;sig=ACfU3U0kploxm3bon0laFG4PxPbraGjEhw&amp;hl=ru&amp;sa=X&amp;ved=2ahUKEwj35-n8pr2CAxWYIDQIHZUEDmYQ6AF6BAg2EAM</t>
  </si>
  <si>
    <t>Срочно в паблик! 5 сообществ о правильном питании во</t>
  </si>
  <si>
    <t>2 дня назад —</t>
  </si>
  <si>
    <t>https://adindex.ru/publication/analitics/channels/2023/11/10/317153.phtml</t>
  </si>
  <si>
    <t xml:space="preserve">Новости рекламы и маркетинга | AdIndex.ruПоискЛичный кабинетГлавноеНовостиПубликацииИнтервьюСпецпроектыAdYummy!ПодкастыАфишаRSS-новостиРейтинги NewDigitalРекламодателиМедиасервисTechnologyКатегорииOOH и IndoorBTL/EventВсе рейтингиКаталогРекламные услуги / ATLМаркетинговые услуги / BTLДиджитал услуги / Digital serviceМедиа / MediaAdTech / MartechДругоеКаталогКейсыAdIndex TVЕщёКалендарь событийAdIndex MapsAdIndex City ConferenceAdindex AwardsДень БрендаDigital Brand DayВОЛНА/AdIndexКонтакты+7 495 789-47-49+7 909 622-90-02info@adindex.ruМы в социальных сетях: НовостиВсе новостиРассказываем главные новости за 10 ноября															20:18							 | ТенденцииШтраф Apple за дискриминацию реклама в WhatsApp и дата «раскрытия потенциала» ИИ от маркетологов — обзор новостей в зарубежных СМИ 															18:42							 | ТенденцииVK сказал #Неткибербуллингу и снял социальный триллер с Кристиной Асмус 															16:51							 | Социальные проектыПродажи нон-фикшн книг про игровую индустрию выросли на 20%															15:22							 | ТенденцииПочти 60% опрошенных россиян планируют покупать бытовую технику и электронику в офлайне 															12:18							 | ИсследованияНиколай Дроздов из «В мире животных» сделал «В мире "Зубастиков"» для «Вкусно — и точки»															11:10							 | КреативВадим Соколовский назначен генеральным директором «Амедиа Продакшн»															09:21							 | КадрыАктивность покупателей на распродажах сократилась на 4-7%															08:16							 | ТенденцииСпрос на приключенческий туризм в России вырос на 30%															07:50							 | ТенденцииРынок сервисов видеоконференцсвязи в России может вырасти до $40 миллионов															07:46							 | ТенденцииВсе новостиВ центре вниманияРассказываем главные новости за 10 ноября			                    											VK сказал #Неткибербуллингу Вадим Соколовский назначен гендиректором «Амедиа Продакшн» активность покупателей на распродажах сократилась	                    				                    	                                Штраф Apple за дискриминацию реклама в WhatsApp и дата «раскрытия потенциала» ИИ от маркетологовСрочно в паблик! 5 сообществ о правильном питании во «ВКонтакте»Алина Черешнева VK: «Клиентское счастье в любом случае нужно оцифровать»Новости партнеров«МегаФон» обнулит стоимость трафика в интернет-магазинахЕкатерина Куцына стала директором по развитию цифровых платформ«Эверест» рассказал об исследованиях рекламных кампаний10 ноября агентство SOCIALIST проведет онлайн-мероприятиеВ фокусеЗа что выбирают и с кем сравнивают: что можно узнать о конкурентах из соцмедиа			                    											Директор по маркетингу Brand Analytics Валентина Зыкова о конкурентном анализе данных соцсетей блогов и отзовиков на примере отечественных брендов косметики	                    				                    	                                Как общество воспринимает применение ИИ в бизнесе и быту			                    											Насколько широко ИИ проник в нашу жизнь и работу как применять нейросети в бизнесе и чего боятся люди используя такие технологии	                    				                    	                                РейтингиВсе рейтингиЛидеры рейтингов AdIndex#КомпанияРейтинг1MpStats №1Автоматизация продаж на маркетплейсах 20232Admitad №1CPA/партнерские сети 20233Buzzoola №1Мобильные видеосети 2023ПодкастыВсе подкастыИнтервьюМаркетинг и продажи: почему существуют конфликты и как их решитьИнтервьюИнновации в моде: как перемены в этой сфере влияют на мирКейсыКейс Adsup и сервиса такси Maxim: как c помощью Facebook Ads привлечь уникальных пользователей из АзииКейс Nectarin и «Мираторг»: как получить 48 млн показов за 2 месяцаКейс агентства «Логика»: как с помощью performance-маркетинга снизить стоимость лида более чем в два раза Кейс «Росст»: как увеличить долю перешедшей на сайт мужской аудитории более чем на 60%Кейс СТС и «Домклик»: как найти ключ к эффективности Кейс BYYD и «Черкизово»: как повысить узнаваемость бренда на 60% с помощью rewarded video adsКейс «Траектории» и агентства Kit Soler: как за три месяца снизить ДРР до 7% увеличив продажи на 15%Кейс AGM: как долгосрочные интересы из метрики сайта могут помочь в таргетированной рекламе Кейс «Самоката» и Adventum: как за месяц с помощью уведомлений увеличить выручку от пользователей в 25 раза ПубликацииВсе публикацииКаналыСрочно в паблик! 5 сообществ о правильном питании во «ВКонтакте» 				                    												Совместно с «ВКонтакте» представляем новую подборку пабликов: на этот раз AdIndex выделил самые популярные сообщества о правильном питании	                    					                    		                                МаркетингЗа что выбирают и с кем сравнивают: что можно узнать о конкурентах из соцмедиа				                    					                    		Чтобы узнать что потребители ценят в продуктах конкурентов почему  выбирают или сторонятся необязательно проводить дорогие исследования использовать промышленный шпионаж и конкурентную разведку. Пользователи…				                    		                                ИсследованияКак общество воспринимает применение ИИ в бизнесе и быту 				                    					                    		Насколько широко ИИ проник в нашу жизнь и работу как применять нейросети в бизнесе и чего боятся люди используя такие технологии. Об этом и не только говорится в первых двух частях исследования iConText…				                    		                                Технологии«Нейросети и человек работают в тандеме»: как Fix Price использует нейросети для работы с контентом				                    					                    		Генерация изображения для упаковки персонализация писем и создание раскадровок — какие задачи способны решать нейросети в ретейле в колонке для AdIndex рассказала директор по коммуникациям Fix Price…				                    		                                КонъюнктураМедиарынок ОАЭ: куда и зачем идти российским рекламодателям				                    					                    		Объединенные Арабские Эмираты уже несколько лет испытывают приток российских граждан в том числе предпринимателей. И перед ними встает вопрос продвижения на новых рынках. О том какие каналы стоит использовать…				                    		                                АгентстваЛидия Позднякова Adwile: «Важен тот месседж с которым бренд выходит к потребителю»				                    					                    		Несмотря на закон о маркировке рекламы нативная подача креатива в виде рекомендаций не теряет своей актуальности. О том что такое нативные ТГБ (текстово-графические блоки. — Прим. ред.) с какой суммы…				                    		                                КаналыСрочно в паблик! 4 сообщества о фактах во «ВКонтакте» 				                    												Совместно с «ВКонтакте» представляем новую подборку пабликов: на этот раз AdIndex выделил самые популярные сообщества о фактах дня	                    					                    		                                Культурный обменПсихология для пиарщика: 5 книг которые усовершенствуют ваши навыки коммуникации				                    					                    		PR-менеджеру который не умеет устанавливать контакты в работе приходится непросто. Кто-то без проблем делает это с детства а кому-то приходится работать над собой. Совместно с книжным сервисом «Литрес»…				                    		                                AdIndex TVАлина Черешнева VK: «Клиентское счастье в любом случае нужно оцифровать»Более половины потребителей собираются купить новогодние подарки на сезонных распродажахСергей Ефимов OMD Resolution: «Сейчас наступает такое время когда брендинг важнее чем перформанс»Афиша09/11Матемаркетинг14/11Большая конференция маркетолога22/11China Business Forum23/11«Продажи Главное»30/11Tinkoff eCommerce 202330/11Тенденции и новинки корпоративного образования-202330/11AdIndex Awards01/12Russian Creative AwardsСпецпроектыЛучший подарок рекламщику			                        						                    													Совместный проект Мегамаркета и AdIndex о подарках и заботе. Играйте в игру делитесь своими историями с коллегами по рынку и получайте подарки от обновленного маркетплейса.					                    				                            	                                	                                Как защитить медийный проект вместе с Яндекс Рекламой					                        								                    								                    		Вместе с командой Яндекс Рекламы мы создали интерактивный гайд по защите медийного проекта: в нем вы вместе с нашим героем столкнетесь с коварными вопросами трех экспертов об охватах бюджетах и эффективности.…							                    						                            	                                        	                                        Go Up 2023: «На пороге рекламной сингулярности»					                        								                    															Выездная конференция AdIndex о том как изменяется рекламный рынок и какое будущее нас всех ждет.	                    								                    						                            	                                        	                                        AdIndex City 2023. Весь контент конференции					                        								                    															О чем говорили на AdIndex City Conference. Записи секций презентации интервью со спикерами и другой полезный контент. 	                    								                    						                            	                                        	                                        РейтингиВсе рейтингиЛидеры рейтингов AdIndex#КомпанияРейтинг1MpStats №1Автоматизация продаж на маркетплейсах 20232Admitad №1CPA/партнерские сети 20233Buzzoola №1Мобильные видеосети 2023Adindex MapsTechnology Map 2023Advertising Map 2023Digital Map 2022/2023Technology Map 2022Advertising Map 2022Digital Map 2021Technology Map 2021Advertising Map 2021Digital Map 2020Technology Map 2020								© Сетевое издание AdIndex.ru 2023								Условия перепубликации                                	Решение Федеральной службы по надзору в сфере связи информационных технологий и массовых коммуникаций (Роскомнадзор) от 07 марта 2017 года. ЭЛ № ФС 77 - 68950									Учредитель: ООО "А.А.И."									Главный редактор: Эшназарова Татьяна Азаматовна								Вся информация о лицензии СМИПолитика конфиденциальностиПользовательское соглашениеПоложение об обработке персональных данныхСогласие на обработку персональных данных                                	На сайте AdIndex.ru применяются рекомендательные технологии (информационные технологии предоставления информации на основе сбора систематизации и анализа сведений                                	относящихся к предпочтениям пользователей сети «Интернет» находящихся на территории Российской Федерации). Подробная информация																	МенюО проектеРеклама на сайтеПартнерыКаталогНовостиНаши продуктыРейтингиAdindex Print EditionAdindex MarketAdindex MapsМы на связиКонтактыRSSTelegramВКонтактеОдноклассникиRutubeinfo@adindex.ruНа главнуюГлавноеНовостиПубликацииИнтервьюСпецпроектыAdYummy!ПодкастыАфишаRSS-новостиРейтингиDigitalРекламодателиМедиасервисTechnologyКатегорииOOH и IndoorBTL/EventКаталогКейсыAdIndex TVЕщёКалендарь событийAdIndex MapsAdIndex City Conference2023202220212020201920182017Adindex Awards2022202120202019День Бренда2022202120202018Digital Brand Day2023202220212020-22020ВОЛНА/AdIndexКонтакты </t>
  </si>
  <si>
    <t>adindex.ru</t>
  </si>
  <si>
    <t>Описание: ВКонтакте объединяет миллионы людей, позволяя общаться и обмениваться новостями из любой точки мира. Вы сможете отправлять сообщения, делиться ...</t>
  </si>
  <si>
    <t>https://4pda.to/forum/index.php?showtopic=246233</t>
  </si>
  <si>
    <t>4PDA����������������������� ������ ��������������������������� ������ ������������������������ ������ ������������DevDB������� ����������� � ��������������� ������ ������������������� �������������� ������ ��������������-������������� ������ ����������������������������������� ��������� ���������������������������� ��������� ����������������� ������������ ��������� ������������������������������ ��������� ���������������������������� ��������� ������������������������� ��������� �������������������������������������������� ������ ��������������������������� ������ ������������������������ ������ ������������DevDB������� ����������� � ��������������� ������ ������������������� �������������� ������ ��������������-������������� ������ ����������������������������������� ��������� ���������������������������� ��������� ����������������� ������������ ��������� ������������������������������ ��������� ���������������������������� ��������� ������������������������� ��������� ���������������������    ���2011.11.23News��������� ���� ������-������: ��� HUAWEI MateBook D16 �������� � ������?����������� ����������� �� �� �������� ���������� ����� ��� ������������. � ��������� �� ����� �� �������� ����������� ����� � ��������� � ����� ���������. � HUAWEI MateBook D16 ���� ��� ����������� ��� ���������� ������ ����� �� �������. ������������ ��� ��������� ��� ������ � �������� ������������ ������������� �������� ����������. # HUAWEI HUAWEI MateBook D16�����2711.11.23������ �������� ������� ������� ����������� �� ���������� �� ����� ���������� �������������� �� ������ ��������� ���� �� ���������� �� ����������� ���� ��������� ������������� ���������� � ����. ������� ������ ����� ����� � 200 ������� ����������� ������� ���������� ���������� ������������� ������ ��������� ����� �������� ������������ ����������� �� ���������. �����&lt;div&gt;&lt;/div&gt;&lt;div&gt;&lt;/div&gt;&lt;div&gt;&lt;/div&gt;&lt;a href='/2023/11/12/5941970/' target='_blank'&gt;&lt;img src='https://4pda.to/s/as6yz0trtkPQebz1ermz2EylMGHkIz0lgV7WHDqKU6O5VrENk8Tc05ciIvOk.jpg'  title=''  /&gt;&lt;/a&gt;&lt;div &gt;&lt;img src='https://4pda.to/s/as6yvl4DoepPz1rrtZNkaja13rwHs.gif'     /&gt;&lt;/div&gt;&lt;div&gt;&lt;/div&gt;&lt;div&gt;&lt;/div&gt;1611.11.23������ �����Xbox �������� ����� 20 ��� ��������� �� ������� � � ��� ���� ������ ��� � 2022-�Microsoft ���������� �������� � ���������� � ������� �������� �� �������� Xbox. � �������� ���������� ���������� ����� ���������� ������� �������� �� ����������. # Microsoft�����2911.11.23������ ���������� ��������� ��������������� ��� ���������������� Blind Spot Gear �� ������ ������� LumiCard � ����� ������� ���������� �� �������� � ������ ���������. ���������� �������� � ���������� �������� ������������ ������� � 500 ����� �������� ������� ��� �������� ���� � ������ �������.  �����6511.11.23������ ������� ������� � ���� ��������� ������� ����� � ����������� LTA Research ������������� ����������� Google ������� ������ ��������� � ������ ���������� ��������� ��������� Pathfinder 1 � ������ �������� � ���� ������������ ��������. � ����� �������� ��������� 1245 ����� � ��� ����������� ��� Boeing-737. ����� �����811.11.23News����� ILIFE T10S: ��� �� � ���� ����� � �� ����� � �� ����������� �� ������� ����������� ����������� �������-��������� �� � ����� ��������� ������ � ������������� ���������� �������. ��� ������ ������������ ������������ ��� ���� ������� ��������������� ������� �������. ��� � ���������� ILIFE T10S. # ����� ILIFE ILIFE T10S�����1111.11.23������ ���������� ������� ���������� ������� ��������� �������� �� ������������������� �� ������������� ������������ ������������ � ������������ ������� ������� �������� ��� ��������� ������������ ������� ��������� ������������. ��� �������� ���������� ������� �������� � ���������� �������� �������������� ���� �� ������� ���� ����� �������� �� ����. �����&lt;div&gt;&lt;/div&gt;&lt;div&gt;&lt;/div&gt;&lt;div&gt;&lt;/div&gt;&lt;a href='/2023/11/12/8196196/' target='_blank'&gt;&lt;img src='https://4pda.to/s/as6yz2pQlot8w5b66uz0WbaVlcz2gBfXZYRHamFXO0knf7BPCQ8hdpD1t3K.jpg'  title=''  /&gt;&lt;/a&gt;&lt;div &gt;&lt;img src='https://4pda.to/s/as6yu42hlyXjD7kQLqbvVMOGid.gif'     /&gt;&lt;/div&gt;&lt;div&gt;&lt;/div&gt;&lt;div&gt;&lt;/div&gt;1511.11.23������ ������������ OTEC ������� ������� ������������ ������������������ ������� Global OTEC ������ � ���� ����� ��������� ���������� �������������� �������� ������� ������ ��� ��������� ��������� ����������. ��� � 2026 ���� ����������� ���������� ��������� ��������� 15 ��� � ������������������ ���-���� � ��������. �����1011.11.23������ ���������� Baldur�s Gate III �������� ���-������� ��� ��������� ���� Paramore [�����]�� ����� ����������� Baldur�s Gate III ������ ����� ������������� � ������ ����������� ����� ������� � ����������� �������. � ���� �� ���������� ��� ������� ��������� � ������� ��������� ��� ������������� �����������. �����1211.11.23������ ����������� �������� ��������� �������� ��������������� �������������� ���������� ����������� � ����������� ���������� ������� ����� � ������� ����� �������� ����������� ������ ��������� �������� MACS0416 ������� ��������� � ���������� ������� ���� ������� ���������. ��� �������� ��������������� ������ ��-�� ���� ��� ��� ��������� � ����������� ���������� ��������� ���������� �����. �����3111.11.23������ �������Ulefone Power Armor 18T Ultra � ������������ � ������������ � ��� �� 9600 ������������� �������� � ��� �� ������ ������� ������� ��� ����������� �� � ������ ���������� ����� ��� ������������ ������ �� ��������� � �������� �������������� ������������. �������� Ulefone ������� ����������� ����� ��� ��������������� ������� ����� Power Armor � �� ���������������� ������� � ������������ ���������������� ����������������. �� 17 ������ �� ����� ���������� �� ����������� ����. # Ulefone Ulefone Power Armor 18T Ultra�����3011.11.23������ ���������� ���������� Samson ������� �������������� � ���� [�����]�������� �������� ���������� Samson Switchblade �������� ���� ������ ����� � ������������� ��������� �����-������ � �����-����. �� ����� �� ������ 150 ������ ������� ������ �������� �������� ����� 6 ����� ����� ���� ������ �����������. �����3311.11.23������ ����������� ���������� �� ����� ������� ���� ����� ��������� ������������� ������� �� ������� ������� Decluttr ������� ������������ ���������� �� ������ ������������ ������� ������������ ���������� �� �������� (NEISS). ���������� ���������� ��� ���������� ������ ��������� � �������������� ������� ���� �������� ������ � ��������� ������ ���������� ����� �� ����� ������� ���������. �����1311.11.23����� ���������KUMI KU6 Meta: ������ �� ���� ������ ������ � NFC ����� ��� �� 2000 ���������������������� �� ������� ������� �������� KUMI ������� ������� � ���������� ���������� �� AliExpress. �� ����� ��������� ���� ����� ���������� ����� ���� KU6 Meta ����������� �������� �� ������ ��������� ������� ����������� ���������� ���������� � ��� � ��� ���� ���������� ������ NFC.  # KUMI KUMI KU6 Meta�����2811.11.23����� ��������������������� OnePlus Watch 2: ��������� ����� ������ � ������ �������������� �������� OnLeaks ����������� ������ ����������� ������� ��������� ����� ����� �� OnePlus. ��� ������� ����������� ������ ����������� ����� ����������� ��������� �� Qualcomm � ��� �������������� ����� ������������ �������.  # OnePlus OnePlus Watch 2�����1611.11.23������ ����������� �� ��: ���������� ������ �� ���� ������ ������ ����� ������� ��� ���� ��������� ����� ������ �������� ��� ������ ������ ������� ����� ���� � ���������� � �������� �� ����������� �� ��������� Warhammer 40000. ���� ������ ������������ � ����� ��� ����� ����� ������ ��������� �� � �������� �� ����������� ������. �����2911.11.23����� ���������Dreame L20 Ultra: ������ ��� ������� �� ���� ����� ���������� ��������� ��� ����� ��� ���������� �������-��������� � ������ ��� ����� ������ �� ���������� ��������� ��� ����������� ��� ���������� ������. �� ������������� �� ����� �� ����� � ��������� ����������� ���-�� �����. �������� Dreame L20 Ultra ����� ����� ������� ����� �� ����� ����������� � ����� ��������� �� �����. � ��� ���������������� ��� ��� ������ �����.  # Dreame�����2511.11.23����� ��������������� �� 40% �� Infinix: ��������� �������� � �������� �� �������� ������������� Infinix ������ �������������� � ���������� ���������� ����������� ������� � �������� ��� �� ����� ��� ���������� ���������. �� ������� �� 40% �������� ����� ���������� ��������� �� ���� �� 7990 ������ �������� � ��������� 8000 ������ � ������������ �������� ����� ��� �� ������ ������. # Infinix�����3211.11.23������ ��Porsche �������� ����� ��������� ���������� ������������������� ����������������� ���������� ������ � ����� ����������� ������� Panamera ������������� � ��������������� �� �������� ��������� ���������� Porsche Driver Experience. �����������  ������ �������� � ����� �������� �������� ����������� ����������� ��������� ���������� � �������� ���������. # Porshe�����2411.11.23����� ���������Kingroon KLP1 � ������������ 3D-������ �� ��������� ���������� ������� 3D-�������� ������ �������� �� � ���������� ��� ������������������� � �������� ����������. �������� � ������� ������ �������� ����� ������� ���� ��������� ������ �� ������ ������ ����� ��� ������ �������� ��� ���� ������������ �������� ������� ������ ��� ������ ������. � ��� �� ������ ��� ������������� � ������� �����. �� ����� ������� ��� 3D-�������� � ���������� � ��� ��� �������� ���������. ����� ������ � ������ Kingroon KLP1 �������������� �� ���������� AliExpress �� ��������� ����.  # Kingroon�����2211.11.23������ ��Microsoft ��������� ����� ����������� ������������ ChatGPT��� ����� ������� � �������� ���� ������� �� ��� ��������� �������� �� ����� �� ������������? ��� ���������� Microsoft ��������� ����� ����������� ������������ ���������� ���-��� ChatGPT � ���������� �������� ��� ��������� ���������������� �������. # Microsoft OpenAI ChatGPT OpenAI����� ����������6330.10.23������ ��������Samsung ����������� ������-������� ����������� Z Flip5�� ������ 20-����� ��������� ����������� Samsung E700 �������� ��������� ����������� ������ ��������� ��������� Z Flip5 � ���������� Retro. ������� �������� � ������������ ��������� ������ ������������� � ������� ��������� ����������� ������� �� ����������� ������. �����1511.11.23������ ���� Rimac Nevera ���������� ����������� ������ ��������������������� �������� Rimac Never� � ��������� ��� �������� ������� ������ � �� ���� ��� �� �������� �������� ������ �����. ������ ��� ���������� �� ����� ATP � �������� ���������� ��� ������ ����� ���� ��� �� ������������� �� ���� ���� ��������� ����� 23 ����������. �����5811.11.23������ �������-�������� ����� ��������� ������������ ����������������� ����� �� ������������ �������� Dictador ������� �� ����� ������ ������������ ��������� ������������ ������ ������������ �������� Hanson Robotics. ���������� ��� � �������� ���� ����������� ������������ ����� ������. �����1211.11.23������ ���������� Starfield ������� ����� ����� �������� �� ����� Bethesda �������������������� ������� ����� Starfield ������ ��� �������� ����������� ������� ������ � �������� ���������� Bethesda ���������� �� ���� ����. � ��� �� �������� �������� ����� ������������ Deus Ex � ���� ��-�������� �����. �����4111.11.23����� �������������� �� ����: Blackview Tab 18 � ������� ������� �������� �� ��������� ����� ����� ���������� ��� ������� �� AliExpress �������� Blackview ���������� ����� ���������� ��������� Tab 18 �� ��������� ����. � ���� ������� ����� ������ �������� ����� ������ ����� ����������� ��������� ��-������ � ��������� ���� � ��� ��� �����? �����2511.11.23������ ���������� ������ ������ � ������������ ��������� ������������������� ����������� ��������� (ESA) ����������� ������ ����������� ���������� � ������� ������������ ��������� ��������. �� ��� ����������� ��������� ������ ���������� ��������� IC 342 ������������ ��������� NGC 6822 ������� �������� ��������� NGC 6397 � ���������� ������� ������. �����5611.11.23������ ������ ����� �������� � �������������� ��������� ��������� ������� � ������������ Airloom Energy �� ��������� �������� � ���������� ���������������� ������ ���� ������� ����� ����� ������� ��������� ��������� �������. � ����� ���������� � ���� ����� ������ Breakthrough Energy Ventures ��� ����������� �� �������� ������� 4 �������� �������� ���. �����3311.11.23NewsWhatsApp ��������� ������������� �� ������ �������� Rockstar ������� ������� GTA VI. ������� �� ���������������� ������ ������� ��������� ���� ����. � ���� �������: Xiaomi 14 Pro iPhone 15 Pro Max � Galaxy S23 Ultra � ���������� �������� ������� WhatsApp � ����� �������� GTA VI. # weekly�����3711.11.23������ ��� ����� ����� ��������� 44-������� �������� ������������������� ������� Lyte Aviation ������� � ����� �������� 44-�������� �������������� �������� � ������������ ������� � ��������. ���� ��������� ��������� � ������������ ��������� � 300 ��/� � ���������� ������ ����� 1000 ���������� ��� ���������� ��������� Rotodyne 1950-� �����. ����� ����������18230.10.23�������� ������������-��������� Microsoft ��������� � �������� �������� ������� Windows Phone����� �� ������ Microsoft � �������� �������� ���������� �� Windows ���������� ������� ������ � ������ ������������ ������������� Windows PhoneExperience. � ����� ����� � ������� X �� ������� ��������� �������� ����������� ������� ��������� ��������� � ��������� ��. �����1011.11.23������ ���������� ������ � ��� Microsoft ���������� �������� Game Pass � ������������� ��� ����� ����� �������� � ��������� Microsoft ������ � 2024 ���� ���� �� ������� ����������� � ���������� ������ � Xbox Game Pass Ultimate. �� ����� ������� ����������� � ��� � ���������� ���� �������� �������� ����� �� �������. �����5711.11.23������ ��� Tesla Cybertruck �������� ������������ ���������� ����� [����]�� ��������� ������ �� ���������������� ������ �������� Cybertruck  ����� ��� ����������� ������� ����������� Tesla ��� ������� �� ����� �������������� ������ � ����� ������ ����� � �����-������. ��� ������ ����� ������� ����� �� ��������� ���������� � ������ �����.  # Tesla Cybertruck�����2511.11.23������ ��NASA ������������ � ������ �������������� ����� �������������������� NASA ������������ ��� � ���������������� ���������� �������� ���� ������ ���� ����� ����������� �� ����������� �������� �������. ����� ������� ������ ���������� � ���������� ���� �������� ������ ����������� � ����� ��������� �����. # NASA�����4210.11.23����� ���������Oukitel OT5: ����� 12 ������ ��������� Helio G99 �� 32 �� ��� � ����� ���������������� �� ������� ������ � ���������� �� ���� �������� ���� ������� ��� ��������� ����� ��� ������ � ��������� � ������ �����. � ��� ������ ��� ������ ����� ������ ������ �����. � ������ �� ���� Oukitel ��������� ������� OT5 � 12-�������� ��������. ������� � ���� ����������� ������������ ����� ������ � ����� �����������.  # Oukitel Oukitel OT5����� ����������242.11.23�������� ���������������� ��������� Redmi ������� ������� ������� HyperOS��������� ���������� ��������������� Redmi �� ������������� ����� ������������ ������� HyperOS. � ������ ������ ���������� ������� ������� ����� �� ����� ����� ��������� ������� ��� �������������� �����. �����21810.11.23����� ��������������: ��� ��� ���������� �� ������� ��������� ���������?�� ��������� ��������� ��� �������� ��������� ������������ �� ����������������� �������� � ����������� ��������� ��������� ���������. ���������� ��� ������ ������� � ��� ����� � ������������ ���������. �� ��� ��� ��� �������� ������� ������� � ���� ����� ��� ������ ��������������� ������������� �� �� �������. ���-�� �������� �� �������� �������������� ���������� �� ������������� �������. ������ ������� ��� ������������ ��������� ��� ��� ������� � �������������. ��� ������� �������� �������� �������� ����. ������������ � ���������� � ������������ ��� ����� ��� ���������� �� ������� ��������� ���������? # �����������3110.11.23��������� ���������� ���������. ��������� ������ ��������� DLSS � FSR � Starfield [�����]����� ���� Starfield �������-�� ������� � ���� ��������� DLSS 3.5 � � ��� ��������� ������ ����� ���������� � �� ��������� � FSR. ���� ������� �������� NVIDIA �������� ������� �����. �����2010.11.23������ ��������������� #3176: ��������� ����������� Samsung Polestar Phone � vivo Y79+� ���� ������� ��������: Samsung �������� ��� ������� ������������; Polestar Phone ����� �� ����� �� ������; � ���� ���������� ���������������� �������� vivo Y79+. # Samsung vivo ������� Polestar�����6810.11.23����� ���������Sony PlayStation Portal �������� �� Steam Deck [�����]�� ��������� ���� �� ������������ ������ ������ � ���� ������ ���������� ������ ����� � ����������� � ������� ������ ������������ ���������� �� Sony � PlayStation Portal. ��������� �� �������� �������� ������ � ������� ������������ Dualsense �� PlayStation 5 � Steam Deck �� �������� Valve. # Sony Sony PlayStation Portal�����1310.11.23����� �������������� ����-�� �� AyaNeo �������� Nintendo NES � ������ Apple Mac��������� ��������� ������������� ����������� ��������� AyaNeo �������� ����������� ����� ����� ������������ ������������. � ����� ���� ������ ���� ����� ������� ���� �� �� ������ ������� ���� ��� ����������� ������� ������������ Apple � Nintendo.  # AyaNeo�����6110.11.23����� ������������������ � ������ ��������� ����� ������ ����������������� ����� ����� ���������� �� ����������� ����� ������������� ����� ����� �������������� ���������� ��� ������ ���������� �������� ��� ����������. ����� ������� ������ ��������� � ������� ����� ������� �������� �� ��������. # �������� ����������956.11.23��������� ��������Bethesda �������� ������� �� ������� Starfield �� ���� ��������� �������Starfield ����� ��������� �������������� ��� ��������� ��������: ������ ��������� ������ ������� � ���� �� ��� �� � ����� � ������� ����� �������� ������� � �������������� � ������������� ��� �����-���� ������ ����. ������� �� ��� ����� ������ �������� �� ������� ������� �������. �����810.11.23�������� �������EGS ������� ����� Golden Light ��������� � ������������ � Epic Games ���� ������������ ������ �� ������ ������� �������� �� ���������� ������������ �� �������� ������� ���������� ��� ����� ���� �������� �������. �� ���� ������ � ������� ������������� Epic Games Store ������ �������� ����� ��������� ��������� �����-������. �����1710.11.23����� ���������������� � �������: ������� ���������� ����������� Ugreen ��������� � ������� ������� ������������� ����������� Ugreen ������� � ����� ������� � ������� ���������� ���������� �� AliExpress. �� ��������� ����� ����� ����� ��������� ������� ��������� ���������. �������� ����������� � ���������� ���������� ������� ���������� ������������ ����������� � ���������� � ������������ �������������. # Ugreen�����4610.11.23����� ���������Apple Samsung � Google ������������ ��� �������� ������� ��������� ����� ���������������� ��������������� �������� ���� ������������ ����� ������� ����� ����� ������� ������� � �����. ��� Apple Google � Samsung ��������� � ��������������� ����� ������ � ����� ������� Allegion Assa Abloy Qualcomm � NXP �������� � �������� ��������� ��������� ��� �����-������ � �������� ������ Aliro. # Apple Samsung Google�����4210.11.23����� ���������Google ���������� ������� ��� ������������� Android-����������Google �������� �� ���������� � �������� ��� ������������� �������� ����������� ���� ���������� � ��������� �������� Google Play. ������ �������� ������������ ��������� ��������������� �� �������� � ������������ �������� ��� Android. # Google Google Play�����1810.11.23�������� �������������: ��������� Mass Effect ������ �� ������ 2029 ����������� BioWare ������ ���������� ������� ������� ��������� ����� ����������� ����� Mass Effect. ������ ��������� �������� ��� ������ ������ ��� � ��������� ���� �� ��� �� �� ���. �����2010.11.23������� �������������� ����� ��� � ��������� �������� OnePlus Pad Go?������ ������� �� OnePlus �������� � ����� ���������� �����������. ������ ���������� 90-�������� ������� � ����� �����������. ��� ���� ���� ������� ����� �� ��������� � ������������ Pad. �������� ������ ������ �� ��������. # OnePlus OnePlus Pad Go�����4210.11.23����� ����������������� ��������� ������ ������� ������ ��� ������ ����� ���������������� ��� � ��������� ��������� ����� ������ ����������� �� �����-����� � eSIM ������������ ��� �� ����� ��� � �� ���������. �������� �������� ������ ����� ��� ������ ��������� ����������� ����������� ��� ���������� ���������. # �����������4010.11.23����� �������������� �������� Digma �� ��������� � ��������� ������������� Digma ������������ �� ���������� ����� ����� ������ ������ ��������� ������������ ���������: BT-15 BT-16 BT-17 � BT-18. ��� ������������ ����������� ��� �� Bluetooth ��� � � ������� ������ ��� ��������� �� ������������ � ������� ����������� ���������. # Digma�����1410.11.23�������� ������������� ������������. ������ ����� Arcane ����� ���� �������� [�����]Riot Games ��� �������� ��� ����� ��� ��������� ��������� League of Legends � ������� ����-����� �������� � ����������� ������ ������ ����� �������� ��������� ������������� ���� ����������� Arcane ������� �������-�� ������� ���� �������� ������� ������. �����2410.11.23����� ���������FOSSiBOT F101 Pro: ��� ������ �������� ����������� � NFC���������� ������������ ����� FOSSiBOT ����������� ����� ��������� �������� F101 Pro. ����� ��� ���������� � ���������� ������������ ����������� ������� ������� ��� ������ � ��������� ������������� ������ �������. � ��� ��� ��� ���� ����� 10 000 ������. # FOSSiBOT FOSSiBOT F101 Pro�����5710.11.23������ ��������Xiaomi Pad 7 Pro ������� ��������� Snapdragon 8 Gen 2�������� Digital Chat Station ������� ����� ������������� ��� �� ����������� ������������ �������� Xiaomi Pad 7 Pro � ����� ������� ������ ����������� ��� �������� ���� � Snapdragon 8 Gen 2. ������ MySmartPrice �������� ������ ����������� �� ����� ����������. # Xiaomi Xiaomi Pad 7 Pro�����4110.11.23����� �������������������� ����� Qualcomm ����������� ��� � �� ����������������������� � ������ ���� ���������� ����������� ����� Snapdragon Satellite �� Qualcomm ������ ���� ���������� �� ������ �������� 2023-�� �� ����������� �� Snapdragon 8 Gen 2. ��� �������� � ����� � ��� ����� ���������� �� ���� Snadragon 8 Gen 3 � � ����������� ����� ������ �� ������. ������ ����� �������� ������� ����� �������.  # Qualcomm�����13910.11.23�������� ���������� �������� ������ ������ �������� ���������� ����������� ������ ��������� TelecomDaily�������� �� ���� �������� ���������� ��������� � ������ ������� ���������������� ��� �� 20% � �������� �� ���� ���������� ���������� ���������. �����2510.11.23�������� ���������Philips ��������� 48-�������� ������� ������� � Windows Hello�������� Philips ��������� ����������� ��������� ����� ������� 49B2U5900CH. ������� �������� �������� � ������������ ��������� ����� � ����� ���� ����� ����������� ������� �����������. # Philips�����2110.11.23�������� �������������������� Chery Luxeed S7 � ������������� ����� �������-������ �� ��������� HUAWEI����������������� Chery�������� ���� ������ ������������ Luxeed S7. ������� �������� � ���������������� ������������� ����� ���������� ����� ������� ����� �������� ��������� �� �� �� HUAWEI. # Chery Chery Luxeed S7�����1310.11.23�������� ��������������� OPPO Reno11 �������� �� ������� � ����������� ����OPPO ��������� ��������� ��������� ���������� Reno �������� ������ OPPO Reno11 � ����� �� Pro-������. � ���������� ������� ������� ����� �������� ������������ ������ � ������������� ������ ����������� ����������������� ����� �� ������ ��������. # OPPO OPPO Reno11�����810.11.23�������� �������� ������ ����. Sony �������� ��� ����� �������� ���-��������� ��������� ����������� ������� �������� ��������� ������� ���� ������ ����� �������� ��������� ����-������� ���� �� ������. Sony ������ �� ���������� � ������� � ������������ ���������� ����� �������� ������ ������� �������� ������ �� ��� ���� ������ ��������. �����3310.11.23������ ��������Infinix Smart 8 � ������� 90 �� � ������������� ���������� ������� � $102�������� Infinix ����������� ��������� �������� Smart 8. ��� ������������� ����� ���������� ������������� ����� � ������ ��������� ������������ � ������������ ������������ ���������� ����������� ������ � ��������� �������� �������. # Infinix Infinix Smart 8�����3510.11.23������ �������Teclast T40HD: ����� ������ 2K-������� � ���������� �� �������� ����������������� ����� ������������ Android-�������� � ������� ������� � ������� ����������� ������� ������������ � ���������� ������ ��������. ��� ���� �������� ���������� �� ����������� ����� �������: �� 17 ������ Teclast T40HD � ������������ ������� ������ � ������������� �� 7200 ��� ����� ���������� �� ����������� ����. # Teclast�����1510.11.23�������� �������� ���������� �����. Call of Duty: Modern Warfare III ���������� ��� DLC�������� Call of Duty ����� ��������� �������� ������ ������ Call of Duty: Modern Warfare III ����� ��� ������� �������� � ���� �� ������ ����� ��� �� ��� �� ��������� ������ �������� �� ���������� � ������� ��������. ��� ������� ������� ������ �� Bloomberg � ����������� ��������� ������ ������� �� ������� ����������� ������� ��������. �����4610.11.23������ ��������Soundcore�Space One � �������� � ANC � 55 ������ ������������. ������� ����� � ������?�������� Anker ����������� �� ���������� ����� ��������� ������������ �������� Soundcore Space One. �� ������� ����������� � �������� �������������� � �� ��������������� ��� ������������ ���������� ���� ������� ���������� �����. ����� ���� ������� �������� ��������� ������ LDAC � ����� ������������ ������������ ������������� � ��������� � �������� ������� �������. # Anker Anker Soundcore Space One�����1234567� ��������������� �������������������� �������������� ��������������� �� ��������������� ������������������������ ���������� ���������������� Cooperation information in EnglishDevDB������� ��������� ���������DevFAQ���� ������ �� ��������� ��������������� �� ����� ������/�������� � ������ �� ����� ����� �������� ����������� � ������� ������� Ctrl+Enter � �������� ��� �� ���� ���������� (������������ � ������������ �� ������������).© 2005-2023 «4PDA».4PDA® - ������������������ �������� ����.������� �������������� ��������������� �� ���������������</t>
  </si>
  <si>
    <t>4pda.to</t>
  </si>
  <si>
    <t>Продвижение бизнеса в ВКонтакте. Системный подход</t>
  </si>
  <si>
    <t>https://books.google.com/books?id=1SiBDwAAQBAJ&amp;pg=PA230&amp;lpg=PA230&amp;dq=%D0%B2%D0%BA%D0%BE%D0%BD%D1%82%D0%B0%D0%BA%D1%82%D0%B5&amp;source=bl&amp;ots=8eiscguiLp&amp;sig=ACfU3U3Myl-LNiXqfTeWxbR8zghWdhCkRQ&amp;hl=ru&amp;sa=X&amp;ved=2ahUKEwiPnqPLjLuCAxVFv4kEHT4bBGwQ6AF6BAgYEAM</t>
  </si>
  <si>
    <t>Социальные сети: ВКонтакте, Facebook и другие...</t>
  </si>
  <si>
    <t>https://books.google.com/books?id=geX3zaFHfpIC&amp;pg=PA49&amp;lpg=PA49&amp;dq=%D0%B2%D0%BA%D0%BE%D0%BD%D1%82%D0%B0%D0%BA%D1%82%D0%B5&amp;source=bl&amp;ots=t-Yped9sTI&amp;sig=ACfU3U0GY7muTOVzK3ch4TCOAeDChM6Jbw&amp;hl=ru&amp;sa=X&amp;ved=2ahUKEwiPnqPLjLuCAxVFv4kEHT4bBGwQ6AF6BAhJEAM</t>
  </si>
  <si>
    <t>https://books.google.com/books?id=o9IeEAAAQBAJ&amp;pg=PT27&amp;lpg=PT27&amp;dq=%D0%B2%D0%BA%D0%BE%D0%BD%D1%82%D0%B0%D0%BA%D1%82%D0%B5&amp;source=bl&amp;ots=u-Eh00JsgG&amp;sig=ACfU3U3p2o0fR8QW4K9_vFT4WQMJ8Q2byQ&amp;hl=ru&amp;sa=X&amp;ved=2ahUKEwiPnqPLjLuCAxVFv4kEHT4bBGwQ6AF6BAhNEAM</t>
  </si>
  <si>
    <t>Код Дурова. Реальная история «ВКонтакте» и ее создателя</t>
  </si>
  <si>
    <t>https://books.google.com/books?id=Ka61AAAAQBAJ&amp;pg=PT95&amp;lpg=PT95&amp;dq=%D0%B2%D0%BA%D0%BE%D0%BD%D1%82%D0%B0%D0%BA%D1%82%D0%B5&amp;source=bl&amp;ots=flgSBjWUl5&amp;sig=ACfU3U1T9C-t4szoSGxTjtqXD63jXTisWg&amp;hl=ru&amp;sa=X&amp;ved=2ahUKEwiPnqPLjLuCAxVFv4kEHT4bBGwQ6AF6BAhUEAM</t>
  </si>
  <si>
    <t>ПРОдвижение в Телеграме, ВКонтакте и не только. 27 ...</t>
  </si>
  <si>
    <t>https://books.google.com/books?id=j2OnEAAAQBAJ&amp;pg=PT275&amp;lpg=PT275&amp;dq=%D0%B2%D0%BA%D0%BE%D0%BD%D1%82%D0%B0%D0%BA%D1%82%D0%B5&amp;source=bl&amp;ots=cP9BrDo5tT&amp;sig=ACfU3U3VngmY0OvNCYS71thObKdkovgM6w&amp;hl=ru&amp;sa=X&amp;ved=2ahUKEwiPnqPLjLuCAxVFv4kEHT4bBGwQ6AF6BAhBEAM</t>
  </si>
  <si>
    <t>VKontakte unites tens of millions of people by offering unlimited features for communication, entertainment, business and sharing news from anywhere around ...</t>
  </si>
  <si>
    <t>VKontakte unites tens of millions of people by offering unlimited features for communication, dating, entertainment, business and sharing news from anywhere ...</t>
  </si>
  <si>
    <t>VK (short for its original name VKontakte; Russian: ВКонтакте, meaning InContact) is a Russian online social media and social networking service based in Saint ...</t>
  </si>
  <si>
    <t>ВКонтакте — самая популярная социальная сеть в России и странах СНГ. Мы предоставляем безграничную площадку контента любых форматов и открытую платформу для ...</t>
  </si>
  <si>
    <t>https://www.facebook.com/vkcomteam/</t>
  </si>
  <si>
    <t>VK - Crunchbase Company Profile &amp; Funding</t>
  </si>
  <si>
    <t>VK, formerly known as Vkontakte.ru, originated in Russia in 2006 and now dominates the post-soviet social networking space.</t>
  </si>
  <si>
    <t>https://www.crunchbase.com/organization/vk</t>
  </si>
  <si>
    <t>Свой бизнес в ВКонтакте. Как привлекать по 100 клиентов в день</t>
  </si>
  <si>
    <t>https://books.google.com/books?id=iXcDDAAAQBAJ&amp;pg=PA214&amp;lpg=PA214&amp;dq=%D0%B2%D0%BA%D0%BE%D0%BD%D1%82%D0%B0%D0%BA%D1%82%D0%B5&amp;source=bl&amp;ots=TziDPWZt5H&amp;sig=ACfU3U0FGgfnlJNXt1jJ8sj7o3sGPWRMwQ&amp;hl=ru&amp;sa=X&amp;ved=2ahUKEwjPl9LJkLuCAxUmkYkEHVT0BykQ6AF6BAgKEAM</t>
  </si>
  <si>
    <t>https://books.google.com/books?id=geX3zaFHfpIC&amp;pg=PA8&amp;lpg=PA8&amp;dq=%D0%B2%D0%BA%D0%BE%D0%BD%D1%82%D0%B0%D0%BA%D1%82%D0%B5&amp;source=bl&amp;ots=t-YpedatQI&amp;sig=ACfU3U1OFyHHJSFUyyGEziIMp3UMd4XNJA&amp;hl=ru&amp;sa=X&amp;ved=2ahUKEwjPl9LJkLuCAxUmkYkEHVT0BykQ6AF6BAhbEAM</t>
  </si>
  <si>
    <t>13 секретов высоких охватов Вконтакте - Результат из Google Книги</t>
  </si>
  <si>
    <t>https://books.google.com/books?id=uf0UEAAAQBAJ&amp;pg=PP1&amp;lpg=PP1&amp;dq=%D0%B2%D0%BA%D0%BE%D0%BD%D1%82%D0%B0%D0%BA%D1%82%D0%B5&amp;source=bl&amp;ots=hZxIs89r_V&amp;sig=ACfU3U1khgnkrwLDs7pAQnGS1b3-_iA3zA&amp;hl=ru&amp;sa=X&amp;ved=2ahUKEwjPl9LJkLuCAxUmkYkEHVT0BykQ6AF6BAhcEAM</t>
  </si>
  <si>
    <t>Не работает «ВКонтакте» - 8 ноября 2023</t>
  </si>
  <si>
    <t>https://ngs.ru/text/gorod/2023/11/08/72891146/</t>
  </si>
  <si>
    <t>Новости Новосибирска - главные новости сегодня | НГС - новости Новосибирска                Недвижимость  Работа  Видео  Знакомства  Телепрограмма  Афиша  Погода  Форум  Курсы валют  Объявления  Гороскоп  Дом ремонт  Туризм Сейчас3°C 1 Пробкиusd 92.05eur 98.32Новосибирск-1996 на фотоЧерная пятницаСколько стоит оливьеУдивительные хирургиУродливые вывескиГордость за земляковКак увеличили налог на гибридыКакие пуховики продают в ТЦГде встречать Новый годНаш TelegramВсе новости«Через два года это стрельнет». Автоюрист — о новых правилах параллельного импорта автомобилейИзвестный застройщик диктует новый формат качества жизни — что ждет покупателей квартир«Возможно изменение цен в сторону увеличения». Почему в России такой дорогой бензин и станет ли он дешевле«Тут озеро и никто не орет по ночам»: в очень спокойном районе начали стройку и снизили цены на жильеЮрия Дудя* проверяют на дискредитацию армии РФ: новости СВО за 11 ноябряГде купить двухэтажный таунхаус в зеленой зоне по цене дешевле обычной квартирыИм просто не объяснили как ходить на двух ногах. Как живет «четвероногая» семья из ТурцииПрирода или блага цивилизации: жителям нового комплекса у озера не приходится выбирать«Именно вас я назвала рабами и холопами»: Алла Пугачева обратилась к хейтерамРегиональная сеть дата-центров и сервис-провайдер подписали соглашение о сотрудничествеДля богатства и любви! В чём встречать новый 2024 год — советы астролога и нумерологаБизнес-сообщество «Эквиум» приглашает в гости сибирских предпринимателей«Получается убивай и тебе за это ничего не будет»: как мучитель Веры Пехтелевой забил ее до смерти а потом его помиловалиЖизнь мечты в коттедже со своим участком: экопоселок на лоне природы открывает двери новосибирцам«С дрифтом носится»: под Новосибирском тонированный ВАЗ напугал местных жителейТанцевальное шоу диджей и подарки: уютный ресторан в центре приглашает отметить Новый год«Коды и данные карт я не говорила»: молодая мама потеряла 70 тысяч столкнувшись с особо изощренными мошенникамиНовая точка притяжения на левом берегу: уникальный комплекс апартаментов украсит площадь МарксаЧто будет с правобережной частью южного транзита — на проект левобережной выделили полмиллиардаПрием за 1 рубль: новосибирская клиника снизила цену на прием хирургов для тех кому нужна операцияВ Рязанской области подорвали железную дорогу 19 вагонов сошли с рельсов: фото с места происшествияОтель в котором можно купить номер: как получить пассивный доход без погружения в гостиничный бизнесОпишите свою походку двумя словами а мы расскажем что она о вас говоритГармония пространства и времени: статусный ЖК и живописный сквер за «Ройял Парком»Бигль не беги: пес сбежал от хозяев и 9 дней носится по Новосибирску — его никто не может пойматьСотрудников школы в Татарске проверят на халатность — в учреждении побили 11-летнюю девочку«Мы — участники большого эксперимента»: зачем соседи в многоэтажках катают ночами по полу шары?В Новосибирске сделали пародию на фильм «Форсаж: Хоббс и Шоу»: видео с конкурсаНовосибирцу запретили ездить на купленном Lexus RX — бывший владелец попался пьяным за рулемСначала возбухать потом отдуплиться: сложный тест на знание сленга — 12 вопросов которые вас удивятДворы поросли травой: посмотрите на восемь заброшенных деревень России в которых жизнь остановиласьФутболист из Новосибирска пришел на «Дом-2» к эффектной блондинкеЗа 15 тысяч забрала «коробочку»: история диспетчера службы спасения которую посадили за наркотикиОстанки двух сибиряков нашли на базе отдыха на Алтае: мужчины погибли в пожареСама потонула в заимствованиях. Изучаем высказывания депутата Госдумы которая выступает за чистоту русского языкаМарфушенька душенька! Чем заменить шапку чтобы спасти прическу и как стильно укутаться в шарф зимойПинал упавшего. Массовая драка около бара в центре Новосибирска попала на видео — полиция начала проверку«Начал по-всякому обхаивать»: пассажир поругался с водителем маршрутки — тот запретил ему говорить по телефонуИз Краснокаменска — в Канны. Как Виктория Боня сбежала из деревни с зэками родила от миллиардера и сделала себе лицо за 20 млнГотовимся к -27 градусам: как перепады температуры в Новосибирске скажутся на будущем урожае — нужны срочные мерыВ реке Обь нашли тело мужчины в рыбацкой одежде«Ест только через трубочку»: в Татарске школьницу ударили ногой по голове — подробности инцидентаНовосибирск-1996: смотрим уникальные фото и вспоминаем юность — как встречали Ельцина и строили метроНа Михайловской набережной хотят снести 59-летнюю постройку — что может появиться на ее местеНалепили как попало: уродливые вывески заполонили Новосибирск — в городе есть дизайн-код но он не работаетВсе новостиБизнесГород«Чтоб не плакать и не чокнуться»: почему пенсионеры идут торговать хламом на мороз и что покупают на новосибирской «блошке»Торговцы с многолетним стажем поделились что им мешает хорошо зарабатывать на старых вещах43 минуты2 20525 Главное  Видео  В стране  Город  Криминал  Бизнес  Срочно Ливень накрыл Новосибирск в середине ноябряБастрыкин потребовал доклад о нападении подростка на 11-летнюю девочку в школе — избитая до сих пор в больницеНовосибирский учитель установил мировой рекорд: он пробежал от Дагестана до Севастополя«Думали хуже быть не может»: сибирячка по ошибке продала квартиру чтобы закрыть кредиты — у покупателя десятки таких сделокСкидку 50% на фундамент дают при заказе дома из профилированного брусаБеспредел в Нарымском сквере: водители превратили парк в огромную стоянку — апогей автохамства«Газом воняло на всю улицу»: в Новосибирске на заправке от автобуса шел странный дым — это мог быть метанГородЧто привезти в подарок из Новосибирска? Сувениры которые можно даже съесть24 октября21 610ГородВ Новосибирске заметили подростков которые цепляются за поезда11 часов2 75118Недвижимость«На социалке мы не зарабатываем»: девелопер рассказал зачем строит детские сады школы и амбулатории8 ноября6 930Происшествия«Стала кричать что тону»: женщина в Бердске упала в яму со сточными водами — ее спас прохожий12 часов5 14629ПроисшествияПогиб водитель УАЗ: появились жуткие кадры с лобового ДТП на Северном объезде13 часов10 50835КультураЧетверо мужчин среднего возраста хотят поговорить: культовый спектакль москвичей покажут на огромной арене3 ноября10 766Ухватилась за края: 7-летняя девочка упала в открытый люк в Новосибирске14 часов6 60144В «черную пятницу» можно сэкономить миллион на покупке квартиры. В каких новостройках есть скидка9 ноября10 34319 Опрос Уже поменяли резину на автомобиле? Проголосовать 24 октября187Образование«Это сильно я даже поплакала»: бывшая баскетболистка стала тренером для детей с особенностями1 ноября5 68415НедвижимостьСтавки на новостройки все еще ниже чем на вторичку: какие варианты выгодно купить жилье есть у новосибирцев1 ноября15 682Происшествия«Уже ест»: сёстры мужчины которому проткнули вилами голову поблагодарили спасателей — как он себя чувствует15 часов7 84852ОсеньПредвестник морозов: в Новосибирске заметили ноябрьскую радугу16 часов6 10919Авто«Через два года это стрельнет». Автоюрист — о новых правилах параллельного импорта автомобилей43 минуты1 2759Экономика«Возможно изменение цен в сторону увеличения». Почему в России такой дорогой бензин и станет ли он дешевле1 час1 18829Страна и мирЮрия Дудя* проверяют на дискредитацию армии РФ: новости СВО за 11 ноября10 часов3 657172Все новости</t>
  </si>
  <si>
    <t>ngs.ru</t>
  </si>
  <si>
    <t>гдз</t>
  </si>
  <si>
    <t>ГДЗ: готовые домашние задания за 1-11 класс - GDZ.RU</t>
  </si>
  <si>
    <t>Гдз станут отличной мотивацией учеников к учебе. Они помогут научиться анализировать собственную деятельность и мыслить логически. Что значительно повысит ...</t>
  </si>
  <si>
    <t>https://gdz.ru/</t>
  </si>
  <si>
    <t>ГДЗ - готовые домашние задания | Ответы без ошибок</t>
  </si>
  <si>
    <t>Качественные ГДЗ и решения по предметам школьной программы. Ответы содержат пошаговые действия, перевод текста к новым учебникам и тетрадям.</t>
  </si>
  <si>
    <t>https://gdz.fm/</t>
  </si>
  <si>
    <t>ГДЗ - готовые домашние задания | Ответы без ошибокGDZ.FM ГДЗКлассыПредметыВидеорешения1234567891011Алгебра                            Геометрия                            Математика                            Русский язык                            Белорусский язык                            Английский язык                            Физика                            Химия                            Биология                            Информатика                            Украинский язык                            Французский язык                            Немецкий язык                            История                            Литература                            География                            Черчение                            Астрономия                            Человек и мир                            Мед. подготовка                            ОБЖ                            Природоведение                            Основы здоровья                            Музыка                            ИЗО                            Обществознание                            Окружающий мир                            Экология                            Технология                            Естествознание                            Испанский язык                            Искусство                            Китайский язык                            Кубановедение                            Казахский язык                            Мир природы и человека                            Физкультура                            У каждого ученика в жизни бывают моменты когда он не смог понять на уроке то что ему объясняет учитель. А отставать от сверстников очень не хочется. Обычно в такие моменты может помочь ГДЗ с помощью которого можно успешно освоить новую тему и тратить на домашку меньше времени. Ведь тут собраны все известные учебники и рабочие тетради по школьной программе которые не нуждаются в дополнительном разъяснении. И теперь не нужно вам приобретать решебники а это экономия бюджета.Каждый такой учебник разделен на темы которые полностью соответствуют учебной программе. Также в ГДЗ приведены несколько вариантов решения задач содержит ответы на все вопросы а так же видео-решение. Это очень удобно чтоб разобраться в непонятном вам материале на конкретных примерах.Обычно решебники смотрят родители для того чтобы проконтролировать то как их дети выполняют домашние задания. А ученики в свою очередь либо просто списывают готовое задание. И в этом нет ничего стыдного ведь материалы с каждым годом все сложнее и сложнее а времени не хватает. Ведь помимо учебного процесса есть и другие увлечения и заботы.Данная методика активно используется некоторыми репетиторами которые стараются объяснить своим ученикам предмет с определенными затруднениями. Такой подход уже снискал определенное доверие к себе по причине его действенности и простоты. Его также начали использовать и многие родители которые обеспокоены учебными успехами своих детей и их будущим особенно если школьник планирует поступать в средне специальное учебное заведение после 9 класса или высшее учебное заведение после 11 класса.Решебник помогут успешно сдать самостоятельные и контрольные работы подготовиться к сдаче ГИА (ОГЭ ГВЭ) ЕГЭ и выпускных экзаменов в школе. популярные ГДЗ                    Алгебра 7                    класс         Авторы:                             Ю.Н. Макарычев Н.Г. Миндюк                                             Алгебра 8                    класс         Авторы:                             Ю.Н. Макарычев Н.Г. Миндюк                                             Алгебра 9                    класс Базовый уровень        Авторы:                             Ю.Н. Макарычев Н.Г. Миндюк                                             Геометрия 7-9                    класс         Авторы:                             Л.С. Атанасян В.Ф. Бутузов                                             Математика 6                    класс         Авторы:                             Н.Я. Виленкин В.И. Жохов                                             Математика 5                    класс         Авторы:                             Н.Я. Виленкин В.И. Жохов                                             Русский язык 6                    класс         Авторы:                             М.Т. Баранов Т.А. Ладыженская                                             Русский язык 7                    класс         Авторы:                             М.Т. Баранов Т.А. Ладыженская                                             Черчение 9                    класс рабочая тетрадь         Автор: В.Н. Виноградов  © 2023 «gdz.fm»[email protected]</t>
  </si>
  <si>
    <t>gdz.fm</t>
  </si>
  <si>
    <t>ГДЗ - готовые домашние задания и решебники</t>
  </si>
  <si>
    <t>ГДЗ (готовые домашние задания) за 1-11 классы, онлайн решебники по всем школьным предметам, ответы к рабочим и лабораторным тетрадям.</t>
  </si>
  <si>
    <t>https://megaresheba.ru/</t>
  </si>
  <si>
    <t>ГДЗ - готовые домашние задания и решебники            Решебники ГДЗ1 Класс                                Математика                                                            Русский язык                                                            Английский язык                                                            Информатика                                                            Немецкий язык                                                            Литература                                                            Человек и мир                                                            Природоведение                                                            Основы здоровья                                                            Музыка                                                            ИЗО                                                            Окружающий мир                                                            Технология                                                            Мир природы и человека                                                            Физкультура                            2 Класс                                Математика                                                            Русский язык                                                            Белорусский язык                                                            Английский язык                                                            Информатика                                                            Украинский язык                                                            Французский язык                                                            Немецкий язык                                                            Литература                                                            Человек и мир                                                            Природоведение                                                            Основы здоровья                                                            Музыка                                                            ИЗО                                                            Окружающий мир                                                            Технология                                                            Испанский язык                                                            Казахский язык                                                            Мир природы и человека                            3 Класс                                Математика                                                            Русский язык                                                            Белорусский язык                                                            Английский язык                                                            Информатика                                                            Украинский язык                                                            Французский язык                                                            Немецкий язык                                                            Литература                                                            Человек и мир                                                            Музыка                                                            ИЗО                                                            Окружающий мир                                                            Технология                                                            Испанский язык                                                            Казахский язык                                                            Мир природы и человека                            4 Класс                                Математика                                                            Русский язык                                                            Белорусский язык                                                            Английский язык                                                            Информатика                                                            Украинский язык                                                            Французский язык                                                            Немецкий язык                                                            Литература                                                            Человек и мир                                                            Основы здоровья                                                            Музыка                                                            ИЗО                                                            Окружающий мир                                                            Технология                                                            Испанский язык                                                            Казахский язык                                                            Мир природы и человека                            5 Класс                                Математика                                                            Русский язык                                                            Белорусский язык                                                            Английский язык                                                            Физика                                                            Биология                                                            Информатика                                                            Украинский язык                                                            Французский язык                                                            Немецкий язык                                                            История                                                            Литература                                                            География                                                            Человек и мир                                                            ОБЖ                                                            Природоведение                                                            Музыка                                                            Обществознание                                                            Технология                                                            Естествознание                                                            Испанский язык                                                            Искусство                                                            Китайский язык                                                            Кубановедение                                                            Казахский язык                            6 Класс                                Математика                                                            Русский язык                                                            Белорусский язык                                                            Английский язык                                                            Физика                                                            Биология                                                            Информатика                                                            Украинский язык                                                            Французский язык                                                            Немецкий язык                                                            История                                                            Литература                                                            География                                                            ОБЖ                                                            Природоведение                                                            Музыка                                                            Обществознание                                                            Экология                                                            Технология                                                            Естествознание                                                            Испанский язык                                                            Искусство                                                            Китайский язык                                                            Кубановедение                                                            Казахский язык                            7 Класс                                Алгебра                                                            Геометрия                                                            Математика                                                            Русский язык                                                            Белорусский язык                                                            Английский язык                                                            Физика                                                            Химия                                                            Биология                                                            Информатика                                                            Украинский язык                                                            Французский язык                                                            Немецкий язык                                                            История                                                            Литература                                                            География                                                            Черчение                                                            ОБЖ                                                            Музыка                                                            Обществознание                                                            Экология                                                            Технология                                                            Испанский язык                                                            Искусство                                                            Китайский язык                                                            Кубановедение                                                            Казахский язык                            8 Класс                                Алгебра                                                            Геометрия                                                            Математика                                                            Русский язык                                                            Белорусский язык                                                            Английский язык                                                            Физика                                                            Химия                                                            Биология                                                            Информатика                                                            Украинский язык                                                            Французский язык                                                            Немецкий язык                                                            История                                                            Литература                                                            География                                                            Черчение                                                            ОБЖ                                                            Обществознание                                                            Экология                                                            Технология                                                            Испанский язык                                                            Искусство                                                            Кубановедение                                                            Казахский язык                            9 Класс                                Алгебра                                                            Геометрия                                                            Математика                                                            Русский язык                                                            Белорусский язык                                                            Английский язык                                                            Физика                                                            Химия                                                            Биология                                                            Информатика                                                            Украинский язык                                                            Французский язык                                                            Немецкий язык                                                            История                                                            Литература                                                            География                                                            Черчение                                                            ОБЖ                                                            Обществознание                                                            Технология                                                            Испанский язык                                                            Искусство                                                            Кубановедение                                                            Казахский язык                            10 Класс                                Алгебра                                                            Геометрия                                                            Математика                                                            Русский язык                                                            Белорусский язык                                                            Английский язык                                                            Физика                                                            Химия                                                            Биология                                                            Информатика                                                            Украинский язык                                                            Французский язык                                                            Немецкий язык                                                            История                                                            Литература                                                            География                                                            Мед. подготовка                                                            ОБЖ                                                            Обществознание                                                            Испанский язык                                                            Кубановедение                                                            Казахский язык                            11 Класс                                Алгебра                                                            Геометрия                                                            Математика                                                            Русский язык                                                            Белорусский язык                                                            Английский язык                                                            Физика                                                            Химия                                                            Биология                                                            Информатика                                                            Украинский язык                                                            Французский язык                                                            Немецкий язык                                                            История                                                            Литература                                                            География                                                            Астрономия                                                            Мед. подготовка                                                            ОБЖ                                                            Обществознание                                                            Испанский язык                                                            Казахский язык                            ВидеорешенияСвой сайт с нуля                                Виртуальный хостинг от 1575 руб/мес.                            ГДЗ за 1-11 классыпредметыклассы1234567891011Алгебра1234567891011Геометрия1234567891011Математика1234567891011Русский язык1234567891011Белорусский язык1234567891011Английский язык1234567891011Физика1234567891011Химия1234567891011Биология1234567891011Информатика1234567891011Украинский язык1234567891011Французский язык1234567891011Немецкий язык1234567891011История1234567891011Литература1234567891011География1234567891011Черчение1234567891011Астрономия1234567891011Человек и мир1234567891011Мед. подготовка1234567891011ОБЖ1234567891011Природоведение1234567891011Основы здоровья1234567891011Музыка1234567891011ИЗО1234567891011Обществознание1234567891011Окружающий мир1234567891011Экология1234567891011Технология1234567891011Естествознание1234567891011Испанский язык1234567891011Искусство1234567891011Китайский язык1234567891011Кубановедение1234567891011Казахский язык1234567891011Мир природы и человека1234567891011Физкультура1234567891011Почему стоит выбирать онлайн решебник? Если вы искали качественный материал способный помочь в решении упражнений из школьного учебника то открыли подходящий учебный портал – Мегарешеба. Здесь вашему вниманию предоставляются качественно разобранные задания из всех книг общеобразовательной школы. Будь то русский язык или литература математика или её разделы алгебра с геометрией химия физика история английский и немецкий языки – верные ответы ко всем заданиям представлены на сайте с ГДЗ. Электронный ресурс работает круглосуточно и доступен с любого устройства: компьютера телефона планшета. Каждый сборник с готовыми ответами на Мегарешебе детально проработан специалистами работающими в системе образования и помогают лучше углубиться в учебный процесс. Все правильные решения авторы предоставляют в очень понятной и достаточно краткой форме нежели у сторонних проектов (помогалка май гдз школоло или решак). Информация на сайте полностью соответствует требованиям ФГОС и актуальна на новый 2020 год. Онлайн-пособие – это отличный справочный и подготовительный материал которым ученики смогут пользоваться на протяжении всего обучения в школе и не только.Все плюсы ГДЗ для школьников и их родителей Задача сборников – не просто дать возможность списать «домашку» а повысить собственную успеваемость и эффективность. Наши решебники превосходят всех конкурентов (гдз лол решатор мегаботан помогалка или еуроки) по многим критериям и имеют ряд практических функций: они позволяют любому школьнику разобраться с непонятными темами и рассмотреть правила выполнения каждого примера; также ученики легко могут пользоваться такими изданиями для самопроверки решенной домашней работы; самая большая база решебников для разных стран (Россия Беларусь Казахстан Киргизия и др.); содержит в себе курс видеорешений; ежегодное обновление гдз; несколько видов решений; подойдут учителям для составления плана занятий и контрольных срезов; пригодятся родителям для проверки «домашки» ребёнка; легкий поиск нужного учебника по специальному указателю или вспомогательной навигации. Все упражнения каждая задача или перевод во всех пособий имеют свои порядковые номера которые соответствуют таковым в оригинальном издании. Поэтому использование таких пособий не предполагает никаких сложностей с поиском необходимого номера. Каждый автор в своем издании рассказывает как грамотно необходимо пользоваться его книгой. И все они сходятся в одном мнении: не стоит механически списывать готовую информацию с гдзотПутина. Перед использованием сначала необходимо самим попытаться решить всё задание. А решебник использовать только при возникновении трудностей или для самостоятельной подготовки к следующим темам и параграфам тетради. Безусловно такая литература развивает аналитическую способность ученика путем постоянного анализа ребенком собственной деятельности поиска ошибок на гитем и их исправлений. Также дети становятся более самостоятельными и не зависимыми от родителей в учебном плане. Рекомендации для школьников Учёба – это самое прекрасное время именно в этот момент вы больше всего развиваетесь постигаете новые науки и различные факты. Поставьте цель – стать тем кем вы хотите быть и двигайтесь к ней. Уделяйте больше внимания предметам связанным с вашей мечтой. Если вы техник – учите математические дисциплины если философ – гуманитарные. Главное не стоит бездумно списывать работу а наоборот внимательно разбираться в новом материале учить правила не забывать про исключения прорешивать все упражнения и просматривать видео уроки. популярные учебники                Алгебра 7                                класс                            Авторы: Ю.Н. Макарычев Н.Г. Миндюк К.И. Нешков С.Б. СувороваИздательство:                         Просвещение 2015-2023                                    Алгебра 8                                класс                            Авторы: Ю.Н. Макарычев Н.Г. Миндюк К.И. Нешков С.Б. СувороваИздательство:                         Просвещение 2015-2023                                    Алгебра 9                                класс                                    Базовый уровень                            Авторы: Ю.Н. Макарычев Н.Г. Миндюк К.И. Нешков С.Б. СувороваИздательство:                         Просвещение 2015-2023                                    Геометрия 7                                    -9                                класс                            Авторы: Л.С. Атанасян В.Ф. Бутузов С.Б. Кадомцев Э.Г. Позняк И.И. ЮдинИздательство:                         Просвещение 2016-2023                                    Математика 6                                класс                            Авторы: Н.Я. Виленкин В.И. Жохов А.С. Чесноков С.И. ШварцбурдИздательство:                         Мнемозина 2015-2017                                    Математика 5                                класс                            Авторы: Н.Я. Виленкин В.И. Жохов А.С. Чесноков С.И. ШварцбурдИздательство:                         Мнемозина                                    Математика 4                                класс                            Авторы: М.И. Моро М.А. Бантова Г.В. БельтюковаИздательство:                         Просвещение 2015-2023                    Тип:                                                     Школа России                                                                            часть 12                                                                                    Русский язык 5                                класс                            Авторы: М.Т. Баранов Т.А. Ладыженская Л.А. Тростенцова Л.Т. Григорян И.И. Кулибаба Н.В. ЛадыженскаяИздательство:                         Просвещение 2016-2023                    Тип:                                                                             часть 12                                                                                    Русский язык 6                                класс                            Авторы: М.Т. Баранов Т.А. Ладыженская Л.А. ТростенцоваИздательство:                         Просвещение 2015-2023                    Тип:                                                                             часть 12                                                                                    Математика 6                                класс                                    Базовый уровень                            Авторы: А.Г. Мерзляк В.Б. Полонский М.С. ЯкирИздательства:                         Вентана-граф Просвещение 2016-2023                    Тип:                                                     Алгоритм успеха                                                                                                            Алгебра 7                                класс                                    Базовый уровень                            Авторы: А. Г. Мерзляк В. Б. Полонский М. С. ЯкирИздательство:                         Вентана-граф 2016-2023                                    Обществознание 5                                класс                            Автор: Боголюбов Л.Н.Издательство:                         Просвещение                    © 2023 «megaresheba.ru»[email protected]                        Виртуальный хостинг от 1575 руб/мес.</t>
  </si>
  <si>
    <t>megaresheba.ru</t>
  </si>
  <si>
    <t>Решебники ГДЗ онлайн бесплатно</t>
  </si>
  <si>
    <t>Авторские Решебники, ГДЗ предназначены для использования учениками и преподавателями в качестве дополнительного пособия по изучению предмета. Весь материал ...</t>
  </si>
  <si>
    <t>https://reshak.ru/</t>
  </si>
  <si>
    <t>ГДЗ РФ - готовые домашние задания</t>
  </si>
  <si>
    <t>ГДЗ РФ - У нас подобраны готовые решения домашних заданий. Вы найдете ответы на вопросы, краткое и полное решение задач, переводы текстов с английского, ...</t>
  </si>
  <si>
    <t>https://xn--c1acj.xn--p1ai/</t>
  </si>
  <si>
    <t>ГДЗ РФ - готовые домашние задания            Видеорешения       Решения       1 класс           Математика          Английский язык          Русский язык          Немецкий язык          Украинский язык          Информатика          Природоведение          Основы здоровья          Музыка          ИЗО          Литература          Окружающий мир          Человек и мир          Технология          Мир природы и человека          Физкультура          2 класс           Математика          Английский язык          Русский язык          Немецкий язык          Белорусский язык          Украинский язык          Французский язык          Информатика          Природоведение          Основы здоровья          Музыка          ИЗО          Литература          Окружающий мир          Человек и мир          Технология          Испанский язык          Казахский язык          Мир природы и человека          3 класс           Математика          Английский язык          Русский язык          Немецкий язык          Белорусский язык          Украинский язык          Французский язык          Информатика          Музыка          ИЗО          Литература          Окружающий мир          Человек и мир          Технология          Испанский язык          Казахский язык          Мир природы и человека          4 класс           Математика          Английский язык          Русский язык          Немецкий язык          Белорусский язык          Украинский язык          Французский язык          Информатика          Природоведение          Основы здоровья          Музыка          ИЗО          Литература          Окружающий мир          Человек и мир          Технология          Испанский язык          Казахский язык          Мир природы и человека          5 класс           Математика          Английский язык          Русский язык          Физика          Немецкий язык          Белорусский язык          Украинский язык          Французский язык          Биология          История          Информатика          ОБЖ          География          Природоведение          Музыка          Литература          Обществознание          Человек и мир          Технология          Естествознание          Испанский язык          Искусство          Китайский язык          Кубановедение          Казахский язык          6 класс           Математика          Английский язык          Русский язык          Физика          Немецкий язык          Белорусский язык          Украинский язык          Французский язык          Биология          История          Информатика          ОБЖ          География          Природоведение          Основы здоровья          Музыка          Литература          Обществознание          Экология          Технология          Естествознание          Испанский язык          Искусство          Китайский язык          Кубановедение          Казахский язык          7 класс           Математика          Английский язык          Русский язык          Алгебра          Геометрия          Физика          Химия          Немецкий язык          Белорусский язык          Украинский язык          Французский язык          Биология          История          Информатика          ОБЖ          География          Музыка          Литература          Обществознание          Черчение          Экология          Технология          Испанский язык          Искусство          Китайский язык          Кубановедение          Казахский язык          8 класс           Математика          Английский язык          Русский язык          Алгебра          Геометрия          Физика          Химия          Немецкий язык          Белорусский язык          Украинский язык          Французский язык          Биология          История          Информатика          ОБЖ          География          Литература          Обществознание          Черчение          Экология          Технология          Испанский язык          Искусство          Кубановедение          Казахский язык          9 класс           Математика          Английский язык          Русский язык          Алгебра          Геометрия          Физика          Химия          Немецкий язык          Белорусский язык          Украинский язык          Французский язык          Биология          История          Информатика          ОБЖ          География          Основы здоровья          Литература          Обществознание          Черчение          Технология          Испанский язык          Искусство          Кубановедение          Казахский язык          10 класс           Математика          Английский язык          Русский язык          Алгебра          Геометрия          Физика          Химия          Немецкий язык          Белорусский язык          Украинский язык          Французский язык          Биология          История          Информатика          ОБЖ          География          Литература          Обществознание          Мед. подготовка          Испанский язык          Кубановедение          Казахский язык          11 класс           Математика          Английский язык          Русский язык          Алгебра          Геометрия          Физика          Химия          Немецкий язык          Белорусский язык          Украинский язык          Французский язык          Биология          История          Информатика          ОБЖ          География          Литература          Обществознание          Мед. подготовка          Астрономия          Испанский язык          Казахский язык       Установить приложение           Создать сайт с нуля             ГДЗ РФ - готовые домашние задания решебники Популярные ГДЗ        Русский язык      6      класс                       Авторы: М.Т. Баранов Т.А. Ладыженская       Русский язык      5      класс                       Авторы: М.Т. Баранов Т.А. Ладыженская       Русский язык      6      класс                       Авторы: М.М. Разумовская С.И. Львова       Русский язык      6      класс      Практика                 Авторы: Г.К. Лидман-Орлова С.Н. Пименова       Русский язык      4      класс                       Авторы: В.П. Канакина В.Г. Горецкий       Математика      6      класс                       Авторы: Н.Я. Виленкин В.И. Жохов       Математика      4      класс                       Авторы: М.И. Моро М.А. Бантова       Математика      5      класс            Базовый уровень           Авторы: А.Г. Мерзляк В.Б. Полонский       Математика      6      класс            Базовый уровень           Авторы: А.Г. Мерзляк В.Б. Полонский       Английский язык      4      класс      сборник упражнений Spotlight                 Авторы: Быкова Н.И. Поспелова М.Д.       Окружающий мир      3      класс      рабочая тетрадь                 Автор: А.А. Плешаков       Математика      4      класс                       Авторы: Башмаков М.И. Нефёдова М.Г.  Существует миф про гуманитариев и технарей. Одни – пишут стихи и не прочь почитать классическую литературу другие – не отходят от компьютера и любят исключительно точные науки. Но это слишком категоричное мнение. Из-за таких грубых разделений школьники заранее считают себя неспособными к науке. Мастерство зависит от желания разбираться в тех или иных вещах. Терпение и труд всё перетрут! Нет никакого разделения на группы способных и нет. Есть красный диплом который доказывает что получить его под силу любому главное захотеть разбираться в различных темах. Чтобы стать профессионалом и дойти до поставленной цели необходимо регулярно уделять время самостоятельным занятиям. Конечно одному это делать тяжело поэтому и существуют виртуальные консультанты. В настоящее время идет тенденция к тому чтобы увеличивать количество материала по основным школьным предметам. Однако часы на изучения многих дисциплин сокращаются. Это значительно сказывается на успеваемости школьников ведь им просто не хватает времени усвоить весь новый материал. И чтобы помочь ученикам справиться с увеличившейся нагрузкой авторы учебников подготавливают сборники с готовыми домашними заданиями. Что представляют собой онлайн-решебники на нашем сайте ГДЗ.РФХотя родители и учителя часто думают о том что это просто хороший метод списать ответы но на самом деле это не так. Использование таких пособий несет в себе массу положительных моментов. Онлайн-гдз поможет:  подтянуть оценки тем самым повысив уровень успеваемости; качественно готовиться к проверочным контрольным самостоятельным итоговым работам а также различным тестированиям диктантам изложениям сочинениям и даже ЕГЭ и ОГЭ; быстро справляться с домашними заданиями; разбирать пропущенные темы; работать над ошибками и искоренять их появление. Почему стоит обращаться за помощью к учебно-методическим комплексам через гдзВ школьный период часто возникает множество трудностей среди которых есть например то что им сложно выучить всю теорию чтобы быть готовым к контрольной проверочной диктанту тестированию сочинению изложению а также неверно выполненная работу на дом способствует ухудшению отношений с учителем а также мамы с папой могут расстроиться из-за двоек и троек и в итоге пропадает желание и мотивация стараться по учебе. Мальчишкам и девчатам в этом году приходится нелегко. Несмотря на то что материал еще из курса начальной школы многие все равно умудряются таскать домой тройки и двойки. Происходит это по нескольким причинам: дети могут заболеть простудными заболеваниями а значит пропускают часть уроков; почти у каждого ребенка есть два-три обязательных кружка или секции которые отнимают силы и время; некоторые ребята имеют свой темп усвоения новой информации и пока не успевают за другими; мальчики и девочки не всегда понимают что объясняет учитель из-за невнимательности усталости желания поесть и т. п.; отдельные ученики не заинтересовались уроками в предыдущих классах и теперь с неохотой ходят в школу. Чтобы решить вышеперечисленные проблемы квалифицированные методисты советуют обучающимся завести надежный вспомогательный ресурс который всегда подскажет не только правильный ответ но и способ решения любого задания. Важным плюсов таких ресурсов также является то что здесь есть подсказки и полезные комментарии абсолютно ко всем обязательным предметам. Ученик найдет здесь подробные разъяснения различных математических теорий и детальные решения задачек. Также тут приведены разборов упражнений по русскому и анализы произведений и рассказов по литературе. Помимо этого виртуальный консультант натаскает по естественным наукам вроде химии биологии природоведению человеку и миру и так далее. Также важно отметить что онлайн-гдз созданы для учеников любого этапа обучения. К нему может обратиться и малыш который недавно пошел в школу и только привыкает к обстановке. Также зайти на сервис будет полезно обучающемуся среднего звена чтобы повторить пройденное или заглянуть немного вперед и конечно сборник будет необходим старшекласснику которому нужно готовиться к ОГЭ или ЕГЭ.  ©2023 гдз.рф       Обратная связь:      admin@гдз.рф</t>
  </si>
  <si>
    <t>xn--c1acj.xn--p1ai</t>
  </si>
  <si>
    <t>ГДЗ: домашние задания на отлично - pomogalka.me</t>
  </si>
  <si>
    <t>Готовые домашние задания – это возможность качественно подготовиться по разным предметам, не платя деньги репетиторам. Иногда взрослые не понимают, что ...</t>
  </si>
  <si>
    <t>https://pomogalka.me/</t>
  </si>
  <si>
    <t>ГДЗ без ошибок, решебник для школьных учебников 1-11 ...</t>
  </si>
  <si>
    <t>ГДЗ без ошибок для учеников 1–11 классов по математике, русскому, английскому, алгебре, геометрии и физике. Подробные и пошаговые решения от учителей ...</t>
  </si>
  <si>
    <t>https://resh.skysmart.ru/</t>
  </si>
  <si>
    <t>ГДЗ - готовые домашние задания 1-11 класса - Skysmart решения</t>
  </si>
  <si>
    <t>resh.skysmart.ru</t>
  </si>
  <si>
    <t>ОК ГДЗ – Фото поиск решебников. Тысячи сборников в ...</t>
  </si>
  <si>
    <t>По своей сути готовые домашние задания представляют собой грамотно, в соответствии с требованиями Стандартов образования, оформленные варианты решения ко всем ...</t>
  </si>
  <si>
    <t>https://www.euroki.org/</t>
  </si>
  <si>
    <t>ОК ГДЗ – Фото поиск решебников. Тысячи сборников в кадре от тебя. НовыеКонспекты уроковТаблицыБанк заданийДиктантыСочиненияИзложенияБлог11 классАлгебраАнглийскийБиологияГеографияГеометрияРусский10 классАлгебраАнглийскийБиологияГеографияГеометрияИсторияОбществознаниеРусскийФизикаХимия9 классАлгебраАнглийскийБиологияГеографияГеометрияИнформатикаИсторияЛитератураМатематикаОбществознаниеРусскийФизикаХимия8 классАлгебраАнглийскийБиологияГеографияГеометрияИнформатикаИсторияЛитератураМатематикаОбществознаниеРусскийФизикаХимия7 классАлгебраАнглийскийБиологияГеографияГеометрияИнформатикаИсторияЛитератураМатематикаОбществознаниеРусскийФизика6 классАнглийскийБиологияГеографияИнформатикаИсторияЛитератураМатематикаОбществознаниеРусский5 классАнглийскийБиологияГеографияИнформатикаИсторияЛитератураМатематикаОбществознаниеРусский4 классАнглийскийОкр. мирИнформатикаЛитератураМатематикаРусский3 классАнглийскийОкр. мирИнформатикаЛитератураМатематикаРусский2 классАнглийскийОкр. мирЛитератураМатематикаРусскийДиктантыТаблицыСочиненияАнализ стихотворенияИзложенияБиография автораКонспекты уроковБанк заданийБлогОК ГДЗ – тысячи топ решений на кончиках твоих пальцевСегодня все большее число специалистов даже те кто недавно скептически относился к гдз находит их удобными и полезными в своей практике. Минимум времени которое тратится на нахождение нужного ответа возможность воспользоваться решебником в любое время суток – вот далеко не все плюсы и преимущества которые отличают эти материалы. Повысить собственную успеваемость узнать что-то новое взяв комплект учебник-решебник из иной отличной от школьной программы по предмету – каждый пользователь находит свой собственный метод и принцип применения этих источников.Что выгодно отличает онлайн справочник?По своей сути готовые домашние задания представляют собой грамотно в соответствии с требованиями Стандартов образования оформленные варианты решения ко всем заданиям упражнениям и вопросам представленным в том учебном пособии к которому они предназначены. В готовых ответах представленных на сайте еуроки.орг:рассматриваются все возможные варианты решения задания если в нем они предполагаются;присутствуют наглядные инструменты – графики рисунки схемы чтобы пользователь как можно более точно понял смысл представленного решения;даны подробные комментарии – для понимания логики сути алгоритма нахождения верного решения к каждому заданию сборника.представлен широкий выбор решебников по всем предметам школьной программы а именно по математике алгебре. русскому а также английскому биологии истории географии и т.д.Ресурс постоянно обновляется для организации максимально полной и качественной работы с ним заинтересованных пользователей содержит самую актуальную информацию.Преимущества применения ГДЗ в учебном процессеСреди основных целей которым служат онлайн сборники готовых ответов такие:организация самопроверки выработка навыков эффективной и результативной самостоятельной работы;возможность понять как решаются сложные задания что особенно важно тем школьникам которые по той или иной причине пропустили занятие блок занятий или находятся на дистанционной семейной/домашней формах обучения;помощь родителям школьников – используя эти данные они смогут быстро и качественно проверить знания своего ребенка по любой дисциплине;это удобный инструмент для педагогов и репетиторов для грамотной организации систематизации своей работы – по планированию контролю оценке качества знаний учеников.Сборник готовых решений – прекрасный мотиватор позволяющий сбалансировать интенсивную работу и необходимый полноценный отдых получить высокую оценку и впоследствии стремиться удержать полученный результат.Качественный инструмент для самоподготовки и отработки навыков самоконтроля - с помощью решебника можно заниматься регулярно и системно осваивая материал школьных дисциплин по различным УМК и программам. Или - применять его только тогда когда возникают серьезные сложности в освоении материала. Так можно не только улучшить оценки получив более высокий балл но и приобрести ценные и полезные навыки анализа собственных ошибок самоподготовки. Затратив минимум времени каждый пользователь сможет рассчитывать на высокий результат!Классы:2 класс3 класс4 класс5 класс6 класс7 класс8 класс9 класс10 класс11 классПредметы:АлгебраАнглийскийБиология/Окр. мирГеографияГеометрияИнформатикаИсторияЛитератураМатематикаОбществознаниеРусскийФизикаХимияПомощь с учёбой:ДиктантыТаблицыСочиненияАнализ стихотворенияБиография автораКонспекты уроковИзложенияБанк заданийНаша компания:О насБлогРеклама на сайтеКонтакты© 2021 Copyright. Все права защищены. Правообладатель SIA Ksenokss.Адрес: 1069 Курземес проспект 106/45 Рига Латвия.Тел.: +371 29-851-888 E-mail: [email protected]</t>
  </si>
  <si>
    <t>www.euroki.org</t>
  </si>
  <si>
    <t>мой решебник - Приложения в Google Play – ГДЗ</t>
  </si>
  <si>
    <t>Приложение "ГДЗ: мой решебник" предоставляет возможность пользователям быстро найти свой учебник и проверить правильные ответы на любые школьные материалы ...</t>
  </si>
  <si>
    <t>https://play.google.com/store/apps/details?id=com.gdz_ru&amp;hl=ru&amp;gl=US</t>
  </si>
  <si>
    <t>GDZ.LTD: Готовые домашние задания бесплатно!</t>
  </si>
  <si>
    <t>Отличный сайт с ГДЗ (Готовые домашние задания), на котором вы найдёте решения ко всем школьным учебникам бесплатно.</t>
  </si>
  <si>
    <t>https://gdz.ltd/</t>
  </si>
  <si>
    <t>GDZ.LTD: Готовые домашние задания бесплатно!  GDZ.LTDГлавнаяГДЗГДЗПредметыКлассы1234567891011Алгебра1234567891011Английский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язык1234567891011ОБЖ1234567891011Окружающий мир1234567891011Русский язык1234567891011Физика1234567891011Химия1234567891011Новые книгиБарашковаСборник упражнений (к учебнику Верещагиной 2018)Английский язык2 класс«Экзамен»БарашковаПроверочные работы (к учебнику Верещагиной)Английский язык2 класс«Экзамен»Баранова Дули Копылова ЭвансРабочая тетрадь (Углубленный уровень)Английский язык2 класс«Просвещение»Баранова Дули Копылова ЭвансУчебник (Углубленный уровень)Английский язык2 класс«Просвещение»Афанасьева Михеева Баранова ЧупрынаКонтрольные работыАнглийский язык2 класс«Дрофа»Афанасьева Михеева Рабочая тетрадьАнглийский язык2 класс«Дрофа»Почему ГДЗ имеют такую популярность.Каждый родитель считает именно своего ребенка самым красивым и самым умным. Поэтому когда их отпрыски отправляются в школу они считают что и там все будет идти гладко. Однако дети редко отвечают ожиданиям очень рано проявляя свою индивидуальность. Крайне быстро школьники делятся на гуманитариев и любителей точных наук. Поэтому всегда остаются предметы с которыми у учащихся возникают проблемы. Не обязательно трудности носят серьезный характер но так или иначе их не избежать.И если до пятого класса родителям еще как-то удается сгладить шероховатости с домашними заданиями то впоследствии делать это все труднее. А порой нехватка знаний у учеников начинает ощущаться и раньше потому что иногда папам и мамам не хватает времени проверить д/з своих детей. Чаще всего это приводит к снижению успеваемости и как следствие нанимается репетитор. Конечно никто не отрицает пользу этих занятий но нельзя не признать что иногда это весьма существенно бьет по карману особенно когда у школьника проблемы с несколькими дисциплинами.Самым оптимальным в таких случаях можно считать решебники которые в наше время можно найти по любому предмету и классу. Многие считают что это наоборот навредит ребенку если он приучится только списывать. Но ведь многое в этом случае зависит и от родителей. Если объяснить вашему чаду как именно стоит обращаться с подобными пособиями то они наоборот лишь укрепят знания и повысят успеваемость.ГДЗ - решает или усугубляет проблему.В начале учебного процесса когда школьники еще слишком импульсивны психологи все же не рекомендуют давать решебники для самостоятельной работы. Но они окажут прекрасную помощь родителям которые смогут уделить время проверке д/з потому что она уже не будет отнимать столько времени. Заодно папы и мамы ознакомятся с современной подачей материала в школах и смогут помочь своему ребенку исправить ошибки которые тот допустил.В более старших классах можно приучать ребенка самостоятельно использовать сборники показать правильный принцип работы с ними. Это разовьет у ребенка ответственность усидчивость тщательность. Кроме того большинство школьников отнесутся к этому как к проявлению к ним доверия со стороны взрослых поэтому не захотят утратить его и навряд ли будут злоупотреблять списыванием.Стоит ли доверять ГДЗ.Все решебники написаны исключительно людьми которые имеют преподавательское образование. Причем не только чисто теоретическое но и практическое. Авторы знают как именно преподнести материал чтобы школьники запомнили и усвоили его. Немаловажен и тот факт что все пособия написаны строго в соответствии с учебниками которые используются в школьной программе. Таким образом ученики даже занимаясь списыванием материала повторяют изученное ранее в классе что не может не отложится в памяти так как у него перед глазами происходит соотношение теории и практики.Что готовы предложить мы.Предсказать по какому именно учебнику будут заниматься дети практически невозможно но на нашем сайте GDZ.ltd мы постарались предоставить все решебники которые могут вам понадобиться с 1 по 11 классы. У нас вы можете найти сборники самых разных авторов причем без всяких проблем. Так как ваших детей впереди ждет долгий и нелегкий путь то не стоит усложнять его если у вас есть реальная возможность помочь ребенку уверенно и хорошо учиться. Ведь именно благодаря поддержке близких людей дети начинают прилагать больше усилий чтобы доказать что вера в них вполне оправдана.Меню1 класс2 класс3 класс4 класс5 класс6 класс7 класс8 класс9 класс10 класс11 классПопулярные книгиАтанасян БутузовУчебникГеометрия7-9 класс"Просвещение"Атанасян БутузовУчебникГеометрия10-11 класс"Просвещение"Виленкин Чесноков ШварцбурдУчебникМатематика6 класс"Мнемозина"Виленкин Жохов ЧесноковУчебникМатематика5 класс"Мнемозина" GDZ.LTD 2023По всем вопросам обращайтесь на почту:[email protected]</t>
  </si>
  <si>
    <t>gdz.ltd</t>
  </si>
  <si>
    <t>Skysmart Решения: ГДЗ на изи</t>
  </si>
  <si>
    <t>Описание. arrow_forward. Skysmart Решения — это ГДЗ приложение для школы, с помощью которого можно получить GDZ по фото по математике, английскому и ГДЗ по ...</t>
  </si>
  <si>
    <t>https://play.google.com/store/apps/details?id=skyeng.skysmart.solutions&amp;hl=ru&amp;gl=US</t>
  </si>
  <si>
    <t>ГДЗ.ру - Решебник</t>
  </si>
  <si>
    <t>ГДЗ (готовые домашние задания), решебники по основным школьным предметам для 1-4 и 5 -11 класса: гдз по математике, алгебре, геометрии, русскому языку, ...</t>
  </si>
  <si>
    <t>https://vk.com/reshebnik</t>
  </si>
  <si>
    <t>ГДЗ - готовые домашния задания и решебники</t>
  </si>
  <si>
    <t>https://gdz.pub/</t>
  </si>
  <si>
    <t>ГДЗ - готовые домашния задания и решебники  GDZ.PUB МенюНайтиГДЗ (готовые домашние задания)ПредметыКлассы1234567891011Алгебра1234567891011Английский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язык1234567891011Окружающий мир1234567891011Русский язык1234567891011Физика1234567891011Химия1234567891011Популярные книгиНемецкий язык 4 классУчебникБим Рыжова1 2«Просвещение»Литература 1 классУчебникКацПланета знаний«Дрофа»Математика 3 классУчебникМоро Бантова БельтюковаШкола России«Просвещение»Биология 11 классУчебникБалан Верес«Генеза»История 8 классУчебникБурин Митрофанов Пономарев«Дрофа»Английский язык 10 классУчебникГроза Дворецкая КазырбаеваNew Millennium«Титул»Литература 6 классУчебникЛанин Устинова Шамчикова1 2Алгоритм успеха«Вентана-Граф»Алгебра 7 классУчебникРубин Чулков«БАЛАСС»ГДЗ — хороший помощник в учебеНачиная с первого класса учащимся предстоит усваивать большой объем информации. Со временем программа обучения будет лишь усложняться. Из-за этого отношение к учебе должно носить серьезный характер не только у детей но и у их родителей с которых по большей части и берется непосредственный пример.Учитывая сложность общего курса учителя не всегда будут иметь возможность подробно разбирать со школьниками все тонкости предметов. Именно поэтому так важно внимательно относиться ко всем словам преподавателя и вникать в суть дисциплины и не оставлять никаких пробелов. Кроме того необходимо привить ребятам привычку повторять пройденный материал дома чтобы лучше его усвоить.Вполне естественно не все у учащихся будет получаться с первого второго и даже третьего раза. Поэтому иногда им будет требоваться помощь и поддержка со стороны взрослых. Так как не все мамы и папы могут похвастаться глубокими познаниями по всем предметам то на выручку им и более взрослым школьникам могут прийти ГДЗ которые помогут разобраться в решении своего задания.В чем заключается помощь ГДЗ?Поскольку не всегда родители имеют возможность нанять репетитора а многие просто не верят в эффективность этих занятий то хорошим выходом из ситуации может стать использование решебников. Благодаря логической структуре и доскональным решениям ребята имеют возможность проследить весь принцип выполнения того или иного упражнения выявить в чем именно у них возникают ошибки и успешно справляться с их исправлением. Мамы и папы же могут не затрачивая лишнего времени качественно проверить д/з своих детей и указать им верные способы решения тем самым принимая непосредственное участие в процессе обучения.Главное чтобы школьники не забывали о том что эти пособия ни в коем случае не могут заменить непосредственного мыслительного процесса а предназначены лишь для вспомогательной помощи при возникающих затруднениях. Поэтому обычное списывание может лишь ухудшить успеваемость в то время как тщательная проработка заданий поможет не только получать хорошие оценки но и увеличить общий багаж знаний.Стоит ли доверять ГДЗ?Это вполне закономерный вопрос учитывая ту дезинформацию которую так любят выкладывать на просторах интернета. Поэтому не стоит забывать что напечатанные издания написаны профессорами которые имеют не один год преподавательской деятельности за спиной. Кроме того эти специалисты знают все нюансы тех предметов которые и разбирают на страницах ГДЗ. Представленные на сайте задания и решения по ним полностью идентичны оригинальным пособиям.Каково наше участие?Трудности в учебе неизбежны так как с каждым годом в программе обучения появляются новые нюансы вызывающие множество вопросов у учащихся. На нашем сайте gdz.pub представлены решебники включающие в себя все необходимые пояснения и дополнения которые помогут ребятам разобраться с любыми сложностями.©2019-2023 «GDZ.PUB»[email protected]закрытьГДЗ и решебникиПредметыКлассы1234567891011Алгебра1234567891011Английский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язык1234567891011Окружающий мир1234567891011Русский язык1234567891011Физика1234567891011Химия1234567891011</t>
  </si>
  <si>
    <t>gdz.pub</t>
  </si>
  <si>
    <t>ГДЗ за 1-11 класс - Решебник.ком</t>
  </si>
  <si>
    <t>https://reshebnik.com/</t>
  </si>
  <si>
    <t>ГДЗ за 1-11 класс - Решебник.ком  РешебникВСЕ КЛАССЫ1234567891011ВСЕ ПРЕДМЕТЫМатематикаАнглийский языкРусский языкАлгебраГеометрияФизикаХимияНемецкий языкБелорусский языкУкраинский языкФранцузский языкБиологияИсторияИнформатикаОБЖГеографияПриродоведениеОсновы здоровьяМузыкаИЗОЛитератураОбществознаниеЧерчениеМед. подготовкаОкружающий мирЧеловек и мирАстрономияЭкологияТехнологияЕстествознаниеИспанский языкИскусствоКитайский языкКубановедениеКазахский языкМир природы и человекаВСЕ ВИДЕОРЕШЕНИЯ В какой-то момент каждый школьник ощущает что в его жизни наступил тот период когда на домашние задания и уроки начинает уходить всё больше времени чем обычно. Одни из учащихся продолжают настойчиво учиться получать хорошие оценки по предметам. Остальные же прекращают беспокоиться по поводу своих знаний отворачиваются от учёбы скатываются по лесенке вниз в отношении успеваемости и поведения. Главной и первостепенной задачей нашего ресурса является помощь учащимся всех категорий и возрастов в упрощении и ускорении приготовления домашних заданий. Пользуясь учебником ГДЗ по выбранному предмету и ознакомившись с ответом любой школьник в силах разобраться самостоятельно со способом решения за что впоследствии получит высокую оценку. Когда ученик не имеет явных способностей для самостоятельного сравнения вариантов решения задач то любой взрослый человек в силах помочь. Любым мамам и папам не будет трудно помочь своему ребёнку используя решебники современного типа которые написаны вполне доступным языком. Именно поэтому родители могут стать активными участниками процесса учёбы своего чада. А школьникам с этими надёжными и удобными помощникам как решак станет проще учиться. Почему стоит выбрать именно наши онлайн-решебники?   ГДЗ разработаны совсем не как шпаргалки для бездумного списывания как думают многие. Опытные и профессиональные методисты создавали такой ресурс как дополнительное пособие к оригинальному печатному школьному учебнику. С его помощью ученик сможет не только самостоятельно закрепить пройденный материал но и качественно подготовиться ко всем видам испытаний а именно: контрольным проверочным самостоятельным тестированию изложению сочинению словарному диктанту и даже к основному и единому государственным экзаменам. Как пользоваться вспомогательными пособиямиПервым делом важно усвоить что просто списывать готовые ключи к себе в тетрадь строго не рекомендуется ведь это будет медвежьей услугой и такой ученик никогда не повысит свой истинный уровень знаний. Нужно самому сделать все задания а потом уже сверить полученный результат с ответом представленным на сайте reshebnik.com. Такой виртуальный консультант сможет прекрасно подготовить учащегося с любым изначальным уровнем знаний и подготовки. Основные плюсы использования онлайн-сборника: школьник может разобраться в теме самостоятельно не прибегая к помощи взрослых и репетиторов; сделав задание ученик должен свериться с решебником и проверить насколько он усвоил программу; используя электронную версию можно получить доступ к книге из любой точки мира; в случае неверного ответа ГДЗ поможет найти ошибку и подскажет способы исправления. Объяснения по каким предметам есть на нашем сайте Решебник ком Важным преимуществом этого портала является то что здесь есть подсказки и полезные комментарии абсолютно ко всем обязательным дисциплинам. Учащийся найдет здесь подробные разъяснения различных математических теорий и детальные решения задачек. Также тут приведены разборов упражнений по русскому и анализы произведений и рассказов по литературе. Помимо этого виртуальный консультант натаскает по естественным наукам вроде химии биологии окружающему миру. Также важно отметить что онлайн-гдз созданы для учеников любой ступени образования. К нему может обратиться и малыш который недавно пошел в школу и только привыкает к обстановке. Также зайти на сервис будет полезно обучающемуся среднего звена чтобы повторить пройденное или заглянуть немного вперед и конечно сборник будет необходим старшекласснику который вовсю готовится к ОГЭ или ЕГЭ. Хоть пособие создано было исключительно для учеников им могут воспользоваться и преподаватели для того чтобы разнообразить свои уроки. Многие педагоги применяют онлайн-гдз для составления плана и закрепления своих знаний. А теперь давайте перечислим прочие преимущества такого онлайн-помощника: данные можно просмотреть даже не имея компьютера - достаточно просто зайти с телефона или планшета и узнать ответы на интересующие задания; на сервисе представлены видео с пояснениями рассортированные по категориям – это позволяет без проблем найти нужные ответы и справиться с задачей; больше не потребуется ждать когда родители вернутся с работы или учитель наконец-то освободится для того чтобы объяснить вам принцип решения очередного примера; поможет наверстать упущенное (если по какой-то причине ученик пропустил занятие то закрыть пробелы в памяти можно самому и необязательно идти к дорогостоящему репетитору или записываться на платные курсы); работает в режиме онлайн круглосуточно без каких-либо перебоев нужно лишь подключение к сети интернет. Так что не теряйте время и скорее начинайте заниматься с этим уникальным учебно-методическим комплексом. Тогда пятерки и четверки не заставят себя ждать и успеваемость повысится незамедлительно! Любой из решебников reshak представленных на нашем интернет-ресурсе является реальной находкой для школьников разных категорий. Так как все эти сборники решений составлены с одобрения и в соответствии с определёнными требованиями Министерства Образования и Науки Российской Федерации они содержат в себе правильные результаты и подтверждённую информацию. У нас есть всё что надо для выполнения любого домашнего задания. Заходите не пожалеете!  © reshebnik.com 2023[email protected]</t>
  </si>
  <si>
    <t>reshebnik.com</t>
  </si>
  <si>
    <t>ГДЗ: Готовые домашние задания без мороки</t>
  </si>
  <si>
    <t>https://gdzbezmoroki.com/</t>
  </si>
  <si>
    <t>ГДЗ: Готовые домашние задания без мороки GDZBEZMOROKIГДЗПредметыКлассы1234567891011Алгебра1234567891011Английский язык1234567891011Астрономия1234567891011Белорусский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язык1234567891011ОБЖ1234567891011Обществоведение1234567891011Окружающий мир1234567891011Русский язык1234567891011Технология1234567891011Физика1234567891011Французский язык1234567891011Химия1234567891011Черчение1234567891011Экология1234567891011Экономика1234567891011Новые книги3 класс								МаксимоваРусский языкСмотреть5 класс								Верещагина АфанасьеваАнглийский языкСмотреть3 класс								Александрова Вербицкая БогдановРусский языкСмотреть6 класс								Бим Садомова СанниковаНемецкий языкСмотреть2 класс								ПоляковаРусский языкСмотреть5 класс								ЛетягинГеографияСмотретьПочему ГДЗ имеют такую популярность.В жизни каждого родителя однажды наступает время когда ребенка приходится собирать в школу. Пожалуй для самих ребят этот момент все же не такой волнительный как для их мам и пап. Естественно присутствуют и определенные ожидания которые старшее поколение направляет на будущих школьников. Но вот наступил первый класс и все оказалось совершенно не так как то представлялось.Поскольку система образования претерпела значительные изменения то и программа у учащихся существенно отличается от той по которой когда-то учились их родители. Значительно возросла нагрузка что приводит к быстрой потере интереса к образовательному процессу со стороны детей. Так же увеличились и объемы д/з из-за чего ученики практически не имеют свободного времени. В более старших классах эта проблема усугубляется.Все чаще на выручку школьникам и их родителям приходят ГДЗ которые имеют несколько весьма важных плюсов. Самым основным пожалуй является значительная экономия времени что дает детям шанс заниматься чем-то еще помимо учебы. Еще одним достоинством этих пособий можно назвать то что мамам и папам не придется тратить много времени на проверку д/з своих отпрысков.ГДЗ - решает или усугубляет проблему.Во многом данные сборники способны помочь с контролем и систематизацией знаний у детей. Но в начальной школе когда учащиеся еще не способны понять правильный принцип работы с ГДЗ ожидается поддержка от родителей. Конечно многим предпочтительней переложить эти обязанности на кого-то другого поэтому часто прибегают к услугам репетиторов. Но если учесть количество предметов по которым требуется дополнительные занятия то их помощь обходится достаточно дорого. К сожалению не все могут себе это позволить. Кроме того большинство репетиторов пользуются теми же самыми ГДЗ.Функциональность и доступность этих пособий рассчитана на то что ими может воспользоваться абсолютно любой человек какими бы знаниями он не обладал. Поэтому после пятого класса можно постепенно начать подготовку ребенка к тому чтобы он начал самостоятельно ими пользоваться. Самым главным принципом которым должен руководствоваться школьник является тот что ГДЗ принесет пользу в том случае если использовать его в качестве вспомогательного материала для проверки выполненного д/з а не в качестве постоянной шпаргалки.Стоит ли доверять ГДЗ.Многие задаются этим вопросом. С одной стороны представляется нерациональным давать в руки школьников подобное руководство где представлены все готовые ответы по всему курсу обучения. С другой стороны не стоит забывать о том что изначально эти сборники составлялись для учителей чтобы ускорить их работу над домашними заданиями учеников. Все решебники были написаны исключительно преподавателями и профессорами поэтому их трудам вполне можно доверять. Стоит обратить внимание и на тот факт что современным школьникам задают слишком большие объемы домашних заданий и на их выполнение отводиться крайне мало времени. Прибывая в постоянной тревоге дети могут стать подвержены нервным срывом поэтому использование ГДЗ является не только оправданным но и вполне закономерным.Что готовы предложить мы.С самого начала когда ребенок только идет в школу довольно трудно спрогнозировать к чему у него будет тяга а какие предметы будут вызывать большие проблемы. Поэтому мы решили предоставить и родителям и школьникам самостоятельно выбрать тот решебник который им нужен выложив полновесный каталог по ГДЗ на нашем сайте GDZBEZMOROKI.COM.Класс1 класс2 класс3 класс4 класс5 класс6 класс7 класс8 класс9 класс10 класс11 класс©GDZBEZMOROKI 2018-2023[email protected]</t>
  </si>
  <si>
    <t>gdzbezmoroki.com</t>
  </si>
  <si>
    <t>РешУтка: ГДЗ к учебникам и рабочим тетрадям с 1 по 11 ...</t>
  </si>
  <si>
    <t>Готовые домашние задания на РешУтка.ру помогут сдать контрольную работу и выполнить домашнюю работу на пятёрку. Упражнения проверены экспертами.</t>
  </si>
  <si>
    <t>https://reshutka.ru/</t>
  </si>
  <si>
    <t>ГДЗ: Готовые домашние задания бесплатно онлайн на ...</t>
  </si>
  <si>
    <t>https://megashpora.com/</t>
  </si>
  <si>
    <t>ГДЗ: Готовые домашние задания бесплатно онлайн на МегаШпора Megashpora.com МенюГДЗ1234567891011Алгебра1234567891011Английский язык1234567891011Астрономия1234567891011Белорусский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язык1234567891011Технология1234567891011Физика1234567891011Французский язык1234567891011Химия1234567891011Черчение1234567891011Экология1234567891011Экономика1234567891011ГДЗ1234567891011Алгебра1234567891011Английский язык1234567891011Астрономия1234567891011Белорусский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язык1234567891011Технология1234567891011Физика1234567891011Французский язык1234567891011Химия1234567891011Черчение1234567891011Экология1234567891011Экономика1234567891011Популярные ГДЗРусский язык 7 классУчебникЛадыженская Баранов ТростенцоваПросвещениеАнглийский язык 9 классРабочая тетрадьRainbowАфанасьева Михеева БарановаТитулДля чего были придуманы ГДЗКогда ребенок идет в школу то родители поначалу мало задумываются о тех трудностях которые будут возникать перед их детьми. А сложности обязательно появятся ведь маленькому школьнику предстоит впереди тернистый путь длинной в одиннадцать лет. И если поначалу все острые углы еще можно достаточно легко сгладить то уже с пятого класса обучение принимает весьма серьезный оборот когда без помощи бывает не обойтись.С каждым годом Министерство образования все больше усложняет школьную программу пытаясь вместить в детей как можно больше знаний. При этом совершенно не учитываются личностные особенности учеников ведь кому-то обучение дается легко а кому-то требуется побольше времени на усвоение нового материала. Помимо этого существуют проблемы с учительским составом. Бесспорно есть хорошие учителя которые могут все понятно объяснить и рассказать. А если попался учитель который совершенно сухим "протокольным" языком быстро провел урок и оставил детей с кучей вопросов? Что делать в этом случае?Конечно можно нанять репетитора который будет заниматься с вашим ребенком столько сколько нужно. Но опять же несколько репетиторов по разным предметам которые будут приходить пару раз в неделю или больше вполне способны разорить среднестатистическую семью. Для того чтобы сохранить семейный бюджет и быть уверенными в том что ваш ребенок будет получать знания в полном объеме и учиться только на хорошие оценки специалисты предлагают воспользоваться ГДЗ.ГДЗ - помощь школьникам и их родителямВ первую очередь решебники и все сопутствующие пособия были рассчитаны на родителей которые хотели бы проконтролировать знания своих детей. Так как каждый год учебная программа немного видоизменяется то вполне естественно что те знания которые получало старшее поколение немного устарели. И эффективной помощи своему ребенку в подготовки домашних заданий многие уже не в состоянии оказать. Поэтому воспользовавшись помощью ГДЗ родители смогут не только удостовериться что их ребенок правильно сделал д/з но и помочь ему в случае возникновения сложностей.Школьники тоже спокойно могут воспользоваться помощью решебников по различным предметам. Основополагающим моментом в этом случае является то что ГДЗ рассчитаны не просто на бесцельное списывание а на запоминание пройденного ранее материала и закрепление его через решение практических заданий. Так же эти пособия прекрасная возможность подготовить школьника к экзаменам и итоговым проверочным работам. Повторение пройденного за год собранного в одном решебнике явно не будет лишним так как многие ученики иногда забывают о том что они учили в начале курса.Почему можно быть уверенным в правильности ГДЗЭти руководства написаны опытными преподавателями преподающими в ВУЗах и университетах. Однако из расчета на возраст школьников они постарались представить весь материал в предельно доступном виде чтобы ученики спокойно могли оперировать полученной информацией. В особо сложных случаях авторы не поскупились на комментарии. С помощью своих пособий они еще раз доказали что учеба может приносить радость если школьник понимает что же именно он учит.Что предлагаем мыНа нашем сайте GDZ.chat можно найти ГДЗ по любому предмету с 1 по 11 классы. Достаточно просто зайти на сайт и выбрать тот решебник который вам необходим. Мы постарались максимально адаптировать сайт под потребности учеников и их родителей предоставив возможность найти пособие именно того автора который вам необходим. Облегчите учебу вашим детям ведь у них впереди и так много трудностей а мы вам в этом с удовольствием поможем!Новые ГДЗРусский язык 3 классПроверочные и контрольные работыМаксимоваВАКОАнглийский язык 5 классКнига для чтенияВерещагина АфанасьеваПросвещениеРусский язык 3 классУчебникАлександрова Вербицкая БогдановПросвещениеНемецкий язык 6 классУчебникБим Садомова СанниковаПросвещение12 Megashpora.com ©2018-2023[email protected]</t>
  </si>
  <si>
    <t>megashpora.com</t>
  </si>
  <si>
    <t>ГДЗ - готовые ответы на все домашние задания от Путина</t>
  </si>
  <si>
    <t>ГДЗ от Путина — готовые ответы на все домашние задания ... На учебном портале «ГДЗ от Путина инфо» размещены готовые ответы, качественно выполненные ...</t>
  </si>
  <si>
    <t>https://gdz-putina.info/</t>
  </si>
  <si>
    <t>ГДЗ(дүж): Готовые домашние задания и ответы - KZGDZ ...</t>
  </si>
  <si>
    <t>ГДЗ(дүж) по урокам для 1-11 класса, решенные задания по математике, алгебре, геометрии, физике, химии.</t>
  </si>
  <si>
    <t>https://kzgdz.com/</t>
  </si>
  <si>
    <t>ГДЗ(дүж): Готовые домашние задания и ответы - KZGDZ.COM KZGDZ.COMНе нашли учебник?2 класс3 класс4 класс5 класс6 класс7 класс8 класс9 класс10 класс11 классВсе учебникиСОР СОЧЭЛЕКТРОННЫЕ УЧЕБНИКИГДЗ Готовые домашние задания (Дайын үй жұмыстары)классы234567891011Математика23456×××××Алгебра×××××7891011Геометрия×××××7891011Информатика××××67××××Қазақ тілі2345678910×Казахский язык и литература×××5678×××Казахская литература×××56789××Русский язык23456789×11Русский язык и литература23456789×11Русская литература×××56×××××Литературное чтение××4×××××××Английский язык××4567891011Самопознание×××567××××География×××××78×××Биология×××××789××Физика×××××7891011Химия×××××7891011Естествознание×××56×××××Всемирная история×××56789××История Казахстана×××56×××××Не нашли учебник?Добро пожаловать на сайт ты сделал верный выбор!Насыщенная программа обучения включает в себя множество дисциплин.        Каждый новый урок несёт поток терминов теорем примеров. Уроки в классе        домашняя подготовка дополнительные занятия факультативы забирают много        сил и времени у современного школьника. Порой информация данная учителем        сложно воспринимается и не усваивается за сорок минут. Придя домой ученик не        может грамотно выполнить «домашку» чувствует себя глупо снижается интерес к учёбе.        В такие моменты пригодится специализированная литература которую наша команда заботливо        оставила для тебя.Тут собраны все решения и правильные ответы по самым сложным наукам: математика алгебра        и геометрия физика и химия.Мы отмечаем полезные функции решебников:самопроверка анализ своей работы на предмет ошибок выявление пробелов в знаниях на начальной стадииподмога в выполнении сложный задачвозможность родителей курировать образовательный процесс ребёнка а также дать объяснение той или иной терминологииповышение самооценки и уверенности в себе адаптация к школьному курсу проявление конкурентной заинтересованности.Знание-сила будь в этом уверен!"ГДЗ" - это не про бездумное списывание это в первую очередь        инструмент для увеличения успеваемости в школе получения максимальной пользы        и удовольствия из учебной деятельности. Пособие так же отлично подойдет для мам и пап        преподавателей и репетиторов.©kzgdz.com 2023 Астана КазахстанДля правообладателей dytgdz@gmail.com</t>
  </si>
  <si>
    <t>kzgdz.com</t>
  </si>
  <si>
    <t>ГДЗ РЕД Готовые домашние задания - Решебники (ГДЗ) 1 ...</t>
  </si>
  <si>
    <t>Решебники (ГДЗ) 1 - 11 класс. ГДЗ ответы по всем предметам и решение домашних заданий на 5✚❗ Любой онлайн решебник добавлен на наш гдз сайт.</t>
  </si>
  <si>
    <t>https://gdz.red/</t>
  </si>
  <si>
    <t>﻿ГДЗ РЕД Готовые домашние задания ❗ - Решебники (ГДЗ) 1 - 11 класс     Перейти к содержанию  Search for:    1 классРусский языкМатематикаАнглийский языкОкружающий мирЛитературное чтение2 классРусский языкИнформатикаМатематикаОкружающий мирАнглийский языкЛитературное чтениеМузыка3 классРусский языкОкружающий мирАнглийский языкИнформатикаЛитературное чтениеМатематикаМузыка4 классРусский языкМатематикаИнформатикаАнглийский языкЛитературное чтениеОкружающий мирМузыка5 классМатематикаРусский языкГеографияАнглийский языкОбществознаниеИсторияЛитератураБиологияМузыкаИнформатикаНемецкий языкТехнологияОБЖ6 классАнглийский языкМатематикаОбществознаниеРусский языкИнформатикаИсторияГеографияБиологияЛитератураНемецкий язык7 классАнглийский языкРусский языкОбществознаниеФизикаАлгебраИнформатикаБиологияГеометрияГеографияЛитератураИстория8 классРусский языкАнглийский языкАлгебраХимияФизикаОбществознаниеГеографияИнформатикаБиологияТехнологияИстория9 классАнглийский языкФизикаИнформатикаАлгебраОБЖХимияИсторияРусский языкОбществознаниеБиологияГеография10 классРусский языкФизикаСочинения ГДЗ РЕД🎓Готовые домашние задания1 классРусский языкМатематикаАнглийский языкОкружающий мирЛитературное чтение2 классРусский языкИнформатикаМатематикаОкружающий мирАнглийский языкЛитературное чтениеМузыка3 классРусский языкОкружающий мирАнглийский языкИнформатикаЛитературное чтениеМатематикаМузыка4 классРусский языкМатематикаИнформатикаАнглийский языкЛитературное чтениеОкружающий мирМузыка5 классМатематикаРусский языкГеографияАнглийский языкОбществознаниеИсторияЛитератураБиологияМузыкаИнформатикаНемецкий языкТехнологияОБЖ6 классАнглийский языкМатематикаОбществознаниеРусский языкИнформатикаИсторияГеографияБиологияЛитератураНемецкий язык7 классАнглийский языкРусский языкОбществознаниеФизикаАлгебраИнформатикаБиологияГеометрияГеографияЛитератураИстория8 классРусский языкАнглийский языкАлгебраХимияФизикаОбществознаниеГеографияИнформатикаБиологияТехнологияИстория9 классАнглийский языкФизикаИнформатикаАлгебраОБЖХимияИсторияРусский языкОбществознаниеБиологияГеография10 классРусский языкФизикаСочинения1 класс2 класс3 класс4 класс5 класс6 класс7 класс8 класс9 класс10 класс11 классАнглийский языкМатематикаРусский языкОбществознаниеОкружающий мирГеографияИнформатикаХимияФизикаИсторияАлгебраЛитератураБиологияОБЖМузыкаГеометрияНемецкий языкТехнологияПочему наш ГДЗ сайт будет вам полезен?Сайт с готовыми домашними заданиями представляет собой варианты которые оформлены грамотно и в полном соответствии с требуемыми Стандартами образовательной системы РФ. Каждый желающий может изыскать в уже подготовленных гдз-ответах массу положительных моментов а именно:различные варианты решения к задачам (в случае их наличия);наглядная демонстрация инструментов — графиков схем иллюстраций позволяющих более детально понимать смысл решения который представлен;детальные комментарии благодаря которым учащийся понимает суть логику и алгоритм верных решений и ответов;большой выбор гдз решебников практически по всем школьным предметам в том числе русскому языку математике геометрии биологии химии английскому языку истории др. Ресурсная база gdz.red регулярно обновляется и содержит в себе актуальные данные.Кому полезен ресурс?Споры о пользе ресурса готовых домашних заданий и гдз-ответов стали затихать так как даже скептически настроенные некогда специалисты оценили полезность решебников и удобство. Процесс требует минимум времени на поиск верного решения но вместе с тем учащемуся удается потренировать свой ум навыки а взрослым вспомнить школьную программу. Более того каждому доступны свои принципы и методы использования данных источников.Для чего нужен ГДЗ решебник онлайн?В первую очередь готовые домашнее задание онлайн предназначены для снятия непомерных нагрузок в современной системе школьного образования и формирования самоконтроля выработки собственных подходов к решениям сложных задач. Действующая образовательная система вызывает массу вопросов – на чрезмерные нагрузки сетуют как школьники так и преподаватели и родители учеников. Разработанный опытными специалистами в сфере педагогики и всех видов дисциплин комплекс гдз по дисциплинам дает возможность упростить процесс подготовки к урокам. Это отличный способ вооружиться навыками по таким предметам как:физика;химия;география;биология;геометрия;алгебра;русский язык и литература;иностранные языки и литература (на выбор);информатика и др. Преимущества ГДЗВ чем же польза готовых домашних заданий для обучающихся? На этот вопрос есть множество ответов среди которых наиболее актуальны следующие моменты:эффективность решебников онлайн доказана тем что ими пользуются не только ученики школ но и взрослые. Таким образом родители могут с помощью гдз-ответов обрести либо восполнить свои знания и помочь любимому чаду выполнить качественно домашние задания;у ребенка вырабатываются навыки самопроверки умение работать самостоятельно и эффективно;ученикам пропустившим по определенным причинам занятия либо находящимся на системе дистанционного (домашнего/семейного) обучения предоставляется возможность понимать пути решения сложных задач;мотивационная составляющая – решебники позволяют систематизировать самостоятельные домашние работы: контролировать планировать и определять качество знаний обучающихся сбалансировать интенсивность уроков что дает возможность получать полноценный отдых и отличные результаты.ГДЗ представляют собой универсальный инструмент который можно применять как способ самоподготовки и как обретения навыков. Используя решебник можно заниматься с ребенком в любое время легко и непринужденно осваивая новый материал по различным предметам. Также применение готовых решенных домашних заданий позволяет дополнительно тренировать навыки по любой дисциплине и повысить бальную оценку. Важно отметить что гдз онлайн были созданы в качестве вспомогательного материала для учащихся вне зависимости от этапа обучения лицам находящимся на обучении среднего звена для тех кто решил немного опередить время и проверить свои способности на заданиях более сложного характера при подготовке к сдаче ЕГЭ или ОГЭ. Как нужно использовать решебник?Решебник ГДЗ предназначен для изучения учащимся упущенного либо непонятного параграфа. Таким образом ребенок может еще раз и более детально с помощью решения задачи освоить пройденный материал и в последующем самостоятельно формировать большую часть ответов. Лучший способ применения в школе ГДЗ для детей – использование родителями решебника в качестве проверки в домашних условиях знаний полученных в школе. Благодаря предоставленному материалу взрослые могут с легкостью обновить свои познания и погрузиться в тему а также акцентировать внимание на наиболее важных предметах и воспитать в детях сознательное отношение в отношении онлайн ГДЗ работать с ними только для выполнения сложных заданий для того чтобы более детально разобраться в изучаемой тематике предмета.Решения и ответы ГДЗ на нашем сайте прошли проверку от ведущих преподавателей и не содержат в себе опечаток и ошибок. Грамотный и профессиональный подход в подготовке готовых ответов на вопросы гарантирует для учеников и родителей отличный результат по освоению предметов. Команда компании регулярно мониторит процесс изменений в сфере образования и дисциплин в частности и обновляет их в порядке текущего времени.Поделиться с друзьями ﻿ ﻿Политика конфиденциальностиОбратная связьПомощь по сайтуКурсы подготовки к ОГЭКурсы подготовки к ЕГЭПриложение для Android © 2023 ГДЗ РЕД</t>
  </si>
  <si>
    <t>gdz.red</t>
  </si>
  <si>
    <t>Решеба — решебники и белорусские ГДЗ 2023</t>
  </si>
  <si>
    <t>На сайте Решеба вы найдете решебники к школьным учебникам для всех классов. Качественные ГДЗ по всем предметам совершенно бесплатно!</t>
  </si>
  <si>
    <t>https://resheba.top/</t>
  </si>
  <si>
    <t>Решеба — решебники и белорусские ГДЗ 2023 1 класс  2 класс МатематикаРусский языкБелорусский язык 3 класс МатематикаРусский языкБелорусский языкАнглийский языкЧеловек и мир 4 класс МатематикаРусский языкБелорусский языкАнглийский язык 5 класс МатематикаРусский языкБелорусский языкАнглийский языкНемецкий языкИсторияЧеловек и мир 6 класс МатематикаРусский языкБелорусский языкАнглийский языкНемецкий языкБиологияГеографияФизика 7 класс АлгебраГеометрияРусский языкБелорусский языкАнглийский языкФизикаХимияБиология 8 класс АлгебраГеометрияРусский языкБелорусский языкАнглийский языкФизикаХимияБиологияГеография 9 класс АлгебраГеометрияРусский языкБелорусский языкАнглийский языкФизикаХимияБиология 10 класс АлгебраГеометрияРусский языкБелорусский языкАнглийский языкФизикаХимия 11 класс АлгебраГеометрияРусский языкБелорусский языкАнглийский языкФизикаХимияРешеба. Решебники и ГДЗ 2023Математика2-6 класс23456Алгебра7-11 класс7891011Геометрия7-11 класс7891011Белорусский язык2-11 класс234567891011Русский язык2-11 класс234567891011Английский язык3-11 класс34567891011Физика6-11 класс67891011Химия7-11 класс7891011Биология6-9 класс6789История5 класс5Человек и мир3-5 класс35География6-8 класс68Немецкий язык6 класс56Все предметы1-11 класс1234567891011ПопулярныеМатематика 5 классГерасимов В. Д. Пирютко О. Н.2017 гМатематика 6 классГерасимов В. Д. Пирютко О. Н.2018 гРусский язык 6 классМурина Л. А Игнатович Т. В.2020 гРусский язык 7 классВолынец Т. Н. Литвинко Ф. М.2020 гБелорусский язык 6 классВалочка Г. М. Зелянко В. У.2020 гКому полезны ГДЗ?Готовые домашние задания помогут ученикам разобраться с непростой программой белорусских школ. С помощью наших решебников школьник может самостоятельно изучить пропущенную тему. Ход решения помогает понять логику выполнения упражнения благодаря чего ученик начинает справляться с материалом. ГДЗ также полезны родителям которые пытаются помочь своим детям но не могут целиком и полностью помнить школьную программу. admin@resheba.top  Мы в вконтакте Copyright noticeКонтакты© Решеба 2023</t>
  </si>
  <si>
    <t>resheba.top</t>
  </si>
  <si>
    <t>Готовые домашние задания (ГДЗ) Ответы на рабочие ...</t>
  </si>
  <si>
    <t>Готовые домашние задания для 1-11 класса. Сегодня всем желающим доступны ГДЗ по различным школьным предметам за 1 - 11 класс, начиная от алгебры и заканчивая ...</t>
  </si>
  <si>
    <t>https://shkola.obozrevatel.com/gdz/</t>
  </si>
  <si>
    <t>ГДЗ: решебник домашних заданий</t>
  </si>
  <si>
    <t>15 мар. 2023 г. —</t>
  </si>
  <si>
    <t>https://play.google.com/store/apps/details?id=com.gdzme&amp;hl=ru&amp;gl=US</t>
  </si>
  <si>
    <t>Вшколе: ГДЗ, решебники та підручники онлайн</t>
  </si>
  <si>
    <t>На нашому порталі ви зможете знайти ГДЗ для будь-якого класу. Тільки якісні підручники та решебники. Всі готові домашні завдання доступні на вашому ...</t>
  </si>
  <si>
    <t>https://vshkole.com/</t>
  </si>
  <si>
    <t>ГДЗ решебники та підручники онлайн | ВшколеУкраїнські підручникирешебники (ГДЗ) онлайнУкраїнські підручники решебники (ГДЗ) онлайнВиберіть свій клас:1клас2клас3клас4клас5клас6клас7клас8клас9клас10клас11класГДЗ доступні для кожного школяра        Обирайте посібники для 3-го 4-го 5-го 6-го 7-го 8-го 9-го 10-го та 11-го класів – просто натисніть на потрібний клас і оберіть ваш предмет. Тут є розв’язники з усіх шкільних предметів: математика алгебра геометрія українська мова англійська мова та інші.      Вирішення будь-яких завдань – без помилок!        На нашому порталі «В школі» ви знайдете готові домашні завдання які складені та перевірені кваліфікованими спеціалістами. Дані вправи виконані з мінімальною кількістю помилок описок та друкарських невідповідностей. Кожне ваше завдання буде виконано на «відмінно»!      Всі готові домашні завдання у вашому смартфоні!        Пропонуємо скористатися мобільною версією сайта та отримати швидкий доступ до готових домашніх завдань. Вирішуйте складнощі з навчанням в режимі онлайн! Завантажуйте на свій мобільний практично миттєво! Якщо ваш пристрій працює на платформі Android у вас є можливість завантажити наш додаток.      Актуальні посібники у вільному доступі        Команда порталу постійно оновлює та додає нові ГДЗ слідкуючи за змінами в сучасній шкільній програмі. Якщо ви знаходитесь в пошуках нових розв’язників з 2021 до 2023 років ви легко їх знайдете на нашому сайті «В школі».      Ми у твоєму телефоні                Вшколі - це твій помічник який допоможе тобі швидко знайти відповідь на завдання або завантажити підручник зі                шкільної програми без жодних обмежень.                            vshkole.com - це портал на якому ти зможеш знайти підручники і роз'язники (ГДЗ) з усіх предметів                шкільної програми для різних класів. Сайт адаптовано під твій смартфон.                            Команда порталу доклала дуже багато зусиль щоб в тебе не виникало проблем з пошуком потрібної інформації.                Користуйся із задоволенням!!!Зв'язатися з нами</t>
  </si>
  <si>
    <t>vshkole.com</t>
  </si>
  <si>
    <t>ГДЗ: мой решебник - App Store</t>
  </si>
  <si>
    <t>https://apps.apple.com/ru/app/%D0%B3%D0%B4%D0%B7-%D0%BC%D0%BE%D0%B9-%D1%80%D0%B5%D1%88%D0%B5%D0%B1%D0%BD%D0%B8%D0%BA/id1276194049</t>
  </si>
  <si>
    <t>GDZ</t>
  </si>
  <si>
    <t>Das Göttinger Digitalisierungszentrum (GDZ) erfasst Druckwerke, Handschriften und Bildwerke elektronisch und stellt diese für Forschung, Lehre und Studium zur ...</t>
  </si>
  <si>
    <t>https://gdz.sub.uni-goettingen.de/</t>
  </si>
  <si>
    <t>GDZGöttinger DigitalisierungszentrumGDZ                    Ein Service der SUB Göttingen                search                    Suchen                searchSuchenDurchsucheMetadatenVolltextMetadaten und VolltextErweiterte SuchecloseSchließenDruckwerke und HandschriftenDas Göt­tinger Digi­tali­sierungs­zentrum (GDZ) erfasst Druck­werke Hand­schriften und Bild­werke elek­tro­nisch und stellt diese für For­schung Lehre und Stu­dium zur Verfü­gung.Über 15 Millionen SeitenNutzen Sie unsere umfang­reiche Samm­lung mit über 15 Millionen digi­tali­sierten Seiten und infor­mieren Sie sich über die von uns ange­botenen Dienst­leis­tungen.Albrecht-Thaer-BibliothekAmericanaAntiquitates &amp; ArchaeologiaAschianaBibliotheksarchivBlumenbachianaBucherhaltungDigiWunschbuchFID MathematikGöttinger Universitäts­geschichte – Gedruckte WerkeItinerariaMathematicaMittelalterliche FragmenteMittelalterliche HandschriftenNachlässeOrientaliaRechtsgeschichteRezensionenRusDMLSibiricaVariaVD17 MainstreamVD17 NovaVD18 digitalWissenschafts­geschichteZoologicaHilfe zur SucheKontaktImpressumDatenschutzFeedbackRSS-FeedMastodonJust scannedZVDD - Zentrales Verzeichnis digitalisierter                        DruckeIst Ihr gesuchtes Werk noch nicht in unserem digitalen Bestand? Dann probieren Sie es doch in unserem ZVDD Portal das mehr als 1.600.000 bundesweit digitalisierte Werke nachweist.DigiWunschbuchDie Niedersächsische Staats- und Universitätsbibliothek Göttingen (SUB) bietet mit dem Service „DigiWunschbuch” die Möglichkeit Patenschaften für die Digitalisierung von Büchern zu übernehmen.                Übernehmen Sie die Patenschaft für die Digitalisierung Ihres Wunschbuches.DigiZeitschriftenDigiZeitschriften ist ein Service für das wissenschaftliche Arbeiten. Über einen kontrollierten Nutzerzugang können Studierende und Wissenschaftler auf Kernzeitschriften der deutschen Forschung zugreifen. Der Zugang erfolgt über Bibliotheken und wissenschaftliche Einrichtungen die DigiZeitschriften subskribiert haben. Derzeit umfasst das Angebot über 135 Zeitschriften aus 18 Fachgebieten!Gutenberg DigitalBesuchen Sie das Faksimile der Göttinger Gutenberg Bibel.keyboard_arrow_upZurück zum Seitenanfang</t>
  </si>
  <si>
    <t>gdz.sub.uni-goettingen.de</t>
  </si>
  <si>
    <t>гипсофилы</t>
  </si>
  <si>
    <t>Гипсофила: фото и описание, значение цветка и какого ...</t>
  </si>
  <si>
    <t>https://flowwow.com/blog/gipsofila-foto-i-opisanie/</t>
  </si>
  <si>
    <t>Гипсофила: описание цветка | Энциклопедия цветов</t>
  </si>
  <si>
    <t>https://tsvetomania.ru/encyclopedia/gipsofila963/</t>
  </si>
  <si>
    <t>Доставка цветов в СПБ (24/7) - курьер на дом с цветами недорого - ЦВЕТОМАНИЯ Свежие цветы! Поставка12.11.2023 05:00О цветоманииОплата и доставкаКорпоративным клиентамЦветы оптомСвадебная флористикаКонтактыОтзывыОставьте отзыв о компанииОтправитьВход / РегистрацияМеньше слов - больше цветов! АДРЕСА МАГАЗИНОВСанкт-Петербург8 (800) 550-10-72 Круглосуточно 00р. О цветомании Оплата и доставка Корпоративным клиентам Цветы оптом Свадебная флористика Контакты ОтзывыСанкт-ПетербургВход / Регистрация 0  0 Санкт-ПетербургАкцииНовинкиТортыExpress доставкаБукеты По составу  С альстромериями  С гвоздиками  С герберами  С гортензией  С ирисами  С лилиями  С орхидеями  С розами  С ромашками  С тюльпанами  С хризантемами  C подсолнухами  С георгинами  C гипсофилами  По типу  Из игрушек  Крафт  Монобукеты  Полевые  Сухоцветы  VIP букеты  Современная флористика  Большие букеты  Недорогие цветы  По цветам  Розовые букеты  Фиолетовые букеты  Оранжевые букеты  Красные букеты  Зеленые букеты  Желтые букеты  Белые букеты  По цене  1000-2500 р.  2500-3500 р.  3500-5000 р.  От 5000 р.  С бесплатной доставкой  Популярные  Букет из хризантем «Алисия»  Букет из 5 ароматных лилий  Букет из 5 гортензий микс Розы Розы (по количеству)  101 роза  51 роза  25 роз  15 роз  35 роз  По цвету  Белые розы  Двухцветные розы  Желтые розы  Красные розы  Кремовые розы  Розовые розы  Цветные розы  По сорту  Кустовые розы  Пионовидные розы  Розы White O’Hara  По размеру  Розы 40 см  Розы 50 см  Розы 60 см  Розы 70 см Цветы Альстромерии  Амариллис микс  Гвоздики  Герберы  Гипсофилы  Гладиолусы  Гортензия  Ирисы  Лилии  Орхидеи  Подсолнухи  Тюльпаны  Фрезии  Хризантемы  Эустома  Популярные  Альстромерия  Амариллис микс  Гербера  Гортензия микс  Лилия Евро  Подсолнух  Хризантема белая экстра  Хризантема кустовая белая  Хризантема кустовая желтая  Хризантема кустовая микс  Хризантема кустовая розовая  Хризантема сантини микс  Все цветы поштучно Композиции Цветы в коробке  Розы в коробке  Пионы в коробке  Корзины с цветами  Корзины с розами  Шляпные коробки  Цветы в чашке Повод День матери 26 ноября  Осень  День Рождения  Мужские букеты  Юбилей  Свадьба  Новый год  14 февраля  8 марта  Пасха  Последний звонок и выпускной  День семьи любви и верности  1 сентября  День учителя  Корпоративные букеты Подарки Мягкие игрушки  Конфеты  Открытки  Воздушные шары  Свечи  Топперы  Подарочные наборы Вход / РегистрацияСобери свой букетАкцииНовинкиТортыExpress доставкаБукеты По составуС альстромериямиС гвоздикамиС герберамиС гортензиейС ирисамиС лилиямиС орхидеямиС розамиС ромашкамиС тюльпанамиС хризантемамиC подсолнухамиС георгинамиC гипсофиламиПо типуИз игрушекКрафтМонобукетыПолевыеСухоцветыVIP букетыСовременная флористикаБольшие букетыНедорогие цветыПо цветамРозовые букетыФиолетовые букетыОранжевые букетыКрасные букетыЗеленые букетыЖелтые букетыБелые букетыПо цене1000-2500 р.2500-3500 р.3500-5000 р.От 5000 р.С бесплатной доставкойПопулярныеБукет из хризантем «Алисия»Букет из 5 ароматных лилийБукет из 5 гортензий микс Розы Розы (по количеству)101 роза51 роза25 роз15 роз35 розПо цветуБелые розыДвухцветные розыЖелтые розыКрасные розыКремовые розыРозовые розыЦветные розыПо сортуКустовые розыПионовидные розыРозы White O’HaraПо размеруРозы 40 смРозы 50 смРозы 60 смРозы 70 см Цветы Без категорииАльстромерииАмариллис миксГвоздикиГерберыГипсофилыГладиолусыГортензияИрисыЛилииОрхидеиПодсолнухиТюльпаныФрезииХризантемыЭустомаПопулярныеАльстромерияАмариллис миксГербераГортензия миксЛилия ЕвроПодсолнухХризантема белая экстраХризантема кустовая белаяХризантема кустовая желтаяХризантема кустовая миксХризантема кустовая розоваяХризантема сантини миксВсе цветы поштучно Композиции Цветы в коробкеРозы в коробкеПионы в коробкеКорзины с цветамиКорзины с розамиШляпные коробкиЦветы в чашке Повод День матери 26 ноябряОсеньДень РожденияМужские букетыЮбилейСвадьбаНовый год14 февраля8 мартаПасхаПоследний звонок и выпускнойДень семьи любви и верности1 сентябряДень учителяКорпоративные букеты Подарки Мягкие игрушкиКонфетыОткрыткиВоздушные шарыСвечиТопперыПодарочные наборы АДРЕСА МАГАЗИНОВО цветомании Оплата и доставка Корпоративным клиентам Цветы оптом Свадебная флористика Контакты Отзывы Отправить отзывБукетнеделиОсталось: 0 дня 0 ч 0 минБукет «35 Кения микс»3 630р.3359р.Бонусы: 100 КупитьКупить в 1 кликБукет из 9 розовых эустом3 710р.3329р.Бонусы: 99 КупитьКупить в 1 кликБукет Розовый фламинго из кустовых роз6 820р.4129р.Бонусы: 123 КупитьКупить в 1 кликБукет «15 альстромерий»4 340р.3659р.Бонусы: 109 КупитьКупить в 1 кликБукеты ко Дню материГербера - 1 роза кустовая Джульетта - 1 краспедия - 1 паникум - 1 группа зелень салал - 1 хризантема сантини - 4 пистач - 1 упаковка лента. Волшебный букет (S)2 965р.2345р. Бонусы: 70 КупитьКупить в 1 кликСостав букета: 9 эустом микс упаковка лента Букет из 9 эустом микс3 710р.3329р. Бонусы: 99 КупитьКупить в 1 кликСостав букета: кенийская роза микс 35 упаковка лента Букет «35 Кения микс»3 630р.3359р. Бонусы: 100 КупитьКупить в 1 кликСостав букета: роза кустовая джульетта 1 вибурнум компактум 1 нерине боудени софи 1 серрурия 1 альстромерия 2 гербера-мини 3 хризантема сантини 3 упаковка лента Букет «Облепиховый морс»4 800р.3535р. Бонусы: 106 КупитьКупить в 1 кликГвоздика барбатус - 1 гербера - 3 роза кустовая Джульетта 60 -2 калина 5 - 1 группа зелень салал - 2 хризантема сантини - 2 пистач - 1 упаковка лента. Букет «Исчезновение лета»4 555р.3655р. Бонусы: 109 КупитьКупить в 1 кликСостав букета: кустовая хризантема 15 упаковка лента Букет из 15 белых кустовых хризантем4 075р.3825р. Бонусы: 114 КупитьКупить в 1 кликСостав букета: 25 тюльпанов микс упаковка лента Букет из 25 тюльпанов микс4 370р.3989р. Бонусы: 119 КупитьКупить в 1 кликСостав букета: роза эквадор 40-50см 15 упаковка лента Букет из 15 красных роз 40-50 см (Эквадор)4 735р.4545р. Бонусы: 136 КупитьКупить в 1 кликПосмотреть всеРозыСостав букета: роза эквадор 40-50см 15 упаковка лента Букет из 15 красных роз 40-50 см (Эквадор)4 735р.4545р. Бонусы: 136 КупитьКупить в 1 кликСостав букета: кенийская роза микс 35 упаковка лента Букет «35 Кения микс»3 630р.3359р. Бонусы: 100 КупитьКупить в 1 кликСостав букета: 51 роза Кения микс упаковка лента Букет «51 Кения микс»5 110р.4705р. Бонусы: 141 КупитьКупить в 1 кликСостав букета: роза кустовая Мадам Бомбастик 15 лента 2 упаковка пленка матовая 1 Букет из 15 роз Мадам Бомбастик6 550р.5805р. Бонусы: 174 КупитьКупить в 1 кликСостав букета: 25 эквадорских роз упаковка лента Букет из 25 красных роз 40 см (Эквадор) в упаковке7 965р.6689р. Бонусы: 200 КупитьКупить в 1 кликСостав букета: 101 кенийская роза микс 40 см упаковка лента 101 кенийская роза микс9 730р.8905р. Бонусы: 267 КупитьКупить в 1 кликСостав букета: 15 розовых роз эквадор 70см упаковка лента Букет из 15 розовых роз 70 см5 690р.5265р. Бонусы: 157 КупитьКупить в 1 кликСостав букета: роза эквадор 60-70см 15 упаковка лента Букет из 15 красных роз 60-70 см (Эквадор)5 330р.5265р. Бонусы: 157 КупитьКупить в 1 кликПосмотреть всеЯркая Осень | Осенние букетыГербера - 1 роза кустовая Джульетта - 1 краспедия - 1 паникум - 1 группа зелень салал - 1 хризантема сантини - 4 пистач - 1 упаковка лента. Волшебный букет (S)2 965р.2345р. Бонусы: 70 КупитьКупить в 1 кликГербера - 3 роза кустовая Джульетта  60 - 2 калина - 05 краспедия - 2 паникум - 1 группа зелень салал - 3 хризантема сантини - 4 пистач - 1 упаковка лента. Волшебный букет (M)4 589р.4205р. Бонусы: 126 КупитьКупить в 1 кликСостав букета: вибурнум компактум 1 роза кустовая джульетта 1 клематис 1 роза кустовая фаер флеш 3 декор перо павлина 1 альстромерия 3 гербера-мини 5 эустома алиса 2 упаковка лента Букет «Птичье молоко»6 250р.5185р. Бонусы: 155 КупитьКупить в 1 кликСостав букета: альстромерия 5 фаерворк 4 фаерфлеш 1 листья пальмы декор 2 леукоспермум 1 аспарагус ред 1 гербера-мини 3 хризантема кустовая 2 солидаго 1 упаковка лента Букет «Осенняя листва»6 730р.5519р. Бонусы: 165 КупитьКупить в 1 кликСостав букета: роза кустовая джульетта 1 вибурнум компактум 1 нерине боудени софи 1 серрурия 1 альстромерия 2 гербера-мини 3 хризантема сантини 3 упаковка лента Букет «Облепиховый морс»4 800р.3535р. Бонусы: 106 КупитьКупить в 1 кликкверкус крашенный 2 пистач 5 хризантема бигуди ред 5 роза 50 3 хризантема сантини 3 гвоздика голландия 3 маттиола 3 орхидея цимбидиум 7 гербера 1 упаковка лента Букет «Сочный манго»8 950р.8745р. Бонусы: 262 КупитьКупить в 1 кликроза кустовая бейби 2 лагурус 5 краска глиттер 02 фрезия 2 гвоздика голландия 1 маттиола 1 эвкалипт цинерея 1 тыква оазис Композиция в тыкве «Золотая осень»3 580р.3179р. Бонусы: 95 Нет в наличииГладиолус - 3 роза кустовая - 2 калина 5 - 1 сухоцветы Ковыль 40см - 03 группа зелень салал - 2 пистач - 1 упаковка лента. Букет «Сверхъестественная осень» (S)4 520р.3535р. Бонусы: 106 Нет в наличииПосмотреть всеБукеты из сухоцветовСостав букета: сухоцветы упаковка лента Букет «Розовый шоколад»4799р. Бонусы: 143 КупитьКупить в 1 кликСостав букета: сухоцветы упаковка лента Букет «Огненный танец»7199р. Бонусы: 215 КупитьКупить в 1 кликСостав букета: сухоцветы упаковка лента Букет «Мелодия Прованса»7799р. Бонусы: 233 КупитьКупить в 1 кликСостав букета: сухоцветы упаковка лента Букет «Лунная ночь»5399р. Бонусы: 161 КупитьКупить в 1 кликПосмотреть всеДоставка цветов и букетов в Санкт-ПетербургеСостав букета: гвоздика 49 эвкалипт николь 3 упаковка лента Букет «Кэрри»10755р.Бонусы: 322 КупитьКупить в 1 кликГербера - 3 роза кустовая Джульетта  60 - 2 калина - 05 краспедия - 2 паникум - 1 группа зелень салал - 3 хризантема сантини - 4 пистач - 1 упаковка лента. Волшебный букет (M)4205р.Бонусы: 126 КупитьКупить в 1 кликСостав букета:  гвоздика 10 лимониум 3 пампасная трава 3 питтоспорум 2 эустома 6 упаковка лента Букет «Барби» (M)8339р.Бонусы: 250 КупитьКупить в 1 кликСостав букета: гвоздика 7 лимониум 2 пампасная трава 2 питтоспорум 1 эустома 5 упаковка лента Букет «Барби» (S)6029р.Бонусы: 180 КупитьКупить в 1 кликСостав букета: берграс 5 гиперикум 10 лилия азиатская 10 листья стрелиции 2 упаковка лента Букет «Маугли»6819р.Бонусы: 204 КупитьКупить в 1 кликСостав букета: шиповник 3 дельфиниум 2 роза Джульетта 4 эвкалипт 2 хамелациум 3 хризантема Бигуди 3 упаковка лента Букет «Альмодовар» (M)8039р.Бонусы: 241 КупитьКупить в 1 кликСостав букета: шиповник 4 дельфиниум 2 роза Джульетта 4 эвкалипт 2 хамелациум 5 хризантема Бигуди 5 упаковка лента Букет «Альмодовар» (L)9935р.Бонусы: 298 КупитьКупить в 1 кликСостав букета: роза кустовая бейби 5 пистач 5 хризантема бигуди ред 5 гербера 3 гвоздика голландия 3 роза 50см 3 упаковка лента Букет «Кофе со сливками»6709р.Бонусы: 201 КупитьКупить в 1 кликСостав букета: роза кустовая джульетта 2 трахелиум 2 хризантема сантини 4 дельфиниум 1 клематис 1 гвоздика 2 нерин 2 гербера 3 ковыль 1 аспарагус розовый 1 упаковка лента Букет «Шампань» (M)6175р.Бонусы: 185 КупитьКупить в 1 кликСостав букета: гербера 5 роза кустовая джульетта 3 дельфиниум 2 клематис 3 гвоздика 3 нерин 2 хризантема сантини 5 ковыль 1 аспарагус розовый 1 трахелиум 3 упаковка лента Букет «Шампань» (L)9089р.Бонусы: 272 КупитьКупить в 1 кликСостав букета: гвоздика 10 дельфиниум 3 ковыль 30 корилиус 2 лилия евро 2 роза 50см 5 аспарагус 1 хризантема сантини 10 эвкалипт цинерея 2 упаковка лента Букет «Сеул»10315р.Бонусы: 309 КупитьКупить в 1 кликСостав букета: роза пиано фрейленд 7 пистач 5 лагурус 7 хризантема виена 5 роза 50см 3 маттиола 3 антуриум 1 эвкалипт цинерея 2 лента Букет «Ягодный сок»8615р.Бонусы: 258 Нет в наличииЦветочные композицииСостав композиции: тюльпан 5 роза 50 см3 гвоздика голландия 4 маттиола 2 пистач 3 коробка оазис Композиция в шляпной коробке «Весеннее утро»4 530р.3519р. Бонусы: 105 КупитьКупить в 1 кликСостав композиции: эустома 2 роза 50см 10 ранункулюс 4 маттиола 3 гербера вода микс 1 гвоздика голландия карамель 3 эвкалипт парвифолия 2 сирень белая 1 рускус 2 роза голландия остин джульет 50 см 2 озотамнус розовый 2 шляпная коробка 1 оазис кирпич 3 Композиция в шляпной коробке «Теплый рассвет»16 095р.12585р. Бонусы: 377 КупитьКупить в 1 кликСостав композиции: альстромерия 3 тюльпан 5 гвоздика 5 роза эквадор 3 эвкалипт популюс 1 пистач 3 хлопок 3 гиперикум 3 ящик деревянный оазис плёнка Композиция в деревянном ящике «Воздушный зефир»5235р. Бонусы: 157 КупитьКупить в 1 кликСостав композиции: оазис роза кустовая джульетта 3 коробка эустома 5 гвоздика 3 гипсофила 2 маттиола 3 ранункулюс 4 роза эквадор 60см 8 рускус 2 нерине 2 эвкалипт Композиция в шляпной коробке «Зимняя нежность»16 935р.12159р. Бонусы: 364 КупитьКупить в 1 кликПосмотреть всеДобро пожаловатьв цветочный интернет-магазин ЦветоманияЦветомания - это не только сеть цветочных супермаркетов с широчайшим ассортиментом но и в первую очередь сервис доставки свежайших цветов и букетов составленных непосредственно в момент заказа лучшими флористами города. Детально продуманная система логистики и команда профессионалов позволяет нам круглосуточно доставить букет способный удовлетворить даже самые изысканные запросы в любую точку Санкт-Петербурга в любое удобное для вас время.Интернет-магазин цветов «Цветомания» - удобный онлайн-сервис призванный сэкономить Ваше время. У нас Вы быстро и без лишних хлопот сможете заказать букет цветов с круглосуточной доставкой на дом курьером в СПб.Как заказать букет с доставкой?Прежде чем оформить заказ ознакомьтесь с ассортиментом предлагаемой нами продукции. Это весьма увлекательно и удобно - представленные флористические композиции разделены по тематикам. В «Цветомании» Вы можете быстро и недорого купить свадебные и подарочные мужские и женские детские и другие эффектные букеты с круглосуточной доставкой в Санкт-Петербурге.Подробнее о компании  Свежие цветы с собственного складаБесплатная упаковка букета дизайнеромБесплатная открытка с вашим текстомКомплект для ухода в подарокФото перед доставкойБесплатная доставка от 5 000 рубСМС оповещение о доставкеНе понравился букет?Привезем новый!Свежие цветы со складаБесплатная упаковка букета дизайнеромБесплатная открытка с вашим текстомКомплект для ухода в подарокФото перед доставкойБесплатная доставка от 5 000 рубСМС оповещение о доставкеНе понравился букет?Привезем новый! Отзывы о нашем салоне цветовВера Корниенко10 сентября 2023Прекрасные цветы. Замечательное обслуживание. Первый раз увидела такой сорт роз. КрасотаАркадий30 августа 2023Хороший магазин. Цветы заказывал в подарок. Привезли к означенному времени. Букет отличный. Курьер вежливый. Есть опция - не говорят что это доставка цветов.Рекомендую.Диана Масленникова25 августа 2023Цветы великолепны девушка отлично обслужила. Эти цветы стоят уже неделю и кажется они не собираются вянуть )Анастасия Тюева23 августа 2023Всегда есть оригинальные букеты по последнему или предпоследнему слову флористики. Букеты стоят крайне долго до 3-х недель. Вкусные десерты там же.Часто задаваемые вопросы Как сделать заказ цветов?Заказ на доставку букетов по Санкт-Петербургу можно оформить через корзину сайта по бесплатномутелефону 8(800) 550-10-72 а также с помощью мессенджеров – WhatsApp Viber Telegram илиWeChat. Кроме того Вы можете связаться с нами для оформления заказа букета через онлайн-чат насайте написать нам письмо на e-mail [email protected] или заказать обратный звонок. Как оплатить заказ?Оплатить заказ можно одним из перечисленных способов:Наличными курьеру при получении букетаНа сайте с помощью банковской картыБанковской картой курьеру при получении букета В какое время принимаются заказы?На сайте и по телефону заказ на букеты цветов можно оформить круглосуточно. В какое время доставляются заказы?Доставка букета цветов курьером по Санкт-Петербургу и области осуществляется круглосуточно. Сколько стоит доставка цветов?Стоимость доставки заказов на сумму до 5000 рублей – 299 в пределах КАД. Заказы на букеты от 5000 рублей доставляются бесплатно. Можно ли забрать цветы самостоятельно?Да цветы можно забрать в одном из наших салонов. Их полный список график работы и телефоныможно посмотреть здесь. За сколько времени нужно заказывать букет?Лучше всего оформлять заказа не менее чем за 3 часа до желаемого времени доставки. Но принебольшой загруженности доставка может занять и меньше времени. Можно ли заказать доставку букета в пригород?Да кроме Санкт-Петербурга мы также доставляем цветы в ближайшие пригороды - Колпино ПушкинВсеволожск Сестрорецк Кронштадт Красное Село Сертолово Ломоносов Павловск Стрельну.Информацию о доставке букетов в другие города Вы можете уточнить у менеджера. Можно ли заказать доставку цветов к точному времени?Да вы можете оформить доставку цветов в точно назначенное время. Лучше сделать такой заказзаблаговременно. Стоимость услуги – +350 рублей. Можно ли заказать анонимную доставку цветов?Нет проблем курьер может доставить Ваш заказ не сообщая имя отправителя. Как узнать что букет доставили?Каждый клиент получает SMS уведомление по факту выполненого заказа. Можно ли посмотреть на букет до того как его вручат?Да флорист может сфотографировать готовый букет и отправить фотографию Вам. Что делать если я не знаю точный адрес получателя?Курьер может связаться с получателем по телефону и уточнить адрес доставки и удобное время. Дляэтого при оформлении заказа в корзине отметьте пункт «Я не знаю адрес получателя. Уточните потелефону» или «Позвонить получателю для уточнения времени и адреса». Что еще можно добавить к букету?Вы можете добавить к букету бесплатную открытку с любой подписью до 100 символов. Для этого призаказе активируйте в корзине пункт «Добавить открытку не более 100 символов» и заполните поле«Текст на открытке».Кроме того Вы можете добавить к букету подарок – мягкую игрушку конфеты или воздушный шар. Всеподарки можно посмотреть здесь.Остались вопросы? Вы можете задать их позвонив на бесплатный телефон 8 (800) 550-10-72.Подпишись на наши новости об акциях и спецпредложениях!И получи промокод на скидку 5% на любой товар! Подписаться и получить скидку!О компанииНаши магазины цветовВакансииОплата и доставкаПолитика конфиденциальностиКорпоративным клиентамЦветы оптомГарантии и возврат товараЭнциклопедия цветовБлог Давайте дружить?        8 800 550-10-72Звонок по России бесплатныйКруглосуточно 24/78 900 640-00-77       О компанииНаши магазины цветовВакансииОплата и доставкаПолитика конфиденциальностиКорпоративным клиентамЦветы оптомГарантии и возврат товараЭнциклопедия цветовБлог Давайте дружить?        8 800 550-10-72Звонок по России бесплатныйКруглосуточно 24/78 900 640-00-77      О компанииНаши магазины цветовВакансииОплата и доставкаПолитика конфиденциальностиКорпоративным клиентамЦветы оптомГарантии и возврат товараЭнциклопедия цветовБлог Давайте дружить?        8 800 550-10-72Звонок по России бесплатныйКруглосуточно 24/78 900 640-00-77      Доставка для маломобильных групп населения. Доставка в любом временном интервале осуществляется бесплатно!НаверхТовар Название товара добавлен в корзинуПродолжить покупкиОформить заказСпасибо за заявку!Мы отправим промокод на скидку на Вашу почту в ближайшее время!ХорошоКупить Название товара в один кликОформить заказВаша заявка принята!Мы свяжемся с Вами в ближайшее времяХорошо</t>
  </si>
  <si>
    <t>tsvetomania.ru</t>
  </si>
  <si>
    <t>Букет гипсофилы c - купить в Грозном за 3200 руб.</t>
  </si>
  <si>
    <t>https://cvetov.ru/grozny/catalog/bukety/192417/</t>
  </si>
  <si>
    <t>Гипсофилы, купить в Москве, СРОЧНО за ...</t>
  </si>
  <si>
    <t>Гипсофилы на Flowwow. ✨ БЫСТРАЯ доставка: отслеживание курьера на карте! ✨ ПРИВЛЕКАТЕЛЬНЫЕ цены от 1250 руб на букет гипсофилы, работаем 24/7.</t>
  </si>
  <si>
    <t>https://flowwow.com/moscow/gipsofila-flowers/</t>
  </si>
  <si>
    <t>Букеты из гипсофил купить по низким ценам в интернет- ...</t>
  </si>
  <si>
    <t>Букеты из гипсофил в интернет-магазине OZON! Самые доступные цены на 565300! ✓ Характеристики ✓ Фото ✓ Ассортимент ✓ Отзывы ✓ Гарантия ✓ Рассрочка!</t>
  </si>
  <si>
    <t>https://www.ozon.ru/category/bukety-iz-gipsofil/</t>
  </si>
  <si>
    <t>Купить букеты из гипсофилы по цене от 890₽ в Самаре</t>
  </si>
  <si>
    <t>На сайте представлен огромный выбор букетов из Гипсофилы по низким ценам. Доставка цветов в Самаре в течение 2 часов. Перед оформлением заказа доступно ...</t>
  </si>
  <si>
    <t>https://flawery.ru/samara/bouquets/flowers-gipsofila/</t>
  </si>
  <si>
    <t>Flawery - цветы и подарки с доставкой по России - большой выбор букетов от лучших флористов городаПродавайте на FlaweryОплата и доставкаО компанииКонтактыБыстрая доставка от 20 минутОт выбранного города зависит ассортимент товаровОт выбранного города зависит ассортимент товаровМагазины в 261 городах РоссииС каждым днем к нам присоединяется больше флористов в разных регионах России поэтому Вам не составит труда заказать букет с доставкой в любую точку РоссииДоставка цветов в МосквеДоставка цветов в Санкт-ПетербургеДоставка цветов в СамареВоронежУфаТюменьСочиКраснодарЕще 261Удобный сервисЕсли понравился букет но вы не укладываетесь в бюджет можно договориться с флористом сделать похожий тем самым уменьшив стоимость букетаБонусы и скидкиПомимо выгодных предложений на букеты можно получить дополнительные скидки по промокоду при оплате заказа онлайнИндивидуальный подходС каждым клиентом флорист работает напрямую Вы можете получить профессиональную консультацию от специалиста по всем интересующим вопросамВсе букетыРозыПопулярныеДо 2000 ₽НовинкиДоставкабесплатноСвадебныеСо скидкойПодаркиКомнатные растенияВыбор покупателейСмотреть все4.89Общий рейтингна основе 17731 отзывов клиентов4.89Общий рейтингна основе 17731 отзывов клиентовFlowers by Lusi 11 ноября в 23:38Отличный букет для сестры очень нежно красивая упаковка свежие цветы 🩷 г. Москва  Екатерина  Flowerstorg 11 ноября в 20:57Красивый букет цветов. Необычная окраска и цвет один в один как с картинки девушке очень понравились г. Москва   Riviera 11 ноября в 19:23Имениннице букет очень понравился 😍 г. Москва   FLOS flower bar 11 ноября в 11:25всё отлично спасибо большое!  г. Москва   Floral accord 11 ноября в 10:21Спасибо большое Вам! Нереально красивое кашпо все как на фото цена великолепная  желаю вам развития и продвижения!  г. Москва   Eva FlowersХризантема - 10; Ромашка - 7; Упаковка - 5; Лента атласная - 2 11 ноября в 10:00Вообще ребята Супер что флорист что доставка - все на уровне советую!  г. Москва  Роман М.MosbuketikРоза - 11 Упаковка - 4 Лента - 1 11 ноября в 02:48Не первый раз заказываю здесь цветы с доставкой всё быстро красиво! г. Москва   Mango la fiori 10 ноября в 22:51все супер именинница в восторге :)  г. Москва   Rozamir 10 ноября в 19:59Отличный сервис букет доставили ко времени. Выглядит потрясающе упакован красиво и лаконично.  г. Москва   Flowers by Lusi 10 ноября в 12:04Спасибо большое сотрудникам вежливо понятно объяснили) г. Москва   Скачивайте приложение Flawery там еще удобнееОплата после чата с флористомПроверенные магазины вашего городаБолее 70470 букетов и подарковЗащита покупателя и 100% гарантия возвратаЭкспресс доставка от Flawery — это выгодноЗаказать доставку просто когда выбор букетов цветов огромен. Мы торговая площадка на которой размещены предложения магазинов со всей России. Акции скидки и бонусная программа сделают доставку еще приятнее.О компанииОплата и доставкаДля партнеровОтказ от ответственностиКонтактыПоложение о конфиденциальностиПравила использования промокодовПолучать новости и акцииКОНТАКТЫ109316 Россия г. Москва Волгоградский проспект 43 к3Email: info@flawery.ruТелефон:  8 800 350-32-75ГРАФИК РАБОТЫКонтакт-центр — с 08:00 до 22:00 без выходных.Оформление заявок на сайте происходит круглосуточно их исполнение происходит согласно режиму работы салона.© 2016-2023 ООО «Флавери.ру»ОГРН 1197746088759ИНН 7722471876КПП 772201001</t>
  </si>
  <si>
    <t>flawery.ru</t>
  </si>
  <si>
    <t>Монобукет из гипсофилы (Размеры S, M, L)</t>
  </si>
  <si>
    <t>https://floralavka.ru/monobuket-iz-gipsofily</t>
  </si>
  <si>
    <t>Доставка цветов в Екатеринбурге недорого – купить цветы и заказать можно на сайте – интернет-магазин «Цветочная Лавка»АвторизацияЭлектронная почтаПарольЗабыли пароль?ВойтиРегистрацияДоставкаОплатаКонтактыКонтактыО компанииРеквизитыПользовательское соглашениеОбратный звонок Заказать обратный звонокВаше имя:Ваш телефон:Комментарий: ОтправитьНажимая на кнопку «Отправить» Вы даете согласие на обработку персональных данных.+7 (343) 243-57-43Мой аккаунт 0Авторизация / РегистрацияИзбранное (0)Сравнение (0)					Корзина                  КорзинаОчистить                      Ваша корзина пуста!Корзина покупокОформление заказаБыстрый заказБыстрый заказИмяТелефонE-MailКомментарийОтправить заказНажимая на кнопку «Отправить заказ» Вы даете согласие на обработку персональных данных.МенюКатегории Категории  КатегорииБукеты цветовБукеты цветовСборные букетыБукеты из розМоно/Дуо БукетыЦветыЦветыРозыРозыРозы поштучноКустовые розыМягкие игрушкиЦветочные композицииЦветочные композицииЦветочные коробкиЦветочные корзиныЦветочные ящикиПодписка на цветы домойВазы свечи и декор для домаВазы свечи и декор для домаВазы для цветовДекор для домаСвечи и подсвечникиСухоцветыБукеты цветовКатегорииСборные букетыБукеты из розМоно/Дуо БукетыЦветыКатегорииРозыРозыРозы поштучноКустовые розыМягкие игрушкиЦветочные композицииКатегорииЦветочные коробкиЦветочные корзиныЦветочные ящикиПодписка на цветы домойВазы свечи и декор для домаКатегорииВазы для цветовДекор для домаСвечи и подсвечникиСухоцветыСборные букетыБукет Алиса							 								 									от 2750 ₽															 						  Купить								БЕСПЛАТНАЯ ДОСТАВКАБукет Ангелина 							 								 									12350 ₽															 						  Купить								БЕСПЛАТНАЯ ДОСТАВКАБукет Анна с розами и амариллисом 							 								 									8500 ₽															 						  Купить								БЕСПЛАТНАЯ ДОСТАВКАБукет Ариана с розами Мисс Пигги и кустовыми розами							 								 									7550 ₽															 						  Купить								Букет Василиса с орхидеями и сиренью							 								 									4500 ₽															 						  Купить								Букет Версавия							 								 									4700 ₽															 						  Купить								Букет Даниэлла							 								 									2700 ₽															 						  Купить								Букет Дарина с амариллисом							 								 									4800 ₽															 						  Купить								Моно/Дуо/Трио букетыМонобукет из роз Плайя Бланка							 								 									от 4700 ₽															 						  Купить								Триобукет из гермини кустовых роз и альстромерии							 								 									2500 ₽															 						  Купить								Монобукет из роз Кендллайт 							 								 									от 4700 ₽															 						  Купить								Монобукет из 15 роз Плайя Бланка с эвкалиптом							 								 									4500 ₽															 						  Купить								Монобукет из 15 розовых роз Фейт							 								 									3200 ₽															 						  Купить								Дуобукет из роз и кустовых роз							 								 									3000 ₽															 						  Купить								Монобукет из цветной гипсофилы (Размеры S M L)							 								 									от 1740 ₽															 						  Купить								В наличии с 18.10Букет из роз Фейт и хамелациума							 								 									4900 ₽															 						  Купить								Букеты из розБЕСПЛАТНАЯ ДОСТАВКАМонобукет из 25 роз Плайя Бланка с эвкалиптом							 								 									7950 ₽															 						  Купить								Монобукет из 15 роз Плайя Бланка с эвкалиптом							 								 									4500 ₽															 						  Купить								Монобукет из кустовых роз сорта Фемке							 								 									от 4700 ₽															 						  Купить								Монобукет из роз Шиммер							 								 									от 3750 ₽															 						  Купить								Уточните наличиеБЕСПЛАТНАЯ ДОСТАВКАБукет из 25 белых роз Мондиаль							 								 									6750 ₽															 						  Купить								Букет из 15 красных роз							 								 									4050 ₽															 						  Купить								Букет из персиковых роз Мисс Пигги							 								 									от 2900 ₽															 						  Купить								ПредзаказБЕСПЛАТНАЯ ДОСТАВКАБукет из 51 красной розы							 								 									13770 ₽															 						  Купить								КомпозицииБЕСПЛАТНАЯ ДОСТАВКАКорзина Амелия							 								 									5200 ₽															 						  Купить								Хит сезона!Корзина Фелиция с пионом и орхидеями							 								 									4400 ₽															 						  Купить								Коробка №10 с орхидеями							 								 									3650 ₽															 						  Купить								Композиция в деревянном ящике №5							 								 									2500 ₽															 						  Купить								БЕСПЛАТНАЯ ДОСТАВКАКорзина Матильда							 								 									9100 ₽															 						  Купить								БЕСПЛАТНАЯ ДОСТАВКАКорзина с гранатом							 								 									5300 ₽															 						  Купить								БЕСПЛАТНАЯ ДОСТАВКАКорзина Джессика							 								 									6300 ₽															 						  Купить								БЕСПЛАТНАЯ ДОСТАВКАКоробка бархатная №20 из 51 красной розы размер L							 								 									11500 ₽															 						  Купить								Условия доставки Доставка заказов осуществляется по Екатеринбургу и близлежащим городам (Верхняя Пышма Берёзовский Ревда Первоуральск и т.д). В праздничные дни такие как 14 февраля 5-8 марта День матери 1 сентября - доставка происходит по повышенному тарифу +100 рублей к базовой стоимости доставки!Стоимость доставки по городу 400 рублейБесплатная доставка при покупке от 5000 рублей.Отдаленные микрорайоны 450 рублей (Елизавет Керамика Солнечный УНЦ (совхозный) Широкая речка Мичуринский 7 ключей Шувакиш Веер Шарташ (со стороны Изоплит) Компрессорный (Птицефабрика Лечебный) Химмаш (СимаЛенд Светлый) Нижнеисток РудныйТарифы на доставку в другие населенные пункты можно посмотреть в разделе ДоставкаПрием заказов осуществляется: ПН-СБ с 8 до 22 часов ВС с 10 до 22 часов без праздников и выходных	Доставка заказов осуществляется КРУГЛОСУТОЧНО! Доставка с 23 до 8 часов происходит по повышенному тарифу +100 рублей к базовой стоимости.При оформлении заказа наш менеджер свяжется с Вами по телефону для подтверждения заказа и уточнения удобного для Вас времени доставки.Если вы хотите получить фотографию ваших цветов перед доставкой напишите нам в WhatsApp или позвоните по телефону +7(904)548-62-57.Тарифы на доставку Город доставкиСтоимость доставкиЕкатеринбург внутри ЕКАДБесплатно (400 рублей при заказе до 5000) рублейОтдаленные микрорайоны450 рублейБольшой исток650 рублейВерхняя Пышма650 рублейБерезовский650 рублейСреднеуральск750 рублейАрамиль750 рублейКольцово750 рублейПатруши850 рублейст. Сысерть850 рублейМедный850 рублейСтарые решеты950 рублейКосулино1050 рублейВерхнее дуброво1150 рублейКашино1450 рублейРевда1550 рублейПолевской1550 рублейПервоуральск1650 рублейПервоуральск Динас1750 рублейСысерть1750 рублейВерхняя сыреть1850 рублейЗаречный1950 рублейСтоимость доставки в другие города вы можете уточнить у флористаСпособы оплаты Вы можете оплатить заказ одним из следующих способов:Оплата банковской картой онлайн (Visa Mastercard Мир)Наличными или банковской картой в магазине.Наличными или банковской картой курьеру при получении заказа.Возврат денежных средств﻿В случае отмены заказа покупателем после совершения оплаты денежные средства возвращаются клиенту тем способом которым они были переведены продавцу.Купить в один кликИмяТелефонE-MailКомментарийОтправить заказНажимая на кнопку «Отправить заказ» Вы даете согласие на обработку персональных данных.WhatsAppTelegramНа нашем сайте используются технологии cookie яндекс метрики и google analytics для улучшения пользовательского интерфейса. Чтобы узнать какие персональные данные и файлы cookie используются перейдите по ссылке. После отправки c форм обратной связи или регистрации на сайте вы даете согласие на  все условия в политике обработки персональных данных  Салон цветов и декора для дома - Цветочная лавка 2023+7 (343) 243-57-43Обратный звонок Заказать обратный звонокВаше имя:Ваш телефон:Комментарий: ОтправитьНажимая на кнопку «Отправить» Вы даете согласие на обработку персональных данных.Мы в сетиvkПринимаем платежи</t>
  </si>
  <si>
    <t>floralavka.ru</t>
  </si>
  <si>
    <t>Гипсофила купить букет в Москве с доставкой ...</t>
  </si>
  <si>
    <t>Гипсофила с доставкой в Москве от интернет-магазина Magic Flower по выгодным ценам. Заказывайте цветы прямо сейчас: +7 (499) 490-10-90.</t>
  </si>
  <si>
    <t>https://magicalflower.ru/tsvety/gipsofila/</t>
  </si>
  <si>
    <t xml:space="preserve">           Доставка цветов в Москве за 2 часа. Купить букет цветов с доставкой на дом - Magic Flower                            Доставка и оплата Гарантия Статьи Отзывы Контакты О нас      Войти  Регистрация      Избранное            Доставка цветов по Москве                 позвоните мне    +7 (499) 490-10-90 8 (800) 600-65-76                   Работаем ежедневно с 08:00 до 24:00                         Напишите нам          Добавьте нас в WhatsApp    +7 (499) 490-10-90 или пишите         Поможем выбрать цветы; Сообщим статус заказа; Расскажем о возможностях доставки;         Акции       Товары со скидкой      Комбо наборы         Цветы       Розы      Розы Кения      Розы Premium      Роза кустовая      Синие розы      Тюльпаны      Хризантемы      Гвоздики      Герберы       Гортензии      Гипсофила       Пионы      Ранункулюсы      Ирисы      Нарциссы       Орхидеи      Альстромерии      Эустомы      Матиолла      Гиацинты      Диантус      Дельфиниум      До 2000 ₽         Букеты       101 роза      51 Кенийская роза      Букеты "Magical"      51 роза      Монобукеты      Сборные букеты      Шляпные коробки      Мини-букеты      Букет в корзине          Розы  По цвету розКрасные розы Белые розы Розовые розы Сиреневые розы Малиновые розы Разноцветные розы Желтые розы Оранжевые розы Кремовые розы Синие розыЧерные розыПо высоте розРозы 40 см Розы 50 см Розы 60 см Розы 70 см Розы 100 смПо количеству роз3 розы 5 роз7 роз9 роз11 роз 15 роз 19 роз21 роза 25 роз35 роз51 роза75 роз101 роза501 роза По виду Розы КенияРоза кустоваяРозы PremiumПо типу сборки Классика Розы в корзине Розы в шляпной коробке Розы в форме сердца      Тюльпаны   По цвету тюльпанов КрасныйБелыйРозовыйСиреневыйРазноцветныйЖелтыйОранжевыйФиолетовыйПо количеству 11 тюльпанов 15 тюльпанов 19 тюльпанов 21 тюльпан 31 тюльпан 35 тюльпанов 51 тюльпан 101 тюльпан По типу сборки Монобукет Сборные букеты с тюльпанамиТюльпаны в корзинеТюльпаны в коробке     Кому       Женщине      Девушке      Маме      Ребенку      Коллеге         Повод       День рождения      Свидание      Цветы на свадьбу      Юбилей      Спасибо      Люблю      Прости      Рождение ребенка      Семья Любовь Верность      День святого Валентина       8 марта       1 сентября      День матери      Новый год          Подарки       Конфеты      Клубника в шоколаде      Воздушные шары      Ароматы для дома       Сладости      Подарочные корзины       Вазы      Мягкие игрушки      Подарочные пакеты      Топперы      Свечи      Открытки и конверты         Съедобные       Букеты из клубники      Клубника в шоколаде      Подарочные корзины         Шары  Готовые композиции   Букет шаровКоробка с шарамиОблако шаровФонтаны из шаровШары под потолокКомпозиции шаровПо типу шаровЛатексные шары Фольгированные шарыПрозрачные шары Светящиеся шарыБольшие шары Шары BubbleШары на палочкахПо виду шаров Шары цифрыШары буквы Шары сердцаШары звездыШары фигурыШары без рисунка Шары с рисунком  Шары с конфетти Шары хромПо цвету шаровБелыйКрасныйРозовый Синий ГолубойФиолетовый Желтый Золотой СеребряныеЗеленый Серый Черный По событию День рожденияСвидание СвадьбаРождение ребенкаВыписка из Роддома1 сентября14 февраля 8 мартаДень материВыпускнойХэллоуинНовый годКомуМамеПапеДевушкеРебенкуДля влюбленных                                             Быстрая доставка Доставим за 2 часа или заказ за наш счёт.      Свежие цветы Гарантируем 5-дневную стойкость или заменим букет.      Гарантия качества Не понравится букет? Заменим в течение 24 часов.      Фотоконтроль Покажем букет до отправки      Качественный сервис Вежливый сервис от звонка до двери.      Доставка цветов в Москве    Фильтры         Категории                                                                                          Цветы                                                                                 2005                                                                                          Букеты                                                                                 2073                                                                                          Розы                                                                                 1166                                                                                          Воздушные шары                                                                                 447                                                                                          Повод                                                                                 2253                                                                                          Кому                                                                                 2253                                                                                          Подарки                                                                                 242                                                                                          Съедобные                                                                                 180                                                                                          До 2000 руб                                                                                 187                Цвет            Цвет Белый Бирюзовый Голубой Желтый Золотой Коралловый Красный Кремовый Малиновый Малиновых Микс Разноцветный Огненный Оранжевый Радужный Розовый Синий Сиреневый Фиолетовый Черный               Тип сборки            Тип сборки Бело-малиновый Белый Желтый Разноцветный               Повод            Повод День рождения На свадьбу               Размер            Размер 100 25 30 35 40 45 50 60 70               Price          Цена          ₽          Cброс       Комбо-акция! Бесплатный подарок к букету!                                                                                            2 590 ₽                                                                                                                                         35 разноцветных роз 40см - коробка макарун в подарок!         6 отзывов    Заказать Купить в 1 клик                                                                                              3 990 ₽                                                                                                                                         Букет из роз гербер и эустом - клубника в шоколаде в подарок!         0 отзывов    Заказать Купить в 1 клик                                                                                              5 490 ₽                                                                                                                                         101 белая роза - коробка макарун в подарок!         2 отзывов    Заказать Купить в 1 клик                                                                                              3 290 ₽                                                                                                                                         Букет из 51 красной и белой розы - коробка макарун в подарок!         4 отзывов    Заказать Купить в 1 клик                                                                                              4 590 ₽                                                                                                                                         51 сиреневая и белая роза - коробка макарун в подарок!         5 отзывов    Заказать Купить в 1 клик                                                                                              4 890 ₽                                                                                                                                         Букет из 35 желтых тюльпанов - коробка макарун в подарок!         0 отзывов    Заказать Купить в 1 клик                       3 290 ₽ 2 790 ₽      Букет из 5 голубых гортензий - клубника в шоколаде в подарок!         1 отзывов    Заказать Купить в 1 клик                       5 990 ₽ 4 990 ₽      Букет из 11 разноцветных гортензий - клубника в шоколаде в подарок!         2 отзывов    Заказать Купить в 1 клик        Показать еще        101 роза                                                                                            5 490 ₽                                                                                                                                         Букет из 101 разноцветной розы в крафте         169 отзывов    Заказать Купить в 1 клик                                                                                              5 490 ₽                                                                                                                                         101 белая роза         280 отзывов    Заказать Купить в 1 клик                                                                                              5 490 ₽                                                                                                                                         101 розовая роза         238 отзывов    Заказать Купить в 1 клик                                                                                              5 490 ₽                                                                                                                                         101 красная роза         181 отзывов    Заказать Купить в 1 клик                                                                                              5 490 ₽                                                                                                                                         101 красная роза в пленке         317 отзывов    Заказать Купить в 1 клик                                                                                              5 490 ₽                                                                                                                                         101 желтая роза         66 отзывов    Заказать Купить в 1 клик                                                                                              5 490 ₽                                                                                                                                         101 роза ягодный микс в пленке         90 отзывов    Заказать Купить в 1 клик                                                                                              5 490 ₽                                                                                                                                         Букет из 101 оранжевой розы в пленке         76 отзывов    Заказать Купить в 1 клик        Показать еще        Пионы                                                                                            7 190 ₽                                                                                                                                         Букет из 9 пионов         4 отзывов    Заказать Купить в 1 клик                                                                                              8 490 ₽                                                                                                                                         11 белых пионов         11 отзывов    Заказать Купить в 1 клик                                                                                              7 190 ₽                                                                                                                                         Букет из 9 белых пионов         1 отзывов    Заказать Купить в 1 клик                                                                                              5 790 ₽                                                                                                                                         Букет из 7 белых пионов         2 отзывов    Заказать Купить в 1 клик                                                                                              3 090 ₽                                                                                                                                         Букет из 3 розовых пионов         1 отзывов    Заказать Купить в 1 клик                                                                                              24 990 ₽                                                                                                                                         35 разноцветных пионов         0 отзывов    Заказать Купить в 1 клик                                                                                              10 690 ₽                                                                                                                                         Букет с сиренью и ранункулюсами         1 отзывов    Заказать Купить в 1 клик                                                                                              5 790 ₽                                                                                                                                         Букет из 7 розовых пионов         6 отзывов    Заказать Купить в 1 клик        Показать еще        До 2000 руб                                                                                            1 390 ₽                                                                                                                                         Букет из 11 малиновых роз         3 отзывов    Заказать Купить в 1 клик                                                                                              1 590 ₽                                                                                                                                         9 розовых роз Premium 50 см         6 отзывов    Заказать Купить в 1 клик                                                                                              1 390 ₽                                                                                                                                         Букет из 11 розовых роз с эвкалиптом         6 отзывов    Заказать Купить в 1 клик                                                                                              890 ₽                                                                                                                                         Букет из 3 красных роз 50 см         0 отзывов    Заказать Купить в 1 клик                                                                                              1 190 ₽                                                                                                                                         Букет из 5 красных роз 50 см         1 отзывов    Заказать Купить в 1 клик                                                                                              1 490 ₽                                                                                                                                         Букет из 5 красных роз 60 см         0 отзывов    Заказать Купить в 1 клик                                                                                              1 490 ₽                                                                                                                                         Букет из 15 сиреневых роз         2 отзывов    Заказать Купить в 1 клик                                                                                              1 390 ₽                                                                                                                                         Букет из 7 разноцветных роз 50 см         0 отзывов    Заказать Купить в 1 клик        Показать еще        Сборные букеты                                                                                            2 390 ₽                                                                                                                                         Букет из кенийских и кустовых роз         6 отзывов    Заказать Купить в 1 клик                                                                                              3 290 ₽                                                                                                                                         Букет из тюльпанов ирисов и эвкалипта         3 отзывов    Заказать Купить в 1 клик                                                                                              3 090 ₽                                                                                                                                         Букет из тюльпанов альстромерий и ириса         2 отзывов    Заказать Купить в 1 клик                                                                                              3 590 ₽                                                                                                                                         Букет с тюльпанами альстромерией и статицей         2 отзывов    Заказать Купить в 1 клик                                                                                              3 990 ₽                                                                                                                                         Букет из роз диантуса и гортензии         1 отзывов    Заказать Купить в 1 клик                                                                                              2 890 ₽                                                                                                                                         Букет из роз и тюльпанов         1 отзывов    Заказать Купить в 1 клик                                                                                              6 190 ₽                                                                                                                                         Букет с маттиолой и пионами         1 отзывов    Заказать Купить в 1 клик                                                                                              10 690 ₽                                                                                                                                         Букет с сиренью и ранункулюсами         1 отзывов    Заказать Купить в 1 клик        Показать еще        Букеты из клубники (Magic Candy)                                                                                            3 290 ₽                                                                                                                                         Букет из клубники (Gold размер S)         0 отзывов    Заказать Купить в 1 клик                                                                                              4 990 ₽                                                                                                                                         Букет из клубники (Конфетти размер L)         0 отзывов    Заказать Купить в 1 клик                                                                                              3 990 ₽                                                                                                                                         Букет из клубники (Конфетти размер M)         0 отзывов    Заказать Купить в 1 клик                                                                                              3 990 ₽                                                                                                                                         Букет из клубники (Фаберже размер M)         0 отзывов    Заказать Купить в 1 клик                                                                                              3 290 ₽                                                                                                                                         Букет из клубники (Love размер S)         0 отзывов    Заказать Купить в 1 клик                                                                                              3 290 ₽                                                                                                                                         Букет из клубники (Сердце чувств размер S)         0 отзывов    Заказать Купить в 1 клик                                                                                              3 990 ₽                                                                                                                                         Корзина с клубникой «Ягодный микс»         0 отзывов    Заказать Купить в 1 клик                                                                                              6 990 ₽                                                                                                                                         Коробка - сюрприз с клубникой «Бал цветов»         0 отзывов    Заказать Купить в 1 клик        Показать еще        51 роза                                                                                            3 790 ₽                                                                                                                                         Букет из 51 розовой розы в шляпной коробке         3 отзывов    Заказать Купить в 1 клик                                                                                              3 790 ₽                                                                                                                                         Букет из 51 красной розы в шляпной коробке         1 отзывов    Заказать Купить в 1 клик                                                                                              3 790 ₽                                                                                                                                         Букет из 51 огненной розы в шляпной коробке         1 отзывов    Заказать Купить в 1 клик                                                                                              3 790 ₽                                                                                                                                         Букет из 51 разноцветной розы в шляпной коробке         1 отзывов    Заказать Купить в 1 клик        Показать еще        Гортензии                                                                                            3 990 ₽                                                                                                                                         Букет из роз диантуса и гортензии         1 отзывов    Заказать Купить в 1 клик                       7 990 ₽ 6 390 ₽      Букет из 15 разноцветных гортензий         13 отзывов    Заказать Купить в 1 клик                       5 990 ₽ 4 990 ₽      Букет из 11 розовых гортензий         5 отзывов    Заказать Купить в 1 клик                                                                                              4 990 ₽                                                                                                                                         Букет из роз гвоздик гортензий и эустом         3 отзывов    Заказать Купить в 1 клик        Показать еще        Шляпные коробки                                                                                            3 790 ₽                                                                                                                                         Букет из 51 розовой розы в шляпной коробке         3 отзывов    Заказать Купить в 1 клик                                                                                              7 190 ₽                                                                                                                                         51 тюльпан в шляпной коробке         0 отзывов    Заказать Купить в 1 клик                                                                                              3 190 ₽                                                                                                                                         Букет из 11 разноцветных гипсофил в шляпной коробке         2 отзывов    Заказать Купить в 1 клик                                                                                              3 190 ₽                                                                                                                                         Букет из 11 оранжевых гипсофил в шляпной коробке         0 отзывов    Заказать Купить в 1 клик        Показать еще        Тюльпаны           ХИТ                                                                                  3 790 ₽                                                                                                                                         Букет цветов из тюльпанов и диантуса         4 отзывов    Заказать Купить в 1 клик                                                                                              6 690 ₽                                                                                                                                         51 белый тюльпан         2 отзывов    Заказать Купить в 1 клик                                                                                              2 890 ₽                                                                                                                                         Букет из тюльпанов и кустовых роз         3 отзывов    Заказать Купить в 1 клик                                                                                              12 290 ₽                                                                                                                                         101 красный тюльпан         1 отзывов    Заказать Купить в 1 клик        Показать еще        Гипсофила                                                                                            3 190 ₽                                                                                                                                         Букет из 11 разноцветных гипсофил в шляпной коробке         2 отзывов    Заказать Купить в 1 клик                                                                                              3 190 ₽                                                                                                                                         Букет из 11 бирюзовых гипсофил в шляпной коробке         3 отзывов    Заказать Купить в 1 клик                                                                                              3 290 ₽                                                                                                                                         Букет из 15 розовых гипсофил         2 отзывов    Заказать Купить в 1 клик                                                                                              4 890 ₽                                                                                                                                         Букет цветов из 25 разноцветных гипсофил         0 отзывов    Заказать Купить в 1 клик        Показать еще        Розы Premium                                                                                            2 790 ₽                                                                                                                                         Букет из 15 роз Premium 60 см         12 отзывов    Заказать Купить в 1 клик                                                                                              1 590 ₽                                                                                                                                         9 розовых роз Premium 50 см         6 отзывов    Заказать Купить в 1 клик                                                                                              5 390 ₽                                                                                                                                         Букет из 15 роз Эквадор 70 см         0 отзывов    Заказать Купить в 1 клик                                                                                              7 390 ₽                                                                                                                                         Букет из 15 белых роз Эквадор 100 см         1 отзывов    Заказать Купить в 1 клик        Показать еще        Товары со скидкой                     4 290 ₽ 3 490 ₽      7 голубых гортензий         3 отзывов    Заказать Купить в 1 клик                       7 990 ₽ 6 390 ₽      15 голубых гортензий         1 отзывов    Заказать Купить в 1 клик                       7 990 ₽ 6 390 ₽      15 разноцветных гортензий         7 отзывов    Заказать Купить в 1 клик                       5 990 ₽ 4 990 ₽      11 разноцветных гортензий         7 отзывов    Заказать Купить в 1 клик        Показать еще                     Заказать цветы с доставкой   Доставка цветов способна в одно мгновение изменить настроение человека прогнать хандру и грусть. Ведь для любой женщины букет – это всегда желанный подарок независимо от праздника и повода. Цветы – это простой и универсальный способ сделать жизнь любимого человека ярче и красочней. Интернет-магазин Magic Flower предлагает заказать цветы с доставкой на дом или в офис. Профессиональные флористы подберут идеальную композицию для любого повода. У нас всегда найдется роскошный букет для юбилея скромный благоухающий презент для поздравления с профессиональным праздником оригинальный цветочный ансамбль на 8 марта для мамы сестры или возлюбленной. Богатый выбор цветов в каталоге дополняется сладкими букетами игрушками и аксессуарами а также уникальным оформлением в шляпные коробки и корзины.          Букеты на дом   Доставка цветов в Москве выполняется курьерами без выходных. Мы предлагаем стильные современные букеты цветов. У нас можно заказать монобукеты подобрав необходимое количество бутонов и сложные композиции с разными растениями. Если цветы вам нужны срочно оставьте заявку по телефону укажите все детали заказа – мы соберем и отправим букет по указанному адресу на дом в течение двух часов. Заявки на цветы принимаются круглосуточно. Мы отправляем доставку курьером в этот же день с букетом по любому адресу в столице и Подмосковье. Возможен самовывоз из магазина бесплатно для постоянных покупателей действуют скидки. Мы гарантируем что получатель наших цветочных композиций будет в восторге.         Отзывы покупателей 5072  Показать еще              5 490 ₽  Дмитрий 101 красная роза  Букет очень красивый доставили быстро.Всем доволен.большое спасибо  09.11.2023       1 990 ₽  Irina Ilinets Букет из 9 малиновых роз 60 см  Приобретала коллеге уже второй раз. По качеству цветов в первый раз именинница была в восторге.Надеюсь что и сегодня все пройдет также. Огромное вам спасибо за Вашу работу. С уважением Ирина  09.11.2023       1 390 ₽  Юлия Букет из 1 голубой гортензии в крафте  Прекрасные живые цветы! Очень красиво упакованы. Приложили инструкцию приложили конверт а в нем открытка! Осталась довольна! Спасибо!  08.11.2023       3 790 ₽  Елена Букет из 51 розовой розы в шляпной коробке  Приобретала тут букет отправили фото когда его собрали отчитались очень красиво. Спасибо большое!  08.11.2023   Показать еще              Полезная информация                        Как удивить любимых девушек - доставка цветов на дом                          Современные девушки далеки от тургеневских барышень и удивить их совсем непросто. На какие только ух..                            ТОП-10 причин подарить цветы                          В жизнь людей XXI века вошло новое модное веяние — делать нестандартные подарки. Чего только не даря..                            Как ухаживать за букетом в шляпной коробке                          Цветы – традиционный и доступный знак внимания для любимой женщины дочери матери или коллеги по ра..                            Как правильно выбирать цветы?                          Казалось бы что может быть проще чем купить цветы для женщины. Но в некоторых ситуациях подобрать ..                     Вопросы и Ответы       1.Какие способы оплаты?         Оплата курьеру наличными или банковской картой при полученииБанковской картой онлайн          2.Как заказать цветы?         Оформить заказ можно по телефону либо на сайте добавив понравившийся букет в корзину и заполнив все необходимые поля.          3.Есть ли у вас срочная доставка на дом?         Минимально возможное время доставки букета цветов сразу после оформления заказа - 2 часа.          4.В какое время осуществляется доставка букетов?         Время доставки на дом или офис в Москве - С 7:00 до 1:00 по Московской области - С 9:00 до 24:00.                  Magic Flower – доставка букетов цветов по Москве и области. Принимаем заказы круглосуточно. Букеты с уникальным стилем от ведущих флористов.              Напишите нам     Информация  Гарантия Правила возврата Доставка Политика конфиденциальности Договор оферты Контакты Отзывы о сайте О нас Карта сайта Юридическая информация Филиал в Санкт-Петербурге    Популярное  Цветы Букеты Розы Букеты из клубники Подарки Съедобные букеты Букеты из 101 розы Станции метро Населенные пункты      Контакты Magic Flower   +7 (499) 490-10-90 8 (800) 600-65-76 Работаем ежедневно с 08:00 до 24:00     Перезвоните мне    +7 (499) 490-10-90 | 8 (800) 600-65-76 buket@magicalflower.ru  129594               г. Москва               3-й проезд Марьиной Рощи дом 5       Magic Flower © 2023             </t>
  </si>
  <si>
    <t>magicalflower.ru</t>
  </si>
  <si>
    <t>Букеты из гипсофилы купить недорого в Москве</t>
  </si>
  <si>
    <t>Недорого купить Букеты из гипсофилы в интернет-магазине, цены от 990 ₽ в Москве – заказать с бесплатной доставкой. Работаем круглосуточно!</t>
  </si>
  <si>
    <t>https://xn----7sbbzcf1abmgo.xn--p1ai/%D0%B1%D1%83%D0%BA%D0%B5%D1%82%D1%8B/%D0%B1%D1%83%D0%BA%D0%B5%D1%82%D1%8B-%D0%B8%D0%B7-%D0%B3%D0%B8%D0%BF%D1%81%D0%BE%D1%84%D0%B8%D0%BB%D1%8B/</t>
  </si>
  <si>
    <t>Доставка цветов на дом в Москве круглосуточно заказать букеты в интернет-магазине                                       Москва     Адлер  Анапа  Архангельск  Астрахань  Барнаул  Белгород  Бердск  Бийск  Брянск  Великий Новгород  Владивосток  Владимир  Волгоград  Волжский  Вологда  Воронеж  Геленджик  Грозный  Дзержинск  Долгопрудный  Екатеринбург  Зеленоград  Иваново  Ижевск  Иркутск  Йошкар-ола  Казань  Калининград  Калуга  Кемерово  Киров  Коломна  Королев  Кострома  Краснодар  Красноярск  Курган  Курск  Липецк  Магнитогорск  Махачкала  Москва  Мурманск  Набережные Челны  Наро-фоминск  Нефтеюганск  Нижневартовск  Нижнекамск  Нижний Новгород  Нижний Тагил  Новокузнецк  Новороссийск  Новосибирск  Ногинск  Омск  Орел  Оренбург  Пенза  Пермь  Петрозаводск  Подольск  Прокопьевск  Пушкино  Раменское  Реутов  Ростов-на-Дону  Рязань  Самара  Санкт-Петербург  Саранск  Саратов  Севастополь  Сергиев Посад  Серпухов  Симферополь  Смоленск  Сочи  Ставрополь  Стерлитамак  Сургут  Сыктывкар  Таганрог  Тамбов  Тверь  Тольятти  Томск  Тула  Тюмень  Улан-удэ  Ульяновск  Уфа  Хабаровск  Чебоксары  Челябинск  Череповец  Чита  Энгельс  Якутск  Ялта  Ярославль         Букеты      По поводу    VIP-букеты     Девушке     День рождения     Букет маме     Клиентам     Коллеге     На свадьбу      По праздникам    на юбилей     на 14 февраля     на 8 марта     на день матери     На 9 мая     На последний звонок     На выпускной     на 1 сентября      По составу    Гипсофилы     Анемоны     Ромашки     Гиацинты     Ранункулюсы     Фрезии     Эустома     Гортензия       Пионы     Каллы     Хризантема     Альстромерия     Тюльпаны     Орхидеи     Ирисы     Лилии      По типу    Крафт-букеты     Большие     Маленькие     Красивые     Оригинальные     Шикарные     В виде сердца      По окраске    Кремовые     Разноцветные     Розовые     Белые     Желтые     Красные     Синие           Розы      По сорту    Розы с пионами     Розы с гортензией     С хризантемами     Кустовые розы     Пионовидные сорта     Розы с лилиями      По размеру    15 роз     25 шт.     31 роза     51 шт.     Большие букеты     Сердце из роз      По окраске    Желтые     Розовые     Красные     Белые     Кремовые     Синие     Радужные     Черные           101 роза        В коробке     В корзине     Сердце     Кустовые     Пионовидные     Белые     Синие     Красные     Оранжевые          Цветы в коробке        Розы     Пионовидные розы     Пионы     Хризантемы     Орхидеи     Тюльпаны     Лилии          Корзины цветов        Хризантемы     Пионовидные розы     Тюльпаны     Орхидеи     Пионы     Розы     Ирисы         Доставка     Подарки     О нас     Оплата     Акции     Вопросы и ответы     8 800 333-22-69          Меню     Москва     Адлер  Анапа  Архангельск  Астрахань  Барнаул  Белгород  Бердск  Бийск  Брянск  Великий Новгород  Владивосток  Владимир  Волгоград  Волжский  Вологда  Воронеж  Геленджик  Грозный  Дзержинск  Долгопрудный  Екатеринбург  Зеленоград  Иваново  Ижевск  Иркутск  Йошкар-ола  Казань  Калининград  Калуга  Кемерово  Киров  Коломна  Королев  Кострома  Краснодар  Красноярск  Курган  Курск  Липецк  Магнитогорск  Махачкала  Москва  Мурманск  Набережные Челны  Наро-фоминск  Нефтеюганск  Нижневартовск  Нижнекамск  Нижний Новгород  Нижний Тагил  Новокузнецк  Новороссийск  Новосибирск  Ногинск  Омск  Орел  Оренбург  Пенза  Пермь  Петрозаводск  Подольск  Прокопьевск  Пушкино  Раменское  Реутов  Ростов-на-Дону  Рязань  Самара  Санкт-Петербург  Саранск  Саратов  Севастополь  Сергиев Посад  Серпухов  Симферополь  Смоленск  Сочи  Ставрополь  Стерлитамак  Сургут  Сыктывкар  Таганрог  Тамбов  Тверь  Тольятти  Томск  Тула  Тюмень  Улан-удэ  Ульяновск  Уфа  Хабаровск  Чебоксары  Челябинск  Череповец  Чита  Энгельс  Якутск  Ялта  Ярославль        О компании Отзывы Оплата Доставка Галерея Вопросы Контакты      г. Москва ул. Большая Бронная д. 7Мастерские в Москве:  проспект Мира 88 пав. 147 Пятницкая улица 12 стр. 2 Усачёва улица 29 корп. 8 Гончарная улица 38 Денежный переулок 5 стр. 4 ул. Яна Райниса д. 10    Поиск                 8 (800) 333-22-69 8 (952) 840-77-77 круглосуточно*              Время работы: с 06:00 до 00:00 Доставка: круглосуточно       Корзина пуста   Ваша корзина пуста!           X                Букеты     По поводу    VIP-букеты     Девушке     День рождения     Букет маме     Клиентам     Коллеге     На свадьбу      По праздникам    на юбилей     на 14 февраля     на 8 марта     на день матери     На 9 мая     На последний звонок     На выпускной     на 1 сентября      По составу    Гипсофилы     Анемоны     Ромашки     Гиацинты     Ранункулюсы     Фрезии     Эустома     Гортензия       Пионы     Каллы     Хризантема     Альстромерия     Тюльпаны     Орхидеи     Ирисы     Лилии      По типу    Крафт-букеты     Большие     Маленькие     Красивые     Оригинальные     Шикарные     В виде сердца      По окраске    Кремовые     Разноцветные     Розовые     Белые     Желтые     Красные     Синие           Розы     По сорту    Розы с пионами     Розы с гортензией     С хризантемами     Кустовые розы     Пионовидные сорта     Розы с лилиями      По размеру    15 роз     25 шт.     31 роза     51 шт.     Большие букеты     Сердце из роз      По окраске    Желтые     Розовые     Красные     Белые     Кремовые     Синие     Радужные     Черные           101 роза       В коробке     В корзине     Сердце     Кустовые     Пионовидные     Белые     Синие     Красные     Оранжевые          Цветы в коробке       Розы     Пионовидные розы     Пионы     Хризантемы     Орхидеи     Тюльпаны     Лилии          Корзины цветов       Хризантемы     Пионовидные розы     Тюльпаны     Орхидеи     Пионы     Розы     Ирисы         Подарки     Акции                           Цена Самая выгодная цена относительно качества.    Выбор В ассортименте более тысячи различных цветов.    Качество Цветы первой свежести. Даем гарантию!    Доставка Круглосуточная доставка при заказе от 2500 рублей.    Отзывы Реальные отзывы с фото от наших клиентов.    Лучшее предложение        19 розовых тюльпанов в коробке R416 Цилиндр с яркими тюльпанами 19 розовых тюльпанов в коробке с добавлением лент ....          4 990 руб.   В корзину         19 гиацинтов в коробке с лентами R200 Cветлый цилиндр с ароматными гиацинтами 19 гиацинтов Цвет гиацинтов и цилиндра можно подобра....          4 090 руб.   В корзину         Букет 11 веток пышной розовой гортензии R704 Розовый букет пышной гортензии 11 веток гортензии с оформлением ....          13 750 руб.   В корзину         31 ветка белой фрезии в черной коробке R855 Стильная композиция с белой фрезией 31 ветка ароматной фрезии в коробке ....          4 790 руб.   В корзину         31 красный тюльпан в шляпной коробке R194 Cветлый цилиндр с красными тюльпанами 31 красный тюльпан Цвет тюльпанов и цилиндра можно под....  6 950 руб. 6 603 руб.   В корзину         Букет 11 гиацинтов в оформлении R1073 Букет розовых гиацинтов 11 крупных бутонов в упаковке ....          4 750 руб.   В корзину         Букет 3 ветки гортензии микс с оформлением R713 Букет гортензии микс  3 ветки гортензии микс с оформлением ....          3 890 руб.   В корзину         Букет 25 веток белой фрезии в упаковке R1099 Нежный ароматный букет 25 веток белой фрезии с оформлением ....          5 490 руб.   В корзину         Букет розы и ирисы с оформлением R1059 Сборный букет с оформлением 10 кремовых роз 19 ирисов в упаковке ....          5 850 руб.   В корзину         201 тюльпан ассорти R294 Корзина с тюльпанами 201 тюльпаны ассорти в корзине ....          36 200 руб.   В корзину         Букет 11 розовых гиацинтов с оформлением R1081 Нежный букет ароматных гиацинтов 11 веток с оформлением ....   4 790 руб.   В корзину         Букет 5 веток гортензии микс R754 Букет гортензий микс белые и голубые гортензии 5 веток красивое оформление букета ....   6 490 руб.   В корзину         Букет 51 ветка фрезии в черном крафте R853 Букет ароматной фрезии 51 ветка белой фрезии в крафте ....          9 390 руб.   В корзину         Композиция в коробке тюльпаны и ирисы R3246 Стильная композиция в коробке 20 желтых тюльпанов 35 сиреневых ирисов  ....   12 950 руб.   В корзину         29 розовых тюльпанов в коробке R974 Композиция в коробке 29 нежно-розовых тюльпанов ....         6 590 руб. 6 261 руб.   В корзину         Букет 15 гиацинтов микс с офомрлением R1090 Ароматный букет гиацинтов 15 штук микс с оформлением ....          6 190 руб.   В корзину         Букет 5 веток розовой крупной гортензии R694 Букет нежной розовой гортензии 5 веток крупной гортензии в крафте ....          6 490 руб.   В корзину         Сборная коробка с белой фрезией и розами R854 Ароматная композиция в цилиндре 30 веток белой фрезии 19 веток белой кустовой розы оформлен....          10 790 руб.   В корзину         Сборный букет ирисы и хризантема в крафте R1511 Сборный яркий букет 15 ирисов 10 розовых хризантем оформление букета ....          8 660 руб.   В корзину         Воздушные шары сердца R773 Композиция воздушные шары сердца 29 латексных сердец 1 фольгированное сердце ....          5 590 руб.   В корзину                        Популярные Товары        Букет 9 веток кустовой розы с упаковкой R527 Букет розовой кустовой розы 9 веток пушистой кустовой розы оформление в крафт с добавлением ...          4 750 руб.   В корзину         Сборный букет белые розы и альстромерия R497 Сборный букет из белых роз и альстромерии 11 роз 10 веток розовой альстромерии оформление у...          4 830 руб.   В корзину         Букет 101 роза красная и белая с упаковкой R501 Союз алого и белого оттенка гармонично проявлен в большом свежем букете из 101 розочки. Он аккуратно...         17 050 руб. 16 198 руб.   В корзину         Большой букет 101 красная пионовидная роза R110 Сочный томный страстный букет из 101 большой розы необычной формы станет искушением для его обладате...          34 850 руб.   В корзину         Огромный букет 101 розовый пион с оформлением R175 Огромный букет розовых пионов 101 розовый пион Оформление ленты ...          44 190 руб.   В корзину         Букет 7 роз в упаковке R70 Букет-комплимент 7 белых роз в крафтовом оформлении с добавлением лент ...          3 350 руб.   В корзину         Большой букет из 101 белой розы в крафте R494 Большой букет из 101 белого бутончика будет особенным подарком. Свежие красивые розочки притягивают ...          16 990 руб.   В корзину         Букет 9 веток хризантемы в крафте R129 Белая ромашковая хризантема букет 9 пушистых веток оформление в крафт ...          4 420 руб.   В корзину         Букет-комплимент 1 ветка гортензии R692 Букет-комплимент с упаковкой 1 ветка пушистой гортензии с оформлением ...          1 950 руб.   В корзину         101 красная роза высотой 150 см R886 Высокие розы изысканного красного оттенка высотой 150 см покорят женское сердечко. Можно оформить бу...          70 700 руб.   В корзину          Букет 9 крупных красных роз R66 Букет из 9 крупных красных роз Оформление крафт ленты ...          4 390 руб.   В корзину         Сборный букет роз в крафте R455 Букет сборных роз Красные розы 9 шт розовые розы 5 шт  кремовые кустовые розы 5 веток...          5 350 руб.   В корзину         15 веток разноцветных хризантем с упаковкой R131 Сборный бело-розовый букет 15 веток ромашковой хризантемы Оформление в крафт ...          6 740 руб.   В корзину         Букет 9 синих роз в крафте R249 Букет синих роз европейские синие розы с крупным бутоном - 9 шт Оформление в крафт ...          5 350 руб.   В корзину         Букет 25 пионовидных кустовых роз с упаковкой R157 Букет кустовых пионовидные роз Розовые кустовые пионовидные розы - 25 шт Оформление ленты к...          9 150 руб.   В корзину         Сборный букет с красными розами в упаковке R301 Сборный букет из роз Состав: красные розы пионовидные розы белый хлопок зелень оформление...          3 590 руб.   В корзину         Сборный букет роз и хризантем с оформлением R80 Сборный букет с хризантемой 5 розовых кустовых роз 7 веток хризантемы 10 веток эустомы ...          8 588 руб.   В корзину          Букет 25 красных роз в крафте R102 Букет из 25 крупных красных роз Оформление крафт ленты Зелень оплачивается отдельно ...         5 490 руб. 5 216 руб.   В корзину         Букет 15 красных роз с оформлением R67 Букет из 15 крупных красных роз Оформление крафт ленты ...          3 920 руб.   В корзину         Букет крупная красная роза с лентами R104 Букет из 51 крупной красной розы Оформление с лентами ...          7 050 руб.   В корзину          Рекомендуем         Шляпная коробка с розами и макаронсами R149 Цилиндр с розами и макаронсами 15 белых роз и 9 макаронс Цвет роз и цилиндра можно подобрать....         7 150 руб. 6 793 руб.   В корзину         Букет 9 синих роз в крафте R249 Букет синих роз европейские синие розы с крупным бутоном - 9 шт Оформление в крафт ....          5 350 руб.   В корзину          Букет 21 крупная красная роза R68 Букет из 21 крупной розы Оформление крафт ленты ....          4 900 руб.   В корзину         Сборный букет роз и хризантем с оформлением R80 Сборный букет с хризантемой 5 розовых кустовых роз 7 веток хризантемы 10 веток эустомы ....          8 588 руб.   В корзину         Сборный букет с красными розами в упаковке R301 Сборный букет из роз Состав: красные розы пионовидные розы белый хлопок зелень оформление....          3 590 руб.   В корзину          Букет 31 красная роза в крафте R103 Букет алых роз 31 алая роза сорт Престиж Оформление крафт ленты ....         6 190 руб. 5 881 руб.   В корзину         Цветы в коробке 25 красных роз R148 Cветлый цилиндр с красными розами 25 красных роз Цвет роз и цилиндра можно подобрать по ....         6 090 руб. 5 786 руб.   В корзину         Большой букет 101 красная высокая роза R373 Композиция из 101 красной розы символизирует чувства. Бутончики вкусно пахнут. Пышный букет пред....          35 390 руб.   В корзину         101 синяя роза с оформлением цветы в букете R378 101 ослепительная розочка синего цвета делает букет еще более эксклюзивным. Цвет передает ауру таинс....          30 650 руб.   В корзину         Коробка с макаронсами R210 Коробка-комплимент с макаронсами Сборная композиция из цветов Печенье макаронсы - 5 шт  ....          3 390 руб.   В корзину         19 розовых роз в коробке R146 Cветлый цилиндр с розовыми розами 19 ярко розовых роз Цвет роз и цилиндра можно подобрать ....          5 590 руб.   В корзину         Нежная коробка с пионовидными розами и макаронсами R214 Нежная коробка с пионовидными розами  и макаронсами Сборная композиция из цветов Печенье....          5 850 руб.   В корзину          Сердце 31 красная роза в коробке R167 Красное сердце в коробке 31 красная роза оформление в коробке ....          7 250 руб.   В корзину         Коробка пионовидные розы орхидеи и гортензия R237 Композиция в белых тонах в цилиндре Белые пионовидные розы белоснежная гортензия крупные орхид....   8 450 руб.   В корзину         25 крупных пионовидных роз в коробке R202 Цилиндр с пионовидными розами Крупноголовые пионовидные розы - 25 шт Оформление ленты крафт....          11 550 руб.   В корзину         51 красная пионовидная роза шляпной в коробке с лентами R75 Цилиндр с пионовидными розами Крупноголовые пионовидные розы - 51 шт Оформление ленты крафт....         20 550 руб. 19 523 руб.   В корзину         Букет из 51 пионовидной розовой розы с лентами R145 Нежные пионовидные розы Pink O'Hara 51 розовая роза Оформление ленты Возможно оформление....          14 050 руб.   В корзину         Букет 25 розовых роз в черном крафте R395 Букет из 25 розовых роз оформление в черный крафт ....          5 490 руб.   В корзину          Выгодно        19 белых калл в черной коробке R731 Композиция белых калл в коробке 19 калл в черной коробке ...         8 190 руб. 6 990 руб.   В корзину         51 орхидея букет в коробке R789 Композиция из орхидей ассорти в коробке 51 бутон орхидей ...         22 950 руб. 19 990 руб.   В корзину         Букет 101 ветка фрезии микс R856 Большой букет ароматной фрезии 101 ветка разноцветной фрезии  с добавлением зелени и оф...         20 390 руб. 15 590 руб.   В корзину         Букет 19 веток белой фрезии в крафте R851 Нежный букет белой фрезии в крафте 19 веток ароматной фрезии с оформлением ...         4 750 руб. 3 590 руб.   В корзину         Букет 31 белая калла в крафте R738 Стильный букет белоснежных калл 31 белая крупная калла в упаковке с лентами ...         12 450 руб. 9 550 руб.   В корзину         Букет 39 ирисов с оформлением R119 Букет ярких ирисов 39 ирисов оформление в крафт ...         6 750 руб. 5 550 руб.   В корзину         Букет 75 розовых пионов с оформлением R1094 Большой букет розовых пионов 75 крупных бутонов с лентами ...         39 690 руб. 36 950 руб.   В корзину         Корзина 51 ветка хризантемы ассорти R300 Корзина яркой хризантемы 51 ветка хризантемы ассорти оформление в корзине ...         120 188 руб. 11 990 руб.   В корзину         Сборный букет с орхидеями и ирисами R122 Букет ирисов и орхидей 20 ирисов оформление в крафт 19 кремовых роз 10 розовых орхидей ...         9 250 руб. 6 950 руб.   В корзину         Сборный букет с орхидеями и каллами R641 Сборный букет с орхидеями 5 бордовых калл 5 крупных бутонов орхидеи белая эустома 5 веток...  10 090 руб. 8 550 руб.   В корзину                               ВПЕЧАТЛЕНИЯ О НАШЕМ МАГАЗИНЕ 1214 отзывов   Заказ исполнен на отлично. Вежливый оперативный менеджер грамотно и быстро помогла с цветами. Исполнение и доставка очень порадовали. Спасибо!   Алексей 30.11.2022              Заказывала цветы из другого города. Все сделали просто великолепно!!! Присылали фото цветов коробочки готового подарка! Доставили ровно ко времени. Именинница была сражена   Лариса 09.11.2022              Вы лучшие! Сделали наш праздник! Украшение в виде цветов всегда к месту! Мы подарили этот букет маме а потом вместе его разобрали по вазам и расставили в зале! Получилось 9 ваз!!!! Наш праздник благоухал благодаря вашим стараниям!   Настя 03.09.2022              Выражаю личную благодарность сотруднику Юле общение приятное не навязчивое. Да и цветы адресату пришлись по вкусу что немаловажно конечно.   Петр 16.08.2022              Заказали этот букет для учителя. Выбирали долго всем классом..... Анна Викторовна была удивлена как мы угадали с цветом под ее новое платье ахахаха Было классно! Благодарим за красивые цветы!   Маша и компания 07.08.2022              Первый раз пишу отзыв со словами благодарности! Имела удовольствие заказать у вас цветы получить достойный букет и вовремя что для меня являются самыми главными критериями доставки цветов.   Алла 03.08.2022              Все гуд    Витя 30.07.2022              В жизни букет выглядит больше чем у вас на фото это доставило неудобства! Пришлось срочно искать новую вазу :(((   Ирина 29.07.2022              Прекрасный букет аромат на весь дом! Супруга довольна! Первый раз у вас заказывал понравилось)))   Кирилл 14.07.2022              Слов нет одни эмоции насколько этот букет восхитителен! Вы волшебники! Тысячи благодарностей!   Оленька 14.07.2022                    НЕ НАШЛИ ПОДХОДЯЩИЙ ВАРИАНТ?  Мы сделаем композицию учитывая ваши пожелания и бюджет! Звоните нам и заказывайте по телефону: 8 (800) 333-22-69 или Закажите обратный звонок       Наши фото                                                                                          Посмотреть всё              8 (952) 840-77-77  WhatsApp: 79528407777 г. Москва ул. Большая Бронная д. 7Мастерские в Москве:  проспект Мира 88 пав. 147 Пятницкая улица 12 стр. 2 Усачёва улица 29 корп. 8 Гончарная улица 38 Денежный переулок 5 стр. 4 ул. Яна Райниса д. 10    Время работы: с 06:00 до 00:00  Доставка: круглосуточно         По поводу         VIP-букеты     Девушке     День рождения     Букет маме     Клиентам     Коллеге     На свадьбу         По праздникам         на юбилей     на 14 февраля     на 8 марта     на день матери     На 9 мая     На последний звонок     На выпускной     на 1 сентября         По составу         Гипсофилы     Анемоны     Ромашки     Гиацинты     Ранункулюсы     Фрезии     Эустома     Гортензия       Пионы     Каллы     Хризантема     Альстромерия     Тюльпаны     Орхидеи     Ирисы     Лилии         По типу         Крафт-букеты     Большие     Маленькие     Красивые     Оригинальные     Шикарные     В виде сердца         По окраске         Кремовые     Разноцветные     Розовые     Белые     Желтые     Красные     Синие            Мы в соцсетях:      Задать вопрос         Доставка цветов в городе: Адлер Анапа Архангельск Астрахань Барнаул Белгород Бердск Бийск Брянск Великий Новгород Владивосток Владимир Волгоград Волжский Вологда Воронеж Геленджик Грозный Дзержинск Долгопрудный Екатеринбург Зеленоград Иваново Ижевск Иркутск Йошкар-ола Казань Калининград Калуга Кемерово Киров Коломна Королев Кострома Краснодар Красноярск Курган Курск Липецк Магнитогорск Махачкала Москва Мурманск Набережные Челны Наро-фоминск Нефтеюганск Нижневартовск Нижнекамск Нижний Новгород Нижний Тагил Новокузнецк Новороссийск Новосибирск Ногинск Омск Орел Оренбург Пенза Пермь Петрозаводск Подольск Прокопьевск Пушкино Раменское Реутов Ростов-на-Дону Рязань Самара Санкт-Петербург Саранск Саратов Севастополь Сергиев Посад Серпухов Симферополь Смоленск Сочи Ставрополь Стерлитамак Сургут Сыктывкар Таганрог Тамбов Тверь Тольятти Томск Тула Тюмень Улан-удэ Ульяновск Уфа Хабаровск Чебоксары Челябинск Череповец Чита Энгельс Якутск Ялта Ярославль    © 2023 Не является публичной офертой. Продвижение интернет-магазина Toptimum.ru</t>
  </si>
  <si>
    <t>xn----7sbbzcf1abmgo.xn--p1ai</t>
  </si>
  <si>
    <t>Гипсофилы | Доставка гипсофил в Северодвинске</t>
  </si>
  <si>
    <t>https://roza101.ru/cvety/gipsofily</t>
  </si>
  <si>
    <t xml:space="preserve">Салон цветов "101 роза" || Доставка цветов в Северодвинскепр-т Ленина 6/348 (911) 554 3844пр-т Морской 54а8 (911) 557 3844                  Доставка цветов в северодвинске круглосуточно 24/7              12.11.23свежий завоз цветов              0Cart Item0 Открытка в подарок с каждым букетом!  РегистрацияАвторизация  Цветы                Розы Альстромерии Хризантемы Эустомы Лилии Герберы   Cборные букеты Гипсофилы Букеты до 2000 р. От 2000 до 5000 р. Букеты от 5000 р.   Коробки цветов Подарки и игрушки                Мягкие игрушки  Топперы   Сладости Информациядоставкакак оплатитьбонусная программапр-т Ленина 6/348 (911) 554 3844пр-т Морской 54а8 (911) 557 38440Не нашли нужный букет? Соберите свой!Кэшбэк 5% с каждой покупкиКопите бонусные рубли и оплачивайте ими до 100% вашего заказа1 бонус = 1 рубльПодробнееКонсультация флористаНапишите в чат флористу если у вас есть вопросы!Открытка в подарокС каждым букетом - красочная открытка в подарок!Бонусная системаКопите баллы и оплачивайте до 100% стоимости цветов!Доставим букет за 1 часКруглосуточная доставка 24/7 Каталогрозы Альстромерии Герберы Сборные букеты Лилии Хризантемы Подарки Сладости Топперы Коробки цветов Гипсофилы Мягкие игрушки  Цветы и букеты Рекомендуем выбор покупателей Новинки  170  Букет из 11 роз        2810 ₽                       Купить 170  Букет "Осенний листопад"   2420 ₽                       Купить 170  Букет из 9 роз 60 см         2450 ₽                       Купить 170  Букет из 101 розы        21660 ₽                       Купить 170   19 роз  + зелень        5350 ₽                       Купить 170  Букет "Восхищение"        6150 ₽                       Купить 170  Букет из 7 роз + бант        2150 ₽                       Купить 170  Букет  "Аромат ночи"        4100 ₽                       Купить 170  Букет  "Жаркая встреча"        5650 ₽                       Купить   Букет из 11 роз        2810 ₽                       Купить   Букет из 9 роз 60 см         2450 ₽                       Купить   Конфеты "Рафаелло" 150 г        550 ₽                       Купить   Букет "Алый Рассвет"        2500 ₽                       Купить   Букет "Осенний листопад"   2420 ₽                       Купить   Букет "Бархатный луг"        2940 ₽                       Купить    19 роз  + зелень        5350 ₽                       Купить   Топпер "C Днем Рождения"        100 ₽                       Купить   5 роз  + зелень        1950 ₽                       Купить   Букет "Осенняя роза"        2220 ₽                       Купить   Букет из 19 роз        4620 ₽                       Купить   Букет из 25 роз         6010 ₽                       Купить   Букет "Майское утро"        2270 ₽                       Купить   Букет ''Белоснежная ромашка''         2490 ₽                       Купить   Букет  "Цветочный бал"        2780 ₽                       Купить   Dove promises 118 г        500 ₽                 Купить  Букет "Свидание"        2050 ₽                 Купить  Букет  "Эквадориан"        3370 ₽                 Купить  Букет  "Мечта"        2910 ₽                 Купить  Букет "Весна"        3800 ₽                 Купить  Букет из гербер и хризантем        2510 ₽                 Купить  Букет  "Гербериум"        2770 ₽                 Купить  Букет из хризантем        3430 ₽                 Купить  Букет "Сияние"        2690 ₽                 Купить  Букет  "Нуар"        4100 ₽                 Купить  Букет  "Розовый фламинго"        4010 ₽                 Купить  Букет  "Взрыв эмоций"        3770 ₽                 Купить   9 роз  + зелень        2850 ₽                 Купить  5 роз  + зелень        1950 ₽                 Купить  Букет из гербер и хризантем        2780 ₽                 КупитьПерейти в каталогРозы с шикарным бутоном и жестким стеблемРозы эквадор 60 смЗаказывайте!Купить розы        Цветы и букеты Рекомендуем  145   19 роз  + зелень        5350 ₽                       Купить 145  Букет  "Волнующий аромат"        3420 ₽                       Купить 145  Букет из 19 роз        4620 ₽                       Купить 145  Букет  "Мелодия нежности"        3200 ₽                       Купить 145  Букет  "Рубиновый закат"        3830 ₽                       Купить 145  Коробка цветов "Краски осени"        4770 ₽                       КупитьПерейти в каталогНовости и статьи    07 января 2020  0КомментарииБонусная программа Правила участия в бонусной программе:Для начисления баллов необходимо зарегистрироваться в личном кабинете на сайте по ссылке:РегистрацияПосле регистрации с каждой покупки на в...  Читать дальше Как ухаживать за цветами?  Первым делом - подрежьте стебли!Розы имеют жесткий древесный стебель их подрезают по диагонали а хризантемы тюльпаны лилии ирисы и др. горизонтально. Подрезку нужно прово...  Читать дальше  05 января 2020  0Комментарии    05 января 2020  0Комментарии На что обратить внимание при покупке роз? При выборе роз особое внимание следует уделить бутону цветка: он в достаточной мере должен быть плотным эластичным и не слишком мягким. Оптимальный вариант - если бутон будет ра...  Читать дальше   Салон цветов 101 розаО магазинеСалон цветов "101 роза" - доставка цветов в Северодвинске Почему покупатели выбирают нас?Магазин  удобно расположен в старой части города и работает каждый день круглосуточно! Доставка по Северодвинску в том числе на о.Ягры осуществляется в режиме 24/7. У нас вы можете купить не только розы но и альстромерии герберы хризантемы лилии эустомы а так же дополнить букет мягкой игрушкой гелиевыми шарами или сладким подарком.Поставки цветов 2 раза в неделю поэтому мы гарантируем свежесть доставленного букета!Бонусная накопительная система и смс - отчет о доставке!Заказать букет с доставкой по Северодвинску очень просто: положите выбранную композицию в корзину оплатите удобным способом и уже через 1 час свежайшие цветы будут радовать своего получателя.Чтобы купить розы необходимо дополнительно выбрать в карточке товара нужный цвет и упаковку. Так же вы можете зарегистрироваться на нашем сайте и стать участником бонусной программы оплачивая бонусными баллами до 100% стоимости заказанных товаров. Не упустите свой  шанс выгодно купить цветы в Северодвинске!Консультация флористаНапишите в чат флористу если у вас есть вопросы!Открытка в подарокС каждым букетом - красочная открытка в подарок!Бонусная системаКопите баллы и оплачивайте до 100% стоимости цветов!Доставим букет за 1 часКруглосуточная доставка 24/7 ×ClosexНовый заказЕвгений заказал Букет "Яркие эмоции"2023-11-12 06:45:12Контакты пр-т Ленина 6/34 8 (911) 554 3844 пр-т Морской 54а 8 (911) 557 3844 ИнформацияИнформация  Бонусная программа Как оплатить? Доставка Политика конфиденциальности Возврат и обмен товара Контакты Личный КабинетЛичный КабинетЛичный КабинетИстория заказовКарта сайтаЗакладкиРассылкаПодписывайтесь!Будьте в курсе наших акций и предложений!ПодписатьсяПрисоединяйтесь!  Салон цветов "101 роза"  © 2018 - 2023                     Создание сайта: artweb29  </t>
  </si>
  <si>
    <t>roza101.ru</t>
  </si>
  <si>
    <t>Доставка цветка гипсофилы - цена</t>
  </si>
  <si>
    <t>https://9046065.ru/cveti/gipsofila-spb/</t>
  </si>
  <si>
    <t>Доставка цветов в СПБ | Заказать цветы с доставкой на домО насДоставка и оплатаГарантииОтзывыПолезные статьиВсе для свадьбыпоискВходЗаказать звонок+7 (921) 904-60-65Ваша корзина: 0Р0+7 (921) 904-60-65                  Букеты из цветов                По составу:Букеты до 2000 руб.Букеты с розамиБукеты с ромашкамиБукеты с хризантемамиБукеты с ирисамиБукеты с лизиантусами+эустомаБукеты с альстромериямиБукеты с тюльпанамиБукеты с пионамиБукеты с полевыми цветамиБукеты с гипсофилойБукеты с гортензиямиБукеты с гиприкумомБукеты с маттиолойБукеты из ранункулюсовБукеты из статицыБукеты с гвоздикамиПопулярные цветыПо типу:Сердца из цветовАвторские букетыНеобычные букетыКрафт букетыМаленькие букетыБукеты из сухоцветов                    Букеты в коробке                По составу:С диантусамиC гипсофилойС ромашкамиС розамиС гортензиямиС пионамиС ирисамиС хризантемамиС лизиантусамиС тюльпанамиИз статицыВ деревянном ящикеБукеты в шляпных коробкахПо размеру:Большие букеты в коробкахБукеты в шляпных коробках miniБукеты в квадратных коробкахГипсофилаПо количеству:5 гипсофил7 гипсофил11 гипсофил15 гипсофилПо размеру:Гипсофилы в коробке miniГипсофилы в коробке XLКомпозиция из гипсофилыПо цвету:Радужная гипсофилаБелая гипсофилаГолубая гипсофилаРозовая гипсофилаФиолетовая гипсофилаПо типу:Гипсофилы с ромашками                  Розы                По типу:Корзины с розамиРозы в форме сердцаРозы в шляпных коробкахПо количеству:5 роз7 роз15 роз25 роз51 роза101 роза151 роза201 розаОгромныеПо цвету:Красные розыБелые розыРозы миксСиние розыРадужные розыРозовые розыКремовые розыЖелтые розыПо сорту:Пионовидные розы                  Цветы                АльстромерииТюльпаныРомашкиХризантемыЛизиантусы (эустома)ИрисыСтатицаРозыВасилькиТвидия (оксипеталум)Гвоздики диантусыГерберыПионыРанункулюсыСолидагоГипсофилаМаттиолаГортензииЛандыши                  Пионы                По размеру:В большой коробкеВ маленькой коробкеВ квадратной коробкеПо количеству:7 пионов9 пионов15 пионов51 пион101 пионПо цвету:Розовые пионыБелые пионыКоралловые пионыПионы миксМалиновые пионыБордовые пионыПо типу:Пионы в шляпных коробкахПионовидные розы                  Тюльпаны                По количеству:25 тюльпанов35 тюльпанов51 тюльпан101 тюльпанПо цвету:белыежелтыекрасныерозовыефиолетовыеМиксПо типу:Тюльпаны в шляпной коробкеТюльпаны в корзине                  Подарки                Открытки ручной работыКонфетыШарыБукеты из игрушекМягкие игрушки                  Цветы оптом                Розы оптомТюльпаны оптом                  Повод                Букет на юбилейБукеты в знак извиненияБукеты на 8 мартаБукеты на выписку Букеты на День рожденияБукеты на День святого ВалентинаБукеты на День студентаБукеты на Новый годПоздравлениеКонтакты Заказать букет Заказать букет       Доставка цветов по Санкт-Петербургу            Показать фильтр      По цене...По цене...до 1000руб.от 1000 до 2000руб.от 2000 до 3500руб.от 3500 до 5000руб.от 5000руб.Цветы...Цветы...розыромашкиирисылизиантусыпионытюльпаныхризантемыгерберыполевыестатицагиперикумгвоздикисолидагогипсофилагортензииматтиолаландыширанункулюсытвидииальстромерииКому...Кому...для мамыдля женщиныдля любимойдля девушкидля женыдля девочкиребенкудля дочеридля сестрыдля подругидля мужчиныПовод...Повод...на День рожденияна праздникна юбилей для признания в любвидля извиненияв благодарностьбизнес поздравлениебукет на выписку на свадьбуПо цвету...По цвету...нежныеяркиебелыекрасныерозовыекремовыесиниеголубыеразноцветныефиолетовыежелтыеоранжевыезеленыелетниечерныеДоставка цветов по Санкт-ПетербургуАкции                    Быстрый просмотр                  Букет из 11 радужных гипсофил (Голландия)Гипсофила сорта Rainbow-11 Высота-60 см. Упаковка-на выбор Лента-атласная Страна-Голландия.2750 Р2150 РЗаказатьКупить в 1 клик                    Быстрый просмотр                  Букет из 7 радужных гипсофил (Голландия)Гипсофила сорта Rainbow-7 Высота-60 см. Упаковка-на выбор Лента-атласная Страна-Голландия.2390 Р1700 РЗаказатьКупить в 1 клик                    Быстрый просмотр                  Букет из гортензий ТриоГортензии микс (Голландия)-3 шт. упаковка-фоамиран подложка-тишью.3900 Р2550 РЗаказатьКупить в 1 клик                    Быстрый просмотр                  Букет из гортензии АликантеБелая гортензия (Голландия)-1 шт. Диантус розовый-4 шт. (сорт nahema) Альстромерия-4 шт. Эвкалипт2990 РЗаказатьКупить в 1 клик                    Быстрый просмотр                  Букет из гортензии ВаленсияГолубая гортензия (Голландия)-1 шт. Диантус белый-4 шт. (сорт  moonlight) Альстромерия белая-4 шт.3400 РЗаказатьКупить в 1 клик                    Быстрый просмотр                  25 белых диантусов и раффаелло в голубой коробкеБелая гвоздика (Колумбия)-25 шт. сорт-Dianthus st moonlight Зелень-фисташка Коробка (20х26х20 см.3850 РЗаказатьКупить в 1 клик                    Быстрый просмотр                   25 розовых диантусов и раффаелло в белой коробкеРозовая гвоздика (Колумбия)-25 шт. сорт-nahem Зелень-фисташка Коробка (20х26х20 см.) Высота буке3850 РЗаказатьКупить в 1 клик                    Быстрый просмотр                  15 белых и розовых диантусов в голубой коробкеРозовая и белая гвоздика (Колумбия)-15 шт. сорт-nahema и moonlight  Зелень-фисташка Коробка (20 х3600 Р2600 РЗаказатьКупить в 1 клик                    Быстрый просмотр                  Букет из 15 белых и розовых диантусовРозовая и белая гвоздика (Колумбия)-15 шт. сорт-Dianthus st nahema и Dianthus st moonlight упаковк3200 Р2300 РЗаказатьКупить в 1 клик                    Быстрый просмотр                  Букет белых роз диантусов и твидийРоза-5 шт. Розовая гвоздика (Колумбия)-4 шт. сорт-Dianthus st nahema Твидия-4 зелень-фисташка уп2650 РЗаказатьКупить в 1 клик                    Быстрый просмотр                  Букет из розовых диантусов и твидииРозовая гвоздика (Колумбия)-6 шт. сорт-Dianthus st nahema Твидия (оксипеталум)-5 шт.зелень-фисташ2400 РЗаказатьКупить в 1 клик                    Быстрый просмотр                  Букет из 9 розовых диантусов Розовая гвоздика (Колумбия)-9 шт. сорт-Dianthus st nahema зелень-фисташка упаковка-фоамиран подл2900 Р2150 РЗаказатьКупить в 1 клик                    Быстрый просмотр                  Сердце из 31 розы 50 см.31 роза длиной 50 см. красного цвета сорт Ред Наоми широкая атласная лента красного цвета.6900 Р3100 РЗаказатьКупить в 1 клик                    Быстрый просмотр                  Белая гипсофила и ромашка в коробке XL (Голландия)Cостав-Ромашка полевая Гипсофила белая Коробка (225 х 29 см.) Высота букета 40 - 45 см. Лента-а4500 Р2800 РЗаказатьКупить в 1 клик                    Быстрый просмотр                  Белая гипсофила и ромашка в коробке mini (Голландия)Cостав-Ромашка полевая Гипсофила белая Коробка (18 х 24 см.) Высота букета 30 - 35 см.. Лента-ат3700 Р2350 РЗаказатьКупить в 1 клик                    Быстрый просмотр                  Букет из ромашек и гипсофилы (крупный)Состав:Ромашка (матрикария)-11 Гипсофила-6 Страна-Голландия Упаковка-крафт Лента-атласная.3100 Р2900 РЗаказатьКупить в 1 кликПерейти в каталогХиты продаж                    Быстрый просмотр                  Букет из 15 белых и розовых альстромерийАльстромерия микс (Голландия)-15 шт. упаковка-крафт подложка-тишью широкая атласная лента.2350 РЗаказатьКупить в 1 клик                    Быстрый просмотр                  Букет из 11 белых гипсофил (Голландия)Гипсофила сорта премиум-11 шт. Высота- до 65 см. Упаковка-на выбор Лента-атласная Страна-Голланд2150 РЗаказатьКупить в 1 клик                    Быстрый просмотр                  Голубая гортензияГолубая гортензия (Голландия)-1 шт упаковка-фоамиран подложка-тишью атласная лента.2500 Р1700 РЗаказатьКупить в 1 клик                    Быстрый просмотр                  Белая гортензияГортензия белая (Голландия)-1 шт упаковка-фоамиран подложка-тишью атласная лента.2500 Р1700 РЗаказатьКупить в 1 клик                    Быстрый просмотр                  Розовая гортензияГортензия розовая (Голландия)-1 шт упаковка-фоамиран подложка-тишью атласная лента.2500 Р1700 РЗаказатьКупить в 1 клик                    Быстрый просмотр                  Голубая гортензия в белой коробкеГортензия голубая (Голландия)-1 шт Коробка (18 х 18 см.) Высота букета 25 см. Лента-атласная Тиш2700 Р1990 РЗаказатьКупить в 1 клик                    Быстрый просмотр                  Розовая гортензия в голубой коробкеГортензия розовая (Голландия)-1 шт Коробка (18 х 18 см.) Высота букета 25 см. Лента-атласная Тиш2700 Р1990 РЗаказатьКупить в 1 клик                    Быстрый просмотр                   Букет из гортензий Трио в шляпной коробкеГортензии микс (Голландия)-3 шт Коробка (225 х 29 см.) Высота букета 45 см. Лента-атласная Тишь4500 Р2850 РЗаказатьКупить в 1 клик                    Быстрый просмотр                  Букет из гортензии АликантеБелая гортензия (Голландия)-1 шт. Диантус розовый-4 шт. (сорт nahema) Альстромерия-4 шт. Эвкалипт2990 РЗаказатьКупить в 1 клик                    Быстрый просмотр                  Букет из гортензии ВаленсияГолубая гортензия (Голландия)-1 шт. Диантус белый-4 шт. (сорт  moonlight) Альстромерия белая-4 шт.3400 РЗаказатьКупить в 1 клик                    Быстрый просмотр                  15 белых и розовых диантусов в белой коробкеРозовая и белая гвоздика (Колумбия)-15 шт. сорт-nahema и moonlight  Зелень-фисташка Коробка (20 х3600 Р2600 РЗаказатьКупить в 1 клик                    Быстрый просмотр                  15 белых и розовых диантусов в розовой шляпной коробкеРозовая и белая гвоздика (Колумбия)-15 шт. сорт-nahema и moonlight  Зелень-фисташка Коробка (20 х3600 Р2600 РЗаказатьКупить в 1 клик                    Быстрый просмотр                  Букет из 15 белых и розовых диантусов и твидииРозовая и белая гвоздика (Колумбия)-15 шт. сорт-Dianthus st nahema и Dianthus st moonlight Твидия-3250 РЗаказатьКупить в 1 клик                    Быстрый просмотр                  Букет из 15 белых и розовых диантусовРозовая и белая гвоздика (Колумбия)-15 шт. сорт-Dianthus st nahema и Dianthus st moonlight упаковк3200 Р2300 РЗаказатьКупить в 1 клик                    Быстрый просмотр                  Букет из розовых диантусов и альстромерийРозовая гвоздика (Колумбия)-3 шт. сорт-Dianthus st nahema Альстромерия-4 шт. Эвкалипт-1 шт. упак2150 РЗаказатьКупить в 1 клик                    Быстрый просмотр                  Букет из белых роз и диантусовРозовая гвоздика (Колумбия)-4 шт. сорт-Dianthus st nahema Роза-5 шт. зелень-Эвкалипт упаковка-фо2250 РЗаказатьКупить в 1 кликПерейти в каталогБукеты в коробках                    Быстрый просмотр                  Шляпная коробка из 7 розовых пионовСостав:Пионы сорта Sarah Bernhard-7 Коробка (18 х 24 см.) Высота букета 28 см. Лента-атласная..2990 РЗаказатьКупить в 1 клик                    Быстрый просмотр                  29 белых и розовых роз в шляпной коробкеСостав-29 роз сорта Вайт Наоми и Аква Коробка (225 х 29 см.) Высота букета 45 см. Лента-атласная..3650 РЗаказатьКупить в 1 клик                    Быстрый просмотр                  Коробка из 9 розовых пионов с раффаеллоСостав-Пионы сорта Sarah Bernhard-9 Раффаелло 240 гр. Коробка (20х26х20 см.) Высота букета 30 см...4290 РЗаказатьКупить в 1 клик                    Быстрый просмотр                  25 белых роз и раффаелло в голубой коробкеСостав-25 роз сорта Вайт Наоми Раффаелло 240 гр. Коробка (20х26х20 см.) Высота букета 30 см...5700 Р3850 РЗаказатьКупить в 1 клик                    Быстрый просмотр                  Шляпная коробка из 7 розовых пионов Состав:Пионы сорта Sarah Bernhard-7 Коробка (18 х 24 см.) Высота букета 28 см. Лента-атласная..2990 РЗаказатьКупить в 1 клик                    Быстрый просмотр                  Коробка из 5 радужных хризантемCостав-хризантема кустовая радужная-5 Коробка (18 х 24 см.) Высота букета 28 см. Лента-атласная. ..1990 РЗаказатьКупить в 1 клик                    Быстрый просмотр                  29 красных роз в шляпной коробкеКоличество-29 роз сорта Ред Наоми Коробка (225 х 29 см.) Высота букета 45 см. Лента-атласная...3250 РЗаказатьКупить в 1 клик                    Быстрый просмотр                  5 белых хризантем в розовой шляпной коробкеКоличество-хризантема кустовая-5 Коробка (18 х 24 см.) Высота букета 28 см. Лента-атласная...1790 РЗаказатьКупить в 1 кликПерейти в каталог                            100% гарантия качества                            товара. Доставляем в срок                            только свежие цветы                                                    Если вам не понравился                            букет поменяем его на                            новый в течении 48 часов*                                                    Бесплатная открытка                            в букет с текстом или                            Вашим именем                                                    Фото или видео                            в момент вручения                                                    Букеты как на                            фотографияхболее                            600шт                                                    Доставка букетов                            Инкогнито                                                    SMS уведомление                            о доставке букета                        Дарить и получать букеты всегда приятно а если доставка организована на дом то это вдвойне прекрасно. Плюсы такой услуги:Чтобы забрать цветочный шедевр не нужно покидать дом или офис. Вам не нужно просыпаться рано утром или бежать поздней ночью выходить на улицу в мороз проливной дождь или жару за цветами.Не нужно перемещаться по городу тратить время на дорогу и простаивать в пробках.Не стоит беспокоиться о сохранности композиции. Все эти хлопоты возьмет на себя курьер а вам остается только получать благодарности за приятный сюрприз.Наш курьер одинаково быстро привезет букет как к раннему пробуждению в 7 часов утра так и в 12 часов ночи. Оформители заворачивают цветы в специальную упаковку защищающую от внешних факторов. Бутоны сохраняются свежими ароматными целыми без опавших и увядших лепестков.Чтобы заказать у нас доставку на дом достаточно заполнить заявку на сайте или обратиться к консультанту по телефону. Есть возможность оплаты наличными деньгами после получения.Работаем по Санкт-Петербургу и ЛОМагазин «Барселона» предлагает роскошное флористическое разнообразие. В ассортименте свежайшие цветы разных видов и сортов от иностранных поставщиков. Мы сотрудничаем с компаниями из Эквадора Голландии Израиля. Тщательно выбираем каждый цветок скрупулезно осматриваем бутоны стебли и листья. В ассортимент попадают только отборные растения.В нашем коллективе работают компетентные и творческие флористы. Скомбинируют цветочные ансамбли соответствующие разным событиям: дню рождению свадебному торжеству знаковым датам тематическому или официальному празднику.Специалисты компании регулярно совершенствуют навыки флористического мастерства отслеживают актуальные тренды дизайна и внедряют их в композиции.Отзывы покупателей14.04 Заказал большую коробку с гипсофилой привезли быстро и оперативно. Цветы хорошо выглядят как на фото которое прислали перед отправкой. Отдельно стоит отметить роботу менеджера прислал фото ранее сделанных букетов для примера и фото моего заказа.  Огромное спасибо. Спасибо большое сотрудникам Барселона - четко быстро с полным соблюдением договоренностей доброжелательно и своевременно был подготовлен заказанный нами букет!  И это несмотря на загруженность и ажиотаж в канун 8 МАРТА! И тюльпаны свежайшие:)))10.09.2022 Прекрасный букет из 15 радужных гипсофил. Большое спасибо салону за своевременную доставку ! Очень красивые цветы. Букет очень огромный . Дочка в восторге  о таком и мечтала !Спасибо салону за шикарный букет цветов на выписку из роддома с сыном!!! Цветы очень красивые и долго простояли в вазе радуя глаз!!!Очень довольна!!! Будем заказывать теперь только у Вас!!!К сожалению отзыв отрицательный. Заказал букет пионов находясь в другом городе. Обернули в крафт с велосипедами. На просьбу поменять обёртку сказали нету другого и вообще отправили курьером... Наверно у меня вкуса просто нет... Сделала заказ в компании "Барселона" для своей подруги. Хотела бы выразить благодарность компании. Подруга была в восторге. Приятно когда все от первого звонка в магазин до вручения букета курьером вызывает уважение к организации. Подруге понравилась пунктуальность и вежливость курьера современная продуманная в деталях упаковка удивили розы которые с каждым днем становились только лучше. Подруге понравился подарок а мне как сотрудники магазина сделали свою работу.Ценакакчество отличноезаказываю на все праздники только здесь. Букетики всегда свеженькиедоставка во время. СпасибоЛучший магазин цветов в округе метро Александра Невского (был во многих). Был удивлен свежестью цветов и уровнем сервиса. Крайне тактичный продавец! Цветы стоят уже третий день и намека на высыхание нетНесколько раз пользовался услугами этой компании. Цветы всегда свежие культурные курьеры доставка в назначенное время.Спасибо за пионы! Не первый раз уже беру в этом месте данные цветы. Всегда свежие и красивые. Продавцы отзывчивые и приятные. Буду обращаться ещё не один раз.Показать всёПоследние статьиСамый красивый букет цветов10.01.2019                                    ..                                Читать подробнееКакие цветы подарить на 8 марта коллегам04.01.2019                                    ..                                Читать подробнееКак сделать девушку счастливой04.01.2019                                    ..                                Читать подробнееСмотреть всеВступить в клуб  БарселонаВаш E-mailВаше имяПодписаться Мы в соц сетях:О насКаталог цветовОтзывыКонтактыДоставка и оплатаГарантииПолезные статьиЧастозадаваемые вопросыНаш адрес:              ул.Тележная д.37 лит. Ю            Время работы:              с 9:00 до 21:00            +7 (921) 904-60-65Заказать звонокСпособы оплаты: Разработка сайта RozaVetrov×Состав:Описание:Выберите размер длины(см):50607090Цена:РЗаказатьКупить в один кликНашли дешевле?Поделиться в соц. сетях:                      100% гарантия качества                      товара. Доставляем в срок                      только свежие цветы                                          Если вам не понравился                      букет поменяем его на                      новый в течении 48 часов*                                          Бесплатная открытка                      в букет с текстом или                      Вашим именем                                          Фото или видео                      в момент вручения                                          Букеты как на                      фотографияхболее                      600шт                                          Доставка букетов                      Инкогнито                                          SMS уведомление                      о доставке букета                    Загрузить ещеЗагрузить ещеЗагрузить еще</t>
  </si>
  <si>
    <t>9046065.ru</t>
  </si>
  <si>
    <t>Купить букет из гипсофилы с доставкой по Санкт- ...</t>
  </si>
  <si>
    <t>Купить букет из гипсофилы в цветочном интернет-магазине «Цветовик». Оригинальные букеты из гипрофилы с доставкой по Санкт-Петербургу. Гарантия качества.</t>
  </si>
  <si>
    <t>https://cvetovik.com/catalog/tsveti/gipsofila/</t>
  </si>
  <si>
    <t>Доставка цветов в Санкт-Петербурге купить недорого на заказ от ЦветовикСанкт-ПетербургМагазиныБонусная картаОтзывыДоставкаОплата+7 (812) 7779204Все цветыРозыБукетыАвторские букетыЦветыКомпозицииПодаркиСвадебная флористикаДом и садБонусы с покупокКорпоративным клиентамДоставкаОплатаО компании Обратная связь Отзывы Адреса магазинов← Назад к каталогамБукеты из розРозы поштучноКустовые розыПионовидные розы← Назад к каталогамАльстромерияГвоздики (Диантус)ГерберыГиацинтыГипсофилаГладиолусыГортензияИрисыЛилииМаттиолаПионыПодсолнухиРомашкиСухоцветыФрезииХризантемыЭустома (Лизиантус)ТюльпаныАссортимент← Назад к каталогамКоллекция Цветочный комплиментКорзины с цветамиЦветы в коробкеЦветочные композиции← Назад к каталогамКонфетыМягкие игрушкиОткрытки← Назад к каталогамБукеты невестыСвадебное оформлениеСвадебный декор← Назад к каталогамВазы для цветовГрунты и удобренияИскусственные цветыГоршки и кашпоКомнатные растенияДекор для интерьераДоставим за 60 минутДоставка в пригородМастер букетовАкции Новинки Большебонусов Хит+7 (812) 7779204Перезвоните мнеTelegramViberWhatsAppКорзина0АКЦИЯБыстрая доставкаТюльпаныБукетыРозы PremiumАвторские букетыСвадебная флористикаПредыдущийСледующийДоставим за 60 минутЛучшие ценыБонусная картаДоставка в пригородНайти магазинБыстрая доставка 4.8 (661 оценка)Бонусы 206Букет экспресс из 5 белых ориентальных лилий4120 ₽КУПИТЬ4.8 (808 оценок)Бонусы 88Букет экспресс из 5 розовых роз Эквадор 40-50 см1755 ₽КУПИТЬ4.9 (590 оценок)Бонусы 67Букет экспресс из 7 ирисов1337 ₽КУПИТЬ4.5 (358 оценок)Бонусы 101Букет экспресс из 9 кустовых хризантем Сантини микс2013 ₽КУПИТЬ4.9 (481 оценка)Бонусы 104Букет экспресс из 9 альстромерий микс2068 ₽КУПИТЬ4.5 (520 оценок)Бонусы 102Букет экспресс из 5 гипсофил микс2030 ₽КУПИТЬ4.7 (341 оценка)Бонусы 116Букет экспресс из 5 розовых эустом2305 ₽КУПИТЬ4.4 (192 оценки)Бонусы 115Букет экспресс из 15 малиновых роз 35-40 см (Кения)2294 ₽КУПИТЬБукеты с ирисами -17%4.8 (331 оценка)Бонусы 171Еще-20% по промокоду IR20Букет из 25 синих ирисов в стильной упаковке4070 ₽3416 ₽КУПИТЬ-19%5.0 (456 оценок)Бонусы 224Еще-20% по промокоду IR20Букет из 35 синих ирисов в стильной упаковке5490 ₽4477 ₽КУПИТЬ5.0 (666 оценок)Бонусы 79-20% по промокоду IR20Букет из 9 ирисов в дизайнерской упаковке1573 ₽КУПИТЬ4.8 (611 оценок)Бонусы 97-20% по промокоду IR20Букет комплимент из 11 ирисов в дизайнерской упаковке1925 ₽КУПИТЬ5.0 (987 оценок)Бонусы 302-20% по промокоду IR20Букет из 51 синего ириса в стильной упаковке6034 ₽КУПИТЬ4.8 (399 оценок)Бонусы 139-20% по промокоду IR20Букет из 19 синих ирисов в упаковке2767 ₽КУПИТЬ51 роза по суперцене! -48%5.0 (304 оценки)Бонусы 192Букет из 51 нежно-розовой и белой розы 40 см (Россия) под ленту7360 ₽3839 ₽КУПИТЬ-35% нет оценокБонусы 275Букет из 51 розы кремовой розы 50-60 см (Россия) под ленту8360 ₽5489 ₽КУПИТЬ-48% нет оценокБонусы 192Букет из 51 розы кремовой розы 40 см (Россия) под ленту7360 ₽3839 ₽КУПИТЬ-35% нет оценокБонусы 275Букет из 51 белой розы 50-60 см (Россия) под ленту8360 ₽5489 ₽КУПИТЬ-48%5.0 (385 оценок)Бонусы 192Букет из 51 розы 40 см (Россия) в пастельных тонах под ленту7360 ₽3839 ₽КУПИТЬ-48% нет оценокБонусы 192Букет из 51 белой и розовой розы 40 см (Россия) под ленту7360 ₽3839 ₽КУПИТЬ4.6 (607 оценок)Бонусы 192Букет из 51 оранжевой розы 40 см (Россия) под атласную ленту3839 ₽КУПИТЬБукеты с тюльпанами 4.6 (136 оценок)Бонусы 86Букет из 9 тюльпанов стандарт в стильной упаковке1711 ₽КУПИТЬ4.6 (839 оценок)Бонусы 149Букет из 25 тюльпанов стандарт микс под ленту2965 ₽КУПИТЬ4.2 (162 оценки)Бонусы 103Букет из 11 тюльпанов стандарт микс в стильной упаковке2057 ₽КУПИТЬ-47%4.9 (921 оценка)Бонусы 89Букет цветов Сердце мамы3320 ₽1764 ₽КУПИТЬ4.7 (586 оценок)Бонусы 104Букет из 15 тюльпанов стандарт микс под ленту2074 ₽КУПИТЬ-42%4.5 (926 оценок)Бонусы 140Букет цветов Невидимая связь4740 ₽2786 ₽КУПИТЬ4.8 (856 оценок)Бонусы 70Букет цветов Родные руки1400 ₽КУПИТЬ 101 роза по суперцене! -34% нет оценокБукет из 101 белой и розовой розы 40 см (Россия) под ленту9950 ₽6589 ₽КУПИТЬ-34% нет оценокБонусы 330Букет из 101 белой розы (Россия) под ленту9950 ₽от 6589 ₽КУПИТЬ-34%4.8 (753 оценки)Бонусы 330Букет из 101 розы нежный микс 40 см (Россия) под ленту9950 ₽6589 ₽КУПИТЬ-34% нет оценокБонусы 330Букет из 101 розы 40 см (Россия) в пастельных тонах под ленту9950 ₽6589 ₽КУПИТЬ-34%5.0 (331 оценка)Бонусы 330Букет из 101 розовой розы 40 см (Россия) под ленту9950 ₽6589 ₽КУПИТЬ-34% нет оценокБонусы 330Букет из 101 розы 40 см (Россия) с красной розой в центре9950 ₽6589 ₽КУПИТЬЛучшая цена!  4.7 (607 оценок)Бонусы 90Букет цветов Хрупкая1796 ₽КУПИТЬ4.6 (739 оценок)Бонусы 88Букет цветов Маленькое счастьеот 1755 ₽КУПИТЬ4.7 (834 оценки)Бонусы 114Букет из 15 красных и розовых роз микс 35-40 см (Кения) в стильной упаковке2277 ₽КУПИТЬ4.9 (628 оценок)Бонусы 117Букет цветов Волнительный момент2332 ₽КУПИТЬ4.9 (656 оценок)Бонусы 310Букет цветов Сияние чувствот 3267 ₽КУПИТЬ4.9 (567 оценок)Бонусы 87Букет из 5 гербер стандарт микс в стильной упаковке с зеленью1733 ₽КУПИТЬ4.9 (443 оценки)Бонусы 106Букет из сухоцветов Пурпурный жемчуг2112 ₽КУПИТЬ5.0 (568 оценок)Бонусы 235Букет цветов Неожиданный комплиментот 3042 ₽КУПИТЬБукеты с гортензиями 5.0 (126 оценок)Бонусы 120Букет цветов Гармония2387 ₽КУПИТЬ4.8 (162 оценки)Бонусы 152Букет цветов Легкий шарм3025 ₽КУПИТЬ4.8 (152 оценки)Бонусы 96Букет цветов Чувствительный взгляд1920 ₽КУПИТЬ4.9 (136 оценок)Бонусы 228Букет цветов Невинная улыбка4560 ₽КУПИТЬ4.8 (183 оценки)Бонусы 103Букет цветов Нежные прикосновения2057 ₽КУПИТЬ4.7 (185 оценок)Бонусы 80Букет цветов Твои объятия1595 ₽КУПИТЬ4.9 (196 оценок)Бонусы 75Букет цветов Жемчужина моря1485 ₽КУПИТЬ4.5 (132 оценки)Бонусы 172Букет цветов Искренние чувства3421 ₽КУПИТЬБукеты из Premium розы 4.7 (652 оценки)Бонусы 113Букет цветов Мудрые слова2259 ₽КУПИТЬ-37%4.8 (808 оценок)Бонусы 72Букет цветов Дорогая мама2250 ₽1436 ₽КУПИТЬ4.8 (625 оценок)Бонусы 212Букет из 9 розовых роз Эквадор 50 -60 см в стильной упаковке4235 ₽КУПИТЬ4.5 (1002 оценки)Бонусы 147Букет из 7 красных роз Эквадор 50-60 см в стильной упаковке2921 ₽КУПИТЬ5.0 (648 оценок)Бонусы 163Букет из 9 красных роз premium 40-50 см (Эквадор) в стильной упаковке3256 ₽КУПИТЬ-33%4.9 (926 оценок)Бонусы 178Букет цветов Новая жизнь5270 ₽3542 ₽КУПИТЬ4.9 (923 оценки)Бонусы 244Букет из 11 белых роз Эквадор 50-60 см в стильной упаковке4873 ₽КУПИТЬАвторские букеты 4.6 (136 оценок)Бонусы 686Букет цветов Безупречная улыбка13712 ₽КУПИТЬ4.8 (136 оценок)Бонусы 858Букет цветов Манящая красота17149 ₽КУПИТЬ4.3 (142 оценки)Бонусы 848Букет цветов Нравственный взгляд16951 ₽КУПИТЬ4.4 (135 оценок)Бонусы 770Букет цветов Чувственная душа15395 ₽КУПИТЬ4.7 (163 оценки)Бонусы 818Букет цветов Незабываемый смех16346 ₽КУПИТЬ4.8 (152 оценки)Бонусы 770Букет цветов Отчаянный поступок15395 ₽КУПИТЬЯркая осень 4.8 (528 оценок)Бонусы 232Букет цветов Золотые лучиот 3388 ₽КУПИТЬ5.0 (355 оценок)Бонусы 240Букет цветов Осенний шепот4791 ₽КУПИТЬ5.0 (424 оценки)Бонусы 164Букет цветов Любопытствоот 1991 ₽КУПИТЬ5.0 (654 оценки)Бонусы 352Букет цветов Возрождениеот 4598 ₽КУПИТЬ4.9 (688 оценок)Бонусы 183Букет цветов Иллюзияот 2376 ₽КУПИТЬ нет оценокБонусы 125Букет цветов Осенняя прогулка2481 ₽КУПИТЬ4.9 (514 оценок)Бонусы 112Букет из 7 гербер стандарт микс в стильной упаковке с зеленью2222 ₽КУПИТЬ4.8 (712 оценок)Бонусы 94Букет из 9 кустовых роз яркий микс 40 см (Кения) в стильной упаковке1865 ₽КУПИТЬБукеты из садовой кустовой розы 4.5 (930 оценок)Бонусы 180Букет цветов Нежный шелестот 3592 ₽КУПИТЬ4.7 (652 оценки)Бонусы 217Букет цветов Нежное послание4334 ₽КУПИТЬ4.8 (1000 оценок)Бонусы 147Букет цветов Пурпурная сказка от 2932 ₽КУПИТЬ5.0 (805 оценок)Бонусы 150Букет цветов Пробуждение чувствот 2998 ₽КУПИТЬ4.5 (959 оценок)Бонусы 283Букет цветов Персиковое чудоот 3564 ₽КУПИТЬ5.0 (676 оценок)Бонусы 178Букет цветов Твоя нежность3542 ₽КУПИТЬ4.7 (875 оценок)Бонусы 128Букет цветов Цветочный флиртот 2558 ₽КУПИТЬКорзины цветов 4.7 (428 оценок)Бонусы 251Корзина цветов Красочный подарок5016 ₽КУПИТЬ4.8 (362 оценки)Бонусы 458Корзина цветов из 19 садовых роз с фисташкой9152 ₽КУПИТЬ4.5 (538 оценок)Бонусы 2265Корзина цветов из 101 красной розы (Эквадор)45287 ₽КУПИТЬ5.0 (444 оценки)Бонусы 159Корзина цветов Лесной воздух3179 ₽КУПИТЬ5.0 (661 оценка)Бонусы 533Корзина цветов Милашка10659 ₽КУПИТЬ4.7 (394 оценки)Бонусы 472Корзина цветов из 25 красных premium роз 40 см (Эквадор) с зеленью9438 ₽КУПИТЬ4.7 (704 оценки)Бонусы 642Корзина цветов Цветочный луг12826 ₽КУПИТЬ4.7 (676 оценок)Бонусы 260Корзина цветов Белоснежка5192 ₽КУПИТЬЦветы в шляпных коробках 4.6 (619 оценок)Бонусы 297Букет в шляпной коробке из 25 белых premium роз 40 см (Эквадор)5929 ₽КУПИТЬ4.8 (610 оценок)Бонусы 1080Букет в шляпной коробке Оазис21582 ₽КУПИТЬ5.0 (563 оценки)Бонусы 325Букет в шляпной коробке с пионами Радость жизни6490 ₽КУПИТЬ5.0 (399 оценок)Бонусы 406Букет в шляпной коробке Проявление чувств8107 ₽КУПИТЬ4.8 (660 оценок)Бонусы 274Букет в шляпной коробке из мини гербер и гвоздикот 4202 ₽КУПИТЬ4.8 (695 оценок)Бонусы 581Букет в шляпной коробке Жемчужный свет11616 ₽КУПИТЬ5.0 (694 оценки)Бонусы 323Цветы в коробке Приглашение6457 ₽КУПИТЬ-23%5.0 (484 оценки)Бонусы 772Букет в шляпной коробке Порыв любви19910 ₽15439 ₽КУПИТЬБукеты из лизиантусов 4.7 (377 оценок)Бонусы 152Букет из 7 белых эустом в стильной упаковке3025 ₽КУПИТЬ-19%4.9 (656 оценок)Бонусы 158Букет цветов Родимая3900 ₽3159 ₽КУПИТЬ4.7 (612 оценок)Бонусы 230Букет из 11 лизиантусов микс в стильной упаковке 4587 ₽КУПИТЬ-1%4.7 (494 оценки)Бонусы 194Букет из 9 розовых эустом в стильной упаковке3900 ₽3861 ₽КУПИТЬ-2%4.7 (342 оценки)Бонусы 116Букет из 5 розовых эустом в стильной упаковке2340 ₽2305 ₽КУПИТЬ-13%4.8 (698 оценок)Бонусы 230Букет из 11 белых эустом в стильной упаковке5270 ₽4587 ₽КУПИТЬБукеты с Кенийской розой -14%4.7 (763 оценки)Бонусы 168Букет из 25 красных и розовых роз микс 35-40 см (Кения) в стильной упаковке3890 ₽3355 ₽КУПИТЬ-27%4.7 (831 оценка)Бонусы 172Букет из 35 роз микс 35-40 см (Кения) под атласную ленту4650 ₽3432 ₽КУПИТЬ5.0 (961 оценка)Бонусы 66Букет из 7 белых роз 35-40 см (Кения) в стильной упаковке1320 ₽КУПИТЬ4.7 (599 оценок)Бонусы 405Букет из 35 красных роз 35-40 см (Кения) в стильной упаковке6740 ₽КУПИТЬ4.5 (785 оценок)Бонусы 64Букет цветов Тепло1278 ₽КУПИТЬ-25%4.8 (746 оценок)Бонусы 114Букет из 15 красных и белых роз микс 35-40 см (Кения) в стильной упаковке3020 ₽2277 ₽КУПИТЬБукеты с альстромерией  нет оценокБонусы 233Букет из 25 альстромерий нежный микс в дизайнерской упаковке4648 ₽КУПИТЬ4.7 (484 оценки)Бонусы 97Букет цветов Ранимая душа1935 ₽КУПИТЬ4.7 (395 оценок)Бонусы 119Букет из 11 альстромерий нежный микс в упаковке2365 ₽КУПИТЬ4.5 (723 оценки)Бонусы 167Букет из 15 альстромерий нежный микс в дизайнерской упаковке3339 ₽КУПИТЬ-12%5.0 (508 оценок)Бонусы 170Букет цветов Чуткий взгляд3840 ₽3393 ₽КУПИТЬ нет оценокБонусы 208Букет из 19 желтых альстромерий в стильной упаковке4147 ₽КУПИТЬ4.5 (500 оценок)Бонусы 69Букет из 5 альстромерий в дизайнерской упаковке1370 ₽КУПИТЬ нет оценокБонусы 208Букет из 19 красных альстромерий в стильной упаковке4147 ₽КУПИТЬБукеты из российской розы 4.7 (634 оценки)Бонусы 150Букет из 11 красных роз 50-60 см (Россия) в дизайнерской упаковке2981 ₽КУПИТЬ4.9 (616 оценок)Бонусы 150Букет из 15 кремовых роз 50-60 см (Россия) под атласную ленту2998 ₽КУПИТЬ-48% нет оценокБонусы 192Букет из 51 белой и желтой розы 40 см (Россия) под ленту7360 ₽3839 ₽КУПИТЬ4.7 (974 оценки)Бонусы 192Букет из 51 розы светлый микс 40 см (Россия) под атласную ленту3839 ₽КУПИТЬ-22%4.7 (629 оценок)Бонусы 297Букет из 51 розы яркий микс 40 см (Россия) в стильной упаковке7550 ₽5929 ₽КУПИТЬ-25%4.9 (867 оценок)Бонусы 384Букет из 51 красной розы 50-60 см (Россия) в стильной матовой упаковке10150 ₽7667 ₽КУПИТЬ-19%4.5 (988 оценок)Бонусы 731Букет из 101 розы яркий микс 60-70 см (Россия) под ленту17990 ₽14608 ₽КУПИТЬ4.7 (852 оценки)Бонусы 200Букет из 25 кремовой розы 50-60 см (Россия)3988 ₽КУПИТЬБукеты из маттиолы 4.9 (590 оценок)Бонусы 107Букет из 7 маттиол нежный микс в дизайнерской упаковке2123 ₽КУПИТЬ5.0 (601 оценка)Бонусы 219Букет цветов Палитра лета4378 ₽КУПИТЬ5.0 (340 оценок)Бонусы 233Букет из 19 маттиол микс в стильной упаковке4642 ₽КУПИТЬ4.9 (322 оценки)Бонусы 160Букет цветов Аромат лета3196 ₽КУПИТЬ4.6 (393 оценки)Бонусы 313Букет из 25 маттиол микс в стильной упаковке6243 ₽КУПИТЬ5.0 (746 оценок)Бонусы 130Букет цветов Летняя сказка2591 ₽КУПИТЬ4.6 (337 оценок)Бонусы 600Букет из 51 маттиолы микс в стильной упаковке11985 ₽КУПИТЬ5.0 (340 оценок)Бонусы 187Букет цветов Летний дождь3735 ₽КУПИТЬБукеты из кустовой розы -11%5.0 (710 оценок)Бонусы 897Букет из 51 высокой кустовой розы (Кения) 60-70 см нежный микс в стильной упаковке20110 ₽17925 ₽КУПИТЬ-16%4.9 (834 оценки)Бонусы 232Букет из 15 высоких кустовых роз (Кения) 60-70 см в стильной упаковке5490 ₽4622 ₽КУПИТЬ4.5 (552 оценки)Бонусы 217Букет из 11 высоких кустовых роз (Кения) 60-70 см в стильной упаковке4334 ₽КУПИТЬ-4%5.0 (883 оценки)Бонусы 458Букет из 25 высоких кустовых роз (Кения) 60-70 см нежный микс в стильной упаковке9470 ₽9158 ₽КУПИТЬ-5%4.6 (647 оценок)Бонусы 458Букет из 25 высоких кустовых роз (Кения) 60-70 см в стильной упаковке9580 ₽9158 ₽КУПИТЬ нет оценокБонусы 261Букет из 15 высоких кустовых роз (Кения) 60-70 см нежный микс под ленту5209 ₽КУПИТЬ4.6 (795 оценок)Бонусы 715Букет из 35 высоких кустовых роз (Кения) 60-70 см в стильной упаковке14289 ₽КУПИТЬ4.8 (452 оценки)Бонусы 179Букет из 9 высоких кустовых роз (Кения) 60-70 см нежный микс в стильной упаковке3564 ₽КУПИТЬБукеты с лилиями -7%4.6 (700 оценок)Бонусы 127Букет из 5 лилий азиатских в стильной упаковке2700 ₽2525 ₽КУПИТЬ-7%4.7 (321 оценка)Бонусы 163Букет из 7 лилий азиатских в стильной упаковке3470 ₽3245 ₽КУПИТЬ4.6 (692 оценки)Бонусы 306Букет из 7 малиновых ориентальных лилий в упаковке6116 ₽КУПИТЬ4.5 (424 оценки)Бонусы 306Букет из 7 белых ориентальных лилий в упаковке6116 ₽КУПИТЬ-8%4.9 (473 оценки)Бонусы 85Букет из 3 лилий азиатских в дизайнерской упаковке1830 ₽1694 ₽КУПИТЬ4.6 (747 оценок)Бонусы 140Букет из 3 белых ориентальных лилий в упаковке2783 ₽КУПИТЬБукеты с диантусами 4.5 (413 оценок)Бонусы 413Букет из 51 розовой и белой гвоздики в стильной упаковке8250 ₽КУПИТЬ4.5 (454 оценки)Бонусы 190Букет из 25 белых гвоздик с зеленью в стильной упаковке3795 ₽КУПИТЬДоступен с завтраБонусы 161Букет из диантусов Топаз3201 ₽КУПИТЬ4.8 (739 оценок)Бонусы 163Букет из 15 белых гвоздик в стильной упаковке с зеленью3256 ₽КУПИТЬ-27%4.7 (342 оценки)Бонусы 230Букет из 35 диантусов (гвоздик) яркий микс в дизайнерской упаковке6270 ₽4598 ₽КУПИТЬ-5%4.7 (734 оценки)Бонусы 314Букет из 51 диантуса (гвоздики) нежный микс в дизайнерской упаковке6570 ₽6265 ₽КУПИТЬ-40%4.7 (719 оценок)Бонусы 103Букет из 15 диантусов (гвоздик) микс в стильной упаковке3400 ₽2057 ₽КУПИТЬ4.9 (557 оценок)Бонусы 230Букет из 35 белых гвоздик в стильной упаковке4598 ₽КУПИТЬБукеты с герберой 4.9 (514 оценок)Бонусы 112Букет из 7 гербер стандарт микс в стильной упаковке с зеленью2222 ₽КУПИТЬ4.9 (714 оценок)Бонусы 583Букет из 49 гербер стандарт микс в стильной упаковке11655 ₽КУПИТЬ4.8 (511 оценок)Бонусы 145Букет из 15 мини гербер микс в стильной упаковке2899 ₽КУПИТЬ4.7 (394 оценки)Бонусы 291Букет из 35 мини гербер микс в стильной упаковке5819 ₽КУПИТЬ-19%4.8 (527 оценок)Бонусы 313Букет из 25 гербер стандарт микс в стильной упаковке7680 ₽6243 ₽КУПИТЬ5.0 (332 оценки)Бонусы 381Букет из 51 мини гербер микс в стильной упаковке7607 ₽КУПИТЬ4.8 (714 оценок)Бонусы 175Букет из 11 гербер стандарт микс в стильной упаковке с зеленью3498 ₽КУПИТЬ Охапки цветов -2%4.5 (950 оценок)Бонусы 1725Букет из 101 белой розы premium 60-70 см (Эквадор) в нежной упаковке35030 ₽34485 ₽КУПИТЬ-24%4.8 (711 оценок)Бонусы 381Букет из 51 кустовой розы нежный микс 40 см (Кения) в стильной упаковке9990 ₽7612 ₽КУПИТЬ-29%5.0 (541 оценка)Бонусы 648Букет из 101 тюльпана пионовидного микс в дизайнерской упаковке18210 ₽12958 ₽КУПИТЬ-26%4.8 (368 оценок)Бонусы 779Букет из 101 яркой альстромерии микс в стильной упаковке20790 ₽15579 ₽КУПИТЬ-27%4.8 (717 оценок)Бонусы 508Еще-20% по промокоду IR20Букет из 101 синего ириса в стильной упаковке13890 ₽10153 ₽КУПИТЬ нет оценокБонусы 1719Букет из 101 кустовой высокой розы микс 70 см (Кения) в упаковке34375 ₽КУПИТЬ-20%4.9 (936 оценок)Бонусы 1411Букет из 101 premium розы 60-70 см микс (Эквадор) в упаковке35030 ₽28215 ₽КУПИТЬ4.6 (997 оценок)Бонусы 2108Букет из 101 красной premium розы 70-80 см (Эквадор) в упаковке42152 ₽КУПИТЬЦветочные композиции 4.9 (496 оценок)Бонусы 221Цветы в кашпо Бархатистый звон4417 ₽КУПИТЬДоступен с 11.01.2024Бонусы 370Цветы в деревянном ящике Очарование нежностью7381 ₽КУПИТЬ нет оценокБонусы 139Цветы в кашпо Радость встречи2761 ₽КУПИТЬ4.5 (426 оценок)Бонусы 436Цветы в деревянном ящике Шоколадный сахар8712 ₽КУПИТЬ4.8 (716 оценок)Бонусы 512Цветы в деревянном ящике Летний ручей10230 ₽КУПИТЬДоступен с 11.01.2024Бонусы 145Цветы в кашпо Солнечный день2888 ₽КУПИТЬ4.8 (645 оценок)Бонусы 136Цветы в кашпо Колибри2706 ₽КУПИТЬ нет оценокБонусы 119Цветы в кашпо Яркий день2365 ₽КУПИТЬАкции и новости 84Пионовидные розы: описание и лучшие сортаРозы - невероятно красивые цветы изящество нежность которых ценились всегда. Люди всегда придавали им большое значение особый смысл. На протяжении истории создавались и выводились новые удивительные сорта этих цветов. Старинные сорта которые были особым видом декоративного шиповника были известны еще в Европе пятнадцатого века. В статье описаны лучшие виды роз пионовидного сорта.30 Октября 2023Какие цветы цветут осеньюОсень - пора не только прекрасных пейзажей но и прекрасных цветов показывающих всю свою красоту именно в этот период. Их нежная прелесть помогает побороть хандру и плохое настроение в столь дождливое и пасмурное время года. В статье собраны наиболее яркие и необычные растения чей период цветения продолжается до поздней осени.30 Октября 2023Как укоренить розу из букетаДивные букеты роз всегда радуют своих обладательниц нежной красотой и утончённым изяществом. К сожалению дарят они свою прелесть не так долго и уже по прошествии нескольких дней начинают увядать. Однако полюбившимся розочкам можно дать вторую жизнь и возродить их былое очарование. Сделать это получится прибегнув к укоренению розы. Это процесс трудоёмкий и непростой однако часто даёт прекрасный результат. В статье содержится информация о том как укоренить розу из букета.30 Октября 2023Какие цветы подарить на день материПоследнее воскресенье ноября является особенным днём так как в этот ноябрьский день все поздравляют самых близких и любимых людей в жизни - своих матерей. Каждый человек хочет порадовать собственную маму окружить её вниманием заботой и трепетом так же как и она окружает его всю жизнь. Хорошим вариантом подарка для мам могут стать изящные и нежные букеты. В статье рассказано какие цветы подарить маме на День матери.26 Октября 2023Желтые цветы: стоит ли верить приметамВ ходе истории люди закрепляли определённое значение не только за каждым цветком но и за его оттенком. Среди них были цвета с довольно противоречивой символикой. К ним относится и жёлтый. С одной стороны этот оттенок - энергия солнце радость свет. С другой стороны сегодня букеты составленные из солнечных цветов ассоциируются с изменой ссорой разлукой. В статье рассказано что означает жёлтый цвет цветов к чему их дарят.23 Октября 2023Сколько роз дарят девушке женщине и мужчинеВ разных культурах количество цветов в букете имеет значение как для дарящего так и получателя. По этой причине при выборе композиции надо обращать внимание не только на свежесть цвет и вид бутонов но и на их количество. В статье содержится информация о том сколько роз можно дарить женщине и мужчине в каких случаях преподносятся букеты с определённым количеством цветов.23 Октября 2023Цветы дёшево с доставкой по Санкт-ПетербургуЦветы – желанный и любимый многими подарок. Они радуют глаз вызывают приятные ассоциации с весной природой теплыми чувствами. А еще цветы умеют говорить: каждое растение имеет свой смысл несет определенный посыл особенно при правильном сочетании. На сайте «Цветовик» вы сможете заказать оригинальные букеты и композиции составленные талантливыми флористами. Доставка цветов в Санкт-Петербурге осуществляется по адресу клиента либо в пункты самовывоза. Мы также выполняем оформление залов с помощью цветов предлагаем большой выбор дополнительных товаров: мягких игрушек шаров с гелем корзин с фруктами сладостей с доставкой.Почему ЦветовикЭффектные букеты к любому празднику или событию. Мы предлагаем оригинальные авторские композиции составленные в разных стилях под различные праздники: свадьбу юбилей День рождения и др. У нас вы можете подобрать красивый букет с доставкой не дожидаясь определенной даты а чтобы порадовать любимого человека рассказать ему о своих чувствах.Всегда свежие цветы в большом ассортименте. В нашем каталоге представлено более полумиллиона цветов: строгие розы нежные лилии ароматные пионы и множество других видов. Есть также горшечные растения: орхидеи сенполии антуриумы и проч. Каждый покупатель сможет подобрать в нашем каталоге цветы для своего адресата.Оперативность доставки. По городу она осуществляется за время от 1 часа по пригороду – от 3х часов после заказа и оплаты. Наши курьеры отличаются пунктуальностью а значит адресат получит цветы точно в указанное время.Выгодные цены круглый год. Мы стараемся сделать авторские композиции и букеты цветов доступными поэтому поддерживаем стоимость на приемлемом для клиентов уровне весь год. В магазине регулярно действуют акции и скидки в том числе и для постоянных покупателей. Став нашим клиентом вам больше не придется задумываться где купить красивый свежий букет перед очередным праздником.Выберите букет на нашем сайте и закажите цветы через сайт либо по контактному телефону. Магазин «Цветовик» работает для вас круглосуточно и без выходных.Ежедневно круглосуточно+7 (812) 7779204Форма обратной связиПо всем вопросам[email protected]Форма обратной связиО ЦветовикеНовости и скидкиОтзывыВакансииАдреса магазиновКонтактыКорпоративным клиентамУсловия доставкиВарианты оплатыПолитика возвратаГарантия качестваНаши реквизитыФраншиза Цветовик2023 © ЦветовикВсе права защищеныПубличная офертаКарта сайтаВыберите ваш городСанкт-ПетербургМоскваПсковКраснодарКазаньЗаказать обратный звонокВаше имя *Ваш телефон *КомментарийПроизошла ошибка при отправке запроса. Пожалуйстапроверьте корректность заполнения формы и попробуйте еще раз.Заказать звонокНажимая кнопку "Заказать звонок" вы соглашаетесь с условиями обработкиперсональных данных и публичнойофертой.Спасибо за Ваш запрос! Мы свяжемся с Вами в ближайшее время.Загрузите свой отзывВыберите файл *Загрузите видео или аудио файл (до 50Мб) с Вашим отзывом.Ваше имя *Ваш телефон *Произошла ошибка при отправке отзыва. Пожалуйста проверьтеразмер загружаемого файла и попробуйте еще раз.Отправить отзывНажимая кнопку "Отправить отзыв" вы соглашаетесь с условиями обработкиперсональных данных и публичнойофертой.Спасибо за Ваш отзыв!Оставить свой отзывВаше имя *Ваш телефон *Ваш email *Напишите текстовый отзыв и/или прикрепите видео файл:Ваш отзывВыберите файлЗагрузите видео или фото (до 50Мб) с Вашим отзывом.Произошла ошибка при отправке отзыва. Пожалуйста проверьтеданные и попробуйте еще раз.Отправить отзывНажимая кнопку "Отправить отзыв" вы соглашаетесь с условиями обработкиперсональных данных и публичнойофертой.Спасибо за Ваш отзыв!Обратная связьЕсть вопросы пожелания или надо решить проблему?ТемаВаше имя *Телефон для связиПочта для связи *Ваше сообщение *Прикрепить файлЗагрузите фото или короткое видео если необходимо. Можно прикрепить до 5 файлов.Произошла ошибка при отправке обратной связи. Пожалуйстапроверьте корректность заполнения формыразмер загружаемых файлов и попробуйте еще раз.ОтправитьНажимая кнопку "Отправить" вы соглашаетесь с условиями обработкиперсональных данных и публичнойофертой.Спасибо за Вашу обратную связь!</t>
  </si>
  <si>
    <t>cvetovik.com</t>
  </si>
  <si>
    <t>Букет из розовой гипсофилы</t>
  </si>
  <si>
    <t>https://www.grand-kapriz.ru/product/buket-iz-rozovoy-gipsofily</t>
  </si>
  <si>
    <t>Официальный сайт Гранд Каприз: студия флористики и цветочный магазин50 готовых букетов в наличии - всегда!+7 (4912) 50-22-24      		Каталог        	            Букеты с доставкой от 30 минПобедаТеатральнаяГлобусЧерновицкаяБукеты из сухоцветовИнтересные комбо!РозыБукетные розыКустовые розыВысокие розыНеобычные розыХризантемыПионыГипсофилаДиантусы и ЛилииСвадебные букетыМужские букетыМягкие игрушкиОткрытки и шары      		 Готовые букеты              		 Авторские букеты              		 Доставка и оплата              		 Контакты                Каталог              0            		Каталог        	            Букеты с доставкой от 30 минПобедаТеатральнаяГлобусЧерновицкаяБукеты из сухоцветовИнтересные комбо!РозыБукетные розыКустовые розыВысокие розыНеобычные розыХризантемыПионыГипсофилаДиантусы и ЛилииСвадебные букетыМужские букетыМягкие игрушкиОткрытки и шары      		 Готовые букеты              		 Авторские букеты              		 Доставка и оплата              		 Контакты        50 букетов в наличииДоставка от 30 минутПосмотреть букетыВыберите свой вариант букетаГотовые букетыБукеты из розГипсофилаПионыАвторские букетыСвадебные букеты          Розы                    -10%    Ø 30↕ 40      Букет из розовой букетной розы         от 2 590 ₽          Выбрать    ↕ 40      Букет из белых букетных роз         от 1 590 ₽          Выбрать    Ø 25↕ 40      Букет из роз "Апельсинка в шоколаде"         1 290 ₽              Заказать                    В 1 клик                      -8%    Ø 20↕ 40      Букет из белых и красных букетных роз         от 1 990 ₽          Выбрать    ↕ 40      Букет из красных букетных роз         от 1 590 ₽          Выбрать                -8%    Ø 20↕ 40      Букет из белых и розовых букетных роз         от 2 190 ₽          Выбрать                -7%    ↕ 40      Букет из красной букетной розы         от 1 990 ₽          Выбрать          Букет из нежно-розовой букетной розы         от 1 590 ₽          Выбрать                -14%    ↕ 40      Букет из белых букетных роз         от 1 990 ₽          Выбрать    ↕ 40      Букет из белых и розовых букетных роз         от 1 590 ₽          Выбрать    ↕ 40      Букет из розовой букетной розы         от 1 690 ₽          Выбрать                -2%          Букет из красных премиальных роз         от 6 790 ₽          Выбрать    ↕ 70      Букет из красных премиальных роз Эквадор         от 2 190 ₽          Выбрать                -6%    Ø 20↕ 40      Букет из рыжих букетных роз         от 3 590 ₽          Выбрать    Ø 25↕ 40      Корзина из 51 красной букетной розы         5 190 ₽              В корзину                    В 1 клик                Букет из рыжих букетных роз         от 2 290 ₽          Выбрать    ↕ 70      Букет из розовых премиальных роз Эквадор         от 2 190 ₽          Выбрать                -3%          Букет из белых премиальных роз         от 6 790 ₽          Выбрать          Букет из премиальных белых роз Эквадор         от 2 190 ₽          Выбрать          Букет из красных и рыжих букетных роз         от 1 890 ₽          Выбрать    Ø 25↕ 45      Ароматный букет "Лолипоп"         1 590 ₽              Заказать                    В 1 клик                Букет из букетных розовых роз с эвкалиптом         от 2 990 ₽          Выбрать          Композиция из красной букетной розы с эвкалиптом         от 2 190 ₽          Выбрать          Букет из розовых роз         от 2 990 ₽          Выбрать          Букет из красных роз         от 2 990 ₽          Выбрать                -4%          Букет из красных премиальных роз 140 см         от 8 390 ₽          Выбрать          Букет из красных букетных роз с эвкалиптом         от 2 790 ₽          Выбрать                -8%          Букет из красных и рыжих букетных роз         от 2 790 ₽          Выбрать          Композиция из белой букетной розы с эвкалиптом в розовой коробке         от 2 190 ₽          Выбрать                -8%          Букет из белых и сиреневых букетных роз         от 1 990 ₽          Выбрать                -8%          Букет из сиреневых букетных роз         от 1 990 ₽          Выбрать          Композиция из белой букетной розы с эвкалиптом в серой коробке         от 2 190 ₽          Выбрать                -1%          Букет из белых роз         от 2 990 ₽          Выбрать                -8%          Букет из 51 премиальной розы "Красное сердце"            13 690 ₽           12 590 ₽              В корзину                    В 1 клик                Композиция из 151 букетной розы "С любовью!"         13 390 ₽              Заказать                    В 1 клик                      -7%          Букет из оранжевых премиальных роз         от 6 790 ₽          Выбрать          Букет из огненных премиальных роз Эквадор         от 2 190 ₽          Выбрать                -4%          Букет из 101 премиальной розы "Красное сердце"            25 590 ₽           24 690 ₽              Заказать                    В 1 клик                      -10%          Букет из розовых высоких роз         от 6 890 ₽          Выбрать          Букет из ярко-розовых высоких роз (15шт)         2 790 ₽              Заказать                    В 1 клик          ↕ 40      Букет из рыжих букетных роз         от 2 290 ₽          Выбрать          Букет из 5 кустовых кремовых роз         1 990 ₽              Заказать                    В 1 клик                Корзина из 151 белой розы с эвкалиптом         14 590 ₽              Заказать                    В 1 клик                Корзина из 151 букетной рыжей розы         12 990 ₽              Заказать                    В 1 клик                Корзина из 75 красной и белой букетной розы         6 890 ₽              Заказать                    В 1 клик                Букет из 51 премиальной розы "Белое сердце"         12 590 ₽              В корзину                    В 1 клик                Букет из 5 кустовых розовых роз         1 890 ₽              Заказать                    В 1 клик                Букет из 5 кустовых красных роз         1 990 ₽              Заказать                    В 1 клик                Букет из 25 высоких малиновых роз         4 190 ₽              Заказать                    В 1 клик          ↕ 40      Букет из рыжих букетной розы         от 2 190 ₽          Выбрать    ОтзывыАндрей БатьковичОчень понравилось! Выбрал букет для девушки. 25 сентября. Сказали что его сформировали 24.09. Вот уже 4 суток стоит и он всё красивее становится и красивее! Цветы распускаются букет увеличивается в объёме. Спасибо!28 сентябряЕвгений И.Доставили букет быстро! Очень великолепные цветы!22 сентябряЕленаБлагодарю за оперативность и профессионализм! Собрали букетик очень быстро уже через два часа  с момента заказа радовал виновницу торжества18 маяМы в INSTAGRAM         			@grand_kapriz        Покупателям                            Доставка и оплата                                                      Возврат товара                                                      Подарочные сертификаты                                                      Бонусы                                                      Личный кабинет                                                      Оставьте отзыв                          Информация                            О нас                                                      FAQ                                                      Контакты                                                      Реквизиты                                                      Публичная оферта                                                      Политика конфиденциальности                                                      Пользовательское соглашение                          Мы на связи+7 (4912) 50-22-24Подписка на новостиПолучите доступ к эксклюзивным скидкамРаботает на InSalesРазработка сайта – Go.Studio      		Мастерская флористики Гранд Каприз  2023    	          0                0 ₽      Букеты с доставкой от 30 минБукеты с доставкой от 30 минПобедаТеатральнаяГлобусЧерновицкаяБукеты из сухоцветовИнтересные комбо!РозыРозыБукетные розыКустовые розыВысокие розыНеобычные розыХризантемыПионыГипсофилаДиантусы и ЛилииСвадебные букетыМужские букетыМягкие игрушкиОткрытки и шары Быстрый заказКонтактный телефон:Имя:Получать уведомления о заказеС помощью уведомлений о заказе можно не только получать актуальнуюинформацию по заказу но и иметь быстрый канал связи с магазиномКомментарий:Оформить заказ</t>
  </si>
  <si>
    <t>www.grand-kapriz.ru</t>
  </si>
  <si>
    <t>Букеты из гипсофилы с доставкой по Москве, купить ...</t>
  </si>
  <si>
    <t>Букеты из гипсофилы с доставкой · Большая коробка с гипсофилой · Букет из гипсофилы · Гигантская коробка с гипсофилой · Гигантский букет гипсофилы · Малая ...</t>
  </si>
  <si>
    <t>https://buketonline-msk.ru/cvety/gipsofila/</t>
  </si>
  <si>
    <t>Доставка цветов в Москве | букет с доставкой в на дом в офис «BuketOnline» О нас О магазинеНаши доставкиКонтактыДоставка и оплата +7 (495) 767 52 30 +7 (495) 767 52 30Заказать обратный звонок →+7 985 767 52 30День рожденияЛюбимойПодругеКоллегеМамеМужчинеДля детейРозыПо количеству51 роза101 розаПоштучноПо цветуБелые розыЖелтые розыКрасные розыРозовые розыКремовые розыПо сортуКустовые розыПионовидные розыРозы Гран ПриVIP розыЦветыРозыПионыТюльпаныКаллыАльстромерияАнемоныГеоргиныГерберыГиацинтыГипсофилаГладиолусыГортензияИрисыЛандышиЛилииОрхидеиПодсолнухиПолевые цветыРанункулюсРомашкиСиреньХризантемыЭустомаЦветы поштучноЦветы в коробкеБукетыВсе букетыБизнес букетБукеты в шляпных коробкахБукеты розБукеты тюльпановКорпоративные букеты на 8 мартаПоводБукет на 8 мартаДень рожденияРождение ребенкаЮбилейСвадьбаБукет невестыБукеты на свадьбуНа день Святого ВалентинаНа 23 февраляБукет на 1 сентябряБукет на день учителяЛюблюБлагодарюПростиСкучаюПоздравительные букетыНовый годКомпозицииКорзины цветовVIP Корзины и КомпозицииКомпозиции в шляпных коробкахИгрушки из цветовКомпозиции из розКомпозиции из тюльпановВсе композицииПодаркиШарикиКонфеты и тортыОткрытки и игрушкиКорзины с фруктами +7 (495) 767 52 30Заказать обратный звонок →+7 985 767 52 30Корзина пуста День рожденияЛюбимойПодругеКоллегеМамеМужчинеДля детейРозы51 роза101 розаПоштучноБелые розыЖелтые розыКрасные розыРозовые розыКремовые розыКустовые розыПионовидные розыРозы Гран ПриVIP розыЦветыРозыПионыТюльпаныКаллыАльстромерияАнемоныГеоргиныГерберыГиацинтыГипсофилаГладиолусыГортензияИрисыЛандышиЛилииОрхидеиПодсолнухиПолевые цветыРанункулюсРомашкиСиреньХризантемыЭустомаЦветы поштучноЦветы в коробкеБукетыВсе букетыБизнес букетБукеты в шляпных коробкахБукеты розБукеты тюльпановКорпоративные букеты на 8 мартаПоводБукет на 8 мартаДень рожденияРождение ребенкаЮбилейСвадьбаБукет невестыБукеты на свадьбуНа день Святого ВалентинаНа 23 февраляБукет на 1 сентябряБукет на день учителяЛюблюБлагодарюПростиСкучаюПоздравительные букетыНовый годКомпозицииКорзины цветовVIP Корзины и КомпозицииКомпозиции в шляпных коробкахИгрушки из цветовКомпозиции из розКомпозиции из тюльпановВсе композицииПодаркиШарикиКонфеты и тортыОткрытки и игрушкиКорзины с фруктамиДоставка цветов в Москве Цветы и букеты по акциямхит 					хит				Купить в 1 клик В корзину Цветы - гортензия пионовидная и кустовая роза7900 6900 ₽Состав букета: Роза Лондон ай - 7шт.  Роза куст. - 5шт.  Диантус - 7шт.  Гортензия - 3шт.  Седум  Зелень сезонная   Купить в 1 клик В корзину Купить в 1 клик В корзину Хризантемы в шляпной коробке4500 ₽Состав букета: Хризантема садовая - 3 шт. 	Роза кустовая - 3 шт. 	Эустома - 5 шт. 	Эвкалипт. 	Коробка шляпная. 	Оазис.  Купить в 1 клик В корзину Купить в 1 клик В корзину Изысканный  комплимент4500 3990 ₽Состав букета: Роза кустовая пионовидная - 21 шт. 	Коробка шляпная  	Оазис  - 1 шт.  Купить в 1 клик В корзину Купить в 1 клик В корзину Одноголовые хризантемы цвета грейпфрут4300 3900 ₽Состав букета: Хризантема садовая - 9 шт.  Купить в 1 клик В корзину Показать большеРозыКупить в 1 клик В корзину Букет пионовидных роз9900 ₽Состав букета: Пионовидная роза - 29 шт. 	Питоспорум.  Купить в 1 клик В корзину Купить в 1 клик В корзину Шарм и обаяние8990 ₽Состав букета: Роза "Талея" - 51 шт.  Купить в 1 клик В корзину Купить в 1 клик В корзину Эквадорские розы 75 шт23900 ₽Состав букета: Роза - 75 шт.  Купить в 1 клик В корзину Купить в 1 клик В корзину Букет роз ''Классика''3990 ₽Состав букета: Роза "Мисс Пиги" - 15 шт. 	Розаа "Мери Тим" - 10 шт.  Купить в 1 клик В корзину Купить в 1 клик В корзину Микс букет из 25 роз3990 ₽Состав букета: Букет из 25 роз. Цвет на выбор.  Купить в 1 клик В корзину Купить в 1 клик В корзину Пламя страстей3990 ₽Состав букета: Роза "Гран При " - 15 шт. 	Роза "Аваланж" - 10 шт.  Купить в 1 клик В корзину Купить в 1 клик В корзину Розовый микс27000 ₽Купить в 1 клик В корзину Купить в 1 клик В корзину Розы для тебя16900 ₽Состав букета: Кустовая-пионовидная роза  - 20 шт. 	Роза "Шангрила" - 30 шт 	Роза "Казанова - 21 шт. 	Роза "Талея" - 30 шт.  Купить в 1 клик В корзину Купить в 1 клик В корзину Стильный букет кустовых роз5700 ₽Состав букета: Кустовые розы - 29 шт.  Купить в 1 клик В корзину Купить в 1 клик В корзину Волнительное признание14900 ₽Состав букета: Роза "Аваланж" - 51 шт; 	Роза кустовая - 50 шт.  Купить в 1 клик В корзину Купить в 1 клик В корзину 51 белая эквадорская роза13900 ₽Состав букета: Роза эквадор - 51 шт.  Купить в 1 клик В корзину Купить в 1 клик В корзину 51 Красная роза7990 ₽Состав букета: Роза Гран При - 51 шт.  Купить в 1 клик В корзину Купить в 1 клик В корзину Букет из роз - гигант8900 ₽Состав букета: VIP Роза "Лондон Ай" - 29 шт.  Купить в 1 клик В корзину Купить в 1 кликЗаказатьЭквадорские красные розы8900 ₽Состав букета: Эквадорская роза - 25 шт.  Купить в 1 кликЗаказатьКупить в 1 клик В корзину 25 пионовидных роз Пинк Охара7900 ₽Состав букета: Роза Пинк Охара - 25 шт.  Купить в 1 клик В корзину Купить в 1 клик В корзину Букет из 15 роз с эвкалиптом3850 ₽Состав букета: Роза Гран При - 15шт 	Эвкалипт 	   Купить в 1 клик В корзину Показать большеПопулярные букетыКупить в 1 клик В корзину Букет моей драгоценной14900 ₽Состав букета: Роза Мисс Пиги - 19 шт. 	Маттиола - 10 шт. 	Роза кустовая - 10 шт. 	Диантус - 15 шт. 	Эвкалипт.  Купить в 1 клик В корзину хит 					хит				Купить в 1 клик В корзину Цветы - гортензия пионовидная и кустовая роза7900 6900 ₽Состав букета: Роза Лондон ай - 7шт.  Роза куст. - 5шт.  Диантус - 7шт.  Гортензия - 3шт.  Седум  Зелень сезонная   Купить в 1 клик В корзину Купить в 1 клик В корзину Гортензия - букет цветов5900 ₽Состав букета: Гортензия - 9шт.  Купить в 1 клик В корзину Купить в 1 клик В корзину Летнее прикосновение5500 ₽Состав букета: Роза кустовая "Барбадос" - 5 шт. 	Роза "Талея" - 10 шт. 	Гиперикум - 5 шт. 	Эустома - 5 шт. 	Эвкалипт.  Купить в 1 клик В корзину Купить в 1 клик В корзину Шикарный букет хризантем9900 ₽Состав букета: Хризантема - 31 шт.  Купить в 1 клик В корзину Купить в 1 клик В корзину Шикарный букет полевых цветов19000 ₽Состав букета: Ромашка - 25 шт. 	Кампанулла - 20 шт. 	Эустома розовая - 10 ш. 	Клематис - 10 шт. 	Гипперикум - 10 шт. 	Солидаго - 10 шт. 	Дельфиниум - 10 шт. 	Эустома белая - 10 шт.  Купить в 1 клик В корзину Купить в 1 клик В корзину Шикарный букет с розой матиоллой и эвкалиптом15000 ₽Состав букета: Роза одноголовая - 21 шт. 	Роза кустовая - 15 шт. 	Матиолла - 10 шт. 	Эвкалипт .  Купить в 1 клик В корзину Купить в 1 клик В корзину ''Солнечное лето'' - цветы с доставкой8900 ₽Состав букета: Гмперикум - 10 шт. 	Роза  "Шангрила "- 20 шт. 	Кустовая-пионовидная роза - 10 шт. 	Скимия -  пуч. 	Писташ. 	   Купить в 1 клик В корзину акция 					акция				Купить в 1 клик В корзину Стильный букет4300 3900 ₽Состав букета: Роза Аваланш - 5шт.  Роза куст. - 5шт.  Альстромерия - 3шт.  Диантус - 5шт.  Писташ     Купить в 1 клик В корзину новинка 					новинка				Купить в 1 клик В корзину Стильный букет с гортензией11900 ₽Состав букета: Роза Казанова - 10 шт. 	Роза кустовая - 15 шт. 	Гортензия - 3 шт.  	Гвоздика - 15 шт. 	Гиперикум - 5 шт 	Паникум - 10 шт. 	Эвкалипт.  Купить в 1 клик В корзину Купить в 1 клик В корзину Стильный букет с розой и диантусом4990 ₽Состав букета: Роза "Мисс Пигги" - 10шт.  Диантус - 5шт.  Маттиола куст. - 5шт.  Эвкалипт  Купить в 1 клик В корзину Купить в 1 клик В корзину Я люблю9900 ₽Состав букета: Гортензия - 3 шт. 	Роза  Шангрила - 11 шт. 	Роза кустовая - 10 шт. 	Гвоздика куст. - 5 шт. 	Писташь.  Купить в 1 клик В корзину акция 					акция				Купить в 1 клик В корзину 19 подсолнухов и солидаго6990 ₽Состав букета: Подсолнухи - 19 шт. 	Солидаго - 10 шт.  Купить в 1 клик В корзину Купить в 1 кликЗаказатьХризантема одноголовая - букет цветов5900 ₽Состав букета: Хризантема - 17 шт.  Купить в 1 кликЗаказатьКупить в 1 клик В корзину Огромный букет с хризантемами12900 ₽Состав букета: Роза Мисс Пиги -15 шт. 	Хризантема одноголовая -10 шт. 	Хризантема кустовая - 10 шт. 	Кустовая роза Барбадос - 10 шт. 	Гвоздика - 10 шт. 	Ягоды декоративные - 5 шт. 	Эвкалипт.  Купить в 1 клик В корзину Купить в 1 клик В корзину Ромашка с кустовой маттиолой4700 ₽Состав букета: Маттиола кустовая - 5 шт. 	Ромашка - 10 шт.  Купить в 1 клик В корзину Купить в 1 клик В корзину Шикарный букет из калл5990 ₽Состав букета: Каллы  - 19шт.  Купить в 1 клик В корзину акция 					акция				Купить в 1 клик В корзину Теплое лето7500 ₽Состав букета: Роза пионовидная Лондон Ай - 10шт.  Роза кус. Барбадос - 5шт.  Эустома - 5шт.  Диантус - 5шт.  Крокосмия - 3шт.  Паникум - 3шт.  Эвкалипт     Купить в 1 клик В корзину Купить в 1 клик В корзину Тюльпаны кустовая роза и эвкалипт12900 ₽Состав букета: Тюльпаны - 35 шт. 	Альстромерия - 10 шт. 	Астранция -10 шт. 	Гиперикум - 10 шт. 	Роза кустовая - 10 шт. 	Эвкалипт.  Купить в 1 клик В корзину Купить в 1 клик В корзину 51 тюльпан с лавандой7990 ₽Состав букета: Тюльпаны - 51 шт. 	Лаванда - 1 пуч.  Купить в 1 клик В корзину Купить в 1 клик В корзину Букет из ромашек и ирисов5990 ₽Состав букета: Матрикарий - 25 шт. 	Ирисы - 51- шт. 	   Купить в 1 клик В корзину Купить в 1 клик В корзину Букет калл 9шт3900 ₽Состав букета: Каллы - 9 шт.  Купить в 1 клик В корзину Купить в 1 клик В корзину Прикосновение нежности13900 ₽Состав букета: Пионы Гордения - 11 шт. 	Эустома махровая - 10 шт. 	Роза Белини - 10 шт. 	Озатамус. 	Эвкалипт. 	Оксипиталум. 	Диантус -15 шт.  Купить в 1 клик В корзину на фото средний букет 					на фото средний букет				Купить в 1 кликЗаказатьЧистая глазурь7900 ₽Состав букета: Роза "Аква" - 10 шт. 	Роза "Мери Тим" - 10 шт. 	Маттиола - 10 шт. 	Роза "Рефлекс" - 10 шт.  Купить в 1 кликЗаказатьКорзины цветовКупить в 1 клик В корзину Кармен - корзина с экзотическими цветами19000 ₽Состав букета: Роза "Ред Пиано" - 10шт. 	Роза одноголовая - 10шт. 	Роза "Кахала" - 10шт. 	Роза куст. - 10шт. 	Калина 	Антиринум - 10шт. 	Астранция - 10шт. 	Бувардия - 10шт. 	Диантус - 10шт. 	Эвкалипт 	Зелень сезоннная  Купить в 1 клик В корзину Купить в 1 клик В корзину Композиция ''Осенний блюз''7900 ₽Состав букета: Роза. 	Матиолла. 	Скимия. 	Карилус. 	Оазис. 	Ваза стекляная.  Купить в 1 клик В корзину Купить в 1 клик В корзину композиция  - Лесная нимфа13900 ₽Состав букета: Тюльпаны - 51 шт; 	Ирисы - 50 шт; 	Альстромерия; 	Салал; 	Упаковка натуральная.  Купить в 1 клик В корзину Купить в 1 клик В корзину Композиция с розами (любые буквы)7900 ₽Состав букета: Роза "Пинч" - от 28шт. до 35 шт.(на фото) 	Писташ 	Поддон для композиции 	Оазис     Купить в 1 клик В корзину Купить в 1 клик В корзину Корзина на день рождения9900 ₽Состав букета: Роза "Маритим" - 10шт. 	Роза куст. - 5шт. 	Эустома белая - 10шт. 	Диантус - 10шт. 	Озатамнус - 3шт. 	Гипперикум - 3шт. 	Эвкалипт 	Корзина 	Флористическая пена  Купить в 1 клик В корзину Купить в 1 клик В корзину Корзинка с подсолнухами23900 ₽Состав букета: Гелиантус - 30шт.  Роза куст. крем. - 10шт.  Маттиола куст. - 10шт.  Диантус - 10шт.  Гипперикум - 10шт.  Лимониум - 5шт.  Эвкалипт  Корзина  Оазис      Купить в 1 клик В корзину Купить в 1 клик В корзину Пич Аваланж - 51 роза11900 ₽Состав букета: Роза Пич Аваланж - 51 шт. 	Эвкалипт. 	Корзина натуральная  средняя. 	Оазис.  Купить в 1 клик В корзину Купить в 1 клик В корзину Премиум корзина цветов36000 ₽Купить в 1 клик В корзину Купить в 1 клик В корзину Роскошная корзина цветов ''В самое сердце''42900 ₽Состав букета: Эвкалипт 	Питоспорум 	Маттиола - 10шт 	Роза кустовая - 20шт 	Роза гравити - 10шт 	Пионовидная роза - 10шт 	Роза Вайт О'Хара - 10шт 	Роза одноголовая - 10шт 	Астильба - 10шт 	Эустома - 20шт  Купить в 1 клик В корзину новинка 					новинка				Купить в 1 клик В корзину Северное сияние9900 ₽Состав букета: Эустома Алиса - 10 шт. 	   Купить в 1 клик В корзину Купить в 1 клик В корзину Корзинка для золушки28900 ₽Состав букета: Ландыши - 75 шт. 	Мох натуральный. 	Корзина средняя. 	Оазис - 2 шт.  Купить в 1 клик В корзину Купить в 1 клик В корзину Букет роз с матиоллой клематисом эустомой28000 ₽Состав букета: Роза белая - 41 шт. 	Матиолла кустовая - 15 шт. 	Эустома - 20 шт. 	Клематис - 10 шт. 	Оазис - 6 шт. 	Корзина большая - 1 шт. 	   Купить в 1 клик В корзину Купить в 1 клик В корзину Корзина цветов12900 ₽Состав букета: Роза "Мисс Пигги" - 15шт.  Маттиола - 10шт.  Эустома - 10шт.  Эвкалипт  Корзина  Оазис     Купить в 1 клик В корзину Купить в 1 клик В корзину Корзина с 101 тюльпаном14900 ₽Состав букета: Тюльпаны - 101 шт. 	Зелень. 	Корзина натуральная. 	Оазис - 4 шт.  Купить в 1 клик В корзину Купить в 1 клик В корзину Лидер - корзина цветов27000 ₽Состав букета: Роза Кения - 10 шт. 	Роза кустовая - 10 шт. 	Астра - 10 шт. 	Лимониум - 10 шт. 	Астильба - 10 шт. 	Антиринум - 10 шт. 	Перец декоративный. 	Гелихризум. 	Магнолия  Купить в 1 клик В корзину лучшая цена 					лучшая цена				Купить в 1 клик В корзину Корзина с цветами8990 ₽Состав букета: Роз одноголовая - 10шт.  Роза кустовая - 5шт.  Эустома - 5шт.  Гипперикум - 3шт.  Гортензия - 1шт.  Лимониум - 10шт.  Эвкалипт.        Купить в 1 клик В корзину Показать большеВ шляпных коробкахКупить в 1 клик В корзину 25 роз в шляпной коробке4500 ₽Состав букета: Роза Маритим - 25шт.  Коробка шляпная  Купить в 1 клик В корзину Купить в 1 клик В корзину Большая коробка с пионами19900 ₽Состав букета: Роза "Лондон Ай" - 10шт.  Роза "Мисс Пигги" - 10шт.  Роза "Вау" - 10шт.  Роза куст. - 10шт.  Пионы розовые - 10шт.  Диантус "Брют" - 15шт.  Маттиола - 10шт.  Эвкалипт  Коробка шляпная декоративная  Оазис  Купить в 1 клик В корзину Купить в 1 клик В корзину Хризантемы в шляпной коробке4500 ₽Состав букета: Хризантема садовая - 3 шт. 	Роза кустовая - 3 шт. 	Эустома - 5 шт. 	Эвкалипт. 	Коробка шляпная. 	Оазис.  Купить в 1 клик В корзину Купить в 1 клик В корзину Композиция Сердце11900 ₽Состав букета: Роза Аваланж - 29 шт. 	Роза Гран При - 23-27 шт.  Купить в 1 клик В корзину Купить в 1 клик В корзину Корзина цветов - ''Летний вечер''4500 ₽Состав букета: Трава помпасная - 5 шт. 	Роза кустовая - 3 шт. 	Эустома - 3 шт. 	Диантус - 5 шт. 	Писташь  Купить в 1 клик В корзину Купить в 1 клик В корзину Красный бархат24900 ₽Состав букета: Роза пионовидная Ред Пиано - 51шт.  Купить в 1 клик В корзину Купить в 1 клик В корзину Пионы Корал в шляпной коробке6900 ₽Состав букета: Пион "Корал Шарм" - 7шт.  Роза куст. "Леди Бомбастик" - 10шт.  Писташ  Шляпная коробка  Флористическая пена     Купить в 1 клик В корзину Купить в 1 клик В корзину Шляпная коробка с 21 гортензией11900 ₽Состав букета: Гортензия - 19 шт. 	Шляпная коробка. 	Оазис -6 шт.  Купить в 1 клик В корзину Купить в 1 клик В корзину Шляпная коробка с дельфиниумом12900 ₽Состав букета: Дельфиниум - 3шт.  Маттиола куст. - 5шт.  Гортензия - 1шт.  Роза куст. персиковая - 5шт.  Роза куст. сиреневая - 5шт.  Диантус - 7шт.  Оксипеталум - 5шт.  Пионы - 3шт.  Эустома - 3шт.  Коробка шляпная  Оазис  Купить в 1 клик В корзину хит 					хит				Купить в 1 клик В корзину Шляпная коробка с гортензией розой эустомой и эвкалиптом6400 5900 ₽Состав букета:Шляпная коробкаГортензия - 3 шт.Роза - 10 шт.Эустома - 5 шт.Эвкалипт Купить в 1 клик В корзину Купить в 1 клик В корзину Шляпная коробка с кустовой пионовидной розой5990 ₽Состав букета: Роза куст. пионовидная - 10шт.  Эвкалипт  Шляпная коробка  Флористическая пена  Купить в 1 клик В корзину Купить в 1 клик В корзину Шляпная коробка с маттиолой8990 ₽Состав букета: Роза "Мисс Пигги" - 15шт.  Маттиола - 10шт.  Эустома - 7шт.  Эвкалипт  Коробка шляпная  Оазис     Купить в 1 клик В корзину Купить в 1 клик В корзину Шляпная коробка с розами и эвкалиптом6900 ₽Состав букета: Роза Аква - 31 шт. 	Эвкалипт 	Шляпная коробка 	Оазис - 2 шт.  Купить в 1 клик В корзину Купить в 1 клик В корзину Шляпная коробка со 101 розой16900 ₽Состав букета: Роза Аваланж - 101 шт. 	Шляпная коробка большая.  Купить в 1 клик В корзину Купить в 1 клик В корзину Загадочная нежность8990 ₽Состав букета: Роза персиковая  - 19 шт. 	Орхидея Цимбидиум -15 шт. 	Эвкалипт 	Коробка шляпная.  	Оазис 2 шт.  Купить в 1 клик В корзину хит 					хит				Купить в 1 клик В корзину Большая коробка с гортензией8900 ₽Состав букета: Роза Мисс Пиги - 10 шт. 	Роза кустовая Рефлекс - 10 шт. 	Гортензия - 3 шт. 	Диантус - 7 шт. 	Эвкалипт . 	Оазис - 2 шт. 	Шляпная коробка средняя.  Купить в 1 клик В корзину Купить в 1 клик В корзину Грация7890 ₽Состав букета: Роза - 51 шт. 	Коробка шляпнаябольшая. 	Оазис - 2 шт.  Купить в 1 клик В корзину Купить в 1 клик В корзину Композиция для мужчины12000 ₽Состав букета: Антуриум - 2шт.  Роза "Кахала" - 10шт.  Калла - 10шт.  Диантус - 5шт.  Крокосмия - 10шт.  Лотос - 5шт.  Котинус - 10шт.  Паникум - 3шт.  Купить в 1 клик В корзину Купить в 1 клик В корзину Малая коробка с гипсофилой3900 ₽Состав букета: Гипсофила - 15 шт. 	Коробка шляпная. 	Оазис.  Купить в 1 клик В корзину Купить в 1 клик В корзину Подсолнухи в шляпной коробке5990 ₽Состав букета: Подсолнухи - 15 шт. 	Коробка шляпная - 1 шт. 	Оазис - 2 шт.  Купить в 1 клик В корзину Купить в 1 клик В корзину Шляпная коробка с орхидеей7900 ₽Состав букета: Орхидея цимбидиум - 15 шт. 	Эвкалипт. 	Шляпная коробка средняя. 	Оазис - 2 шт.  Купить в 1 клик В корзину новинка 					новинка				Купить в 1 клик В корзину Шляпная коробка с садовыми хризантемами6990 ₽Состав букета: Хризантема садовая - 5 шт. 	Хризантема кустовая - 10 шт. 	Роза одноголовая- 11 шт. 	Роза кустовая - 10 шт. 	Эвкалипт 	Коробка шляпная. 	Оазис - 2 шт.  Купить в 1 клик В корзину Купить в 1 клик В корзину Коробка с розой Каппучино - средняя9900 ₽Состав букета: Роза Каппучино - 51 шт. 	Коробка средняя. 	Оазис - 2 шт.  Купить в 1 клик В корзину Купить в 1 клик В корзину Я люблю15900 ₽Состав букета: Роза - 79 шт.; 	Шляпная коробка.  Купить в 1 клик В корзину Показать большеЗачем куда-то ходить?Доставим цветы быcтро и бесплатно!Гарантия на свежестьИначе мы немедленно заменим букетБесплатное фото перед доставкойВышлем фото букета перед отправкойОткрытка к букету в подарокМы напишем Ваш текст калиграфическим почеркомОтзывы клиентов о насВероникаЗаказывала букет маме из 51 розыОперативно связались и оформили заказ с учётом пожеланийбыстро доставили :) хорошее качество цветов именинница очень довольна !еще и открытка в подарок что очень приятно когда находишься далеко от близкого человекаДиитрийСработано оперативно! В течение 3х часов с момента оформления заказа в четко оговоренные сроки букет доставлен супруге! Спасибо Большое особенно специалисту компании Геннадию! Процветания Вашему бизнесу!ЮлияХочу сказать спасибо Геннадию за качественный букет и хорошую работу с трудным заказчиком (это я)😂😂😂хотела поздравить сестру с днём рождения ))сама из питера поэтому выбирала много много цветочных компаний ))Геннадий сразу как то уверенно сказал что сделаем всечто вы захотите ))и не обманул 🙌🏻👌🏼🙏🏼Спасибо за вашу работу и успехов вам в вашей прекрасной работе 🌹ВладимирХочу выразить огромную благодарность Геннадиюза прекрасный букетшикарный сервиси самое главное...гарантию качества👍Дарил жене на ДР белые розы простояли неделюпросто супер! СПАСИБО!ВикторияСпасибо магазину за помощь с букетом в Москве близкому человеку) Невзирая на проблемы с переводом денег (Крым) к нам отнеслись с пониманием и помогли с решением вопроса! Спасибо огромное !)ОльгаСпасибо огромное Геннадию!!! Прекрасный сервис учтены все пожелания доставили прекрасный букет свежайших роз юбиляру. Вы дарите незабываемые эмоции!Искренне могу сказать- приятно удивлена организацией спасибо Вам за отличную работу! Все вовремя слаженно на высшем уровне!!! Благодарю!!!ТатьянаЗаказала цветы привезли в этот же день! Отличная работа быстро и качественно. Подруга букетом довольна и мне хорошо. Заказывала букет обольщение - отличное сочетание цветов и цвета также порадовало что выглядит не миниатюрным.Доставка цветов: удобство и быстротаЗаказать доставку цветов стало проще и удобнее благодаря услугам многих компаний предоставляющих подобные услуги. Доставка цветов - это не только красивый и романтичный жест но и возможность выразить свои чувства и эмоции на расстоянии.Как заказать доставку цветов?Заказать цветы с доставкой можно несколькими способами: через интернет-магазины по телефону или при посещении магазина. Однако наиболее удобным и быстрым способом является заказ через интернет-магазин. Все что нужно - это выбрать букет цветов указать адрес доставки и оплатить заказ.Преимущества заказа цветов с доставкойКупить букет цветов с доставкой - это не только удобно но и экономит время. Вам не нужно тратить время на посещение магазина и выбор букета доставка цветов осуществляется быстро и вовремя. Кроме того интернет-магазины предлагают широкий выбор букетов цветов начиная от классических роз до экзотических цветов что позволяет выбрать именно тот букет который подойдет именно вам.Оплата заказа цветовОплата заказа цветов происходит через наш интернет-магазин который предлагает различные способы оплаты: банковской картой электронными кошельками или наличными при получении заказа. После оплаты заказа мы свяжемся с вами для уточнения деталей доставки.Заказать доставку цветов - это удобно быстро и просто. Вы можете выбрать букет цветов который подойдет именно вам оплатить заказ и получить его вовремя. Купить букет цветов с доставкой - это красивый и романтичный жест который оставит приятное впечатление на получателя. Не откладывайте на потом заказывайте доставку цветов уже сегодня! Популярные вопросы										Какие виды цветов доступны для доставки?									Мы предлагаем широкий выбор цветов для доставки начиная от классических роз до экзотических цветов. Вы можете выбрать букет цветов который подойдет именно вам.										Как я могу заказать доставку цветов?									Вы можете заказать доставку цветов через наш интернет-магазин по телефону или при посещении магазина.										Могу ли я выбрать время доставки цветов?									Да вы можете выбрать время доставки цветов при оформлении заказа. Дополнительно доступна опция "Согласовать дату и время доставки у получателя".										Как долго занимает доставка цветов?									Мы доставляем Ваш букет в течение двух часов после подтверждения заказа.										Сколько стоит доставка?									Стоимость доставки цветов обычно включает в себя стоимость букета цветов и доставки. С 06.00 до 23.00 доставка букетов стоимостью более 3500 руб. по Москве производится БЕСПЛАТНО. Доставка букетов стоимостью менее 3500 руб. - 350 руб. Стоимость доставки в другое время обсуждается с оператором.										Какие способы оплаты доступны при заказе доставки цветов?									Мы предлагаем Вам следующие способы оплаты заказов: банковской картой электронными кошельками или наличными при получении заказа.© Служба доставки цветовBuketOnline 2016 - 2021О насО магазинеНаши доставкиОтзывыКонтактыПокупателямДоставка и оплатаСтатьи о цветахБиблиотека цветовЗвоните нам+7 (495) 767 52 30+7 985 767 52 30Заказать обратный звонок×Быстрый заказВнимание! Прием заказов осуществляется с 7:00 до 23:00. Менеджер свяжется с вами утром. Ближайшее время доставки на завтра не ранее 9:00ОтправитьНажимая кнопку "Отправить" вы соглашаетесь с правилами Политики конфиденциальности</t>
  </si>
  <si>
    <t>buketonline-msk.ru</t>
  </si>
  <si>
    <t>Букеты из 51 гипсофилы купить в Москве ✿ Доставка</t>
  </si>
  <si>
    <t>https://venusinfleurs.ru/buket-iz-51-gipsofily/</t>
  </si>
  <si>
    <t>Доставка цветов в Москве | Заказать букет свежих цветов на дом в интернет-магазине Venus in Fleurs (ст. метро Пражская)О насГарантииНаша командаРеквизитыДоставкаОплатаКак сделать заказБлогВопросы и ответыОтзывыКонтактыСборка по фотоДля бизнеса 							Крупнейший магазин доставки цветов в Москве													 0								8-800-200-40-42								Бесплатно по России									Пн. - Вс.: с 9 до 22									8-800-200-40-42									Главный офис 									+7-495-003-21-51Написать в чат									WhatsApp									+7-926-780-53-74									Telegram									@venusinfleurs_msk									Instagram									@venusinfleurs_mskЗаказать обратный звонок									Рабочая почта 									msk@venusinfleurs.ru									Адрес 									г. Москва ул. Кировоградскаядом 38 корп. 1																		Войти								Каталог						Осень																	Букеты													КомпозицииVIP букеты 199Авторские 122Классические 384Insta букеты 188Популярные 240Свадебные букеты 125Миксы 792Цветочные сеты 74Букеты-комплименты 122Букеты с логотипом 22Бизнес-букеты 166Цветы с шоколадом 59Большие букеты 187Стильные букеты 136Монобукеты 662Сердца 154Миксы цветов в коробке 147Мини-букеты 310Мишки из цветов 31Романтические 194Окрашенные 200Полевые 49По цветуБелые 263Бирюзовые 55Бордовые 117Голубые 49Желтые 92Зеленые 25Золотые 55Коралловые 56Кофейные 32Красные 127Кремовые 32Малиновые 44Оранжевые 49Радужные 15Розовые 222Серебряные 28Синие 57Фиолетовые 105Черные 43По типу упаковкиВ шляпной коробке 400Корзины с цветами 118В белой коробке 573В черной коробке 251Букеты в ящике 30В стеклянной коробке 6По сезонуЗимние 139Весенние 166Летние 157Осенние 142						Цена													До 5 000 р. 210От 5 000 р. до 7 000 р. 278От 7 000 р. до 10 000 р. 365От 10 000 р. 599						Цветы													Сезонные предложения 142Альстромерия 68Амариллис 15Антирринум 10Верба 2Гвоздики 115Георгины 41Герберы 60Гиацинты 52Гипсофила 26Гладиолусы 22Гортензии 97Дельфиниум 28Ирисы 35Каллы 70Краспедия 14Лаванда 10Лагурус 29Лилии 30Лимониум 3Лотос 6Маттиолы 57Мимоза 31Нарциссы 25Озотамнус 17Орхидеи 153Пионы 94Подсолнухи 29Протея 11Пшеница 16Ранункулюсы 42Розы 374Ромашки 54Сирень 12Статица 15Сухоцветы 45Трахелиум 7Тюльпаны 110Фрезии 63Хлопок 42Хризантемы 103Эвкалипт 69Эрингиум 8Эустомы 77						Пионы													По цветуБелые пионы 33Красные пионы 4Розовые пионы 42Коралловые пионы 9Фиолетовые пионы 14Пионы микс 52Букеты9 пионов 1319 пионов 2325 пионов 2751 пион 19101 пион 13КомпозицииПионы в коробке 36Пионы в корзине 10						Розы													Букеты9 роз 7915 роз 10919 роз 9225 роз 10729 роз 11231 роза 12941 роза 14051 роза 24481 роза 201101 роза 243131 роза 29151 роза 13201 роза 38251 роза 13301 роза 18501 роза 161001 роза 9Композиции9 роз в коробке 3615 роз в коробке 4325 роз в коробке 6431 роза в коробке 7251 роза в коробке 208101 роза в коробке 189201 роза в коробке 35Кустовые в коробке 30Пионовидные в коробке 19Под ленту 58В кашпо 17В коробке 416В корзине 30В форме шара 54С датой 32С именем 59Сердца 154По цветуБелые 161Бирюзовые 50Бордовые 171Голубые 35Желтые 26Зеленые 15Золотые 78Коралловые 50Кофейные 28Красные 145Кремовые 26Малиновые 18Микс 98Оранжевые 41Радужные 7Розовые 130Серебряные 31Синие 37Фиолетовые 34Черные 41По типуВысокие 9Кустовые 95Пионовидные 75Элитные 128По размеру60 см 7170 см 980 см 690 см 3100 см 2120 см 2150 см 1200 см 1						Тюльпаны													По цветуБелые тюльпаны 50Желтые тюльпаны 24Красные тюльпаны 23Розовые тюльпаны 45Фиолетовые тюльпаны 32Красно-белые тюльпаны 5Пионовидные тюльпаны 30Букеты51 тюльпан 26101 тюльпан 34151 тюльпан 9201 тюльпан 10301 тюльпан 51001 тюльпан 5КомпозицииТюльпаны в коробке 42Корзины тюльпанов 10Большой букет тюльпанов 22						Подарки													Лепестки роз 3Открытки 22Сладости 27Конфеты 46Шары 30Клубника в шоколаде 18Фотосессия 5						Кому													Бабушке 250Дочке 212Друзьям 301Коллегам 204Любимой 328Маме 321Мужчине 64Невесте 125Папе 63Ребенку 142Руководителю 210Сестре 288Супруге 299Цветы учителю 168						Поводы													КалендарныеДень мамы 250ЛичныеС днем рождения 267Выздоравливай 174Годовщина 179Люблю 278Новоселье 180Прости 190Рождение ребенка 230Свадьба 166Свидание 154Спасибо 165Траур 30Юбилей 188В театр 107						Акции																	Акции											 00В корзине пусто! Хиты продажБукетыЦветы в коробкеАкции				Почему мы?						Оплата долямина 4 месяца от Тинькофф.В 3 раза больше стойкостиУникальная сборка в наших шляпных коробках позволяет розам оставаться свежими и радовать вас в 3 раза дольше обычных.Бесплатная доставкаНаша курьерская служба бесплатно и быстро доставит ваш букет в любую точку города.Фото перед отправкойМы сделаем фото букета перед отправкой чтобы Вы точно убедились что букет такой как нужно.Подарок к каждому заказуК каждому заказу мы дарим подарок который прекрасно дополнит букет.Каждый дизайн уникаленВаш букет оценят по достоинству.Ежедневная закупка свежих цветовкоторые будут радовать вас от 7 до 14 дней.Если вам не понравится букети Вы сообщите нам об этом в течении суток мы поменяем его бесплатно.Доставка цветов в МосквеПо популярностиФильтрыВесь каталогДень мамыОсеньДень рожденияБукетыРозыМонобукетыАвторскиеЦветы в коробкеПодаркиАкцииКорпоративным клиентамСвадебные букетыVIP букетыЦветочные сетыМиксы ФильтрыФильтрыЦена						Цвет букета													Цвет букетаКрасныеРозовыеСиниеБелыеЖелтыеЗолотыеГолубыеФиолетовыеРадужныеСеребряныеЧерныеМалиновыеБирюзовыеОранжевыеЗеленыеКофейныеКремовыеБордовыеГотовоОчистить						Тип упаковки													Тип упаковкиБукет под лентуБукет в упаковкеВ круглой коробкеВ коробке сердцеВ корзинеВ кашпоВ стеклянной коробкеВ черной коробкеВ белой коробкеГотовоОчистить						Тип цветов													Тип цветовГвоздикиИрисыОрхидеиГерберыПодсолнухиГортензииРанункулюсыРомашкиКаллыТюльпаныФрезииХризантемыЛилииПионыЭустомыГладиолусыМаттиолыГипсофилНарциссыАльстромерияГиацинтыСиреньГеоргиныТрахелиумДельфиниумАнтирринумКраспедияПротеяЛавандаАмариллисМимозаЛимониумЭвкалиптБрассикаГиперикумЛотосСтатицаВербаХлопокЭрингиумСухоцветыВероникаЛагурусАзатамусРозыГотовоОчистить						Букеты													БукетыМиксыInsta букетыСвадебные букетыЦветочные сетыПопулярныеАвторскиеБукеты из киндеровБукеты-комплиментыБукеты с логотипомБизнес-букетыЦветы с шоколадомБукеты невестыБольшие букетыСтильные букетыVIP букетыСердцаМиксы цветов в коробкеМини-букетыМишки из цветовНеобычныеОкрашенныеПолевыеРомантическиеМонобукетыЛетние букетыОсенние букетыЗимние букетыВесенние букетыГотовоОчистить						Наши предложения													Наши предложенияНовинкиХитАкцииСетыГотовоОчистить						Высота букета													Высота букета60 см70 см80 см90 см100 см120 см150 смГотовоОчистить						Количество цветов													Количество цветов915-1925-2941511011512012513014015011001ГотовоОчистить						Кому													КомуМамеЛюбимойСупругеРебенкуДочкеРуководителюНевестеДрузьямСестреКоллегамМужчинеПапеБабушкеЦветы учителюГотовоОчиститьПрименить фильтрыОчистить фильтры Выбор покупателяХитРазмеры:25 см.25 см.Состав букета:29 роз				Выберите необходимое количество														9 шт. 																						- 3 990 ₽											19 шт. 																						- 5 690 ₽											29 шт. 																						- 6 890 ₽											41 шт. 																						- 8 790 ₽											51 шт. 																						- 10 390 ₽											81 шт. 																						- 15 790 ₽											101 шт. 																						- 18 590 ₽											151 шт. 																						- 27 490 ₽											201 шт. 																						- 35 490 ₽Золотые розы в коробкеКэшбэк 1903 990 ₽Заказать NewРазмеры:30 см.50 - 60 см.Состав букета:29 роз орхидеи				Выберите необходимое количество														9 шт. 																						- 4 190 ₽											19 шт. 																						- 5 990 ₽											29 шт. 																						- 7 890 ₽											41 шт. 																						- 10 190 ₽											51 шт. 																						- 11 590 ₽											81 шт. 																						- 17 190 ₽											101 шт. 																						- 20 090 ₽											151 шт. 																						- 30 890 ₽											201 шт. 																						- 37 990 ₽Коралловые розы с белыми орхидеями в букетеКэшбэк 2004 190 ₽Заказать ХитРазмеры:25 см.25 см.Состав букета:51 орхидея дендробиум				Выберите необходимое количество														29 шт. 																						- 5 090 ₽											51 шт. 																						- 7 490 ₽											81 шт. 																						- 11 590 ₽											101 шт. 																						- 13 490 ₽											151 шт. 																						- 20 390 ₽											201 шт. 																						- 25 090 ₽Синие орхидеи "Дендробиум" в коробкеКэшбэк 2505 090 ₽Заказать АкцияРазмеры:35 см.50 - 60 см.Состав букета:10 эустом 1 гортензия 25 ромашек 9 роз лагурус				Выберите необходимое количество														45 шт. 																						- 13 190 ₽Авторский букет № 14Кэшбэк 65013 190 ₽Цена: 12 690 ₽Заказать АкцияРазмеры:20 см.25 см.Состав букета:9 роз 1 шт Nutella 1шт Kinder Сюрприз и Kinder Chocolate (9 шт) 1 мишка				Выберите необходимое количество														21 шт. 																						- 5 390 ₽Сладкий комплимент с розовыми розамиКэшбэк 2605 390 ₽Цена: 4 890 ₽Заказать ХитРазмеры:30 см.25 см.Состав букета:51 роза				Выберите необходимое количество														41 шт. 																						- 8 790 ₽											51 шт. 																						- 10 390 ₽											81 шт. 																						- 15 790 ₽											101 шт. 																						- 18 590 ₽Тиффани с белыми "Tiffany Love"Кэшбэк 4308 790 ₽Заказать Нет в наличииРазмеры:25 см.25 см.Состав букета:19 пионов				Выберите необходимое количество														19 шт. 																						- 17 390 ₽19 пионов "Softness" в коробкеКэшбэк 86017 390 ₽Цена: 16 390 ₽Заказать ХитРазмеры:30 см.25 см.Состав букета:51 роза				Выберите необходимое количество														51 шт. 																						- 10 390 ₽											81 шт. 																						- 15 790 ₽											101 шт. 																						- 18 590 ₽											201 шт. 																						- 35 490 ₽Фиолетовые розы в коробке "Luxury Heart"Кэшбэк 51010 390 ₽Заказать ХитРазмеры:40 см.50 см.Состав букета:7 орхидей 31 роза 30 кустовых роз 20 эустом 1 гортензия 1 золотой лист 11 гиперикум 				Выберите необходимое количество														51 шт. 																						- 17 890 ₽											101 шт. 																						- 27 390 ₽											181 шт. 																						- 46 290 ₽Букет "Дикая страсть"Кэшбэк 89017 890 ₽Заказать ХитРазмеры:40 см.50 см.Состав букета:100 роз 1 ветка орхидеи				Выберите необходимое количество														51 шт. 																						- 11 090 ₽											101 шт. 																						- 21 290 ₽											151 шт. 																						- 31 590 ₽											251 шт. 																						- 49 390 ₽Розы "Тиффани" с орхидеямиКэшбэк 55011 090 ₽Заказать ХитРазмеры:40 см.40 см.Состав букета:28 роз 13 орхидей				Выберите необходимое количество														29 шт. 																						- 7 890 ₽											41 шт. 																						- 10 290 ₽											151 шт. 																						- 31 990 ₽											251 шт. 																						- 43 290 ₽Букет из роз и орхидей в коробкеКэшбэк 3907 890 ₽Заказать ХитРазмеры:20 см.35 см.Состав букета:3 гортензии				Выберите необходимое количество														3 шт. 																						- 4 690 ₽											5 шт. 																						- 6 590 ₽											9 шт. 																						- 10 590 ₽											19 шт. 																						- 20 190 ₽											29 шт. 																						- 29 590 ₽											51 шт. 																						- 50 590 ₽Гортензии в шляпной коробкеКэшбэк 2304 690 ₽ЗаказатьСмотреть всеАвторские букетыАкцияРазмеры:45 см.50 - 60 см.Состав букета:10 гербер 25 фрезий 10 гвоздик 10 маттиол 10 краспедий перо лист				Выберите необходимое количество														65 шт. 																						- 26 590 ₽Авторский букет № 22Кэшбэк 132026 590 ₽Цена: 25 590 ₽Заказать АкцияРазмеры:35 см.40 - 50 см.Состав букета:5 роз 10 эустом 6 кустовых пионовидных роз лагурус эвкалипт				Выберите необходимое количество														21 шт. 																						- 11 290 ₽Авторский букет № 17Кэшбэк 56011 290 ₽Цена: 10 790 ₽Заказать АкцияРазмеры:35 см.60 см.Состав букета:5 крупных хризантем 10 дельфиниум 1 гортензия 15 роз				Выберите необходимое количество														31 шт. 																						- 12 990 ₽Авторский букет № 1Кэшбэк 64012 990 ₽Цена: 12 490 ₽Заказать АкцияРазмеры:35 см.60 см.Состав букета:5 орхидей 20 роз скимия рускус золотой лист				Выберите необходимое количество														25 шт. 																						- 12 490 ₽Авторский букет № 13Кэшбэк 62012 490 ₽Цена: 11 990 ₽Заказать ХитРазмеры:35 см.50 см.Состав букета:20 гвоздик 21 роза 10 эустом зелень				Выберите необходимое количество														51 шт. 																						- 13 590 ₽											81 шт. 																						- 20 390 ₽											151 шт. 																						- 34 890 ₽Букет "Прекрасное мгновение"Кэшбэк 67013 590 ₽Заказать АкцияРазмеры:35 см.60 см.Состав букета:20 гвоздик лагурус 1 гортензия 16 роз				Выберите необходимое количество														37 шт. 																						- 9 790 ₽Авторский букет № 3Кэшбэк 4809 790 ₽Цена: 9 290 ₽Заказать ХитРазмеры:35 см.50 - 60 см.Состав букета:10 маттиол 10 пионовидных роз 10 кустовых роз 10 калл эвкалипт				Выберите необходимое количество														41 шт. 																						- 18 990 ₽Авторский букет № 28Кэшбэк 94018 990 ₽Заказать АкцияРазмеры:35 см.60 см.Состав букета:5 кустовых хризантем 5 роз 5 эустом сухоцветы				Выберите необходимое количество														15 шт. 																						- 7 890 ₽Авторский букет № 10Кэшбэк 3907 890 ₽Цена: 7 390 ₽Заказать АкцияРазмеры:35 см.60 см.Состав букета:20 гвоздик. 10 роз эвкалипт 1 суккулента сухоцветы				Выберите необходимое количество														31 шт. 																						- 10 490 ₽Авторский букет № 7Кэшбэк 52010 490 ₽Цена: 9 990 ₽Заказать АкцияРазмеры:35 см.60 см.Состав букета:10 пионовидных роз 9 роз сухоцветы эвкалипт				Выберите необходимое количество														19 шт. 																						- 10 390 ₽Авторский букет № 8Кэшбэк 51010 390 ₽Цена: 9 890 ₽Заказать Размеры:100 см.60 - 70 см.Состав букета:30 орхидей дендробиум 4 кустовых хризантемы 10 гвоздик 1 гортензия перья зелень эвкалипт рускус пампасная трава				Выберите необходимое количество														45 шт. 																						- 35 690 ₽Авторский букет № 18Кэшбэк 178035 690 ₽Заказать АкцияРазмеры:40 см.50 - 60 см.Состав букета:29 роз 10 калл 10 вероники 10 орхидей фаленопсис 1 протея 1 гортензия рускус				Выберите необходимое количество														61 шт. 																						- 18 990 ₽Авторский букет № 25Кэшбэк 94018 990 ₽Цена: 18 490 ₽ЗаказатьСмотреть всеЦветы в коробкеНет в наличииРазмеры:50 см.45 см.Состав букета:10 пионов 38 роз 3 гортензии эвкалипт золотые листья				Выберите необходимое количество														51 шт. 																						- 22 590 ₽											101 шт. 																						- 39 090 ₽											201 шт. 																						- 64 390 ₽Очаровательный букет "Good Morning" в коробкеКэшбэк 112022 590 ₽Заказать АкцияРазмеры:40 см.25 см.Состав букета:131 роза				Выберите необходимое количество														131 шт. 																						- 22 790 ₽131 роза - корона на черном фонеКэшбэк 113022 790 ₽Цена: 21 790 ₽Заказать ХитРазмеры:45 см.55 см.Состав букета:81 роза 20 эустом зелень				Выберите необходимое количество														51 шт. 																						- 12 790 ₽											101 шт. 																						- 22 090 ₽											151 шт. 																						- 32 390 ₽Цветочная композиция "Шикарный нежный микс"Кэшбэк 63012 790 ₽Заказать ХитРазмеры:15 см.30 см.Состав букета:15 орхидей				Выберите необходимое количество														15 шт. 																						- 6 290 ₽											29 шт. 																						- 10 590 ₽											51 шт. 																						- 16 990 ₽											81 шт. 																						- 26 790 ₽											101 шт. 																						- 32 390 ₽Розовые орхидеи в шляпной коробке на Татьянин деньКэшбэк 3106 290 ₽Заказать АкцияРазмеры:100 см.25 см.Состав букета:I коробка - 51 роза Сердце коробка - 101 роза Y - 51 роза				Выберите необходимое количество														201 шт. 																						- 32 090 ₽I LOVE YOU из роз в коробке на День влюбленныхКэшбэк 160032 090 ₽Цена: 31 090 ₽Заказать АкцияРазмеры:40 см.25 см.Состав букета:10 хризантем 20 роз 5 орхидей 7 киндеров 5 киндеров шоколада 3 Nuttela мишка 1 шт. эвкалипт				Выберите необходимое количество														51 шт. 																						- 16 190 ₽Дикая орхидея со сладостямиКэшбэк 80016 190 ₽Цена: 15 190 ₽Заказать ХитРазмеры:30 см.25 см.Состав букета:51 роза				Выберите необходимое количество														51 шт. 																						- 10 390 ₽											81 шт. 																						- 15 790 ₽											101 шт. 																						- 18 590 ₽											201 шт. 																						- 35 490 ₽ Белые розы с датой "Gold Date"Кэшбэк 51010 390 ₽Заказать ХитРазмеры:40 см.40 см.Состав букета:10 орхидей 46 роз 5 хризантем 50 тюльпанов 20 кустовых роз				Выберите необходимое количество														51 шт. 																						- 13 590 ₽											131 шт. 																						- 27 390 ₽											251 шт. 																						- 49 690 ₽Цветочная композиция "Дикая орхидея"Кэшбэк 67013 590 ₽Заказать ХитРазмеры:25 см.25 см.Состав букета:29 роз				Выберите необходимое количество														19 шт. 																						- 5 090 ₽											29 шт. 																						- 6 490 ₽											41 шт. 																						- 8 490 ₽											51 шт. 																						- 9 990 ₽											81 шт. 																						- 15 590 ₽											101 шт. 																						- 18 390 ₽											151 шт. 																						- 27 790 ₽											201 шт. 																						- 34 890 ₽Коралловые розы в коробке - от 19 штКэшбэк 2505 090 ₽Заказать Размеры:25 см.25 см.Состав букета:29 роз орхидеи				Выберите необходимое количество														19 шт. 																						- 4 990 ₽											29 шт. 																						- 6 390 ₽											51 шт. 																						- 9 790 ₽											101 шт. 																						- 18 190 ₽											201 шт. 																						- 33 590 ₽Композиция "Lovely Luxury" с дендробиумом в коробкеКэшбэк 2404 990 ₽Заказать АкцияРазмеры:20 см.25 см.Состав букета:15 роз				Выберите необходимое количество														15 шт. 																						- 4 790 ₽15 бирюзовых роз с золотой в коробкеКэшбэк 2304 790 ₽Цена: 4 490 ₽Заказать ХитРазмеры:45 см.50 см.Состав букета:30 орхидей дендробиум20 гвоздик 31 роза 20 гиацинтов 				Выберите необходимое количество														51 шт. 																						- 11 490 ₽											101 шт. 																						- 20 190 ₽											201 шт. 																						- 34 490 ₽Цветочная композиция "Голубая Лагуна"Кэшбэк 57011 490 ₽ЗаказатьСмотреть все				Почему мы?			О насДоставкаПреимуществаГарантииО насФлористы Venus in Fleurs собирают классические букеты от 5 до 1001 цветка — круглые вертикальные свободной формы. Находят уникальные сочетания цветов — не просто миксы а эффектные минималистические дизайны в двух-трех оттенках. Выбирают необычные краски: тиффани золотые голубые зеленые ярко-фиолетовые и т. д. Разрабатывают уникальный дизайн по конкретному поводу.В магазине представлен большой ассортимент композиций в коробках:в форме шара;в форме сердца;с датой;с надписью;с логотипом компании.Флористы с огромным опытом работы повторят даже сложный символ каждый цветок будет находиться точно на своем месте. Доставка собственным транспортом — ни один бутон не пострадает.Подробнее о насДоставкаДоставка цветов по Москве на дом и в офис. Недорого выезжаем по Московской области. Найдем адресата даже если знаете только номер телефона или WhatsApp. Возможна встреча по линии метро. К заказу можно добавить личное сообщение с эмодзи фото приложить подарок.Доставим букеты быстро — в течение трех часов. Возможна срочная доставка приезд курьера к точному времени стоимость 800 рублей.Анонимная доставка. Сохраним конфиденциальность даже если человек попытается подкупить курьера.VIP-доставка. Если у вас нет времени на выбор цветов в интернет-магазине поручите это флористам. От вас нужны только контактные данные получателя пожелания по оформлению. О доставленном букете придет отчет в мессенджер или на электронную почту.Подробнее о доставке цветовПреимуществаБолее 3000 стильных букетовУникальные цветы — розы цвета тиффани золотые голубые  аналогов на российском рынке нет.Фото перед отправкойКешбеки с каждой покупки300 бонусных рублей за регистрациюБеспроцентная рассрочка от ТинькоффГарантииЕсли заказ не устроил получателя пришлите фотографию композиции и опишите проблему. При несоответствии композиции вернем деньги или заменим товар. При доставке к точному времени максимальное время опоздания курьера не превышает 10-15 минут. Сохраняем конфиденциальность персональных данных. Чек с подтверждением оплаты высылается на электронную почту.				Вы замечали как прекрасна женщина с букетом в руках?			День рожденияInsta букетыБукеты в театрБукеты невесты				Отзывы о доставке цветов в Москве			WhatsAppЯндекс Google 2GISСмотреть все				Наши букеты с довольными клиентами			КОНТАКТЫНаш адрес в Москве:117534 г. Москва ул. Кировоградская дом 38 корп. 111 мин. пешком от м. "Пражская"Контакты для связи:				Телефоны по всей России:8-800-200-40-42				Мобильный: 79267805374				Whatsapp: 79267805374				Email: msk@venusinfleurs.ru				Время работы офиса: с 10:00 до 19:00				Время работы контакт-центра: с 09 - 22:00 часов				персональных менеджеров в чате: с 09 - 22:00 часов			По вопросам корпоративного обслуживания:				Телефоны по всей России:				Мобильный: 79267805374				Whatsapp: 79267805374				Email: msk@venusinfleurs.ru				Ежедневно с 9:00 до 22:00			Вопросы и ответыКак оформить заказ на доставку цветов?Для оформления заказа выберите букет количество цветов и нажмите на кнопку «В корзину». Заполните информацию которую знаете и выберите желаемый способ оплаты. Также вы можете написать  позвонить нашим менеджерам в WhatsApp или TelegramКак оплатить заказ?Оплатить заказ можно с помощью Банковской карты Apple Pay Google Pay Яндекс. Деньги QIWI кошелек PayPal наличными курьеру. Для юридических лиц предусмотрена оплата по безналичному расчету – для этого оставьте заявку на msk@venusinfleurs.ruСколько стоит доставка?Если стоимость заказа ниже 3500 руб - доставка оплачивается отдельно в размере 500 руб.В любом часовом интервале с 9.00 до 20.00 – бесплатно.В любом часовом интервале с 20.00 до 00.00 – 500р.В любом часовом интервале с 00.00 до 9.00 – 1000р.Доставка за пределы МКАД до 5 км – 500р. далее 50 ₽ / 1 кмКак быстро Вы доставите букет?Мы доставим Вам букет в течении 3-4 часов с момента оформления заказа. В зависимости от дорожной ситуации наличия цветов и т.д. время доставки может незначительно меняться.Как мне узнать что букет доставлен?Мы свяжемся с Вами удобным для Вас способом и уведомим о доставке.Доставите ли Вы букет если я не знаю адрес?Конечно. Вы можете предоставить любой известный Вам способ связи с получателем. Мы свяжемся с ним(ней) и деликатно уточним всю информацию по доставке.Есть ли доставка в другие города?Мы доставляем букет в пределах 100 км. за МКАД. По конкретным городам подскажет менеджер нашей компании.Возможна ли анонимная доставка?Доставка цветов полностью анонимна. Имя отправителя сообщается только с разрешения заказчика либо если указана в послании.Как быстро Вы со мной свяжетесь после оформления заказа?Наши менеджеры перезванивают в течение 10-15 мин. после оформления заказа. Если заказ был оформлен после 22:00 то менеджер перезвонит Вам в 9:00.Крашенные розы – живые?Цветы бирюзового голубого зеленого золотого серебряного синего фиолетового и черного цветов являются натуральными живыми цветами которые покрыты специальной флористической краской. Она не имеет запаха и не вредит цветам а также она гипоаллергенна для человека.Имеет ли краска какой-нибудь запах?Флористическая краска не имеет запаха поэтому мы дополнительно ароматизируем покрашенные бутоны приятным цветочным ароматом.Вы присылаете фото заказа?Да по готовности мы вышлем вам фото и далее будем передавать в доставку. Если у Вас будут какие либо замечания по заказу то мы обязательно их учтем.Есть ли у вас бонусы?Да. Для зарегистрированных пользователей нашего сайта у нас действует бонусная система. За каждый заказ вам начисляются бонусы которыми в дальнейшем можно оплачивать до 30% от стоимости заказа.БлогПодробнее 169					 22.09.2023					Блог Какой букет подарить на День воспитателяЖизнь маленького ребенка в саду — всегда предмет волнений родителей. Мы задаемся вопросами о том насколько ребенку комфортно в стенах дошкольного учреждения хорошо ли он общается с коллективом достойно ли себя ведет и как развивается. Между тем о людях которые его окружают как правило родители задумываются во вторую очередь; словно весь мир крутится вокруг мальчиков и девочек! Но подумайте о тех кто его окружает кто создает для ребенка в саду чудесную атмосферу понимания заботы настоящего детства? Подробнее 125					 22.09.2023					БлогПопулярные цветы на 1 сентября: выбор и значениеВ преддверии особенного праздника — дня Знаний хотим небанально рассказать вам о том как выбрать правильно букет цветов. Кто-то захочет сделать значимый подарок своему преподавателю а кто-то — выразить восхищение коллеге. Дело здесь не совсем в дарителе и его причинах а в том кому этот подарок будет вручен.  Подробнее 525					 12.01.2023					БлогКакие цветы подарить на 23 февраля мужчине?				Если и дарить цветы мужчинам то в их главный праздник. 23 февраля мы отмечаем День защитника Отечества. Почему именно эта дата и кого можно поздравлять?  			Смотреть все статьиДоставляем по Москве и ПодмосковьюАпрелевкаБалашихаВидноеДедовскДзержинскийДолгопрудныйДомодедовоЖелезнодорожныйЖуковскийЗеленоградИвантеевкаКоммунаркаКоролёвКотельникиКрасногорскЛобняЛыткариноЛюберцыМосковскийМытищиОдинцовоПодольскПушкиноРаменскоеРеутовХимкиЩёлковоЩербинкаКаталог цветовРозыКустовые розыТюльпаныПионыГортензииРанункулюсыХризантемыЦветы в коробкеДень мамыVIP букетыСборка по фотоСчастливые клиентыДоставкаОплатаО насОтзывыКонтактыВопросы и ответыКак сделать заказУход за цветамиПравила возвратаКорпоративным клиентамВакансииТоварный знак								Подписка успешно оформлена							Скидка 5%! Подпишитесь на наши новости и акции! И получите промокод на скидку 5%Подписатьсяг. Москва ул. Кировоградскаядом 38 корп. 1Работаем с 10:00 до 19:00							Тел.: 8-800-200-40-42							WhatsApp: +7-926-780-53-74msk@venusinfleurs.ruОставайтесь на связи:Наш рейтинг заказов в ЯндексеПринимаем к оплате:			        © 2017-2023 Venus in Fleurs - Доставка цветов по Москве			        ИП Дорошева Евгения Святославовна ИНН 772471387074 ОГРНИП 317774600575112			    Политика конфиденциальностиКарта сайтаГлавнаяКаталог0КорзинаWhatsAppВойти</t>
  </si>
  <si>
    <t>venusinfleurs.ru</t>
  </si>
  <si>
    <t>Букет гипсофилы c - купить в Грозном за 2950 руб.</t>
  </si>
  <si>
    <t>https://cvetov.ru/grozny/catalog/bukety/192394/</t>
  </si>
  <si>
    <t>Заказать гипсофилу с бесплатной доставкой</t>
  </si>
  <si>
    <t>Доставим гипсофила по Москве за 2 часа. Бесплатная записка к букету. Возможен самовывоз. Выбирайте.</t>
  </si>
  <si>
    <t>https://mybloom.ru/catalog/tsvety/sukhotsvet/gipsofila/</t>
  </si>
  <si>
    <t xml:space="preserve">Доставка цветов в Москве 💐| Заказать цветы недорого на дом ОплатаДоставка5% КЭШБЭК с заказаКорпоративным клиентамКонтактыМагазиныКак купить... Войти  г.Москва ул. Большая Семеновская 11с3  							+7 (977) 113-79-41						Написать в WhatsApp +7 (495) 414-20-70+7 (800) 301-92-14по России бесплатно 											Звоните c 6:00-24:00										 																		Акции																											Цена									Цветы до 1000 руб.Цветы до 2000 руб.Цветы до 3000 руб.Цветы до 4000 руб.Цветы до 5000 руб.Цветы до 6000 руб.Цветы до 7000 руб.Цветы до 8000 руб.Цветы до 10000 руб.																		Цветы									АльстромерииАнемоныГвоздикиГерберыГладиолусыГеоргиныГортензииИрисыЛилииНарциссОрхидеиПодсолнухиПионыРанункулюсыРозыРомашкиСухоцветГипсофилаЛавандаПампасТюльпаныХризантемыЭустомы																		Розы									Композиция из розБукеты из розРозы в коробкеРозы в корзинеРозы в колбеПо количеству розЛепестки роз15 роз19 роз21 роза25 роз51 роза75 роз101 роза151 роза201 роза501 роза1001 розаПо высоте стебляРозы 30 смРозы 40 смРозы 50 смРозы 60 смРозы 70 смРозы 80 смРозы 90 смПо цвету розКрасные розыМалиновые розыБелые розыРозовые розыКремовые розыПерсиковые розыЗеленые розыЖелтые розыСиние розыРадужные розыКустовые розыБукет кустовых розКустовые розы в коробкеКустовые розы в корзинеКустовые розы в ящикеПионовидные розыБукет пионовидных розПионовидные розы в коробкеПионовидные розы в корзинеПионовидные розы в ящике																		Пионы									Пионы по АкцииПионы С Днем РожденияПионы в коробкеБелые пионыРозовые пионыЖелтые пионыКоралловые пионыКрасные пионы																		Сладости									Шоколадные пионыМакаруныСоленая карамельКейк ПопсКонфеты и Шоколад																		Подарки									СладостиМакаруныСоленая карамельКейк попсКонфеты и ШоколадШоколадные пионыШары гелиевыеМягкие игрушкиТопперыОткрыткиСувенирыВазы к букету																		Композиции									Букеты цветовЦветы в корзинеЦветы в коробкеЦветы в ящикеРоза в колбеНовогодние композицииЕщё 																		Акции																											Цена									Цветы до 1000 руб.Цветы до 2000 руб.Цветы до 3000 руб.Цветы до 4000 руб.Цветы до 5000 руб.Цветы до 6000 руб.Цветы до 7000 руб.Цветы до 8000 руб.Цветы до 10000 руб.																		Цветы									АльстромерииАнемоныГвоздикиГерберыГладиолусыГеоргиныГортензииИрисыЛилииНарциссОрхидеиПодсолнухиПионыРанункулюсыРозыРомашкиСухоцветГипсофилаЛавандаПампасТюльпаныХризантемыЭустомы																		Розы									Композиция из розБукеты из розРозы в коробкеРозы в корзинеРозы в колбеПо количеству розЛепестки роз15 роз19 роз21 роза25 роз51 роза75 роз101 роза151 роза201 роза501 роза1001 розаПо высоте стебляРозы 30 смРозы 40 смРозы 50 смРозы 60 смРозы 70 смРозы 80 смРозы 90 смПо цвету розКрасные розыМалиновые розыБелые розыРозовые розыКремовые розыПерсиковые розыЗеленые розыЖелтые розыСиние розыРадужные розыКустовые розыБукет кустовых розКустовые розы в коробкеКустовые розы в корзинеКустовые розы в ящикеПионовидные розыБукет пионовидных розПионовидные розы в коробкеПионовидные розы в корзинеПионовидные розы в ящике																		Пионы									Пионы по АкцииПионы С Днем РожденияПионы в коробкеБелые пионыРозовые пионыЖелтые пионыКоралловые пионыКрасные пионы																		Сладости									Шоколадные пионыМакаруныСоленая карамельКейк ПопсКонфеты и Шоколад																		Подарки									СладостиМакаруныСоленая карамельКейк попсКонфеты и ШоколадШоколадные пионыШары гелиевыеМягкие игрушкиТопперыОткрыткиСувенирыВазы к букету																		Композиции									Букеты цветовЦветы в корзинеЦветы в коробкеЦветы в ящикеРоза в колбеНовогодние композицииЕщё        Отложенные0 Корзина0    Телефоны 								+7 (977) 113-79-41Написать в WhatsApp+7 (495) 414-20-70с 6:00 до 24:00 (Москва)+7 (800) 301-92-14по России бесплатноАкцииЦенаНазадЦенаЦветы до 1000 руб.Цветы до 2000 руб.Цветы до 3000 руб.Цветы до 4000 руб.Цветы до 5000 руб.Цветы до 6000 руб.Цветы до 7000 руб.Цветы до 8000 руб.Цветы до 10000 руб.ЦветыНазадЦветыАльстромерииАнемоныГвоздикиГерберыГладиолусыГеоргиныГортензииИрисыЛилииНарциссОрхидеиПодсолнухиПионыРанункулюсыРозыРомашкиСухоцветНазадСухоцветГипсофилаЛавандаПампасТюльпаныХризантемыЭустомыРозыНазадРозыКомпозиция из розНазадКомпозиция из розБукеты из розРозы в коробкеРозы в корзинеРозы в колбеПо количеству розНазадПо количеству розЛепестки роз15 роз19 роз21 роза25 роз51 роза75 роз101 роза151 роза201 роза501 роза1001 розаПо высоте стебляНазадПо высоте стебляРозы 30 смРозы 40 смРозы 50 смРозы 60 смРозы 70 смРозы 80 смРозы 90 смПо цвету розНазадПо цвету розКрасные розыМалиновые розыБелые розыРозовые розыКремовые розыПерсиковые розыЗеленые розыЖелтые розыСиние розыРадужные розыКустовые розыНазадКустовые розыБукет кустовых розКустовые розы в коробкеКустовые розы в корзинеКустовые розы в ящикеПионовидные розыНазадПионовидные розыБукет пионовидных розПионовидные розы в коробкеПионовидные розы в корзинеПионовидные розы в ящикеПионыНазадПионыПионы по АкцииПионы С Днем РожденияПионы в коробкеБелые пионыРозовые пионыЖелтые пионыКоралловые пионыКрасные пионыСладостиНазадСладостиШоколадные пионыМакаруныСоленая карамельКейк ПопсКонфеты и ШоколадПодаркиНазадПодаркиСладостиНазадСладостиМакаруныСоленая карамельКейк попсКонфеты и ШоколадШоколадные пионыШары гелиевыеМягкие игрушкиТопперыОткрыткиСувенирыВазы к букетуКомпозицииНазадКомпозицииБукеты цветовЦветы в корзинеЦветы в коробкеЦветы в ящикеРоза в колбеНовогодние композиции  Личный кабинет  Корзина0Отложенные0+7 (977) 113-79-41Написать в WhatsApp+7 (495) 414-20-70с 6:00 до 24:00 (Москва)НазадТелефоны+7 (495) 414-20-70с 6:00 до 24:00 (Москва)+7 (800) 301-92-14по России бесплатноКонтактная информация						Москва ул. Большая Семеновская 11с3					 office@mybloom.ru					Вконтакте									Telegram				   									101 роза от 3045 руб.								Лучшие сорта Кении и Эквадора 									Акция! 51 роза от 1945 руб.								Большой ассортимент роз 									Подарки и сладости ручной работы								Сладости шары мягкие игрушки 									Наш телеграм @mybloom								Только тут букеты по ценам ниже чем на сайте! 													Бесплатная доставка по Москве внутри МКАД при заказе от 3800 рублей.																								Бесплатная записка к букету																								Доставим за 2 часа с момента заказа																								Фото букета перед отправкой по вашему желанию											 АкцияХитБыстрый просмотрБукет из 9 винных хризантем CashBack 140 руб.?Артикул: 0029622 795 руб./шт-+В корзинуВ корзине ХитНовинкаБыстрый просмотр51 разноцветная роза Кения (40 см)CashBack 149 руб.?Артикул: 002768 2 985 руб./шт3 582 руб.-20%Экономия 597 руб. -+В корзинуВ корзине АкцияХитБыстрый просмотрБукет из 11 радужных гипсофилCashBack 114 руб.?Артикул: 002237 2 275 руб./шт3 072 руб.-35%Экономия 797 руб. -+В корзинуВ корзине ХитБыстрый просмотрБукет 29 красных роз Престиж (50 см)CashBack 164 руб.?Артикул: 002219 3 280 руб./шт3 772 руб.-15%Экономия 492 руб. -+В корзинуВ корзине АкцияХитБесплатная доставкаБыстрый просмотрБукет 15 ранункулюсов ХанойCashBack 236 руб.?Артикул: 002144 4 715 руб./шт5 423 руб.-15%Экономия 708 руб. -+В корзинуВ корзине ХитНовинкаБыстрый просмотрБукет из 3 королевских протейCashBack 122 руб.?Артикул: 0020322 445 руб./шт-+В корзинуВ корзине ХитСоветуемБыстрый просмотрБукет 15 красных роз (90 см)CashBack 185 руб.?Артикул: 001804 3 705 руб./шт4 632 руб.-25%Экономия 927 руб. -+В корзинуВ корзине Быстрый просмотрСиняя роза Эквадор LuxCashBack 23 руб.?Артикул: 001779465 руб./шт-+В корзинуВ корзине СоветуемБесплатная доставкаБыстрый просмотрБукет 101 Кенийская роза микс (40 см)CashBack 426 руб.?Артикул: 000895 8 510 руб./шт12 340 руб.-45%Экономия 3 830 руб. -+В корзинуВ корзине Быстрый просмотрБукет 45 милых роз Кения(40 см)CashBack 130 руб.?Артикул: 000645 2 600 руб./шт3 900 руб.-50%Экономия 1 300 руб. -+В корзинуВ корзине Популярные букетыХитБесплатная доставкаБыстрый просмотрБукет из 51 белой розы (60 см)CashBack 297 руб.?Артикул: 0029615 940 руб./шт-+В корзинуВ корзине АкцияХитСоветуемБыстрый просмотрБукет белых и розовых кустовых хризантем Мадлен CashBack 105 руб.?Артикул: 002861 2 105 руб./шт2 526 руб.-20%Экономия 421 руб. -+В корзинуВ корзине ХитБесплатная доставкаБыстрый просмотрБукет 101 красная роза Наоми (40 см)CashBack 427 руб.?Артикул: 002848 8 535 руб./шт12 803 руб.-50%Экономия 4 268 руб. -+В корзинуВ корзине ХитСоветуемНовинкаБесплатная доставкаБыстрый просмотрШикарный букет из гортензий пионовидных роз Мисти баблз и эвкалиптаCashBack 296 руб.?Артикул: 0028155 910 руб./шт-+В корзинуВ корзине Быстрый просмотрБукет из орхидей с эвкалиптомCashBack 126 руб.?Артикул: 0027562 515 руб./шт-+В корзинуВ корзине ХитСоветуемБыстрый просмотр11 красных роз в крафте (40 см)CashBack 69 руб.?Артикул: 0026501 385 руб./шт-+В корзинуВ корзине ХитБесплатная доставкаБыстрый просмотрБукет 51 роза Бэлла (40 см)CashBack 206 руб.?Артикул: 002075 4 110 руб./шт5 549 руб.-35%Экономия 1 439 руб. -+В корзинуВ корзине ХитСоветуемБыстрый просмотрБукет из 51 розы Микс (30 см)CashBack 145 руб.?Артикул: 001658 2 895 руб./шт4 922 руб.-70%Экономия 2 027 руб. -+В корзинуВ корзине ХитБесплатная доставкаБыстрый просмотрБукет из 101 розы микс (30 см)CashBack 234 руб.?Артикул: 001656 4 670 руб./шт6 772 руб.-45%Экономия 2 102 руб. -+В корзинуВ корзине ХитСоветуемБыстрый просмотрБукет из 5 гортензий нежный миксCashBack 137 руб.?Артикул: 0016082 740 руб./шт-+В корзинуВ корзине НовинкиХитСоветуемНовинкаБесплатная доставкаБыстрый просмотрБукет "дарю тебе солнце" из желтых хризантемCashBack 267 руб.?Артикул: 0029665 345 руб./шт-+В корзинуВ корзине АкцияХитСоветуемБыстрый просмотрСердечная коробочка с гипсофилой CashBack 65 руб.?Артикул: 002950 1 290 руб./шт1 548 руб.-20%Экономия 258 руб. -+В корзинуВ корзине АкцияХитБесплатная доставкаБыстрый просмотрБукет 9 гортензий микс НежностьCashBack 213 руб.?Артикул: 0028644 255 руб./шт-+В корзинуВ корзине СоветуемНовинкаБыстрый просмотрБукет "Яркие чувства" из роз (50 см)CashBack 113 руб.?Артикул: 0028442 265 руб./шт-+В корзинуВ корзине ХитБесплатная доставкаБыстрый просмотрБукет 17 пионов с ароматным эвкалиптомCashBack 459 руб.?Артикул: 0028439 175 руб./шт-+В корзинуВ корзине ХитНовинкаБесплатная доставкаБыстрый просмотрБукет из пионов и стифаCashBack 214 руб.?Артикул: 0028294 285 руб./шт-+В корзинуВ корзине ХитСоветуемНовинкаБесплатная доставкаБыстрый просмотрОгромная коробка коралловых пионовCashBack 2 937 руб.?Артикул: 00282658 730 руб./шт-+В корзинуВ корзине СоветуемНовинкаБыстрый просмотрБукет Зайка и розыCashBack 113 руб.?Артикул: 0028242 260 руб./шт-+В корзинуВ корзине ХитСоветуемНовинкаБесплатная доставкаБыстрый просмотрПрекрасный букет из роз и пионовCashBack 361 руб.?Артикул: 0028217 215 руб./шт-+В корзинуВ корзине ХитНовинкаБыстрый просмотрВечная композиция из стабилизированной гортензии и сухоцветов в вазеCashBack 184 руб.?Артикул: 0028163 685 руб./шт-+В корзинуВ корзине Цветочные композицииХитБесплатная доставкаБыстрый просмотрКомпозиция сердце из орхидейCashBack 290 руб.?Артикул: 0028655 790 руб./шт-+В корзинуВ корзине ХитНовинкаБыстрый просмотрКоробочка кустовых роз Мисти БаблзCashBack 178 руб.?Артикул: 0028203 550 руб./шт-+В корзинуВ корзине ХитБесплатная доставкаБыстрый просмотрШляпная коробочка с розами Мисс ПиггиCashBack 191 руб.?Артикул: 0022003 810 руб./шт-+В корзинуВ корзине Быстрый просмотрРозы в люкс композиции "You are my sunshine"CashBack 142 руб.?Артикул: 0019082 830 руб./шт-+В корзинуВ корзине Быстрый просмотрНе увядающая офисная композиция из гипсофил в керамическом кашпоCashBack 46 руб.?Артикул: 001906915 руб./шт-+В корзинуВ корзине ХитНовинкаБыстрый просмотрКоробочка с кустовыми розамиCashBack 148 руб.?Артикул: 0018712 965 руб./шт-+В корзинуВ корзине Бесплатная доставкаБыстрый просмотрОрхидеи с гипсофилой в шляпной коробкеCashBack 230 руб.?Артикул: 0017194 605 руб./шт-+В корзинуВ корзине Быстрый просмотрРозы с нежными чувствами… (25 см)CashBack 143 руб.?Артикул: 0013802 850 руб./шт-+В корзинуВ корзине Бесплатная доставкаБыстрый просмотр151 роза в огромной шляпной коробке (50 см)CashBack 686 руб.?Артикул: 00127513 710 руб./шт-+В корзинуВ корзине Быстрый просмотрБукет 25 красных Кенийских роз в коробке трапеция (35 см)CashBack 138 руб.?Артикул: 0011142 750 руб./шт-+В корзинуВ корзине СладостиХитНовинкаБыстрый просмотрОсвежающее драже «Анахерон» 18 г.CashBack 17 руб.?Артикул: 002857335 руб./шт-+В корзинуВ корзине ХитНовинкаБыстрый просмотрМолочный шоколад «Я в моменте» 27 г.CashBack 19 руб.?Артикул: 002856370 руб./шт-+В корзинуВ корзине ХитСоветуемБыстрый просмотрМолочный шоколад «Старая клюшка» 70 г.CashBack 26 руб.?Артикул: 002852515 руб./шт-+В корзинуВ корзине ХитНовинкаБыстрый просмотрШоколадные конфеты Ferrero Rocher 200грCashBack 57 руб.?Артикул: 0027981 140 руб./шт-+В корзинуВ корзине ХитСоветуемБыстрый просмотрБукет Snickers из шоколадных пионовCashBack 106 руб.?Артикул: 0027272 120 руб./шт-+В корзинуВ корзине Быстрый просмотрШоколад пофигин 27гр.CashBack 19 руб.?Артикул: 001504370 руб./шт-+В корзинуВ корзине ХитНовинкаБыстрый просмотрКоробка сердце с розами и конфетами RaffaelloCashBack 132 руб.?Артикул: 0014962 630 руб./шт-+В корзинуВ корзине Быстрый просмотрШоколадные конфеты Ferrero Rocher 125грCashBack 41 руб.?Артикул: 001424820 руб./шт-+В корзинуВ корзине Быстрый просмотрТемный Бельгийский шоколад ручной работы с сушенной клубникой вафлей и фундуком (100г.)CashBack 23 руб.?Артикул: 001300450 руб./шт-+В корзинуВ корзине ХитНовинкаБыстрый просмотрБукет из 7 шоколадных пионовCashBack 45 руб.?Артикул: 001295905 руб./шт-+В корзинуВ корзине   Доставка цветов по Москве	 Заказать цветы с доставкой по Москве можно недорого в нашем интернет магазине - MyBloom.ru. При заказе от 3800 рублей доставка бесплатная. Если Вам необходимо доставить букет за пределы Москвы в ближайшее Подмосковье обратитесь к нашему менеджеру для точного расчета стоимости доставки.	 У нас большой ассортимент живых свежих цветов а также различных подарков которые могут дополнить ваш сюрприз - бесплатная записка топперы мягкие игрушки гелиевые шары и сладости.Стоимость доставки по Москве и самовывоз			 Сумма заказа					 Самовывоз					 Москва (внутри МКАД)					 Москва и МО (за МКАД)					 до 3800 рублей					 Бесплатно					 Доставка: 420 руб.					 От 500 рублей точный расчет уточняйте у менеджера по телефону или онлайн чату					 более 3800 рублей					 Бесплатно					 Доставка: бесплатно			 Наша городская служба доставки цветов готова вам предложить следующие услуги: Доставка цветов день в день на дом или офис			 Это стандартное пожелание наших клиентов. Во время оформления заказа вы указываете адрес доставки и время. Мы в свою очередь сделаем все возможное чтобы заказанные вами цветы с доставкой вы получили в точности как на картинки в указанное время и месте.		  Срочная доставка цветов по Москве курьером			 У нас можно купить цветы и наша курьерская служба доставит заказ за 2 часа с момента его подтверждения. Мы не берем дополнительной оплаты за экспресс доставку с вас как это делают наши конкуренты.		  Доставка по номеру телефона			 если вы решили сделать сюрприз и подарить букет живых цветов но не знаете адрес офиса или дома получателя то эта услуга для вас. Во время оформления заказа в блоке “Доставка” установите галочку напротив поля “Уточнить адрес у получателя”. Наш менеджер свяжется самостоятельно с получателем уточнит удобное место и время для курьерской доставки. После доставки вам придет смс - статус заказа - Доставлен.		  Анонимная доставка			 Вам подойдет когда вы хотите сделать сюрприз и оставаться Инкогнито для получателя. Напишите в комментарии к заказанному букету о том что вы не хотите разглашать свою личность а мы в свою очередь сохраним эту информацию в тайне.		Как заказать доставку цветов в Интернет-Магазине Mybloom.ru	 Вы можете сформировать заказ через сайт:Добавьте понравившейся букет в корзину и перейдите в оформление заказа;Далее внимательно заполните все необходимые поля и после оформления заказа;В течении 5-ти минут ждите звонок от нашего оператора. Он проговорит все детали по вашему заказу и если все верно то вы получите подтверждение;После того как букет цветов будет доставлен вы получите SMS о статусе доставки букета.	 Вы можете заказать букет по телефону:	 Также вы можете вы можете нам позвонить по телефону и продиктовать все детали заказа - укажите артикул букета адрес доставки и телефон получателя а наш менеджер заполнит информацию по заказу вместо вас и сразу его подтвердит.График работы и адрес Наш магазин находится по адресу: г. Москва  ул. Большая Семеновская 11с3 (для самовывоза) График работы: с 7:00-23:00 без выходных.    МагазиныПолитикаМетро и областьБольше скидок ТУТПолезноеКорпоративным клиентам5% КЭШБЭКПомощьУсловия оплатыУсловия доставкиГарантии и правила возвратаБудьте всегда в курсе!Узнавайте о скидках и акциях первым Новости магазина				 Оставайтесь на связи					Вконтакте									Telegram				 Наши контакты  +7 (495) 414-20-70+7 (800) 301-92-14по России бесплатно										+7 (977) 113-79-41Написать в WhatsApp  office@mybloom.ru						Москва ул. Большая Семеновская 11с3														ООО Шериф  ИНН 7709456710 | ОГРН 1157746401010 | Не является публичной офертой								 Найти  00Корзина </t>
  </si>
  <si>
    <t>mybloom.ru</t>
  </si>
  <si>
    <t>Купить гипсофилы в Москве недорого, заказать букет из ...</t>
  </si>
  <si>
    <t>Доставка гипсофил в Москве бесплатно при заказе от 3500 руб. 100% свежие цветы. Заказ букетов с гипсофилой круглосуточно ☎ +7 (499) 322-74-86.</t>
  </si>
  <si>
    <t>https://rozavam.ru/katalog-tovara/cvety/gipsofila/</t>
  </si>
  <si>
    <t>﻿Доставка цветов в Москве | Заказать букет цветов с бесплатной доставкой0Принимаем заказыкруглосуточно    Доставка от 2 часовпо Москве и области    Телефон в Москве 24/7:+7 (499) 322-74-86Бесплатно по РФ:8 (800) 551-61-21    Отзывы                                          Оплата /                                                                                                            Доставка Корзина                        0                                                            Акции                                     270ЦветыАвторские композиции Пионы Сирень Ирисы Ромашки Орхидеи Гортензии Гипсофила Хризантемы Альстромерии Эустома (лизиантус) Подсолнухи Герберы Тюльпаны Гвоздики Ранункулюсы Лилии Анемоны Нарциссы Каллы Фрезии Розы Сухоцветы Георгины Гиацинты Мимоза Орхидеи в горшках Композиции дняРозыРозы Эквадор Пионовидные розы Кустовые розы Красные розы Белые Розы Розовые розы Кремовые розы Малиновые розы Персиковые розы Оранжевые розы Желтые Розы Сиреневые розы Розы микс Метровые розы Букет из 11 роз Букет из 19 роз Букет из 29 роз Букет из 51 розы Букет из 101 розы Букет из 201 розы Букет из 301 розы Букет из 501 розы Букет из 1001 розыКустовые розыПионовидные кустовые розы Розовые кустовые розы Малиновые кустовые розы Белые кустовые розы Оранжевые кустовые розы Желтые кустовые розы Красные кустовые розы Букет из 15 кустовых роз Букет из 25 кустовых роз Букет из 51 кустовой розы Букет из 101 кустовой розы Коробки с кустовыми розами Коробка кустовых роз S Коробка кустовых роз XL Коробка кустовых роз XXLБукетыАвторские букеты Букеты роз Букеты тюльпанов Букеты с кустовыми розами Букеты ромашек Букеты из маттиолы Букеты ирисов Букеты из орхидей Букеты из гербер Букеты подсолнухов Букеты из эустомы Букеты из альстромерии Букеты гортензий Букеты гипсофилы Букеты лилий Букеты пионов Букеты из анемонов Букеты с ранункулюсами Букеты из гвоздик Букет из хризантем Букеты из конфет Свадебные букеты Букеты до 3000 рублейЦветы в коробкахЦветы в сумках Коробки шкатулки с цветами Авторские коробки Коробка из 19 роз Коробка из 29 роз Коробка из 51 розы Коробка из 101 розы Коробка из 201 розы Цветы в конусе Розы в коробке Кустовые розы в коробке Пионовидные розы в коробке Тюльпаны в коробке Ирисы в коробке Орхидеи в коробке Пионы в коробке Ромашки в коробке Коробки XXL  Ранункулюсы в коробкеЦветы в корзинахЦветы в ящиках Кустовые розы в корзине Корзина пионовидных роз Корзины с розами Сердца из роз Орхидеи в корзине Герберы в корзине Ирисы в корзине Ромашки в корзине Хризантемы в корзине Пионы в корзине Имена из роз в корзине Корзина из 29 роз Корзина из 51 розы Корзина из 101 розы Корзина из 201 розы Корзина из 301 розы Корзина из 501 розы Корзина из 1001 розы Ранункулюсы в корзине Новогодние корзиныФруктовыеКлубника в шоколаде Букеты из клубники Букеты из ягод Букеты из фруктов Фруктовые корзины Клубничные корзины Ягодные корзиныПодаркиСвязки шаров с гелием Мягкие игрушки Макаруны/Печенье Бомбочки и соль для ванн Свечи Конфеты Открытки Топперы Вазы Подарочные пакеты Воздушные шары Коробки УпаковкаДОСТАВКА ЦВЕТОВ ПО МОСКВЕМы сотрудничаем с лучшими мировыми цветочными теплицами и гарантируем Вам что наши букеты самые свежие в виде гарантии можем выслать фото букета перед отправкой!                    Акция на Букеты Букет из 29 красно-белых роз 50 смАРТ:                31803840 Доставка бесплатно 4.00 out of 5 В корзинуУбрать                Купить в один клик             Корзина из 23 шт герберыАРТ:                10255060 Доставка бесплатно 4.00 out of 5 В корзинуУбрать                Купить в один клик             Букет пионовидных роз с ирисамиАРТ:                14906280 Доставка бесплатно 4.00 out of 5 В корзинуУбрать                Купить в один клик             коробка из роз с эвкалиптомАРТ:                20482720 Доставка бесплатно 4.00 out of 5 В корзинуУбрать                Купить в один клик             Коробка из 19 малиновых розАРТ:                47032920 Доставка бесплатно 4.00 out of 5 В корзинуУбрать                Купить в один клик             Букет из 23 герберАРТ:                3273690 Доставка бесплатно 4.00 out of 5 В корзинуУбрать                Купить в один клик             Авторский осенний букет в сумке  40смАРТ:                63293230 Доставка бесплатно 4.00 out of 5 В корзинуУбрать                Купить в один клик             Авторский букет миксАРТ:                60444690 Доставка бесплатно 4.00 out of 5 В корзинуУбрать                Купить в один клик            Показать всеАвторские композиции Авторский букет роз в сумкеАРТ:                63283170 Доставка бесплатно 4.00 out of 5 В корзинуУбрать                Купить в один клик             Авторская коробка L №3АРТ:                17686880 Доставка бесплатно 4.00 out of 5 В корзинуУбрать                Купить в один клик             Авторский букет микс с розами и эустомойАРТ:                57954700 Доставка бесплатно 4.00 out of 5 В корзинуУбрать                Купить в один клик             Авторская коробка № 56АРТ:                49458280 Доставка бесплатно 4.00 out of 5 В корзинуУбрать                Купить в один клик             Цветочная композиция МАМЕ №5АРТ:                57324760 Доставка бесплатно 4.00 out of 5 В корзинуУбрать                Купить в один клик             Цветочная композиция МАМЕ №4АРТ:                57164680 Доставка бесплатно 4.00 out of 5 В корзинуУбрать                Купить в один клик             Авторская коробка 63АРТ:                54394980 Доставка бесплатно 4.00 out of 5 В корзинуУбрать                Купить в один клик             Букет роз микс с эвкалиптом №2АРТ:                45672010 Доставка бесплатно 4.00 out of 5 В корзинуУбрать                Купить в один клик             Корзина роз микс с озотамнусомАРТ:                457010420 Доставка бесплатно 4.00 out of 5 В корзинуУбрать                Купить в один клик            Показать всеБукеты из клубники Букет с голубикойАРТ:                37367050 Доставка бесплатно 4.00 out of 5 В корзинуУбрать                Купить в один клик            Показать всеРозы Букет из 51 пионовидной розы Бубль ГумАРТ:                53886230 Доставка бесплатно 4.00 out of 5 В корзинуУбрать                Купить в один клик             Букет из 101 жёлтой розыАРТ:                15298960 Доставка бесплатно 4.00 out of 5 В корзинуУбрать                Купить в один клик             Коробка из 29 кремовых роз с зеленьюАРТ:                57904640 Доставка бесплатно 4.00 out of 5 В корзинуУбрать                Купить в один клик             Букет из 19 роз Джумилия с эвкалиптомАРТ:                59263760 Доставка бесплатно 4.00 out of 5 В корзинуУбрать                Купить в один клик             Букет из персиковой розы 51 шт 50 смАРТ:                15645380 Доставка бесплатно 4.00 out of 5 В корзинуУбрать                Купить в один клик             Букет пионовидных роз Мисти баблз и эустомы 2АРТ:                57585070 Доставка бесплатно 4.00 out of 5 В корзинуУбрать                Купить в один клик             букет из 51 сиреневой розы 60смАРТ:                19116630 Доставка бесплатно 4.00 out of 5 В корзинуУбрать                Купить в один клик             Букет из 29 красных роз (70 см)АРТ:                3174630 Доставка бесплатно 4.00 out of 5 В корзинуУбрать                Купить в один клик             Букет пионовидных роз Кети и эустомы 2АРТ:                57574380 Доставка бесплатно 4.00 out of 5 В корзинуУбрать                Купить в один клик            Показать всеЦветы в шляпных коробках коробка пионовидных сиреневых роз LАРТ:                56615730 Доставка бесплатно 4.00 out of 5 В корзинуУбрать                Купить в один клик             Коробка из 51 малиновой розыАРТ:                15606090 Доставка бесплатно 4.00 out of 5 В корзинуУбрать                Купить в один клик             Авторская коробка для тебяАРТ:                49486260 Доставка бесплатно 4.00 out of 5 В корзинуУбрать                Купить в один клик             Коробка микс кустовых розАРТ:                15486360 Доставка бесплатно 4.00 out of 5 В корзинуУбрать                Купить в один клик             Коробка розовых альстромерийАРТ:                54034160 Доставка бесплатно 4.00 out of 5 В корзинуУбрать                Купить в один клик             Авторская композиция № 31АРТ:                40975580 Доставка бесплатно 4.00 out of 5 В корзинуУбрать                Купить в один клик             Шляпная коробка из 51 пионовидных роз (XXL)АРТ:                68612770 Доставка бесплатно 4.00 out of 5 В корзинуУбрать                Купить в один клик             Коробка из 19 красных розАРТ:                16923020 Доставка бесплатно 4.00 out of 5 В корзинуУбрать                Купить в один клик             ШЛЯПНАЯ КОРОБКА С БЕЛЫМИ РОЗАМИ И ЛАГУРУСОМАРТ:                63914330 Доставка бесплатно 4.00 out of 5 В корзинуУбрать                Купить в один клик            Показать все                    Цена                    До 2000 Р2 000 - 3 000 Р 3 000 - 5 000 Р5 000 - 9 000 Р9 000 - 13 000 РОт 13000 Р                    Тип композиции                    БукетыЦветы в коробкахЦветы в корзинахФруктовые букеты                    Цвет                    Красные Белые Розовые Синие Радужные Другие                    Цветы                    Авторские композиции Пионы Сирень Ирисы Ромашки Орхидеи Гортензии Гипсофила Хризантемы Альстромерии Эустома (лизиантус) Подсолнухи Герберы Тюльпаны Гвоздики Ранункулюсы Лилии Анемоны Нарциссы Каллы Фрезии Розы  Розы Эквадор Пионовидные розы Кустовые розы Красные розы Белые Розы Розовые розы Малиновые розы Персиковые розы Оранжевые розы Сиреневые розы Розы микс Метровые розы Букет из 11 роз Букет из 19 роз   Букет из 29 роз Букет из 51 розы Букет из 101 розы Букет из 201 розы Букет из 301 розы Букет из 501 розы Букет из 1001 розы  ещё +14 скрыть  Сухоцветы Георгины Гиацинты Мимоза Орхидеи в горшках Композиции дняРОЗЫКУСТОВЫЕ РОЗЫВСЕ ЦВЕТЫЦВЕТЫ В ШЛЯПНЫХ КОРОБКАХКОРЗИНА С РОЗАМИЦветы с доставкой - это удобный и популярный способ вовремя поздравить или         выразить свою любовь благодарность или соболезнования близким людям особенно в случаях когда невозможно         присутствовать лично. Наш сервис вот уже 8 лет позволяет быстро и недорого заказать цветы и доставить их прямо         на дом в офис или в другое удобное место в пределах столицы и области.Что стоит знать о доставке цветов «РозаВам»?Качество цветов. Продаём и доставляем только красивые свежесрезанные живые цветы. Имеем собственную службу         доставки которая заботится о том чтобы цветы оставались свежими и надежно упакованы во время транспортировки         и в качестве гарантии можем выслать фото готового букета или композиции цветов перед отправкой!Скорость доставки. Осуществляем срочную доставку в течение 2-х часов с момента заказа без дополнительной платы.Ассортимент и выбор цветов. В каталоге интернет-магазина «РозаВам» вы найдёте тысячи фото букетов и композиций         из цветов в коробках и корзинах с подробными описаниями и ценами. Все наши цветы из лучших тепличных комплексов России Голландии Кении Италии и Эквадора. Можно выбрать любой понравившийся букет композицию         или собрать уникальный заказ с нашим флористом. Особой популярностью у наших покупателей пользуются розы пионы тюльпаны         лилии герберы орхидеи ромашки и хризантемы. Вы можете выбрать букет в определенной цветовой гамме или стиле таком как романтический яркий или минималистический.Цены и способы оплаты. В магазине цветов «РозаВам» Вы найдёте недорогие букеты по цене от 1690 руб. Каждый день мы предоставляем         возможность выбрать и купить цветы со скидкой дешево по акции в соответствующем разделе. Оплатить можно наличными курьеру         при получении заказа или банковской картой по платёжной ссылке (без комиссии) онлайн прямо на странице оформления заказа.Оформление и обработка заказа. Процесс заказа цветов осуществляется онлайн. Самый быстрый способ - это выбрать желаемый букет или композицию        и нажать КУПИТЬ В ОДИН КЛИК - откроется специальная форма где нужно указать только контактный номер телефона и далее нажмите Отправить. Другой способ - добавьте         В КОРЗИНУ нужное и в специальной форме или на странице Корзины нажмите Заказать и заполните следующие данные: Ваш контактный номер телефона или получателя адрес         дата и время доставки. По желанию можно указать своё имя и/или получателя дополнительные данные об адресе а также свои пожелания в поле Комментарий и другие         детали (можно добавить открытку к заказу ввести промокод выбрать дополнительные подарки и услуги). Ещё один быстрый способ - сразу позвонить по номеру +7 (499) 322-74-86         особенно если есть сомнения что выбрать нужен совет или любая другая помощь по оформлению и оплате заказа. Приём заказов и звонков ведётся ЕЖЕДНЕВНО и КРУГЛОСУТОЧНО.         После получения заказа цветочный сервис «РозаВам» обрабатывают его. Это включает подготовку букета или композиции упаковку при необходимости добавление дополнительных подарков и оформление открытки.Условия оплаты. Вы можете оплатить заказ онлайн на сайте или при получении букета.Условия  и стоимость доставки. Доставляем цветы и подарки ежедневно круглосуточно. Минимальная сумма заказа: 1000 руб. Стоимость доставки по Москве в пределах МКАД:        БЕСПЛАТНО при сумме заказа более 3500 руб300 руб. при сумме заказа менее 3500 рубС тарифами на доставку за пределы МКАД в города МО Вы можете ознакомиться на странице Оплата/Доставка.Возможен самовывоз круглосуточно без выходных по адресу: г. Москва Рижская площадь 9А стр. 2.Подтверждение заказа и оплаты. После успешного завершения каждого этапа предоставляем клиенту подтверждение в виде электронного уведомления.Отзывы и репутация. За 8 лет непрерывной работы мы накопили тысячи отзывов в которых отражается любовь и благодарность к сервису «РозаВам».         Отзывы можно найти как на сайте rozavam.ru так и в открытом доступе на различных сайтах и платформах которым Вы доверяете. С их помощью а лучше на собственном         опыте Вы сможете сделать личные выводы о надёжности и качестве обслуживания нашей компании а также уровне удовлетворённости.Доставка в определённое время. На странице оформления заказа Вы можете указать точное время или выбрать удобный интервал в течение которого букет должен         быть доставлен получателю. Это особенно полезно если хотите поздравить удивить своих близких коллег или начальника в определенный день или час.Дополнительные подарки и услуги. Помимо цветов к заказу можно добавить открытки топперы воздушные шары мягкие игрушки конфеты макаруны (печенье)         клубнику в шоколаде фруктовые или ягодные букеты и корзины вазы ароматные свечи и другие подарки. Из дополнительных услуг у нас есть:        Анонимная доставка. Хотите сделать сюрприз близкому человеку? Получатель не узнает Ваше имя и тип подарка вплоть до момента вручения и прочтения открытки. Указать «Доставить анонимно» необходимо при оформление заказа.Доставка без адреса. Вы не знаете адрес получателя? Укажите номер его телефона и мы самостоятельно согласуем с ним удобное место и время вручения букета. Сделать это можно в форме заказа указав номер телефона в поле «Получатель».Также предлагаем услуги профессиональных флористов которые помогут создать индивидуальный букет по запросу клиента а также дадут консультации по уходу за цветами.Особые события и поводы. Заказ и доставка цветов у клиентов «РозаВам» особенно популярны во время праздников таких как День рождения Свадьба День святого Валентина         (или День всех влюблённых) 14 февраля Международный женский день 8 марта День знаний 1 сентября День учителя 5 октября День матери 26 ноября (последнее воскресенье ноября) Новый год 1 января и другие. Компания «РозаВам»         всегда предлагает специальные букеты и композиции связанные с этими событиями.Бесплатная доставка от 3500 рублей Доставка по Москве от 2 часовО насТелефон для связи:                                                         +7 (499) 322-74-86                                                            Принимаем заказы круглосуточно                                                                                                                Доставка от 2 часов  по Москве и области                                                        ПолезноеКаталогОплата/ДоставкаОтзывыКонтактыУсловия обработки персональных данныхRozaVam.ru  - Доставка цветов в Москве                 0×                        Корзина                                            Шаг 2: Оформление заказа                     Продолжить покупки   Заказать  ИТОГО:  Заказать звонок×  Задать вопрос ×Вы незаполнили необходимые поля!Имя*Email/Телефон*Комментарий Отправить                          Ваш вопрос отправлен. В ближайшее время с Вами свяжется наш менеджер.                    ×ЗаявкаТелефон:Букет:ЗакрытьОтправитьАвторизация+7Войти                    Отправить SMS на                                                                                                    указанный номер                    РегистрацияЗабыли пароль?Отменить            Регистрация на rozavam.ru+7Зарегистрироваться                    Отменить</t>
  </si>
  <si>
    <t>rozavam.ru</t>
  </si>
  <si>
    <t>Букет из 5 веточек розовой гипсофилы</t>
  </si>
  <si>
    <t>https://florcat.ru/catalog/gipsofila/buket_iz_5_rozovykh_gipsofil/</t>
  </si>
  <si>
    <t>Доставка цветов в Санкт-Петербурге недорого - Интернет-магазин цветов Флористка КэтЛичный кабинетАкции Бестселлеры Осень Сборные букеты Зимние букеты Розовые букеты Лиловые букеты Мужские букеты Полевые букеты В теплых оттенках Красные букеты С альстромериями С гвоздиками С гортензиями С орхидеями С пионами С розами С хризантемами С эустомой  Розы Роза Кения Пионовидная роза Роза Эквадор Кустовая роза Ароматная роза  Цветы Розы Георгины Гортензии Пионы Гвоздика (диантус) Альстромерии Гипсофила Хризантема Ирисы Орхидеи Эустома (лизиантус) Матрикарии Сухоцветы Другие цветы Лилии Тюльпаны Ранункулюс  Дуо-букеты Композиции Корзины из цветов Подарки и наборы Сухоцветы Цветочные композиции Цветы в шляпной коробке  Свадьбы Букет невесты Свадебный декор  Премиум           Каталог                  О нас                  Оплата                  Доставка                  Услуги                  Контакты                  Обратная связь        +7 (812) 425-61-03Заказать звонок+7 (812) 425-61-03Заказать звонокВернуться в каталог          Каталог                  О нас                  Оплата                  Доставка                  Услуги                  Контакты                  Обратная связь        +7 (812) 425-61-03Заказать звонок+7 (812) 425-61-03Заказать звонок              Скачайте приложение и получите 500 бонусов                          Смотреть в приложении                        Скачать          +7  (812) 429-69-87Акции Бестселлеры Осень Сборные букеты Зимние букеты Розовые букеты Лиловые букеты Мужские букеты Полевые букеты В теплых оттенках Красные букеты С альстромериями С гвоздиками С гортензиями С орхидеями С пионами С розами С хризантемами С эустомой  Розы Роза Кения Пионовидная роза Роза Эквадор Кустовая роза Ароматная роза  Цветы Розы Георгины Гортензии Пионы Гвоздика (диантус) Альстромерии Гипсофила Хризантема Ирисы Орхидеи Эустома (лизиантус) Матрикарии Сухоцветы Другие цветы Лилии Тюльпаны Ранункулюс  Дуо-букеты Композиции Корзины из цветов Подарки и наборы Сухоцветы Цветочные композиции Цветы в шляпной коробке  Свадьбы Букет невесты Свадебный декор  Премиум ВходЗарегистрироваться0Популярное        Цветочная корзина Soft    6 370 ₽6 370 ₽        Купить в 1 клик                Букет из 15 розовых гвоздик    2 450 ₽2 450 ₽        Купить в 1 клик                Сборный букет Нежность М    4 390 ₽4 390 ₽        Купить в 1 клик                Букет из 101 красной розы 40см (Кения)    9 050 ₽8 520 ₽        Купить в 1 клик                Сборный букет Summer sunset M    4 480 ₽4 480 ₽        Купить в 1 клик                Сборный букет Нежность S    2 840 ₽2 840 ₽        Купить в 1 клик                Сборный букет Bloom S    4 140 ₽4 140 ₽        Купить в 1 клик                Букет из 7 белых кустовых хризантем Bacardi    2 590 ₽2 072 ₽        Купить в 1 клик                Сборный букет Любовь М    5 450 ₽5 450 ₽        Купить в 1 клик                Сборный букет Совершенство M    4 220 ₽4 220 ₽        Купить в 1 клик                Цветочная корзина Love    12 640 ₽12 640 ₽        Купить в 1 клик                Букет пионовидных роз Pink Expression М    5 750 ₽5 750 ₽        Купить в 1 клик                Букет из 7 кустовых пионовидных роз Juliet    4 350 ₽4 350 ₽        Купить в 1 клик                Букет из 5 веточек розовой гипсофилы    1 980 ₽1 980 ₽        Купить в 1 клик                Букет из 3 розовых гортензий    3 190 ₽3 190 ₽        Купить в 1 клик                Букет из 9 веточек гипсофилы    3 210 ₽3 210 ₽        Купить в 1 клик        БукетыРозыАльстромерииПионыГипсофилаИрисыОрхидеиХризантемыАкции					В КАТАЛОГ					        Букет из 101 белой розы 50см (Кения)    10 345 ₽9 770 ₽        Купить в 1 клик                Букет из 25 красных роз 40см (Кения)    2 940 ₽2 810 ₽        Купить в 1 клик                Сборный букет Тёплое лето S    2 470 ₽2 120 ₽        Купить в 1 клик                Букет из 25 красных роз 50см (Кения)    3 795 ₽3 140 ₽        Купить в 1 клик                Сборный букет Белый с колосками S    2 680 ₽2 180 ₽        Купить в 1 клик                Букет из 51 белой розы 50см (Кения)    6 100 ₽5 550 ₽        Купить в 1 клик                Бежевая цветочная композиция    4 070 ₽3 720 ₽        Купить в 1 клик                Букет из 35 красных роз 50см (Кения)    4 410 ₽4 040 ₽        Купить в 1 клик        Свадебные букеты					В КАТАЛОГ					        Классический белый свадебный букет невесты    5 580 ₽5 580 ₽        Купить в 1 клик                Лицевой свадебный букет невесты из эустомы    6 180 ₽6 180 ₽        Купить в 1 клик                Свадебный букет невесты с орхидеей #2    4 800 ₽4 800 ₽            Под заказ                Персиковый раскидистый свадебный букет невест ...    5 450 ₽5 450 ₽        Купить в 1 клик                Свадебный букет невесты с незабудками    5 740 ₽5 740 ₽        Купить в 1 клик                Свадебный букет невесты из 15 роз Playa Blanc ...    5 750 ₽5 750 ₽        Купить в 1 клик                Светлый раскидистый свадебный букет невесты    6 390 ₽6 390 ₽        Купить в 1 клик                Нежный классический свадебный букет невесты    6 610 ₽6 610 ₽        Купить в 1 клик                Полевой свадебный букет невесты с пионом #3    4 830 ₽4 830 ₽        Купить в 1 клик                Свадебный букет невесты из 9 роз Playa Blanca ...    4 530 ₽4 530 ₽        Купить в 1 клик        Сборные букеты					В КАТАЛОГ					        Сборный букет Bloom S    4 140 ₽4 140 ₽        Купить в 1 клик                Сборный букет Черничный пай M    5 610 ₽5 610 ₽        Купить в 1 клик                Сборный букет Лиловый комплимент S    3 430 ₽3 430 ₽        Купить в 1 клик                Сборный букет Белый с колосками М    3 710 ₽3 710 ₽        Купить в 1 клик                Сборный букет Совершенство M    4 220 ₽4 220 ₽        Купить в 1 клик                Букет в коробке Sweet pink    6 380 ₽6 380 ₽        Купить в 1 клик                Сборный букет Любовь с первого взгляда    7 250 ₽7 250 ₽        Купить в 1 клик                Сборный букет Дыхание весны    4 250 ₽4 250 ₽        Купить в 1 клик                Сборный букет Bloom M    8 890 ₽8 890 ₽        Купить в 1 клик                Сборный букет с пионом Ванильный сироп S    4 640 ₽4 640 ₽        Купить в 1 клик                Букет в шляпной коробке Пастила    2 670 ₽2 670 ₽        Купить в 1 клик                Сборный букет Летний луг S    3 280 ₽3 280 ₽        Купить в 1 клик                Сборный букет Spring Morning    6 980 ₽6 980 ₽        Купить в 1 клик                Сборный букет Софи    5 930 ₽5 930 ₽        Купить в 1 клик        Нежные букеты        Букет из 15 роз Playa Blanca    5 750 ₽5 750 ₽        Купить в 1 клик                Цветочная корзина Soft    6 370 ₽6 370 ₽        Купить в 1 клик                Букет из 15 персиковых гвоздик с эвкалиптом    2 980 ₽2 980 ₽        Купить в 1 клик                Сборный букет Розовый комплимент    2 780 ₽2 780 ₽        Купить в 1 клик                Сборный букет Совершенство L    5 860 ₽5 860 ₽        Купить в 1 клик                Сборный букет Совершенство M    4 220 ₽4 220 ₽        Купить в 1 клик                Сборный букет Любовь L    8 560 ₽8 560 ₽        Купить в 1 клик                Сборный букет Bloom L    12 540 ₽12 540 ₽        Купить в 1 клик                Сборный букет Раннее утро    3 790 ₽3 790 ₽        Купить в 1 клик                Сборный букет Маршмеллоу M    6 180 ₽6 180 ₽        Купить в 1 клик                Сборный букет В ожидании весны S    4 730 ₽4 730 ₽        Купить в 1 клик                Цветочная композиция Sweet Heart    5 620 ₽5 620 ₽        Купить в 1 клик                Букет в шляпной коробке Розовое кружево М    3 980 ₽3 980 ₽        Купить в 1 клик                Сборный букет Утро на Сене    3 780 ₽3 780 ₽            Под заказ                Букет гортензии и пионов Strawberry Cream    4 660 ₽3 760 ₽            Под заказ        Красные розы        Букет из 25 красных роз 40см (Кения)    2 940 ₽2 810 ₽        Купить в 1 клик                Букет из 101 красной розы 40см (Кения)    9 050 ₽8 520 ₽        Купить в 1 клик                Букет из 25 красных роз 50см (Кения)    3 795 ₽3 140 ₽        Купить в 1 клик                Букет из 101 красной розы 50см (Кения)    12 100 ₽9 770 ₽        Купить в 1 клик                Букет из 11 красных роз 50см    3 920 ₽3 920 ₽        Купить в 1 клик                Букет из 15 красных роз 50см    5 190 ₽5 190 ₽        Купить в 1 клик                Букет из 51 красной розы 50см (Кения)    6 825 ₽5 550 ₽        Купить в 1 клик                Букет из 25 красных роз 50см    8 410 ₽8 410 ₽        Купить в 1 клик                Букет из 51 красной розы 50см    14 630 ₽14 120 ₽        Купить в 1 клик                Букет из 25 бордовых роз 60см (Кения Премиум)    3 590 ₽3 030 ₽            Под заказ                Букет протей и роз Explorer    6 850 ₽6 850 ₽        Купить в 1 клик                Букет в шляпной коробке из 75 красных роз (Ке ...    9 980 ₽6 990 ₽            Под заказ        Отзывы		ОСТАВИТЬ ОТЗЫВ	                13.10.202217:06:25			AlenaKhodas					                    Мне очень понравился магазинслучайно искала поздно вечером цветочный который работает 24ч. И заехала в Florcatобожаю места с душойкогда и красивои уютнои                                                                        цветочки свежие. Девушка очень милаязашла со мнойа потом не мешаладала возможность мне самой определиться с цветами                        Еще                20.09.202213:16:03			Дарья					                    Спасибо огромное за вашу доставку ! Букет - шикарный ! Доставка в срок !                    				                08.09.202214:46:32			Andrew					                    Персонал и цветы-5 сайт(не работает ссылка в личный кабинет) 1. Итого -4                     				                01.09.202221:19:33			Наталья					                    Заказала два букета дочери на свадьбу bloom s и букет из 51 белый розы. В день доставки прислали фото готовых букетов                                                                        курьер приехал во время. Цветы наисвежайшие аромат приятный и не навязчивый. Молодцы флористы профессионалы своего дела! Спасибо огромное! Успехов Вам и неиссякаемых идей для Ваших великолепных букетов!                         ЕщеВы спрашиваете мы отвечаемВозможно ли получить фото готового букета?											Да конечно! Мы обязательно высылаем фотографии готового букета на согласование чтобы вы не переживали :)Исключение - праздничные дни в которые мы не высылаем фото букетов из-за загруженности.									Нужно ли доплачивать за доставку?											У нас есть разные опции доставки а также зоны - например заказы по Санкт-Петербургу доставляем бесплатно а букеты в Ленинградскую область - за дополнительную плату.. Также у нас есть услуга ночной доставки и доставка к точному времени если бесплатные интервалы не подходят :)									Как оплатить заказ?											Оплатить заказ можно любым удобным способом: у наших курьеров есть терминалы и возможность принять наличные а если у вас заказ для другого человека - примем оплату онлайн :)									Как оформить заказ на доставку цветов?											Для оформления заказа вам потребуется выбрать букет и нажать на кнопку «Оформить заказ». Затем заполнить информацию об отправителе и получателе и выбрать желаемый способ оплаты. После совершения оплаты курьер доставит выбранные цветы в желаемое время по указанному адресу :)														Florcat.ru – круглосуточная доставка цветов в Санкт-Петербурге					 Florcat.ru – круглосуточная доставка цветов в Санкт-Петербурге с особенными букетами из свежих цветов украшенных раскидистой зеленью и стильной фирменной упаковкой.	 Florcat.ru доставляет свежие цветы и прекрасное настроение с 2019 года. Мы с любовью и мастерством создаем букеты и композиции в шляпных коробках корзинах и ящичках учитывая каждое пожелание и сохраняя наш собственный стиль а также разделяем с Вами подготовку к мероприятиям и свадьбам: подбираем букеты для невест и оформляем пространства к предстоящим торжествам.	 Закажите цветы с доставкой в СПб и Ленинградскую область или приходите за заказом в одну из наших студий дополните букет стильной вазой ароматной соевой свечой воздушными шарами или сладостям и будьте уверены что подарок принесёт дорогому Вам человеку массу положительных эмоций.Наши преимущества:Подбираем лучшие предложения из свежих цветовОтправляем фотографии букета перед доставкойДоставляем заказы круглосуточноКак заказать цветы с доставкой и оформить самовывоз:Позвоните или напишите нам в удобном для Вас мессенджере. Мы зарегистрированы в WhatsApp Viber и TelegramОформите заказ на нашем сайте: добавьте понравившийся букет в корзину и заполните формуПосетите наш Instagram покажите нам понравившийся букет и укажите информацию о себе и получателеОжидайте нашего быстрого курьера у порога квартиры или приходите в одну из наших круглосуточных студий расположенных по следующим адресам:		 Типанова 38			 Профессора Попова 27			 Ищете цветы с доставкой в СПб? Доверьтесь нам! :)	             Букеты          Наши акцииСборные букетыСвадебные букетыКорзины с цветамиБукеты в коробке             Цветы          Букеты из розБукеты из хризантемБукеты из тюльпановБукеты из пионовДругие цветы             Другое          СладостиОткрытки и топперыИгрушки и воздушные шарыВазы свечи и диффузоры             Клиентам          О насУслугиОплатаДоставкаГарантия качестваВажная информацияКонтактыБлог Телефон +7 (812) 425-61-03 Обратная связь Заказать звонокWhatsApp / Viber / Telegram +7 (905) 212-10-22Мы в соцсетях: Vkontakte InstagramИП Александрова Ю. Р. | ИП Аббясов Л. Р.196233 Санкт-Петербург ул. Типанова д. 38 Пользовательское соглашение © Florcat 2023           Представленная на сайте информация не является публичной офертой определяемой положениями Статьи 437 Гражданского кодекса РФ.          Букет добавлен в корзинуВходE-mailПарольВойтиЗабыли пароль?Восстановить доступE-mailОтправитьВспомнил! ВойтиОбратная связьИмяНомер телефонаEmailКод на картинке          Я соглашаюсь на обработку моих персональных данных в соответствии с Пользовательским соглашением.        ОтправитьЗаказать звонокИмяНомер телефона          Я соглашаюсь на обработку моих персональных данных в соответствии с Пользовательским соглашением.        Код на картинкеОтправитьПолучить консультацию декоратораЗаполните информацию ниже и ожидайте обратной связи :)ИмяНомер телефона           Я соглашаюсь на обработку моих персональных данных в соответствии с Пользовательским соглашением.        ОтправитьСкачайте наше приложение500 бонусов при регистрацииКешбек 10% с каждого заказаБесплатная доставка по Санкт-ПетербургуФото букета перед доставкойВсегда свежие цветы и гарантия качестваСкачатьОставить отзывИмяВаша оценка *Комментарий *          Я соглашаюсь на обработку моих персональных данных в соответствии с Пользовательским соглашением.        ОтправитьКупить в один кликИмяНомер телефонаКод на картинке            Я соглашаюсь на обработку моих персональных данных в соответствии с Пользовательским соглашением.          Купить            Данного товара сейчас нет в            наличии в студиях.                        Мы проверим возможность заказа            цветов специально к вашей дате и            свяжемся с вами :)          ИмяНомер телефонаКод на картинке            Я соглашаюсь на обработку моих персональных данных в соответствии с Пользовательским соглашением.          Заказать</t>
  </si>
  <si>
    <t>florcat.ru</t>
  </si>
  <si>
    <t>цена, заказать букеты из гипсофил с доставкой в Москве в ...</t>
  </si>
  <si>
    <t>Букет гипсофил с доставкой в Москве ☎ 8 495 788 70 08 из магазина ✿ ПРОСТОЦВЕТЫ.</t>
  </si>
  <si>
    <t>https://www.prostocvet.ru/catalog/bukety/gipsofila/</t>
  </si>
  <si>
    <t>www.prostocvet.ru</t>
  </si>
  <si>
    <t>Гипсофила - как ухаживать, когда и кому дарить</t>
  </si>
  <si>
    <t>https://market-flora.ru/stati/gipsofila.html</t>
  </si>
  <si>
    <t>208.75.19.153 12.11.2023 09:45:22Sorry your request has been denied.</t>
  </si>
  <si>
    <t>market-flora.ru</t>
  </si>
  <si>
    <t>Гипсофилы, купить в Москве, СРОЧНО за 29 мин, ...</t>
  </si>
  <si>
    <t>Гипсофилы на Flowwow. ✨ БЫСТРАЯ доставка: отслеживание курьера на карте! ✨ ВЫГОДНЫЕ цены от 1250 руб на букет гипсофилы, работаем 24/7.</t>
  </si>
  <si>
    <t>Купить букеты из гипсофилы по цене от 990₽ в Москве</t>
  </si>
  <si>
    <t>На сайте представлен огромный выбор букетов из Гипсофилы по низким ценам. Доставка цветов в Москве в течение 2 часов. Перед оформлением заказа доступно ...</t>
  </si>
  <si>
    <t>https://flawery.ru/moscow/bouquets/flowers-gipsofila/</t>
  </si>
  <si>
    <t>Гипсофила: виды, посадка, размножение и уход</t>
  </si>
  <si>
    <t>https://flowers.ua/ru/articles/gipsofila-vidy-posadka-razmnozhenie-i-uhod</t>
  </si>
  <si>
    <t xml:space="preserve">Доставка квітів по Україні та світу: замовте букет квітів з доставкою по Україні на Flowers.ua(044) 585-88-99— Київ0-800-357-000— Безкоштовний+1-718-475-92-72— Нью-Йорк(067) 355-77-55— КиївстарІнші телефони(044) 585-88-99— Київ0-800-357-000— Безкоштовний+1-718-475-92-72— Нью-Йорк(067) 355-77-55— Київстар(056) 790-98-00— Дніпро(048) 734-41-99— Одеса(057) 728-51-99— ХарківМи працюємо цілодобово                    укр                                    руc                                    eng                                Допомога онлайн                            Статус замовлення                                    Статус замовлення                    укрПро Flowers.uaДоставка та оплатаГарантії якостіВідгукиЗворотній зв′язокСпівпрацяБажаю подарувати                    Акційні букети                     ХІТ продажів                                    Гаряча пропозиція                                    Новинки                                    Елітні букети                                    Квіти коханій                                    День народження                                    Букети тижня                                    Букети квітів                                    Букети тюльпанів та ірисів                                    Збірні букети                                    Квіти в коробці                                    Квіткові кошики                                    Подарунки                     Назад                        М'які іграшкиПовітряні кулькиПодарункові корзиниЦукерки та інші солодощіТортиКошики фруктівДекор для інтер'єру        Квіти                        Назад            ТрояндиХризантемиСезонні квітиАльстромеріїЗбірний букетТюльпаниОрхідеїТроянди кущовіЕустоми        Кому                        Назад            Квіти жінціКвіти чоловіковіКвіти коханійКвіти маміКвіти дитиніДіловому партнеру        Нагода                        Назад            День народженняНародження дитиниЛюблюВесілляБізнес        По ціні                        Назад            до 700 грн700 - 1000 грн1000 - 1500 грнвід 1500 грн                Доставка в                                                                            Київ                                                                                        (змінити регіон)                                                Доставка квітів                     по                                             Києву                                                                  —                                                                             безкоштовно                        Показати ціни в UAHUSDEUR            ХІТ продажів        -15%                            Букет в ЕКО упаковці "15 червоних троянд"                        799 грн940 грн                    Замовити                -35%                            Букет з 25 червоних троянд                        1099 грн1691 грн                    Замовити                -40%                            Букет з 51 червоної троянди                        1999 грн3332 грн                    Замовити                -45%                            101 червона троянда                        3759 грн6835 грн                    Замовити                            Гаряча пропозиція                    Переглянути все                    Сортирувати:                                    дешеві                                            дорогі                    -20%                            15 троянд Athena Royale (Кенія)                        659 грн824 грн                    Замовити                -10%                            Квіти в коробці “19 троянд Pink Athena”                        899 грн999 грн                    Замовити                -40%                            101 троянда Athena Royale (Кенія)                        2759 грн4598 грн                    Замовити                -20%                            Букет "29 червоних троянд"                        1199 грн1599 грн                    Замовити                -45%                            101 троянда Pink Athena (Кенія)                        3099 грн5635 грн                    Замовити                -30%                            21 троянда Athena Royale (Кенія)                        799 грн1141 грн                    Замовити                                            Букет “Відтінки кохання”                        1899 грн2713 грн                    Замовити                -35%                            51 троянда Athena Royale (Кенія)                        1399 грн2152 грн                    Замовити                            Букети квітів                    Переглянути все                    Сортирувати:                                    дешеві                                            дорогі                    -20%                            Гігантський бежевий ведмедик і 25 червоних троянд                        2459 грн3074 грн                    Замовити                                            Акція! "51 біла троянда"                        1659 грн2765 грн                    Замовити                                            Букет "Краса"                        1199 грн1332 грн                    Замовити                -20%                            Букет в упаковці "21 червона троянда!"                        1159 грн1449 грн                    Замовити                -10%                            Букет "Казка мого життя"                        1659 грн1843 грн                    Замовити                                            Гігантський букет троянд                        2859 грн3364 грн                    Замовити                -15%                            Букет "Чарівність" з повітряними кульками                        1359 грн1699 грн                    Замовити                -35%                            Акція! "25 білих троянд"                        999 грн1537 грн                    Замовити                -35%                            Букет з 35 червоних троянд                        1659 грн2552 грн                    Замовити                -10%                            Букет "Лісова німфа"                        1159 грн1288 грн                    Замовити                -20%                            Букет в ЕКО упаковці "7 червоних троянд"                        459 грн574 грн                    Замовити                -20%                            Букет "Яскраві сонечка!"                        799 грн999 грн                    Замовити                -20%                            101 біла троянда                        4699 грн5874 грн                    Замовити                -15%                            Букет з 11 червоних троянд                        759 грн893 грн                    Замовити                -10%                            Букет кущових троянд                         1099 грн1221 грн                    Замовити                -10%                            Букет “Чари кохання”                        1499 грн1666 грн                    Замовити                -45%                            151 червона троянда                        5199 грн9453 грн                    Замовити                -30%                            Букет “Солодке бажання”                        999 грн1427 грн                    Замовити                -15%                            Букет "Мрії принцеси"                        1099 грн1293 грн                    Замовити                -20%                            Букет "Очей чарівність"                        2299 грн2874 грн                    Замовити                -10%                            Букет"15 різнокольорових хризантем!"                        1459 грн1621 грн                    Замовити                -15%                            Букет "25 троянд Принц Персії"                        1559 грн1834 грн                    Замовити                -15%                            Букет "15 рожевих троянд"                        999 грн1175 грн                    Замовити                -25%                            Букет троянд "Карнавал кохання"                        1599 грн2132 грн                    Замовити                -15%                            Букет "Витончений комплімент!"                        999 грн1175 грн                    Замовити                -20%                            Букет "25 троянд Джумілія"                        1459 грн1824 грн                    Замовити                -35%                            Букет "Наше щастя!"                        2859 грн4398 грн                    Замовити                -10%                            Букет "9 білих троянд"                        799 грн888 грн                    Замовити                            Букети тижня                    Переглянути все                    Сортирувати:                                    дешеві                                            дорогі                    -20%                            Букет "Солодка мелодія"                        799 грн999 грн                    Замовити                -30%                            Букет "Струни серця"                        1199 грн1713 грн                    Замовити                -10%                            Букет "Казкова осінь"                        1359 грн1510 грн                    Замовити                -10%                            Букет "Чарівний момент"                        959 грн1066 грн                    Замовити                            Букети тюльпанів та ірисів                    Переглянути все                    Сортирувати:                                    дешеві                                            дорогі                    -20%                            Букет "Королева"                        1959 грн2449 грн                    Замовити                -10%                            Букет "25 білих тюльпанів"                        1259 грн1399 грн                    Замовити                -20%                            Букет "51 білий та рожевий тюльпан"                        2299 грн2874 грн                    Замовити                -10%                            Весняний букет "9 рожевих тюльпанів"                        659 грн732 грн                    Замовити                            Збірні букети                    Переглянути все                    Сортирувати:                                    дешеві                                            дорогі                    -15%                            7 ніжних альстромерій                        699 грн822 грн                    Замовити                                            Букет "Веселка емоцій"                        1099 грн1221 грн                    Замовити                -10%                            Букет "Ранкова зоря"                        1199 грн1332 грн                    Замовити                -10%                            Букет "Квіткове блаженство"                        1559 грн1732 грн                    Замовити                                            Букет "Золотце!"                        799 грн                    Замовити                -20%                            25 різнокольорових хризантем!                        2099 грн2624 грн                    Замовити                -10%                            Букет квітів "Чудовий настрій"                        1099 грн1221 грн                    Замовити                                            Букет "Майстер та Маргарита"                        1159 грн1364 грн                    Замовити                            Квіти в коробці                    Переглянути все                    Сортирувати:                                    дешеві                                            дорогі                    -30%                            Квіти в коробці "101 біла троянда"!                        3799 грн5427 грн                    Замовити                -30%                            Квіти в коробці "25 червоних троянд!"                        1859 грн2656 грн                    Замовити                -20%                            Квіти в коробці "Ніжні обійми"                        1599 грн1999 грн                    Замовити                -10%                            Квіти в коробці "Тільки для тебе" + Raffaello                        1499 грн1874 грн                    Замовити                -20%                            Квіти в коробці "19 білих троянд"                        1659 грн2074 грн                    Замовити                -20%                            Квіти в коробці "Натхнення"                        1259 грн1574 грн                    Замовити                -15%                            Композиція "Це твій день!"                        4499 грн5293 грн                    Замовити                                            Квіти у коробці "Моє диво"                        399 грн443 грн                    Замовити                            Подарунки        -10%                            Подарункова корзина "Кохаю тебе"                        1399 грн1554 грн                    Замовити                -20%                            Кошик фруктів "Фруктова оаза"                        1959 грн2449 грн                    Замовити                                            Фонтан куль “Golden hearts”                        499 грн                    Замовити                -20%                            Кошик фруктів "Ароматне задоволення"                        1659 грн2074 грн                    Замовити                -15%                            Кошик фруктів "Фруктова фантазія!"                        1959 грн2305 грн                    Замовити                -10%                            Подарунковий кошик "Лавандова мрія"                        1399 грн1554 грн                    Замовити                -10%                            Кошик фруктів "Фруктовий ансамбль"                        1099 грн1221 грн                    Замовити                                            Фонтан куль "Black shine"                        659 грн                    Замовити                    Відгуки                     4.9                        з                            5            Всього12019                    Віталій                                    09.11.2023                                        1                                            2                                            3                                            4                                            5                                        Дякую гарно за доставку коханій жінці.                                Читати повністю                                Svitlana                                    09.11.2023                                        1                                            2                                            3                                            4                                            5                                        Чудовий букет дуже вам дякую! Доставка дуже швидко                                Читати повністю                                Анастасія Жукова                                    09.11.2023                                        1                                            2                                            3                                            4                                            5                                        Відмінно! Дякую                                Читати повністю                                Андрій                                    06.11.2023                                        1                                            2                                            3                                            4                                            5                                        Дякую                                Читати повністю                    Щойно доставили    Букет "Краса"        Київ            Фотогалерея            Усі фото доставок            Замовити цей товар        Наші клієнти      Переглянути все          Способи оплати     Доставка квітів по Україні та СвітуІнтернет-магазин квітів та подарунків Flowers.ua допоможе Вам у найкоротший термін доставити квіти до України та міжнародна доставка квітів та забезпечить найвищу якість сервісу.Замовлення букетів через Інтернет має цілий ряд переваг. Перш за все доставка квітів може бути замовлена не виходячи з будинку або офісу. На замовлення квітів буде потрібно декілька хвилин. При цьому ми виконуємо термінову замовлення букетів день у день. Варто також зауважити що купити квіти - це завжди приємна несподіванка для одержувача. Кур'єрська доставка квітів завжди зробить належне враження. Квіткові композиції з доставкою - це сервіс для людей зі статусом які цінують професіоналізм та якісний сервіс.Доставка букетів може супроводжуватися безкоштовною листівкою. Для замовлення букетів буде потрібно декілька хвилин. Купити квіти по Україні на нашому сайті швидко і легко.Переваги замовлення букетів у інтернет магазин квітів Flowers.uaЦілодобова доставка квітів Україна. Ви можете замовити доставка квітів Україна в будь-який час дня і ночіВиключно свіжі квіти та букети. Служба доставки квітів по Україні Flowers.ua вигідно відрізняється від звичайних магазин квітів які змушені зберігати квіти на вітрині. Всі наші букети квітів збираються чітко під замовника за рахунок цього ми доставляємо завжди тільки свіжі квіти та букети.Рівень цін і сервісу забезпечив компанії Flowers.ua позицію лідера в сервісі доставка квітів по Україні.За роки нашої роботи у сфері доставка квітів і подарунків по Україні і Світу ми отримали величезну кількість позитивних відгуків від наших клієнтів.Доставка квітів по Україні від Flowers.ua - це завжди якісно і вчасно.Експрес доставка квітів по Україні 24 години на добу: оперативна та надійнаДля багатьох доставка квітів по Україні – це унікальна і невідома поки що послуга. Телебачення та кіно перетворило її на недоступну для більшості можливість. Насправді доставка квітів та подарунків в Україні виходить на новий рівень. Служба доставки букетів презентів та солодощів Flowers.ua перекреслює всі попередні уявлення обивателів. П'ять основних переваг компанії забезпечують їй успіх та популярність у мешканців великих та периферійних міст країни. Цілодобовий режим роботи. Ми працюємо 24/7;Найсвіжіші квіткові композиції оригінальні презенти та солодощі;Широкий асортимент подарунків;Розумна цінова політика;Команда кваліфікованих фахівців (менеджерів флористів дизайнерів логістів та кур'єрів).Безліч способів оплати: PayPal Apple Pay оплата карткою Visa Mastercard та ін.У нашому інтернет-магазині квітів ми можемо запропонувати Вам широкий вибір способів оплати: PayPal оплата карткою Visa Mastercard American Express Приват24 Apple Pay оплата через термінал та багато інших. Просто зробіть замовлення та виберіть найбільш зручний спосіб із запропонованого переліку.Цілодобова доставка квітівМи пропонуємо цілодобову доставку квітів до будь-якої точки України. Крім іншого до Ваших послуг доступна міжнародна доставка квітів яка дозволить Вам відправляти прекрасні композиції своїм коханим практично в будь-яку точку земної кулі. Якщо Ви бажаєте залишитись анонімним ми зможемо Вам це забезпечити. Час забути про обмеження оскільки послуги сучасного рівня дають повну свободу та масу переваг. Залишіть пошуки квіткових магазинів не витрачайте час та сили на підбір букета. Тепер достатньо зробити один дзвінок або оформити замовлення на доставку квітів онлайн. Функціонал сайту простий і зрозумілий а досвідчені менеджери завжди готові допомогти з підбором відповідної композиції презенту або подарунка для Ваших друзів коханих та знайомих.Ми навчимо вас говорити мовою квітівУ каталозі компанії зібрані неймовірні представники флори найрозкішніші найяскравіші та найгарніші квіти здатні найкращим чином висловити ваші почуття та емоції. Надійна та оперативна інтернет доставка квітів пропонує підкреслити Ваші найчуттєвіші переживання передати свої співчуття закоханість пристрасть подяку романтичний настрій батьківську турботу. Щоб замовити квіти з доставкою варто поцікавитись у наших менеджерів значенням окремих рослин. Так фахівці служби доставки квітів знають що:Троянди традиційно символізують пристрасть закоханість яскраві почуття і симпатію що зароджується. Білі троянди заведено асоціювати зі щастям і невинністю жовті – ревнощами дружбою червоні – закоханістю та чуттєвістю;Нарциси в букеті означають марнославство самолюбство та пристрасть;Тюльпани заведено додавати до композиції щоб підкреслити багатство неперевершеність молодість і прихильність;Гвоздики передають жіночу чарівність;Гладіолуси означають щирість та відданість;Кали говорять про цнотливість і чистоту;Іриси підкреслять мудрість та спокій;Лілія – це знак благородства невинності чуттєвості;Орхідея означає витонченість та любов. Це лише основні знання про символіку квітів які дозволять Вам сказати найголовніші слова близьким рідним і друзям. Інтернет-магазин доставки квітів гарантує своїм клієнтам не тільки найширший асортимент рослин а й лише найсвіжіші квіти. Співпраця з надійними постачальниками робить нас лідерами сфери доставки адже тільки у нас можна придбати свіжі та розкішні рослини здатні вразити своєю чарівністю кожного.Доставляючи щастя ми робимо світ прекраснішимБукет – це не просто подарунок. Це вираження емоцій. Коли Ви даруєте квіти Ви передаєте свої почуття та ставлення до людини а також нагадуєте їй про те наскільки вона важлива для Вас. Квіти можна дарувати за приводом – на знак поваги чи з нагоди романтичної дати а можна й без. З Flowers.ua Ви також можете замовити букет сюрпризом щоб щиро порадувати дорогих Вам людей. Ми знаємо наскільки цінна кожна така мить тому доставка букетів для нас - це насамперед доставка щастя та радості. Доставляючи щастя ми робимо світ прекраснішим а Ваші стосунки ближчими та теплішими.Команда професіоналів Flowers.uaУ нас працюють найкращі фахівці які знають як забезпечити термінову доставку квітів додому та офісу радувати своїх клієнтів розкішними квітами солодкими презентами та м'якими іграшками. Для цього менеджери приймають замовлення у будь-який час дня та ночі без вихідних талановиті флористи створюють стильні композиції скромні та розкішні букети а спритні кур'єри відповідають за доставку квітів в Україні.Ми знаємо як дарувати позитивні емоції. У нас Ви зможете підібрати замовити та купити квіти з доставкою в будь-якому місті країни. Чудові букети квітів з доставкою – це радість закоханість подяка та позитивні емоції які стали ще доступнішими та вигіднішими. Служба доставки квітів та букетів Flowers.ua – це розумні ціни широкий асортимент та робота професіоналів. Даруйте коханим квіти віддавайте перевагу Flowers.ua.Часті питання щодо вибору квітів:В яких містах працює ваша доставка?Flowers.ua здійснює доставку по всій Україні тому Ви можете замовити квіти та подарунки у:✅ Києві✅ Одесі✅ Дніпрі✅ Харкові✅ Львовіта будь-якому іншому місті.Який букет краще обрати до Дня Народження?💕 В інтернет-магазині Flowers.ua величезний  вибір букетів до Дня Народження💕.Одні з найпопулярніших варіантів - 101 червона троянда🌹 або квіти в коробці🎁.        Замовлення в  |             Київ |                    Вінниця         |                    Дніпро (Дніпропетровськ)         |                    Житомир         |                    Запоріжжя         |                    Івано-Франківськ         |                    Кропивницький (Кіровоград)         |                    Кременчук         |                    Кривий Ріг         |                    Луцьк         |                    Львів         |                    Миколаїв         |                    Одеса         |                    Полтава         |                    Рівне         |                    Суми         |                    Тернопіль         |                    Ужгород         |                    Харків         |                    Херсон         |                    Хмельницький         |                    Черкаси         |                    Чернівці         |                    Чернігів         |                    Новомосковськ         |                    Павлоград         |                    Буча         |                    Умань         |                    Варшава         |                    Прага         |                    Відень         |            інші регіониНа інших мовах:English:Flowers to UkraineРусский:Доставка цветов УкраинаНаші телефони0-800-357-000 — Безкоштовний(067) 355-77-55 — Київстар+1-718-475-92-72 — Нью-Йорк(044) 585-88-99 — Київ(056) 790-98-00 — ДніпроМи працюємо цілодобовоe-mail:info@flowers.ua Flowers.uaПро Flowers.uaДоставка та оплатаГарантії якостіВідгукиФотогалереяЗворотній зв′язокСпівпрацяПокупцюКорисна інформаціяПублічний договірПолітика конфіденційності та повернень коштівБлогСтатус замовлення      2003 – 2023      ©      Flowers.ua        Доставка квітів Україна    XВиберіть регіон:БориспільБровариБучаВінницяВишневеДніпро (Дніпропетровськ)ЖитомирЗапоріжжяІвано-ФранківськІрпіньКиївКременчукКривий РігКропивницький (Кіровоград)ЛьвівМиколаївОдесаПолтаваРівнеСумиТернопільУжгородХарківХерсонЧеркасиЧернігівЧернівці                            Введіть номер замовлення та натисніть кнопку.                                                            Перевірити                                </t>
  </si>
  <si>
    <t>flowers.ua</t>
  </si>
  <si>
    <t>БУКЕТЫ ИЗ ГИПСОФИЛЫ - Минск</t>
  </si>
  <si>
    <t>Букеты из гипсофилы — нежные воздушные монобукеты, завоевавшие сердца! В нашем каталоге можно купить букет из белой или радужной гипсофилы с доставкой.</t>
  </si>
  <si>
    <t>https://moreroz.by/product-category/flowers/bukety-iz-gipsofily/</t>
  </si>
  <si>
    <t>Купить цветы в MoreRoz.by с доставкой по выгодной цене VkInstagramFacebookOdnoklassnikiОПЛАТА И ДОСТАВКАКОНТАКТЫПОЗВОНИ СЕЙЧАС: +375 29 701 23 52 БУКЕТЫ ИЗ ГИПСОФИЛЫБУКЕТЫБУКЕТЫ-КОМПЛИМЕНТЫ 19-55 рубБУКЕТЫ СБОРНЫЕБУКЕТЫ ИЗ РОЗБУКЕТЫ ИЗ КУСТОВЫХ РОЗБУКЕТЫ ИЗ ХРИЗАНТЕМБУКЕТЫ ИЗ ТЮЛЬПАНОВБУКЕТЫ ИЗ СУХОЦВЕТОВБУКЕТЫ ИЗ СЕЗОННЫХ ЦВЕТОВКОМПОЗИЦИИВ КОРОБКЕВ КОРЗИНЕ/ЯЩИКЕРОЖДЕСТВЕНСКИЕ ВЕНКИ И ЕЛИРИТУАЛЬНЫЕ КОРЗИНЫБУКЕТ НЕВЕСТЫКОМНАТНЫЕ РАСТЕНИЯСВАДЕБНАЯ ФЛОРИСТИКАСВАДЕБНАЯ АРКАСТОЛ МОЛОДОЖЕНОВ/ГОСТЕВЫЕ СТОЛЫСВАДЕБНЫЕ АКСЕССУАРЫМИШКИ ТЕДДИ/АКУЛЫМИШКИ ТЕДДИ 12-48 смМИШКИ ТЕДДИ 50-110 смМИШКИ ТЕДДИ 120-150 смМИШКИ ТЕДДИ 160-200 смМИШКИ ТЕДДИ 210-250 смМЯГКАЯ ИГРУШКА «АКУЛА»ПОДАРОЧНЫЕ КОРОБКИКРУГЛЫЕКВАДРАТНЫЕВ ФОРМЕ СЕРДЦАСТАТЬИДавайте знакомиться! Команда Moreroz.byЦветы на Новый год и РождествоЧто подарить на день всех влюбленных?Тюльпаны с доставкой по МинскуБукет невесты 2021Мужской букетБУКЕТ ДЛЯ МАМЫКак правильно выбрать букетКак продлить жизнь букету. Секреты флористовСвадебный букет: основные виды преимущества и недостаткиКак подобрать букет невесты к оттенку платьяМилый букет «Ромашек»Как продлить жизнь тюльпанам. Советы флористовКак определить свежесть цветов?Свадебная аркаО чем говорят цветы значение цветовЦветочная арифметикаОформление свадьбы живыми цветамиБукет Принцессы Меган МарклПОДАРОЧНЫЕ КОРОБКИЦветы для учителяМишки Тедди плюшевые медведиКак правильно измерять купленного мишкуГарантия качества плюшевых игрушекЗачем ребенку мягкие игрушки?Наши акцииПоискMenu0Shopping Cart БУКЕТЫ ИЗ ВОЗДУШНОЙ ГИПСОФИЛЫ - ХИТ СЕЗОНАПОСМОТРЕТЬ ВСЕОСЕННЯЯ КОЛЛЕКЦИЯ СВАДЕБНЫХ БУКЕТОВВЫБРАТЬ БУКЕТРАБОТАЕТ ДОСТАВКА ПО МИНСКУОФОРМИТЬ ЗАКАЗПредыдущийСледующий123БУКЕТЫ ИЗ ГИПСОФИЛЫБУКЕТЫ ИЗ СУХОЦВЕТОВКОМПОЗИЦИИ В КОРОБКАХ/КОРЗИНАХСВАДЕБНАЯ ФЛОРИСТИКААВТОРСКИЕ БУКЕТЫРОЖДЕСТВЕНСКИЕ ВЕНКИ И ЕЛИЛИДЕРЫ ПРОДАЖБукет «Лавандовые облака»74.00 BYNБукет «Ласковые мечты»163.44 BYN 151.22 BYNАкция!Букет гипсофилы «Градиент»89.00 BYN 85.00 BYNАкция!Букет из 9 белых роз с лимониумом45.00 BYN 43.00 BYNАкция!Корзина «Ромашки»55.00 BYN 53.00 BYNАкция!Коробка «Северное сияние»73.54 BYN 67.00 BYNАкция!Коробка гипсофилы «В ожидании чуда»82.80 BYN 80.54 BYNАкция!Огромный букет гипсофилы127.90 BYN 115.00 BYNАкция!ПредыдущийСледующийОнлайн оплата:Принимаем карты:Visa Visa Electron MasterCard карта рассрочки «Халва»КАК СДЕЛАТЬ ЗАКАЗДОСТАВКА 24/7Доставим букет в лучшем виде в любую точку Минска. Доставка выполняется с 8 до 20. С 20 до 8 по предварительному согласованию.Открытки с посланием для любимыхПодпишем от Вашего имени милую  авторскую открытку ЦЕНА-КАЧЕСТВОВыгодное соотношение цены и качества приятно Вас удивит. Наша цель – сделать красоту доступной для каждого.УДОБНЫЙ ГРАФИК РАБОТЫ:ЕЖЕДНЕВНО с 8.00 до 20.00ХОТИТЕ СДЕЛАТЬ ЗАКАЗ ИЛИ ПОЛУЧИТЬ КОНСУЛЬТАЦИЮ? ОСТАВЬТЕ КОНТАКТНЫЙ ТЕЛЕФОН И МЫ ПЕРЕЗВОНИМ!  Красивые букеты и свежие цветы с доставкой по МинскуЦветы — это отличный способ показать выражение своих чувств родным и близким. Они будут к месту на дне рождении любимой жены мамы или подруги. Цветы помогут поднять настроение тому кому их дарят и одновременно тому кто дарит. Цветы — это один из важнейших атрибутов на любом мероприятии.В Moreroz.by Вы можете купить свежие цветы отличного качества с доставкой по Минску. В каждый букет мы вкладываем свою душу и можем на языке цветов сказать «Люблю» «Спасибо» «Ты самая лучшая»… В нашем магазине можно заказать оригинальный букет любой сложности и ценовой категории а также купить розы из Кении Эквадора Голландии и конечно же цветы белорусских производителей.Мы ценим Ваше время поэтому заказать букет онлайн можно через форму сайта и мы в кратчайшие сроки доставим его в лучшем виде адресату.В нашем магазине Вы найдете приятные дополнения к букету в виде милой открытки или плюшевого Тедди.Заказать букет роз хризантем гербер ирисов тюльпанов и любых других цветов с доставкой по Минску — Moreroz.byМы с радостью поможем Вам определиться с наилучшим вариантом и подберем нужный букет!Купить букет цветов в Минске с доставкой по «Халве»- MoreRoz.by   ВРЕМЯ РАБОТЫ: С 8.00 до 20.00  без выходныхБеларусь г. Минск ул. Уборевича 56Контакты: А1          +375 (29) 169-32-90Email     info@moreroz.byИНФОРМАЦИЯ:Оплата и доставкаКонтактыЦветы оптомРеквизиты ИП Смихура Е. С.УНП 193071603 банк: ОАО ‘БПС-Сбербанк’р/с BY51 BPSB 3013 3048 4101 0933 0000 код BPSBBY2XТорговый реестр РБ №488057 от 27.07.2020© Copyright - Moreroz.by  VkInstagramFacebookOdnoklassnikiScroll to top</t>
  </si>
  <si>
    <t>moreroz.by</t>
  </si>
  <si>
    <t>Преимущества и недостатки композиций из гипсофилы</t>
  </si>
  <si>
    <t>https://vk.com/@cvetypodarki_spb-preimuschestva-i-nedostatki-kompozicii-iz-gipsofily</t>
  </si>
  <si>
    <t>Разноцветные гипсофилы — купить букет в Москве по ...</t>
  </si>
  <si>
    <t>Разноцветные гипсофилы — доставка букетов цветов на дом в Москве от интернет-магазина Magic Flower по выгодным ценам. Заказывайте прямо сейчас: +7 (499) ...</t>
  </si>
  <si>
    <t>https://magicalflower.ru/tsvety/gipsofila/raznocvetnye-gipsofily/</t>
  </si>
  <si>
    <t>Цветная гипсофила. Тренд 2021 года. - Flowers Valley</t>
  </si>
  <si>
    <t>https://flowersvalley.ru/blog/cvetochnoe-vdohnovenie/cvetnaya-gipsofila-trend-2021-goda</t>
  </si>
  <si>
    <t xml:space="preserve">Главная | Flowers Valley  Екатеринбург +7 (958) 234-33-92    +7 (953) 603-64-82   КонтактыДоставкаОплатаПомощьВопрос- ответ (FAQ)Безопасность и конфиденциальностьСлужба поддержки клиентовНаши направленияДоставка цветовДоставка воздушных шаровУслуги по оформлению помещенийАкцииПодаркиВкусные подаркиЦветы оптомБлог Toggle navigationменюРОЗЫ Акция на букетыБукеты из 15 розБукеты из 25 розБукеты из 35 розБукеты из 51 розыБукеты из 101 розыКустовые розыПроизводители розРоссияЭквадорКенияЦвет розБелаяКраснаяРозоваяЖелтаяОранжеваяКремоваяМалиноваяРазноцветные розыСиние розыВсе розыКустовые розыПионовидные розыРозы в коробочкахКорзинки с розамиСердца из розДень рождения Лучшие продажиДля ребенкаДля жены | Для девушкиДля мамыДля друзейГоршечные растения на День рожденияКомпозиции на День рожденияВоздушные шары на День рожденияПодарочные корзиныВсе подарки на День рожденияПовод С новорожденнымЛюбовь и романтикаДень рожденияСвадьбаБукет невестыБраслет для невестыБутоньеркаСвадебные композицииПодарочные букеты молодоженамБлагодарюКомплиментТраурЮбилейДень материНовый год8 Марта25 ЯнваряРождество14 Февраля23 Февраля1 СентябряДень учителяЦветы Лучшие продажиРозыПионыТюльпаныИрисыХризантемыЛилииГерберыОрхидеиГортензииГвоздикиАльстромерииЭксклюзивные букетыВсе букетыРомашкиЭустома (Лизиантус)Кустовые розыСухоцветы ГипсофилаКаллыЛавандаПодсолнухиПротеиГеоргиныГоршечные растения Цветущие растенияВечнозеленые растенияОрхидеи и экзотические цветыКорзины с горшечными цветамиВсе горшечные растенияКомпозиции Цветы в коробочкахКорзинки с цветамиСердца из цветовЦветы в деревянных ящичкахПодарки Воздушные шарыМягкие игрушкиВазыКорзины с фруктамиКорзины продуктов и сладостейПодарочные наборыКорзиныАКЦИИ                          search                       search                         Позвонить/написать           Позвонить/написать    +7 (953) 603-64-82  Позвонить нам:                       sales_91116                  +7 (953) 603-64-82  Написать нам:                       sales_91116                                   Онлайн чат           search                    Вход/регистрация           ВходРегистрация         0              Корзина           Toggle navigationменюРОЗЫ Акция на букетыБукеты из 15 розБукеты из 25 розБукеты из 35 розБукеты из 51 розыБукеты из 101 розыКустовые розыПроизводители розРоссияЭквадорКенияЦвет розБелаяКраснаяРозоваяЖелтаяОранжеваяКремоваяМалиноваяРазноцветные розыСиние розыВсе розыКустовые розыПионовидные розыРозы в коробочкахКорзинки с розамиСердца из розДень рождения Лучшие продажиДля ребенкаДля жены | Для девушкиДля мамыДля друзейГоршечные растения на День рожденияКомпозиции на День рожденияВоздушные шары на День рожденияПодарочные корзиныВсе подарки на День рожденияПовод С новорожденнымЛюбовь и романтикаДень рожденияСвадьбаБукет невестыБраслет для невестыБутоньеркаСвадебные композицииПодарочные букеты молодоженамБлагодарюКомплиментТраурЮбилейДень материНовый год8 Марта25 ЯнваряРождество14 Февраля23 Февраля1 СентябряДень учителяЦветы Лучшие продажиРозыПионыТюльпаныИрисыХризантемыЛилииГерберыОрхидеиГортензииГвоздикиАльстромерииЭксклюзивные букетыВсе букетыРомашкиЭустома (Лизиантус)Кустовые розыСухоцветы ГипсофилаКаллыЛавандаПодсолнухиПротеиГеоргиныГоршечные растения Цветущие растенияВечнозеленые растенияОрхидеи и экзотические цветыКорзины с горшечными цветамиВсе горшечные растенияКомпозиции Цветы в коробочкахКорзинки с цветамиСердца из цветовЦветы в деревянных ящичкахПодарки Воздушные шарыМягкие игрушкиВазыКорзины с фруктамиКорзины продуктов и сладостейПодарочные наборыКорзиныАКЦИИ                          search                       АКЦИИ-29%Цена снижена                Букет из пионов                                         ₽ 2340 - 22200                        ₽                            1730                                                                            - 16450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дней....-72%Цена снижена                Букет роз "Фортуна"                                         ₽ 2120 - 14700                        ₽                            990                                                                            - 6870                                               - “Доставка по согласованию”. На поставку данного товара требуется определенное время. По наличию просим уточнять у менеджеров.  за 101 шт. Главное – самая низкая цена за розы!Важно! Цветы свежие!Внимание! Букет не...-29%Цена снижена                Букет "Сахарная вата" с гортензией                                         ₽ 2730                        ₽                            2020                         - “Доставка по согласованию”. На поставку данного товара требуется определенное время. По наличию просим уточнять у менеджеров.   Очаровательные кустовые розы в сочетании с нежной гортензией расскажут о Вашем...-33%Цена снижена                Букет из кустовых роз. Спецпредложение "Фортуна"                                         ₽ 3150 - 9290                        ₽                            2250                                                                            - 6630                                               - “Доставка по согласованию”. На поставку данного товара требуется определенное время. По наличию просим уточнять у менеджеров.  за 15 шт. Букет из кустовых роз 'Фортуна' - это прекрасный выбор для тех кто хочет...                Композиция в сумочке из кустовой розы. Спецпредложение "Фортуна"             ₽                            2200                         - “Доставка по согласованию”. На поставку данного товара требуется определенное время. По наличию просим уточнять у менеджеров.   Композиця из кустовых роз 'Фортуна' - это прекрасный выбор для тех кто хочет...                Кустовая пионовидная роза в шляпной коробке. Спецпредложение "Фортуна"             ₽                            3150                         - “Доставка по согласованию”. На поставку данного товара требуется определенное время. По наличию просим уточнять у менеджеров.   Изысканная и свежая: композиция из пионовидных роз с эвкалиптомЭта...                Букет "Микс Фортуна"             ₽                            2580                         - “Доставка по согласованию”. На поставку данного товара требуется определенное время. По наличию просим уточнять у менеджеров.   "Микс Фортуна" - это прекрасный выбор для тех кто хочет порадовать своих...                Букет из пионовидных роз с рускусом. Спецпредложение "Фортуна"             ₽                            2250                                                                            - 7140                                               - “Доставка по согласованию”. На поставку данного товара требуется определенное время. По наличию просим уточнять у менеджеров.  за 15 шт. Букет из кустовых роз 'Фортуна' - это прекрасный выбор для тех кто хочет...Осенняя колекцияПосмотреть все товары раздела "Осенняя колекция" &gt;&gt;все товары раздела &gt;                Букет из гербер и матрикарии             ₽                            4400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                Букет с кустовой розой и альстромерией             ₽                            1650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                Букет Альстромерия микс             ₽                            2410                                                                            - 4190                                               - “Доставка по согласованию”. На поставку данного товара требуется определенное время. По наличию просим уточнять у менеджеров.   Внимание! Цветовая гамма  букета может отличаться от представленного на фото....                Букет из голубой гортензии и эустомы             ₽                            1610                         - “Срочная доставка” товар в наличии возможна оперативная доставка в течении дня.   Букет из нежной голубой гортензий и  эустомы в стильной упаковке станет...                Букет "Электрик" из голубой и фиолетовой гипсофилы             ₽                            2200                                                                            - 3040                                               - “Доставка по согласованию”. На поставку данного товара требуется определенное время. По наличию просим уточнять у менеджеров.   Тренд набирающий обороты - воздушное облако из цветной гипсофилы! Этот объемный...                Букет из подсолнухов и зелени             ₽                            1500                                                                            - 2100                                               - “Доставка по согласованию”. На поставку данного товара требуется определенное время. По наличию просим уточнять у менеджеров.   Солнечные и яркие подсолнухи - цветы которые дарят заряд оптимизма и жизнелюбия...Лучшие продажиПосмотреть все товары раздела "Лучшие продажи" &gt;&gt;все товары раздела &gt;-51%Цена снижена                Букет из красных роз (пр-во Россия)                                         ₽ 3040 - 21500                        ₽                            1790                                                                            - 12650                                               - “Срочная доставка” товар в наличии возможна оперативная доставка в течении дня.  за 101 шт. Букет из 101 красной розы – очень красивый и щедрый подарок Вашему любимому...                Шляпная коробка с гвоздикой             ₽                            2650                         - “Доставка по согласованию”. На поставку данного товара требуется определенное время. По наличию просим уточнять у менеджеров.   Шляпная коробка  с ароматными и нежными гвоздикамиВнимание! Цвет коробки и...                Букет из белых хризантем (про-во Россия)             ₽                            2220                                                                            - 12150                                               - “Доставка по согласованию”. На поставку данного товара требуется определенное время. По наличию просим уточнять у менеджеров.   Букет из 25 белых хризантем в дизайнерской упаковке.                Букет из разноцветных гортензий             ₽                            2190                                                                            - 4950                                               - “Срочная доставка” товар в наличии возможна оперативная доставка в течении дня.   Великолепный букет из 11 нежных гортензий в стильной упаковке станет...-29%Цена снижена                Букет розовых пионов с эвкалиптом                                         ₽ 2570 - 11400                        ₽                            1900                                                                            - 8420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                Белоснежная гипсофила в шляпной коробке             ₽                            1290                                                                            - 2410                                               - “Срочная доставка” товар в наличии возможна оперативная доставка в течении дня.   Необычная и воздушная гипсофила в шляпной коробочке! Это белоснежное облачко...                Воздушное облако из фиолетовой гипсофилы             ₽                            2200                                                                            - 2950                                               - “Доставка по согласованию”. На поставку данного товара требуется определенное время. По наличию просим уточнять у менеджеров.   Тренд набирающий обороты - воздушное облако из цветной гипсофилы! Этот объемный...                Букет розовой гипсофилы             ₽                            1850                                                                            - 2950                                               - “Доставка по согласованию”. На поставку данного товара требуется определенное время. По наличию просим уточнять у менеджеров.   Букет из 11 нежных розовых гипсофил в упаковке.-29%Цена снижена                Букет "Облачная симфония" с гортензией                                         ₽ 4030                        ₽                            2980                         - “Срочная доставка” товар в наличии возможна оперативная доставка в течении дня.   Изумительно красивый и нежный букет акцентом которого является...-29%Цена снижена                Букет из пионов и кустовой розы                                         ₽ 3230 - 5920                        ₽                            2390                                                                            - 4380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                Букет из хризантем и ромашек             ₽                            3340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дней....-37%Цена снижена                Букет из кустовой розы микс                                         ₽ 4570 - 15550                        ₽                            3150                                                                            - 10750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дней....-51%Цена снижена                Букет из белых роз (пр-во Россия)                                         ₽ 3040 - 21500                        ₽                            1790                                                                            - 12650                                               - “Срочная доставка” товар в наличии возможна оперативная доставка в течении дня.  за 101 шт. Букет из 101 белой розы – это самые нежные чувства любви это утонченный...                Букет из синих и белых хризантем             ₽                            1830                                                                            - 3570                                               - “Срочная доставка” товар в наличии возможна оперативная доставка в течении дня.   Эффектный букет кустовых хризантем в сине-белой гамме произведет неизгладимое...Букеты на День рожденияПосмотреть все товары раздела "Букеты на День рождения" &gt;&gt;все товары раздела &gt;                Шляпная коробка с разноцветными розами             ₽                            2580                                                                            - 6530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                Цветочный микс в деревянном ящичке             ₽                            3490                         - “Срочная доставка” товар в наличии возможна оперативная доставка в течении дня.   Внимание: Цвет ящичка и срезанных цветов не обязательно будет как на фото....                Корзинка с разноцветной хризантемой             ₽                            3740                                                                            - 5880                                               - “Доставка по согласованию”. На поставку данного товара требуется определенное время. По наличию просим уточнять у менеджеров.   Яркие и красочные хризантемы в корзине великолепный презент к любому...                Шляпная коробка с белой хризантемой             ₽                            1750                                                                            - 5740                                               - “Доставка по согласованию”. На поставку данного товара требуется определенное время. По наличию просим уточнять у менеджеров.   Шляпная коробка собрана из 7 белых хризантем❕ Мы гарантируем что цветы...                Шляпная коробка с кустовой розой             ₽                            3150                         - “Доставка по согласованию”. На поставку данного товара требуется определенное время. По наличию просим уточнять у менеджеров.   Шляпная коробка с кустовыми розами.Внимание! композиция может отличаться от...-29%Цена снижена                Шляпная коробка с розовыми пионами                                         ₽ 4910 - 11050                        ₽                            3630                                                                            - 8160                                               - “Доставка по согласованию”. На поставку данного товара требуется определенное время. По наличию просим уточнять у менеджеров.   Шляпная коробка с 9 розовыми пионами дополненными нежными веточками эвкалипта....                Букет из эустомы и ирисов             ₽                            2680                         - “Срочная доставка” товар в наличии возможна оперативная доставка в течении дня.   ❕ Мы гарантируем что цветы будут свежими и простоят в вазе не меньше 5 дней....-49%Цена снижена                101 красная роза  с сердечком в коробке                                         ₽ 13600 - 24750                        ₽                            8230                                                                            - 15000                                               - “Доставка по согласованию”. На поставку данного товара требуется определенное время. По наличию просим уточнять у менеджеров.   Нежная и воздушная композиция из 101 розы в коробочке чтобы покорить сердце...                Букет из кустовой розы и эустомы             ₽                            2360                                                                            - 2890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                Корзина с розой и лавандой             ₽                            3860                                                                            - 6780                                               - “Доставка по согласованию”. На поставку данного товара требуется определенное время. По наличию просим уточнять у менеджеров.    Корзина собрана из 35 белых роз дополнена серебристыми ветками экалипта и...-29%Цена снижена                Букет из пионов                                         ₽ 2340 - 22200                        ₽                            1730                                                                            - 16450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                Букет "Краски лета"             ₽                            2840                                                                            - 4970                                               - “Срочная доставка” товар в наличии возможна оперативная доставка в течении дня.   Яркий букет из разноцветных роз и альстромерий.Внимание букет может...                Букет "Женственный"             ₽                            4070                         - “Доставка по согласованию”. На поставку данного товара требуется определенное время. По наличию просим уточнять у менеджеров.   Букет из орхидей цимбидиум альстромерии кустовых роз и эустомы дополнен...Сухоцветы                Букет "Зимнее утро" с хлопком и лавандой             ₽                            3480                                                                            - 6480                                               - “Доставка по согласованию”. На поставку данного товара требуется определенное время. По наличию просим уточнять у менеджеров.   Преимущества букетов из сухоцветов заключаются в следующем:1. Это всегда...                Мини букет-комплимент из сухоцветов             ₽                            800                         - “Срочная доставка” товар в наличии возможна оперативная доставка в течении дня.   Миниатюрный букет-комплимент станет приятным жестом на первом свидании милым...                Букет из лаванды в крафте             ₽                            1460                                                                            - 3700                                               - “Срочная доставка” товар в наличии возможна оперативная доставка в течении дня.   Букет ароматной лаванды - это неповторимый презент который в любой день...                Букет лаванда и пшеница             ₽                            1640                                                                            - 2770                                               - “Доставка по согласованию”. На поставку данного товара требуется определенное время. По наличию просим уточнять у менеджеров.   Букет составленный из лаванды и колосков пшеницы несомненно станет отличным украшением дома или офиса.                 Букет "Аромат Прованса"             ₽                            3840                         - “Доставка по согласованию”. На поставку данного товара требуется определенное время. По наличию просим уточнять у менеджеров.   Нежное сочетание лаванды коробочек настоящего хлопка и мягких колосков...                Лаванда в шляпной коробке             ₽                            3060                                                                            - 5160                                               - “Доставка по согласованию”. На поставку данного товара требуется определенное время. По наличию просим уточнять у менеджеров.   Прекрасный букет из лаванды в шляпной коробке подойдет вкачестве подарка по...                Букет "Рубин"             ₽                            3820                         - “Доставка по согласованию”. На поставку данного товара требуется определенное время. По наличию просим уточнять у менеджеров.   Букет из сухоцветов в потрясающей цветовой палитре. Такой презент понравится...Цветы в шляпных коробкахПосмотреть все товары раздела "Цветы в шляпных коробках" &gt;&gt;все товары раздела &gt;                Шляпная коробка с разноцветными розами             ₽                            2580                                                                            - 6530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                Шляпная коробка с альстромерией             ₽                            2990                                                                            - 6040                                               - “Срочная доставка” товар в наличии возможна оперативная доставка в течении дня.   ❕ Мы гарантируем что цветы будут свежими и простоят в вазе не меньше 5 дней....                Шляпная коробка розы с альстромерией             ₽                            3050                         - “Срочная доставка” товар в наличии возможна оперативная доставка в течении дня.   ❕ Мы гарантируем что цветы будут свежими и простоят в вазе не меньше 5 дней....                Шляпная коробка с белой розой             ₽                            4030                                                                            - 6530                                               - “Срочная доставка” товар в наличии возможна оперативная доставка в течении дня.   ❕ Мы гарантируем что цветы будут свежими и простоят в вазе не меньше 5 дней....                Шляпная коробка с красной розой             ₽                            4720                                                                            - 8170                                               - “Срочная доставка” товар в наличии возможна оперативная доставка в течении дня.    Шикарный букет из 51 розы  шляпной коробке перевязанной изящным красным...-49%Цена снижена                101 бело-малиновая роза в коробке                                         ₽ 13600 - 24750                        ₽                            8230                                                                            - 15000                                               - “Доставка по согласованию”. На поставку данного товара требуется определенное время. По наличию просим уточнять у менеджеров.   Нежная и воздушная композиция из 101 розы в коробочке чтобы покорить сердце...                Шляпная коробка с разноцветной розой (пр-во Эквадор) - 51 шт.             ₽                            8200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дней....Цветы в корзинкахПосмотреть все товары раздела "Цветы в корзинках" &gt;&gt;все товары раздела &gt;-54%Цена снижена                Розы в корзинке. Спец. предложение "Фортуна".                                         ₽ 2840 - 5430                        ₽                            1630                                                                            - 3120                                               - “Доставка по согласованию”. На поставку данного товара требуется определенное время. По наличию просим уточнять у менеджеров.   Композиция из 15 роз в плетеной корзинке.Спец. предложение "Фортуна" -...                Корзинка с разноцветной хризантемой             ₽                            3740                                                                            - 5880                                               - “Доставка по согласованию”. На поставку данного товара требуется определенное время. По наличию просим уточнять у менеджеров.   Яркие и красочные хризантемы в корзине великолепный презент к любому...-29%Цена снижена                Композиция в корзине "Летний день" из пионов и эустомы                                         ₽ 6650 - 10750                        ₽                            4920                                                                            - 7940                                               - “Доставка по согласованию”. На поставку данного товара требуется определенное время. По наличию просим уточнять у менеджеров.   ❕ Мы гарантируем что цветы будут свежими и простоят в вазе не меньше 5 дней....                Радужная гипсофила в корзинке             ₽                            2210                                                                            - 3000                                               - “Доставка по согласованию”. На поставку данного товара требуется определенное время. По наличию просим уточнять у менеджеров.   Радужная гипсофила в корзиночке поднимет настроение я наполнит любой день яркими красками!                 Корзинка с белой и розовой хризантемой             ₽                            3850                                                                            - 4830                                               - “Срочная доставка” товар в наличии возможна оперативная доставка в течении дня.   7 белых и цветных кустовых хризантем в корзине - подарок для любого повода....                Корзинка с хризантемой и гвоздикой             ₽                            2040                         - “Доставка по согласованию”. На поставку данного товара требуется определенное время. По наличию просим уточнять у менеджеров.   Яркие и красочные хризантемы в корзине великолепный презент к любому...                Корзинка разноцветных гербер             ₽                            2250                                                                            - 3780                                               - “Срочная доставка” товар в наличии возможна оперативная доставка в течении дня.   Букет из 11 ярких разноцветных гербер в корзине.❕ Мы гарантируем что цветы...                Корзинка "Ясный день"             ₽                            1990                         - “Срочная доставка” товар в наличии возможна оперативная доставка в течении дня.   Корзинка с пушистой хризантемой и красной розой подойдет в подарок к любому...                Композиция в корзине "Летний вечер"             ₽                            1900                         - “Срочная доставка” товар в наличии возможна оперативная доставка в течении дня.   Композиция из роз и хризантем в корзинкеПодарочные наборыПосмотреть все товары раздела "Подарочные наборы" &gt;&gt;все товары раздела &gt;                Подарочный набор «С днем рождения»             ₽                            3280                                                                            - 5680                                               - “Доставка по согласованию”. На поставку данного товара требуется определенное время. По наличию просим уточнять у менеджеров.   Мы подобрали для Вас самые яркие элементы праздника. Каждая частичка из этого...                Подарочный набор «С днем рождения» шары фольга             ₽                            5700                                                                            - 6800                                               - “Доставка по согласованию”. На поставку данного товара требуется определенное время. По наличию просим уточнять у менеджеров.   Мы подобрали для Вас самые яркие элементы праздника. Каждая частичка из этого...                Подарочный набор «Романтика»             ₽                            4240                                                                            - 6940                                               - “Доставка по согласованию”. На поставку данного товара требуется определенное время. По наличию просим уточнять у менеджеров.   Класические красные розы вкуснейшие конфеты и яркие воздушные шары...                Подарочный набор «Комплимент»             ₽                            5740                         - “Доставка по согласованию”. На поставку данного товара требуется определенное время. По наличию просим уточнять у менеджеров.   Класические красные розы в шляпной коробочке вкуснейшие конфеты и яркие...Наши направления Доставка цветов РОЗЫ День рождения Повод Цветы Посмотреть все  Доставка воздушных шаров День рождения На выписку Светящиеся На свадьбу Посмотреть все  Услуги по оформлению помещений  Акции  Подарки  Вкусные подарки  Цветы оптом Цветы свежесрезанные Горшечные растения Товары для флористики Тюльпаны оптом к 8 марта                   Актуальное в блоге             Стильный и современный Новый Год Подарки на Новый ГодКак украсить свой дом к Новому году: актуальные тренды 2023 в новогодней флористике.  Зачем флористы выворачивают розы?  Интересные факты о цветахМодная техника или обман в букете? Так ли ужасна вывернутая роза? Всё о "французской" красавице а так же о том такая ли она французская расскажут наши флористы Минимализм в современных букетах. Создание современной композиции из небольшого количества материалов Цветочное вдохновениеМинимализм – это философия которая заключается в отказе от излишеств и сосредоточении на главном. Рассказываем о главном мировом тренде 2023 года МУЖЧИНЫ И ЦВЕТЫ. ИЛИ КАК НЕ ОШИБИТЬСЯ С ПОДАРКОМ? Подарки для женщинБукет ромашек или композиция в шляпной коробке? Корзиночка с хризантемами или необычный букет с экзотическим цветами? В цветочном магазине мужчинам не так-то просто выбрать лучший подарок для близкого человека. ЦВЕТОЧНОЕ ПРИЗНАНИЕ В ЛЮБВИ. САМЫЕ РОМАНТИЧНЫЕ ЦВЕТЫ Цветы и РомантикаСамый лучший способ сказать человеку "Я люблю тебя" - это несомненно подарить цветы. Традиция дарить цветы уходит далеко в прошлое и спустя время превратилась в настоящее искусство Выбираем букет на последний звонок Сделай сам - помощь рекомендации идеи подарковСтоит ли дарить букет? Какие цветы выбрать? Отвечаем на всё вопросы по порядку. Новогодние композиции на стол Подарки на Новый ГодНовогодняя традиция украшать интерьер стремительно захватывает и Россию. И одно из лучших решений - создавать декоративные украшения из нобилиса.shopping_basket0Итого₽0.00 Оформить заказ О насИнформация о компанииО компанииНаши преймущества Корпоративным клиентам Контакты Интересные фактыИнтересные факты о цветахИдеи подарков Советы по уходу за цветами Свадебное руководство ИнформацияПомощьВопрос- ответ (FAQ)Безопасность и конфиденциальностьСлужба поддержки клиентов ПокупателямКупить в магазине Цветы на день рождения Повод Композиции Горшечные растения Подарки О насНаши направленияДоставка воздушных шаровПодарки и товары для праздниковВкусные подаркиОзеленение интерьеров Цветы оптом Интересные фактыБлог Акции                 Instagram              Мы в соц.сетях                Copyright 2023 - Flowers Valley - All right reserved.       </t>
  </si>
  <si>
    <t>flowersvalley.ru</t>
  </si>
  <si>
    <t>Букет из гипсофилы "На закате"</t>
  </si>
  <si>
    <t>https://www.grand-kapriz.ru/product/buket-iz-gipsofily-oblachko</t>
  </si>
  <si>
    <t>Букеты Гипсофилы с доставкой - Минск</t>
  </si>
  <si>
    <t>Гипсофилы с доставкой. Наш магазин осуществляет доставку букетов цветов по всему Минску и за его пределами. У нас можно заказать доставку букета к определенному ...</t>
  </si>
  <si>
    <t>https://dolinaroz.by/catalog/bukety-cvetov/bukety-iz-gipsofily</t>
  </si>
  <si>
    <t>Цветы в Минске | Доставка цветов | Купить онлайн | DolinaRozПоискМенюПоискНаши магазины:ул. Алибегова 22ул. Романовская слобода 5+375 (25) 514-21-05+375 (44) 712-50-70РозыБукетыКоробкиКорзиныИгрушкиШарыПодаркиОткрыткиПоводКомуПоштучноЦветы в Минске с доставкойЦветы в коробке №3Популярный93.00 BYNБукет роз "Одри"Популярный170.00 BYNБукет роз "Родос 51"Популярныйот 135.00 BYNБукет роз "Альфия"Популярныйот 107.00 BYNБукет роз "Родос 31"Популярныйот 85.00 BYNБукет роз "Полли"Популярный64.00 BYNБукет "Улыбнись"Популярныйот 70.00 BYNСоставной букет №1Популярный98.00 BYNСоставной букет №2Популярный138.00 BYNЛучшие ценыБукет роз "Валенсия"Скидка!6%232.00 BYNБукет роз "Мишель"Скидка!11%165.00 BYNСоставной букет "Флирт"Скидка!8%110.00 BYNБукет "Луна"от 67.00 BYNБукет роз "Мои симпатии"от 162.00 BYNБукет роз "Камилла"от 112.00 BYNКупить цветы недорого DolinaRozМы имеем в наличии внушительный ассортимент цветов как белорусского производства так и импортные – Голландия Эквадор Кения Бразилия. В нашем цветочном магазине Вы можете купить практически любые цветы с доставкой по Минску или в наших розничных магазинах по низкой цене. Все срезанные цветы хранятся при правильной температуре что гарантирует отличную стойкость после покупкиКаталог представлен из множества готовых букетов из роз ромашек эустомы кустовых роз и множества других цветов. Имеем большой каталог сборных букетов в состав которых входят экзотические цветы растения зелень. Опытные флористы сделают стильный свежий букет исходя из ваших пожеланий и предпочтений.Заказать цветы можно находясь за границей ведь в нашем магазине предусмотрена онлайн оплата с помощью банковской карты из любой страны. Мы принимаем платежи с помощью всех карт где предусмотрена оплата онлайн а также есть система расчета ЕРИП для жителей Беларуси. В дополнение к букету можно выбрать необходимую открытку или вкладыш дополнив её необходимым текстом с вашим пожеланием.Бесплатная доставка цветов в МинскеХотите сделать приятный цветочный подарок с доставкой в Минске? Можете на нас рассчитывать – мы точно Вас не подведём. Информацию о заказчике без его ведома мы не разглашаем. Доставка осуществляется в удобный для Вас часовой интервал времени абсолютно бесплатно при заказе от 70 бел. рублей.В нашем магазине Вы можете заказать цветы с доставкой максимально быстрое время от заказа до получения цветов составляет 1.5-2 часа при условии что курьер свободен. Многие выбирают нашу компанию по ряду причин:Доставка по Минску в течение 2-х часов или в назначенное времяПроконсультируем при выбореБолее 1000 положительных отзывовОгромный выбор букетов из 51 и 101 розы    Низкая стоимость на розы от 1.00 рубля ромашки – от 3.5 гвоздики    от 300    Приём заказов – круглосуточно в выходные и в праздничные дни    Оплату можно осуществить удобным для вас способом (онлайн    банковской картой ЕРИП наличными и картой курьеру)Стильные цветы в коробке и корзины с розами по низким ценам10% скидка на все цветы из нашего каталога при предварительном заказе на самовывозНаши розничные магазины находятся по адресу г. Минск ул. Романовская Слобода 5 (рядом метро Немига/Фрунзенская) и Алибегова 22Режим работы &amp; Адресг. Минск ул. Алибегова 22 (Михалово/Юго-Запад)г. Минск ул. Романовская Слобода 5 (Метро Немига/Фрунзенская)+375 (44) 712-50-70+375 (44) 599-35-35dolinaroz.by@gmail.comПн - Пт - с 9:00 по 22:00Сб - с 10:00 по 22:00Вс - с 10:00 по 20:00Подписывайтесь на насЧТУП «ДолинаРоз» юр.адрес: Республика Беларусь г. Минскул. Алибегова д.22 пом. 151.Интернет-магазин зарегистрирован в торговом реестре Республики Беларусь 18 мая 2021г. под №510145 РБ.Свидетельство о регистрации №193523803 выдано 23.03.2021г. Минским горисполкомом.УНП 691607798Цветы и розы в Минске © 2022 DolinaRoz. Версия: 4.1.1</t>
  </si>
  <si>
    <t>dolinaroz.by</t>
  </si>
  <si>
    <t>Букет гипсофилы - bloomflowers.pl</t>
  </si>
  <si>
    <t>https://bloomflowers.pl/produkt/bukiet-gipsowki/?lang=ru</t>
  </si>
  <si>
    <t>Kwiaciarnia Warszawa | Bloom Flowers | Dostawa kwiatów 7 dni w tygodniuBloom FlowersKwiaciarnia Warszawa | Bloom Flowers | Dostawa kwiatów 7 dni w tygodniu+48 790 343 461Zadzwoń0Brak produktów w koszyku Expresowa dostawa kwiatów w 2h na terenie Warszawy! Sprawdź już teraz!PL pl en ru SklepBukiet autorskiMono bukietyKwiaty w pudełkuRóżeKosz kwiatówSubskrypcja kwiatowaOstatnie pożegnanieBukiet ślubnyKwiaty suszoneDodatki do kwiatówDla firmDostawa i płatnośćKontaktO nas SklepBukiet autorskiMono bukietyKwiaty w pudełkuRóżeKosz kwiatówSubskrypcja kwiatowaOstatnie pożegnanieBukiet ślubnyKwiaty suszoneDodatki do kwiatówDla firmDostawa i płatnośćKontaktO nas 0Brak produktów w koszyku PL pl en ru Expresowa dostawa kwiatów w 2h na terenie Warszawy! Sprawdź już teraz! BLOOM FLOWERSUpiększamy Twój świat świeżymi kwiatami. BLOOM FLOWERSUpiększamy Twój świat świeżymi kwiatami.SklepPolecanezobacz więcej    Dodaj do Listy życzeńFlower box “First kiss”od 165.00 zł New   Dodaj do Listy życzeńBukiet “Peach note”od 185.00 zł New   Dodaj do Listy życzeńBukiet “Bliss”od 195.00 zł    Dodaj do Listy życzeńKosz kwiatów “Harmony”od 285.00 zł    Dodaj do Listy życzeńKosz czerwonych różod 815.00 zł    Dodaj do Listy życzeńFlowerbox “Amour”od 175.00 zł    Dodaj do Listy życzeńBukiet “Serene Blooms”od 385.00 zł New   Dodaj do Listy życzeńBukiet “Sunrise Serenity”od 165.00 zł    Dodaj do Listy życzeńKosz kwiatów “Pastel lovers”od 335.00 zł    Dodaj do Listy życzeńKwiaty w pudełkuod 165.00 zł    Dodaj do Listy życzeńBukiet gałązkowych różod 155.00 zł New   Dodaj do Listy życzeńBukiet “Handsome”od 165.00 zł    Dodaj do Listy życzeńBukiet czerwonych różod 125.00 zł    Dodaj do Listy życzeńMix róż w pudełkuod 155.00 zł New   Dodaj do Listy życzeńJaskryod 255.00 złBukiet autorskiMono bukietyKwiaty w pudełkuRóżeHity sprzedażyzobacz więcej    Dodaj do Listy życzeńPeony spray roses “Silva Pink”od 255.00 zł    Dodaj do Listy życzeńBiałe różeod 125.00 zł New   Dodaj do Listy życzeńBukiet “Nicely”od 185.00 zł    Dodaj do Listy życzeńBukiet “Pink &amp; Blue”od 195.00 zł    Dodaj do Listy życzeńKosz kwiatów “Your happiness”od 315.00 zł    Dodaj do Listy życzeń101 czerwonych róż1400.00 zł    Dodaj do Listy życzeńBukiet “Dream”od 195.00 zł New   Dodaj do Listy życzeńBukiet “Lovely”od 175.00 zł New   Dodaj do Listy życzeńBukiet “I love you”od 215.00 zł    Dodaj do Listy życzeńFlowerbox “Charming”od 175.00 zł    Dodaj do Listy życzeńBukiet “Pure love”od 175.00 zł    Dodaj do Listy życzeńBukiet gipsówkiod 155.00 zł    Dodaj do Listy życzeńKosz róż “Romance”od 900.00 zł New   Dodaj do Listy życzeńBukiet “Perfekt morning”od 195.00 zł    Dodaj do Listy życzeńCzerwone róże w czarnym opakowaniuod 125.00 złDostarczamy na terenie WarszawyTylko świeże kwiatyZniżki dla stałych klientówZdjęcie bukietu przed wysyłką na życzenie klientaDostarczamy na terenie WarszawyTylko świeże kwiatyZniżki dla stałych klientówZdjęcie bukietu przed wysyłką na życzenie klientaBądź na bieżąco z naszymi promocjami wystarczy nacisnąć “I like it”!We bloom together with you♡Wyrażam zgodę na otrzymywanie newsletteraLeave this field empty if you’re human:  FAQsJak zamówić dostawę kwiatów w Warszawie? Odwiedź naszą stronę www i wybierz bukiet. Podczas wyboru możesz skorzystać z pomocy pracownika kwiaciarni filtrów cenowych lub kategorii kwiatów. Po wybraniu bukietu kliknij „Do koszyka”. Następnie należy podać informacji dotyczącej dostawy i sposobu płatności. Potwierdzenie zamówienia przyjdzie automatycznie na Twoją pocztę. Po dokonaniu płatności kurier dostarczy kwiaty terminowo pod wskazanym adresem.  Jaki jest czas oczekiwania na dostawę kwiatów w Warszawie? Zależy to od obciążenia naszego kuriera i wybranego przedziału czasowego a także odległości od kwiaciarni do adresu odbiorcy. Jeśli potrzebujesz ekspresowej dostawy możesz napisać do administratora kwiaciarni i otrzymać zamówienie nawet w ciągu 2 godzin.  Jak zapłacić i złożyć zamówienie? Bloom Flowers korzysta ze wszystkich popularnych i bezpiecznych systemów płatności — karta bankowa PayU PayPal kurierowi przy odbiorze itp. W przypadku pojawienia się trudności z płatnością prosimy o kontakt z administratorem kwiaciarni.  Gdzie warto kupować kwiaty w Warszawie? Na stronie internetowej lub bezpośrednio w kwiaciarni Bloom Flowers możesz szybko i wygodnie kupić bukiet nawet jeżeli nie jesteś z Warszawy a innego miasta lub kraju. W naszej kwiaciarni zawsze znajdziesz duży wybór pięknych i świeżych kwiatów.  Bloomflowers — kwiaciarnia internetowa dostawa kwiatów Warszawa.Czytaj więcejKwiaty są jednym z najpiękniejszych stworzeń świata. Cieszą i radują wywołują uśmiech podnoszą na duchu stwarzają przyjazną i przytulną atmosferę upiększają i poprawiają mikroklimat pomieszczeń wprowadzają harmonię i pokój oraz wyrażają smutek i ból straty.Sztuka układania kwiatów jest znana od starożytności. Rośliny towarzyszyły człowiekowi od dawna. Ludzie cenili je za leczniczą moc a także za piękno.Dlatego zaczęli tworzyć dekoracje z kwiatów i innych części roślin. Tak zrodziła się sztuka bukieciarstwa florystyka.Jak zmieniłby się świat gdyby znikły wszystkie kwiaty naraz?Aż strach to sobie wyobrażać…Taka sytuacja nam jednak nie grozi ponieważ istnieje kwiaciarnia internetowa Bloomflowers. Nasi floryści kreują piękno każdego dnia. Zaufanie i wierność naszych Klientów jest naszymi głównym kryterium w pracy dlatego zawsze bardzo starannie uwzględnimy życzenia i preferencję każdego Klienta.Wśród ponad 300 kwiaciarń Warszawy jesteśmy młodym niebanalnym bardzo kreatywnym i dość doświadczonym zespołem florystycznym. Nasza wyjątkowość polega na tym że możemy stworzyć niezapomnianą świąteczną atmosferę podczas każdej imprezy.Nasi Klienci znajdą u nas odpowiednie kwiaty na każdą okazję:– Dzień Kobiet– Boże Narodzenie– Chrzciny– Dzień babci i dziadka– Dzień Matki I Ojca– Imieniny– Ostatnie Pożegnanie– Pierwsza Komunia– Podziękowanie– Przeprosiny– Randki i spotkania romantyczne– Rocznice – Ślub– Święta zawodowe– Urodziny– ZaręczynyWalentynkiCo możemy zaproponować?W naszych kwiaciarniach (ul. Cybernetyki 15 (Mokotów); ul. Koszykowa 63 Hala Koszyki (Śródmieście)) lub na stronie internetowej można zobaczyć i zamówić z dostawą lub odbiorem:– Bukiety (autorskie mono bukiety bukiety ślubne bukiety w pudełku w koszu i t.d.)– Kompozycje z kwiatów suszonych– Subskrypcje kwiatową – Stroiki świąteczne– Wieńce– Ozdobę wnętrz – Dekorację imprez i ślubów– Dodatki do kwiatów (balony czekoladki ciasto makaroniki maskotki oraz środki pielęgnacji kwiat)W naszej kwiciarni znajdziesz najlepsze kwiaty z całego świata:– Róże(pojedyncze i gałązkowe różnego koloru odcienia i długości i t.d.)– Tulipany– Piwonie– Sezonowekwiaty ogrodowe i polne (stokrotki konwalie słoneczniki hortensje bzy goździki frezje astry mieczyki i t.d.)– Różnego rodzaju kwiaty egzotyczne (gipsówki eukaliptusy bambusy strelicje i t.d.)– Suszki– I dużo innych ?Dlaczego warto wybrać serwis kwiatowy Bloomflowers?– zawsze świeże i piękne kwiaty– szybka dostawa kwiatów na terenie Warszawy i okolic– pomocna obsługa która zawsze doradzi w wyborze kwiatów oraz dopilnuje żeby cały proces przebiegł pomyślnie– wygodna lokalizacja kwiaciarń– profesjonalizam potwierdzany przez wysokie oceny na Google Facebook oraz Trustpilot– doświadczenie które uzyskaliśmy robiąc tysiące różnych bukietów dla naszych Klientów– indywidualne podejście do każdego zamówieniaCzas jest jedną z największych i niezastąpionych wartości. Pamiętamy i dbamy o niego. Dlatego w Bloomflowers pomimo możliwości odbioru kwiatów stacjonarnie można jeszcze zamówić dostawępod dowolnym adresem do domu do biuralub uczelni.Nasze kompozycje kwiatowe mogą dotrzeć do każdego domu Warszawy. Zawsze świeże i pachnące olśniewające różnorodnymi barwami natury kwiaty stworzą atmosferę pełną wdzięku i piękna pokoju i harmonii upiększą i poprawią mikroklimatkażdego domu.Dzięki Bloomflowers możesz sprawić radość nie tylko swoim bliskim ale każdej zaufanej przez Ciebie osobie.Mimo tego że w naszym Bloomfloowers-cafe na ul. Cybernetyki 15 znajdzieszświeże i piękne kwiaty które cieszą i radują również czeka na Ciebie zawsze pyszne ciasto i wspaniałe gorące i zimne napoje.Piękno pachnących kwiat aromat pysznego ciasta i pobudzającej kawy w otoczeniu kwiat i atmosfery pełnej wdzięku i harmonii odpręży uspokoi i przyda energii każdemu kto nas odwiedzi.Kwiaty — Kawa — Miłość — są mieszankami wielu uczuć:czułości pragnienia pożądania idealizacji przyjaźnipodziwu i estetycznej satysfakcjioraz tysięcy innych uczuć.Ja zamówić kwiaty od Bloomflowers?Wejdź na stronę internetową naszej kwiaciarni Bloomflowers.pl złóż zamówienie online lub zadzwoń pod numer telefonu: +48 790 343 461.Nasza kwiaciarnia internetowa jak i sklep lokalny organizuje dostawę kwiatów na terenie całej Warszawy i okolic.Obsługujemy dzielnice: Mokotów Ursynów Wola Bielany Targówek Bemowo Śródmieście Białołęka Ochota Wawer Praga Ursus Żoliborz Włochy Wilanów Wesoła Rembertów etc.Wybrany przez Klienta bukiet lub kompozycja kwiatowa zostanie dostarczony pod wskazanym adresem wkrótce po opłacie.Opłatę można dokonać w kilka dogodnych dla Ciebie sposobów gotówką lub kartą w naszym sklepie lub opłacić za pomocą systemów płatności:PayPal PayU Visa i MasterCard.Nasi menedżerowie zawsze posłużą pomocą i odpowiedzą na wszystkie pytania oraz pomogą dokonać najlepszego wyboru. Do zamówionych kwiatówmożemy dołączyć kartkę życzeniową bombonierkę zajączka lub misia pluszowego oraz wielu innych drobiazgów.Kochamy to co robimy dlatego że nasza praca jest naszą pasją.Budujemy i dbamy o przyjazną atmosferę w pracy budujemy stosunki na gruncie i zasadach godności i szacunku jak do Klienta tak i do pracowników.Dbamy i staramy się o każdego Klienta chcemy żeby Wasz czas nie był zagubiony daremnie a świat nie stracił uroczych barw natury.O czym oświadczamy elegancją i delikatnością naszych kwiatów.Czytaj mniejDołącz do nas    Nasze sklepy:• ul. Cybernetyki 15Pn-Sb: 9:00 – 20:00 Nd: 10:00 – 18:00• ul. Koszykowa 63 Hala KoszykiPn-Sb: 10:00 – 20:00SklepDostawa i płatnośćRegulamin sklepuPolityka prywatnościFAQBlogDołącz do nas        Generic selectorsExact matches only Search in title Search in content Post Type SelectorsAby zapewnić najwyższą jakość usług wykorzystujemy informacje przechowywane w przeglądarce internetowej. Sprawdź cel warunki przechowywania lub dostępu do nich w Polityce Prywatności.Akceptuję cookies</t>
  </si>
  <si>
    <t>bloomflowers.pl</t>
  </si>
  <si>
    <t>Гипсофила. Букет из Гипсофилы - купить с доставкой во ...</t>
  </si>
  <si>
    <t>Цена Гипсофилы от 55 грн ветка. Букет гипсофилы от 1375 грн. Белая и розовая Гипсофила. Индивидуально и изысканно. Квитна - необыкновенная флористика.</t>
  </si>
  <si>
    <t>https://kvitna.ua/collection/all/gypsophila?lang=ru</t>
  </si>
  <si>
    <t>Доставка квітів Львів. Kvitna ➨ Надзвичайна флористика				  Головна								  Про нас								  Оплата								  Доставка								  Гарантії								  👽 Кабінет								  Контакти										Компаніям					  						Флористика навчання					  						HoReCa					  						Новини					  					  Головна										  Про нас										  Оплата										  Доставка										  Гарантії										  👽 Кабінет										  Контакти										  Компаніям										  Флористика навчання										  HoReCa										  Новини					Кошик						0	  		0 грн	  	  0	  		UA										RU											  				EN											  Новини      			⚡ Експрес-доставка квітів (до 60 хв)    		    		11.07.2021                    			Солодке    		    		10.07.2021                    			▶️ Квітковий холодильник онлайн!    		    		26.03.2020                    			Карантин - тільки доставка    		    		17.03.2020                    			Умови прийому замовлень    		    		11.02.2020                    			Де купити букет в Україні    		    		06.10.2018                    			Оплата карткою    		    		24.05.2018                    			❤️ Подарунок до 14.02 ❤️    		    		02.02.2018                    			Різдвяні віночки    		    		12.12.2017                    			Про весільні букети    		    		12.09.2017                    			Про м'ясні букети    		    		12.08.2017                    			Змінився номер телефону!    		    		10.08.2017                    			Христос Воскрес!    		    		16.04.2017                    			Сайт став зручніше!    		    		30.03.2017                    			8 березня незабаром - знижки!    		    		16.02.2017                    			Нові замовлення на 14.02 не беремо :(    		    		14.02.2017                    			До Дня Святого Валентина!    		    		03.02.2017                    			Умови прийому замовлень у свята    		    		30.12.2016                    			Фото-конкурс (instagram)    		    		06.12.2016                    			Фруктові та овочеві букети    		    		30.11.2016                    			Наш Viber акаунт!    		    		18.11.2016                    			Вибір букета за кольором або квіточкою    		    		09.11.2016                    			Переїзд на новий домен    		    		01.08.2016                    			Онлайн оплата карткою    		    		31.05.2016                    			Майстерня Kvitna - в центрі Львова!    		    		01.03.2016                    			До уваги наречених    		    		01.09.2015              Замовити букет по телефону:+38 (068) 29609950682960995Замовити букет по телефону:з 9:00 до 21:00 щодня+38 (068) 2960995або0 800 33 59 65Безкоштовно з мобільних та міських телефонів України абоЗамовити безкоштовний дзвінокабоТицьніть щоб подзвонити у зручний месенджер:Месенджери та колбекНаписатиТицьніть щоб написати у зручний месенджер:Або відскануйте QR-код:ViberWATGFBЗамовити безкоштовний дзвінок+38 (032) 28803670 800 33 59 65 Львів Л. Курбаса 7							Всі			  		  									Онлайн-Вітрина ⚡			  		  									Осінь 🍁			  		  										Зима ❄️			  				  											Весна 🌿			  				  											Літо ☀️			  				  											Букети			  		  										Дизайнерські букети			  				  											Дуо Тріо букети			  				  											Польові букети			  				  											Величезні букети			  				  											Дитячі букети			  				  											Чоловічі букети			  				  											Букети з сухоцвітів			  				  											Букети на Українські пісні 🆕			  				  											Екзотичні букети			  				  											Квітковий гороскоп			  				  											Меню тижня			  				  											Популярні букети			  				  											Фруктові букети			  				  												Овочеві букети									    						  						  													Монобукети			  		  										Букети з піоновидних троянд			    							Букети з троянд			    							Рожеві троянди									    						  						  													Червоні троянди									    						  						  													Білі троянди									    						  						  													Жовті троянди									    						  						  													Персикові троянди									    						  						  													Сині троянди									    						  						  													Троянди в коробці									    						  						  													Троянди у кошику									    						  						  													201 троянда									    						  						  													151 троянда									    						  						  													101 троянда									    						  						  													51 троянда									    						  						  													49 троянд									    						  						  													35 троянд									    						  						  													31 троянда									    						  						  													29 троянд									    						  						  													25 троянд									    						  						  													21 троянда									    						  						  													19 троянд									    						  						  													17 троянд									    						  						  													15 троянд									    						  						  													11 троянд									    						  						  													9 троянд									    						  						  													7 троянд									    						  						  													Вивернуті троянди									    						  						  													Букети з кущових троянд			  				  											Букети з гортензії			    							Букети з Жоржин			    							Букети з піонів			    							Букети з ранункулюсів			    							Букети з тюльпанів			    							Білі тюльпани									    						  						  													Червоні тюльпани									    						  						  													Рожеві тюльпани									    						  						  													Помаранчеві тюльпани									    						  						  													Жовті тюльпани									    						  						  													Бузкові тюльпани									    						  						  													101 тюльпан									    						  						  													51 тюльпан									    						  						  													49 тюльпанів									    						  						  													45 тюльпанів									    						  						  													39 тюльпанів									    						  						  													35 тюльпанів									    						  						  													33 тюльпани									    						  						  													31 тюльпан									    						  						  													29 тюльпанів									    						  						  													25 тюльпанів									    						  						  													23 тюльпани									    						  						  													21 тюльпан									    						  						  													19 тюльпанів									    						  						  													17 тюльпанів									    						  						  													15 тюльпанів									    						  						  													11 тюльпанів									    						  						  													Букети з бузку			    							Букети з гіацинтів			    							Букети з мімози			    							Букети з анемонів			    							Букети з еустоми			    							Букети з кал			    							Букети з ромашок			    							Букети з гіпсофіли			    							Букети з хризантем			    							Букети з гербер			    							Букети з діантусів			    							Букети із фрезій			    							Букети з Лілій			  				  											Букети з Протеї			  				  											Букети з Антуріумів			  				  											Букети з Бавовни			  				  											Букети з Матіоли			  				  											Букети з Стреліції			  				  											Букети з Нарцисів			  				  											Букети з Гладіолусів			  				  											Букети з Оксіпеталуму			  				  											Букети з Хамелаціуму			  				  											Букети з Соняшників			  				  											Букети з Дельфініуму			  				  											Букети з Антиррінуму			  				  											Букети з Орхідей			  				  											Свята			  		  										День Ангела			  				  											Різдво			  				  												Різдвяні вінки									    						  						  													Різдвяні ялинки									    						  						  													Різдвяні композиції									    						  						  													Різдвяні букети									    						  						  													Валентина ❤️			  				  											8 березня			  				  												8 березня для підприємств									    						  						  													Великдень			  				  											День матері ❤️			  				  											1 вересня 👩‍🎓			  				  											Весільна флористика			  				  												Весільні букети									    						  						  													Оформлення весілля квітами									    						  						  													Коробки			  		  									Кошики			  		  									Композиції			  		  										Квіткові відерця			  				  											Снопи			  				  											Композиції			  				  											Квіти в ящику			  				  											Композиції з фруктів і солодощів			  				  											Прикраси з квітів			  				  												Віночки									    						  						  													Кольє з квітів									    						  						  													Квіти та макаруни			  				  				Квіти АгапантусАлхеміллаАлліумАльстромеріяАмарант хвостатийАмарант темнийАмбрелаАмміАнанасАнемонАнігозантусАнтиррінумАраукаріяАртишок (цинара)АнтуріумАсклепіяАспарагусАспідистраАйстраАстільбаАстранціяАхілеяБанксіяБарбарисБерграсБерзеліяБрасікаБруніяБувардіяБуплерумВандаВолошкаВересВеронікаВібурнумВібурнум (ягоди)ВербаГеліконіяГеністаГербераГладіолусЖоржинаДаукусГіацинтГіпеаструмГлоріозаГортензіяДельфініумДіантус барбатусДіантус (Гвоздика)ЖасмінЗантедескія (Кала)ІлексІрисЦиніяКапсикумКермекЛунаріяМагноліяМалусКніфофіяКлематісКраспедіяЛавандаЛедерваренЛагурусКонваліяКортадеріяКосмеяКотінусЛатірусЛеукадендронЛеукоспермумЛіліяМатіолаМімозаМіскантусМолюцелаМонстераМускаріНарцисНелюмбоНерінеНігелаНобіліс (ялинка)ОнцидіумОзотамнусОксіпеталумОрнітогалумПанікумПапавер (Мак)Троянда піоновидна кущоваПієрісПіттоспорумПівоніяСоняшникПротеяПротея королівськаПрунусКверкусРанункулюсТрояндаТроянда БомбастикТроянда ВовузеллаРубусМалина (листя)Троянда Девіда ОстінаТроянда кущоваТроянда ПіаноКалендулаТроянда піоновиднаТроянда СадоваРускусСалалСандерсоніяСангвісорбаСенеціоСетаріяСерруріяСімфорікарпусБузокСкабіозаСкіміяСолідагоСпіреяСтіфаСтреліціяСукулентиТанацетумТілландсіяТласпіТрахеліумТуберозаТюльпанТюльпан піоновиднийФаленопсисФілодендронФлоксФізалісФорзиціяФрезіяФрітіляріяХамелаціумХелеборусХіперикумБавовнаГревілеяГіпсофілаХризантемаЦелозіяЦимбідіумШипшинаЕвкаліптЕуфорбіяЕрінгіумЕустомаЕхеверіяЕремурусЯтрофаКолір АйворіБежевийБілийБордовийБлакитнийГрадієнтЖовтийЗеленийКораловийКоричневийЧервонийМалиновийПомаранчевийПерсиковийРожевийСалатовийСірийСинійБузковийФіолетовийФуксіяЧорнийЦіна від 1500 до 2000 грнвід 2000 до 3500 грнвід 3500 до 5000 грнвід 5000 до 7500 грнвід 7500 до 10000 грнвід 10000 грн		Каталог	  Замовлення i доставка квiтiв у Львовi — як 1 2 3 41) Краса2) До 60 хв.3) 24 години4) Відгуки1.Краса букету та досвід							  Квітна — висока квіткова кухня!З 2015 готуємо Дизайнерські букети в які закохуються ❤️❤️❤️ Є з чого вибрати 3683 букетів в каталозі готові до збіркі та доставки. Букет гарантовано буде надзвичайним!Надішлемо фото букету перед доставкою!Подивитись красу 3683 букетів2.Швидкiсть доставки							  Доставка день в день							  на точний час або вночі? Термінова доставка?Немає різниці букет буде доставлений вчасно а з бейджиком							  Онлайн-вітрина — до 60 хвилин!Як встигаємо доставити за 60 хв?3.Весь Львiв 24 години							  📍 Центр Личаків або Сихів? 							  Левандівка Залізничний вокзал або навіть аеропорт?Доставимо чітко!Куди доставляємо4.Клієнти та вiдгуки							Понад 9000 щасливих клієнтів. 						  Найбільша кількість Google відгуків серед квіткових Львова:49 ★★★★★ 499 відгуків 							  Кожен другий клієнт замовляє квіти з доставкою постійно.Ми — Ваш сімейний флорист!Читати вiдгукиОнлайн-вітрина: щойно зібрані букети за 5 хвилин передаємо кур'єру ⬇️		  ОНЛАЙН-ВІТРИНА ⚡			  		🍁 Осіннє меню	    	  		Онлайн-вітрина доставка до 60 хв	    	  Є відео букета!  			  2023					  Подивитися								2 430 грн				  Букет «Вечірній пляж» [№ 3744]		  		🍁 Осіннє меню	    	  		Онлайн-вітрина доставка до 60 хв	    	  Є відео букета!  			  2023					  Подивитися								3 390 грн				  Букет «Львівський вечір» [№ 3743]		  		Онлайн-вітрина доставка до 60 хв	    	  Безкоштовна доставка!  	  Є відео букета!  			  2023					  Подивитися								4 250 грн				  Букет «Осінь у Львові» [№ 3740]		  		Онлайн-вітрина доставка до 60 хв	    	  Є відео букета!  			  2023					  Подивитися								2 900 грн				  Букет «Сонячний вікенд» [№ 3739]		  		Онлайн-вітрина доставка до 60 хв	    	  Є відео букета!  			  2023					  Подивитися								3 450 грн				  Букет «Яскраве мерехтіння» [№ 3738]		  		Онлайн-вітрина доставка до 60 хв	    			  2023					  Подивитися								1 560 грн				  Букет «Золотий настрій» [№ 3736]		  Є відео та аудіо букета!  		  Подивитися							від 3 000 грн				  Квітотерапія - подарунковий сертифікат 			  Подивитися							від 1 000 грн				  Iндивідуальний букет [№ 1000]	Меню тижня: всі квіти для цих букетів є в наявності повторимо букет в точності доставимо супер-швидко! ⬇️		  МЕНЮ ТИЖНЯ			  		Усі квіти в наявності	    	  Безкоштовна доставка!  	  Є відео букета!  			  2023					  Подивитися								6 630 грн				  39 ранункулюсів у букеті «Кольорова феєрія» [№ 3742]		  		Усі квіти в наявності	    	  Безкоштовна доставка!  	  Є відео букета!  			  2023					  Подивитися								3 750 грн				  25 гербер у букеті «Легенька пірʼїнка» [№ 3741]		  		Усі квіти в наявності	    	  Є відео букета!  			  2023					  Подивитися								2 480 грн				  Букет «Львівський комплімент» [№ 3737]		  		Усі квіти в наявності	    	  Безкоштовна доставка!  	  Є відео букета!  			  2023					  Подивитися								5 250 грн				  15 піоновидних троянд Juliet у букеті «Шик та вінтаж» [№ 3732]		  		Усі квіти в наявності	    	  Є відео букета!  			  2023					  Подивитися								1 820 грн				  13 хризантем у букеті «Бургундський діамант» [№ 3729]		  		Усі квіти в наявності	    	  Є відео букета!  			  2023					  Подивитися								1 760 грн				  9 піоновидних троянд у букеті «Мандаринка» [№ 3721]		  		Усі квіти в наявності	    	  Є відео та аудіо букета!  			  2023					  Подивитися								1 900 грн				  Букет «Пиріг з обліпихою» [№ 3719]		  		Усі квіти в наявності	    	  Є відео та аудіо букета!  			  2023					  Подивитися								1 790 грн				  Букет «Львівські метелики» [№ 3717]		  		Усі квіти в наявності	    	  Є відео букета!  			  2023					  Подивитися								3 150 грн				  11 піоновидних троянд у букеті «Румʼяна принцеса» [№ 3711]		  		Усі квіти в наявності	    	  Є відео букета!  			  2023					  Подивитися								1 800 грн				  Букет «Ранкова магія» [№ 3699]		  		Усі квіти в наявності	    	  Є відео та аудіо букета!  			  2023					  Подивитися								1 920 грн				  Букет «Сонячна прогулянка» [№ 3695]		  		Усі квіти в наявності	    	  Є відео та аудіо букета!  			  2023					  Подивитися								2 990 грн				  Букет «Бордовий поцілунок» [№ 3681]				Дивитися ще 12 			                  букетів						 (з 21)		Не пропустіть це цікаво знати ⬇️		  ЦЕ ЦІКАВО		         Меню тижня — всі квітидля цих букетів є в наявностізробимо саме такий!          Зручно чатитись?Замовлення букета в месенджеріViber    WA    TG    FB          Онлайн-Вітріна — це букети якіщойно зібрані є в наявностівже за 5 хв. передамо кур'єру!          497 відгуків — ценайбільша кількістьсеред квіткових Львова Популярні категорії          Подивитися усі (130 шт.)               Осінні букети 🍁 вiд 1580 до 35350 грн          Подивитися усі (579 шт.)               Дуо Тріо букети вiд 1500 до 22000 грн          Подивитися усі (91 шт.)               Величезні букети вiд 3750 до 51100 грн          Подивитися усі (71 шт.)               Чоловічі букети вiд 1500 до 9745 грн          Подивитися усі (94 шт.)               Букети з піоновидних троянд вiд 1500 до 35350 грн          Подивитися усі (88 шт.)               Букети з троянд вiд 1500 до 36180 грн          Подивитися усі (11 шт.)               Вивернуті троянди вiд 1500 до 8950 грн          Подивитися усі (30 шт.)               Букети з кущових троянд вiд 1750 до 12750 грн          Подивитися усі (33 шт.)               Букети з ранункулюсів вiд 1500 до 13200 грн          Подивитися усі (128 шт.)               Букети з тюльпанів вiд 1500 до 12100 грн          Подивитися усі (14 шт.)               Букети з хризантем вiд 1560 до 5220 грн          Подивитися усі (109 шт.)               День Ангела вiд 1500 до 23000 грн          Подивитися усі (86 шт.)               Різдво вiд 1500 до 8870 грн          Подивитися усі (306 шт.)               Квіти в коробці вiд 2200 до 35000 грн          Подивитися усі (92 шт.)               Кошики з квітів вiд 2840 до 51100 грн          Подивитися усі (58 шт.)               Снопи вiд 2500 до 11000 грнНе пропустіть це цікаво знати ⬇️		  ЦЕ ТЕЖ ЦІКАВО		         Індивідуальний букетзберемо під отримувачатакий щоб просто WOW!          Реальна наявність квітівв нашому холодильникудивіться відео трансляцію          Юля Марія Тетяна?Іменний букет до дня ангела - це !!!дивіться календар та колекцію          Букет підійде до її сукні?з нами 100 відсотківобери букет за кольором! Всі наші букети для найвибагливіших шанувальників високої флористики ⬇️		  ВСІ БУКЕТИ ТА КОМПОЗИЦІЇ			  		🍁 Осіннє меню	    	  		Онлайн-вітрина доставка до 60 хв	    	  Є відео букета!  			  2023					  Подивитися								2 430 грн				  Букет «Вечірній пляж» [№ 3744]		  		🍁 Осіннє меню	    	  		Онлайн-вітрина доставка до 60 хв	    	  Є відео букета!  			  2023					  Подивитися								3 390 грн				  Букет «Львівський вечір» [№ 3743]		  		Усі квіти в наявності	    	  Безкоштовна доставка!  	  Є відео букета!  			  2023					  Подивитися								6 630 грн				  39 ранункулюсів у букеті «Кольорова феєрія» [№ 3742]		  		Усі квіти в наявності	    	  Безкоштовна доставка!  	  Є відео букета!  			  2023					  Подивитися								3 750 грн				  25 гербер у букеті «Легенька пірʼїнка» [№ 3741]		  		Онлайн-вітрина доставка до 60 хв	    	  Безкоштовна доставка!  	  Є відео букета!  			  2023					  Подивитися								4 250 грн				  Букет «Осінь у Львові» [№ 3740]		  		Онлайн-вітрина доставка до 60 хв	    	  Є відео букета!  			  2023					  Подивитися								2 900 грн				  Букет «Сонячний вікенд» [№ 3739]		  		Онлайн-вітрина доставка до 60 хв	    	  Є відео букета!  			  2023					  Подивитися								3 450 грн				  Букет «Яскраве мерехтіння» [№ 3738]		  		Усі квіти в наявності	    	  Є відео букета!  			  2023					  Подивитися								2 480 грн				  Букет «Львівський комплімент» [№ 3737]		  		Онлайн-вітрина доставка до 60 хв	    			  2023					  Подивитися								1 560 грн				  Букет «Золотий настрій» [№ 3736]		  Безкоштовна доставка!  	  Є відео букета!  			  2023					  Подивитися								3 600 грн				  Букет «Троянда пустелі» [№ 3735]		  Безкоштовна доставка!  	  Є відео букета!  			  2023					  Подивитися								3 920 грн				  49 преміальних тюльпанів Thijs Boots [№ 3734]		  Є відео букета!  			  2023					  Подивитися								3 330 грн				  Букет «Хмаринки над Львовом» [№ 3733]				Дивитися ще 12 			                  букетів						 (з 3671)		Замовлення і доставка квітів у ЛьвовіЯк замовити і купити квіти в нашому інтернет-магазині?У каталозі нашого магазину квітів — представлено понад 3400 букетів на будь-який смак для цілком різного настрою. Зробити замовлення можна:Онлайн зі сторінки букета — для цього натисніть кнопку "До кошика" або "Замовити в 1 клiк" праворуч від фотографії. Після заповнення простої форми - ми зв'яжемося з Вами протягом 2 хвилин підтвердимо замовлення щоб Ви були спокійні що одержувач не залишиться без квітів. Після оформлення замовлення через інтернет-магазин Ви можете одразу оплатити його карткою будь-якого банку світу (про це детальніше нижче).Телефон. Можна зробити замовлення за телефоном: +38 (068) 2960995 або замовити зворотний безкоштовний дзвінок.У месенджерах:  Якщо Вам зручніше написати — до Ваших послуг: WhatsApp Viber Telegram – за номером (+380980584862) а також фейсбук-месенджер. Email: info@kvitna.uaОнлайн-чат. Напишіть нам у чат прямо зараз – відповімо миттєво!За який час краще робити замовлення квітів?Ми готові зробити і доставити букет Вам або одержувачу - прямо сьогодні в день Вашого звернення. Зазвичай на це потрібно  2-25   години але якщо букет потрібен  терміново — не втрачайте час телефонуйте прямо зараз. Ми постараємося допомогти. Букет для нареченої найкраще замовляти за  10-14 днів  до дня весілля але якщо букет потрібен завтра - все одно дзвоніть нам! Вирішимо! Оновлення! З літа 2021 року ми запустили експрес доставку квітів по Львову. Вибираєте будь-який вільний букет на онлайн-вітрині і ми доставимо його протягом 1 години! Шукайте букети із зеленим бейджиком Онлайн-вітрина.Про доставку квітів по м. Львов та областіА точніше шикарних букетів адже ми не просто магазин квітів ми дизайнери-флористи Ваші квіткові стилісти!Умови доставки букетів і композицій з квітів🚀 Доставка квітів по Львову. Ми доставляємо букети з квітів та композиції по Львову. Вартість доставки квітів на Вашу адресу запитуйте у нас. Зазвичай це 150 грн в віддалені райони Львова - доставка може бути дорожче. Вартість доставки по районах Львова - в таблиці. Замовлення понад 3500 грн - доставляємо безкоштовно в межах міста. 🏪 Самовивіз. Так само забрати замовлення можна в нашому магазині в центрі Львова за адресою: Львів вул. Л. Курбаса 7 (Контакти).🌃 Нічна доставка. Доставляємо квіти цілодобово тому можлива доставка в неробочий час (наприклад пізно ввечері вночі або дуже рано вранці) вартість нічної доставки 300 грн. Нічна доставка можлива для попередньо замовлених і оплачених букетів.🎄 Свята. Умови доставки в святкові дні (Різдво Новий рік Великдень 8 березня День Святого Валентина (14 лютого) День Матері) - уточнюйте у нас. Ціна доставки може бути значно вище. Можлива зупинка прийому замовлень на доставку - в святкові дні.⛳ Доставка по Україні. Можлива доставка в інші міста Львівської області та інші міста України подробиці та умови уточнюйте у нас за телефонами +38 (068) 2960995 або +38 (032) 2903105.Куди потрібно доставити букет?Наші клієнти замовляють кур'єрську доставку квітів в такі місця:Квіти додому. Найчастіше доставку букета замовляють на домашню адресу. Якщо Ви не знаєте точну адресу або ж не впевнені що одержувач букета буде вдома - напишіть нам телефон ми уточнимо деталі і домовимося про час і місце самі.В офіс. Так само поширена доставка в офіс зазвичай в робочий час щоб привітати колегу. Або ж щоб після роботи піти з букетом на захід.В ресторан. Зручний варіант коли відомий час і місце святкування дня народження. Букет приїде до точного часу Вам не потрібно буде спішно шукати квіти в магазинах поруч з рестораном. Найчастіше в цьому випадку букет замовляють в центр де у Львові знаходиться велика частина прекрасних ресторацій.Потрібни квіти в Львівський Аеропорт або вокзал? Зустрінемо Вас з букетом в аеропорту після прильоту літака або на залізничному вокзалі після прибуття поїзда. Затримується потяг чи літак? Не проблема не залишитеся без букету.У пологовий будинок. Приїдемо точно до моменту виписки привеземо шикарний букет (або композицію) на народження дитини.У лікарню. Ваш близький опинився в лікарні? Зробимо все щоб підняти настрій адже від настрою залежить і здоров'я.В готель. Залишимо букет на ресепшен або доставимо прямо в номер. Зручний варіант для туристів які поки не знають міста.Салон краси або ЗАГС. Часте місце зустрічі букета і нареченої :)Ми привеземо букет туди куди потрібно саме Вам.СамовивізВи можете самостійно забрати замовлений заздалегідь букет у нас в магазині за адресою:  м. Львів вул. Л. Курбаса б. 7 (схема проїзду). Час Вашого візиту до нас обговоріть з нами по телефону.Графік роботи інтернет-магазину і магазинуМагазин працює з 9 до 21 7 днів на тиждень. Інтернет-магазин приймає замовлення  цілодобово.Телефонні консультації  за вибором і замовленням букетів — з 9 до 21 годин без вихіднихУ соціальних мережах або месенджерах — пишіть нам в будь-який час. Відповідаємо починаючи  з 9 ранку.Якщо Ви наречена мешкаєте за кордоном в іншому часовому поясі і можете спілкуватися тільки по ночах - ми готові і до такого повороту. Доставка квітів здійснюється щодня з 9 до 21 години. Можлива доставка пізно ввечері рано вранці або навіть вночі вартість доставки в цьому випадку 300 грн.Магазин Онлайн нове На допомогу для вибору квітів ми виводимо відео трансляцію нашого холодильника на сайт.  Оплата квітівОплатити замовлення можна:готівкою при отриманні букета (кур'єру при доставці або в магазині в разі самовивозу)карткою на сайті при покупці букета в інтернет-магазині (приймаються картки VISA / MASTECARD будь-якого банку світу)переклад за номером картки Приватбанку (зв'яжіться з нами для отримання реквізитів для оплати)А що ми ще робимо крім букетів?Для багатьох Kvitna це бездоганні шикарні букети. Але це далеко не все і багато хто про це не знають!Ми робимо:Шикарні кошики з квітамиКвіти в капелюшних коробкахБомбезні снопи в берграсі (наша родзинка)Оформляємо весільні зали живими квітами створюємо вишукані квіткові композиції на весільні столи (молодих гостей). Арки весільні фотозоні з якими всі фотографуються.Доставка квітів Львів — це 100% до нас і ось чомуЯк зазвичай відбувається замовлення квітів?Покупець вибирає на сайті букет що йому сподобався.Оформляє замовлення можливо навіть встигає його оплатити.Після отримання замовлення магазин зв'язується з покупцем і попереджає про те що не всі квіти в букеті в сезоні або в наявності (а частіше всі квіти не в сезоні і не в наявності) тому потрібно узгодити заміни за складом. Обіцяють зберегти зовнішній вигляд без істотних змін або хоча б зберегти колірну гаму і стиль букета. Так само буває що упаковки букета що сподобалася так само немає в наявності.Заміни узгоджені? Флорист збирає букет пакує його.Відбувається зйомка замовлення. фотографія готового букета відправляється клієнту на затвердження (це ще в кращому разі так чинять відповідальні квіткові компанії).Якщо з 1 разу клієнту подобається букет - він відправляється на доставку. Якщо ж покупцем вносяться корективи букет знову коригується потім відправляється на фотозйомку і фотографія знову відправляється на затвердження.Загалом замовити квіти досить копіткий та не дуже швидкий процес.Як замовлення букета відбувається в Квітна?Покупець обирає букет у категорії онлайн-вітрина або в загальній стрічці - букети в наявності позначені зеленим бейджикомОформляє замовлення оплачує його.Букет надсилається на доставку.Які переваги Ви запитаєте?Швидкість! Ми встигнемо доставити замовлення у межах Львова протягом 60 хвилин. Якщо одержувачка букета зараз у центрі Львова - це може зайняти близько 30 хвилин і менше. Ми з Вами не витрачаємо час на узгодження замін на складання букета та затвердження його по фото.Без розчарувань! Ніяких очікування та реальність Ви отримуєте саме той букет у тій самій упаковці як Ви бачите на фотографіях чи відео (до кожного букету ми записуємо відео!)Гарантія ціни! Букет не буде дорожчим тому що ціни на квіти пішли вгору. Ви платите стільки скільки вказано на сторінці букета.Чим ще відрізняємося від інших квіткових магазинів Львова?Квітна - це не просто доставка квітів Львів не просто магазин квітів.Це надзвичайна флористика яку потрібно бачити.Так у нас високий рівень сервісу ввічливе спілкування увага до клієнта і його потребам. Ми знаємо свого клієнта який букет і коли він у нас замовляв за якими адресами ми здійснювали доставку. Це все легко можна оцінити і переконатися — звернувшись до нас.Але найважливіше що можна зрозуміти прямо зараз на сайті — це краса і дизайн наших букетів. Всі представлені на сайті фотографії букетів — виконані тільки нами! Дивіться милуйтеся вибирайте!А якщо поки не знаєте що хочете все подобається але не впевнені що точно сподобається Вашій дівчині мамі татові колезі — ми Вам з радістю допоможемо!Не знайшли свій букет? Опишіть завдання розкажіть про одержувача — і ми зробимо та доставимо по Львову шикарний букет із квітів одержувач буде в захваті:Електронна адреса для отримання відповіді:Ми відповімо Вам за вказаною вище e-mail)А а ще ми відповідаємо на питання в соціальних мережах:Facebook: https://www.facebook.com/kvitnaInstagram: https://instagram.com/kvitna/ Ну а найшвидший спосіб замовити доставку квітів — це телефон!+38 (068) 2960995Замовити безкоштовний дзвінок (Це безкоштовно і супер-швидко — всього 30 секунд і Ваш телефон задзвонить).  ВiдгукиMaksym HukПросто казкові букети! Гармонійні зроблені з увагою до деталей - відчувається любов до своєї справи  Постійний хороший настрій гарантовано  Хоч і раніше користувався послугами флористів та тут як справжнє откровення було. Є от букети а є букети від KVITNA  Взагалі з іншої ліги Оригінал відгукаSabi PetrovaБагато чула позитивних відгуків про компанію і вирішила скористатися їх послугами! У Яни неймовірне почуття прекрасного! Букет вийшов ніжним і супер-гарним!)) Залишилася дуже задоволена !! ДякуууюююююююОригінал відгукаЕвгения БойкоДуже гарні букети. Незвичайні стильні. Снопи це просто шедеври флористики.Дуже шкода що компанія не представлена в Києві. До такої краси доступ повинен бути у всіх бажаючих у всіх регіонах країни.Оригінал відгукаVictoria KroylKvitna або як я знайшла ідеальний букет. Перед Днем Народження подруги виявилася перед складним завданням пошуку гарного і незвичайного букета завжди хочеться подарувати щось особливе що асоціюється з людиною для якого вибираєш квіти.Композиція вийшла дуже індивідуальною як і сама дівчина для якої призначався букет. Іменинниця була в захваті головне завдання виконано)) Якщо вам хочеться подарувати комусь маленький мить щастя і гарний настрій замовляйте букети у Kvitna)Оригінал відгукаJuliya StroganovaБукети Kvitna дуже індивідуальні! Вони створюють настрій в них стільки фарб яскравості і цікавих деталей що можна милуватися ними вічно!З любов'ю ваш постійний клієнт!)Оригінал відгукаЮлия ГоробецШикарні квіти які дарують чарівний настрій))) букети зберігають свою красу більше тижня!) дякуємо за душевність та індивідуальний підхід які ви вкладаєте в свої творінняОригінал відгукаУсi вiдгукиЧасті питання:🚗 Як замовити доставку квітів у Львові❓ Через сайт – в 1 клік (швидко) або через кошик (трошки довше але можна замовити одразу декілька букетів). Також квіти можна замовити за телефоном: +38(068) 2960995 або через месенджери за номером: +380980584862.💲 Скільки коштує доставка квітів по Львову❓ Вартість доставки по місту складає 150 грн. У віддалені райони і до міст Львовської області вартість доставки можна подивитись у таблиці при замовленні на суму понад 3500 грн — доставка в межах міста є безкоштовною.🕐 Який графік роботи квіткового магазину❓ Магазин працює кожного дня з 9 до 21. Доставка працює цілодобово при цьому нічна доставка діє для попередніх замовлень.📍 Де Вы знаходитесь і чи є самовивіз❓ Наша адреса: Львів вул. Леся Курбаса 7. Схема проїзду. Так Ви можете самостійно забрати свій букет.                  Про нас                                  Оплата                                  Доставка                                  Задати питання                                  Умови повернення та Політика конфіденційності                                  Кабінет                                  Онлайн-Вітрина ⚡                                  Контакти                            Kvitna - Надзвичайна флористика у Львові. Букети на замовлення. Доставка квітів. Курси флористики  2023            Нове у нашому інтернет-магазині квітів:Букети з троянд монобукети кошики квітів.Доставка квітів по Львову при замовленні вiд 3500 грн - безкоштовна!          Наша адреса: Львiв вул. Леся Курбаса 7 Як нас знайтиЗв'яжіться з Kvitna одним кліком:MESSENGERVIBERWHATSAPPTELEGRAMEMAILНаші телефони:+38 (068) 2960995 (з 9:00 до 21:00 щодня)0 800 33 59 65 (безкоштовно з мобільних та міських номерів України)						0	  		0 грн	  	  Каталог	  							Всі					  							Онлайн-Вітрина ⚡					  							Осінь 🍁					  							Зима ❄️							  							Весна 🌿							  							Літо ☀️							  							Букети					  							Дизайнерські букети							  							Дуо Тріо букети							  							Польові букети							  							Величезні букети							  							Дитячі букети							  							Чоловічі букети							  							Букети з сухоцвітів							  							Букети на Українські пісні 🆕							  							Екзотичні букети							  							Квітковий гороскоп							  							Меню тижня							  							Популярні букети							  							Фруктові букети							  							Овочеві букети									  							Монобукети					  							Букети з піоновидних троянд							  							Букети з троянд							  							Рожеві троянди									  							Червоні троянди									  							Білі троянди									  							Жовті троянди									  							Персикові троянди									  							Сині троянди									  							Троянди в коробці									  							Троянди у кошику									  							201 троянда									  							151 троянда									  							101 троянда									  							51 троянда									  							49 троянд									  							35 троянд									  							31 троянда									  							29 троянд									  							25 троянд									  							21 троянда									  							19 троянд									  							17 троянд									  							15 троянд									  							11 троянд									  							9 троянд									  							7 троянд									  							Вивернуті троянди									  							Букети з кущових троянд							  							Букети з гортензії							  							Букети з Жоржин							  							Букети з піонів							  							Букети з ранункулюсів							  							Букети з тюльпанів							  							Білі тюльпани									  							Червоні тюльпани									  							Рожеві тюльпани									  							Помаранчеві тюльпани									  							Жовті тюльпани									  							Бузкові тюльпани									  							101 тюльпан									  							51 тюльпан									  							49 тюльпанів									  							45 тюльпанів									  							39 тюльпанів									  							35 тюльпанів									  							33 тюльпани									  							31 тюльпан									  							29 тюльпанів									  							25 тюльпанів									  							23 тюльпани									  							21 тюльпан									  							19 тюльпанів									  							17 тюльпанів									  							15 тюльпанів									  							11 тюльпанів									  							Букети з бузку							  							Букети з гіацинтів							  							Букети з мімози							  							Букети з анемонів							  							Букети з еустоми							  							Букети з кал							  							Букети з ромашок							  							Букети з гіпсофіли							  							Букети з хризантем							  							Букети з гербер							  							Букети з діантусів							  							Букети із фрезій							  							Букети з Лілій							  							Букети з Протеї							  							Букети з Антуріумів							  							Букети з Бавовни							  							Букети з Матіоли							  							Букети з Стреліції							  							Букети з Нарцисів							  							Букети з Гладіолусів							  							Букети з Оксіпеталуму							  							Букети з Хамелаціуму							  							Букети з Соняшників							  							Букети з Дельфініуму							  							Букети з Антиррінуму							  							Букети з Орхідей							  							Свята					  							День Ангела							  							Різдво							  							Різдвяні вінки									  							Різдвяні ялинки									  							Різдвяні композиції									  							Різдвяні букети									  							Валентина ❤️							  							8 березня							  							8 березня для підприємств									  							Великдень							  							День матері ❤️							  							1 вересня 👩‍🎓							  							Весільна флористика							  							Весільні букети									  							Оформлення весілля квітами									  							Коробки					  							Кошики					  							Композиції					  							Квіткові відерця							  							Снопи							  							Композиції							  							Квіти в ящику							  							Композиції з фруктів і солодощів							  							Прикраси з квітів							  							Віночки									  							Кольє з квітів									  							Квіти та макаруни							  			Квіти		  			Колір		  			Ціна		  Сравнение        Перейти к сравнению       Замовлення букета в 1 клікВаше ім'я:Телефон замовника:Дата отримання:Ім'я отримувача:Телефон отримувача:Текст листівки:Зручний час доставки:Протягом дня (09:00 — 21:00)Уточніть у отримувача09:00 — 11:0011:00 — 13:0013:00 — 15:0015:00 — 17:0017:00 — 19:0019:00 — 21:00Побажання до замовлення:Адреса:Согласие на обработку персональных данныхПогоджуюся з умовами надання послуг.lang:Комментарий:Замовити в 1 клік</t>
  </si>
  <si>
    <t>kvitna.ua</t>
  </si>
  <si>
    <t>госуслуги</t>
  </si>
  <si>
    <t>Портал государственных услуг Российской Федерации</t>
  </si>
  <si>
    <t>https://www.gosuslugi.ru/</t>
  </si>
  <si>
    <t>Портал государственных услуг Российской ФедерацииГосуслуги сейчас откроются                    Портал работает в прежнем режиме.                                        Подождите пару секунд</t>
  </si>
  <si>
    <t>www.gosuslugi.ru</t>
  </si>
  <si>
    <t>Госуслуги - Apps on Google Play</t>
  </si>
  <si>
    <t>https://play.google.com/store/apps/details?id=ru.rostel&amp;hl=en_US</t>
  </si>
  <si>
    <t>Госуслуги</t>
  </si>
  <si>
    <t>https://vk.com/gosuslugi</t>
  </si>
  <si>
    <t>App Store: Госуслуги - Apple</t>
  </si>
  <si>
    <t>В приложении Госуслуг каждый человек может получить государственные услуги легко и быстро: оформить необходимые документы, записаться на приём, ...</t>
  </si>
  <si>
    <t>https://apps.apple.com/ru/app/%D0%B3%D0%BE%D1%81%D1%83%D1%81%D0%BB%D1%83%D0%B3%D0%B8/id1367959794</t>
  </si>
  <si>
    <t>Contact @gosuslugi</t>
  </si>
  <si>
    <t>Госуслуги. 1 049 158 subscribers. Официальный канал портала государственных услуг Российской Федерации. ВК: vk.com/gosuslugi. ОК: ok.ru ... Госуслуги right away.</t>
  </si>
  <si>
    <t>https://t.me/gosuslugi</t>
  </si>
  <si>
    <t>Госуслуги Москвы / Портал госуслуг Москвы</t>
  </si>
  <si>
    <t>Госуслуги Москвы: от записи к врачу до регистрации автомобиля — на портале mos.ru создан единый онлайн-каталог всех региональных, муниципальных и ...</t>
  </si>
  <si>
    <t>https://www.mos.ru/uslugi/</t>
  </si>
  <si>
    <t>Портал государственных и муниципальных услуг ...</t>
  </si>
  <si>
    <t>Официальный портал госуслуг Московской области. Более 250 госуслуг и сервисов онлайн, актуальная информация о госуслугах, электронная запись в ...</t>
  </si>
  <si>
    <t>https://uslugi.mosreg.ru/</t>
  </si>
  <si>
    <t>Госуслуг РТ</t>
  </si>
  <si>
    <t>https://uslugi.tatarstan.ru/</t>
  </si>
  <si>
    <t>Федеральная государственная информационная система «Единый портал государственных и муниципальных услуг (функций)» (Единый портал госуслуг, ЕПГУ, ...</t>
  </si>
  <si>
    <t>https://ru.wikipedia.org/wiki/%D0%9F%D0%BE%D1%80%D1%82%D0%B0%D0%BB_%D0%B3%D0%BE%D1%81%D1%83%D0%B4%D0%B0%D1%80%D1%81%D1%82%D0%B2%D0%B5%D0%BD%D0%BD%D1%8B%D1%85_%D1%83%D1%81%D0%BB%D1%83%D0%B3_%D0%A0%D0%BE%D1%81%D1%81%D0%B8%D0%B9%D1%81%D0%BA%D0%BE%D0%B9_%D0%A4%D0%B5%D0%B4%D0%B5%D1%80%D0%B0%D1%86%D0%B8%D0%B8</t>
  </si>
  <si>
    <t>Санкт-Петербург. Госуслуги</t>
  </si>
  <si>
    <t>Официальный портал госуслуг Санкт-Петербурга. Более 300 госуслуг и сервисов онлайн, актуальная информация о госуслугах, запись детей в детский сад и школу, ...</t>
  </si>
  <si>
    <t>https://gu.spb.ru/</t>
  </si>
  <si>
    <t>Портал услуг Тюменской области - Главная</t>
  </si>
  <si>
    <t>Проверить налоговую задолженность онлайн. Пользоваться госуслугами очень просто! Войти Зарегистрироваться. Популярные услуги. Информационно-справочная служба. 8 ...</t>
  </si>
  <si>
    <t>https://uslugi.admtyumen.ru/</t>
  </si>
  <si>
    <t>Портал услуг Тюменской области - Главная                                                                             Все категории                                  Все категории                                      Гражданам                                      Юридическим лицам                  RUS                                ×ОчиститьНайти                            ×                        Каталог услугПомощь и поддержкаОплатаЛичный кабинетВесь каталогЗакрытьЭтот сайт использует сервис веб-аналитики который применяет технологию «cookie» с целью анализа пользовательской активности. Посещая этот сайт вы соглашаетесь на обработку данных в целях указанных выше.ПринятьУ вас есть необработанные уведомления×                            ×ОчиститьСобираетесь за границу? Узнайте о правилах безопасного возвращения домойУзнать свой ИННПроверить налоговую задолженность онлайнПользоваться госуслугами очень просто!ВойтиЗарегистрироватьсяПопулярные услугиИнформационно-справочная служба8 800 100-12-908 3452 56-63-30Техническая поддержкаСообщить об ошибкеНаправить обращениеУслугиПо жизненным ситуациямПо ведомствамПо категориямРеестр услугНаши проектыПортал ОГВ ТОГубернаторЗаконодательствоМестное самоуправлениеГеопорталЗдравоохранение© 2010 — 2023 Правительство Тюменской области Администратор ГКУ ТО "ЦИТ ТО". Портал реализован на платформе "SiTex"</t>
  </si>
  <si>
    <t>uslugi.admtyumen.ru</t>
  </si>
  <si>
    <t>Портал госуслуг Ставропольского края</t>
  </si>
  <si>
    <t>https://26gosuslugi.ru/</t>
  </si>
  <si>
    <t>26gosuslugi.ru</t>
  </si>
  <si>
    <t>Региональный портал услуг Камчатского края</t>
  </si>
  <si>
    <t>https://gosuslugi41.ru/</t>
  </si>
  <si>
    <t>Региональный портал услуг Камчатского края      Для работы портала необходим Javascript        Ваш браузер является устаревшим и его поддержка будет прекращена в середине 2020 года.Для корректной работы с данным порталом рекомендуется использовать другой браузер (например Chrome Яндекс.Браузер) актуальной версии.                     Все категорииВсе категорииФизические лицаЮридические лица    Версия для слабовидящих  Выберите районРегиональный портал услуг Камчатского краяКаталог услугНовостиПомощь и поддержкаОплатаОбратная связьВойтиРегистрация2                Найдена ошибка на порталеРазвернутьУведомления для гостейCвернуть                    Найдена ошибка на портале                    Если обнаружили ошибку на портале или у Вас есть предложения то просим направить через форму обратной связи.                    Тестовое уведомление 2                    Это просто пример тестового уведомления для проверки таймер смены уведомлений. А сейчас это еще и расширенный текст тестового уведомления для проверки многострочного вывода текста этого уведомления! Ура! Всё будет хорошо!           ×ОчиститьНапример:        Запись на вакцинациюРегистрация транспортного средстваСлужба по контракту …            Путёвки в ДОЛ на зимнюю смену            10 ноября 2023 года на Портале государственных и муниципальных услуг Камчатского края стартует продажа путёвок в загородные стационарные детские лагеря «Альбатрос» и «Волна» на зимнюю смену.            Участники СВО и члены их семей могут подать заявление на получение земельного участка            Участники специальной военной операции и члены их семей могут подать заявление о постановке на учёт для предоставления земельных участков на Портале государственных и муниципальных услуг Камчатского краяПопулярные услугиСпорт и туризмЗдравоохранениеОбразованиеТранспортСоциальный заказЛьготы и пособияИдёт загрузкаЭто может занять некоторое времяИдёт загрузкаЭто может занять некоторое времяИдёт загрузкаЭто может занять некоторое времяИдёт загрузкаЭто может занять некоторое времяИдёт загрузкаЭто может занять некоторое времяИдёт загрузкаЭто может занять некоторое времяКатегории услугИдёт загрузкаЭто может занять некоторое время          Все категории        Идет загрузкаЭто может занять некоторое времяКаталог услугОплатаПомощь и поддержкаОбратная связь       Политика конфиденциальности© Портал государственных и муниципальных услуг Камчатского края 2023Внимание! Этот сайт собирает метаданные пользователя (cookie данные об IP - адресах местоположение и т.д.) в соответствии с Политикой конфиденциальности.Если Вы не хотите предоставлять данные для хранение и обработки пожалуйста покиньте сайт.СОГЛАСЕН</t>
  </si>
  <si>
    <t>gosuslugi41.ru</t>
  </si>
  <si>
    <t>Портал государственных услуг Тульской области</t>
  </si>
  <si>
    <t>Госуслуги сообщат о них сразу после наступления события, которое дает право на господдержку. Сейчас информирование возможно в трёх ситуациях: • при рождении ...</t>
  </si>
  <si>
    <t>https://www.gosuslugi71.ru/</t>
  </si>
  <si>
    <t>Госуслуги Пензенской области</t>
  </si>
  <si>
    <t>https://gosuslugi.pnzreg.ru/</t>
  </si>
  <si>
    <t>Роспатент. Госуслуги</t>
  </si>
  <si>
    <t>Госуслуги: регистрация объектов интеллектуальной собственности, ознакомление с документами заявки, регистрация распоряжения и перехода исключительного права ...</t>
  </si>
  <si>
    <t>https://rospatent.gov.ru/ru/stateservices</t>
  </si>
  <si>
    <t>Федеральная служба по интеллектуальной собственности (Роспатент)-Главная страница РоспатентФедеральная служба по интеллектуальной собственностиEngПодать заявкуСOVID-19РоспатентФедеральная служба по интеллектуальной собственностиПравительство РоссииО РоспатентеО РоспатентеОбщие сведенияСтруктура и руководствоОткрытый РоспатентПодведомственные учрежденияКоллегиальные и совещательные органыКоллегия РоспатентаОбщественный советПланыСтатистикаГодовые отчетыЛучшие изобретения годаГосзакупкиГосслужбаФинансированиеМониторинг качества финансового менеджментаДеятельностьДеятельностьОбъекты патентных правПошлины и платежиПатентные поверенныеПеречень НПА (их отдельных положений) содержащих обязательные требования оценка соблюдения которых осуществляется в рамках предоставления Роспатентом государственной услуги по аттестации и регистрации патентных поверенных РФКонтроль и надзор в сфере правовой охраны и использования РИД созданных за счет бюджетных ассигнований федерального бюджетаПеречень НПА (их отдельных положений) содержащих обязательные требования оценка соблюдения которых осуществляется в рамках контроля и надзора в сфере правовой охраны и использования РИД военного специального и двойного назначенияПеречень НПА (их отдельных положений) содержащих обязательные требования оценка соблюдения которых осуществляется в рамках контроля и надзора в сфере правовой охраны и использования РИД гражданского назначенияПеречень НПА (их отдельных положений) содержащих обязательные требования оценка соблюдения которых осуществляется в рамках выполнения Роспатентом полномочий учредителя образовательных организацийМеждународное сотрудничествоРегиональное сотрудничествоСудебная практикаМониторинг правоприменительной практикиПорядок обжалованияЗарубежное патентованиеГосударственный патентный фондПротиводействие коррупцииКонференции вебинарыЛицензии и договорные отношенияСоглашенияРеестр аттестованных экспертовПлан-график нормативно-правовой работы Роспатента на 2019 - 2023 гг.Научные и образовательные организации аккредитованные в качестве организаций которые могут проводить предварительный информационный поиск и предварительную оценку патентоспособности изобретений и полезных моделейПеречень НПА (их отдельных положений) содержащих обязательные требования оценка соблюдения которых осуществляется в рамках предоставления Роспатентом государственной услуги по аккредитации научных и образовательных организацийГосуслугиГосуслугиРегистрация объектов интеллектуальной собственностиОзнакомление с документами заявкиРегистрация распоряжения или перехода исключительного праваПродление прекращение и восстановление правовой охраныВнесение изменений в государственные реестрыПризнание товарного знака общеизвестным в РФПубликация решений судовАттестация и регистрация патентных поверенных РФАккредитация научных и образовательных организаций в качестве организаций которые могут проводить предварительный информационный поиск и предварительную оценку патентоспособности изобретений и полезных моделейДокументы и формыДокументы и формыДокументыФормы документовИнформация и сервисыИнформация и сервисыНовостиИнформационные ресурсы РоспатентаОбщественная приемнаяОткрытые данныеГодовые отчетыЦифровая платформаАналитические панелиКалькулятор патентных и иных пошлинКвитанция на уплату патентной пошлиныПоиск платежейПоиск решений Палаты по патентным спорамРегиональные бренды РоссииМультимедиаГлоссарийЧасто задаваемые вопросыФорма обратной связиКонкурсыСсылкиКонсультации по актуальным вопросам пользователейКредитование под залог интеллектуальной собственностиКонтактыКонтактыСписок телефонов для предоставления консультаций и справокПресс-службаПодать заявкуСOVID-19ДокументыПошлиныПатентные поверенныеОтветы         на часто задаваемые вопросыEngПравительство РоссииО РоспатентеОбщие сведенияСтруктура и руководствоОткрытый РоспатентПодведомственные учрежденияКоллегиальные и совещательные органыКоллегия РоспатентаОбщественный советПланыСтатистикаГодовые отчетыЛучшие изобретения годаГосзакупкиГосслужбаФинансированиеМониторинг качества финансового менеджментаДеятельностьОбъекты патентных правПошлины и платежиПатентные поверенныеПеречень НПА (их отдельных положений) содержащих обязательные требования оценка соблюдения которых осуществляется в рамках предоставления Роспатентом государственной услуги по аттестации и регистрации патентных поверенных РФКонтроль и надзор в сфере правовой охраны и использования РИД созданных за счет бюджетных ассигнований федерального бюджетаПеречень НПА (их отдельных положений) содержащих обязательные требования оценка соблюдения которых осуществляется в рамках контроля и надзора в сфере правовой охраны и использования РИД военного специального и двойного назначенияПеречень НПА (их отдельных положений) содержащих обязательные требования оценка соблюдения которых осуществляется в рамках контроля и надзора в сфере правовой охраны и использования РИД гражданского назначенияПеречень НПА (их отдельных положений) содержащих обязательные требования оценка соблюдения которых осуществляется в рамках выполнения Роспатентом полномочий учредителя образовательных организацийМеждународное сотрудничествоРегиональное сотрудничествоСудебная практикаМониторинг правоприменительной практикиПорядок обжалованияЗарубежное патентованиеГосударственный патентный фондПротиводействие коррупцииКонференции вебинарыЛицензии и договорные отношенияСоглашенияРеестр аттестованных экспертовПлан-график нормативно-правовой работы Роспатента на 2019 - 2023 гг.Научные и образовательные организации аккредитованные в качестве организаций которые могут проводить предварительный информационный поиск и предварительную оценку патентоспособности изобретений и полезных моделейПеречень НПА (их отдельных положений) содержащих обязательные требования оценка соблюдения которых осуществляется в рамках предоставления Роспатентом государственной услуги по аккредитации научных и образовательных организацийГосуслугиРегистрация объектов интеллектуальной собственностиОзнакомление с документами заявкиРегистрация распоряжения или перехода исключительного праваПродление прекращение и восстановление правовой охраныВнесение изменений в государственные реестрыПризнание товарного знака общеизвестным в РФПубликация решений судовАттестация и регистрация патентных поверенных РФАккредитация научных и образовательных организаций в качестве организаций которые могут проводить предварительный информационный поиск и предварительную оценку патентоспособности изобретений и полезных моделейДокументы и формыДокументыФормы документовИнформация и сервисыНовостиИнформационные ресурсы РоспатентаОбщественная приемнаяОткрытые данныеГодовые отчетыЦифровая платформаАналитические панелиКалькулятор патентных и иных пошлинКвитанция на уплату патентной пошлиныПоиск платежейПоиск решений Палаты по патентным спорамРегиональные бренды РоссииМультимедиаГлоссарийЧасто задаваемые вопросыФорма обратной связиКонкурсыСсылкиКонсультации по актуальным вопросам пользователейКредитование под залог интеллектуальной собственностиКонтактыСписок телефонов для предоставления консультаций и справокПресс-службаСOVID-19Подать заявкуПравительство РоссииО РоспатентеОбщие сведенияСтруктура и руководствоОткрытый РоспатентПодведомственные учрежденияКоллегиальные и совещательные органыКоллегия РоспатентаОбщественный советПланыСтатистикаГодовые отчетыЛучшие изобретения годаГосзакупкиГосслужбаФинансированиеМониторинг качества финансового менеджментаДеятельностьОбъекты патентных правПошлины и платежиПатентные поверенныеПеречень НПА (их отдельных положений) содержащих обязательные требования оценка соблюдения которых осуществляется в рамках предоставления Роспатентом государственной услуги по аттестации и регистрации патентных поверенных РФКонтроль и надзор в сфере правовой охраны и использования РИД созданных за счет бюджетных ассигнований федерального бюджетаПеречень НПА (их отдельных положений) содержащих обязательные требования оценка соблюдения которых осуществляется в рамках контроля и надзора в сфере правовой охраны и использования РИД военного специального и двойного назначенияПеречень НПА (их отдельных положений) содержащих обязательные требования оценка соблюдения которых осуществляется в рамках контроля и надзора в сфере правовой охраны и использования РИД гражданского назначенияПеречень НПА (их отдельных положений) содержащих обязательные требования оценка соблюдения которых осуществляется в рамках выполнения Роспатентом полномочий учредителя образовательных организацийМеждународное сотрудничествоРегиональное сотрудничествоСудебная практикаМониторинг правоприменительной практикиПорядок обжалованияЗарубежное патентованиеГосударственный патентный фондПротиводействие коррупцииКонференции вебинарыЛицензии и договорные отношенияСоглашенияРеестр аттестованных экспертовПлан-график нормативно-правовой работы Роспатента на 2019 - 2023 гг.Научные и образовательные организации аккредитованные в качестве организаций которые могут проводить предварительный информационный поиск и предварительную оценку патентоспособности изобретений и полезных моделейПеречень НПА (их отдельных положений) содержащих обязательные требования оценка соблюдения которых осуществляется в рамках предоставления Роспатентом государственной услуги по аккредитации научных и образовательных организацийГосуслугиРегистрация объектов интеллектуальной собственностиОзнакомление с документами заявкиРегистрация распоряжения или перехода исключительного праваПродление прекращение и восстановление правовой охраныВнесение изменений в государственные реестрыПризнание товарного знака общеизвестным в РФПубликация решений судовАттестация и регистрация патентных поверенных РФАккредитация научных и образовательных организаций в качестве организаций которые могут проводить предварительный информационный поиск и предварительную оценку патентоспособности изобретений и полезных моделейДокументы и формыДокументыФормы документовИнформация и сервисыНовостиИнформационные ресурсы РоспатентаОбщественная приемнаяОткрытые данныеГодовые отчетыЦифровая платформаАналитические панелиКалькулятор патентных и иных пошлинКвитанция на уплату патентной пошлиныПоиск платежейПоиск решений Палаты по патентным спорамРегиональные бренды РоссииМультимедиаГлоссарийЧасто задаваемые вопросыФорма обратной связиКонкурсыСсылкиКонсультации по актуальным вопросам пользователейКредитование под залог интеллектуальной собственностиКонтактыСписок телефонов для предоставления консультаций и справокПресс-службаНовостиЮрий Зубов: Роспатент стимулирует создание и коммерциализацию разработок 10 ноября 2023 20:00На площадке конкурса «Моя страна – моя Россия» обсудили вопросы защиты интеллектуальной собственности 9 ноября 2023 20:00Юрий Зубов: интеллектуальная собственность все больше становится экономическим активом и объектом инвестиций 7 ноября 2023 18:09Как подать заявку через ЕПГУ: самая актуальная информация об изменениях процедур получения госуслуг Роспатента 7 ноября 2023 10:20Роспатент открыл экспозицию региональных брендов 4 ноября 2023 08:00ВниманиеВебинар ВОИС: Марракешский договорВебинар ВОИС: Система PCT: Переход на национальную фазуВниманию пользователей Системы РСТ !Пройдите опрос - помогите сделать наши услуги еще удобней и доступнейВниманию кандидатов в патентные поверенные! 27 октября  2023 года состоялось заседание Квалификационной комиссии РоспатентаДиалог ВОИС: коренные народы выражения культуры и модаГрафик квалификационных экзаменов по аттестации патентных поверенных Российской Федерации на 2024 годСправка о динамике патентования в РФС 29 июня физические лица смогут регистрировать товарные знакиОцените качество и доступность государственных услуг РоспатентаКалендарь14 — 16 ноября 2023.							VI профессорский форум "Наука и образование как основа развития России. Кадры для инновационной экономики" (Москва)						14 ноября 2023.							Круглый стол: "Внедрение технологии искусственного интеллекта в бизнес и государство как основной тренд 2024-2030 г." (Москва)						16 — 17 ноября 2023.							Всероссийский форум молодых изобретателей (В. Новгород)						16 ноября 2023.							"Форум этики искусственного интеллекта: Поколение GPT. Красные линИИ: https://www.aiethic.ru/" . Торжественная церемония присоединения организаций к Кодексу этики в сфере искусственного интеллекта. (Москва)						20 — 21 ноября 2023.							Ярмарка продуктовых разработок в сфере медицины и здравоохранения (Москва)						21 — 24 ноября 2023.							XXIII Международная научно-практическая конференция "Кутафинские чтения" Московского государственного юридического университета им. О.Е. Кутафина (МГЮА Москва)						24 ноября 2023.							Церемония награждения Первой российской премией IP Russia Awards 2023 (Москва)						28 — 30 ноября 2023.							III Конгресс молодых ученых. Финал Всероссийского конкурса ВОИР "Изобретатель года" (Сочи Парк науки и искусства "Сириус" федеральная территория "Сириус")						29 ноября 2023.							Заседание Ученого совета Федерального института промышленной собственности (Москва)						5 — 7 декабря 2023.							Очередное заседание Административного совета Евразийской патентной организации (АС ЕАПО) (Москва)						6 декабря 2023.							II Евразийская конференция по интеллектуальной собственности и технологиям "IPЕвразия/IP Индия*2023" (Москва)						7 декабря 2023.							XXXII Международная научно-практическая конференция "Медиаправо – 2023"  (Кафедра ЮНЕСКО по авторскому праву смежным культурным и информационным правам НИУ "Высшая школа экономики" Москва)						Патент неделиКак новые технологии помогают управлять беспилотным автомобилем безопасно?10 ноября 2023 14:03Пресса о РоспатентеВЕДОМОСТИ: Роспатент опроверг «конфискацию» товарных знаков Сбербанка и «Калашникова»3 ноября 2023 14:04Все            новости            патенты недели            календарь            пресса о РоспатентеrssПерейти на страницу подписок                                        Есть проблема с охраной интеллектуальной собственности?                                                                            Сообщите в Роспатент                                    Написать                                    ИзобретенияПолезная модельПромышленный образецТоварный знакГеографические указания Наименования мест происхождения товаровПрограмма для ЭВМБаза данныхТопология интегральных микросхемДоговорыЗащита интеллектуальной собственности за рубежомДокументыНормативно-правовые актыФормы и образцы заполненияПошлиныКалькулятор патентных и иных пошлинЭлектронная форма квитанции на оплату патентной пошлиныЛьготыПоиск платежей поступивших в РоспатентПатентные поверенныеПоиск патентных поверенныхФизические лицаРазрешение споровРасписание коллегий Палаты по патентным спорамПодача возражений и заявлений в Палату по патентным спорамПоиск решений Палаты по патентным спорамСудебная практикаСудебная практика (НМПТ)Досудебное обжалованиеОфициальные публикацииИнформационные ресурсыСостояние делопроизводстваРеестр аттестованных экспертовГлоссарийОтветы на часто задаваемые вопросы (FAQ)Консультации по актуальным вопросам пользователейПоиск по сайтуГайд по сайтуПолучить услугуГосударственная регистрация изобретения и выдача патента на изобретение его дубликатаГосударственная регистрация товарного знака знака обслуживания коллективного знакаГосударственная регистрация полезной модели и выдача патента на полезную модель его дубликатаГосударственная регистрация промышленного образца и выдача патента на промышленный образец его дубликатаГосударственная регистрация программы для электронных вычислительных машин или базы данныхОзнакомление с документами заявки на географическое указание наименование места происхождения товараГосударственная регистрация распоряжения по договоруПродление срока действия исключительного права на товарный знакВосстановление действия патентаВнесение изменений в государственные реестры изобретений полезных моделей промышленных образцов Российской ФедерацииВнесение изменений в государственные реестры товарных знаков географических указаний наименований мест происхождения товаров Перечень общеизвестных ТЗ а также в свидетельства. Преобразование коллективного знака в товарный знак и наоборотАккредитация научных и образовательных организаций в качестве организаций которые могут проводить предварительный информационный поиск и предварительную оценку патентоспособности изобретений и полезных моделейИнформационное сообщение о подаче документов в электронной форме представителем заявителяВсе услугиВсе услугиГосударственные услугиКонтроль и надзор  в сфере правовой охраны и использования РИДПравовая защита интересов государства в отношении РИД ВСДНМеждународное сотрудничество• Система PCT• Мадридская система• Гаагская система• Программа PPHРегиональное сотрудничествоПротиводействие коррупцииИсполнение федерального бюджета по доходам и расходамВся деятельностьПодведомственные учрежденияФИПСФедеральный институт промышленной собственностиРГАИСРоссийская государственная академия интеллектуальной собственностиФАПРИДФедеральное агентство по правовой защите результатов интеллектуальной деятельности военного специального и двойного назначенияОткрытый РоспатентРоспатент в системе Открытое правительствоОткрытые данныеОбщественный советКоллегия РоспатентаСовет по качествуМониторинг качества финансового менеджментаГосзакупкиГосслужбаРеализация 83-ФЗРеализация Постановления Правительства РФ № 1722Быстрые ссылки. ГосмониторингЗаконодательная карта сайта179тыс. поданных заявок2 510патентных поверенных2 296сотрудников26электронных услугПубличная декларация целей и задач на 2023 годПубличная декларация целей и задач на 2022 годСтатистика действующих охранных документов100 лучших изобретений РоссииГодовой отчет РоспатентаРоспатент запустил новую цифровую платформу29 марта 2022 15:00Все акцентыДата последнего обновления страницы:26.05.2022 12:33Все обновленияСправочная служба+7 (499) 240-6015rospatent@rospatent.gov.ruКонсультации по вопросам общего характера+7 (499) 240-5842fips@rupto.ruДля обращений гражданэлектронная форма приема сообщенийЦентр стратегических коммуникаций+7 (495) 531-6696prc@rupto.ruИнформация о приеме и рассмотрении обращений граждан+7 (495) 531-6650Подведомственные учрежденияФедеральный институт промышленной собственностиРоссийская государственная академия интеллектуальной собственностиФедеральное агентство по правовой защите результатов интеллектуальной деятельности военного специального и двойного назначенияИзобретенияТоварные знакиСтандарты ВОИСМадридская системаPCTPPHОбщественный советПошлиныОткрытые данныеОткрытые реестрыПатентные поверенныеДокументыФормыРегламентГаагская системаНТСБлокчейнВОИСВидеоКонтрольКонференцияАналитикаЦПТИИнтервьюАрхимедKazanLegalЭлектронная подача заявкиПланыСтатистикаМеждународное сотрудничествоЦифровая трансформацияРИФКЭФПрезентацииМДИСПМЭФПМЮФВЭФТЕХНОПРОМГеографические указанияИнфографика© 2012-2023 РоспатентИнформация о сайте							 						Написать в службу технической поддержкиЧерно-белая версияСиняя версияОтключить картинкиРазмер шрифтаОбычный шрифтУвеличенный шрифт 1.5Увеличенный шрифт 2						Интервал между буквами (кернинг):					ОбычныйБольшойОчень большой</t>
  </si>
  <si>
    <t>rospatent.gov.ru</t>
  </si>
  <si>
    <t>Главная - Региональный портал государственных и ...</t>
  </si>
  <si>
    <t>https://gosuslugi.bashkortostan.ru/</t>
  </si>
  <si>
    <t>Личный кабинет граждан Кемеровской области</t>
  </si>
  <si>
    <t>Вход через аккаунт Госуслуги доступен только для родителей, для учеников возможность будет добавлена позже. Войти. Войти через госуслуги · Регистрация. Проблемы ...</t>
  </si>
  <si>
    <t>https://cabinet.ruobr.ru/</t>
  </si>
  <si>
    <t>Личный кабинет граждан Кемеровской областиВход* сделано в КУЗБАССЕ** для КУЗБАССА                            #УЧУСЬВКУЗБАССЕ                                                    новое приложениедля образования детей и родителей КУЗБАССА                                            Вход в личный кабинет гражданина                                        Кемеровской области                Вход через аккаунт Госуслуги доступен только для родителей для учеников возможность будет добавлена позжеВойти                                    Войти через                                    госуслуги РегистрацияПроблемы со входом                        Забыли пароль?                                                Возможности сервиса                                                            Подача заявлений для постановки на учет и зачисления детей в образовательные                                    учреждения реализующие основную общеобразовательную программу дошкольного                                    образования (детские сады)                                 Контроль движения очереди в детском саду Подача заявлений для зачисления детей в образовательные учреждения реализующие                                    основную общеобразовательную программу (школы)                                 Контроль текущей и итоговой успеваемости ребенка Контроль посещаемости ребенка образовательного учреждения Получение актуальных школьных новостей Общение с сотрудниками образовательного учреждения (школы) Подача заявлений для зачисления детей в образовательные учреждения реализующие                                    дополнительную общеобразовательную программу                                 Подача заявления на получение сертификата персонифицированного финансирования Формирование портфолио обучающегося                            Как получить доступ к сервису                                                        Доступ к сервису «Личный кабинет гражданина Кемеровской области» осуществляется одним из                                двух способов:                                                                С помощью логина и пароля полученных при постановке ребенка на очередь в детский                                    сад при личном приеме. Для обучающихся и их родителей логин/пароль нужно получить в                                    школе.                                                                    С помощью учетной записи Единой системы идентификации и аутентификации (ЕСИА) –                                    реквизитов доступа используемых для авторизации на Едином портале государственных и                                    муниципальных услуг.                                                    НАВИГАТОР ДОПОЛНИТЕЛЬНОГО ОБРАЗОВАНИЯ ДЕТЕЙ КУЗБАССА                Перейти в навигатор</t>
  </si>
  <si>
    <t>cabinet.ruobr.ru</t>
  </si>
  <si>
    <t>Госуслуги - Приложения в Google Play</t>
  </si>
  <si>
    <t>Госуслуги - это федеральная государственная информационная система разрабатываемая Министерством цифрового развития, связи и массовых коммуникаций ...</t>
  </si>
  <si>
    <t>https://play.google.com/store/apps/details?id=ru.rostel&amp;hl=ru&amp;gl=US</t>
  </si>
  <si>
    <t>Госуслуги.Дом - App Store</t>
  </si>
  <si>
    <t>Госуслуги.Дом — многофункциональное бесплатное приложение для решения жилищно-коммунальных вопросов. Сервис создан на основе ГИС ЖКХ и включает в себя все ...</t>
  </si>
  <si>
    <t>https://apps.apple.com/ru/app/%D0%B3%D0%BE%D1%81%D1%83%D1%81%D0%BB%D1%83%D0%B3%D0%B8-%D0%B4%D0%BE%D0%BC/id1616550510</t>
  </si>
  <si>
    <t>Пользуйтесь Госуслугами в любом регионе, с любым вероисповеданием, с разными взглядами и предпочтениями. Сервисы доступны каждому. Потому что Россия — едина!</t>
  </si>
  <si>
    <t>https://t.me/s/gosuslugi</t>
  </si>
  <si>
    <t>Портал государственных услуг - Санкт-Петербург. Госуслуги</t>
  </si>
  <si>
    <t>https://eservice.gu.spb.ru/portalFront/resources/portal.html</t>
  </si>
  <si>
    <t>Gosuslugi</t>
  </si>
  <si>
    <t>The Federal State Information System "Unified Portal of State and Municipal Services (Functions)", commonly referred to as Gosuslugi (Russian: Госуслуги) is ...</t>
  </si>
  <si>
    <t>https://en.wikipedia.org/wiki/Gosuslugi</t>
  </si>
  <si>
    <t>гугл</t>
  </si>
  <si>
    <t>Google</t>
  </si>
  <si>
    <t>Search the world's information, including webpages, images, videos and more. Google has many special features to help you find exactly what you're looking ...</t>
  </si>
  <si>
    <t>https://www.google.ru/</t>
  </si>
  <si>
    <t>GoogleSearchImagesMapsPlayYouTubeNewsGmailDriveMoreCalendarTranslateMobileBooksShoppingBloggerFinancePhotosDocsEven more »Account OptionsSign inSearch settingsWeb History Advanced searchLearn how Google supports veteransGoogle offered in:  ������� AdvertisingBusiness SolutionsAbout GoogleGoogle.com© 2023 - Privacy - Terms</t>
  </si>
  <si>
    <t>www.google.ru</t>
  </si>
  <si>
    <t>https://www.google.com/</t>
  </si>
  <si>
    <t>In your Google Account, you can see and manage your info, activity, security options, and privacy preferences to make Google work better for you.</t>
  </si>
  <si>
    <t>Google Переводчик</t>
  </si>
  <si>
    <t>Бесплатный сервис Google позволяет мгновенно переводить слова, фразы и веб-страницы. Поддерживается более 100 языков.</t>
  </si>
  <si>
    <t>https://translate.google.com/?hl=ru</t>
  </si>
  <si>
    <t>Google TranslateTranslateSettings SettingsVoice speedNormalTestSlowTestSlowerTestSign inTranslateAbout Google TranslatePrivacy &amp; TermsHelpSend feedbackAbout GoogleTranslation typesTextImagesDocumentsWebsitesText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Getting translation...May contain sensitive languageMay contain disputed languageMay contain sensitive and disputed languageLearn moreDismissSource textclearClear source textShow moreShow lessVoice input isn't supported on this browserBusy...Translate by voiceLoading...Listen0 / 5000Loading...Turn on HandwritingSelect Input ToolkeyboardTranslation resultsTranslationTranslating...Translations are gender-specific. Learn moreSome sentences may contain gender-specific alternatives. Click a sentence to see alternatives. Learn moreGender-specific translations are limited. Learn moreerror_outlineTranslation errorTry againDocument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Drag and dropDrag and dropOr choose a fileBrowse your filesSupported file types: .docx .pdf .pptx .xlsx.   Learn moreDrop file herePowered by Google Cloud TranslationWebsite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 WebsiteClear URLEnter a URLTranslateTranslatingImage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Drag and dropDrag and dropOr choose a fileBrowse your filesPaste from clipboardSupported file types: .jpg .jpeg .png.   Learn moreDrop file hereSend feedbackSide panelsHistorySavedContribute5000 character limit. Use the arrows to translate more.DoneSavedHistoryGoogle appsMain menu</t>
  </si>
  <si>
    <t>translate.google.com</t>
  </si>
  <si>
    <t>Google Accounts: Sign in</t>
  </si>
  <si>
    <t>Sign in. Use your Google Account. Email or phone. Forgot email? CAPTCHA image of text used to distinguish humans from robots ... Sign in Use your Google Account.</t>
  </si>
  <si>
    <t>https://accounts.google.com/</t>
  </si>
  <si>
    <t>Explore Google Earth</t>
  </si>
  <si>
    <t>Grab the helm and go on an adventure in Google Earth.</t>
  </si>
  <si>
    <t>https://earth.google.com/</t>
  </si>
  <si>
    <t>Google EarthAw snap! Google Earth isn't supported on your browser. You may need to update your browser or use a different browser. Please see our system requirements for more information. Chrome is a great choice and you can download it here.Or if you're feeling adventurous you can try Earth anyway by choosing an option below.Launch Wasm Multiple ThreadedLaunch Wasm Single ThreadedLearn more about Google Earth.</t>
  </si>
  <si>
    <t>earth.google.com</t>
  </si>
  <si>
    <t>Google Ads - Get Customers and Sell More with Online ...</t>
  </si>
  <si>
    <t>Discover how online advertising with Google Ads can help grow your business. Get customers and sell more with our digital advertising platform.</t>
  </si>
  <si>
    <t>https://ads.google.com/home/</t>
  </si>
  <si>
    <t>Google Ads - Get Customers and Sell More with Online Advertising              Jump to content        Ads                            Manage your Google account                                                        Create new Google Ads account                                                          Sign out                                                          Privacy Policy                            ·                              Terms of Service                                                    Want to create a new Google Ads account?                                              You’re about to create a new Google Ads account. You can                        create multiple campaigns in the same account without                        creating a new account.                                                  Cancel                                                      Create New Account                                              1-800-838-7971*                                      Schedule a meeting                                      Sign in                                      Start now                  Call for sign up help Mon-Fri 9am-9pm ETAds                      Goals                                          Campaigns &amp; tools                           Search                                                  Performance Max                                                  Display                                                  Shopping                                                  Video                                                  App                                                  Smart                                                  Demand Gen                                                  Measurement                                                  Conversion Tracking                                                  Bidding                                                  AI-powered Ad Solutions                                                  Privacy                                                  Tools                                                  Keyword Planner                                                  Manager Accounts                                                  Google Ads Editor                                                  Reach Planner                                                  Google Ads Mobile App                                                  Insights Finder                                                  Google Ads API                                                  Performance Planner                                                  Experiments Page                                                  Recommendations Page                                                  Insights Page                                              Partners                           Work with a Partner                                                  Become a Partner                                              Resources                           View all resources                                                    Education                                                    How it works                                                Expert support                                        1-800-838-7971*                                      Schedule a meeting                                      Sign in                                      Start now                  Call for sign up help Mon-Fri 9am-9pm ET                            Manage your Google account                                                        Create new Google Ads account                                                          Sign out                                                          Privacy Policy                            ·                              Terms of Service                                                    Want to create a new Google Ads account?                                              You’re about to create a new Google Ads account. You can                        create multiple campaigns in the same account without                        creating a new account.                                                  Cancel                                                      Create New Account                                          Campaigns &amp; tools                                  Search                                      Performance Max                                      Display                                      Shopping                                      Video                                      App                                      Smart                                      Demand Gen                                      Measurement                                         Conversion Tracking                                      Bidding                                      AI-powered Ad Solutions                                      Privacy                                      Tools                                         Keyword Planner                                      Manager Accounts                                      Google Ads Editor                                      Reach Planner                                      Google Ads Mobile App                                      Insights Finder                                      Google Ads API                                      Performance Planner                                      Experiments Page                                      Recommendations Page                                      Insights Page                                  Partners                                  Work with a Partner                                      Become a Partner                                  Resources                                  View all resources                                         Education                                         How it works                                   Start now                            Spend $500 and get $500 in ad credit.                                Terms and conditions apply.                                To help you get started with Google Ads we’ll give you $500 in                ad credit when you spend $500.                                Learn more                To help you get started with Google Ads we’ll give you                        $500 in ad credit when you spend $500.                            Claim this offer                          Terms and conditions for this offer:Offer available only while supplies last.                            Offer available only to advertisers which are new to                            Google Ads with a billing address in the United                            States. One promotional offer per advertiser.                                                      To activate this offer: Click on the button or link                            associated with this offer for it to be                            automatically applied to your first Google Ads                            account. The promotional offer must be applied to                            your first Google Ads account within 14 days of your                            first ad impression being served.                                                      The promotional offer will only be applied to your                            account if a payment profile and a valid payment                            method is added during the initial signup process.                                                      To earn the Google Ads credit: After the promotional                            offer is applied to your Google Ads account your                            advertising campaigns must accrue costs of at least                            $500 (excluding any taxes or applicable fees) within                            60 days. Making a payment of $500 is not sufficient.                            The tracking of advertising costs towards $500                            begins after the promotional offer is applied.                                                      Once step 5 is completed provided all eligibility                            checks are met the credit will typically be applied                            within 35 days to the Billing Summary of your Google                            Ads account.                                                      The credit expires 60 days after it is applied to                            your account.                                                      Credit applies to future advertising costs only.                            Credit cannot be applied to costs accrued before the                            promotional offer was applied to your Google Ads                            account.                                                      You won’t receive a notification once credit in your                            Google Ads account is used up and any additional                            advertising costs will be charged to your form of                            payment. If you don’t want to continue advertising                            you can pause or delete your campaigns at any time.                                                      Your account must be successfully billed by Google                            Ads and remain in good standing in order to remain                            eligible to use the credit.                                                      Google Ads reserves the right to remove the                            promotional offer from your account if a payment                            fails an offer was mistakenly applied you breach                            these terms or your account otherwise falls out of                            good standing. In such cases if the promotional                            credit has already been granted Google Ads reserves                            the right to nullify that credit.                                                      Full terms and conditions can be found here:                            https://www.google.com/intl/en_US/ads/coupons/terms/Choose your offer and get up to {AWARD_AMOUNT} in Ads                        creditNew advertiser? Choose between three attractive offers                        based on your budget to jumpstart your first                        campaign.                      Choose now                                         {AWARD_AMOUNT}                  Your {AWARD_AMOUNT} in Ads credit is ready to be                        claimedSign up for Google Ads and complete your payment                        information to apply the offer to your account.                        Terms and conditions apply                      Start now to claim                                         {AWARD_AMOUNT}                  Don’t forget to complete sign up to claim your                        offerSign up for Google Ads and complete your payment                        information to apply the {AWARD_AMOUNT} in Ads credits                        to your account.                        Terms and conditions apply                      Start now to claim                                 Drive sales Stand out Be found Show up with Google Ads          Drive salesStand outBe foundShow upwith Google AdsPlay animationPause animationDo more for your                  business with                  Google Ads                For whatever matters most make it easier for potential                customers to find your business with Google Ads.                                Start now                                  Start with an expert                 Choose a sign-up offer to jumpstart your first                        campaign                        Select an offer that fits your monthly budget and sign                        up when ready. You’ll receive your Ads credit after you                        meet the minimum spend requirement for the offer you                        selected. Terms and conditions apply.Choose a sign-up offer to jumpstart your first                          campaign                          Select an offer that fits your monthly budget and sign                          up when ready. You’ll receive your Ads credit after                          you meet the minimum spend requirement for the offer                          you selected. Terms and conditions apply.OFFER A{AWARD_AMOUNT_0}in Ads credit{AWARD_AMOUNT_0} in Ads credit                                    Spend {TARGET_AMOUNT_0} with Google Ads in                                    the first 60 days to unlock the credit.                                  OFFER B{AWARD_AMOUNT_1}in Ads credit{AWARD_AMOUNT_1} in Ads credit                                    Spend {TARGET_AMOUNT_1} with Google Ads in                                    the first 60 days to unlock the credit.                                  OFFER C{AWARD_AMOUNT_2}in Ads credit{AWARD_AMOUNT_2} in Ads credit                                    Spend {TARGET_AMOUNT_2} with Google Ads in                                    the first 60 days to unlock the credit.                                                              Select an offer to continue                          How to claim your offer                            Sign up and complete payment setup to apply the                            offer to your account.                                                      Start now to claim                                           Google Ads gives you many ways to be seen              Disable automatic scrolling in this section for better                  accessibility                    Search                    - Selected more information after list                    Display                    - Selected more information after list                    Shopping                    - Selected more information after list                    Video                    - Selected more information after list                    App                    - Selected more information after list                  Start with search                                  Help drive sales leads or site traffic by getting your                  business in front of people who are actively searching Google                  for products or services you offer.                                      Explore Search Ads                                      Engage the eye                                  Build awareness and consideration with memorable visually                  engaging ads that reach your audience when they’re online                  checking Gmail or using mobile apps.                                      Explore Display Ads                                      Offer up your inventory                                  Show up when people are shopping with visually engaging                  product listings and let them know what you have in stock to                  drive more sales.                                      Explore Shopping Ads                                      Bring your brand to life with video                                  Boost awareness of your brand follow up with former ad                  viewers and reach potential customers while they’re watching                  or searching for videos on YouTube.                                      Explore Video Ads                                      Promote your app                                  Reach people who are interested in apps like yours to drive                  installs or choose to re-engage current users to drive more                  in-app actions.                                      Explore App Ads                     Achieve all your goals in one place                          Learn more                                                    Maximize leads and conversions                                                      Get better quality leads and enhance conversions.                                                      Increase online sales                                                      Show up where shoppers are and increase site traffic                            and sales.                                                      Drive in-store foot traffic                                                      Bring people through your doors and increase offline                            sales.                                                      Show your brand to more people                                                      Put your brand out there to increase reach and                            engagement.                                                      Market your app to new users                                                      Put your app in front of the right users to drive                            downloads and engagement.                           The power of Google                  for your businessReach customers wherever they are                    Show up at the right time and place across the vast Google                    Ads ecosystem. Let Google’s AI find your best performing ad                    formats across Youtube Discover Search and more to                    maximize conversions.                  Track learn and optimize for ROI                    Track conversions to get unmatched audience insights.                    Google’s budget-optimizing automation helps you capture new                    customer opportunities with the highest ROI.                  Stay in full control of your budget                    Get recommendations decide your monthly budget and adjust                    at any time. Google technology helps you measure results and                    make the most of your ad spend.                  Reach customers wherever they are                                Show up at the right time and place across the                                vast Google Ads ecosystem. Let Google’s AI find                                your best performing ad formats across Youtube                                Discover Search and more to maximize                                conversions.                              Track learn and optimize for ROI                                Track conversions to get unmatched audience                                insights. Google’s budget-optimizing automation                                helps you capture new customer opportunities                                with the highest ROI.                              Stay in full control of your budget                                Get recommendations decide your monthly budget                                and adjust at any time. Google technology helps                                you measure results and make the most of your ad                                spend.                               What success looks like                      View all success stories                    400%ROI in 2021400%ROI in 2021                                        “There really is no better platform than                                        Google Ads to reach the entire world.”                                                                            Josh Kilmer-Purcell Co-owner Beekman                                      1802                                                                                  Watch their story                                            150%YoY growth150%YoY growth                                        “This year already we have a 300% ROI                                        in our Google Ads.”                                                                            Randy Williams Founder &amp; CEO Talley                                      &amp; Twine                                                                                  Watch their story                                            675%ROAS675%ROAS                                        Learn how Asutra earned a 675% return on                                        ad spend with Google Ads                                                                                    Watch their story                                             Let us help.                    Get started with our free personalized support. Create your                    custom ads plan with a Google Ads Expert.                                          1-800-838-7971                      Chat with us                        Schedule a meeting                      Footer links                Follow us              About Google AdsOverviewGoalsExpert supportMobile app for AndroidMobile app for iOSLearning &amp; supportYour guide to Google AdsGoogle Ads Help CenterGoogle Ads AnnouncementsGoogle Advertiser CommunityPrimerDevelopers &amp; partnersGoogle Developers SiteGoogle Ads ScriptsGoogle Ads Remarketing TagsRelated productsGoogle AnalyticsShopping CampaignsLocal ServicesBusiness ProfileChromeWaze Local adsMore solutionsBusiness SolutionsGoogle WorkspaceThink with GoogleAdsenseAdmobActual results will vary by advertiser.PrivacyTermsAbout GoogleGoogle productsHelpAlgérie - Français                  Español (Latinoamérica)                                  Argentina - Español (Latinoamérica)                Australia - English                  Azərbaycan - Azərbaycanca                Bangladesh - EnglishBelgique - FrançaisBelgië - Nederlands                  Bolivia - Español (Latinoamérica)                                  Brasil - Português (Brasil)                Canada - EnglishCanada - Français                  Chile - Español (Latinoamérica)                                  Colombia - Español (Latinoamérica)                                  Costa Rica - Español (Latinoamérica)                Cyprus - EnglishDanmark - DanskDeutschland - Deutsch                  Ecuador - Español (Latinoamérica)                Eesti - EestiEgypt - English                  El Salvador - Español (Latinoamérica)                EnglishEspanya - CatalàEspaña - Español                  Estados Unidos - Español (Latinoamérica)                France - Français                  Guatemala - Español (Latinoamérica)                                  Honduras - Español (Latinoamérica)                Hong Kong - EnglishHrvatska - HrvatskiIndia - English                  Indonesia - Bahasa Indonesia                Indonesia - EnglishIreland - EnglishItalia - ItalianoKyrgyzstan - KyLatvija - LatviešuLietuva - LietuviųMagyarország - Magyar                  Malaysia - Bahasa Melayu                Malaysia - EnglishMaroc - Français                  México - Español (Latinoamérica)                                  Nederland - Nederlands                Nepal - EnglishNew Zealand - English                  Nicaragua - Español (Latinoamérica)                Nigeria - EnglishNorge - NorskPakistan - English                  Panamá - Español (Latinoamérica)                                  Paraguay - Español (Latinoamérica)                                  Perú - Español (Latinoamérica)                Philippines - EnglishPilipinas - FilipinoPolska - Polski                  Portugal - Português (Portugal)                                  Puerto Rico - Español (Latinoamérica)                                  Republica Moldova - Română                                  República Dominicana - Español (Latinoamérica)                România - Română                  Saudi Arabia - English                Schweiz - DeutschSingapore - English                  Slovenija - Slovenščina                                  Slovensko - Slovenčina                                  South Africa - English                Sri Lanka - EnglishSuisse - FrançaisSuomi - SuomiSverige - SvenskaTunisie - FrançaisTürkiye - Türkçe                  United Arab Emirates - English                                  United Kingdom - English                                  United States - English                                  Uruguay - Español (Latinoamérica)                                  Venezuela - Español (Latinoamérica)                Việt Nam - Tiếng ViệtÖsterreich - Deutsch                  Česká Republika - Čeština                Ελλάδα - ΕλληνικάБеларусь - РусскийБългария - БългарскиКазахстан - РусскийМонгол - МонголРоссия - РусскийСрбија - СрпскиТаджикистан - Русский                  Туркменистан - Русский                Україна - УкраїнськаЎзбекистон - ЎзбекՀայաստան - Հայերենभारत - हिन्दीไทย - ไทยსაქართველო - ქართული‫ישראל - עברית‬                  ‫الإمارات العربية المتحدة - العربية‬                ‫الجزائر - العربية‬‫العربية‬‫الكويت - العربية‬‫المغرب - العربية‬                  ‫المملكة العربية السعودية - العربية‬                ‫تونس - العربية‬‫قطر - العربية‬‫مصر - العربية‬                  中国 - 中文（简体中文）                                  台灣 - 中文（繁體中文）                日本 - 日本語                  香港 - 中文（繁體中文）                대한민국 - 한국어</t>
  </si>
  <si>
    <t>ads.google.com</t>
  </si>
  <si>
    <t>Google Meet - Online Video Calls, Meetings and Conferencing</t>
  </si>
  <si>
    <t>Real-time meetings by Google. Using your browser, share your video, desktop, and presentations with teammates and customers.</t>
  </si>
  <si>
    <t>https://meet.google.com/</t>
  </si>
  <si>
    <t>Google Meet: Online Video Meetings and Calls | Google WorkspaceJump to Content            Sign in        Join a meetingJoinStart a meeting  Jump to Content         Using Meet for work?              Try Google Workspace Individual              Google Duo is now Google Meet.              Learn more      Video calls and meetings for everyone.Google Meet is one service for secure high-quality video meetings and calls available for everyone on any device. Start a meetingor JoinDon't have an account? Get Started Now              See what you can do with Google Meet              Meet safelyMeet uses the same protections that Google uses to secure your information and safeguard your privacy. Meet video conferences are encrypted in transit and our array of safety measures are continuously updated for added protection.            Learn more about security and compliance         Meet from anywhereGet the whole crew together in Google Meet where you can present business proposals collaborate on chemistry assignments or just catch up face to face.Businesses schools and other organizations can live stream meetings to 100000 viewers within their domain.            See plans and pricing for organizations         Meet on any device anywhereGuests can join from their computer using any modern web browser—no software to install. On mobile devices they can join from the Google Meet app. Guests can even join meetings and calls from Google Nest Hub Max.            Enable hybrid work with Chrome OS devices         Meet clearlyGoogle Meet adjusts to your network speed ensuring high quality video calls wherever you are. New AI enhancements keep your calls clear even when your surroundings aren’t. Meet with everyoneWith live captions powered by Google’s speech recognition technology Google Meet makes meetings more accessible. For non-native speakers hearing impaired participants or just noisy coffee shops live captions make it easy for everyone to follow along (available in English only).            Learn more about accessibility features         Stay connectedSimple scheduling easy recording and adaptive layouts help people stay engaged and connected.Share your screenPresent documents slides and spreadsheets by showing your entire screen or just a window.Host large meetingsInvite up to 500 internal or external participants to a meeting.Join from your phoneUse the Google Meet app to join a video call or join audio-only by calling the dial-in number in the meeting invite.Take controlMeetings are safe by default. Owners can control who can join the meeting; only people approved by the meeting owner can enter.Broadcast internal eventsLive stream events such as town halls and sales meetings for up to 100000 viewers within your domain.Leading companies trust Google MeetTop questions                  Expand all                                  Collapse all                                    What is the difference between Google Hangouts Hangouts Meet and Google Meet?                  Hangouts Meet and Hangouts Chat were rebranded to Google Meet and Google Chat in April 2020. We announced in 2019 that we would be migrating all classic Hangouts users to the new Meet and Chat products. In order to provide enterprise-grade online video conferencing to everyone we announced a no-cost version of Google Meet in May 2020.                    Is Google Meet safe?                  Yes. Meet takes advantage of Google Cloud’s secure-by-design infrastructure to help protect your data and safeguard your privacy. You can learn about our privacy commitments counter-abuse measures and data protection here.                    Can external participants join a call?                  Absolutely. For the no-cost version of Google Meet all participants will need to be signed into a Google Account to join. You can create a Google Account with a work or personal email address. For Google Workspace customers once you’ve created a meeting you can invite anyone to join even if they don’t have a Google Account. Just share the link or meeting ID with all meeting participants.                    What does Google Meet cost?                  Anyone with a Google Account can create a video meeting invite up to 100 participants and meet for up to 60 minutes per meeting at no cost. For additional features such as international dial-in numbers meeting recording live streaming and administrative controls see plans and pricing for organizations.                    Do Google Meet links expire?                  Each meeting is given a unique meeting code which has an expiration time based on what Workspace product the meeting is created from. Read more here.                    Is Google Meet compliant with my industry requirements?                  Our products including Google Meet regularly undergo independent verification of their security privacy and compliance controls achieving certifications attestations of compliance or audit reports against standards around the world. Our global list of certifications and attestations can be found here.                    My organization uses Google Workspace. Why don’t I see Google Meet in Calendar?                  IT administrators control Google Workspace settings such as whether Google Meet is the default video conferencing solution in Google Calendar. Visit the Google Workspace Admin Help Center to learn how to activate Google Meet in your organization.GoogleAbout GoogleGoogle productsPrivacyTerms            Help        Change language or region                Afrikaans - Afrikaans                Amharic - አማርኛ (Amharic)                Arabic - ‫العربية‬                Bulgarian - български                Bengali - বাংলা                Catalan - català                Czech - Čeština                Danish - Dansk                German - Deutsch                Greek - Ελληνικά                English (United States) - English (United States)                English (UK) - English - UK                Spanish - Español                Spanish (Latin American) - Español (Latinoamérica)                Estonian - eesti                Basque - Euskara                Persian - فارسی                Finnish - Suomi                Filipino - Filipino                French - Français                French (Canada) - Français – Canada                Galician - Galego                Gujarati - ગુજરાતી                Hindi - हिन्दी                Croatian - Hrvatski                Hungarian - Magyar                Indonesian - Bahasa Indonesia                Icelandic - íslenska                Italian - Italiano                Hebrew - ‫עברית‬                Japanese - 日本語                Kannada - ಕನ್ನಡ                Korean - 한국어                Lithuanian - Lietuviu                Latvian - Latviešu                Malayalam - മലയാളം                Marathi - मराठी                Malay - Melayu                Dutch - Nederlands                Norwegian - Norsk                Polish - Polski                Portuguese (Brazil) - Português (Brasil)                Portuguese (Portugal) - Português (Portugal)                Romanian - Română                Russian - Русский                Slovak - Slovenčina                Slovenian - Slovenščina                Serbian - Српски                Swedish - Svenska                Swahili - Kiswahili                Tamil - தமிழ்                Telegu - తెలుగు                Thai - ไทย                Turkish - Türkçe                Ukrainian - Українська                Urdu - اردو                Vietnamese - Tiếng Việt                Chinese (Simplified) - 中文（简体中文）                Chinese (Hong Kong) - 中文 (香港)                Chinese (Traditional) - 中文（繁體中文）                Zulu - isiZulu</t>
  </si>
  <si>
    <t>meet.google.com</t>
  </si>
  <si>
    <t>Google Cloud: Cloud Computing Services</t>
  </si>
  <si>
    <t>Meet your business challenges head on with cloud computing services from Google, including data management, hybrid &amp; multi-cloud, and AI &amp; ML.</t>
  </si>
  <si>
    <t>https://cloud.google.com/</t>
  </si>
  <si>
    <t>Cloud Computing Services | Google CloudGet $300 in free credits and free usage of 20+ productsThe new way to cloud starts hereBuild apps fast leverage generative AI and analyze data in seconds—all with Google-grade security. Get started for freeContact salesWhat's newFor developersEventMissed the Next ‘23 keynote? Watch the broadcast on demandNew productsExplore our latest generative AI productsGenerative AI NavigatorGet gen AI recommendations for your business and industryDeveloper offerGet $300 in free credits and free usage of 20+ productsDeveloper CenterLearn skills build with sample code and access resourcesAI SummitLearn how to turn your ideas into apps with gen AI tools on Dec 13-14What's newEventMissed the Next ‘23 keynote? Watch the broadcast on demandNew productsExplore our latest generative AI productsGenerative AI NavigatorGet gen AI recommendations for your business and industryFor developersDeveloper offerGet $300 in free credits and free usage of 20+ productsDeveloper CenterLearn skills build with sample code and access resourcesAI SummitLearn how to turn your ideas into apps with gen AI tools on Dec 13-14Choose from over 150 cutting-edge productsExplore and assess Google Cloud with free usage of over 20 products plus new customers get $300 in free credits on signup.Get startedSee all productsAI and machine learningBuild generative AI applications quickly and responsibly—powered by Google’s most advanced technologyImprove customer service with Contact Center AI’s virtual agents and conversational AI products like Speech-to-TextBuild deploy and scale more effective AI models with our unified machine learning platform Vertex AIGet AI-powered code generation recommendations and completion across Google Cloud products from Duet AIComputeCreate and run customizable virtual machines with Compute Engine. For scale-out workloads Tau VMs offer 42% better price performance over comparable cloud offerings.Automatically deploy scale and manage containers with Google Kubernetes Engine or Cloud RunMigrate your apps at your own pace by moving directly to virtual machines or automatically modernizing to containers—without rewriting codeStorageStore any type of data any amount of data and retrieve it as often as you’d like with object storageTransfer data with online and offline transfer solutions including Storage Transfer Service and Transfer AppliancePersistent Disk block storage is fully integrated with Google Cloud products like Compute Engine and GKEDatabasesReduce maintenance costs with fully managed MySQL PostgreSQL and SQL Server databasesSimplify migrations to Cloud SQL from MySQL and PostgreSQL with the Database Migration ServiceDevelop rich applications using a fully managed scalable and serverless document databaseData analyticsRun analytics at scale with 26%–34% lower three-year TCO on BigQuery compared to cloud data warehouse alternativesIngest process and analyze event streams in real time to make data more usefulReveal the true power of your data and bring clarity to every situation with Looker and Google CloudNetworkingHelp protect your applications and websites against denial of service and web attacks with Cloud ArmorQuickly and securely scale web and video content delivery with Cloud CDNExplore hybrid connectivity options including VPN peering and enterprise supportDeveloper toolsWrite debug and run cloud-native applications locally or in the cloud—quickly and easily with Cloud CodeWith Cloud Build continuously build test and deploy software across all languages and in multiple environmentsDeploy pre-built solution templates—with an active Google Cloud account—including dynamic websites load balanced VMs and three tier web apps.Save up to 30% over 3 years compared to other clouds with products like Anthos BigQuery and Active Assist.Request a quoteBuild and scale your startup with your first year covered by Google Cloud credits plus get support to help your startup grow.Learn more about the programSolve your business problems with our industry solutionsFrom improving retail product discovery to detecting bank fraud our industry solutions tackle your biggest challenges.Request a demoRetailConsumer packaged goodsFinancial servicesHealthcare and life sciencesMedia and entertainmentTelecommunicationsGamingManufacturingSupply chain and logisticsGovernmentEducationSee all industries9 / top 10retail companies trust Google CloudThe largest US beauty retailer easily supported a 9X growth in user traffic with Google Cloud’s highly scalable infrastructure. Discover what you can do with our retail solutions.Explore retail solutionsRetailConsumer packaged goodsFinancial servicesHealthcare and life sciencesMedia and entertainmentTelecommunicationsGamingManufacturingSupply chain and logisticsGovernmentEducationSee all industriesBuild with the cloud platform designed for developersGet started with Google Cloud’s easy-to-use platform tools and APIsGet started for freeAI-powered collaboratorIntroducing Duet AI for Google CloudConsole tourGet started with Google Cloud consoleHow-toBuild tune and deploy foundation models with Vertex AIPRODUCTS SPOTLIGHTGoogle Cloud products explained in 1 minuteDiscover more developer toolsIntroducing Duet AI for Google CloudGet started with Google Cloud consoleBuild tune and deploy foundation models with Vertex AIGoogle Cloud products explained in 1 minuteDiscover more developer toolsExplore technical blogs how-tos and resourcesVisit the Developer CenterStart learning Google Cloud skills at your own paceExplore developer trainingGet special invitations technical AMAs and moreJoin Google Cloud InnovatorsCustomer innovation happens on Google Cloud2:55TIME gets a 360 degree view of its customers and gives the whole company access to metrics Watch the video3:15Goldman Sachs empowers its team to analyze data and scale compute power confidentlyWatch the video2:54Spotify powers the playlists of 381 million monthly listeners with Google CloudWatch the videoFrontier Development Lab in partnership with NASA analyzed a 20-year data bottleneck in 20 mins with Google Cloud AILaunch the demo1:55Cardinal Health saved 25% quarter over quarter by migrating to Google CloudWatch the videoLeading companies solve for innovation with Google CloudRead the EbookSee more customersCloud computing ready for businessWhether you’re migrating or already in the cloud we’ll help you modernize and digitally transform your business.Talk to usRun and build your apps anywhereAvoid vendor lock-in and speed up development with Google Cloud’s commitment to open source hybrid and multicloud.Make smarter decisions with the leading data platformGive anyone on your team access to business insights with advanced machine learning and analytics.Protect what's importantHelp defend your data and apps against threats and fraudulent activity with the same security technology Google uses.Transform how your teams collaborate—from anywhereIntegrate video calling email chat and document collaboration in one place.Let’s start building your tomorrow todayGet started for freeContact salesCall our sales team844-613-7589Run on the industry’s cleanest cloudLearn moreGet updates with the Google Cloud newsletterSubscribemenuOverviewSolutionsProductsPricingResourcesDocsSupportContact UsDocsSupport language‪English‬‪English‬‪Deutsch‬‪Español‬‪Español (Latinoamérica)‬‪Français‬‪Indonesia‬‪Italiano‬‪Português (Brasil)‬‪简体中文‬‪繁體中文‬‪日本語‬‪한국어‬ConsoleSign inStart freeStart freeContact UscloseAccelerate your digital transformationWhether your business is early in its journey or well on its way to digital transformation Google Cloud can help solve your toughest challenges.Learn moreKey benefitsWhy Google CloudTop reasons businesses choose us.AI and MLGet enterprise-ready AI.MulticloudRun your apps wherever you need them.Global infrastructureBuild on the same infrastructure as Google.Data CloudMake smarter decisions with unified data.Open cloudScale with open flexible technology.Trust and securityKeep your data secure and compliant.Productivity and collaborationConnect your teams with AI-powered apps.Reports and insightsExecutive insightsCurated C-suite perspectives.Analyst reportsRead what industry analysts say about us.WhitepapersBrowse and download popular whitepapers.Customer storiesExplore case studies and videos.closeIndustry SolutionsApplication ModernizationArtificial IntelligenceAPIs and ApplicationsDatabasesData CloudDigital TransformationInfrastructure ModernizationProductivity and CollaborationSecuritySmart AnalyticsStartups and SMBSee all solutionsIndustry SolutionsReduce cost increase operational agility and capture new market opportunities.RetailAnalytics and collaboration tools for the retail value chain.Consumer Packaged GoodsSolutions for CPG digital transformation and brand growth.Financial ServicesComputing data management and analytics tools for financial services.Healthcare and Life SciencesAdvance research at scale and empower healthcare innovation.Media and EntertainmentSolutions for content production and distribution operations.TelecommunicationsHybrid and multi-cloud services to deploy and monetize 5G.GamesAI-driven solutions to build and scale games faster.ManufacturingMigration and AI tools to optimize the manufacturing value chain.Supply Chain and LogisticsEnable sustainable efficient and resilient data-driven operations across supply chain and logistics operations.GovernmentData storage AI and analytics solutions for government agencies.EducationTeaching tools to provide more engaging learning experiences.Not seeing what you're looking for?See all industry solutionsApplication ModernizationAssess plan implement and measure software practices and capabilities to modernize and simplify your organization’s business application portfolios.CAMPProgram that uses DORA to improve your software delivery capabilities.Modernize Traditional ApplicationsAnalyze categorize and get started with cloud migration on traditional workloads.Migrate from PaaS: Cloud Foundry OpenshiftTools for moving your existing containers into Google's managed container services.Migrate from MainframeAutomated tools and prescriptive guidance for moving your mainframe apps to the cloud.Modernize Software DeliverySoftware supply chain best practices - innerloop productivity CI/CD and S3C.DevOps Best PracticesProcesses and resources for implementing DevOps in your org.SRE PrinciplesTools and resources for adopting SRE in your org.Day 2 Operations for GKETools and guidance for effective GKE management and monitoring.FinOps and Optimization of GKEBest practices for running reliable performant and cost effective applications on GKE.Run Applications at the EdgeGuidance for localized and low latency apps on Google’s hardware agnostic edge solution.Architect for MulticloudManage workloads across multiple clouds with a consistent platform.Go ServerlessFully managed environment for developing deploying and scaling apps.Artificial IntelligenceAdd intelligence and efficiency to your business with AI and machine learning.Contact Center AIAI model for speaking with customers and assisting human agents.Document AIDocument processing and data capture automated at scale.Product DiscoveryGoogle-quality search and product recommendations for retailers.APIs and ApplicationsSpeed up the pace of innovation without coding using APIs apps and automation.New Business Channels Using APIsAttract and empower an ecosystem of developers and partners.Unlocking Legacy Applications Using APIsCloud services for extending and modernizing legacy apps.Open Banking APIxSimplify and accelerate secure delivery of open banking compliant APIs.DatabasesMigrate and manage enterprise data with security reliability high availability and fully managed data services.Database MigrationGuides and tools to simplify your database migration life cycle.Database ModernizationUpgrades to modernize your operational database infrastructure.Databases for GamesBuild global live games with Google Cloud databases.Google Cloud DatabasesDatabase services to migrate manage and modernize data.Migrate Oracle workloads to Google CloudRehost replatform rewrite your Oracle workloads.Open Source DatabasesFully managed open source databases with enterprise-grade support.SQL Server on Google CloudOptions for running SQL Server virtual machines on Google Cloud.Data CloudUnify data across your organization with an open and simplified approach to data-driven transformation that is unmatched for speed scale and security with AI built-in.Databases SolutionsMigrate and manage enterprise data with security reliability high availability and fully managed data services.Smart Analytics SolutionsGenerate instant insights from data at any scale with a serverless fully managed analytics platform that significantly simplifies analytics.AI SolutionsAdd intelligence and efficiency to your business with AI and machine learning.Data Cloud for ISVsInnovate optimize and amplify your SaaS applications using Google's data and machine learning solutions such as BigQuery Looker Spanner and Vertex AI.Data Cloud AllianceAn initiative to ensure that global businesses have more seamless access and insights into the data required for digital transformation.Digital TransformationAccelerate business recovery and ensure a better future with solutions that enable hybrid and multi-cloud generate intelligent insights and keep your workers connected.Digital InnovationReimagine your operations and unlock new opportunities.Operational EfficiencyPrioritize investments and optimize costs.COVID-19 SolutionsGet work done more safely and securely.COVID-19 Solutions for the Healthcare IndustryHow Google is helping healthcare meet extraordinary challenges.Infrastructure ModernizationMigrate quickly with solutions for SAP VMware Windows Oracle and other workloads.Application MigrationDiscovery and analysis tools for moving to the cloud.SAP on Google CloudCertifications for running SAP applications and SAP HANA.High Performance ComputingCompute storage and networking options to support any workload.Windows on Google CloudTools and partners for running Windows workloads.Data Center MigrationMigration solutions for VMs apps databases and more.Active AssistAutomatic cloud resource optimization and increased security.Virtual DesktopsRemote work solutions for desktops and applications (VDI &amp; DaaS).Rapid Migration Program (RaMP)End-to-end migration program to simplify your path to the cloud.Backup and Disaster RecoveryEnsure your business continuity needs are met.Productivity and CollaborationChange the way teams work with solutions designed for humans and built for impact.Google WorkspaceCollaboration and productivity tools for enterprises.Google Workspace EssentialsSecure video meetings and modern collaboration for teams.Cloud IdentityUnified platform for IT admins to manage user devices and apps.Chrome EnterpriseChromeOS Chrome Browser and Chrome devices built for business.Cloud SearchEnterprise search for employees to quickly find company information.SecurityDetect investigate and respond to online threats to help protect your business.Security Analytics and OperationsSolution for analyzing petabytes of security telemetry.Web App and API ProtectionThreat and fraud protection for your web applications and APIs.Security and Resilience FrameworkSolutions for each phase of the security and resilience life cycle.Risk and compliance as code (RCaC)Solution to modernize your governance risk and compliance function with automation.Software Supply Chain SecuritySolution for improving end-to-end software supply chain security.Security FoundationRecommended products to help achieve a strong security posture.Smart AnalyticsGenerate instant insights from data at any scale with a serverless fully managed analytics platform that significantly simplifies analytics.Data Warehouse ModernizationData warehouse to jumpstart your migration and unlock insights.Data Lake ModernizationServices for building and modernizing your data lake.Spark on Google CloudRun and write Spark where you need it serverless and integrated.Stream AnalyticsInsights from ingesting processing and analyzing event streams.Business IntelligenceSolutions for modernizing your BI stack and creating rich data experiences.Data SciencePut your data to work with Data Science on Google Cloud.Marketing AnalyticsSolutions for collecting analyzing and activating customer data.Geospatial Analytics and AISolutions for building a more prosperous and sustainable business.DatasetsData from Google public and commercial providers to enrich your analytics and AI initiatives.Startups and SMBAccelerate startup and SMB growth with tailored solutions and programs.Startup SolutionsGrow your startup and solve your toughest challenges using Google’s proven technology.Startup ProgramGet financial business and technical support to take your startup to the next level.Small and Medium BusinessExplore solutions for web hosting app development AI and analytics.Software as a ServiceBuild better SaaS products scale efficiently and grow your business.closeFeatured ProductsAI and Machine LearningBusiness IntelligenceComputeContainersData AnalyticsDatabasesDeveloper ToolsDistributed CloudHybrid and MulticloudIndustry SpecificIntegration ServicesManagement ToolsMaps and GeospatialMedia ServicesMigrationMixed RealityNetworkingOperationsProductivity and CollaborationSecurity and IdentityServerlessStorageWeb3See all products (100+)Featured ProductsCompute EngineVirtual machines running in Google’s data center.Cloud StorageObject storage that’s secure durable and scalable.BigQueryData warehouse for business agility and insights.Cloud RunFully managed environment for running containerized apps.Google Kubernetes EngineManaged environment for running containerized apps.Vertex AI PlatformUnified platform for ML models and generative AI.LookerPlatform for BI data applications and embedded analytics.Apigee API ManagementManage the full life cycle of APIs anywhere with visibility and control.Cloud SQLRelational database services for MySQL PostgreSQL and SQL Server.Cloud SDKCommand-line tools and libraries for Google Cloud.Cloud CDNContent delivery network for delivering web and video.Not seeing what you're looking for?See all products (100+)AI and Machine LearningVertex AI PlatformUnified platform for ML models and generative AI.Generative AI on Vertex AIBuild tune and deploy foundation models on Vertex AI.Vertex AI Search and ConversationGenerative AI apps for search and conversational AI.DialogflowLifelike conversational AI with state-of-the-art virtual agents.Natural Language AISentiment analysis and classification of unstructured text.Speech-to-TextSpeech recognition and transcription across 125 languages.Text-to-SpeechSpeech synthesis in 220+ voices and 40+ languages.Translation AILanguage detection translation and glossary support.Document AIDocument processing and data capture automated at scale.Vision AICustom and pre-trained models to detect emotion text and more.Contact Center AIAI model for speaking with customers and assisting human agents.Not seeing what you're looking for?See all AI and machine learning productsBusiness IntelligenceLookerPlatform for BI data applications and embedded analytics.Looker StudioInteractive data suite for dashboarding reporting and analytics.ComputeCompute EngineVirtual machines running in Google’s data center.App EngineServerless application platform for apps and back ends.Cloud GPUsGPUs for ML scientific computing and 3D visualization.Migrate to Virtual MachinesServer and virtual machine migration to Compute Engine.Spot VMsCompute instances for batch jobs and fault-tolerant workloads.BatchFully managed service for scheduling batch jobs.Sole-Tenant NodesDedicated hardware for compliance licensing and management.Bare MetalInfrastructure to run specialized workloads on Google Cloud.RecommenderUsage recommendations for Google Cloud products and services.VMware EngineFully managed native VMware Cloud Foundation software stack.Cloud RunFully managed environment for running containerized apps.Not seeing what you're looking for?See all compute productsContainersGoogle Kubernetes EngineManaged environment for running containerized apps.Cloud RunFully managed environment for running containerized apps.Cloud BuildSolution for running build steps in a Docker container.Artifact RegistryPackage manager for build artifacts and dependencies.Cloud CodeIDE support to write run and debug Kubernetes applications.Cloud DeployFully managed continuous delivery to GKE and Cloud Run.Migrate to ContainersComponents for migrating VMs into system containers on GKE.Deep Learning ContainersContainers with data science frameworks libraries and tools.KnativeComponents to create Kubernetes-native cloud-based software.Data AnalyticsBigQueryData warehouse for business agility and insights.LookerPlatform for BI data applications and embedded analytics.DataflowStreaming analytics for stream and batch processing.Pub/SubMessaging service for event ingestion and delivery.DataprocService for running Apache Spark and Apache Hadoop clusters.Cloud Data FusionData integration for building and managing data pipelines.Cloud ComposerWorkflow orchestration service built on Apache Airflow.DataprepService to prepare data for analysis and machine learning.DataplexIntelligent data fabric for unifying data management across silos.DataformBuild version control and deploy SQL workflows in BigQuery.Analytics HubService for securely and efficiently exchanging data analytics assets.Not seeing what you're looking for?See all data analytics productsDatabasesAlloyDB for PostgreSQLFully managed PostgreSQL-compatible database for enterprise workloads.Cloud SQLFully managed database for MySQL PostgreSQL and SQL Server.FirestoreCloud-native document database for building rich mobile web and IoT apps.Cloud SpannerCloud-native relational database with unlimited scale and 99.999% availability.Cloud BigtableCloud-native wide-column database for large-scale low-latency workloads.DatastreamServerless change data capture and replication service.Database Migration ServiceServerless minimal downtime migrations to Cloud SQL.Developer ToolsArtifact RegistryUniversal package manager for build artifacts and dependencies.Cloud CodeIDE support to write run and debug Kubernetes applications.Cloud BuildContinuous integration and continuous delivery platform.Cloud DeployFully managed continuous delivery to GKE and Cloud Run.Cloud Deployment ManagerService for creating and managing Google Cloud resources.Cloud SDKCommand-line tools and libraries for Google Cloud.Cloud SchedulerCron job scheduler for task automation and management.Cloud Source RepositoriesPrivate Git repository to store manage and track code.Cloud TasksTask management service for asynchronous task execution.Cloud WorkstationsManaged and secure development environments in the cloud.Tools for PowerShellFull cloud control from Windows PowerShell.Not seeing what you're looking for?See all developer toolsDistributed CloudGoogle Distributed Cloud EdgeDistributed cloud services for edge workloads.Google Distributed Cloud HostedDistributed cloud for air-gapped workloads.Hybrid and MulticloudGoogle Kubernetes EngineManaged environment for running containerized apps.Apigee API ManagementAPI management development and security platform.Migrate to ContainersTool to move workloads and existing applications to GKE.Traffic DirectorTraffic control pane and management for open service mesh.Cloud BuildService for executing builds on Google Cloud infrastructure.OperationsMonitoring logging and application performance suite.AnthosPlatform for modernizing existing apps and building new ones.Distributed CloudFully managed solutions for the edge and data centers.Industry SpecificAnti Money Laundering AIDetect suspicious potential money laundering activity with AI.Cloud Healthcare APISolution for bridging existing care systems and apps on Google Cloud.Device Connect for FitbitGain a 360-degree patient view with connected Fitbit data on Google Cloud.Telecom Network AutomationReady to use cloud-native automation for telecom networks.Telecom Data FabricTelecom data management and analytics with an automated approach.Telecom Subscriber InsightsIngests data to improve subscriber acquisition and retention.Spectrum Access System (SAS)Controls fundamental access to the Citizens Broadband Radio Service (CBRS).Integration ServicesApplication IntegrationConnect to 3rd party apps and enable data consistency without code.WorkflowsWorkflow orchestration for serverless products and API services.Apigee API ManagementManage the full life cycle of APIs anywhere with visibility and control.Cloud TasksTask management service for asynchronous task execution.Cloud SchedulerCron job scheduler for task automation and management.DataprocService for running Apache Spark and Apache Hadoop clusters.Cloud Data FusionData integration for building and managing data pipelines.Cloud ComposerWorkflow orchestration service built on Apache Airflow.Pub/SubMessaging service for event ingestion and delivery.EventarcBuild an event-driven architecture that can connect any service.Management ToolsCloud ShellInteractive shell environment with a built-in command line.Cloud consoleWeb-based interface for managing and monitoring cloud apps.Cloud EndpointsDeployment and development management for APIs on Google Cloud.Cloud IAMPermissions management system for Google Cloud resources.Cloud APIsProgrammatic interfaces for  Google Cloud services.Service CatalogService catalog for admins managing internal enterprise solutions.Cost ManagementTools for monitoring controlling and optimizing your costs.OperationsMonitoring logging and application performance suite.Carbon FootprintDashboard to view and export Google Cloud carbon emissions reports.Config ConnectorKubernetes add-on for managing Google Cloud resources.Active AssistTools for easily managing performance security and cost.Not seeing what you're looking for?See all management toolsMaps and GeospatialEarth EngineGeospatial platform for Earth observation data and analysis.Google Maps PlatformCreate immersive location experiences and improve business operations.Media ServicesCloud CDNContent delivery network for serving web and video content.Live Steam APIService to convert live video and package for streaming.OpenCueOpen source render manager for visual effects and animation.Transcoder APIConvert video files and package them for optimized delivery.Video Stitcher APIService for dynamic or server side ad insertion.MigrationMigration CenterUnified platform for migrating and modernizing with Google Cloud.Application MigrationApp migration to the cloud for low-cost refresh cycles.Migrate to Virtual MachinesComponents for migrating VMs and physical servers to Compute Engine.Cloud Foundation ToolkitReference templates for Deployment Manager and Terraform.Database Migration ServiceServerless minimal downtime migrations to Cloud SQL.Migrate to ContainersComponents for migrating VMs into system containers on GKE.BigQuery Data Transfer ServiceData import service for scheduling and moving data into BigQuery.Rapid Migration Program (RaMP)End-to-end migration program to simplify your path to the cloud.Transfer ApplianceStorage server for moving large volumes of data to Google Cloud.Storage Transfer ServiceData transfers from online and on-premises sources to Cloud Storage.VMware EngineMigrate and run your VMware workloads natively on Google Cloud.Mixed RealityImmersive Stream for XRHosts renders and streams 3D and XR experiences.NetworkingCloud ArmorSecurity policies and defense against web and DDoS attacks.Cloud CDN and Media CDNContent delivery network for serving web and video content.Cloud DNSDomain name system for reliable and low-latency name lookups.Cloud Load BalancingService for distributing traffic across applications and regions.Cloud NATNAT service for giving private instances internet access.Cloud ConnectivityConnectivity options for VPN peering and enterprise needs.Network Connectivity CenterConnectivity management to help simplify and scale networks.Network Intelligence CenterNetwork monitoring verification and optimization platform.Network Service TiersCloud network options  based on performance availability and cost.Virtual Private CloudSingle VPC for an entire organization isolated within projects.Private Service ConnectSecure connection between your VPC and services.Not seeing what you're looking for?See all networking productsOperationsCloud LoggingGoogle Cloud audit platform and application logs management.Cloud MonitoringInfrastructure and application health with rich metrics.Error ReportingApplication error identification and analysis.Cloud DebuggerReal-time application state inspection and in -production debugging.Cloud TraceTracing system collecting latency data from applications.Cloud ProfilerCPU and heap profiler for analyzing application performance.Productivity and CollaborationAppSheetNo-code development platform to build and extend applications.Appsheet AutomationBuild automations and applications on a unified platform.Google WorkspaceCollaboration and productivity tools for individuals and organizations.Google Workspace EssentialsSecure video meetings and modern collaboration for teams.Duet AI for WorkspaceEmbeds generative AI across Workspace apps.Cloud IdentityUnified platform for IT admins to manage user devices and apps.Chrome EnterpriseChrome OS Chrome Browser and Chrome devices built for business.Security and IdentityCloud IAMPermissions management system for Google Cloud resources.Assured WorkloadsCompliance and security controls for sensitive workloads.Cloud Key ManagementManage encryption keys on Google Cloud.Confidential ComputingEncrypt data in use with Confidential VMs.Security Command CenterPlatform for defending against threats to your Google Cloud assets.Cloud Data Loss PreventionSensitive data inspection classification and redaction platform.Mandiant Products and ServicesCybersecurity technology and expertise from the frontlines.Chronicle SIEMExtract signals from your security telemetry to find threats instantly.Chronicle Security OperationsDetect investigate and respond to cyber threats.Secret ManagerStore API keys passwords certificates and other sensitive data.BeyondCorp EnterpriseZero-trust access control for your internal web apps.Not seeing what you're looking for?See all security and identity productsServerlessCloud RunFully managed environment for running containerized apps.Cloud FunctionsPlatform for creating functions that respond to cloud events.App EngineServerless application platform for apps and back ends.WorkflowsWorkflow orchestration for serverless products and API services.API GatewayDevelop deploy secure and manage APIs with a full managed gateway.StorageCloud StorageObject storage that’s secure durable and scalable.Backup and DR ServiceService for centralized application-consistent data protection.FilestoreFile storage that is highly scalable and secure.Persistent DiskBlock storage for virtual machine instances running on Google Cloud.Cloud Storage for FirebaseObject storage for storing and serving user-generated content.Local SSDBlock storage that is locally attached for high-performance needs.Storage Transfer ServiceData transfers from online and on-premises sources to Cloud Storage.Web3Blockchain Node EngineFully managed node hosting for developing on the blockchain.closeSave money with our transparent approach to pricingGoogle Cloud's pay-as-you-go pricing offers automatic savings based on monthly usage and discounted rates for prepaid resources. Contact us today to get a quote.Request a quotePricing overview and toolsGoogle Cloud pricingPay only for what you use with no lock-in.Pricing calculatorCalculate your cloud savings.Google Cloud free tierExplore products with free monthly usage.Cost optimization frameworkGet best practices to optimize workload costs.Cost management toolsTools to monitor and control your costs.Product-specific PricingCompute EngineCloud SQLGoogle Kubernetes EngineCloud StorageBigQuerySee full price list with 100+ productscloseLearn &amp; buildGoogle Cloud Free Program$300 in free credits and 20+ free products.QuickstartsGet tutorials and walkthroughs.Cloud computing basicsLearn more about cloud computing topics.BlogRead our latest product news and stories.Learning HubGrow your career with role-based learningTrainingEnroll in on-demand or classroom training.CertificationPrepare and register for certifications.Cloud Architecture CenterGet reference architectures and best practices.ConnectInnovatorsJoin Google Cloud's developer program.Developer CenterStay in the know and stay connected.Events and webinarsBrowse upcoming and on demand events.Google Cloud CommunityAsk questions find answers and connect.Third-party tools and partnersGoogle Cloud MarketplaceDeploy ready-to-go solutions in a few clicks.Google Cloud partnersExplore benefits of working with a partner.Become a partnerJoin the Partner Advantage program.closeOverviewarrow_forwardSolutionsarrow_forwardProductsarrow_forwardPricingarrow_forwardResourcesarrow_forwardDocsSupportConsoleAccelerate your digital transformationLearn moreKey benefitsWhy Google CloudAI and MLMulticloudGlobal infrastructureData CloudOpen cloudTrust and securityProductivity and collaborationReports and insightsExecutive insightsAnalyst reportsWhitepapersCustomer storiesIndustry SolutionsRetailConsumer Packaged GoodsFinancial ServicesHealthcare and Life SciencesMedia and EntertainmentTelecommunicationsGamesManufacturingSupply Chain and LogisticsGovernmentEducationSee all industry solutionsSee all solutionsApplication ModernizationCAMPModernize Traditional ApplicationsMigrate from PaaS: Cloud Foundry OpenshiftMigrate from MainframeModernize Software DeliveryDevOps Best PracticesSRE PrinciplesDay 2 Operations for GKEFinOps and Optimization of GKERun Applications at the EdgeArchitect for MulticloudGo ServerlessArtificial IntelligenceContact Center AIDocument AIProduct DiscoveryAPIs and ApplicationsNew Business Channels Using APIsUnlocking Legacy Applications Using APIsOpen Banking APIxDatabasesDatabase MigrationDatabase ModernizationDatabases for GamesGoogle Cloud DatabasesMigrate Oracle workloads to Google CloudOpen Source DatabasesSQL Server on Google CloudData CloudDatabases SolutionsSmart Analytics SolutionsAI SolutionsData Cloud for ISVsData Cloud AllianceDigital TransformationDigital InnovationOperational EfficiencyCOVID-19 SolutionsCOVID-19 Solutions for the Healthcare IndustryInfrastructure ModernizationApplication MigrationSAP on Google CloudHigh Performance ComputingWindows on Google CloudData Center MigrationActive AssistVirtual DesktopsRapid Migration Program (RaMP)Backup and Disaster RecoveryProductivity and CollaborationGoogle WorkspaceGoogle Workspace EssentialsCloud IdentityChrome EnterpriseCloud SearchSecuritySecurity Analytics and OperationsWeb App and API ProtectionSecurity and Resilience FrameworkRisk and compliance as code (RCaC)Software Supply Chain SecuritySecurity FoundationSmart AnalyticsData Warehouse ModernizationData Lake ModernizationSpark on Google CloudStream AnalyticsBusiness IntelligenceData ScienceMarketing AnalyticsGeospatial Analytics and AIDatasetsStartups and SMBStartup SolutionsStartup ProgramSmall and Medium BusinessSoftware as a ServiceFeatured ProductsCompute EngineCloud StorageBigQueryCloud RunGoogle Kubernetes EngineVertex AI PlatformLookerApigee API ManagementCloud SQLCloud SDKCloud CDNSee all products (100+)AI and Machine LearningVertex AI PlatformGenerative AI on Vertex AIVertex AI Search and ConversationDialogflowNatural Language AISpeech-to-TextText-to-SpeechTranslation AIDocument AIVision AIContact Center AISee all AI and machine learning productsBusiness IntelligenceLookerLooker StudioComputeCompute EngineApp EngineCloud GPUsMigrate to Virtual MachinesSpot VMsBatchSole-Tenant NodesBare MetalRecommenderVMware EngineCloud RunSee all compute productsContainersGoogle Kubernetes EngineCloud RunCloud BuildArtifact RegistryCloud CodeCloud DeployMigrate to ContainersDeep Learning ContainersKnativeData AnalyticsBigQueryLookerDataflowPub/SubDataprocCloud Data FusionCloud ComposerDataprepDataplexDataformAnalytics HubSee all data analytics productsDatabasesAlloyDB for PostgreSQLCloud SQLFirestoreCloud SpannerCloud BigtableDatastreamDatabase Migration ServiceDeveloper ToolsArtifact RegistryCloud CodeCloud BuildCloud DeployCloud Deployment ManagerCloud SDKCloud SchedulerCloud Source RepositoriesCloud TasksCloud WorkstationsTools for PowerShellSee all developer toolsDistributed CloudGoogle Distributed Cloud EdgeGoogle Distributed Cloud HostedHybrid and MulticloudGoogle Kubernetes EngineApigee API ManagementMigrate to ContainersTraffic DirectorCloud BuildOperationsAnthosDistributed CloudIndustry SpecificAnti Money Laundering AICloud Healthcare APIDevice Connect for FitbitTelecom Network AutomationTelecom Data FabricTelecom Subscriber InsightsSpectrum Access System (SAS)Integration ServicesApplication IntegrationWorkflowsApigee API ManagementCloud TasksCloud SchedulerDataprocCloud Data FusionCloud ComposerPub/SubEventarcManagement ToolsCloud ShellCloud consoleCloud EndpointsCloud IAMCloud APIsService CatalogCost ManagementOperationsCarbon FootprintConfig ConnectorActive AssistSee all management toolsMaps and GeospatialEarth EngineGoogle Maps PlatformMedia ServicesCloud CDNLive Steam APIOpenCueTranscoder APIVideo Stitcher APIMigrationMigration CenterApplication MigrationMigrate to Virtual MachinesCloud Foundation ToolkitDatabase Migration ServiceMigrate to ContainersBigQuery Data Transfer ServiceRapid Migration Program (RaMP)Transfer ApplianceStorage Transfer ServiceVMware EngineMixed RealityImmersive Stream for XRNetworkingCloud ArmorCloud CDN and Media CDNCloud DNSCloud Load BalancingCloud NATCloud ConnectivityNetwork Connectivity CenterNetwork Intelligence CenterNetwork Service TiersVirtual Private CloudPrivate Service ConnectSee all networking productsOperationsCloud LoggingCloud MonitoringError ReportingCloud DebuggerCloud TraceCloud ProfilerProductivity and CollaborationAppSheetAppsheet AutomationGoogle WorkspaceGoogle Workspace EssentialsDuet AI for WorkspaceCloud IdentityChrome EnterpriseSecurity and IdentityCloud IAMAssured WorkloadsCloud Key ManagementConfidential ComputingSecurity Command CenterCloud Data Loss PreventionMandiant Products and ServicesChronicle SIEMChronicle Security OperationsSecret ManagerBeyondCorp EnterpriseSee all security and identity productsServerlessCloud RunCloud FunctionsApp EngineWorkflowsAPI GatewayStorageCloud StorageBackup and DR ServiceFilestorePersistent DiskCloud Storage for FirebaseLocal SSDStorage Transfer ServiceWeb3Blockchain Node EngineSave money with our transparent approach to pricingRequest a quotePricing overview and toolsGoogle Cloud pricingPricing calculatorGoogle Cloud free tierCost optimization frameworkCost management toolsProduct-specific PricingCompute EngineCloud SQLGoogle Kubernetes EngineCloud StorageBigQuerySee full price list with 100+ productsLearn &amp; buildGoogle Cloud Free ProgramQuickstartsCloud computing basicsBlogLearning HubTrainingCertificationCloud Architecture CenterConnectInnovatorsDeveloper CenterEvents and webinarsGoogle Cloud CommunityThird-party tools and partnersGoogle Cloud MarketplaceGoogle Cloud partnersBecome a partnerWhy GoogleChoosing Google CloudTrust and securityOpen cloudMulticloudGlobal infrastructureCustomers and case studiesAnalyst reportsWhitepapersBlogProducts and pricingGoogle Cloud pricingGoogle Workspace pricingSee all productsSolutionsInfrastructure modernizationDatabasesApplication modernizationSmart analyticsArtificial IntelligenceSecurityProductivity &amp; work transformationIndustry solutionsDevOps solutionsSmall business solutionsSee all solutionsResourcesGoogle Cloud documentationGoogle Cloud quickstartsGoogle Cloud MarketplaceLearn about cloud computingSupportCode samplesCloud Architecture CenterTrainingCertificationsGoogle DevelopersGoogle Cloud for StartupsSystem statusRelease NotesEngageContact salesFind a PartnerBecome a PartnerEventsPodcastsDeveloper CenterPress CornerGoogle Cloud on YouTubeGoogle Cloud Tech on YouTubeFollow on TwitterJoin User ResearchWe're hiring. Join Google Cloud!Google Cloud CommunityAbout GooglePrivacySite termsGoogle Cloud termsOur third decade of climate action: join usSign up for the Google Cloud newsletterSubscribe language‪English‬‪English‬‪Deutsch‬‪Español‬‪Español (Latinoamérica)‬‪Français‬‪Indonesia‬‪Italiano‬‪Português (Brasil)‬‪简体中文‬‪繁體中文‬‪日本語‬‪한국어‬</t>
  </si>
  <si>
    <t>cloud.google.com</t>
  </si>
  <si>
    <t>Google Trends</t>
  </si>
  <si>
    <t>https://trends.google.com/trends/</t>
  </si>
  <si>
    <t>Google TrendsTrendsHomeExploreTrending now mapsSign inTrendshomeHomesearchExploretrending_upTrending nowcalendar_monthYear in SearchnotificationsSubscriptionshelp_outlineHelpsms_failedSend feedbackExplore whatUnited Statesthe worldis searching for right nowSearch interest past 24 hoursExploreDive deeperExplore issues and events in detail. Curated by the Trends Data Team.NBAThe 2023-24 NBA season in Search.NFLThe 2023-24 NFL season in Search.Republican Primary 2024The Republican Party is selecting a Presidential candidate. See how America is searchingFormula 1See how the world is searching for Formula 1.World Teachers' Day 2023See how World Teachers' Day is being searched in the USMade with TrendsSee how Google Trends is being used across the world by newsrooms charities and moreGoogle FrightgeistCostumes so good it's scary. Check out Frightgeist a Google Trends experiment.arrow_forwardVisitThe Shape of DreamsA visual exploration of Google searches for the interpretation of dreamsarrow_forwardVisitWhat are we searching for?A visual essay of what we're searching for throughout the day night and in betweenarrow_forwardVisit‪‪Visualizing Google data‬‬Welcome to our data visualization project: where the Trends Data Team works with the best designers around the world to tell stories with data — and make the results open sourcearrow_forwardVisitOECD Weekly Tracker of Economic ActivityFrom the OECD: The Weekly Tracker provides an estimate of weekly GDP based on Google Trends search data and machine learning.arrow_forwardVisitWNBA FirstsSee the stories behind some of the most searched WNBA "firsts" in Google Trends history.arrow_forwardVisitMidterm elections 2022: The issues that matter to AmericansFrom Axios: See which issues people in your congressional district care about ahead of the 2022 midtermsarrow_forwardVisitarrow_backarrow_forwardGet started with TrendsNew to Trends? Browse these resources to learn what it can do and how to use it.What is Google Trends?Basics of Google TrendsUnderstanding the dataAdvanced Google TrendsPrivacyTermsSend feedbackAbouthelpHelp languageSearchClear searchClose searchGoogle appsMain menu</t>
  </si>
  <si>
    <t>trends.google.com</t>
  </si>
  <si>
    <t>Google | 30676617 followers on LinkedIn. A problem isn't truly solved until it's solved for all. Googlers build products that help create opportunities for ...</t>
  </si>
  <si>
    <t>https://www.linkedin.com/company/google</t>
  </si>
  <si>
    <t>LinkedIn: Log In or Sign Up       Skip to main content                    Agree &amp; Join LinkedIn                              By clicking Continue you agree to LinkedIn’s User Agreement Privacy Policy and Cookie Policy.              LinkedIn         Articles              People              Learning              Jobs                      Join now                        Sign in                  Find jobs through your community                  Email or phone                  Password        Show Forgot password?          Sign in                    or                  By clicking Continue you agree to LinkedIn’s User Agreement Privacy Policy and Cookie Policy.                  New to LinkedIn? Join now                    Explore collaborative articles                  We’re unlocking community knowledge in a new way. Experts add insights directly into each article started with the help of AI.                                Marketing                                            Public Administration                                            Healthcare                                            Engineering                                            IT Services                                            Sustainability                                            Business Administration                                            Telecommunications                                            HR Management                                          Show all                            Find the right job or internship for you                  Suggested Searches                          Engineering                                    Business Development                                    Finance                                    Administrative Assistant                                    Retail Associate                                    Customer Service                                    Operations                                    Information Technology                                    Marketing                                    Human Resources                                    Healthcare Service                                    Sales                                    Program and Project Management                                    Accounting                                    Arts and Design                                    Community and Social Services                                    Consulting                                    Education                                    Entrepreneurship                                    Legal                                    Media and Communications                                    Military and Protective Services                                    Product Management                                    Purchasing                                    Quality Assurance                                    Real Estate                                    Research                                    Support                                    Administrative                                Show more                              Show less                      Post your job for millions of people to see                        Post a job                        Discover the best software tools                    Connect with buyers who have first-hand experience to find the best products for you.                    Suggested Tools                                E-Commerce Platforms                                                CRM Software                                                Human Resources Management Systems                                                Recruiting Software                                                Sales Intelligence Software                                                Project Management Software                                                Help Desk Software                                                Social Networking Software                                                Desktop Publishing Software                                              Show all                                     No more previous content                      Let the right people know you’re open to work      With the Open To Work feature you can privately tell recruiters or publicly share with the LinkedIn community that you are looking for new job opportunities.        Conversations today could lead to opportunity tomorrow      Sending messages to people you know is a great way to strengthen relationships as you take the next step in your career.        Stay up to date on your industry      From live videos to stories to newsletters and more LinkedIn is full of ways to stay up to date on the latest discussions in your industry.                No more next content                          Connect with people who can help                              Find people you know                            Learn the skills you need to succeed        Choose a topic to learn aboutBusiness Analysis and Strategy                        1030+ course                      Business Software and Tools                        2100+ courses                      Career Development                        520+ courses                      Customer Service                        190+ courses                      Diversity Equity and Inclusion (DEI)                        250+ courses                      Finance and Accounting                        290+ courses                      Human Resources                        440+ courses                      Leadership and Management                        1550+ course                      Marketing                        890+ courses                      Professional Development                        1480+ course                      Project Management                        440+ courses                      Sales                        280+ courses                      Small Business and Entrepreneurship                        330+ courses                      Training and Education                        290+ courses                      AEC                        1440+ course                      Animation and Illustration                        1720+ course                      Audio and Music                        420+ courses                      Graphic Design                        960+ courses                      Motion Graphics and VFX                        900+ courses                      Photography                        1160+ course                      Product and Manufacturing                        1440+ course                      User Experience                        520+ courses                      Video                        610+ courses                      Visualization and Real-Time                        1310+ course                      Web Design                        530+ courses                      Artificial Intelligence (AI)                        290+ courses                      Cloud Computing                        1280+ course                      Data Science                        1070+ course                      Database Management                        390+ courses                      DevOps                        290+ courses                      IT Help Desk                        340+ courses                      Mobile Development                        480+ courses                      Network and System Administration                        1460+ course                      Security                        830+ courses                      Software Development                        2350+ courses                      Web Development                        1500+ course                                   Who is LinkedIn for?                      Anyone looking to navigate their professional life.                          Find a coworker or classmate                              Find a new job                              Find a course or training                        Join your colleagues classmates and friends on LinkedIn.                                  Get started                                    General                                  Sign Up                                          Help Center                                          About                                          Press                                          Blog                                          Careers                                          Developers                                  Browse LinkedIn                                  Learning                                          Jobs                                          Salary                                          Mobile                                          Services                                          Products                                          Top Companies Hub                                  Business Solutions                                  Talent                                          Marketing                                          Sales                                          Learning                                  Directories                                  Members                                          Jobs                                          Companies                                          Featured                                          Learning                                          Posts                                          Articles                                          Schools                                          News                                          News Letters                                          Services                                          Products                                          Advice                                          People Search                    LinkedIn© 2023                    About                                    Accessibility                                    User Agreement                                    Privacy Policy                                      Your California Privacy Choices                                      Cookie Policy                                    Copyright Policy                                    Brand Policy                                      Guest Controls                                      Community Guidelines                                العربية (Arabic)                            Čeština (Czech)                            Dansk (Danish)                            Deutsch (German)            English (English)                Español (Spanish)                            Français (French)                            हिंदी (Hindi)                            Bahasa Indonesia (Indonesian)                            Italiano (Italian)                            日本語 (Japanese)                            한국어 (Korean)                            Bahasa Malaysia (Malay)                            Nederlands (Dutch)                            Norsk (Norwegian)                            Polski (Polish)                            Português (Portuguese)                            Română (Romanian)                            Русский (Russian)                            Svenska (Swedish)                            ภาษาไทย (Thai)                            Tagalog (Tagalog)                            Türkçe (Turkish)                            Українська (Ukrainian)                            简体中文 (Chinese (Simplified))                            正體中文 (Chinese (Traditional))                        Language</t>
  </si>
  <si>
    <t>www.linkedin.com</t>
  </si>
  <si>
    <t>Google Scholar</t>
  </si>
  <si>
    <t>Google Scholar provides a simple way to broadly search for scholarly literature. Search across a wide variety of disciplines and sources: articles, theses, ...</t>
  </si>
  <si>
    <t>https://scholar.google.com/</t>
  </si>
  <si>
    <t>Google ScholarLoading...The system can't perform the operation now. Try again later.Advanced searchFind articleswith all of the wordswith the exact phrasewith at least one of the wordswithout the wordswhere my words occuranywhere in the articlein the title of the articleReturn articles authored bye.g. "PJ Hayes" or McCarthyReturn articles published ine.g. J Biol Chem or NatureReturn articles dated between — e.g. 1996Saved to My libraryDoneRemove articleMy profileMy libraryAlertsMetricsAdvanced searchSettingsSign inMy profileMy librarySign inArticles Case lawFederal courts Michigan courts Select courts...Stand on the shoulders of giantsSorry some features may not work when JavaScript is turned off.Please enable JavaScript in your browser for the best experience.ENLanguagesEnglishEspa�olCatal�ČeštinaDanskDeutschFilipinoFran�aisHrvatskiIndonesiaItalianoLatviešuLietuviųMagyarNederlandsNorskPolskiPortugu�s (Brasil)Portugu�s (Portugal)Rom�năSlovenčinaSlovenščinaSuomiSvenskaTiếng ViệtT�rk�eΕλληνικάБългарскиРусскийСрпскиУкраїнськаעבריתﺎﻠﻋﺮﺒﻳﺓﻑﺍﺮﺳیहिन्दीไทย한국어中文 (简体)中文 (繁體)日本語PrivacyTermsHelpAbout ScholarSearch help</t>
  </si>
  <si>
    <t>scholar.google.com</t>
  </si>
  <si>
    <t>Google Assistant, your own personal Google</t>
  </si>
  <si>
    <t>Meet your Google Assistant. Ask it questions. Tell it to do things. It's your own personal Google, always ready to help whenever you need it.</t>
  </si>
  <si>
    <t>https://assistant.google.com/</t>
  </si>
  <si>
    <t>Google Assistant your own personal Google Skip to content                     Overview                                       Get Google Assistant                                            Phones                                                  Speakers                                                  Smart Displays                                                  Cars                                                  TVs                                                  Tablets                                                  Wearables                                                  More Devices                                              What it can do                                            Get Started                                              News and resources                                            News                                                  Partners                                                  For Developers                                                  For Businesses                                                  Discover                                         Google Store                                  Overview                                       Get Google Assistant                                              Phones                                                       Speakers                                                       Smart Displays                                                       Cars                                                       TVs                                                       Tablets                                                       Wearables                                                       More Devices                                                 What it can do                                              Get Started                                                 News and resources                                              News                                                       Partners                                                       For Developers                                                       For Businesses                                                       Discover                            Google Store Create your personalized smart home with Google Home. Discover howCreate your personalized smart home with Google Home. Hey Google find me chicken recipes Learn moreHey Google find me chicken recipes Hey Google text Mom I’ll be there in 10 minutes Learn moreHey Google text Mom I’ll be there in 10 minutes Hey Google play my Morning playlist Learn moreHey Google play my Morning playlist Hey Google dim the bedroom lights Learn moreHey Google dim the bedroom lights Hey Google set the temperature to 75 degrees Learn moreHey Google set the temperature to 75 degrees Discover what Google Assistant is Learn more about how you can get help from your Google Assistant.                        On your phone              On your tablet              On your smart display              On your smart speaker              On your watch              On your TV              In your car              More devices Google Assistant is built to keep your information private safe and secure.When you use Google Assistant you trust us with your data and it's our responsibility to protect and respect it. Privacy is personal. That’s why we build simple privacy controls to help you choose what’s right for you. Explore this page to learn more about how Google Assistant works your built-in privacy controls answers to common questions and more.Learn more Google Assistant is built to keep your information private safe and secure.Featured PartnersGoogle Assistant works with your favorite mobile apps on all Android phones with more partners on the way. Try it out for yourself.             Just say “Hey Google...”      Etsy“... find candles on Etsy”Nike Run Club“... start my run with Nike Run Club”Spotify“... open Spotify”Postmates“... order a smoothie on Postmates”MyFitnessPal“... log a berry smoothie on MyFitnessPal”Mint“... check my accounts on Mint”Discord“... send a message to Rachel on Discord”Walmart“... check in to Walmart”Twitter“... check news on Twitter”Snap“... send a snap with cartoon lens on Snapchat”                     Subscriptions may be required to access certain content.                       Privacy                      Terms                      About Google                      Google Products                      Developers                      Businesses                      Join user studies                      Cookies management controls                      Help                    dansk (Danmark)                  Deutsch (Belgien)                  Deutsch (Deutschland)                  English                  English (Australia)                  English (Belgium)                  English (Canada)                  English (India)                  English (Malaysia)                  English (Singapore)                  English (Thailand)                  English (United States)                  español (España)                  español (Estados Unidos)                  español (Latinoamérica)                  español (México)                  français (Belgique)                  français (Canada)                  français (France)                  Indonesia (Indonesia)                  italiano (Italia)                  Nederlands (België)                  Nederlands (Nederland)                  norsk bokmål (Norge)                  polski (Polska)                  português (Brasil)                  português (Portugal)                  svenska (Sverige)                  Tiếng Việt (Việt Nam)                  Türkçe (Türkiye)                  русский (Россия)                  العربية (المملكة العربية السعودية)                  العربية (مصر)                  हिन्दी (भारत)                  ไทย (ไทย)                  中文 (繁體 中國)                  中文 (繁體 台灣)                  中文 (繁體字 中國香港特別行政區)                  日本語 (日本)                  한국어 (대한민국)</t>
  </si>
  <si>
    <t>assistant.google.com</t>
  </si>
  <si>
    <t>Google Sites: Sign-in</t>
  </si>
  <si>
    <t>Access Google Sites with a personal Google account or Google Workspace account (for business use).</t>
  </si>
  <si>
    <t>https://sites.google.com/</t>
  </si>
  <si>
    <t>Google Sites: Sign-inSign into continue to Google SitesEmail or phoneForgot email?Not your computer? Use a private browsing window to sign in. Learn moreNextCreate accountAfrikaansazərbaycanbosanskicatalàČeštinaCymraegDanskDeutscheestiEnglish (United Kingdom)English (United States)Español (España)Español (Latinoamérica)euskaraFilipinoFrançais (Canada)Français (France)GaeilgegalegoHrvatskiIndonesiaisiZuluíslenskaItalianoKiswahililatviešulietuviųmagyarMelayuNederlandsnorsko‘zbekpolskiPortuguês (Brasil)Português (Portugal)românăshqipSlovenčinaslovenščinasrpski (latinica)SuomiSvenskaTiếng ViệtTürkçeΕλληνικάбеларускаябългарскикыргызчақазақ тілімакедонскимонголРусскийсрпски (ћирилица)Українськаქართულიհայերեն‫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t>
  </si>
  <si>
    <t>sites.google.com</t>
  </si>
  <si>
    <t>Google Help</t>
  </si>
  <si>
    <t>If you're having trouble accessing a Google product, there's a chance we're currently experiencing a temporary problem. You can check for outages and downtime ...</t>
  </si>
  <si>
    <t>https://support.google.com/</t>
  </si>
  <si>
    <t>Google - About Google, Our Culture &amp; Company News</t>
  </si>
  <si>
    <t>https://about.google/</t>
  </si>
  <si>
    <t>Google - About Google Our Culture &amp; Company News              About                        Jump to content                          About                              About                                Google in the U.S.                                Products                                Commitments                                Stories                                The Keyword                                    About Google                      Our mission products and impactMore about our core commitments                    Belonging                      Expanding what's possible for everyone                    Learning                      Unlocking opportunity with education &amp; career tools                    Safety Center                      Keeping billions of people safe online                    Crisis Response                      Helping people with information in critical moments                    Sustainability                      Committed to being carbon free by 2030        Our mission is to organize the world’s information and make it universally accessible and useful.              Pixel gets even more powerful and helpful.              Learn more about the new Pixel 8 phones and the Google Pixel Watch 2.              See what's new                   Make life easier with a little help from our products                    View all our products                  Get product support            Latest products news            Discover Chrome themes by Latino artists              Learn more             Celebrating 25 years of endless curiosity          Read more                    Committed to significantly improving the lives of as many people as possible                    View all our commitments                Learn about Google's responsible approach to AI              Read the AI Principles Progress Report               Gain in-demand job skills with Google Career Certificates              Learn more                   People using technology to benefit others                    Explore our stories                Honoring Stacey Park Milbern and her dream for a more inclusive world              Read the story               Meet the man on a mission to clean up Africa's air using AI              Read the story               See how Google is using AI to help doctors prevent blindness in diabetics              Read the story               How Selly Thiam uses Google Search to find LGBTQ+ stories              Read the story                       Today's doodle                                  Discover more Google Doodles                              Discover more Google Doodles                  Latest company news                Read more on The Keyword        Follow us        Español      Company resources                  Contact us                                  Help center                                  Locations                                  Careers                                  Blog                                  Press resources                                  Investor relations                                  Brand Resource Center                Featured products                  Google Ads                                  Android                                  Chrome                                  Google Cloud                                  Google for Education                                  Gmail                                  Google Maps                                  Google Photos                                  Google Play                                  Google Shopping                                  Google Search                                  Google for Small Business                                  Google Store                                  Google Workspace                                  YouTube                                  View all products                Responsibility                  Accessibility                                  Crisis response                                  Digital wellbeing                                  Diversity &amp; inclusion                                  Google.org                                  Google Health                                  Google Public Sector                                  Grow with Google                                  Human rights                                  Learning                                  Public Policy                                  Safety Center                                  Supplier responsibility                                  Sustainability                More about us                  Transparency report                                  Community guidelines                                  How our business works                                  Extended workforce                                  Transparency Center                Help          Privacy          Terms</t>
  </si>
  <si>
    <t>about.google</t>
  </si>
  <si>
    <t>Google (компания)</t>
  </si>
  <si>
    <t>https://ru.wikipedia.org/wiki/Google_(%D0%BA%D0%BE%D0%BC%D0%BF%D0%B0%D0%BD%D0%B8%D1%8F)</t>
  </si>
  <si>
    <t>Google was founded on September 4, 1998, by American computer scientists Larry Page and Sergey Brin while they were PhD students at Stanford University in ...</t>
  </si>
  <si>
    <t>https://en.wikipedia.org/wiki/Google</t>
  </si>
  <si>
    <t>дневник ру</t>
  </si>
  <si>
    <t>Дневник.ру</t>
  </si>
  <si>
    <t>Дневник.ру — цифровая образовательная платформа, которая делает образование в России качественным и доступным! ... общения с родителями. ... Станьте ближе к вашему ...</t>
  </si>
  <si>
    <t>https://dnevnik.ru/</t>
  </si>
  <si>
    <t>Дневник.руО компанииВозможностиПоддержка    Войти    Подключить ОО    Дневник.ру — цифровая образовательная платформа которая делает образованиев России качественным и доступным!Преподавателям    Получите доступ к передовым технологиям    автоматизации учебного процесса инструментам    онлайн - образования и современным способам    общения с родителями.    Подробнее                                            Родителям                                            Станьте ближе к вашему ребенку с Дневник.ру!    Следите за успехами и увлечениями своего ребёнка    активно участвуйте в образовательном процессе вместе!    Подробнее                                            Учащимся                                            Дневник.ру тебе понравится! Всё необходимое    для учёбы внеклассной работы творческих    побед и самовыражения всегда под рукой.    Подробнее                                                Госорганам                                                Дневник.ру для органов управления образованием —     это средство онлайн - мониторинга и эффективный    канал оперативного информирования    подведомственных организаций.    ПодробнееПреподавателямРодителямУчащимсяГосорганамС НАМИ КАЖДАЯ ВТОРАЯ ШКОЛА РОССИИ!925 873 преподавателей 8 980 324 учащихся 4 997 995 родителей.                Самые активные школыО компанииО насРуководствоНовостиКонтактыВозможностиПреподавателямРодителямУчащимсяГосорганам                                Поддержка                            Портал службы поддержки            Русский        РусскийEnglishEspañolPortuguêsFrançais    Подключить ОО    Информация размещенная в Единой образовательной сети "Дневник.ру"    относится к информационной продукции допускаемой к обороту для детей    достигших возраста шести лет в соответствии со ст. 8 &amp;nbsp;ФЗ №436 от 29.12.2010 г.Пользовательское соглашение© 2007-2023 ООО «Дневник.ру»</t>
  </si>
  <si>
    <t>dnevnik.ru</t>
  </si>
  <si>
    <t>Дневник.ру – бесплатная цифровая образовательная платформа для образовательных организаций, разработанная компанией «Дневник.ру». | 148960 подписчиков.</t>
  </si>
  <si>
    <t>https://vk.com/dnevnikru</t>
  </si>
  <si>
    <t>Дневник.ру - Приложения в Google Play</t>
  </si>
  <si>
    <t>Дневник.ру — мобильное приложение для родителей, базовая версия которого дополняет использование сайта, а PRO версия позволяет полностью отказаться от сайта ...</t>
  </si>
  <si>
    <t>https://play.google.com/store/apps/details?id=ru.dnevnik.app&amp;hl=ru&amp;gl=US</t>
  </si>
  <si>
    <t>Дневник.ру 4+ - App Store - Apple</t>
  </si>
  <si>
    <t>Дневник.ру — мобильное приложение для учеников и их родителей, базовая версия которого дополняет использование сайта, а PRO версия позволяет полностью ...</t>
  </si>
  <si>
    <t>https://apps.apple.com/ru/app/%D0%B4%D0%BD%D0%B5%D0%B2%D0%BD%D0%B8%D0%BA-%D1%80%D1%83/id1127180528</t>
  </si>
  <si>
    <t>Dnevnik.ru - Apps on Google Play</t>
  </si>
  <si>
    <t>Дневник.ру — мобильное приложение для родителей, базовая версия которого дополняет использование сайта, а PRO версия позволяет полностью отказаться от сайта и ...</t>
  </si>
  <si>
    <t>https://play.google.com/store/apps/details?id=ru.dnevnik.app&amp;hl=en_US</t>
  </si>
  <si>
    <t>Журнал Дневник.ру 4+ - App Store - Apple</t>
  </si>
  <si>
    <t>https://apps.apple.com/ru/app/%D0%B6%D1%83%D1%80%D0%BD%D0%B0%D0%BB-%D0%B4%D0%BD%D0%B5%D0%B2%D0%BD%D0%B8%D0%BA-%D1%80%D1%83/id1441761001</t>
  </si>
  <si>
    <t>Дневник ру — Личный кабинет ученика: вход на Мою ...</t>
  </si>
  <si>
    <t>Dnevnik.ru позволяет учителям организовывать дистанционное обучение и переносить в электронную форму «бумажные» аспекты своей работы, родителям – следить за ...</t>
  </si>
  <si>
    <t>https://www.sravni.ru/enciklopediya/info/lichnyj-kabinet-dnevnik-ru/</t>
  </si>
  <si>
    <t>Сравни - подбор и сравнение вкладов кредитов кредитных карт автострахование калькулятор ОСАГО и каско рейтинг страховых компанийКредитыПодбор кредитаКредитный рейтингПотребительские кредитыРефинансированиеАвтокредитыКредитный калькуляторКредиты наличнымиКредиты онлайнБанкротствоКредиты без справок о доходахКредиты под залог недвижимостиКредиты с плохой кредитной историейКурсы обмена валютРейтинг банковСписок банковОтзывы о банкахСтрахованиеОСАГОКаскоСтрахование ипотекиСтрахование путешественниковСтрахование квартирыСтрахование спортсменовДобровольное медицинское страхованиеОт критических заболеванийСтрахование от укуса клещаСтрахование дома и дачиСтрахование животныхПроверка КБМРейтинг страховых компанийСписок страховых компанийОтзывы о страховых компанияхСтатьи о страхованииЗаймыЗаймы онлайнЗаймы на картуЗаймы без отказаЗаймы с плохой КИЗаймы без процентовБанкротствоЛучшие займыЗаймы под залог ПТСЗаймы через ГосуслугиЗаймы до зарплатыДолгосрочные займыРейтинг МФОСписок МФООтзывы об МФОИпотекаИпотечные кредитыЗаявка на ипотеку онлайнСемейная ипотекаИпотека с господдержкойВторичное жильеНовостройкиСтроительство домаРефинансирование ипотекиИпотека в новостройках ПИККалькулятор ипотекиИпотека без первоначального взносаВыгодные ставки по ипотекеИпотека для молодой семьиВоенная ипотекаСтрахование ипотекиОценка недвижимостиРейтинг банковСписок банковОтзывы о банкахКартыПодбор кредитной картыКредитные картыДебетовые картыКредитные карты с бесплатным обслуживаниемВиртуальные кредитные картыКредитные карты с моментальным решениемКредитные карты без отказаКредитные карты с доставкойКредитные карты без подтверждения доходаКарты рассрочкиКредитные карты с кэшбэкомРейтинг банковСписок банковОтзывы о банкахВкладыВкладыНакопительные счетаКалькулятор вкладовБрокерское обслуживаниеИнвестиционные вкладыКуда вложить деньгиПенсионные программы НПФИнвестиции в МФОИнвестиционное страхование жизниНакопительное страхование жизниРейтинг банковСписок банковОтзывы о банкахРейтинг брокеровОтзывы о брокерахБизнесЛучшие предложения для бизнесаРасчетно-кассовое обслуживаниеКредиты для бизнесаБанковские гарантииСервис проверки контрагентаЭквайрингВЭДРегистрация бизнесаЛизингБухгалтерские услугиУслуги для маркетплейсовВнесение изменений в ИП и ОООЛиквидация ИПРейтинг банков для бизнесаСтатьи о бизнесеОтзывы о банкахОбразованиеОнлайн-курсы SkillboxПрограммированиеДизайнУправлениеАналитикаМаркетингПодготовка к ЕГЭ и ОГЭРазработка на Python1С-программированиеQA-тестированиеГрафический дизайнВеб-дизайнАнглийский языкРейтинг курсовОтзывы о курсахСтатьи о курсахСписок школЖурналГлавноеВопросы и ответыТесты и игрыСпецпроектыНовости компанийРейтинг экспертовКартыВкладыКредитыИнвестицииНедвижимостьСтрахованиеЕщёВойтиПомогаем сохранить деньгиОСАГОПоможем сравнить цены и сэкономить до 5 500 ₽КАСКОСравните цены за 1 минутуПодбор кредитаПодберем банки готовые выдать кредит на подходящих вам условияхЗаймыНа карту за 10 минутот 0%СтрахованиеипотекиСтраховка для банкаприз 500 000 ₽Кредитный рейтингПроверьте кредитную историю на отсутствие просрочек и ошибокБесплатноВкладыНайдите лучшую ставкуИпотекаВыберите лучшие условия Туристическая страховкаСтрахование спортсменовВсе услугиСкачайте приложение9 тыс. отзывовУстановитьВсе курсыЖурнал СравниВесь журналЧасто ищутКредитыКредиты наличнымиРефинансирование кредитовКредиты на картуКредиты под залог автоКредиты под залог недвижимостиОнлайн заявка на кредитКредиты с плохой КИКредиты без справокВкладыКалькулятор вкладовНакопительные счетаВклады с ежемесячной выплатойВклады в долларахВалютные вкладыВклады для пенсионеровВклады в евроВклады с пополнениемВклады в юаняхСпецпредложения по вкладамИпотекаИпотечный калькуляторИпотека без первого взносаРефинансирование ипотекиИпотека на строительствоИпотека на загородный домСемейная ипотекаИпотека с господдержкойИпотека для молодой семьиИпотека в новостройкахКредитные картыЛучшие кредитные картыКредитные карты без отказаКредитные карты с плохой КИВиртуальные кредитные картыКарты рассрочкиКарты со 100 % одобрениемС моментальным решениемКредитные карты с доставкойКредитные карты UnionPayКобейджинговые кредитные картыДебетовые картыЛучшие дебетовые картыДебетовые карты с кэшбэкомДебетовые карты для ребенкаС бесплатным обслуживаниемВиртуальные дебетовые картыДебетовые карты МИРС процентами на остатокДебетовые карты для пенсионеровДебетовые карты UnionPayКобейджинговые дебетовые картыМикрозаймыЗаймы на картуЗаймы без процентовЗаймы без проверокЗаймы онлайнЗаймы на карту без отказаЗаймыЗаймы под ПТСЗаймы без отказаЗаймы с плохой КИАкции и промокоды в МФОСтрахованиеКалькулятор ОСАГООСАГО онлайнКАСКОСтрахование для путешественниковСтрахование ипотекиСтрахование жизни при ипотекеСтрахование недвижимостиСтрахование от несчастных случаевМикрокредитыМикрокредиты на КивиМгновенные микрокредитыМикрокредиты круглосуточноМикрокредиты под 0%Долгосрочные микрокредитыМикрокредиты через ГосуслугиДля бизнесаРКОРегистрация бизнесаЛизингКредит для бизнесаКредит для ИПКредит для ОООЭквайрингБанковские гарантииСтраховые продуктыДобровольное медицинское страхованиеДМС на годДМС со стоматологиейДМС с телемедицинойСтрахование от укуса клещаСтрахование от критических болезнейСтрахование от инфаркта и инсультаСтрахование от ракаИнвестицииБрокерское обслуживаниеОткрыть ИИСЛучшие ИИСИИС онлайнИИС для ИПРейтинг брокеровОткрыть брокерский счетБрокерский счет для юридических лицКурсыПрограммированиеАналитикаМаркетингСоздание контентаДизайнУправлениеПодготовка к ЕГЭ и ОГЭСравни — в мобильном приложенииУстановитьОформляйте услуги онлайнХраните полисы чеки и контакты страховойОценивайте свои кредитные возможностиСкачать с помощью QR‑кодаДля установки наведите камеру телефона на QR‑кодО проектеКонтактыПартнерская программаДля агентовПользовательское соглашениеПолитика конфиденциальностиЭнциклопедияКарта сайтаНаши экспертыНаши вакансии© 2009–2023 ООО «Сравни.ру». При использовании материалов гиперссылка на sravni.ru обязательна. ИНН 7710718303 ОГРН 1087746642774. 109544 г. Москва бульвар Энтузиастов дом 2 26 этаж.ООО «Сравни.ру» осуществляет деятельность в сфере IT: сервис предоставляет онлайн - услуги по подбору финансовых продуктов а также распространению рекламы организаций - партнеров в сети ИнтернетМы используем файлы cookie для того чтобы предоставить пользователям больше возможностей при посещении сайта sravni.ru. Подробнее об условиях использования.</t>
  </si>
  <si>
    <t>www.sravni.ru</t>
  </si>
  <si>
    <t>Дневник.ру — российская IT-компания в сфере образовательных технологий. По собственным утверждениям, компания занимается разработкой единой электронной ...</t>
  </si>
  <si>
    <t>https://ru.wikipedia.org/wiki/%D0%94%D0%BD%D0%B5%D0%B2%D0%BD%D0%B8%D0%BA.%D1%80%D1%83</t>
  </si>
  <si>
    <t>Дневник.ру — энциклопедия «Знание.Вики»</t>
  </si>
  <si>
    <t>5 окт. 2023 г. —</t>
  </si>
  <si>
    <t>https://znanierussia.ru/articles/%D0%94%D0%BD%D0%B5%D0%B2%D0%BD%D0%B8%D0%BA.%D1%80%D1%83</t>
  </si>
  <si>
    <t>Российское общество Знание – проведение мероприятий гранты лекции марафоныИнтересноеМероприятияВступить в ЗнаниеВойтиКалендарь мероприятийВсе проектыКинотеатрЛекцииСтатьиКурсыПодкастыНаши ЛекторыОб обществеРуководствоНовостиСтать ЛекторомСтать Членом РОЗСтать АвторомСтать ЭкспертомСтать партнером РОЗМеждународная выставка-форум «РОССИЯ»Смотреть трансляцию04.11 - 12.04сб. - ср.ОнлайнЗнание.ТеатрВсероссийская просветительская акцияПодробнее28.09 - 15.12чт. - пт.Документальные фильмы обо всём на светеСобрали лучшее о самом интересном в нашем кинотеатре. Скорее переходите и наслаждайтесь просмотром!ПодробнееЗнание.ВикиНаш новый проект - цифровая библиотека достоверных знаний которую мы создаем вместе!ПодробнееГод педагога и наставника 2023ПодробнееМероприятияКинотеатрЛекцииСтатьиКурсыСтать ЛекторомЛекторыСтать ЛекторомИлья АвербухСеребряный призер Олимпийских игр заслуженный мастер спорта РоссииТатьяна БарановаЭксперт по бизнес-этикету и деловым коммуникациямЮрий БашметНародный артист СССР Герой Труда Лауреат Государственных премий СССР и РФ ПрофессорСергей БезруковНародный артист РФ лауреат Государственной премии художественный руководитель Московского Губернского театра актер режиссерАлександр БелоглазовКомандир центра специального назначения «Витязь» ОДОН имени Ф. Э. Дзержинского ФСВНГ РФ Герой Российской ФедерацииЮлия БерезиковаРоссийская спортсменка мирового класса по боям в смешанном стилеЕгор БероевАктер соучредитель фонда «Я есть!»Камила ВалиеваРоссийская фигуристкаИрина ВинерПрезидент Всероссийской федерации художественной гимнастикиТатьяна ГоликоваЗаместитель Председателя Правительства Российской ФедерацииЛеван ГорозияМузыкантГерман ГрефПредседатель правления ПАО СбербанкНиколай ДроздовДоктор биологических наук заслуженный профессор МГУ географического факультета М.В Ломоносова член медиасовета русского географического общества член попечительского совета WWF России теле-радио ведущий член союза писателей России автор более 200 статей и 40 книгДмитрий ДюжевАктёр певец кинорежиссер заслуженный артист Российской ФедерацииМария ЗахароваДиректор Департамента информации и печати Министерства иностранных дел РоссииСергей КарякинРоссийский шахматист гроссмейстерЕвгений КасперскийГенеральный директор «Лаборатория Касперского»Сергей КириенкоПервый заместитель Руководителя Администрации ПрезидентаМихаил КовальчукДиректор НИЦ «Курчатовский институт»Григорий КокоткинРоссийский актер театра и кино режиссер преподаватель по актерскому мастерству художественный руководитель культурного центра «Зодчие» блогерАнна КузнецоваЗаместитель Председателя Государственной Думы Федерального Собрания Российской ФедерацииВладимир Кузнецов (Вован)ПранкерСергей ЛавровМинистр иностранных дел Российской ФедерацииКарина ЛазарьянцОсновательница компании Kross Cosmetic актриса певица популярный блогерАлексей ЛихачевГенеральный директор государственной корпорации «Росатом»Роман ЛобашовГлавный редактор телеканала "Моя Планета"Мария Львова-БеловаУполномоченный при Президенте Российской Федерации по правам ребенкаВладимир МашковХудожественный руководитель Театра Олега Табакова Народный и Заслуженный артист РоссииВладимир МединскийПомощник Президента Российской Федерации председатель Российского военно-исторического обществаМихаил МишустинПредседатель Правительства Российской ФедерацииНовости11 ноября 2023Съезд дефектологов научный квиз и лекции о космосе знакомство с Амурской и Сахалинской областями полезные советы для саморазвития – как прошел очередной день образовательной программы Выставки "Россия"10 ноября 2023Генеральный директор АО «ГЛОНАСС» Алексей Райкевич провел экскурсионное путешествие по Томской и Новгородской областям на выставке "Россия" в рамках просветительской программы Общества «Знание»10 ноября 2023История в лицах событиях и фактах: в Херсонской области прошли просветительские мероприятия трека Знание.ЛекторийКалендарь мероприятийПроектыКинотеатрЛекцииСтатьиКурсыПодкастыРазговоры о важномВыставка Россия на ВДНХ 2023Наши ЛекторыОб обществеРуководствоНовостиЗакупкиСтать ЛекторомСтать Членом РОЗСтать партнером РОЗ+7 (499) 393-33-38Техническая поддержка:support@znanierussia.ruПриемная Общества «Знание»:info@znanierussia.ruАдрес организации:109240 Москва Внутригородская территория муниципальный округ Таганский Николоямская д 11 строение 1Политика конфиденциальностиПользовательское соглашениеУстав Российского общества “Знание”Указ о создании Российского общества “Знание”Отчёт об использовании имущества за 2021 годОтчёт об использовании имущества за 2022 год© 2023 Российское общество «Знание»</t>
  </si>
  <si>
    <t>znanierussia.ru</t>
  </si>
  <si>
    <t>Компания Дневник.ру - Хабр Карьера</t>
  </si>
  <si>
    <t>Компания «Дневник.ру» — профиль работодателя на Хабр Карьере: о компании, фотографии офиса, контакты.</t>
  </si>
  <si>
    <t>https://career.habr.com/companies/dnevnik</t>
  </si>
  <si>
    <t>Работа в IT-индустрии свежие вакансии и резюме поиск работы — Хабр КарьераВсе сервисы ХабраСообщество IT-специалистовОтветы на любые вопросы об ITПрофессиональное развитие в ITУдаленная работа для IT-специалистовВойтиВойти через Хабр АккаунтЗарегистрироватьсяВойтиВойти через Хабр АккаунтЗарегистрироватьсяВакансииСпециалистыЭкспертыКомпанииРейтингЗарплатыОбразованиеЖурналСпециалистамРаботодателямПомогаем найти работу в ITПомогаемнайтиНайтиработу в IT3 347вакансий уже тут1 167курсов для получения и развития навыков177 386 ₽средняя зарплата в IT сегменте678компаний ищут сотрудников прямо сейчас01Найди работу по душеВ базе Хабр Карьеры актуальные вакансии по всем ведущим специализациям IT-индустрииРазработкаТестированиеАдминистрированиеМенеджментДизайнАналитикаМаркетингЕщёLiving CoreУдаленная работаFrontend разработчикот 120 000 ₽НАЛИТЕКУдаленная работаFrontend-разработчик (JavaScript/React)от 180 000 ₽SimplenightУдаленная работаSenior Frontend (React.js) Developerот 4 000 до 6 000 $BittenredОмскReact разработчикот 20 000 до 40 000 ₽Лаборатория 365Удаленная работаMiddle frontend developer (React)от 120 000 до 200 000 ₽НАЛИТЕКУдаленная работаBackend-разработчик (Python Django)от 180 000 ₽A-ParserУдаленная работаFrontend Engineer (React Material-UI TypeScript)от 1 500 до 2 000 $GarantexУдаленная работаSenior Frontend Developerот 3 500 $Больше вакансийХабр Разработка:ГринатомМоскваQA Engineer manual (проект Атомкор)До 180 000 ₽ЮтекаУдаленная работаQA Инженерот 140 000 ₽IT-OTSУдаленная работаРучной функциональный тестировщик (Middle Middle+ Manual QA) в КИБ (удаленно)от 130 000 до 250 000 ₽Лаборатория 365ИннополисТестировщик ПОот 80 000 до 150 000 ₽SibdevУдаленная работаQuality Assuranceот 50 000 до 120 000 ₽TINKOFFМоскваQA-инженер (backend)от 150 000 до 400 000 ₽CheeleeМоскваAutomation QA engineer (API)от 200 000 ₽Rerum Finance s.r.oУдаленная работаMiddle / Senior QA Engineerот 800 до 1 600 $Больше вакансийE-ProduceУдаленная работаDevOps инженер на проектную занятостьДо 80 000 ₽NOVARDISУдаленная работаDevOps от 180 000 до 350 000 ₽GaussУдаленная работаDevOps инженер До 350 000 ₽VKМоскваSite Reliability Engineer (SRE)от 200 000 до 500 000 ₽SOKOLOVУдаленная работаСистемный администратор LinuxДо 200 000 ₽SkillspaceУдаленная работаDevOps-инженер в EdTech проектот 200 000 до 300 000 ₽AtlantisУдаленная работаDevOps инженерот 200 000 до 400 000 ₽AvanpostМоскваИнженер внедрения (system administrator skill)от 150 000 до 170 000 ₽Больше вакансийХабр Администрирование:MVP LabУдаленная работаProject Managerот 100 000 до 150 000 ₽Quantum AgencyУдаленная работаIT Project managerДо 80 000 ₽ЭлектронсервисМоскваProject менеджерот 150 000 до 200 000 ₽FreudersУдаленная работаProject Manager (с функциями Business Analyst)от 2 500 $Future SearchУдаленная работаProject Manager / Product Managerот 120 000 до 150 000 ₽ВебиумУдаленная работаProduct Owner / POв  EdTech-продуктДо 300 000 ₽DNA TeamЕкатеринбургProject manager (Координатор проектов web-разработки)от 145 000 до 165 000 ₽АтласМоскваСРО в Атласот 200 000 до 280 000 ₽Больше вакансийХабр Менеджмент:YOURTUNESУдаленная работаUX/UI дизайнерот 100 000 ₽ИТ-РазвитиеСанкт-ПетербургUI/UX дизайнерот 150 000 ₽АэроклубУдаленная работаПродуктовый дизайнер (B2B)До 220 000 ₽TribeУдаленная работаMiddle-designerот 80 000 ₽Bono.digitalУдаленная работаГрафический дизайнерот 80 000 ₽1420Удаленная работаMiddle Designerот 1 500 $КонтурУдаленная работаSenior Проектировщик интерфейсов внутренних продуктовот 150 000 ₽RedLabМоскваГрафический дизайнер (удаленно почасовая оплата)от 40 000 до 80 000 ₽Больше вакансийХабр Дизайн:Gravity FieldУдаленная работаData AnalystДо 250 000 ₽ЭТП ГПБ / VESNAУдаленная работаАналитик данных До 200 000 ₽ClickaviaУдаленная работаData Engineerот 2 500 до 4 000 $РТ  МИСУдаленная работаАналитик биллингаДо 65 000 ₽A2SEVENТаганрогСистемный аналитикот 100 000 до 150 000 ₽МТСМоскваСистемный аналитик в команду кросплатформенных мобильных приложенийот 200 000 до 250 000 ₽WinlineМоскваFullstack аналитикот 300 000 ₽Procter &amp; GambleМоскваSenior Data Engineer / Старший дата-инженерот 280 000 ₽Больше вакансийSALEPIXУдаленная работаМенеджер по маркетингуот 1 000 до 1 500 $UAB SoftekaУдаленная работаMarketing Manager CPA Networks  (Dating под WW)До 200 000 ₽Future SearchУдаленная работаEmail-маркетолог / CRM-маркетологот 60 000 до 100 000 ₽Performance maniacsУдаленная работаСпециалист контекстной рекламыот 80 000 до 120 000 ₽БанкирроСанкт-ПетербургSEO-специалист / SEO – оптимизатор (удаленно)от 60 000 до 120 000 ₽S10HoldingУдаленная работаСпециалист по маркетингу и росту доходов (анализ и менеджмент)от 100 000 до 120 000 ₽Future SearchУдаленная работаРуководитель SEO-отдела / Team Lead SEOот 120 000 до 150 000 ₽Важная РыбаСанкт-ПетербургДиректор по маркетингу (CMO)До 300 000 ₽Больше вакансийХабр Маркетинг:Developer1462 вакансииSoftware Engineer1462 вакансииИнженер программист 2 категории915 вакансийИнженер разработчик868 вакансийВеб разработчик854 вакансииBackend разработчик683 вакансииАналитик607 вакансийСистемный аналитик500 вакансийСтарший программист495 вакансийИнженер технолог программист482 вакансииАналитик dwh482 вакансииУдалённая работа2301 вакансияБольше вакансий02Изучи будущее место работыНам доверяют лучшие компании которые регулярно размещают вакансии для IT-специалистов у насLamoda Tech4.5897%Code the lifestyleСовременные технологии4.77Интересные задачи4.77Профессиональный рост4.73Luxoft4.4789%Ведущая глобальная компания оказывающая услуги по формированию digital стратегии и разработке программного обеспеченияПрофессиональный рост4.62Социальный пакет4.57Комфортные условия труда4.56Авито4.4487%Сервис объявлений которым каждый месяц пользуется треть населения РоссииКомфортные условия труда4.84Социальный пакет4.81Компания делает мир лучше4.66TINKOFF4.3585%Делаем жизнь 36 миллионов клиентов проще и удобнее каждый деньКомпания делает мир лучше4.74Современные технологии4.7Интересные задачи4.57VK4.3588%Место встречи лучшихКомфортные условия труда4.76Социальный пакет4.64Профессиональный рост4.55Тензор4.3383%Разработка системы деловых коммуникаций и электронного документооборота с &gt;1 млн. компаний-пользователейКомфортные условия труда4.71Компания делает мир лучше4.49Отношения с коллегами4.45Альфа-Банк4.3384%Digital-подразделение Альфа-БанкаОтношения с коллегами4.63Компания делает мир лучше4.48Карьерный рост4.43ЛАНИТ4.3182%Многопрофильная группа ИТ-компаний лидер российской отрасли информационных технологийОтношения с коллегами4.59Компания делает мир лучше4.53Профессиональный рост4.44Яндекс4.3085%Компания которая развивает самую популярную в России поисковую систему и десятки других сервисовКомфортные условия труда4.78Социальный пакет4.72Компания делает мир лучше4.6Совкомбанк Технологии4.2180%Компания с гибким подходом к работе инновационными проектами технологичными решениями и яркой корпоративной культуройОтношения с коллегами4.45Комфортные условия труда4.4Современные технологии4.4Сима-ленд4.1878%Крупнейший оптовый поставщик товаров народного потребления в РоссииКарьерный рост4.82Современные технологии4.64Профессиональный рост4.55Лига Цифровой Экономики4.1778%Группа компаний которые оказывают профессиональные услуги в области информационных и цифровых технологийСоциальный пакет4.42Компания делает мир лучше4.39Отношения с коллегами4.37Miro4.8798%The online collaborative whiteboarding platformКомпания делает мир лучше4.99Социальный пакет4.99Профессиональный рост4.94Aston (ex. Andersen)4.8096%Аутсорсинговая компания ориентированная на разработку ПОКомфортные условия труда4.87Профессиональный рост4.86Современные технологии4.84Директ Кредит4.7792%Технологии — это просто понятно и удобноКомпания делает мир лучше4.9Профессиональный рост4.9Грамотность менеджмента4.85JetBrains4.7499%Делаем эффективные инструменты для разработчиковКомпания делает мир лучше5.0Связь с топ-менеджментом5.0Карьерный рост5.0ТЕЛЕМАТИКА4.7392%Международный разработчик и российский лидер решений в области создания интеллектуальных транспортных системАдекватная зарплата4.88Отношения с коллегами4.77Профессиональный рост4.77Европлан4.7196%Лизинговая компанияКомпания делает мир лучше5.0Связь с топ-менеджментом4.9Социальный пакет4.9inDrive4.6996%Международный сервис пассажирских и грузовых перевозок со штаб-квартирой в Маунтин-Вью КалифорнияКомпания делает мир лучше5.0Профессиональный рост4.91Комфортные условия труда4.91Wrike4.6795%Американская компания со штаб-квартирой в Калифорнии разрабатывающая одноимённый продукт для управления проектамиКомфортные условия труда4.92Социальный пакет4.85Отношения с коллегами4.77QIWI4.6490%Ведущий платёжный сервис в России и странах СНГКомфортные условия труда4.92Профессиональный рост4.83Современные технологии4.83КОРУС Консалтинг4.6391%Одна из крупнейших российских ИТ-компанийИнтересные задачи4.86Компания делает мир лучше4.79Комфортные условия труда4.79Revolut4.5991%Global Money AppКомфортные условия труда4.85Социальный пакет4.85Адекватная зарплата4.85Рексофт4.5891%Заказная разработка программного обеспечения и информационных системКомфортные условия труда4.94Профессиональный рост4.71Связь с топ-менеджментом4.65Рейтинг компаний03Создай профессиональное резюмеИз профиля на Хабр Карьере можно получить исчерпывающую информацию о твоих достижениях.Просто отправь работодателю ссылку на свой профиль.и расскажи о себе большеНавыки и образование помогут найти подходящую работу.Активность в сообществах и дополнительные курсы делают профиль привлекательным для работодателя.Создать профиль04Следи за актуальными зарплатамиСервис позволяет узнать текущую зарплату по любой специальности ИТ-отрасли.Ежедневно мы обновляем данные о зарплатеРазработка183 074 ₽Средняя зарплата на основании 13209 анкет за 2-е пол. 2023 года350 000 ₽максимум160 000 ₽медиана50 000 ₽минимумТестирование122 539 ₽Средняя зарплата на основании 2442 анкет за 2-е пол. 2023 года240 000 ₽максимум100 000 ₽медиана40 000 ₽минимумАдминистрирование161 911 ₽Средняя зарплата на основании 1351 анкеты за 2-е пол. 2023 года313 000 ₽максимум134 000 ₽медиана50 000 ₽минимумМенеджмент193 702 ₽Средняя зарплата на основании 2047 анкет за 2-е пол. 2023 года368 000 ₽максимум160 000 ₽медиана60 000 ₽минимумДизайн97 816 ₽Средняя зарплата на основании 1375 анкет за 2-е пол. 2023 года200 000 ₽максимум70 000 ₽медиана30 000 ₽минимумАналитика152 052 ₽Средняя зарплата на основании 2450 анкет за 2-е пол. 2023 года276 000 ₽максимум140 000 ₽медиана52 200 ₽минимумБольше данных05Качай свой скиллНа Хабр Карьере собраны образовательные курсы от 100 лучших школ дополнительного образования в ITРазработкаТестированиеАдминистрированиеМенеджментДизайнАналитикаЯндекс ПрактикумОнлайн обучениеРазработчик C++126 000 ₽XYZ SchoolОнлайн обучениеРазработка игр на Unity74 500 ₽ХекслетОнлайн обучениеПрофессия: Fullstack-разработчик213 840 ₽НетологияОнлайн обучениеPython-разработчик с нуля до middle103 400 ₽HTML AcademyОнлайн обучениеHTML и CSS. Адаптивная вёрстка и автоматизация25 900 ₽XYZ SchoolОнлайн обучениеHyper Casual86 700 ₽XYZ SchoolОнлайн обучениеГеймплей-программирование89 200 ₽Яндекс ПрактикумОнлайн обучениеC++ для бэкенда45 000 ₽Больше курсовНетологияОнлайн обучениеТестировщик ПО86 500 ₽ХекслетОнлайн обучениеПрофессия: Инженер по тестированию63 000 ₽Яндекс ПрактикумОнлайн обучениеИнженер по тестированию буткемп128 800 ₽Контур ШколаОнлайн обучениеОсновы тестирования API9900 ₽SkillboxОнлайн обучениеАвтоматизированное тестирование веб-приложений на JavaScript42 900 ₽OTUSОнлайн обучениеНагрузочное тестирование107 300 ₽Академия EdusonОнлайн обучениеТестировщик ПО60 464 ₽SkyproОнлайн обучениеИнженер по тестированию105 600 ₽Больше курсовСлёрмОнлайн обучениеDevOps Upgrade165 000 ₽НетологияОнлайн обучениеDevOps-инженер с нуля148 000 ₽OTUSОнлайн обучениеИнфраструктурная платформа на основе Kubernetes95 000 ₽SkillfactoryОнлайн обучениеDevOps-инженер98 700 ₽Яндекс ПрактикумОнлайн обучениеDevOps для эксплуатации и разработки124 000 ₽SkillboxОнлайн обучениеDevOps-инженер PRO196 625 ₽Merion AcademyОнлайн обучениеБазы данных с нуля12 150 ₽GB (GeekBrains)Онлайн обучениеDevOps-инженер: быстрый старт в профессии87 454 ₽Больше курсовXYZ SchoolОнлайн обучениеМенеджмент игровых проектов87 500 ₽Яндекс ПрактикумОнлайн обучениеПродакт-менеджер120 000 ₽Контур ШколаОнлайн обучениеAgile в командах5900 ₽SkillboxОнлайн обучениеПродакт-менеджмент72 359 ₽Международная Школа ПрофессийОнлайн обучениеОнлайн-курсы product-менеджера.29 100 ₽Академия EdusonОнлайн обучениеMBA Эксперт: Управление предприятием161 200 ₽ProductStarОнлайн обучениеGrowth hacking39 000 ₽City Business SchoolОнлайн обучениеМетодологии Agile в управлении проектами10 900 ₽Больше курсовXYZ SchoolОнлайн обучениеТекстурный трип37 200 ₽НетологияОнлайн обучениеГейм-дизайнер96 745 ₽XYZ SchoolОнлайн обучениеПиксель-арт53 800 ₽XYZ SchoolОнлайн обучениеСоздание спецэффектов в Houdini FX104 000 ₽XYZ SchoolОнлайн обучениеМоушен-дизайнер85 800 ₽XYZ SchoolОнлайн обучениеАнатомия игровых персонажей20 300 ₽XYZ SchoolОнлайн обучениеАнимация 3D-персонажей173 500 ₽XYZ SchoolОнлайн обучениеConcept Art81 500 ₽Больше курсовЯндекс ПрактикумОнлайн обучениеИнженер данных95 000 ₽ХекслетОнлайн обучениеПрофессия: Аналитик данных108 540 ₽НетологияОнлайн обучениеData Scientist96 500 ₽STENET schoolОнлайн обучениеСистемный анализ. Разработка требований к ПО - в группе36 000 ₽CORS AcademyОнлайн обучениеПрактика управления проектами внедрения 1С32 600 ₽Контур ШколаОнлайн обучениеSQL для работы с данными42 000 ₽SkillfactoryОнлайн обучениеСпециализация Продуктовая аналитика54 960 ₽SkillboxОнлайн обучениеАналитик данных с нуля109 868 ₽Больше курсов06Читай полезные статьиМы регулярно публикуем полезные статьи для карьеры: исследованиядайджесты событий рейтинги работодателей и многое другое.Зарплаты 3 ноябряСколько тратят в IT: сеньор бэкендерАктивность найма 1 ноябряАктивность найма на IT-рынке в 3 квартале 2023Мероприятия31 октябряДайджест событий для эйчаров и рекрутеров в IT в ноябреНовости сервиса24 октябряСтатистика — новый раздел в кабинете компанийГде работать18 октябряГде работать в IT в 2023: DatsTeamИсследования12 октябряКак сделать вакансию на которую будут откликаться — инструкцияМероприятия28 сентябряДайджест событий для эйчаров и рекрутеров в октябреНовости сервиса27 сентябряМеняем цены на услуги с 27 октябряСпецпроекты25 сентябряБитва пет-проектовСпецпроекты22 сентября«Выгорел просто в угли и уволился» — истории карьерных неуспехов часть 5Исследования21 сентябряМенторство в IT: 73% опытных специалистов становятся наставникамиСпецпроекты18 сентябряНеделя аналитиков 2.0Больше статей07Получай самое полезноеБережно составляем несколько раз в месяц рассылки с исследованиями зарплат рейтингами компаний статьями и туториалами для тех кто строит свою карьеру в IT.Присоединяйся!ЗарегистрироватьсяВойти в КарьеруХабр КарьераО сервисеУслуги и ценыЖурналКаталог профессийКонтактыПомощьДля соискателяДля работодателяAPI сервисаСлужба поддержкиДокументыСоглашение с пользователемПравила оказания услугПрайс-листСледите за нами в соцсетяхСейчас на сайте 3347 вакансий и 259444 резюме в среднем 12 откликов на вакансию© HabrО сервисеУслуги и ценыПомощьДля соискателяДля работодателяAPI сервисаСлужба поддержкиДругие проекты ХабраХабрQ&amp;AФриланс</t>
  </si>
  <si>
    <t>career.habr.com</t>
  </si>
  <si>
    <t>https://www.facebook.com/dnevnik.ru/?locale=ru_RU</t>
  </si>
  <si>
    <t>dnevnik_ru - Дневник.ру</t>
  </si>
  <si>
    <t>Дневник.ру огласил рейтинг регионов-лидеров по использованию электронных журналов в школах. Подробности на официальном сайте Дневник.ру.</t>
  </si>
  <si>
    <t>https://twitter.com/dnevnik_ru</t>
  </si>
  <si>
    <t>Дневник.ру | OK.RU</t>
  </si>
  <si>
    <t>Группа Дневник.ру. Дневник.ру – бесплатная цифровая образовательная платформа для образовательных организаций, разработанная резидентом «Сколково», ...</t>
  </si>
  <si>
    <t>https://ok.ru/dnevnik.ru</t>
  </si>
  <si>
    <t>Дневник ру.</t>
  </si>
  <si>
    <t>Редактор расписания позволяет быстро перенести существующее школьное расписание в электронный Дневник. Электронный дневник. Каждому ученику в Дневнике доступны ...</t>
  </si>
  <si>
    <t>https://30astr-s24.edusite.ru/p48aa1.html</t>
  </si>
  <si>
    <t>Отзывы о Dnevnik.ru - школьная образовательная сеть</t>
  </si>
  <si>
    <t>https://otzovik.com/reviews/dnevnik_ru-shkolnaya_obrazovatelnaya_set/</t>
  </si>
  <si>
    <t>dnevnik.ru | отзывы</t>
  </si>
  <si>
    <t>Сайт для контроля оценок родителями, на который невозможно войти. Когда в школе моей дочери ввели электронные дневники, многие родители начали возмущаться. Я же ...</t>
  </si>
  <si>
    <t>https://irecommend.ru/content/httpdnevnikru</t>
  </si>
  <si>
    <t>https://chrome.google.com/webstore/detail/%D0%B4%D0%BD%D0%B5%D0%B2%D0%BD%D0%B8%D0%BA-%D1%80%D1%83/bjkcbdcpbbhmbfampcegnjjhdiffhinb?hl=ru</t>
  </si>
  <si>
    <t>Журнал Дневник.ру - Приложения в Google Play</t>
  </si>
  <si>
    <t>https://play.google.com/store/apps/details?id=ru.teacherJournal.app&amp;hl=ru&amp;gl=US</t>
  </si>
  <si>
    <t>Дневник.ру - ВКонтакте</t>
  </si>
  <si>
    <t>Описание: Дневник.ру – бесплатная цифровая образовательная платформа для образовательных организаций, разработанная компанией «Дневник.ру».</t>
  </si>
  <si>
    <t>Дневник.ру - Википедия</t>
  </si>
  <si>
    <t>Дневник.ру (@dnevnik_ru) / X</t>
  </si>
  <si>
    <t>Дневник.ру - Российское общество Знание</t>
  </si>
  <si>
    <t>Вакансии компании Дневник.ру - работа в Санкт ... - HH.ru</t>
  </si>
  <si>
    <t>Работа в компании Дневник.ру. Информация о компании и все открытые вакансии в Санкт-Петербурге, Москве.</t>
  </si>
  <si>
    <t>https://hh.ru/employer/581737</t>
  </si>
  <si>
    <t>Дневник.ру - Facebook</t>
  </si>
  <si>
    <t>Дневник.ру - Школа №36 Великий Новгород</t>
  </si>
  <si>
    <t>Дневник.ру · Дневник.ру - УЧЕНИКАМ · Дневник ученика - Дневник. · Образовательные ресурсы - Онлайн библиотека содержит практически все произведения, которые ...</t>
  </si>
  <si>
    <t>https://3653.ru/uchenikam/Dnevnikru/</t>
  </si>
  <si>
    <t>Школа №36 Великий НовгородНОВЫЙ САЙТ МАОУ "ШКОЛА №36" НАХОДИТСЯ ПО АДРЕСУ:HTTPS://SH36-VELIKIJ-NOVGOROD-R49.GOSWEB.GOSUSLUGI.RU/Обратная связьГлавнаяУченикамСертификат для доп.образования 5-е классы6-е классы7-е классы8-е классы9-е классы10-е классы11-е классыСписок литературы для летнего чтенияДневник.руОбразцы школьной формыПравила безопасного поведенияИнформация о правилах дорожного движенияИнформационная безопасностьБезопасное поведение на объектах железнодорожного транспортаПравила поведения и меры безопасности на водоеме в осенне-зимний периодОсновные правила использования пиротехникиПродолжительность каникулРодителямЧасто задаваемые вопросыПамятка для  прибывающих с территорий ДНР и ЛНРРодителям (законным представителям) обучающихсяПоступление в 1 классПоступление в 10 классПрием в школуБесплатное горячее питание обучающихся начальных классовФайлы ExcelКонтроль за питанием обучающихсяШкольное питаниеСертификат для доп.образования Расписание звонков на 2022-2023 учебный годПродолжительность каникулГрафик консультацийКлассные руководителиГИА - 9ГИА - 11Поддержка в развитии школыМатериальная поддержкаБланки документовОбразцы школьной формыНе оставляйте детей без присмотраПроснись родительское сердце!НовостиОбъявленияВоспитатель-ная работаПрофилактика правонарушенийПрофилактика эмоционального неблагополучия и суицидальных намеренийПсихолого-социально-педагогическая службаПсихологическая подготовка учащихся 9 11-х классов к сдаче экзаменовДостиженияПедагогиКонтактыБезопасность        Сведения	об образовательной	организацииИнформационная	безопасность Центр цифрового образования детей «IT-куб» Центр естественнонаучного образования Держава Державин и я Центр	дополнительного	образованияМатвеева Светлана БорисовнаДиректор МАОУ «Школа № 36»О школеВ 2017 году школа № 36 распахнула свои двери для 1350 мальчишек и девчонок желающих окунуться в мир возможностей желающих изобретать понимать и осваивать новое выражать собственные мысли принимать решения помогать друг другу.Наша школа – это высокотехнологичное учебное заведение в котором технические средства обучения сочетаются с современными технологиями преподавания. Это школа в которой сегодня имеется всё необходимое: мультимедийные комплексы интерактивные доски компьютеры плазменные панели лингафонный кабинет развивающие учебные комплексы исследовательские лаборатории и студии где создается особая эмоционально привлекательная среда. Хотите узнать о школе больше стать участником строительства современной цифровой школы?Приходите учиться в нашу школу!Объявления!Вирусный гепатит Вирусный гепатит в вопросах и ответахДетский оздоровительный лагерьПлан работы лагеря "Мир моих возможностей"Уважаемые родители (законные представители)!С 1 июня начинает свою работу пришкольный лагерь «Мир моих возможностей»8.30 – встреча детей у крыльца школы. У воспитателей в руках будет табличка с номером отряда на которой будут указаны классы которые входят в этот отряд.С собой у ребенка: сменная обувь головной убор блокнот для записей пенал с принадлежностями если ребенок не является учеником Школы №36 то необходимо принести медсправку. 1 отряд – обучающиеся 1 А класса + предшкола2 отряд – обучающиеся 1Б класса + 1К класса3 отряд – обучающиеся 1 Л класса+ 1 М класса + обучающиеся из школ города4 отряд – обучающиеся 2В класса + 2М класса5 отряд – обучающиеся 2Б класса + 2А класса +2Л класса+ 2К класса + обучающиеся из школ города6 отряд – обучающиеся 3-х классов7 отряд - обучающиеся 4-х классов8 отряд - обучающиеся 5-х и 6-х классовПравила приема детей в 1 класс в 2023 году в Новгородской области!!! Чтобы подать заявление на зачисление в первый класс 15 марта с 15:00 перейдите на Госуслуги по ссылке - www.gosuslugi.ru/600426Как подать заявление на сайте Госуслуг:пройти регистрацию или иметь учетную запись на сайте Госуслуг с 15 марта зайти на сайт Госуслуг и заполнить черновик заявления о приеме23 марта в 00.00 отправить заявление получить уведомление на электронный адрес.Заявление поступит от Госуслуг в единую автоматизированную систему (АИС) и будет зарегистрировано в журнале приема заявлений в школе.Уважаемые родители будущих первоклассников!Прием заявлений на обучение детей в первый класс во внеочередном и первоочередном порядке имеющих право преимущественного приема а также проживающих на закрепленной территории начинается23 марта 2023 года:    в 00:00 на сайте Госуслуг    с 09:00 в МФЦ и в школе при личном посещенииИнформируем вас что подача заявлений на  зачисление в 1 класс 2023-2024 учебного года  в школе будет проходить согласно графика:23 марта 2023 с 09.00 до 17.00 без перерыва каб. 429.24 27 и 28 марта 2023 года - с 09.00 до 17.00 в приемной (2 этаж).С 29 марта 2023 года очное посещение для подачи заявлений будет осуществляться с 15.00 до 17.00 в приемной (2 этаж).Информацию о закрепленных за школами территориях можно узнать на сайтах органов управления образованием городского и муниципальных округов муниципальных районов области.Как подать заявление на сайте Госуслуг:пройти регистрацию или иметь учетную запись на сайте Госуслугс 15 марта зайти на сайт Госуслуг и заполнить черновик заявления о приеме23 марта в 00.00 отправить заявление получить уведомление на электронный адресзаявление поступит с сайта Госуслуг в единую автоматизированную систему (АИС) и будет зарегистрировано в журнале приема заявлений в школе.С 15 марта 2023 года в Министерстве образования Новгородской области начнет работать телефон «горячей линии» по вопросам приема детей в 1 класс: 8 8162-50-10-10. Время работы: понедельник – пятница с 09.00 до 13.00 с 14.00 до 17.00.Правила поведения и порядок действия населения при получении сигнала "Внимание всем!"Перенос каникулУважаемые родители (законные представители)!Дополнительные каникулы для обучающихся 1-ых классов переносятся на период с 06.02.2023 по 12.02.2023 в связи с необходимостью проведения профилактических мероприятий по предупреждению заболеваний гриппа и ОРВИ.Перенос каникул согласован с учредителем.Новости 03 Марта 2023Правила приема детей в первый класс в 2023 году в Новгородской области 17 Января 2023Награждение учителя ОБЖ Геннадия СтаруноваМинистр просвещения вручил ведомственную награду учителю ОБЖ Геннадию Старунову 01 Октября 2022Открыли "Новые места"1 октября 2022 года в нашей школе прошло торжественное мероприятие посвященное открытию вновь созданных мест дополнительного образования детей...  20 Сентября 2022Анкетирование родителейАнкетирование родителей обучающихся 8 9-х классов по организации профориентации 20 Мая 2022В гостях у сказкиУрок посвященный культурному наследию новгородского края и новгородским сказкам 26 Апреля 2022Всероссийская олимпиада школьниковС 12 мая по 03 июня 2022 года начинается прием заявлений на участие во Всероссийской олимпиаде школьников  01 Апреля 2022Конкурс профессионального мастерстваИтоги городского конкурса профессионального мастерства 15 Февраля 2022Фестиваль «В гостях у сказки»Волшебная сказка - фестиваль «В гостях у сказки» Великий Устюг!15 Февраля 2022Золотой микрофонМузыкальный проект «Золотой микрофон. 3 сезон»все новостиРешаем вместе                                    Есть предложения по организации учебного процесса или знаете как сделать школу лучше?                                Написать о проблеме                                        Календарь событий&lt;&lt;                        Ноябрь 2023                        &gt;&gt;ПнВтСрЧтПтСбВс                                                                                                                                                                                                                                                                                                                                                                              1                                                                                                                                    2                                                                                                                                    3                                                                                                                                    4                                                                                                                                    5                                                                                                                                    6                                                                                                                                    7                                                                                                                                    8                                                                                                                                    9                                                                                                                                    10                                                                                                                                    11                                                                                                                                    12                                                                                                                                    13                                                                                                                                    14                                                                                                                                    15                                                                                                                                    16                                                                                                                                    17                                                                                                                                    18                                                                                                                                    19                                                                                                                                    20                                                                                                                                    21                                                                                                                                    22                                                                                                                                    23                                                                                                                                    24                                                                                                                                    25                                                                                                                                    26                                                                                                                                    27                                                                                                                                    28                                                                                                                                    29                                                                                                                                    30                                                                                                                                                                                                                                                                                                                                                                                                                                               Полезные ссылкиФото Все фотоНаверхВСЕ ФОТО И ВИДЕОМАТЕРИАЛЫ РАЗМЕЩЕНЫ НА САЙТЕ С СОГЛАСИЯ ИХ ВЛАДЕЛЬЦЕВАвторское право © МАОУ "Школа №36"создание сайта - 3xWEB</t>
  </si>
  <si>
    <t>3653.ru</t>
  </si>
  <si>
    <t>Дневник ру — Личный кабинет ученика - Сравни.ру</t>
  </si>
  <si>
    <t>Авторизация в Дневник.ру для пользователей Иркутской области · Наличие Стандартной или Подтверждённой учётной записи на портале госуслуг (зарегистрироваться на ...</t>
  </si>
  <si>
    <t>http://school57.irk.ru/p/dnevnik</t>
  </si>
  <si>
    <t>Вакансии компании Дневник.ру - работа в Санкт- ...</t>
  </si>
  <si>
    <t>днс</t>
  </si>
  <si>
    <t>DNS – интернет магазин цифровой и бытовой техники по ...</t>
  </si>
  <si>
    <t>Большой ассортимент электроники, цифровой и бытовой техники, а так же товаров для дома, известных брендов в интернет-магазине DNS по отличным ценам.</t>
  </si>
  <si>
    <t>https://www.dns-shop.ru/</t>
  </si>
  <si>
    <t>Сеть магазинов DNS 2023</t>
  </si>
  <si>
    <t>Официальная страница компании. DNS – один из лидеров цифрового ритейла России. В 1998 году компания открыла свой первый компьютерный магазин в городе ...</t>
  </si>
  <si>
    <t>https://vk.com/dnsstore</t>
  </si>
  <si>
    <t>DNS — Википедия</t>
  </si>
  <si>
    <t>DNS (англ. Domain Name System «система доменных имён») — компьютерная распределённая система для получения информации о доменах. Чаще всего используется для ...</t>
  </si>
  <si>
    <t>https://ru.wikipedia.org/wiki/DNS</t>
  </si>
  <si>
    <t>Магазины днс во Владивостоке на карте</t>
  </si>
  <si>
    <t>Магазины днс: адреса на карте, ☎ телефоны, сайты, часы работы, ☆ отзывы, фото, ⚑ поиск проезда на городском транспорте и авто.</t>
  </si>
  <si>
    <t>https://2gis.ru/vladivostok/search/%D0%9C%D0%B0%D0%B3%D0%B0%D0%B7%D0%B8%D0%BD%D1%8B%20%D0%B4%D0%BD%D1%81</t>
  </si>
  <si>
    <t>Магазины dns в Тюмени на карте</t>
  </si>
  <si>
    <t>Магазины dns: адреса на карте, ☎ телефоны, сайты, часы работы, ☆ отзывы, фото, ⚑ поиск проезда на городском транспорте и авто.</t>
  </si>
  <si>
    <t>https://2gis.ru/tyumen/search/%D0%9C%D0%B0%D0%B3%D0%B0%D0%B7%D0%B8%D0%BD%D1%8B%20dns</t>
  </si>
  <si>
    <t>DNS (ДНС) Владивосток: интернет магазин. Каталог ...</t>
  </si>
  <si>
    <t>https://www.vl.ru/dns</t>
  </si>
  <si>
    <t>Новосибирск адреса магазинов DNS в Новосибирске на ...</t>
  </si>
  <si>
    <t>Новосибирск адреса магазинов DNS в Новосибирске, Яндекс Карты: телефоны, часы работы, фото, входы, отзывы, как проехать на транспорте или пройти пешком.</t>
  </si>
  <si>
    <t>https://yandex.ru/maps/65/novosibirsk/search/%D0%9D%D0%BE%D0%B2%D0%BE%D1%81%D0%B8%D0%B1%D0%B8%D1%80%D1%81%D0%BA%20%D0%B0%D0%B4%D1%80%D0%B5%D1%81%D0%B0%20%D0%BC%D0%B0%D0%B3%D0%B0%D0%B7%D0%B8%D0%BD%D0%BE%D0%B2%20DNS/</t>
  </si>
  <si>
    <t>DNS GROUP - Группа компаний DNS</t>
  </si>
  <si>
    <t>DNS GROUP - мы делаем доступнее товары и услуги, строим современное жилье и логистические комплексы, развиваем производство и учебные центры.</t>
  </si>
  <si>
    <t>https://www.dnsgroup.ru/</t>
  </si>
  <si>
    <t>www.dnsgroup.ru</t>
  </si>
  <si>
    <t>DNS - Краснодар</t>
  </si>
  <si>
    <t>DNS – один из лидеров рынка по продаже цифровой и бытовой техники в России. Сегодня он представлен более чем в 400 городах. В ассортименте магазинов вы ...</t>
  </si>
  <si>
    <t>https://centergoroda.com/arendator/dns/</t>
  </si>
  <si>
    <t>Торговый квартал "Центр Города" г. Краснодар ул. Красная 176 88612012088 | Официальный сайт торгового центра распродажи магазины скидки и акции магазины и супермаркеты отдых и развлечения кафе и рестораны шоппингг. Краснодар ул. Красная 17610:00-22:008 (861) 201-20-88 МенюЗАКАЗ ЕДЫ  В ОНЛАЙН МЕНЮПоискЗАКАЗ ЕДЫ  В ОНЛАЙН МЕНЮоткрыто        с 10:00 до 22:00         г. Краснодар ул. Красная 176            8 (861) 201-20-88    Служба  поддержкиМагазиныАфишаАкцииЕдаFoodmarketУслугиО насКартаСлужба поддержкиЗакрыть Заказать еду в онлайн меню Оплатить парковку Подробнее   НОВЫЙ ВКУСЛЮБИМЫХ БЛЮДПодробнее   Подробнее   ХЭНД МЭЙД МАРКЕТ в ТК ЦЕНТР ГОРОДАПодробнее Подробнее  В мобильном приложении «Центр Города»Подробнее Территория выгодного шопинга                         Все магазины                МагазиныВсе магазины ЖенщинамПерейти МужчинамПерейти Где поестьПерейти ДетямПерейти УслугиПерейти Для животныхПерейти Все категории  АфишаВсе события 12.11 в 16:30 Поддержи свою команду!12.11 в 13:00 "Морское сражение" на сцене Фудмаркета!11.11 Бардовский вечерЖаркая пятница!05.11 Музыкальный вечер05.11 в 13:00 детский интерактив "ОСЕННИЕ КАНИКУЛЫ!"Праздничная программа 04.11Первая пятница ноября!Бардовские субботыДетские спектакли в ноябре!Все акции  Акции и скидкиВсе акции  Покупайте с огромной скидкой!                            С 7 ноября 2023 по 19 ноября 2023                     Подарите комфорт своим питомцам!                            С 8 ноября 2023 по 31 января 2024                     Скидки в "Леди и Хулиган"                            С 5 ноября 2023 по 11 ноября 2023                     Любимые товары выгоднее с картой Перекресток!                            С 7 ноября 2023 по 14 ноября 2023                     День шоппинга PROMUSIC                            С 11 ноября 2023 по 12 ноября 2023                     Выгодные покупки с картой Перекресток!                            С 31 октября 2023 по 7 ноября 2023                     Неделя страшно красивых улыбок                            С 30 октября 2023 по 5 ноября 2023                     Gipfel дарит 1500 бонусов на покупки                            С 31 октября 2023 по 6 ноября 2023                     Новый набор кружек для чая!                            С 25 октября 2023 по 5 ноября 2023                     Хэллоуин в DNS!                            С 27 октября 2023 по 8 декабря 2023                    Все акции О торговом центреПодробнее                         Это место встречи и шопинга для всей семьи.                        «Центр Города» отличается уютным интерьером                        и атмосферой где можно совершить покупки                        отдохнуть в кафе с друзьями.                    Подробнее Подпишитесь на рассылку чтобы быть в курсе акций и новостей ПОДПИСАТЬСЯ                        Нажимая кнопку «Подписаться» я даю свое согласие на обработку моих персональных данных                        в соответствии с Федеральным законом от 27.07.2006 года №152-ФЗ «О персональных данных»                        на условиях и для целей определенных в Согласии на обработку персональных данных                    Оставьте свой e-mail и мы будем присылать Вам интересные новости и акцииГде поестьВсе рестораны ЗавтракиКофе и сладостиБургеры фастфудЗдоровое питаниеЕвропейская кухняИтальянская кухняАзиатская кухняРусская кухняНапитки / Фреши / КоктейлиВсе рестораны Есть всё что хочешьПодробнее Заказ еды онлайн просмотр заведенийЕсть всё что хочешьПодробнее Заказ еды онлайн просмотр заведенийМы ВКонтактеcentergorodaМаме в подарок! Дарим букет! Точнее сразу ДВА букета!!!! Классический – из цветов от лавки «Букетная» «Букетная» цветочная мастерская и ... centergorodaПросто блестяще! Начинаем готовиться к новогодней ночи. Нет не рано. Вы просили нас сделать подборку необычных но стильных нарядов – ... centergorodaИ пусть весь мир подождёт. Когда важно укрыться в уютном доме – есть Home Fashion @home_fashion23. Текстиль и посуда  для ... centergorodaПришёл померил оплатил. Мужской шоппинг – это быстрый шоппинг! И у нас в «Центре Города» как раз есть такой магазин для решительных ... centergorodaВстречают по улыбке! Провожают… с подробным планом лечения всех зубов! В стоматологии Only Dent стартовала акция «Знакомство с доктором». ... centergorodaПришло время надеть всё лучшее сразу. Потому что похолодало! И на топ уже нужна блузочка на блузочку кофточка на кофточку - плащик centergorodaА может начнём сначала? Пробуем! Открываем выбираем – новое сезонное меню в «Хлебных историях» @breadstoriesСначала суп – тыквенный с ... centergorodaС такими запросами – вам к нам. В единственное место в городе где можно купить туфли  или квартиру где можно вкусно ... centergorodaПлащи носят не только  супергерои! Представляем подборку самой актуальной одежды на  осень! Плащи тренчи пиджаки. ... centergoroda"Забудьте всё то вы знали про чай. Отправляемся в наш новый магазин «Дай Чай» ДАЙЧАЙ в Центре Города где о чае знают такое чего ни в ...  ПодписатьсяРеальные отзывыВсе отзывы Ярослав Арцимович     Замечательное место! Можно и вкусно поесть и купить что-то нужное. Развлечься.Алёна Попова     Очень красивый торговый центр. Много пространства и это очень круто. Хороший выбор магазинов!Valentina Mikhaylo     Всегда чисто красиво оригинальные декорации на улице всегда детские горки и аттракционы. Множество стритфуда на любой вкус. И разнообразие магазинов внутри ТК.Ольга Тоцкая     Отличное место в городе. Магазины продукты. Очень красиво рестораны кафешки. Хорошо отдохнете.Оксана Щ     Классное место в самом центре города. Много разных магазинчиков и фуд зона всегда можно вкусно перекусить Любовь Ильиных     Особенно отмечу бесплатный детский городок и подземную парковку на которой первые два часа - бесплатно!Дарья Полина     Атмосферный тц в центре из нескольких корпусов. Есть фуд-маркет кафе магазины различные мебельСергей Бирюков     Едва ли не единственное место в котором житель Новомышастовской на секунду представляет себя в Милане. Ну миленько так-то. Надо таких мест побольше городу - глаз исключительно ласкает подобного родаокружениеВалерий     Отличное местоположение подземный паркинг чисто и аккуратно. Возможность шопинга по разным категориям товара. Хорошее место для проведения встречи и обеда.Сабина Губиева     Живу над самым торговым центром чувствуешь себя в эпицентре активного мини-городка есть в е - где прогуляться есть милый дворик где можно перекусить и оформить доставку салоны красоты аптеки перекресток рядом тц галерея и парк.Кирилл 10rd     Неожиданное расположение торгового центра и очень красивое. Можно погулять и в каком нибудь кафе отпраздновать праздник. Александр Самошкин     Мне нравится тем что здесь много тех кого ты часто видишь и можно погулять с теми кого ты любишь здесь хороший тренажерный зал центр fit вкуснячий ресторанчик cinabon и т.дВсе отзывы  Центр города - это...?                Удобное место для работы и встреч  Смотреть больше АрендаторамРеклама в ТККонтактыПравила ТКПравила пользования парковкойПолитика конфиденциальностиСогласие на обработку персональных данныхСпециальная оценка условий труда 8 (861) 201-20-88     Перезвоните мне 				 © 2023 Торговый Квартал «Центр Города». АО «Лотос Плюс» 				Юридический адрес: 350020 Краснодарский край Г.О. город Краснодар г. Краснодар ул. Красная д. 176 стр. А офис 20							 Разработка КТ</t>
  </si>
  <si>
    <t>centergoroda.com</t>
  </si>
  <si>
    <t>ДНС - Новосибирск - Zoon.ru</t>
  </si>
  <si>
    <t>ДНС в Новосибирске: 61 заведение с адресами, отзывами и фото. Самый полный каталог заведений с фото, ☎️ и отзывами, удобный поиск мест на карте.</t>
  </si>
  <si>
    <t>https://nsk.zoon.ru/shops/network/dns/</t>
  </si>
  <si>
    <t xml:space="preserve">Новосибирск — карта города со всеми организациями: отзывы фото рейтинг как добраться — Zoon  МоскваСанкт-ПетербургНовосибирскЕкатеринбургКазаньБердскИскитимОбьКуйбышевНижний НовгородЧелябинскСамараОмскРостов-на-ДонуУфаКрасноярскСочиДобавить организациюВход				Удобный выбор мест и услуг			Медицинские центрыБольница Вакцинация Психология УЗИ Детская поликлиника Анализ крови Родильный дом Салоны красоты и СПАМассаж Маникюр Парикмахерская Макияж Стрижка волос Французский маникюр Пилинг 							Смотреть больше							АвтосервисыАвтосалон Техосмотр Автомойка Тонирование Шиномонтаж Автозаправка Автостанция 							Смотреть больше							КурсыАвтошкола Подготовка к ЕГЭ Школа искусств Спортивная школа Курсы повышения квалификации Подготовка к ОГЭ Школа танцев 							Смотреть больше							РестораныКафе Бар Столовая Доставка еды Доставка пиццы Терраса Доставка суши 							Смотреть больше							Ветеринарные клиникиСтерилизация кошки Ветеринарная аптека Питомник собак Кастрация кота Стрижка собак Дрессировка собак Питомник кошек 							Смотреть больше							Сауны и баниБассейн Можно со своей едой Русская баня на дровах Общественная баня Выбор веников Инфракрасная сауна Турецкая баня 							Смотреть больше							Сервисные центрыРемонт сотовых телефонов Ремонт стиральных машин Ремонт холодильников Ремонт телевизоров Установка кондиционера Заправка картриджей Ремонт ноутбуков 							Смотреть больше							Для детейДетский лагерь Детская библиотека Подготовка к школе Детский санаторий Семейная школа Детский развлекательный центр Центр детского творчества 							Смотреть больше							Развлекательные центрыПарки Бассейн Пляж Лабиринт Аквапарк Катки Цирки 							Смотреть больше							Фитнес клубыТренажёрный зал Боевые искусства Аэробика Пилатес Пауэрлифтинг Кроссфит Зумба 							Смотреть больше							АптекиИнтернет-аптека Круглосуточная доставка лекарств Лекарственные препараты Домашняя медтехника Гомеопатические препараты Изделия медицинского назначения Изготовление лекарств 							Смотреть больше							Бытовые услугиЛомбард Транспорт и грузоперевозки Химчистка Ателье Вывоз мусора Фотостудия Постамат 							Смотреть больше							ГосуслугиСуды Гибдд Пенсионные фонды Гранты Автовокзал Арбитражный суд Прокуратура 							Смотреть больше							Детские садыДетский сад Ясли Частный детский сад Детский сад комбинированного вида Летний детский сад Психолог Государственный детский сад 							Смотреть больше							Дома отдыхаБаза отдыха Лыжный курорт Бассейн Катание на лошадях СПА-услуги Выход к озеру или реке Сауна 							Смотреть больше							Интернет компанииИнтернет-магазин IT-компания Мобильное приложение Сайт объявлений IT-аутсорсинг Аренда сайтов Дата-центр 							Смотреть больше							Йога центрыЙога для начинающих Цигун Кундалини йога Хатха йога Йога онлайн Йога нидра Йога для беременных 							Смотреть больше							КвестыКвесты Квесты для детей Квесты для взрослых Квесты-приключения Квесты-ужасы Квесты с актерами Квесты перформанс 							Смотреть больше							КинотеатрыКафе Культурные местаТеатр Музей Библиотека Храм Монастырь Галерея Филармония 							Смотреть больше							МагазиныРынки Супермаркеты Зоотовары Доставка продуктов Инструменты Продукты питания и напитки Автозапчасти 							Смотреть больше							НедвижимостьНовостройки Общежития Агентства недвижимости Продажа земельных участков и малоэтажных домов Аренда дома Аренда офисов Регистрация прав собственности 							Смотреть больше							Ночные клубыСтриптиз Вечеринки Дресскод Танцы Эконом Караоке Фейсконтроль 							Смотреть больше							ОбразованиеШкола Колледж Университет Академия Институт Гимназия Лицей 							Смотреть больше							Одежда и обувьОдежда Интернет-магазин одежды Обувь Женщины Adidas Интернет-магазин женской одежды Ювелирные украшения 							Смотреть больше							ОптикиСолнцезащитные очки Контактные линзы Цветные линзы Интернет-магазин оптики Мультифокальные линзы Доставка линз Ремонт оправы 							Смотреть больше							Ритуальные услугиКладбище Морг Крематорий Колумбарий Продажа ритуальных товаров Благоустройство могил Ритуальное бюро 							Смотреть больше							СтроительствоРемонт квартир Строительная компания Установка систем отопления и водоснабжения и канализации Строительные работы Ландшафтный дизайн Стяжка полов Укладка плитки 							Смотреть больше							Торговые центрыГипермаркет Бизнес-центр Универмаг Торговый комплекс Торгово-развлекательный центр Бизнес-парк 							Смотреть больше							ТуризмОтель Авиакомпания Курорт Туроператор Гостевой дом Парк-отель Хостел 							Смотреть больше							Услуги для бизнесаЖурнал Газета Букмекерские конторы Справочник Пассажирские авто- и электротранспортные предприятия Издательство Аренда такси 							Смотреть больше							ФинансыБанк Банкомат Рефинансирование Страховая компания Обмен валют Страхование жизни Медицинское страхование 							Смотреть больше							Юридические услугиЗащита прав потребителей Судебная экспертиза Юридическая консультация Урегулирование трудовых споров Нотариальная палата Списание долгов Ликвидация предприятий 							Смотреть больше							60 млн реальных отзывов💬							Каждый день мы проверяем 20 тысяч отзывов и 3 тысячи оценок находим и удаляем недостоверные.						Актуальные цены и акции⚡							На Зуне удобно выбирать предложения по цене. Организации следят за их актуальностью а также регулярно добавляют акции.						Проверенные специалисты 🙋‍							На Зуне 1.5 миллиона специалистов к которым можно записаться или вызвать на дом. Это врачи репетиторы стилисты и пр.						Удобный выбор мест и услуг👌							На Зуне собрана подробная информация обо всех организациях: адреса фотографии услуги цены специалисты а также рейтинг и отзывы реальных посетителей.						1234Дальше								Популярные							 										Еда									  										Здоровье									  										Красота									  										Обучение									  										Покупки									  										Развлечения									  										Ремонт									 										Другое									ВрачиБары≈ 292 ₽Пиццерии≈ 500 ₽Суши-бары≈ 279 ₽Рестораны с кальяном≈ 10 600 ₽СтоматологияУЗИДетские поликлиникиМагнитно-резонансная томография (МРТ)Маникюр≈ 950 ₽Стрижка волосМассажМакияжПилинг≈ 2 000 ₽Барбершопы≈ 350 ₽Тренажерные залыШиномонтаж≈ 1 000 ₽Кузовной ремонтАвтосалоны≈ 500 ₽			Акции и скидки до 70%					Все акции на Zoon		55%СкидкаПервичный прием врача-невролога = 900 р						4.7					Медицинский центр Medical On Groupм. Октябрьскаяулица Кирова 46/1				Остался 1 день до 13 ноября			50%Скидка27.10 у нас День открытых дверей и скидка 50%						4.9					Центр красоты и здоровья Талисманм. Берёзовая Рощаулица Федосеева 250004000 руб.Промывка форсунок на стенде						5					Автосервис Autokatmasterм. Берёзовая РощаНиколая Островского 249				Осталось 18 дней до 30 ноября					Карта Новосибирска	ОрганизацииСпециалистыМедицинские центрыМагазиныКурсыСалоны красоты и СПАРестораныРазвлекательные центрыАвтосервисыСауны и баниБытовые услугиОдежда и обувьУслуги для бизнесаСтроительствоВетеринарные клиникиФитнес клубыСервисные центрыГосуслугиДля детейДома отдыхаОбразованиеНочные клубыКультурные местаОптикиНедвижимостьТуризмАптекиДетские садыЮридические услугиЙога центрыФинансыИнтернет компанииТорговые центрыРитуальные услугиКвестыКинотеатрыВрачиРепетиторыСпециалисты по ремонтуДругие специалистыСпециалисты по красотеФрилансерыОбслуживание бизнесаТренерыДомашний персоналАртистыЮристыВетеринарыАвтоинструкторы					Отзывы				Аванта-мед49/ 361 отзывВиталий 11 ноября в 8:55Мне понравился доброжелательный врач которая замечательно выполнила свою работу то есть провела зондирование. Стоит отметить что результаты исследования сотрудники предоставили мне уже на следующийВсе отзывыОттенки50/ 4 отзываМарина 11 ноября в 3:37Мне понравилась внутренняя обстановка и преподаватели. Интерьер приятный красивый и современный также много света так как есть большие окна. Катя и Оксана доступно и понятно всё объяснили вопросовВсе отзывыДай лапу48/ 122 отзываРена 11 ноября в 1:52Все милые приветливые обслуживали хорошо я довольна. Обратились так как собака хромала на лапу. Укол сделали стало легче. Дали рекомендации просто следить если что-то будет то обращаться. Были Все отзывыЯ Здоров!49/ 223 отзываЕлена 10 ноября в 15:52Все было по времени в центре. Обращалась к терапевту. Доктор меня вполне расположила к себе очень приятная девушка назначила лечение. Обстановка в центре комфортная впечатления очень хорошие осталиВсе отзывыNibble Invest31/ 5 отзывовМишутка Мелешко 10 ноября в 14:17КомментарийТоже тестирую. Как раз попал на акцию с удвоенным доходом. Начал с небольшой суммы 8000 рублей. На полгода.. Жаль что пока мало инвест-предложений и диверсифицировать портфель именно на Все отзывы4 Колеса49/ 4 отзываАлександр 10 ноября в 13:25Отличный магазин очень порадовали ценами. На УАЗ Патриот взял колеса за хорошую цену по нынешним временам. К качеству претензий нет год выпуска шин 2022 14 неделя.Все отзывыДельта47/ 1 отзывАндрей 10 ноября в 12:01Хороший сервис! Встал кассовый аппарат закончился фискальный накопитель приехал в Дельту в этот же день заменили ФН еще и сделали небольшой ремонт. ККМ снова в строю.Все отзывыMax bus20/ 3 отзываАнастасия 10 ноября в 11:05Негативный отзыв о компании Max Bas:Если вы собирались первый раз поехать бюджетно покататься в горах Шерегеша. Просто купить путевку сесть в автобус и заселиться в номер и катать и не о чем неВсе отзывыАвтомир-Новосибирск37/ 2 отзываВера 10 ноября в 8:20После ухода Рено из России конечно всем пришлось привыкать к новым реалиям. Изменились сроки цены. Я уже много лет обслуживаю свою машину в автомире на Петухова (покупала там же у менеджера Дмитрия)Все отзывыБайт Транзит Континент40/ 3 отзываЛилия Протопопова 10 ноября в 7:06Добросовестная ТК с лояльными ценами и быстрыми сроками. На терминале работают вежливые и компетентные сотрудники в случае чего могут помочь и подсказать.Все отзывыKarkasman45/ 1 отзывАндрей 10 ноября в 4:39Мой опыт сотрудничества с компанией «Каркасман»:Встретились с Виталием обсудили все мои пожелания по строительству каркасного дома в стиле А-фрейм. Далее к работе приступил Александр (проектировщик)Все отзывыЭрсимед49/ 961 отзывАндрюха 10 ноября в 3:44В медицинском центре красивое оформление добрые сотрудники и хороший врач. Доктор -кардиолог на приеме был открыт мы обсудили все мои проблемы и врач дал мне рекомендации.Все отзывыЭрсимед49/ 1054 отзываАлиса 9 ноября в 16:42Мне все понравилось в том числе хороший врач и приветливые доброжелательными и очень улыбчивыми девчонки которые помогли сказали куда идти и подарили подарок ребенку. Окулист справилась с очень Все отзывыСибирский центр детекции лжи50/ 40 отзывовMihail Nezdominov 9 ноября в 13:42ДостоинстваБыстрая запись и обслуживание прекрасное состояние приборов.НедостаткиНетуКомментарийЗаказывал проверку кассиров в продуктовом но благодаря быстрому обслуживанию и приборам без какВсе отзывыТехнологии комфорта20/ 3 отзываВладислав 9 ноября в 12:27БУДЬТЕ ОСТОРОЖНЫ !!!8 ноября 2022 года мы заключили договор с ООО "Технологии Комфорта" в лице директора Самоковского Максима Александровича на изготовление доставку и монтаж кухонного гарнитура вВсе отзывыСибМед47/ 163 отзываЗуева Олеся Александровна 9 ноября в 11:52ДостоинстваПриехали с другом. До этого много знакомых здесь кодировалось. Очень впечатлило. Не пьем после лечения.Все отзывыЗалоговые Решения48/ 17 отзывовПавел Нестеров  9 ноября в 7:45ДостоинстваПрофессиональный персоналНедостаткиНетКомментарийДо определенного времени даже не знал что существует компании в помощи выдачи кредитов но вот настало время. У меня уже были действВсе отзывыАссоциация строительных организаций Новосибирской области40/ 4 отзываООО ССТРОЙ-54 9 ноября в 6:39Хочу выразить благодарность за помощь в оформлении документов и грамотный подход. Специалисты всегда на связи и помогают в любом вопросе.Все отзывыАршина38/ 2 отзываМарк 8 ноября в 21:01Я часто посещаю этот автосервис для технического обслуживания. Недавно у меня были проблемы с подвеской машины но мастера в автосервисе быстро их исправили за один день. Мне очень нравится как профеВсе отзывыКомпания по продаже светодиодной продукции абк Лед-сиб48/ 115 отзывовЕвгений  8 ноября в 19:27НедостаткиНетКомментарийУличные светильники из магазина светодиодной продукции прямо-таки сияют! Яркий и красивый свет низкое энергопотребление и долгий срок службы - все что нужно для создания Все отзывыБородинская33/ 1 отзывЕлена 8 ноября в 14:50Очень хорошая пекарня девочки прекрасные дружелюбные сколько приезжаю всё свежее горячее езжу из- за города. Хочу поблагодарить девочек за обслуживание чтобы ваше начальство оценило нелёгкий ваш Все отзывыLorena кухни47/ 5 отзывовКирилл Маркин 8 ноября в 13:05ДостоинстваУсловия внешний вид шкафаКомментарийНужен был небольшой но вместительный шкаф купе здесь предложили самые выгодные условия. Заказом не разочаровалсяВсе отзывыЯ ТВОРЕЦ50/ 3 отзыва‘danilka ‘rockstar 8 ноября в 7:44Хорошая компания профессиональные специалисты своего дела. Во дворе центра классные игровые площадки и дети ходят туда гулять всем центром — это несомненный плюс.Если бы у меня получалось то возил бВсе отзывыМастер Сервис25/ 1 отзывАлександр 8 ноября в 6:33Звонил несколько раз по поводу замены стеклопакета с начала сказали хорошо беремся мастер вам перезвонит. Проходит 3 дня никто не звонил не писал на 4 я позвонил сам еще раз сказали ну наверное Все отзывыInvitro38/ 13 отзывовМарина Д 8 ноября в 4:33ДостоинстваОчень удивиласькогда увидела балл этого замечательного офисаздесь работают самые при самые ребята.Все отзывыНовая улыбка48/ 52 отзываТатьяна 8 ноября в 2:09Меня все очень устроило в клинике и по услуге то есть отличный профессиональный стоматолог-терапевт все сказала по делу ничего лишнего не сказала кариеса лишнего не увидела а также провела лечениВсе отзывыUnirenter48/ 80 отзывовСергей Гросс 7 ноября в 22:45ДостоинстваПрокат без залога есть все размеры и фасоны.НедостаткиВроде не заметили.КомментарийБрат попросил написать отзыв😊Свадьба прошла на ура дочь довольна платье то что и хотела куча   Все отзывыВТБ Пенсионный Фонд48/ 13 отзывовИлья Ермаков 7 ноября в 21:19КомментарийЕсли сравнивать негосударственную пенсионную программу у Сбера и ВТБ то у НПФ ВТБ доходность за прошлый год выше. Именно поэтому решил заключить договор НПО с НПФ ВТБ. К тому же мне нравиВсе отзывыЮрисконсульт-Нск48/ 27 отзывовДарья 7 ноября в 19:14КомментарийОбращалась сюда для юридического сопровождения сделки при приобретении квартиры на вторичном рынке. Так же помогли с проверкой всех необходимых документов. Специалисты очень толковые грамВсе отзывыКатализатор сервис49/ 57 отзывовЕвгений 7 ноября в 17:46В автосервисе меня сразу приняли и оперативно всё сделали это понравилось больше всего! Сотрудники быстро произвели замену гофры потому что она уже сгнила. Ранее обращался для полной замены глушителВсе отзывыДТЛ39/ 11 отзывовЗинаида Миркина 7 ноября в 15:59КомментарийСделала недавно тест на подтверждение отцовства очень современная лаборатория понравилось внимательное отношение персонала профессиональный и качественный подход к обслуживаниюВсе отзывыТранзит47/ 39 отзывовСергей 7 ноября в 12:10КомментарийХорошее место для обеда не пожалели что заехали накормили хорошо продавец доброжелательный. Обстановка уютнаяВсе отзывыАквасервис30/ 1 отзывВалентина 7 ноября в 11:31Компания не надёжная.В обещанный срок не приезжают.Попросили приехать устранить не исправность в скважине:кормят завтраками.С 2022 года октября месяца до сих пор едуттишина.Все отзывы54 центр по продаже товаров и услуг по дезинфекции дезинсекции дератизации15/ 1 отзывНиколай 7 ноября в 9:54Ребята дурят обещают гарантию на услугу по итогу приезжают травят говорят у вас запущенный случай после второй обработки дадим гарантию - по факту 1.11.2023 заказал обработку - 4.11.2023 - зашел вВсе отзывыСалон эротического массажа Жара50/ 25 отзывовМаксим Гаврилов 7 ноября в 6:49Достоинствауровень обслуживанияНедостаткине обнаружилКомментарийНедавно посетил салон эротического массажа Жара. Это настоящий рай отдыхал как никогда. Программ очень много мне помогли с выбоВсе отзывыEasy Stom48/ 59 отзывовАлександра Малышева 7 ноября в 0:16ДостоинстваТонкость чуткость доктораКомментарийВсе прошло легко! Очень вежливый персоналаккуратный врач который нежно сверлил мой злополучный зуб нервная система не пострадалавсе понравилосьВсе отзывыМария-Ра20/ 1 отзывВалентина 6 ноября в 18:55Сегодня купила филе сельди в баночке не посмотрела срок годности дома уже когда нарезала попробовала и поняла что вкус странный. Посмотрела а срок вышел еще 24 сентября. Дирекция магазина вы каВсе отзывыVita Verde49/ 13 отзывовДиана Протасова 6 ноября в 17:31КомментарийПериодически обращаюсь в клинику для проведения  косметологических процедур. В основном уделяю больший выбор капельницам. Для поддержания здорового вида кожи и организма. Безвредны и эффекВсе отзывыСпектрум-Сервис50/ 6 отзывовЕлена 6 ноября в 14:47Что то было с экраном на телефоне не могли разобраться с мужем в чём проблема. Отдали в сервисный центр быстро нашли причину и устранили в этот же день взяли не дорого. Советую.Все отзывыDelta48/ 54 отзываНелля Р 6 ноября в 14:36ДостоинстваКогда приехала встретили тепло помогли быстро оформиться и отправили сразу на рентген.НедостаткиПозже немного ныло место операции когда анестезия сошла но терпимо. Сейчас уже окончатВсе отзывыАура красоты36/ 1 отзывНика 6 ноября в 14:12Я в полном восторге. Маникюр блаженство!Спасибо Вера!!!Все отзывыЭксимер46/ 99 отзывовСветлана Демченко 6 ноября в 5:01КомментарийПрошло уже три года как дочери здесь прооперировали глаза - провели склеропластику. И год назад ей сделали наконец ЛКЗ (Фемто-ласик) так как благодаря склеропластике близорукость пересталВсе отзывыПалочка-выручалочка50/ 26 отзывовЕкатерина Короткова 5 ноября в 20:28Спасибо огромное всему персоналу "Палочка-выручалочка"! Ребёнку 5 лет я вижу что у него есть прогресс в обучении! Сотрудники многому научили! Мой ребенок идет с удовольствием на занятия потому что Все отзывыTop47/ 122 отзываРоман 5 ноября в 19:58ДостоинстваХорошо преподают!Интересные занятия!Хорошее место!Приятная цена!НедостаткинетуКомментарийакадемия top прекрассное место!благодаря этой академии мой сын научился многим вещам.Все отзывыS.Body30/ 1 отзывОльга 5 ноября в 16:20Доброго дня я наконец то дошла до отзыва этой замечательной студии..  Юля большая молодец в части достижения результата по запросу моя основная сложность ( как и у большинства девочек) живот бока иВсе отзывыАлтика46/ 19 отзывовЮлия 5 ноября в 14:06ДостоинстваХорошая клиника. Долго думала что делать с сосудистой сеточкой и розацией на лице и обратилась в клинику Алтика и врачу Бурговой Н.И.   Врач внимательно выслушала меня и разработала план лВсе отзывыПРОФИ-МЕД27/ 1 отзывТамара Фёдоровна  5 ноября в 6:17Впечатление ужасное. Ваш админ Юля совсем не умеет общаться с клиентами. Очень грубое и хамское отношение. В связи с острым заболеванием я попросила меня принять к лору срочно где мне был получен откаВсе отзывыВетДоктор40/ 11 отзывовЕлена Степанова 4 ноября в 15:34ДостоинстваДоктор пытающийся изобразить участиеНедостаткиНепрофессиональне поведение персонала1.11 обратились к доктору собаке йорк 3 года было плохоВзяты анализы и предварительный диагноз Все отзывыСтрекоза23/ 2 отзываМарьВановна 4 ноября в 10:20ВОРУЮТМНОГО ВОРУЮТ.!! На поминальный  стол при заказе борщ с мясом была подана  похлёбка желтого цвета  с 3мя пластиками картофеля кутья по меню 80гр. подали  меньше 80 гр на 4 человека  гуляш с подВсе отзывыПрокофьева М.А.50/ 1 отзывДарья 4 ноября в 6:43Надежный специалист. Внушает доверие . Провела консультацию для моей мамы ( ездили вместе  т.к мама пенсионер и особо не разбирается ни в чем ) . Мама и я остались довольны . Сразу на консультации сдВсе отзывыReborn44/ 21 отзывДима Петришен 3 ноября в 17:43ДостоинстваРебята просто молодцыНедостаткинетКомментарийПерестал работать монитор. Обратился в сервис Reborn монитор забрал буквально на следующий день все работает. Очень доволен данным сервВсе отзывыКлиника доктора Шолохова39/ 17 отзывовВладимир 3 ноября в 12:23ДостоинстваКачество услуг сервисНедостаткиНетКомментарийВсем здравствуйте!Хочу поделиться своим опытом .Был в клинике доктора Шолохова на блефаропластике верхних и нижних век результат очень Все отзывыРусская классическая школа49/ 16 отзывовКсения 3 ноября в 12:09Очень нравится индивидуальный подход и хорошее отношение к ученикам. Если в классе возникает проблема то сотрудники в неё вникают не спускают с рук то есть включаются в процесс и помогают детям. К Все отзывыАр-Дент50/ 13 отзывовВалерия 3 ноября в 10:55В стоматологии понравилось то что мне провели консультацию сделали рентген на все вопросы интересующие ответили успокоили! Обратились с острой болью у меня опухла десна. Доктор все посмотрел скаВсе отзывыВВЦ50/ 3 отзываВладимир С. 3 ноября в 10:06Очень понравилось. Кажется видео получилось лучше чем было на кассете. Рекомендую.Все отзывыСмарт Моторс30/ 1 отзывконстантин 3 ноября в 9:37работают злесь жулики.за день до покупки концевика педали тормоза на калину меня уведомили что он стоит 150 руб.по факту при покупке мне пришлось заплатить 350 руб.на мое замечание что вот мол на витрВсе отзывыНяня2448/ 6 отзывовМария Даниэль 3 ноября в 8:24ДостоинстваУважение профессионализм и аккуратность в работеНедостаткиничегоКомментарийНа самом деле я уже работаю в компании Няня 24 и мне очень комфортно на работе. Руководство отзывчивое и Все отзывыЭксимер49/ 48 отзывовЛариса К. 2 ноября в 22:30КомментарийОбратилась с ребенком для коррекции зрения очками. После записи по телефону позвонили перед днем посещения предупредили чтобы не забыли. Принимала нас главный врач. Клиника небольшая офВсе отзывыАурум47/ 57 отзывовМиша Малахов 2 ноября в 22:30КомментарийЗаказываем здесь информационные стенды уже не первый раз. Нравится качество хорошее обслуживание всегда делают всё чётко по срокам.Все отзывыШкола безупречного маникюра Emi42/ 73 отзываДарья  2 ноября в 17:37ДостоинстваДавно мечтала пройти обучение в EMI.Рада  что выбрала онлайн форму ! Удобно  что в любое для себя удобное время могу приступить к обучению.Обучение проходит в очень удобном приложении .ПВсе отзывыЦарина49/ 43 отзываЕлена 2 ноября в 16:23Я осталась довольна работой компетентного врача который создал для меня комфортные условия все объяснял во время приема доделал работу другого специалиста провел лечение и запломбировал каналы.Все отзывыЦентурион47/ 3 отзываВиктория Шарова 2 ноября в 15:55После установки новых дверей соседи уже поинтересовались где именно мы их приобрели) Спасибо уже порекомендовали вас им так что ждите новых клиентов)Все отзывыПерчини36/ 77 отзывовСветлана Иванова 2 ноября в 13:48КомментарийБыли тут с ребенком все хорошо. Сырные супчики и пицца очень вкусные нам понравились.Все отзывыConcert 5423/ 3 отзываАнастасия Тимкина 2 ноября в 13:05Доброго всем дня. Прошло более полугода как отменили концерт деньги за билеты до сих пор не вернули. Кормят завтраками не отвечают на телефон отмазка «занят работаю»Все отзывыUltimax service25/ 1 отзывСергей Михайлович. 2 ноября в 12:30Отвратительный сервис как и хамское отношение к клиентам. Заехал поменять масло потребовали сбить на их же мойке снег. Просто сбить снег отказались сказав что могут лишь "качественно" помыть машину Все отзывыAM Service34/ 1 отзывАлександр 2 ноября в 12:05Безобразный сервис. После их ребоута через несколько дней сгорел процессор .Причем при сдаче в ремонт меня уверяли что все будет нормально. Но хотя в их акте написано что гарантия распространяется толВсе отзывыОлимп49/ 10 отзывовОльга 2 ноября в 12:00Мы ходим потому что ребенку нравятся занятия "Юный оратор" что является для меня главным. Уроки проходят в легкой форме поэтому ребенок с удовольствием идет и выполняет задания. Выбрала школу потоВсе отзывыSibwill50/ 1 отзывВалерий 2 ноября в 11:30Мне все понравилось визуально в том числе планировка. Обратился в компанию потому что кто-то натолкнул меня на эту идею а менеджеры Марина и Дима - молодцы! Марина быстро и четко все сделала а ДимВсе отзывыVetaClinic38/ 2 отзываМария Мерк 2 ноября в 11:11Наблюдаемся в этой клинике уже пару лет со всеми своими питомцами. Подход профессиональный: ничего лишнего не назначают трепетно относятся к пациентам и их владельцам.Большое спасибо!Все отзывыМебельный Бум20/ 1 отзывГульнара 2 ноября в 8:28Заказали себе шкаф купе когда начили собирать тон цвета разные у одного двери белоснежный а второгомолочный сказали поменяют и вот месяц каждый четверг обещают и никак не могут привезти поэтому нВсе отзывыСтудия педикюра50/ 1 отзывЛариса 2 ноября в 7:25Очень уютное.. Волшебное место.. А Юля королева педикюра.. Сходите не пожалеете.. Рекомендую.. Вы будете возвращаться сюда снова и сноваВсе отзывыТалисман49/ 79 отзывовКсения 2 ноября в 5:51Я приходила на капсулу обёртывание пилинги и тайский массаж. Мастера очень приятные и общительные. Предоставили хороший уход. Все процедуры выполнили качественно. Я осталась довольна. Обязательно прВсе отзывыПарус30/ 10 отзывовАлла 2 ноября в 4:19ДостоинстваОчень хороший  санаторий ставлю 5 звёзд я в восторге. Очень добрый и понимающий мед. персонал. Очень достойное лечение в том числе бассейн «мертвое море» ванный комплекс профессиональВсе отзывыIQ dental clinic46/ 13 отзывовСергей 1 ноября в 21:27Мне понравилась врач Екатерина родственная душа доверяю поэтому хожу за ней по всем клиникам. Воспользовался лечением кариеса. В услуге важно качество и скорость комфортные условия и отношение враВсе отзывыМассажный бар49/ 3 отзываВиктор 1 ноября в 21:19Отлично все было очень круто на уровне. Был у мастера массажа отметил индивидуальный подход качество массажа прихожу уже не первый раз. Делал массаж спины у мастера Ильи полностью проконсультироВсе отзывыТайм Парк50/ 1 отзывАнна Семенова 1 ноября в 21:00Считается что апартаменты – это тот тип жилья который обычно берут для сдачи в аренду но в таком месте я и сама была бы не против жить. Мне до работы отсюда – 10 минут пешком. Тут поблизости всё: оВсе отзывыИмпульс-авто48/ 49 отзывовСергей 1 ноября в 20:16В автосервисе работает приятный персонал! Сотрудники всё грамотно объяснили и выполнили работы связанные с электрикой в вариаторе автомобиля Nissan Qashqai. Также мне порекомендовали как правильно уВсе отзывыЭлит-балкон43/ 45 отзывовДаниил Фиринов 1 ноября в 19:28ДостоинстваХорошее отношение к клиентамНедостаткиНетуКомментарийБалкон который нам сделали превзошел все наши ожидания. Он стал уютным и функциональным пространством где мы можем наслаждатьсяВсе отзывыХюгге50/ 1 отзывТатьяна 1 ноября в 18:52Очень уютно качество маникюра отличное теперь Ваш постоянный клиент!Все отзывыABS-Marketing49/ 8 отзывовЭльвира 1 ноября в 18:14НедостаткиНетуКомментарийОтличное рекламное агенство! Только положительные эмоцииВсе отзывыОпора-групп25/ 1 отзывЛюбовь 1 ноября в 17:48Очень хорошее агенство! Работают профессионалы своего дела!! Много лет "сотрудничаем" С Ириной Михайловной всегда всё на высшем уровне!!! Спасибо вам за всё!!Все отзывыВасилевский-Недвижимость50/ 24 отзываЕкатерина 1 ноября в 12:39Понравился хороший и ответственный подход Евгения! Он очень здорово разбирается лишний раз не дёргает всё говорит по делу молодец! По рекомендации знакомых обращалась для продажи квартиры оформленВсе отзывыНовосибирский автовокзал-Главный17/ 282 отзываАнастасия Таева 1 ноября в 10:46НедостаткиОтвратительное отношение перевозчика к своим пассажирам!!!! 28.10.2023 автобус Новосибирск-Заринск(посадка ул. Ленина) задержался на 45 минут затем сотрудник автовокзала при проверке билеВсе отзывыЦентр стоматологии на улице Ленина49/ 164 отзываЛисёнок 1 ноября в 10:29Достоинстване знаю достоинств частники.НедостаткиПредлагают свои услуги звонками.Дата оказания услугине посещала  звонят и предлагают свои услугиОписание специалистаговорил роботВсе отзывыAutokatmaster50/ 53 отзываЭлеонора 1 ноября в 8:05Мне всё понравилось! Устроили скорость приёма и качество работы. Сотрудники приняли даже раньше того времени на которое я была записана быстро выполнили шиномонтаж и балансировку колёс. Отца моего тВсе отзывыСибирский Медведь24/ 214 отзывовАлександр 31 октября в 21:07Подключать Сибирского медведя можно только если нет других провайдеров.Постоянные тех. работы поддержка нулевая.Уже несколько дней подряд вечером скорость падает до 5-7мб видимо их древнее говноВсе отзывыРезультат28/ 5 отзывовВалерий 31 октября в 18:23ДостоинстваНичего не понравилось и не могло с таким-то отношением персонала.НедостаткиЭта клиника существует накручивают отзывы вводя в заблуждение.КомментарийЛюди! Не ведитесь! ОТЗЫВЫ НАКРУВсе отзывыMonako25/ 1 отзывВера 31 октября в 16:39Сделала реснички... У "мастера "Ирины... Пришла домой-в течение трех часов выпали из одного глаза 4пучка ресничек. Ресницы наклеила-квда хочу туда торчу. Очень жаль потраченое время и деньгиВсе отзывыDusha premium fitness women49/ 5 отзывовАлександра 31 октября в 15:26Просто замечательное место! Сервис на высшем уровне комфортные стильные залы раздевалки. Очень красивая входная зона кофейня где можно выпить чай/кофе или белковый коктейль после тренировки. ОтсюдВсе отзывыДарвин48/ 51 отзывДмитрий Ежов 31 октября в 13:55КомментарийВетеринары знают своё дело. Операция прошла без последствийВсе отзывыЧелИндЛизинг50/ 3 отзываДмитрий Ежов 31 октября в 13:51Для развития бизнеса в срочном порядке понадобилась сумма в 2 миллиона. Решили с партнером что отличным вариантом будет воспользоваться услугой возвратного лизинга. Обратились в компанию. СогласилисьВсе отзывыЗапспецтех25/ 1 отзывАртем 31 октября в 12:44Не компания а конторка  лиж бы продать  сначало подняли цену не с того ни с сего(хотя договор и спецификация были подписаны ) на 225тр.  привезли двигатель оказалось совсем не то что просили подобВсе отзывыНст Европа44/ 1 отзывАлександр 31 октября в 12:41Очень отзывчивый и приятный специалист. Быстро договорились очень качественно выполнил свою работу всегда был на связи не опоздывал всё объяснял консультировал!Приятно было работать!Большое сВсе отзывыГламур35/ 1 отзывЕлена 31 октября в 12:09Побывала в женском магазине Гламур всё понравилось девочки улыбчивые много товара  проконсультировали и помогли с выборомВсе отзывыСиблекс36/ 1 отзывАнонимный пользователь 31 октября в 11:42Машина была после аварии в ней ушла ходовка поэтому нужно было показать эксперту. Сотрудник центра нормально сделал развал-схождение показал что колёса ушли а по завершению выдал все необходимые Все отзывыДвери Лайт48/ 3 отзываНаталья 31 октября в 9:59Неоднократно делала заказ в этом интернет-магазине. Двери хорошего качества и цены значительно ниже чем вездеВсе отзывыВТД &amp; КОЛОРЛОН36/ 21 отзывПолина  31 октября в 8:39ДостоинстваНичего ушла просто в ужасеНедостаткиМножествоКомментарийНа днях была в данном магазине нужно было проконсультироваться по инструменту хотела приобрести мужу в подарок. Наткнулась Все отзывыТерморобот40/ 4 отзываРуслан Петренко 31 октября в 7:01Новая котельная для школы и прилежащих домов мощностью 900 квт была приобретена в прошлом отопительном сезоне.Расходы сократились на 2-25 раза а затраты на покупку котельной и установку планируем оВсе отзывыПочта России №9620/ 1 отзывЛюдмила 31 октября в 6:28Какой идиот придумал единую справочную службу что приходится ждать ответа более 10 минут. А на номер п/о не отвечают меняют режимы работы очереди как в мавзолей ужас.Все отзывыМира Парк37/ 2 отзываТатьяна 31 октября в 6:26Очень классный парк отдохнули всей семьей в удовольствие. Интересные локации есть что посмотреть). Детская площадка супер!!! Благодарю за такое место)Все отзывы					Статьи				Медицинская статьяЧистка зубов: что это такое как проводят гигиену полости рта в стоматологииВремя прочтения: 3 минуты 14 секундКол-во просмотров: 345Дата публикации: 01.10.2023ПодробнееНогтевая студия «Nail day»Почувствуйте себя уникальной!Медицинская статьяКоронарография сердца: что за процедура показания и противопоказанияВремя прочтения: 8 минуты 11 секундКол-во просмотров: 247Дата публикации: 26.09.2023Подробнее«Старая Русь» – место где вас всегда ждут!По-домашнему уютное кафе на проспекте ДзержинскогоМедицинская статьяГематолог: какие проблемы решает врач и при каких симптомах и заболеваниях нужно записаться на консультациюВремя прочтения: 4 минуты 21 секундаКол-во просмотров: 135Дата публикации: 28.09.2023ПодробнееAbend — уникальные стоматологические технологии в НовосибирскеМы сделаем вашу улыбку безупречной!«Здоровые люди»: медицинский центр реальной помощиС заботой о главной ценности – здоровье«Гранат» – европейский уровень медицинских услуг в Новосибирске!Стоматологическая клиника на Красном проспекте					Новые организации				Магазин грузовых запчастей АвтоДрайвНовосибирский район Верх-Тулинский сельсовет посёлок Красный Восток Советская улица 62Б НовосибирскСosmeticmassage_nskдп. Кудряшовский Виктора Петкау 32 НовосибирскКабинет парикмахера-колористаулица Дуси Ковальчук 248 НовосибирскСалон красоты Meduzaулица Блюхера 73/1 НовосибирскMon Bonулица Немировича-Данченко 146/1 Новосибирскlazerline_berdskОлега Кошевого 7 БердскЗоомагазин Проказникулица Богдана Хмельницкого 1 НовосибирскMono Studio Pro_Ресницыулица Петухова 79 НовосибирскСтудия записи видеоподкастов SNEGOVIK PRODUCTION PODCASTЖелезнодорожный район 630003 Владимировская улица 2/1 НовосибирскКадровое агентство HR РекрутерДепутатская улица 46 НовосибирскМагазин автозапчастей Автомоё​улица Петухова 51Бк21 Новосибирскmozzherina.muahЛинейная 28 НовосибирскProTeloКомсомольская 27 БердскСтудия массажа на Народной улицеНародная 47 НовосибирскНейл-ЛюксГрибоедова 32/1 НовосибирскСтудия косметологаЛазурная 27/1 НовосибирскСтудия массажа на Лазурной улицеЛазурная 24 НовосибирскКабинет маникюра и педикюра в ИскитимеВокзальная 4 ИскитимСтудия маникюра в ИскитимеПушкина 24 ИскитимСтудия красоты на Центральной улице 49с. Лебедево Центральная 49 НовосибирскNr_geticaулица Сибиряков-Гвардейцев 51/1 НовосибирскЧaстный мастерс. Ленинское ДНТ Морские просторы 3 НовосибирскM`эgiАдриена Лежена 29/1 НовосибирскЦентр доктора ЕрмаковаКоммунистическая улица 50 НовосибирскПункт выдачи товаров YummiГалущака 15 НовосибирскDenchik_v_bankeНижегородская 27/1 НовосибирскОфис WowbodyСакко и Ванцетти 77 НовосибирскСтудия JazaКрасный проспект 86/2 НовосибирскHoly HellНародная 8 НовосибирскХочу Массажпроспект Дзержинского 14/2 НовосибирскМассажный кабинет Здоровый позвоночникулица Кирова 29 НовосибирскLook at tattooКрасный проспект 65 НовосибирскШкола эмоциональной осознанности Просто житьКубовая 88 НовосибирскСтудия эпиляции Smooth&amp;solutionsрп. Линево 4-й микрорайон 9а НовосибирскKrikunova LashАлександра Чистякова 2/1 НовосибирскНаучно-производственный центр Вектор-Витапроезд Автомобилистов 2 НовосибирскКлиника Beautyулица Кропоткина 132 НовосибирскКабинет косметик-эстетиста CosMassСоветская 204 к1 ИскитимЛайм&amp;Мятаулица Забалуева 96 НовосибирскKaprosКостычева 74/1 НовосибирскПарикмахерская УстазЛенина 4 ТогучинМедицинский центр Жизньулица Тульская 142 НовосибирскПарикмахерская ЛайзаСоветская 204 к1 ИскитимMax Style studioс. Верх-Тула Рабочая 20 НовосибирскСтудия красоты Анны Шеферулица Сибиряков-Гвардейцев 51/1 НовосибирскКомпания Выкуп авто ПРОулица Толмачёвская 21А НовосибирскКомпания по грузоперевозкам ВЭД Партнерулица Коммунистическая 2 НовосибирскШкола Ротанга Левона Мачкалянаулица Кирова 113 НовосибирскМедицинский центр Сино Медикалулица Есенина 67 НовосибирскМедицинский Миграционный ЦентрОктябрьский район 630000 Воинская улица 21 НовосибирскMitsubishi GDI СервисВоенная улица 8/14 НовосибирскЗооцентр Тэфиулица Плахотного 74/1 НовосибирскСтудия №7улица Селезнёва 36 НовосибирскNikol’studioПирогова 26 НовосибирскСтудия груминга Urban_groomулица Фабричная 37 НовосибирскСтудия парикмахерских услуг Blonde Dayмикрорайон Зелёный Бор 7 НовосибирскКинологический клуб Сибирь-АлтайПроточная 82 НовосибирскСтудия брейдинга Kos Marinosулица Большевистская 103 НовосибирскСтудия депиляции Epil_magic_nskулица Петухова 162 НовосибирскБьюти-студия LukСофийская 18 НовосибирскСпортивный клуб ДзержинецДзержинский район 630124 улица Доватора 11 НовосибирскКлуб плавания AQUA SWIMСоветская улица 60Б НовосибирскBrows&amp;Lash.vnvКаменская 74 НовосибирскЦентр эстетической косметологии Ms.Dermaулица Михаила Кулагина 29/1 НовосибирскСалон красоты Июльпроспект Дзержинского 32 НовосибирскAnaBrowGuruКаменская 55 НовосибирскМедицинская лаборатория Литехулица Героев Революции 23/1 НовосибирскКабинет массажистаКрасный проспект 153г НовосибирскСтудия массажа LPG.figuraГорский микрорайон 8 НовосибирскBeauty timeулица Петухова 69 к2 НовосибирскМассажный салон На здоровьеКрылова 20 НовосибирскСтудия коррекции фигуры Лилияплощадь Райсовета 8 НовосибирскКабинет психолога на улице КотовскогоКотовского 17 НовосибирскКабинет красоты на Морском проспектеМорской проспект 58 НовосибирскШкола-студия Взглядрп. посёлок 18 КольцовоОФП для детейКоролёва 8 НовосибирскМастерская стрижекулица Петухова 12/4 НовосибирскКабинет массажиста-эстетистаФедосеева 2 НовосибирскВетЛидерФадеева 66/5 НовосибирскДетский центр коррекции и развития речи Грамотейулица Гурьевская 42 НовосибирскЛусинеПодгорный микрорайон 32 ИскитимМассажный кабинет в ИскитимеЮжный микрорайон 55Б ИскитимТвой взглядс. Марусино улица Горького 42а НовосибирскСалон красоты La Belleс. Верх-Тула Радужный микрорайон 17/3 НовосибирскPtichkina Lashesssмикрорайон Зелёный Бор 7 НовосибирскЕдиный Визовый ЦентрВокзальная магистраль 16 НовосибирскЦветочная мастерская FlowerSoulВоенная 51 НовосибирскПункт приема WeitВокзальная магистраль 16 НовосибирскХореографическая студия Skittelsулица Петухова 95/4 НовосибирскБогиня ногтейулица Мичурина 12а НовосибирскРваный Бургерулица Дуси Ковальчук 187 киоск НовосибирскМагазин товаров для дома на Комсомольской улицес. Баган Комсомольская 38Б НовосибирскПекарня Батонрп. Коченево Школьная 72 НовосибирскTeddy LoftСтепная 15 ОбьКомпания грузоперевозок Атлантулица Толстого 133 НовосибирскМагазин БиткомЛенина 112 ТатарскРемБытСервисулица Чаплыгина 35 НовосибирскЦентр предпродажной подготовки автодет1-й Красногорский переулок 41а НовосибирскКофейня Wayулица Ленина 67 НовосибирскМагазин запчастей для карьерной и строительной техники ZktЛескова 21 НовосибирскВсе организации с отзывами и рейтингом в НовосибирскеАвтомойкаАвтоуслугиАвтошколыАквааэробикаАквапаркиАнтикафеАтельеАэробикаАэройогаБани на дровахБанкетные залыБаня и саунаБассейныБлефаропластикаБольницыБоулингБургерныеБытовые услугиВакцинацияВетаптекиГипермаркетыДетские развлекательные центрыДетский садДиспансерЕда и напиткиЖенская консультацияЗамена маслаЗоопаркиЗумбаКараоке-барыКаткиКафе-кондитерскиеКнижные магазиныКомиссионные магазиныКомпьютерная томография (КТ)Компьютерные клубыКофейниКроссфитКруглосуточные автосервисыКруглосуточные ветеринарные клиникиКруглосуточные одежда и обувьКруглосуточные рестораныКруглосуточные салоны красоты и спаКруглосуточные торговые центрыКруглосуточные фитнес клубыКурсы английского языкаКурсы визажистовКурсы маникюраКурсы массажаКурсы парикмахеровКурсы повышения квалификацииКурсы шитьяЛазерная эпиляцияЛомбардыМРТ головного мозгаМагазины бытовой техникиМагазины детской одежды и обувиМагазины недорогой одежды и обувиМагазины нижнего бельяМагазины обувиМагазины одеждыМагазины пряжиМагазины спортивной одеждыМагазины сумокМагазины тканейМагазины цветовМагазины часовМедицинаНаращивание ногтейНаращивание ресницНедорогие фитнес-клубыНочные клубы с танцамиОбразованиеОбщественные баниОбщий анализ кровиОкрашивание волосОтели и дома отдыхаПабыПекарниПельменныеПилатесПирсинг салоныПрием гинекологаРазвлеченияРентгенРинопластикаРоддомаСауны и бани куда можно со своей едойСауны с бассейномСеконд-хендыСервисы по доставке цветовСпорт и фитнесСтерилизация кошекСтерилизация кошкиСтретчингСтрижка собак (груминг)Строительство и ремонтСход-развалСход-развалТовары народного потребленияТонировка стеколУЗДГ сосудов головы и шеиУслуги детских учрежденийУслуги для бизнесаУслуги для животныхУслуги прачечнойФитнес клубы с бассейномФлюорографияФлюорографияФото на документыФотосалоныХимчистка салона автомобиляХимчисткиХинкальныеХранение шинЦентры акушерства и гинекологииЦигунЦиркиЧайханыЧистка лицаШашлычныеШколы искусствШколы танцевШугаринг								Добавить место															Добавить специалиста															Доступ к организации															Помощь															Вакансии															О проекте «Zoon»															СМИ о нас															Zoon в других городах															Контакты							БлогУвидели ошибку —																сообщите нам нажав Ctrl+Enter															Телефон: +7 (495) 660-39-16							Email: corp@zoon.ru							Адрес: 125252 Москва г Чапаевский пер дом 14 этаж 2.													ОГРН: 1157746291878												Условия использования											Политика конфиденциальности											ООО «ЗУН» — IT-компания которая предоставляет клиентам лицензию на программное обеспечение позволяющее привлекать клиентов и управлять репутацией в Сети за счет автоматизированных модулей.											ООО «ЗУН» осуществляет деятельность в области информационных технологий. Вид деятельности (код): 62.09					</t>
  </si>
  <si>
    <t>nsk.zoon.ru</t>
  </si>
  <si>
    <t>Магазин DNS в Новосибирске - Болотное</t>
  </si>
  <si>
    <t>Магазин DNS в Новосибирске по адресу Новосибирская обл, г Болотное, ул 50 лет Октября, д 1, как добраться, цены, , номер телефона, рейтинг, график работы.</t>
  </si>
  <si>
    <t>https://www.yell.ru/novosibirsk/com/magazin-dns_12521469/</t>
  </si>
  <si>
    <t>DNS shop в Санкт-Петербурге - адреса на карте и отзывы</t>
  </si>
  <si>
    <t>Адреса DNS shop в Санкт-Петербурге ... Плохо! В магазине хорошие продавцы, доставка очень плохая. Менеджер Переводит на курьера, курьер мычит нечего сказать не ...</t>
  </si>
  <si>
    <t>https://sankt-peterburg.kitabi.ru/brands/magazin-dns-shop</t>
  </si>
  <si>
    <t>Справочник Санкт-Петербурга - телефоны и адреса организаций Санкт-Петербург  МЕНЮСправочник Санкт-Петербурга Санкт-ПетербургРоссияУкраинаКазахстанБеларусьВолгоград Воронеж Екатеринбург Иркутск Казань Красноярск Москва Нижний Новгород Новосибирск Омск Пермь Ростов-на-Дону Рязань Самара Санкт-Петербург Саратов Смоленск Тольятти Тула Тюмень Уфа Челябинск Все города России Днепр Запорожье Киев Львов Одесса Харьков Все города Украины Алматы Караганда Костанай Нур-Султан (Астана) Павлодар Усть-Каменогорск Все города Казахстан Брест Витебск Гомель Гродно Минск Могилёв Все города Беларусь 																Автосалоны																							Банки																							Ветеринарные клиники																							Детские магазины																							Косметологические клиники																							Магазины мебели																							Медицинские центры																							Ремонтные компании																							Рестораны																							Салоны красоты																							Службы такси																							Стоматологические клиники																							Страховые компании																							Строительные компании																							Торговые центры																							Турагентства																							Фитнес клубы																							Химчистки																							Школы иностранных языков																							Ювелирные магазины							Весь справочник  НайтиСправочник организаций Санкт-ПетербургаПопулярныеПолный списокАвтосалоны470 Автосервисы663 Автострахование332 Автошколы417 Агентства недвижимости603 Антикафе64 Антикварные магазины184 Аптеки15 Аренда спецтехники471 Ателье по пошиву одежды620 Банки128 Бары18 Бассейны6 Бухгалтерские курсы74 Бюро переводов208 Веломагазины186 Ветеринарные аптеки183 Ветеринарные клиники271 Винные магазины169 Гимназии112 Гинекологические клиники171 Гипермаркеты103 Денежные переводы306 Детские больницы141 Детские магазины140 Диагностические центры559 Зоомагазины556 Интернет-магазины783 Кадровые агентства364 Кальянные бары120 Кафе242 Кинотеатры80 Клининговые компании22 Книжные магазины310 Компьютерные магазины319 Кондитерские магазины441 Косметологические клиники29 Кофейни22 Кулинарии82 Курьерские службы264 Ломбарды294 Магазины автозапчастей654 Магазины бытовой техники410 Магазины детской одежды195 Магазины игрушек544 Магазины кожи и меха15 Магазины кухни628 Магазины мебели255 Магазины нижнего белья695 Магазины обуви312 Магазины одежды553 Магазины подарков560 Магазины посуды82 Магазины рукоделия282 Магазины сантехники525 Магазины спецодежды386 Магазины сумок577 Магазины ткани245 Магазины цветов650 Магазины часов395 Магазины шин и дисков505 Магазины электроинструмента319 Магазины электроники425 Медицинские лаборатории86 Медицинские центры70 МРЭО30 МФЦ62 Натяжные потолки538 Пекарни71 Пластиковые окна137 Пластическая хирургия78 Рекламные агентства56 Ремонтные компании37 Рестораны64 Ритуальные услуги68 Рыболовные магазины282 Салоны красоты20 Салоны оптики112 Службы такси345 СПА-салоны25 Спортивные магазины318 Стоматологические клиники14 Страховые компании569 Строительные компании66 Строительные магазины116 Суши-бары310 Тату-салоны96 Торговые центры240 Транспортные компании705 Турагентства372 Урологические центры75 Фитнес клубы305 Химчистки92 Центры йоги9 Чайные магазины330 Шиномонтаж139 Школы иностранных языков515 Школы танцев542 Ювелирные магазины684 Юридические компании92 Автобизнес Бытовая техника Госучреждения Детские товары Досуг и развлечения Другие организации Здоровье и спорт Информационные технологии Искусство Магазины Мебель Медицина Мода и красота Недвижимость Образование Одежда и обувь Охрана и безопасность Полиграфия Предметы интерьера Продукты питания Производители и поставщики Прочие услуги Рекламные услуги Религия Ремонт Рестораны и кафе Социальные организации Справочные и СМИ Строительство Стройматериалы Телекоммуникации Товары для дома Транспорт Туризм и отдых Услуги для бизнеса Услуги для животных Услуги для населения Финансовые услуги Электроника Юридические услуги  Санкт-ПетербургСправочник Петергофа558 Информация о компаниях в Санкт-Петербурге										Boxberry																			274 отзыва									 Boxberry 										H&amp;M																			17 отзывов									 H&amp;M 										intimissimi																			22 отзыва									 intimissimi 										Lamoda																			370 отзывов									 Lamoda 										Love Republic																			2 отзыва									 Love Republic 										Nike																			4 отзыва									 Nike 										OBI																			112 отзывов									 OBI 										Ostin																			124 отзыва									 Ostin 										Rendez vous																			115 отзывов									 Rendez vous 										Reserved																			132 отзыва									 Reserved 										SPSR-Express																			432 отзыва									 SPSR-Express 										Sunlight																			706 отзывов									 Sunlight 										Tommy Hilfiger																			2 отзыва									 Tommy Hilfiger 										ZARA																			33 отзыва									 ZARA 										Альфа Банк																			696 отзывов									 Альфа Банк 										Ашан																			384 отзыва									 Ашан 										Билайн																			624 отзыва									 Билайн 										Газелькин																			845 отзывов									 Газелькин 										Гипермаркет ОКЕЙ																			424 отзыва									 Гипермаркет ОКЕЙ 										Глория Джинс																			96 отзывов									 Глория Джинс 										ГрузовичкоФ																			234 отзыва									 ГрузовичкоФ 										Декатлон																			166 отзывов									 Декатлон 										Детский Мир																			549 отзывов									 Детский Мир 										Дочки Сыночки																			624 отзыва									 Дочки Сыночки 										Комус																			57 отзывов									 Комус 										Кофе Хауз																			119 отзывов									 Кофе Хауз 										Лента																			428 отзывов									 Лента 										Леруа Мерлен																			617 отзывов									 Леруа Мерлен 										М.Видео																			499 отзывов									 М.Видео 										Магазин Леонардо																			6 отзывов									 Магазин Леонардо 										Магазины 585 Gold																			108 отзывов									 Магазины 585 Gold 										Магнит																			662 отзыва									 Магнит 										Московский Ювелирный завод																			383 отзыва									 Московский Ювелирный завод 										Первый бит																			53 отзыва									 Первый бит 										Рив Гош																			447 отзывов									 Рив Гош 										Рольф																			365 отзывов									 Рольф 										Россельхозбанк																			281 отзыв									 Россельхозбанк 										Сбербанк																			967 отзывов									 Сбербанк 										СДЭК																			1647 отзывов									 СДЭК 										Ситилинк																			535 отзывов									 Ситилинк 										Спортмастер																			315 отзывов									 Спортмастер 										ТаксовичкоФ																			188 отзывов									 ТаксовичкоФ 										ТВОЕ																			316 отзывов									 ТВОЕ 										У Палыча																			19 отзывов									 У Палыча 										Фамилия																			467 отзывов									 Фамилия 										Эльдорадо																			516 отзывов									 Эльдорадо Отзывы о компаниях Санкт-Петербурга  Популярные разделыАвтобизнесМагазиныМебель МедицинаНедвижимостьОдежда и обувь РемонтТранспортТуризм и отдых  ИнформацияПолитика конфиденциальностиРегионы+ Добавить компанию  Для связи воспользуйтесь почтовым адресом: mail@kitabi.ru</t>
  </si>
  <si>
    <t>sankt-peterburg.kitabi.ru</t>
  </si>
  <si>
    <t>Настройка DNS у регистраторов - Справочный центр Тильды</t>
  </si>
  <si>
    <t>Для домена, который нужно настроить, найдите раздел «Управление зоной DNS». Нажмите «+Добавить еще одну запись» и выберите тип записи А. Нажмите на икноку с ...</t>
  </si>
  <si>
    <t>https://help-ru.tilda.cc/dns</t>
  </si>
  <si>
    <t>Справочный центр   Справочный центрСправочный центрНачало работыКак устроена ТильдаСоздание новой страницыКопирование страницыПередача страницы в другой аккаунтИзменение порядка страницДомены и HTTPSКак купить доменКак подключить домен к сайтуКак делегировать домен на DNS ТильдыИнструкции для популярных регистраторовОшибки при подключении доменаПодключение HTTPS (SSL-сертификата)Как сделать почту для доменаНастройки сайтаНастройки сайтаПодключение доменаШапка и подвалНастройка шрифтовГлавная страницаНастройка HTTPSСоздание папокРедактирование страницыРедактирование страницыКак сделать менюЯкорные ссылкиДействия со страницейПубликация страницыСсылки на другие страницыВставка HTMLФормыРабота с обложкойМобильная версия сайтаГид по SEOПопапОптимизация фотографийМультиязычный сайтВиджеты обратной связиПубликация на FacebookКак сделать блогПодключение комментариевОтслеживание целейКак добавить поиск на сайтНеразрывный пробел и мягкий переносКак сохранить страницу в PDFКак создать шаблонМикроразметкаTooltipКак сделать онлайн-записьБлоки из категории «Список страниц»Кликабельные email и телефонОтображение сайта в соцсетяхМаска ввода данныхМикроанимация загрузки и прокруткиКак поменять цвет иконок Tilda IconsИнтернет-магазинИнтернет-магазин и прием платежейДобавление товаровСоздание категорий для товаровРабота с корзинойПрямая продажа без корзиныПодключение платежных системУведомления о заказеПродажа без оплаты онлайнПродажа одного товараТовар с выбором параметровВарианты доставкиДополнительные товары к покупкеПромокодДанные для онлайн-кассыФормыФормы приема данныхEmailGoogle ТаблицыMailChimpGoogle FormsSendGridMailerliteSendPulseGetResponseUniSenderAmoCRMМегапланБитрикс24Monday.comZoho CRMTelegramSlackZapierNotionTrelloSalesforceHubspotSendinBluePipedriveОтправка данных на серверный скриптАналитикаСтатистика сайтаКак смотреть статистику магазинаЯндекс.МетрикаGoogle AnalyticsКак отправлять данные о достижении целиКак отправлять данные электронной коммерцииПиксель FacebookПиксель ВКонтактеGoogle Tag ManagerSEOГид по SEOZero BlockНачало работыОтзывчивый дизайнНастройка модульной сеткиГорячие клавишиБазовая анимацияПошаговая анимацияТриггерная анимацияИмпорт из FigmaВекторный редакторКонструктор писемСоздание рассылкиТарифы и платежиТарифные планыОтмена автопродленияБезналичная оплатаПодтверждение оплатыПереход с Personal на BusinessНужно больше сайтовРазработчикамЭкспортВзаимодействие по APIВставка кода на страницуОтправка данных на серверный скриптПлагин для WordPressПримеры полезных JS-скриптовВидеоурокиОдностраничный сайтМногостраничный сайтОнлайн-магазинЛонгридZero BlockПодключение формКонструктор писемСправочный центр Тильды Подробные инструкции по функциям ответы на часто задаваемые вопросы ознакомительный тур и полезные ссылки   Поиск   Разделы Начало работы Как устроена Тильда ⭐️Как сделать одностраничный сайтКак сделать интернет-магазинКак сделать многостраничный сайт Показать все → Домен и HTTPS Как подключить домен к сайту ⭐️Как купить доменПодключение HTTPS ⭐️Как сделать почту для доменаКак делегировать домен на DNS ТильдыОшибки при подключении домена Показать все → Настройки сайта Шапка и подвалНастройка шрифтов ⭐️ Главная страницаСоздание папокСовместное редактирование сайтаФавикон (иконка во вкладке) Показать все →   Редактирование страницы Как сделать менюРабота с обложкойЯкорные ссылкиНастройка мобильной версии Действия со страницей ⭐️ Показать все → Интернет-магазин Интернет-магазин и прием платежей ⭐️Работа с корзиной Каталог и добавление товаровДобавление вариантов и опций товараСписок платежных систем ⭐️Сервисы доставки Показать все → Формы приема данных Настройка приема данных ⭐️Настройка блоков с формами EmailTilda CRM ⭐️Google ТаблицыСтраница благодарности Показать все →   Статистика сайта Встроенная cтатистика сайта ⭐️Статистика интернет-магазинаПодключение Яндекс.МетрикиПодключение Google AnalyticsПодключение Google Tag ManagerПиксель Facebook Показать все → SEO Гид по SEO ⭐️Как добавить сайт в Google и ЯндексПанель SEO-рекомендаций для сайта ⭐️Запрет индексации сайтаКак добавить теги H1 H2 H3Как добавить ключевые слова Показать все → Zero Block Начало работы ⭐️Отзывчивый дизайнСписок горячих клавишБазовая анимацияПошаговая анимацияУчебник по веб-анимации ⭐️ Показать все →   Личный кабинет Презентация личного кабинетаДобавление пользователейСтраница регистрацииРегистрация через формы Платный доступ в личный кабинет Показать все → Тарифы и платежи Тарифные планы ⭐️Отмена автопродления подпискиОплата по безналичному счетуКак скачать инвойсПереход с Personal на BusinessНужно больше сайтов Показать все → Потоки и новости Как сделать блогПодключение потоков на сайт ⭐️SEO-настройки постовGoogle AMP и Яндекс.ТурбоДобавление комментариев к постам Показать все →   Конструктор писем Презентация конструктора писем Создание и отправка писем ⭐️Автоматизация рассылокСервисы отправки данныхПодписка на курс с платной рассылкой Показать все → Разработчикам Вставка кода на страницуВставка кода в head сайтаЭкспорт сайтаАPI для синхронизации страницОтправка данных на WebhookПлагин для Wordpress Показать все →    Популярные запросы Как подключить свой доменКак убрать лейбл Made on TildaКак подключить свой шрифтКак настроить протокол HTTPSКак добавить фавикон (иконку сайта для браузера)?Как подключить формы Как добавить ссылку на конкретное место на страницеНе видны изменения после публикацииКак создать страницуКак скопировать страницуКак улучшить SEO Как сделать свой блок с помощью Zero blockКак вставить html-кодКак корректировать мобильную версиюКак сделать менюКак конвертировать стандартный блок в Zero block Как сделать интернет-магазинГде посмотреть примеры сайтовКак работать в ТильдеКак поменять тариф Personal на BusinesКак оплатить безналично Вопросы и ответы →   Видеотуториалы →  Видеотуториалы → Как сделать одностраничный сайт 35:12 Как сделать онлайн-магазин 26:24 Как сделать многостраничный сайт 20:30 Как сделать блог 16:10 Пошаговая анимация в Tilda 11:44 РАБОТА В РЕДАКТОРЕ Начало работы Как работать в текстовом редакторе Как настроить форму Как сделать меню сайта Как настроить шапку и подвал ZERO BLOCK Вёрстка в Zero Block в прямом эфире Пошаговая анимация Резиновая верстка сайта Как перенести макет из графического редактора в Tilda Сложная анимация в Zero Block НАСТРОЙКИ САЙТА Как подключить сервисы приема данных Мультиязычный сайт на Тильде Как настроить корзину Как добавить варианты товаров Как сделать удобную навигацию на сайте Как работать в Tilda CRM ДИЗАЙН Сетка сайта на Тильде: как навести визуальный порядок Как дизайнеру на Tilda получать первые заказы Типографика сайта на Тильде Где дизайнеру на Тильде разместить портфолио Показать больше видео →  Найти дизайнера в Tilda Experts Чтобы найти проверенного исполнителя для своего проекта заполните бриф на площадке Tilda Experts и получите отклики релевантных экспертов.  Подробнее →    Tilda Education → Образовательный журнал платформы для создания сайтов Tilda Publishing. Практические руководства по дизайну и маркетингу для цифровых проектов. Создание Landing Page Бесплатный онлайн-учебник который научит создавать эффективные посадочные страницы Интернет-маркетинг с нуля Онлайн-учебник который научит работать с веб-аналитикой и продвигаться в социальных сетях Дизайн в цифровой среде Онлайн-учебник об этапах работы над веб дизайном теории дизайна и развитии визуального вкуса Анимация в вебе Бесплатный онлайн-учебник из которого вы узнаете о видах веб анимации и правилах ее использования СОЗДАНИЕ САЙТА Как создать сайт. Пошаговое руководство Как сделать интернет-магазин самостоятельно Как делать красивые статьи на Тильде Советы по созданию навигации ДИЗАЙН Чек-лист: ошибки дизайна Где найти картинки для сайта или статьи Как сделать обложку сайта Руководство по выбору шрифта Руководство по Zero Block МАРКЕТИНГ Как написать текст для лендинга SEO продвижение сайта на Тильде Создание E-mail рассылки Как найти и исправить ошибки SEO Персонализация лендинга для разных клиентов РЕКЛАМА И SMM Как собрать список ключевых фраз для поисковой рекламы Пошаговый гид по запуску рекламы в Инстаграме для новичков Пошаговый гид по запуску рекламы в Фейсбуке для новичков Продвижение в социальных сетях Больше материалов →  Tilda.cc Tilda Education Видеоуроки Вебинары Блог Сообщить о нарушении прав Если вы считаете что пользователь Tilda Publishing нарушает ваши права отправьте нам сообщение через форму Как связаться с поддержкой Для консультаций по функциям платформы используйте форму обратной связи в вашем личном кабинете или напишите на team@tilda.cc Для бухгалтерии Получить закрывающие документы или подтверждение платежа — напишите на docs@tilda.cc    Made on Tilda</t>
  </si>
  <si>
    <t>help-ru.tilda.cc</t>
  </si>
  <si>
    <t>Программа выгодных покупок ProZaPass</t>
  </si>
  <si>
    <t>любого товара, участвующего в программе ProZaPass, в магазинах или на сайтах сети DNS. Количество бонусов, начисляемых за товар, Вы можете увидеть рядом с ...</t>
  </si>
  <si>
    <t>https://www.prozapass.ru/</t>
  </si>
  <si>
    <t xml:space="preserve">Программа выгодных покупок ProZaPassПРОГРАММА ВЫГОДНЫХ ПОКУПОК ProZaPass						Часто задаваемые вопросы					Зачем участвовать в программе?Как копить бонусы?Как тратить бонусы?Что такое бонусы?Как получить карту?Если карта уже естьЗачем участвовать в программе?							Участникам программы ProZaPass мы						вернём часть стоимости покупокна персональный бонусный счет. И Вам приятно и нам не жалко!Вы совершаете покупки и автоматически получаете бонусы на свой бонусный счетИспользуя накопленные бонусы можно получить скидку до 100% стоимости новых покупок.Как копить бонусы?Получайте бонусы при покупкелюбого товара участвующего в программе ProZaPass в магазинах или на сайтах сети DNS.Количество бонусов начисляемых за товар Вы можете увидеть рядом с ценой каждого товара							участвующего в программе ProZaPass.													Сразу после регистрации на сайте и подтверждения номера телефона Вам открывается бонусный счет и уже с этого момента Вы можете							копить бонусы.						Как тратить бонусы?Получайте скидки при приобретении товара!При покупке в магазине Вам нужно предъявить карту на кассе до момента оплаты покупки.Узнать баланс в личном кабинете									Получить баланс по SMS								Бонусы становятся активными через 15 дней после их начисления на карту. (Подробнее)Бонусы должны быть истрачены в течение 365 календарных дней с момента последней активности по бонусной карте. (Подробнее)Бонусы можно потратить при покупке любых видов товаров и услуг кроме: подарочных карт карт оплаты страховых продуктов оплаты взносов по любым видам кредитов услуг доставки установки доработки и демонтажа крупногабаритной техники.Что такое бонусы?1 накопленный бонус − это 1 рубль скидки!Всё просто и без обмана!Как получить карту?Два простых способабесплатно получить бонусную карту ProZaPass:								1. Супер простой способ получить карту							Обратитесь к продавцу-консультанту в любом из магазинов DNS							2. Мега простой способ получить карту						Регистрируйтесь на нашем сайте и подтверждайте свой номер мобильного телефона.								Назовите свой номер телефона продавцу любого из магазинов сети DNS и получите бонусную карту. (Подробнее)							Уже есть учетная запись!?										Войдите на сайт оформите заказ установив флаг "Зарегистрироваться в бонусной программе" и Вы станете участником бонусной программы.																	Карту может получить только физическое лицо которому на момент регистрации исполнилось 18 лет.							Если карта уже естьзарегистрируйтесь на сайте и копите бонусы online!							Если Вам уже выдали в магазине сети DNS бонусную карту ProZaPass и Вы хотите совершать покупки в интернет-магазине с							начислениями бонусов на Вашу карту то Вам следует зарегистрироваться на							сайте и подтвердить свой номер телефона и оформить заказ установив флаг "Зарегистрироваться в бонусной программе".						 							Узнать сколько бонусов на Вашей карте можно в личном кабинете и у продавцов в сети магазинов.						Получай сервисное обслуживание по номеру телефона.Не храни и не ищи кучу бумаг о покупке товара мы найдем их сами по номеру телефона Полные правила программы		 Часто задаваемые вопросы		</t>
  </si>
  <si>
    <t>www.prozapass.ru</t>
  </si>
  <si>
    <t>DNS Девелопмент</t>
  </si>
  <si>
    <t>https://dnsdevelopment.ru/</t>
  </si>
  <si>
    <t xml:space="preserve">DNS ДевелопментО компанииПроектыЗакупкиВакансииСМИ о насКонтактыО компанииВакансииПроектыАвиаполис ЯнковскийЖК ФорматДомостроительный комбинат ПриморьеDNS CитиЗагородный поселокДетский сад в ЖК "Формат"Школа в ЖК "Формат"ЗакупкиВакансииСМИ о насКонтактыRUS /ENGАвиаполис Янковский							крупнейший индустриально промышленный парк на Дальнем Востоке						На страницу проектаДомостроительный комбинат Приморье							завод в тор  «Надеждинская» мощностью до 150 000 кв.м.						На страницу проектаЗагородный поселок							Готовый дом в благоустроенном поселке						На страницу проектаЖилые комплексы							жилые дома - доступное жилье современные технологии строительства						На страницу проектаПроекты государственно-частного партнерства							Школа и детский сад в ЖК "Формат"						На страницу проекта					свяжитесь с нами					8 (423) 279-56-53  </t>
  </si>
  <si>
    <t>dnsdevelopment.ru</t>
  </si>
  <si>
    <t>DNS (ДНС) - Цифровая и бытовая техника - рассрочка с ...</t>
  </si>
  <si>
    <t>Рассрочка до 12 мес. без переплат и первоначального взноса по карте Халва в DNS (ДНС) - Цифровая и бытовая техника - рассрочка с картой Халва. Заказывайте ...</t>
  </si>
  <si>
    <t>https://halvacard.ru/shops/elektronika/dns</t>
  </si>
  <si>
    <t>Настройка ресурсных записей на хостинге</t>
  </si>
  <si>
    <t>О назначении ресурсных записей читайте в статье: Что такое ресурсные записи DNS?Эта инструкция вам подойдет, если у вас заказан хостинг Рег.ру и для домена ...</t>
  </si>
  <si>
    <t>https://help.reg.ru/support/dns-servery-i-nastroyka-zony/nastroyka-resursnykh-zapisey-dns/nastroyka-resursnykh-zapisey-na-hostinge</t>
  </si>
  <si>
    <t>Помощь        |        Рег.ру    КупитьКорзинаОткрыть менюПодобратьWhois    ВходДоменыСоздание сайтовХостингРег.облакоСерверы и ДЦSSLСервисыПомощьПоискПомощьНайтиДоменыОбщая информацияРегистрация доменаПродление доменаПоказать всёDNSОбщая информация о DNS-серверахНастройка записейПоказать всёКонструктор и CMSКонструктор Рег.руГотовые решенияРег.сайтПоказать всёХостингВыбор и заказ хостингаДоступы и подключенияРазмещение сайта на хостинге Рег.руПоказать всёРег.облакоОблачные серверыПоказать всёКлассические VPSЗаказ и управлениеОсновы работы с VPSПоказать всёВыделенные серверы и ДЦDedicatedColocationПоказать всёSSL-сертификатыОбщая информацияЗаказ SSL-сертификатаУстановка SSLПоказать всёПочта и сервисыПочта Рег.руДругие сервисы Рег.руПоказать всёЛичный кабинетРегистрация и контактные данныеБезопасность аккаунтаПоказать всёФинансовые вопросыОплата счетовДокументыВозврат средствПоказать всёПартнёрамПартнёрская программаБонусная программаПоказать всёПравовые вопросыНарушение правДоговорыПоказать всё                                Видеосправка                                                            Документы                            ПопулярныеОбщая информация о персональных данных и правовые основанияСпособы оплаты: как выставить и оплатить счётЧто такое хостинг простыми словамиЧто такое домен (доменное имя)Политика конфиденциальностиПубличная оферта ООО «РЕГ.РУ»Что такое DNS простыми словамиКак разместить готовый сайт в Интернете            Рассылка Рег.ру                    Лайфхаки скидки и новости об IT            Подписаться                    Подписываясь вы принимаете правила рассылок                Продукты                                        Домены                                                    Хостинг                                                    Создание сайтов                                                    Рег.облако                                                    Серверы и ДЦ                                                    SSL-сертификаты                                                    Сервисы                                        Полезное                                        Стоимость услуг                                                    База знаний                                                    Документы                                                    Whois                                                    Магазин доменов                                                    ЭДО                                                    Партнерам                                                    Сообщить о нарушении                                        Компания                                        О компании                                                    Контакты                                                    Офисы                                                    Новости                                                    Акции и скидки                                                    Мероприятия                                                    Блог                                                    Отзывы клиентов                                +7 495 580-11-11                    Телефон в Москве                8 800 555-34-78                    Бесплатный звонок по России                            vk                                    telegram                                    ok                                    moikrug                                    youtube                                    twitter                                Банковская карта                            Система быстрых платежей                            SberPay                            QIWI-кошелёк                            ЮMoney                            Наличные                            Безналичный перевод                Все способы оплаты            Нашли опечатку?Выделите и нажмите Ctrl+Enter    © ООО «РЕГ.РУ»Правовая информация и правила пользования            Мы используем файлы cookie. Продолжив работу с сайтом вы соглашаетесь с Политикой обработки персональных данных и Правилами пользования сайтом.    Хорошо    Пожалуйста включите JavaScript для корректной работы этой страницы.        Как включить JavaScript</t>
  </si>
  <si>
    <t>help.reg.ru</t>
  </si>
  <si>
    <t>Public DNS | Google for Developers</t>
  </si>
  <si>
    <t>A free, global DNS resolution service that you can use as an alternative to your current DNS provider.</t>
  </si>
  <si>
    <t>https://developers.google.com/speed/public-dns</t>
  </si>
  <si>
    <t>Google for Developers - from AI and Cloud to Mobile and Web    Products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Solutions          Events          Learn          Community      Groups                      Google Developer Groups                                          Google Developer Student Clubs                                          Women Techmakers                                          Google Developer Experts                                          Tech Equity Collective                    Programs                      Accelerator                                          Solution Challenge                                          DevFest                    Stories                      All Stories                        Developer Profile          Blog      EnglishDeutschEspañolEspañol – América LatinaFrançaisIndonesiaItalianoPolskiPortuguês – BrasilTiếng ViệtTürkçeРусскийעבריתالعربيّةفارسیहिंदीবাংলাภาษาไทย中文 – 简体中文 – 繁體日本語한국어Sign in      Products         More         Solutions         Events         Learn         Community         More         Developer Profile         Blog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Groups         Google Developer Groups         Google Developer Student Clubs         Women Techmakers         Google Developer Experts         Tech Equity Collective         Programs         Accelerator         Solution Challenge         DevFest         Stories         All Stories    Connect with fellow devs and learn how to build with Google. Find a DevFest near you.             Google for Developers                    Products                            Stay organized with collections                            Save and categorize content based on your preferences.                          Build smartership faster                        Unlock creativity and simplify your workflow with open integrated solutions.           I'm building for:    Mobile    arrow_forward    Web    arrow_forward    AI    arrow_forward    Cloud    arrow_forward                  Start building today            Android Modern tools to help you build experiences that people love across every Android device.Google Cloud Build apps faster make smarter business decisions and            connect people everywhere.TensorFlow An end-to-end platform that makes it easy to build and            deploy ML models in any environment.Chrome Modern tools and features that help you build high-quality            web experiences.Google Play Grow your business improve app quality engage your            audience and earn revenue.Firebase An app development platform that helps you build and grow            apps and games users love.PaLM An easy and safe API to experiment with Google's large language models.MakerSuite Quickly prototype generative AI applications in a browser - no ML expertise or coding required.Flutter Build test and deploy beautiful web mobile desktop and            embedded apps from one codebase.Google Ads Promote your website products and app to the right users            with Google Ads.Kaggle A platform to share machine learning data sets explore and            build models and compete in competitions.Angular The web development framework for building the future.View all developer products                  Trending news                        Apply to the Indie Games Accelerator                    Get mentorship and training to power your game's growth on Google Play. Apply to the 10-week accelerator for high-potential indie game studios.          Learn more            Join DevFest 2023                    Explore hands-on learning and technical talks. Find a DevFest near you.          Learn more            MakerSuite is now available in 180 countries                    Sign up now to prototype AI applications with the PaLM 2 language model.          Learn moreWhat's new in Android            Android Studio Giraffe is now stable                    Featuring updates to Live Edit Compose animation previews a new Device Explorer and more.          Download now            Find an event                    Grow your knowledge through online and in-person developer events.          View events            Improve technical skills                    Keep up with Google technology. Sharpen skills and master new ones.          Start learning            Join a community                    Meet a diverse network no matter where you are on your developer journey.          Explore communities                  Follow Google for Developers                              YouTube            Subscribe to join a community of creative developers and learn the latest in Google technology.Learn more                  Instagram            Follow and discover developer resources community events and inspirational stories.Learn more                  LinkedIn            Join a community of creative developers and learn how to use the latest in technology. Learn more                  X            Join the conversation to discover the latest developer tools resources events and announcements.Learn moreConnect                                  Blog                                                      Instagram                                                      LinkedIn                                                      Twitter                                                                                              YouTube                    Programs                                  Women Techmakers                                                      Google Developer Groups                                                      Google Developer Experts                                                      Accelerators                                                                                              Google Developer Student Clubs                    Developer consoles                                  Google API Console                                                      Google Cloud Platform Console                                                      Google Play Console                                                      Firebase Console                                                      Actions on Google Console                                                      Cast SDK Developer Console                                                                                              Chrome Web Store Dashboard                              Android                  Chrome                  Firebase                  Google Cloud Platform                  All products                  Terms                  Privacy        Sign up for the Google for Developers newsletter          Subscribe        EnglishDeutschEspañolEspañol – América LatinaFrançaisIndonesiaItalianoPolskiPortuguês – BrasilTiếng ViệtTürkçeРусскийעבריתالعربيّةفارسیहिंदीবাংলাภาษาไทย中文 – 简体中文 – 繁體日本語한국어</t>
  </si>
  <si>
    <t>developers.google.com</t>
  </si>
  <si>
    <t>Get Started | Public DNS</t>
  </si>
  <si>
    <t>Configure your network settings to use Google Public DNS. When you use Google Public DNS, you are changing your DNS "switchboard" operator from your ISP to ...</t>
  </si>
  <si>
    <t>https://developers.google.com/speed/public-dns/docs/using</t>
  </si>
  <si>
    <t>What is DNS? | How DNS works</t>
  </si>
  <si>
    <t>DNS, or the domain name system, is the phonebook of the Internet, connecting web browsers with websites. Learn more about how DNS works and what DNS servers ...</t>
  </si>
  <si>
    <t>https://www.cloudflare.com/learning/dns/what-is-dns/</t>
  </si>
  <si>
    <t>Cloudflare - The Web Performance &amp; Security Company | CloudflareSolutionsBy needBy industryPublic interestNeed help choosing?Contact SalesProductsOur productsFor your employeesFor apps and infrastructureFor developersConsumer servicesNeed help choosing?View What's NewContact SalesPricingOur plans &amp; pricingEnterprise planCompare all plansNeed help choosing?View FAQsContact SalesResourcesDocumentationGetting StartedApplication SecurityApplication ServicesZero Trust ServicesNetwork ServicesInsightsDeveloper PlatformAPIResource hubLearningTrends &amp; insightsBlogCloudflare TVCommunity forumGet helpContact SalesPartnersChannel &amp; alliance partnersTechnology partnersPeering portalPartner networkPartner NetworkWhy CloudflareWhy choose CloudflareLearn about CloudflareComparisonsWhy trust CloudflareResource hubBlogEnterprise level servicesExplore case studiesContact SalesSign upSign upUnder attack?Under attack?Log inLog inSupportContact SupportHelp CenterCloudflare CommunityLost account access?Utility Nav - Sign UpSign UpLog InLog Inskip to contentSales: +1 (650) 319 8930+1 (650) 319 8930SupportSign UpLog InSolutionsProductsPricingResourcesPartnersWhy CloudflareSupportUnder attack?Sales: +1 (650) 319 8930Sign upContact SalesSign upUnder attack?Log inSign Up|Log InSolutionsProductsPricingResourcesPartnersWhy CloudflareSupportUnder attack?Sales: +1 (650) 319 8930Sign upContact SalesDiscover the connectivity cloudRegain control while connecting and protecting your people apps and data everywhere.Learn moreControlRegain visibility and control of IT and security across on-prem public cloud SaaS and the InternetSecurityImprove security and resilience while reducing your attack surface vendor count and tool sprawlSpeedAccelerate application and network performance while rapidly developing new applicationsCostReduce cost and complexity to reinvest resources in your highest prioritiesContact salesPowered by an intelligent global network our connectivity cloud is a unified platform that helps your business work deliver and innovate everywhere.SASE and SSE servicesConnect and secure your employees contractors devices networks apps and data everywhere they live.Explore SASE / SSEApp and infrastructure servicesGive your digital products and services top-notch security reliability and performance for customers everywhere.Explore appsExplore infrastructureDeveloper servicesEasily build and deploy full-stack applications everywhere thanks to integrated compute storage and networking.Explore developer servicesWant to speak with an expert?Get in touchWhat’s newSlide 1 of 9BlogDDoS attacks surged by 65% in Q3 and included thousands of hyper-volumetric threats.Read the blogMagic Network Monitoring gives customers end-to-end visibility into all network trafficRead the blogHow Prisma saved 98% on distribution costs after switching to Cloudflare R2Read the blogPressRead our press release on the HTTP/2 Rapid Reset attack campaign and Cloudflare’s responseRead press releasePressNewsweek certifies Cloudflare as one of the Most Loved Workplaces in 2023Learn morePressCloudflare delivers single-vendor Secure Access Service Edge (SASE)Learn moreBlogWhy Cloudflare is the only post quantum-enabled Zero Trust providerRead the blogBlogEmail Security RetroScan catches the threats your security provider missedRead the blogBlogNow available for everyone: our free private reCAPTCHA alternativeRead the blogBlogDDoS attacks surged by 65% in Q3 and included thousands of hyper-volumetric threats.Read the blogMagic Network Monitoring gives customers end-to-end visibility into all network trafficRead the blogHow Prisma saved 98% on distribution costs after switching to Cloudflare R2Read the blogPressRead our press release on the HTTP/2 Rapid Reset attack campaign and Cloudflare’s responseRead press releasePressNewsweek certifies Cloudflare as one of the Most Loved Workplaces in 2023Learn morePressCloudflare delivers single-vendor Secure Access Service Edge (SASE)Learn moreBlogWhy Cloudflare is the only post quantum-enabled Zero Trust providerRead the blogBlogEmail Security RetroScan catches the threats your security provider missedRead the blogBlogNow available for everyone: our free private reCAPTCHA alternativeRead the blogBlogDDoS attacks surged by 65% in Q3 and included thousands of hyper-volumetric threats.Read the blogMagic Network Monitoring gives customers end-to-end visibility into all network trafficRead the blogHow Prisma saved 98% on distribution costs after switching to Cloudflare R2Read the blogPressRead our press release on the HTTP/2 Rapid Reset attack campaign and Cloudflare’s responseRead press releasePressNewsweek certifies Cloudflare as one of the Most Loved Workplaces in 2023Learn morePressCloudflare delivers single-vendor Secure Access Service Edge (SASE)Learn moreBlogWhy Cloudflare is the only post quantum-enabled Zero Trust providerRead the blogBlogEmail Security RetroScan catches the threats your security provider missedRead the blogBlogNow available for everyone: our free private reCAPTCHA alternativeRead the blogWhat analysts sayA Leader in Gartner® Magic Quadrant™ for Web Application and API ProtectionGartner has recognized Cloudflare as a Leader in the 2022 "Gartner® Magic Quadrant™ for Web Application and API Protection (WAAP)" report that evaluated 11 vendors for their ‘ability to execute’ and ‘completeness of vision’Read the reportCloudflare a Leader in 2023 Forrester Wave™: Enterprise Email SecurityCloudflare tied for the top score in the strategy category and received the highest scores possible in the criteria of vision and innovation.Read the reportCloudflare a Leader in 2023 IDC MarketScape: Zero Trust Network AccessIDC cites Cloudflare's "aggressive product strategy to support enterprise security needs."Read the report30% of the Fortune 1000 rely on CloudflareSee how leading enterprises regain control with CloudflareCloudflare’s connectivity cloud protects 900+ GPC websites giving them complete visibility into threats across their entire digital footprint.Read case studyCloudflare’s connectivity cloud powers Polestar’s global ecommerce and development operations giving them resilience during launches and promotions.Read case studySage leverages Cloudflare to improve application performance and security enhance product development secure user data and streamline their digital footprint.Read case studySee all case studiesResourcesInsightsEventsNewsInsightEQT reduces complexity with Cloudflare’s connectivity cloudRead case studyInfographicHow a connectivity cloud helps restore control of security and ITView infographicVideoCloudflare’s CIO discusses advice on important CIO prioritiesWatch nowArticleA step-by-step roadmap for your Zero Trust security journeyRead articleArticleSecuring the AI revolutionRead articleBlogInsights from Cloudflare’s latest application security threat reportRead blogContact a Cloudflare enterprise representativeGet in touchSalesEnterprise SalesBecome a PartnerContact Sales:+1 (650) 319 8930Getting StartedIndustry AnalystsPricingCase StudiesWhite PapersWebinarsLearning CenterCommunityCommunity HubBlogProject GalileoAthenian ProjectCloudflare for CampaignsCloudflare TVDevelopersDeveloper HubCloudflare WorkersIntegrationsSupportHelp CenterCloudflare StatusComplianceGDPRTrust &amp; SafetyCompanyAbout CloudflareDiversity Equity &amp; InclusionInvestor RelationsOur TeamPressCareersCloudflare ConnectLogos &amp; Press KitNetwork Map© 2023 Cloudflare Inc.Privacy PolicyTerms of UseReport Security IssuesCookie PreferencesTrademark</t>
  </si>
  <si>
    <t>www.cloudflare.com</t>
  </si>
  <si>
    <t>Cloud DNS</t>
  </si>
  <si>
    <t>Cloud DNS. Reliable, resilient, low-latency DNS serving from Google's worldwide network with everything you need to register, manage, and serve your domains.</t>
  </si>
  <si>
    <t>https://cloud.google.com/dns</t>
  </si>
  <si>
    <t>What is DNS? – Introduction to DNS</t>
  </si>
  <si>
    <t>DNS, or the Domain Name System, translates human readable domain names (for example, www.amazon.com) to machine readable IP addresses (for example, 192.0.2.44).</t>
  </si>
  <si>
    <t>https://aws.amazon.com/route53/what-is-dns/</t>
  </si>
  <si>
    <t>Cloud Computing Services - Amazon Web Services (AWS) Skip to main contentClick here to return to Amazon Web Services homepageContact Us Support  English My Account  Sign In  Create an AWS Account re:InventProductsSolutionsPricingDocumentationLearnPartner NetworkAWS MarketplaceCustomer EnablementEventsExplore More  Close عربيBahasa IndonesiaDeutschEnglishEspañolFrançaisItalianoPortuguêsTiếng ViệtTürkçeΡусскийไทย日本語한국어中文 (简体)中文 (繁體) Close My ProfileSign out of AWS Builder IDAWS Management ConsoleAccount SettingsBilling &amp; Cost ManagementSecurity CredentialsAWS Personal Health Dashboard Close Support CenterExpert HelpKnowledge CenterAWS Support OverviewAWS re:PostClick here to return to Amazon Web Services homepage  Get Started for Free   Contact Us  re:Invent  Products  Solutions  Pricing  Introduction to AWS  Getting Started  Documentation  Training and Certification  Developer Center  Customer Success  Partner Network  AWS Marketplace  Support  AWS re:Post  Log into Console  Download the Mobile App  Start Building on AWS Today               Whether you're looking for compute power database storage content delivery or other functionality AWS has the services to help you build sophisticated applications with increased flexibility scalability and reliability                Get Started for Free  Explore the AWS platform cloud products and capabilities               Get started                  Try Amazon Redshift for Free               Accelerate your time to insights with fast easy and secure cloud data warehousing at scale                             Get started                  Amazon S3 Object Lambda               Add your own code to process data retrieved from Amazon S3 before returning it to an application                             Learn more                  AWS Skill Builder - Learn AWS by Doing AWS               Access 100+ AWS Builder Labs that sharpen your cloud skills quickly in a safe sandbox environment                             Subscribe today                 PrevNext             Start Building With Free Tier                         Use Amazon EC2 S3 and more— free for a full year                          Launch Your First App in Minutes                         Learn AWS fundamentals and start building with short step-by-step tutorials                          Enable Remote Work &amp; Learning                         Support remote employees students and contact center agents                          Amazon Lightsail                         Everything you need to get started on AWS—for a low predictable price                           Solutions                           View our AWS Solutions library                            Products                           Explore our cloud-based products                            Training &amp; Certification                           Learn how to build on AWS                            Customer Innovation                           Read our customer success stories                            Solutions                           View our AWS Solutions library                            Products                           Explore our cloud-based products                            Training &amp; Certification                           Learn how to build on AWS                            Customer Innovation                           Read our customer success stories               Explore Our Solutions By Industry  Advertising &amp; Marketing                Achieve cost-efficiency for petabyte-scale analytics and single-digit millisecond latency workloads.                  Financial Services                Less cost. More resiliency. Explore AWS solutions across banking payments capital markets and insurance.                  Game Tech                Create computationally ridiculous games across all genres and platforms.                  Education                Personalize student-learning experiences access applications from anywhere and improve learning.                 View All Industries  By Technology Category  Analytics &amp; Data Lakes                Securely store categorize and analyze all your data in one centralized repository.                  Machine Learning                Build with powerful services and platforms and the broadest machine learning framework support anywhere.                  Serverless Computing                Build and run applications and services without thinking about servers.                  Storage                Durable cost-effective options for backup disaster recovery and data archiving at petabyte scale.                 View All Solutions  Explore Our Products              Featured Services                            Analytics                            Cloud Financial Management                            Compute                            Containers                            Database                            Front-End Web &amp; Mobile                            Internet of Things                            Machine Learning                            Networking &amp; Content Delivery                            Security Identity &amp; Compliance                            Serverless                            Storage              Featured Services Rank Featured Services Rank                  No products found for this category.                View All Product Categories  Service Name Service Name                  No products found for this category.                View All Analytics Products  Service Name Service Name                  No products found for this category.                View All Cloud Financial Management Products  Service Name Service Name                  No products found for this category.                View All Compute Products  Service Name Service Name                  No products found for this category.                View All Containers Products  Service Name Service Name                  No products found for this category.                View All Database Products  Featured Services Rank Featured Services Rank                  No products found for this category.                View All Front-end Web &amp; Mobile Products  Service Name Service Name                  No products found for this category.                View All Internet of Things Products  Service Name Service Name                  No products found for this category.                View All Machine Learning Products  Service Name Service Name                  No products found for this category.                View All Networking &amp; Content Delivery Products  Service Name Service Name                  No products found for this category.                View All Security Identity &amp; Compliance Products  Service Name Service Name                  No products found for this category.                View All Serverless Products  Service Name Service Name                  No products found for this category.                View All Storage Products   Training and Certification              For Builders                            For Decision Makers                           For Builders                           For developers data scientists solutions architects or anyone interested in learning how to build on AWS today                                Free Online Training                  Go from learning to doing with more than 500 free digital training courses built by AWS experts Take a Digital Course »                    AWS Learning Recommendations                  Start building today with Ramp-Up guides featuring curated resources to grow your AWS knowledge Browse by Role or Solution »                    AWS Certification                  Grow your career and business with industry-recognized credentials validating your cloud skills Learn More About AWS Certification »                For Decision Makers                           For technical and business leaders who develop cloud skills in their organization to enable innovation and transformation                                Upskill Your Teams                  Explore best practices to empower your teams with comprehensive training and certification programs Read the E-book»                    Virtual Classroom Training                  Accelerate your cloud transformation with training from AWS experts familiar with your AWS use cases Learn More »                    AWS Certified Staff                  Learn how AWS Certification can help your organizations achieve business outcomes Download Whitepaper »   Powering Customer Innovation             Featured Customer Innovations                          Advertising &amp; Marketing                          Aerospace &amp; Satellite                          Agriculture                          Automotive                          Education                          Energy                          Financial Services                          Government                          Healthcare &amp; Life Sciences                          Manufacturing                          Media &amp; Entertainment                          Retail | Consumer Packaged Goods                          Travel &amp; Hospitality             Customer Name Customer Name                 No products found for this category.               View All Customer Stories  Customer Name Customer Name                 No products found for this category.               View All Advertising &amp; Marketing Customer Stories  Customer Name Customer Name                 No products found for this category.               View All Aerospace &amp; Satellite Customer Stories  Customer Name Customer Name                 No products found for this category.               View All Agriculture Customer Stories  Customer Name Customer Name                 No products found for this category.               View All Automotive Customer Stories  Customer Name Customer Name                 No products found for this category.               View All Education Customer Stories  Customer Name Customer Name                 No products found for this category.               View All Energy Customer Stories  Customer Name Customer Name                 No products found for this category.               View All Financial Services Customer Stories  Customer Name Customer Name                 No products found for this category.               View All Government Stories  Customer Name Customer Name                 No products found for this category.               View All Healthcare &amp; Life Sciences Customer Stories  Customer Name Customer Name                 No products found for this category.               View All Manufacturing Customer Stories  Customer Name Customer Name                 No products found for this category.               View All Media &amp; Entertainment Customer Stories  Customer Name Customer Name                 No products found for this category.               View All Retail &amp; Consumer Goods Customer Stories  Customer Name Customer Name                 No products found for this category.               View All Travel &amp; Hospitality Customer Stories   Engineered for the Most Demanding Requirements              Secure                           Comprehensive security capabilities to satisfy the most demanding requirements.                            Compliant                           Rich controls auditing and broad security accreditations.                            Hybrid                           Build hybrid architectures that extend your on-premises infrastructure to the Cloud.                            Scalable                           Access as much or as little as you need and scale up and down as required with only a few minutes notice.               Global Network of AWS Regions          The AWS Cloud spans 102 Availability Zones within 32 geographic regions around the world with announced plans for 15 more Availability Zones and 5 more AWS Regions in Canada Germany Malaysia New Zealand and Thailand.          Skip Map  List view              Regions                           Coming Soon              Learn more about AWS Regions  Close             Analyst Reports                       Read what top analysts such as Gartner and IDC are saying about AWS                        AWS Training                       Free digital courses to help you develop your skills                        AWS Partner Network                       Join AWS Partner Network to build and grow your cloud business                        The Amazon Builders' Library                       Learn how Amazon builds and operates software from the builders themselves              Sign In to the Console  Learn About AWSWhat Is AWS?What Is Cloud Computing?AWS Inclusion Diversity &amp; EquityWhat Is DevOps?What Is a Container?What Is a Data Lake?What is Generative AI?AWS Cloud SecurityWhat's NewBlogsPress Releases Resources for AWSGetting StartedTraining and CertificationAWS Solutions LibraryArchitecture CenterProduct and Technical FAQsAnalyst ReportsAWS Partners Developers on AWSDeveloper CenterSDKs &amp; Tools.NET on AWSPython on AWSJava on AWSPHP on AWSJavaScript on AWS HelpContact UsGet Expert HelpFile a Support TicketAWS re:PostKnowledge CenterAWS Support OverviewLegalAWS Careers  Create an AWS Account                  Amazon is an Equal Opportunity Employer:          Minority / Women / Disability / Veteran / Gender Identity / Sexual Orientation / Age.LanguageعربيBahasa IndonesiaDeutschEnglishEspañolFrançaisItalianoPortuguêsTiếng ViệtTürkçeΡусскийไทย日本語한국어中文 (简体)中文 (繁體)Privacy|Site Terms| Cookie Preferences |© 2023 Amazon Web Services Inc. or its affiliates. All rights reserved. Ending Support for Internet Explorer Got it        AWS support for Internet Explorer ends on 07/31/2022. Supported browsers are Chrome Firefox Edge and Safari.       Learn more »Got it</t>
  </si>
  <si>
    <t>aws.amazon.com</t>
  </si>
  <si>
    <t>Quad9 | A public and free DNS service for a better security ...</t>
  </si>
  <si>
    <t>An open DNS recursive service for free security and high privacy. Quad9 is a free service that replaces your default ISP or enterprise Domain Name Server ...</t>
  </si>
  <si>
    <t>https://www.quad9.net/</t>
  </si>
  <si>
    <t>Quad9 | A public and free DNS service for a better security and privacy    Service  Service Service Addresses &amp; FeaturesThreat blockingPrivacyLocations    News  News News BlogPressMedia Kit    Support  Support Support Set up guidesFAQSearch Blocked DomainsGet support    About  About About Foundation CouncilTeamJobsTransparency ReportSponsorsPartners Donate ▸  en ▾ DeutschEnglishEspañolFrançaisPortuguês  IPv4 9.9.9.9 149.112.112.112             IPv6           2620:fe::fe 2620:fe::9             More options ▸             An open DNS recursive service for free security and high privacy Quad9 is a free service that replaces your default ISP or enterprise Domain Name Server (DNS) configuration. When your computer performs any Internet transaction that uses the DNS (and most transactions do) Quad9 blocks lookups of malicious host names from an up-to-the-minute list of threats. This blocking action protects your computer mobile device or IoT systems against a wide range of threats such as malware phishing spyware and botnets and it can improve performance in addition to guaranteeing privacy. The Quad9 DNS service is operated by the Swiss-based Quad9 Foundation whose mission is to provide a safer and more robust Internet for everyone. Watch our short videos on how to set up Quad9 - Windows / MacOS ▸ 220M+       Average Daily Blocks           20+           Threats Intelligence Providers     200       Resolver Clusters in 90 countries     Watch our short videos on how to set up Quad9 - Windows / MacOS ▸           Privacy         How Quad9 protects your privacy When your devices use Quad9 normally no data containing your IP address is ever logged in any Quad9 system. Connections can employ encryption if your system supports it and the entire Quad9 platform has been designed to be GDPR-compliant from the first public announcement in 2017. Read more about Quad9’s privacy ▸ Why Quad9 is dedicated to data privacy Every transaction on the Internet starts with a DNS event. This name lookup reveals critically sensitive data about the person triggering that transaction. The nature of those name lookups has created a strong and dangerous motivation for commercialization of personal data from DNS recursive resolver services. Quad9 is the only large DNS resolver with a founding charter that includes privacy as a primary goal and the Quad9 team is devoted to the concept of keeping personal data under the control of the end user.   Quad9’s organizational move to Switzerland is important for the free and open internet because it provides much-needed geographic and legal diversity in the open DNS resolver space. It also shows that Quad9 is actively seeking to work within the legislative framework that best serves the privacy of its users.I support the Quad9 open resolver because it puts the end user first and helps build a secure and private internet without collecting – and therefore without the possibility of commercializing – users’ personal information. I believe Quad9’s philosophy of openness and transparency in handling users’ data resonates strongly with the core beliefs of our community.”   Christian Kaufmann       Chairman             RIPE    I’m really impressed by the privacy architecture of Quad9.  In addition to providing great security as a DNS resolver Quad9 doesn’t collect or retain personal data.  Now it is relocating to Switzerland where it will become subject to the rigors of Swiss data protection law which is similar to GDPR.  In addition it obtained findings of law from the Swiss government whereby it won’t be required to retain personal information nor will it be subject to requests from law enforcement or national security”   Omer Tene       Vice President and Chief Knowledge Officer             International Association of Privacy Professionals               Security         How Quad9 blocks malware Quad9 routes your DNS queries through a secure network of servers around the globe. The system uses threat intelligence from more than a dozen of the industry’s leading cybersecurity companies to give a real-time perspective on what websites are safe and what sites are known to include malware or other threats. If the system detects that the site you want to reach is known to be infected you’ll automatically be blocked from entry – keeping your data and computer safe.  Why Quad9 provides security services For the Internet to be an effective tool users must trust their ability to use online services without fear of theft fraud or misuse of their devices by criminals. Public and private network operators need protection against malicious use of infrastructure resources and attacks against their users or customers. Quad9’s mission is to improve the security and stability of the Internet to allow everyone to be less vulnerable to risks and more effective in their daily online interactions.   Check to see if a domain is in the millions of  malicious domains Quad9 blocks Enter a hostname or domain name to check if it is blocked by Quad9   Search             Participate         How to use Quad9 Quad9 can be used simply by setting the DNS server settings for your device to the addresses given in one of our service profiles. No sign-up is required no account data needs to be given to Quad9 and there is no contract. Quad9 is free to use and collects no personal data about you. You can configure your router or wifi access point to distribute these settings which will extend protection to all the elements on your local network including IoT devices many of which otherwise would not have any anti-malware defenses.  Why participate? Quad9 is a not-for-profit organization relying on grants and partnerships with commercial and non-commercial sources and from individuals. Your use of Quad9 may prevent a ransomware attack prevent your bank account from being compromised or protect your laptop from being used as part of an illicit criminal attack on others. All of these potential protections and many millions of other interventions have a direct savings result for you your business or organization and the companies you rely on such as banks and e-commerce firms. We hope that this understanding may inspire you to donate to Quad9 as an individual or with a corporate sponsorship. Donate ▸  Quad9c/o SWITCHWerdstrasse 28004 ZürichSwitzerland Major sponsors ◂▸         This work is licensed under a                  CC BY-NC SA 4.0 License</t>
  </si>
  <si>
    <t>www.quad9.net</t>
  </si>
  <si>
    <t>DNS Lookup Tool</t>
  </si>
  <si>
    <t>The DNS lookup is done directly against the domain's authoritative name server, so changes to DNS Records should show up instantly. By default, the DNS ...</t>
  </si>
  <si>
    <t>https://mxtoolbox.com/DNSLookup.aspx</t>
  </si>
  <si>
    <t>MX Lookup Tool - Check your DNS MX Records online - MxToolbox                    Javascript is disabled. Javascript is required for this site.                Fix the ProblemMX Lookup                    Domain Name                Solve Email Delivery ProblemsABOUT MX LOOKUP  This test will list MX records for a domain in priority order. The MX lookup is done directly against the domain's authoritative name server so changes to MX Records should show up instantly. You can click Diagnostics  which will connect to the mail server verify reverse DNS records perform a simple Open Relay check and measure response time performance. You may also check each MX record (IP Address) against 105 DNS based blacklists . (Commonly called RBLs DNSBLs)                          Your IP is: |                         ContactTerms &amp; ConditionsSite MapSecurityAPIPrivacy                        Phone: (866)-MXTOOLBOX / (866)-698-6652 |                     © Copyright 2004-2021 MXToolBox Inc All                    rights reserved. US Patents 10839353 B2 &amp; 11461738 B2                        burritos@banana-pancakes.combraunstrowman@banana-pancakes.comfinnbalor@banana-pancakes.comricflair@banana-pancakes.comrandysavage@banana-pancakes.comMxToolBox has been UpdatedRefresh Page×                    Sign-InSign in insteadEmail Address:Do you have an MxToolbox.com password?No I am a new user:Your Name:Password:Telephone:Company:Title:ExecutiveSystem AdministratorEmail AdministratorIT ManagerMarketing ManagerSmall Business OwnerConsultantOther – Please SpecifyYes I have a password.Forgot your password?TermsWe respect your privacyAlready have an account?Sign Up insteadEmail:Password:TermsWe respect your privacy</t>
  </si>
  <si>
    <t>mxtoolbox.com</t>
  </si>
  <si>
    <t>DNS leak test</t>
  </si>
  <si>
    <t>DNSleaktest.com offers a simple test to determine if you DNS requests are being leaked which may represent a critical privacy threat. The test takes only a ...</t>
  </si>
  <si>
    <t>https://www.dnsleaktest.com/</t>
  </si>
  <si>
    <t>DNS leak testWhat is a DNS leak?What are transparent DNS proxies?How to fix a DNS leakHello 208.75.19.153from Ann Arbor United StatesWhats the difference?Privacy policy | IVPN Limited</t>
  </si>
  <si>
    <t>www.dnsleaktest.com</t>
  </si>
  <si>
    <t>DNS Made Easy | Fast and Most Reliable Provider</t>
  </si>
  <si>
    <t>DNS Made Easy is a top provider that offers best DNS management services and tools. Sign up for free and enjoy the fastest and most reliable managed DNS.</t>
  </si>
  <si>
    <t>https://dnsmadeeasy.com/</t>
  </si>
  <si>
    <t>DNS Made Easy | Fast and Most Reliable Provider ServicesManaged DNS Services• DNS Failover• ANAME Records• Global Traffic DirectorSecondary DNSDNS AnalyticsReal-Time Traffic AnomalyMail ServicesDomain RegistrationTechnologyNetworkIndustry Leading SpeedsRest APIDynamic DNSThird Party IntegrationAffiliate ProgramEnterprisePricingResources  What is DNS?Subnet Mask Cheat SheetBlogBlog ArchivesTutorialsStatusFAQAbout   Our StoryCareersPoliciesContact UsLogin   Control PanelAnalyticsFree TrialBook DemoProducts Managed DNS ServicesDNS FailoverANAME RecordsGlobal Traffic DirectorSecondary DNSDNS AnalyticsMail ServicesDomain RegistrationTechnologyNetworkIndustry Leading SpeedRest APIDynamic DNSThird Party IntegrationAffiliate ProgramPricingEnterpriseResourcesWhat is DNS?Subnet Mask Cheat SheetBlogTutorialsStatusFAQAboutOur StoryCareersPoliciesContact UsLoginStart Free TrialDNS Performance and DNS Uptime LeaderDigicert dns trust manager offers premium managed dnsServicesManaged DNS Services• DNS Failover• ANAME Records• Global Traffic DirectorSecondary DNSDNS AnalyticsReal-Time Traffic AnomalyMail ServicesDomain RegistrationTechnologyNetworkIndustry Leading SpeedsRest APIDynamic DNSThird Party IntegrationAffiliate ProgramEnterprisePricingResources  What is DNS?Subnet Mask Cheat SheetBlogBlog ArchivesTutorialsStatusFAQAbout   Our StoryCareersPoliciesContact UsLogin   Control PanelAnalyticsFree TrialBook DemoProducts Managed DNS ServicesDNS FailoverANAME RecordsGlobal Traffic DirectorSecondary DNSDNS AnalyticsMail ServicesDomain RegistrationTechnologyNetworkIndustry Leading SpeedRest APIDynamic DNSThird Party IntegrationAffiliate ProgramPricingEnterpriseResourcesWhat is DNS?Subnet Mask Cheat SheetBlogTutorialsStatusFAQAboutOur StoryCareersPoliciesContact UsLoginStart Free TrialOur mission is to provide ground-breaking traffic management solutions to organizations that require increased uptime enhanced performance and that want to eliminate IT department workload and stress. For over 20 years we have enabled the world's largest brands to achieve lucrative success. We provide next-generation solutions that exceed demands of our partners.Schedule a DemoStart Free TrialCORE PILLARS OF SUCCESSNeed Enterprise Monitoring?Fully automated real time alerts smart routing and location checks Monitoring Services30 Day Free DNS TrialReceive unlimited queries DNS analytics and failover for 3 domains.Learn MorePricingDNS Pricing PlansYou have the ability to upgrade and scale to meet any of your organization's growth requirements.FREE TRIALFREEFor 30 DaysPurchaseDNS-5$18.75 / month$225 Billed AnnuallyPurchase5 Domains1500 Records5M Queries /mo1 Failover Record5 Query Logs Two Factor Auth100% SLA-backedSee FeaturesDNS-25$56.25 / month$675 Billed AnnuallyPurchase25 Domains7500 Records25M Queries /mo5 Failover Records10 Query Logs /moTwo Factor Auth100% SLA-backedDNS AnalyticsSee FeaturesDNS-50$175 / monthor $2100 Billed AnnuallyPurchase50 Domains15000 Records50M Queries /mo10 Failover Records25 Query Logs /mo1 Global Traffic Director (GTD)3 Factor Auth100% SLA-backedDNS AnalyticsDNSSECSee FeaturesEnterpriseContact usfor pricingGet Custom QuoteScalable PricingWhite Glove SupportDedicated Support TeamWhite Glove MigrationQuarterly Account ReviewsEscalated Support Response Times24/7/365 SupportEnterprise MonitoringDNS Video SupportFeature RequestsBook Strategy CallNeed more advanced features?DigiCert Constellix DNS offers advanced permissions with speed based decisions real time alerts advanced GeoDNS MultiCDN and weighted round robin. If your organization requires advanced features for your enterprise domains:‍Contact for QuoteBook Strategy CallCompare DNS Plan ServicesFeatureDNS-5$14.50/moDNS-25$45/moDNS-50$145/moEnterpriseCustomPurchasePurchasePurchaseContact UsDomains52550CustomMonthly Queries5 Million25 Million50 MillionCustomMonthly Records1500750015000CustomMonthly Query Logs51025CustomFailover Records1510CustomGlobal Traffic Director Included001CustomPlan FeaturesPlan FeaturesPlan FeaturesGet a DemoCompare DNS Plan FeaturesDNS-5 and DNS-25 are billed annually. DNS-50 can be billed monthly or annually.FeatureDNS-5$18.75 /moDNS-25$56.25 /moDNS-50$175 /moEnterprisePurchasePurchasePurchaseContact UsTwo Factor AuthenticationThree Factor Authentication100% SLA-backedDNS AnalyticsRest API AccessDNSSECSAML/SSO (setup fee)Geo Load Balancing (GTD)Add-OnSee Add-OnsSee Add-OnsSee Add-OnsGet a DemoAdd-On PricingDNS-5 and DNS-25 are billed annually. DNS-50 can be billed monthly or annually.FeatureDNS-5DNS-25DNS-50EnterprisePurchasePurchasePurchaseContact UsFailover Records (each)$2.50 /month$2.50 /month$2.50 /month$2.50 /monthAdditional Queries (per million)$2 /month$.48 /month$.48 /monthAdditional Domains (each)$1 /month$1 /month$1 /monthGlobal Traffic Director (each)$660 /year$660 /year$540 /year$540 /yearAdditional Users (each)$14.95 /year$14.95 /year$14.95 /yearAnomaly Detection (World)$50 /month$50 /month$50 /monthMigration Assistance$250/hour$150/ hrIncludedBusiness Hour Phone Support $150 /hourIncludedIncludedDedicated Vanity IP Address$300 /year$300 /yearPremium Support$1000 /yearIncludedDNS SupportDNS SupportDNS SupportGet a DemoDNS SupportDNS-5 and DNS-25 are billed annually. DNS-50 can be billed monthly or annually.SupportDNS-5DNS-25DNS-50EnterprisePurchasePurchasePurchaseContact UsAccount Ticket SetupDedicated Account RepresentativeBusiness Hour Live Phone SupportLive Chat SupportLive Video SupportLearning LabsPrivate WebinarsRoad Map Requests24/7/365 SupportPrivate Sandbox Account AccessAdvantagesbuilt on the fastest most reliable network‍FREE TRIALFREEFor 30 DaysPurchaseSecure DNS NetworkOur network and infrastructure was expertly designed to withstand any attack based on scale and complexity. Seasoned DNS administrators with 20+ years of experience ensure reliable infrastructure. We are able to guarantee 100% DNS uptime to all of our clients. No other DNS provider has the resources to ensure 100% uptime for your organization.Learn MoreIndustry Leading SpeedDigiCert DNS Trust Manager is consistently ranked as the world's fastest DNS provider according to third party network monitoring firms. We understand that fast DNS resolution is of utmost importance to your brand and that is why we dedicate more resources to our DNS network than any other provider in the industry.Learn MoreAdvanced AnalyticsUnderstanding your DNS data and having the necessary tools to quickly diagnose problems is essential to your organization's success. With our advanced analytics solutions you can keep your websites running efficiently.Learn MoreOutage Free GuaranteedOur exceptional DNS solutions and unrivaled network infrastructure give us the ability to offer 100% uptime without incident. Providing you with peace of mind and elite performance.Learn MoreREST API Automation through code to tightly integrate DNS with your organization's growth. Perform the core functions of the DigiCert DNS GUI control panel but programmatically! Even advanced services like Global Traffic Director HTTP Redirection and Failover can all be configured through REST.Learn MoreTraffic Performance MonitoringOur DNS solutions use proprietary artificial intelligence / machine learning to provide real-time anomaly detection of your DNS traffic. This unique solution provides alerts that will save your organization from costly outages and performance issues.Learn MoreTop-Rated Enterprise SupportOur support team is extensively trained to provide the highest level of support in the industry. Continuing education is provided to our engineers regarding the evolving internet landscape. We solve complex issues for our clients with ease.Learn MoreThird-Party IntegrationsWith a multitude of integrations available your team can reduce manual tasks workload stress and errors. Developed by DevOps engineers with over 20 years of traffic management expertise.Learn MoreNEED Next-Level Services?Book Strategy DemoNeed advanced services &amp; customized solutions? Schedule a customized demo and a free POC account.Derek SeymourTrusted by the world's largest brandsServicesManaged DNS Services• DNS Failover• ANAME Records• Global Traffic DirectorSecondary DNSDNS AnalyticsReal-Time Traffic AnomalyMail ServicesDomain RegistrationTechnologyNetworkIndustry Leading SpeedsRest APIDynamic DNSThird Party IntegrationAffiliate ProgramEnterprisePricingResources  What is DNS?Subnet Mask Cheat SheetBlogBlog ArchivesTutorialsStatusFAQAbout   Our StoryCareersPoliciesContact UsLogin   Control PanelAnalyticsFree TrialBook DemoProducts Managed DNS ServicesDNS FailoverANAME RecordsGlobal Traffic DirectorSecondary DNSDNS AnalyticsMail ServicesDomain RegistrationTechnologyNetworkIndustry Leading SpeedRest APIDynamic DNSThird Party IntegrationAffiliate ProgramPricingEnterpriseResourcesWhat is DNS?Subnet Mask Cheat SheetBlogTutorialsStatusFAQAboutOur StoryCareersPoliciesContact UsLoginStart Free TrialWHAT Our Clients SAYWe Keep Brands OnlineServing over 30000 global organizations millions of domains worldwide and 180+ billion queries per day"Consistently and widely outperforms other providers"After extensive research and tests among top DNS vendors we've concluded that DigiCert DNS Trust Manager consistently and widely outperforms other providers. We highly recommend web providers to switch.Derek SeymourDerek Seymour"Superb tech support... powerful API"We are extremely satisfied with the fail over options the API access and the superb tech support. I would specially recommend the service to any startup or										medium size business that don't want to worry about DNS to try the service and to the big companies to try the powerful										API and fell in love with it.Armando AndradeArmando Andrade"I really like the Automatic DNS Failover &amp; System Monitoring" I really love DNS Made Easy. When I make a change to any record in any of my domains that change is instantly propagated										to all of their servers and I really like the Automatic DNS Failover &amp; System Monitoring. Iulian HalacIulian Halac"The best value in our IT budget" Hands down DNSMadeEasy represents the best value in our IT budget. Rarely (in any industry!) do you find a company with										an offering that is as good (if not better) than their competitors yet costs hundreds to thousands of times less.										Amazing job in all facets guys you should be proud of the company you've built!Dan PlaksonDan PlaksonAUTOMATIONIntegrationsDigiCert DNS services can be easily integrated into any existing product or service to automate infrastructure deployment through code. Powered by our world renowned REST API .Manage your DNS records across multiple providers.Get startedRuby API ClientRuby library for DigiCert DNS API.Get startedDomain automation plus integrations with over 500 third-party apps.Get startedChef CookbookGeneric DNS record cookbook that supports pluggable DNS providers.Get startedManage hundreds of cloud servicesGet startedRead moreBlogLatest Industry NewsBlogJune 2 2023Managed Authoritative DNS in 2023: Unleashing Performance and SecurityLearn MoreBlogJune 2 2023Enhancing Resilience and Performance with Secondary DNS: Leveraging DigiCert DNS Trust Manager for Organizational SuccessLearn MoreBlogJune 2 2023Understanding the Key Differences Between Authoritative DNS and Recursive DNSLearn MoreBlogJune 2 2023Streamlining DNS Management for Cost Savings with DigiCert DNS Trust ManagerLearn MoreBlogMay 17 2023Optimizing TTL for DNS Records for Improved PerformanceLearn MoreBlogMay 17 2023CNAME Flattening: Unlocking the Power of ANAME Records for Efficient Domain PointingLearn MoreWant a Proof of Concept?Start your free (no credit card required) 30-day trial and have access to the fastest and most reliable DNS in the world.‍Yep it really is that easy.Start Free TrialServicesManaged DNS ServicesSecondary DNSDNS AnalyticsMail ServicesTechnologyIndustry Leading SpeedsNetworkREST APIDynamic DNSThird-Party IntegrationsAffiliate ProgramAboutOur StoryCareersContact UsBlogPoliciesDigital AssetsUtility PagesWhat is DNS?Subnet Mask Cheat SheetTutorialsStatusFAQContactsales@dnsmadeeasy.com+1 703.880.309511490 Commerce Park Dr Ste 140Reston Virginia 20191 USA© 2023 DigiCert Inc. All rights reserved.Social MediaFacebookTwitterYouTubeLinkedInProductsDNS DNS ManagementFailoverLoad BalancingGeo IP ServicesANAME RecordsCNAME RecordsSee All FeaturesDNS AnalyticsQuery Reports and StatisticsReal-Time LogsReal-Time Traffic Anomaly DetectionMonitoringPerformance MonitoringReal User MonitoringCDN Performance ReportsSolutionsMulti-CDN ManagementLatency Load Balancing - Round RobinTraffic Steering Load BalancerGlobal Load BalancingAPI Devops &amp; AutomationDisaster Recovery Plan PricingProducts PricingGet a Custom QuotePricing CalculatorPricing FAQsLearnConstellix Blog / NewsEducational ResourcesWhat is DNSWhat is GeoDNS?IP Anycast+Video DemosPress ReleasesToolsBuilt-In IntegrationsDNS Lookup ToolTraceroute ToolSubnet Mask Cheat SheetDNS Records Cheat SheetOutage Calculator ToolQPS CalculatorCompare DNSCompare DNS ProvidersAmazon Route 53CloudFlareMicrosoft AzureNS1DYN OracleGoogle CloudNeustar / UltraDNSFree vs Paid DNSSee All FeaturesCompare OutagesOutage PreventionWhy ConstellixPremium SupportPartnership ProgramSupportWeb SupportIntegrationsDNS MigrationKnowledge BaseContact UsDNS StatusFAQPoliciesSign UpBook DemoLoginUser ManagementDNSSonarAnalyticsBilling</t>
  </si>
  <si>
    <t>dnsmadeeasy.com</t>
  </si>
  <si>
    <t>GRC's | DNS Nameserver Performance Benchmark</t>
  </si>
  <si>
    <t>GRC's DNS Benchmark performs a detailed analysis and comparison of the operational performance and reliability of any set of up to 200 DNS nameservers ( ...</t>
  </si>
  <si>
    <t>https://www.grc.com/dns/benchmark.htm</t>
  </si>
  <si>
    <t>  Home of Gibson Research Corporation   Purchasing Sales Support Technical Support Contact Us Blogs Twitter &amp; RSS Privacy Policy Steve's Projects Page Steve's Old Resume General information What SpinRite Does User testimonials S.M.A.R.T. Monitor Purchase SpinRite FAQ Demo Videos Knowledgebase: B04E Knowledgebase: SATA Knowledgebase: BIOS SpinRite v5.0 pages ShieldsUP! Certificate Revocation Password Haystacks HTTPS Fingerprints Security Now! DNS Spoofability Test Perfect Passwords PPP Passwords Tech TV video clips Newsgroup DiscussionsSQRLSecurity» InSpectre Securable Leaktest Shoot the messenger Unplug n' Pray DCOMbobulator MouseTrap MouseTrapCmdUtilities» ValiDrive InControl ReadSpeed DNS Benchmark InitDisk Never 10  (no upgrade) Wizmo ID Serve ClicKey Free &amp; Clear IDentity (ASPI)Obsolete» FIX-CIH TIP (trouble in paradise) OptOut XPdite NoShare LetShare PatchworkGeneral» Malware Repository SQRL Login Technology EV SSL/TLS Certificates Ultra-high entropy PRNG Pure CSS web menus NAT router security PDA max battery lifePending» GRC NetFilter TrustPuppyHistorical» Worm wars of 2001 File downloader spying Sub-pixel font rendering Earthlink browser tag ZIP &amp; JAZ click of deathDormant» OpenVPN The Assimilator ASPI MEHealth» Health Homepage The Low Carb Choice Vitamin D Healthy Sleep Formula Zeo Sleep Manager ProSQRL PDP-8 Computers TrueCrypt Repository Big Number Calculator The Quiet Canine  Gibson Research Corporation Proudly AnnouncesThe industry's #1 hard drive data recoverysoftware is NOW COMPATIBLE with NTFSFAT Linux and ALL OTHER file systems!And the exclusive home of . . .More than 106852742 shields tested!To proceed click the logos or select from the menu above.</t>
  </si>
  <si>
    <t>www.grc.com</t>
  </si>
  <si>
    <t>DNS Propagation Checker - Global DNS Testing Tool</t>
  </si>
  <si>
    <t>whatsmydns.net is a free online tool that lets you quickly and easily perform a DNS lookup to check DNS propagation and see information of any domain from DNS ...</t>
  </si>
  <si>
    <t>https://www.whatsmydns.net/</t>
  </si>
  <si>
    <t>DNS Propagation Checker - Global DNS Testing ToolAAAAACNAMEMXNSPTRSOASRVTXTCAA                                Expected Value:                             Search                Donate            United StatesLoading...-United StatesLoading...-United StatesLoading...-United StatesLoading...-United StatesLoading...-CanadaLoading...-MexicoLoading...-BrazilLoading...-SpainLoading...-United KingdomLoading...-FranceLoading...-NetherlandsLoading...-GermanyLoading...-SwitzerlandLoading...-ItalyLoading...-South AfricaLoading...-TurkeyLoading...-RussiaLoading...-PakistanLoading...-IndiaLoading...-ThailandLoading...-MalaysiaLoading...-SingaporeLoading...-ChinaLoading...-South KoreaLoading...-JapanLoading...-AustraliaLoading...-AustraliaLoading...-DNS Propagation Checkerwhatsmydns.net lets you instantly perform a DNS lookup to check a domain name's current IP address and DNS record information against multiple nameservers located in different parts of the world.                                        ← back to map view                                    ...Global DNS Checker - How to check DNS propagationwhatsmydns.net is a free online tool that lets you quickly and easily perform a DNS lookup to check DNS propagation and see information of any domain from DNS servers located in many countries all around the world.You can test changes made to new or existing domains and see if they have been updated correctly without the need to manually query remote servers. This gives you immediate insight into how users globally may be resolving DNS records for your website email or other online service.Many operating systems include DNS tools to check DNS records manually for diagnosing problems. However using these tools can be complicated and difficult to understand for non-technical people which is why the whatsmydns.net DNS checker was created to help with quickly checking DNS propagation.whatsmydns.net makes the process of performing global DNS checks easy by maintaining a range of DNS servers to perform lookups with. These results are then parsed and displayed on a map so that results are easier to understand at a glance. Individual lookup results can be seen in detail by selecting a server location from the list or clicking on the map markers once a search has been completed.What is DNS and how does it work?The Domain Name System (known as DNS) is a system used to convert a name (like www.google.com) into an IP address (like 192.168.2.1). These addresses are used by computers to communicate with each other on the internet. Most people find remembering names much easier than numbers so DNS makes this process easy.When you visit a website your computer phone or tablet will first check your local DNS cache for the corresponding IP address. If your device has not recently looked up this website then it will need to ask your configured DNS server which will forward the request on to the DNS server responsible for managing the records. This process is known as a DNS lookup request.Once the IP address is known it is stored locally for a set period of time known as the Time To Live (TTL) and used to speed up future requests. Updated records will not be returned until this time has expired this can often be the cause of why DNS changes do not appear to be working right away.What is DNS propagation?DNS propagation is the term commonly used to check the current state of DNS results globally and is often asked about when changes made to DNS zones do not appear to be working as expected. This process can take from only a few minutes but often takes up to 48-72 hours and sometimes longer.While technically DNS does not propagate this is the term that people have become familiar with. DNS requests are recursively forwarded and looked up from the locally used resolver to the authoritative name server on demand and then cached to speed up future lookup requests. For this reason commonly used DNS servers of large network providers located around the world have been selected when performing DNS checks.For popular websites DNS results may be cached for people in different parts of the world using many different recursive DNS resolvers. If you have recently made changes to your configuration and the TTL has not yet expired then some people may be receiving out of date results which could mean that they see an older version of your website.How long does DNS propagation take?How long DNS propagation takes usually depends on your records TTL setting. This can be anywhere from several minutes up to 48-72 hours or longer. However there are sometimes other reasons for a long propagation time.The main issues as to why DNS propagation can take so long are:DNS Cache - The Time to Live (TTL) is the duration in which DNS data is allowed to 'live' in the cache of a local device or DNS resolver. When this duration expires the local device or server removes existing DNS information and carries out another DNS lookup to fetch new information. Higher TTL settings can often cause a delay in DNS propagation.Internet Service Providers - Your ISP also caches DNS results which allows for many users to access sites faster. For every website requested they will ask the DNS server responsible only once but return the same result for many users. Some ISPs also overlook TTL rules keeping a cached DNS record even if the TTL has expired. This can make DNS propagation take longer than it should.Other DNS Servers - You may not be using your ISPs DNS server if this is the case then the same issues that may be causing delays can still apply.Domain Name Registrar - When changing web hosting or DNS providers for your domain it is often also required to update your authoritative name servers. These changes will need to be reflected in the corresponding TLD nameserver for your domain name. For example if you were to change the NS records for example.com then the .com TLD nameserver would also need to update which can cause delays in DNS propagation.How do you speed up DNS propagation?A technique used to speed up DNS propagation and prevent a delay is to lower your DNS records TTL a few days in advance of making any changes so that when the change is made any old records expire more quickly. Unfortunately most people who are having issues and trying to speed up DNS propagation only find this out after making changes and are wondering why they're not seeing instant results.If you have checked DNS globally and are seeing different results locally then you may consider flushing your DNS cache or using another DNS server. As a last resort manually overriding your local DNS entries in your systems hosts file can also be done but should be considered a temporary measure and only works for certain record types.What server types are used in a DNS check?There are 4 different types of DNS servers involved when performing a DNS check. Each has a different role and may not be needed at all depending on the situation having all these different server types is what contributes to DNS propagation issues.Recursive Resolver - The DNS server your device communicates with is called the recursive resolver and is issued to you automatically by your ISP but can be also configured on your router or individual devices. These DNS severs are ideally located in close geographical proximity to return results as fast as possible. These servers will cache a copy of the DNS results to speed up future DNS lookup requests.Root Name Server - This type of DNS server is responsible for returning the IP address of the TLD (Top Level Domain) nameserver. For instance if it is trying to resolve example.com the root name server returns the IP of the TLD name server that runs .com domains.TLD Name Server - This name server returns the authoritative name servers for each domain under the Top Level Domain it's responsible for.  The .com TLD name server will return results for example.com but not example.org.Authoritative Name Server - This stores DNS servers' configuration data for specific domain names.What happens when a DNS request is made?Below demonstrates the flow of events when a user requests to visit www.example.com in their web browser for the first time and does not yet have cached results. As you can see each step introduces the possibility of a DNS propagation delay.→ You type www.example.com into your web browser.→ Your device sends a request to your configured recursive resolver.→ The recursive resolver asks the root nameserver for the IP address of the TLD nameserver responsible for .com domains.← The root nameserver returns the IP address of the .com TLD nameserver to the recursive resolver.→ The recursive resolver asks the .com TLD nameserver for the address of the authoritative nameserver responsible for example.com.← The .com TLD nameserver returns the IP address of the authoritative nameserver to the recursive resolver.→ The recursive resolver asks the authoritative nameserver for the IP address of www.example.com.← The authoritative nameserver returns the IP address of www.example.com to the recursive resolver.← The recursive resolver returns IP address of www.example.com to the browser.→ Your browser makes a web request directly to the resolved IP address.Which DNS record types can be checked?You can check DNS propagation for common record types including:A - The most common DNS record used to point a domain to an IP address.CNAME - Also known as alias records they point to other DNS records. Sometimes used for subdomains like www.MX - Mail Exchanger records are used set email servers and their priority.NS - Name Server records store the authoritative nameserver.TXT - Text records are commonly used for configuration settings such as SPF and DKIM records.                        Additional types that can be checked which are usually used in more advanced configurations include:                        AAAA                        CAA                        PTR                        SOA and                        SRV.                    Make sure to check all your DNS recordsWhen checking DNS records there are often multiple record types that you need to verify are correct. For example websites sometimes include www or other subdomains as either an A or CNAME record and email servers use the MX record type.                            Check Another Record Type ↑                        or                            Check Another Domain ↑                        ...Support MeIf you find this service useful for checking DNS propagation please consider donating to help pay hosting costs and keeping the site up to date.                        Donate via PayPal                    DNS ToolsDNS CheckerDNS LookupReverse DNS LookupWhat's My IP Address?DNS GuidesDNS SecurityFlush DNSHosts FileDNS LookupA Record LookupAAAA Record LookupCAA Record LookupCNAME Record LookupMX Record LookupNS Record LookupPTR Record LookupSOA Record LookupSRV Record LookupTXT Record LookupArticles &amp; BlogDNS ArticlesDevelopment BlogDNS ServersGlobal DNS ServersAustralian DNS ServersFrance DNS ServersNew Zealand DNS ServersUnited Kingdom DNS ServersUnited States DNS Servers                    Browser Extension                 Chrome                        new                    Social MediaContactEmail: [email protected]Twitter: @whatsmydnsLegalPrivacy Policy</t>
  </si>
  <si>
    <t>www.whatsmydns.net</t>
  </si>
  <si>
    <t>What is DNS? | Domains - GoDaddy Help US</t>
  </si>
  <si>
    <t>The easiest way to access your DNS is to sign in to your GoDaddy Domain Portfolio, click or tap directly on your domain name and then select DNS. You should see ...</t>
  </si>
  <si>
    <t>https://www.godaddy.com/help/what-is-dns-665</t>
  </si>
  <si>
    <t>Cloud Delivered Enterprise Security by OpenDNS</t>
  </si>
  <si>
    <t>https://www.opendns.com/</t>
  </si>
  <si>
    <t>Cloud Delivered Enterprise Security by OpenDNSSkip to contentSkip to footerOpenDNS is now part of Cisco  Learn More About CiscoEnterprisePartnersConsumerAbout UsSearchSupportLoginDashboardEnterpriseMSP &amp; PartnersConsumerAbout UsSearchSupportLoginDashboardImprove YourInternetEnterprise SecurityCisco Umbrella provides protection against threats on the internet such as malware phishing and ransomware. Visit umbrella.cisco.comConsumerOpenDNS is a suite of consumer products aimed at making your internet faster safer and more reliable.Learn moreWhy users love OpenDNSDelivers faster more reliable home internetThanks to our global data centers and peering partnerships we shorten the routes between every network and our data centers–making your internet access even faster.Helps make the web a safer placeWith filtering or pre-configured protection you can safeguard your family against adult content and more. It’s the easiest way to add parental and content filtering controls to every device in your home.Easy to set upGet OpenDNS up and running in your home quickly and easily. PhD in Computer Science not required. Thanks to our helpful guides and knowledge base set up is a breeze.Who We AreData Center LocationsLearn MoreCommunitySpiceworksTwitterFacebookLinkedIn© OpenDNS 2023208.67.222.222 · 208.67.220.220Cisco Online Privacy StatementSitemap</t>
  </si>
  <si>
    <t>www.opendns.com</t>
  </si>
  <si>
    <t>DNS SHOP - Apps on Google Play</t>
  </si>
  <si>
    <t>https://play.google.com/store/apps/details?id=ru.dns.shop.android&amp;hl=en_US</t>
  </si>
  <si>
    <t>DNS Performance - Compare the speed and uptime of ...</t>
  </si>
  <si>
    <t>Compare the speed and uptime of enterprise and commercial DNS services.</t>
  </si>
  <si>
    <t>https://www.dnsperf.com/</t>
  </si>
  <si>
    <t>DNS Performance - Compare the speed and uptime of enterprise and commercial DNS services | DNSPerfToggle navigationMENUCLOSEGet premiumDNS Performance &amp; UptimeAuthoritative DNS ProvidersPublic DNS ResolversDNS Root ServersDNS Providers All DNS ProvidersTools DNS Propagation checkerDNS Speed BenchmarkNetworkGet premiumDNS Performance Analytics and ComparisonFind the fastest and most reliable DNS for free based on millions of testsData powered by:How we measure DNS PerformanceAll DNS providers are tested every minute from 200+ locations globally. All tests are over IPv4 with a 1-second timeout. The public data is updated once per hour but contact us for real-time data.Authoritative DNS providersPublic DNS resolversDNS Root ServersDNS ProvidersLocation:WorldPeriod:Last 30 daysType:Raw Performance                            Resolver                                Simulation                            UptimeQualityFilters DNS ResolversLocation:WorldPeriod:Last 30 daysType:Raw Performance                            UptimeQualityFilters DNS Root ServersLocation:WorldPeriod:Last 30 daysType:Raw PerformanceUptimeQualityFilters  Find out when DNSPerf and CDNPerf release new features and toolsWe rarely send messages only when we have important news to share. No spam or annoying emails.We rarely send messages only when we have important news to share. No spam or annoying emails.Our other projects:Get in touch will@perfops.netMedia© 2020 PerfOps Sp z.o.o. All rights reserved.</t>
  </si>
  <si>
    <t>www.dnsperf.com</t>
  </si>
  <si>
    <t>the Internet's Fastest, Privacy-First DNS Resolver - WARP</t>
  </si>
  <si>
    <t>Setup on Android · Open System Preferences. · Search for DNS Servers and select it from the dropdown. · Click the + button to add a DNS Server and enter 1.1.1.1 ...</t>
  </si>
  <si>
    <t>https://1.1.1.1/dns/</t>
  </si>
  <si>
    <t>инна чурикова</t>
  </si>
  <si>
    <t>Чурикова, Инна Михайловна</t>
  </si>
  <si>
    <t>И́нна Миха́йловна Чу́рикова (5 октября 1943, Белебей, Башкирская АССР — 14 января 2023, Москва) — советская и российская актриса театра и кино; ...</t>
  </si>
  <si>
    <t>https://ru.wikipedia.org/wiki/%D0%A7%D1%83%D1%80%D0%B8%D0%BA%D0%BE%D0%B2%D0%B0,_%D0%98%D0%BD%D0%BD%D0%B0_%D0%9C%D0%B8%D1%85%D0%B0%D0%B9%D0%BB%D0%BE%D0%B2%D0%BD%D0%B0</t>
  </si>
  <si>
    <t>Инна Чурикова: фильмы, биография, семья, ...</t>
  </si>
  <si>
    <t>Инна Чурикова. Дата рождения: 5 октября, 1943. Актриса, Актриса дубляжа, Сценарист. Лучшие фильмы: Тот самый Мюнхгаузен, Идиот, Начало, Московская сага, ...</t>
  </si>
  <si>
    <t>https://www.kinopoisk.ru/name/128152/</t>
  </si>
  <si>
    <t>Инна Чурикова - актриса - биография</t>
  </si>
  <si>
    <t>https://www.kino-teatr.ru/kino/acter/w/ros/4785/bio/</t>
  </si>
  <si>
    <t>����-�����.�� - �������� ������ �������� ����� ������� ���� � ������ ��������������� �������������� ������������� ����������������������������������� ������������������������������������������ ��������� �� ���������������� �� ��������������� ����������������������������������� ����������� ������������������ �������������������� ��� ����������������� � �������������� ������������������ ��� �������-���������������� ������� ���������������������� ��������������� ������������������ � ���������� �������� ��������������� ���������� ������������������� ����������������� ��������������� ������������������������ ������������ ��������������� ���������� ��������� ���������������� ������������������� ������������������� ������ ������������ �������� �������������� ����������������� ���������������� ������������� �������� ������������������ ���������� ���������� ������������������� ����������������� ������������� ���������������������� �����������������������-������������������������� �������������������� ������������ � ������������������ �������������� ������������ �� ���������������� ���������� ����������������� ������� ���������������������������������������������������������������������������������-������������������������-������������������������ ������������������������ ������������-�������������������� ������������� ������ � ����������������� �����-���������������� ������������ �������� ��������������� ������������ ������� ������������������� ������������������� ��������������������������������� �� ����������� ��������������� ������������������������������������������ ����������-���� � ������������ �� ����������������� ���� ���� ��������� ���� ���� ���� �� ���������������� �������������� ������������� ����������� ����������� ������������������������� �������� �� ���������������� �� �������������������� ������������������������������������������� �� ������������ ������ ������: ����� ������� ������ ������� ������� � ������ �� ��� ����������� ���� � �������: ��������� �������� �� ������ ���������������� �1�: ��� ��������� ������� �� ������� � �������������� ��������� ��������� ��� ������ ����� ������� ����� �������� ��� ����� ����� � ������ ��������: ������� ������� ����� �� ������Okko ������� ����������� ����������� ��� ���������� �������� �������������� �������� � ���������� �������� ������� � �������� �������������� ������������� � ����� IFFI������� ���� &gt;&gt;11 ���������� � ������ ������� � ��� ������� ���� ������ ����� �� ������� ����� The Legend of Zelda11 ������������ ��������� ��������� ��� ������ ����� �������� ������� ������� �� ��� ��� ������ � �������11 ������������-�������� ��������� ����� �����������: ������� ������� ������� � ��� �������� ��������� 9 �������������� ������� START11 �������� ����� �������� ��� ����� ����� � ������ ��������: ������� ������� ����� �� ������� ����� ����������� �� ������� ����� �� ����� ���� � �������� ��������� ��������� ��-������11 ����������� ����������� � ��������� ������ �������� �� ���� ����� �� ��������10 ������Okko ������� ����������� ����������� ��� ���������� �������� �������10 ������������������� �������� ������� ����������� � ������� �������� ��������� 26 ������10 �������������� ���� �����: ������ ����� ������� ���������� ����� � �������� �������� ������1 �������������������� &gt;&gt;����� ������ ������ ������������ �����: �������� ����� � ������ ����� ������ ������ ������������������: ���� ��������� ������ ������ � ���� ����������� ��������: ���� ��������� ����� ������ � ���������� �������������� ������� �������� ������������ ����������������� ������ ���� ����� ����������� �������� ���� �� ������ People�������� &gt;&gt;7 ����������� ��������: ���� ���� ����� "�����" � ��������� ��������� �� ��������������������� ����� � � ������ ��� ��û ������������� ����� � ������ ������-������������� ����1 �����������6 ������������ �������: ����� ��� ������� ��� ��� � ������ ��� �� ������� � ������� � �� �� ������������� � ��������� ��� ���������� ��������� � � ������ ��������� ������� ����� ����� ������� ����� ��� �� ��������� �������� � ������������ ������� ������� ����� ����������� � �����5 ������������3 ����������� �����������: �� ����� ����� ���������� � �������� ������� ���� ����� �� ���� ���� ������� �� �� ��� �� ������������������ � �������� � � �������� �������� ��������� �������� � ������� � ������� � ���������� ������ �� ������� � ����� �������2 �����������2 �������������� ��������: �� ����� ������ ������� �� ������������ � � ������ ������ ���������� � �����. ����� �� �������� ������������ �������� �������� ���������� � �������� ������� ������� ��������� � �������� ����������22 �������������� ��������: �� ��� ��� ��� ��������� �����������5 ������������20 ����������� �������: �� ������� �� ������ ������ ��� ��� �������� ������ ��� � � ��������� �������� ��� ��� �� ����2 �����������17 ����������� ����: �� ��������� ������� ������� ��� ����������� � ����� ���������� ����� ������������� � ������������ ��������7 ������������12 ������������ ���������: ���� ���� ��������� ������� ������ �������������2 ���������������� �������� &gt;&gt;������ �������. ����� �2��������� ���� ������� �� ������ � ������ � ������������� ������� �������� ����� ������ � ��� ���������� � ������� �� ������� ���������� � �����������   (2 �����������)������� ��������. ������� �� ���������� ���������� 3�. ������� �� ����� ����������������������: ���������� � ��������. ������� � ����������� ����������������� ������ �����������������: ������� ������� ������� � ��� ������������� ���� &gt;&gt;����� ������������ �������������� 2023����� �� ��� ���������������� 2023������. ����������� ��������� 2022����������� 1787. ����������������� ����� ��������� ����������������� 2023�������� ������������ ������� ����� �������� ���� ����� � ���������������� 2023������� � �������������� ����� ����������� ���������� ����������� 2023��� ������� ������-2������� �������� ���������� 2023��������� ������������� 2023��� ������ � ������� &gt;&gt;�������� &gt;&gt;10 �������������� �1�: ��� ��������� ������� �� ������� � ����������������� ���������� � ���� ���������� ������� � ������ ���� ������������2 �����������10 ���������������� �����: ������� ���� � ������������������� ������ ��� �������� �����������1 �����������9 ������������� ����: � ������� ���� � ������� �������������� �� ���������� ��������� �������8 ���������� ���������: ������� ��� ������������?��������� ����������� ���� ������ �������� ������� ������� ����������3 �����������5 ������������� ��������� �����: �������� ���� ���� ����� ����1 �����������5 ����������� ����������: ����� ��������1 �����������4 ����������� ��������� �����: ������� ������3 �����������2 �������������� ���������: ��� ����� �� ��� � �� ������������10 ������ ���� �� ����� ���������� ������ ������.9 ������ ���� �� ����� ������� ������ ������������.����� �������� &gt;&gt;11 ������������� ������ ������: ����� ������� ������ ������� ������� � ������ �� ��� ���������������������� ������ � ��� ��� ����������� �������� �����9 ���������������� ��������: �����-������������ ��������?������������ ������ � ���� � �����2 �����������8 ������������� � �� ����������: ������ �������� �����������. ��� ��� ����?����� ����� �������� � ��� ��������?7 ������������ �������: ��������� ����������� ����������� ��������� ����� ���������� ����������� ����� 1980-�21 �����������6 ���������������: ���� ����� � ����12 ������������6 ���������������� �����������: ��� ��������� �������� � �������10 ������������4 ������������ ������ �� ���������������: ����� ��������� ������������ ������ ����� ������!�31 ������������� ��� ��û: �� ��� ������� ������� ������ �����������?6 ������������������� ���� &gt;&gt;7 ����������� � �����: ����-��� � ���� � ��������20 �������� ��� �� 2017 ������������3 �������������� ������: ������ ������� ����� ������ � ��������� ����� ������������� ��������� ��������-������ ������ �� ������ ����-�����.��31 ���������������� �� ����: ������ 300 �������� �� ��� ������ ������������������� �������� � ������� ��� ��������� ������ ��������3 �����������31 ���������� �������: ���������-��������������� ����� �������������� �������� ������ ������ ������ ��������� � ������ � ������ �������� � ����1 �����������30 ������������ ��������� ����� � ����� ����� �������� ������ �������� � ��� 10 ������� ������3 �����������30 ����������������� ��� � ������� ���: ���������������� ����� ������� ������� ��� ����2 �����������26 ������������ �������: ����������� ������ ���� � �������7 ������������25 �������Party Like a Russian: ��� ���� � ������� ������������ ����������� ��������� ��������3 ������������������� �������12 ������������ ������������� ��������������� ������10 ������PREMIER���� ����� ������������10 ������Apple TV+������ �� ������14 ������START��������� ������14 ������OKKO������ ������14 ������Netflix����� ��������� �������14 ������PREMIER�������� ���15 ������Disney+������16 ������Netflix"������": �������� ��������17 ������Disney+����� �������� ���� �� ���17 ������Netflix��������� &gt;&gt;11 ������������ ������ ���� ����� ����������� �������� ���� �� ������ People������ �������� ��������� �������11 ����������� ������ ������ ������������ �����: �������� ����� � ������ ����� ������ ������ �������������� ���������� ����� �������������11 �����������������: ���� ��������� ������ ������ � ���� ������������� ������� ������ ������. ����� �� ���������10 ������������ ��������: ���� ��������� ����� ������ � ���������� ������������������ �������� ������ OK! Awards ������� ��� �������1 �����������10 ����������� ������� �������� ������������ �����������18 ������������10 ����������� ���������� ����������� � ������� ���������10 ����������� ���� � ���� ��������� �� ����� ����� ������!�9 ��������������� ������: ������ ���������� ����� ��������� � ��������� �������������� �������� &gt;&gt;������� ����������������� �������������� ����������������� ��������������� ��������������� ����������� ����������������� ������������� ������������� ������������ ��������������� ����� ����������� ���������� ����������� ���������� ���������� ���������� 12 ������ &gt;&gt;������� ������ &gt;&gt;7 ������������� ��������� ������� �������� � ����� �������� �������� ���������� ������������ ������� ��������� �������� ����� ����� ��������� � ����� �������� ���������21 ���������������� ������� ������ ����� ������ ������ ����� �������� �� ���������� ��������� �� �������� ������������ � ���������� ������ ���������� ������� ����������� � �������������� 20 ��� ������ ������� ��� ���������� �������� ������ � �������� ��������1 �����������30 ��������������� ��� 13 � 30� ��������� � �������� ��������� ������ ��� ��������� �������� ������ ��������� ���� �������� � ���� ����3 �����������17 ������������� ����� � ������ ������������ ��������� ������� ������������ ��������� ��������� ���������������� ���� ����� ���������� ������� �����������5 ������������10 �������������� ������ �������������� � ����� ��������� �� ����� ������ ������ ������� �������6 ������������8 ��������� ������ ����� ������� ������� ��������� ������ � ������ � ��������� ��� ��������6 ������������5 �������������� ������������� � ����� ������ � ����-���� ������� ���������2 �����������29 ���������������� ���������� �������� �������� � ��������� ������ ������� �������� ���������� �������7 ��������������������� &gt;&gt;27 ��������������� �� ����� ����� ��������� � �������� ����: ����� ��������� ���-2023����� ����������� ���������� �� ������� ��������� ������������ � ���� ����6 ������������19 ����������� ���� � ���� �����: ��� �� ��������� � ��������� ��� ��� ��� ����� ������� ������������� �� 189 ������ �������������� ������������� ������� � 33-� ��� ������� � �����-����������: � 20 �� 28 �������1 �����������11 ������������� ���� �� ���������� ����: ������� ��������� ������ � � ����� ��������������� ������ ������� ������ ������ ����������2 ������������������ ����������� &gt;&gt;11 �������������: ������ ������11 ������ 22:00 ���1 �����������10 ������������������: ���� ��������� �����?� ���� � 10 �� 11 ������ 02:05 viju TV1000 �������2 �����������9 �������������������: �� ���9 ������ 18:50 viju TV1000 �������1 ������������������� &gt;&gt;8 ���������� ������������ ������ ���� ����� � �������� ��������� �� ���������� ��������� ���������������� � ������������ ������� ������ �����4 �����������-����: �������: ��� ����������� ����������� �������� FLCL?�������� ��� ��� ����� ������� ���� ������?�������� ���� &gt;&gt;11 ��������� ���� � �������: ��������� �������� �� ������ �������������������� ��������� ������ � �������� � �������� ���������24 ��������������� ������� � ������ ��������� ��� �������������: �������� ����� ���� � �� ��������� ������ ������ �� ��������� ������ ������1 ������������������� �� ��������� &gt;&gt;29 �������������� ����� ��� �������: �������� � ������� �������� ����� ����� ������ ������ �������� ��������� �������� ����������1 �����������19 ������������� �� �������: ������ ���������� ������������ ��������� �� ����� ������ ���������� ������ � ������� �����4 ������������ 2006-2023 kino-teatr.ru������������� ����� kino-teatr.ru �������� ������ � �������������� �������� � ��������� ����������������� ������������������� ���������������������</t>
  </si>
  <si>
    <t>www.kino-teatr.ru</t>
  </si>
  <si>
    <t>Биография Инны Чуриковой</t>
  </si>
  <si>
    <t>14 янв. 2023 г. —</t>
  </si>
  <si>
    <t>https://tass.ru/info/16800267</t>
  </si>
  <si>
    <t>Инна Чурикова</t>
  </si>
  <si>
    <t>https://24smi.org/celebrity/604-inna-churikova.html</t>
  </si>
  <si>
    <t>Последние новости шоу-бизнеса России и мира биографии звезд гороскопы - 24СМИНовостиСтатьиБиографииГороскопыФактыКиноДом и садПромокодыПромокодыШоу-Бизнес11 ноября 2023 г. 15:19Торт и сотни писем: как Ефремов сидит в колонии и отмечает юбилейПоследние новостиТорт и сотни писем: как Ефремов сидит в колонии и отмечает юбилейШоу-Бизнес11 ноября 2023 г. 15:19Запущен второй сезон шоу «Аватар»: новые правила новые участники новый член жюриШоу-Бизнес8 ноября 2023 г. 11:33Умер олимпийский чемпион Олег ПротопоповСпорт5 ноября 2023 г. 14:25Шоу-Бизнес8 ноября 2023 г. 11:33Запущен второй сезон шоу «Аватар»: новые правила новые участники новый член жюриПоследние новостиТорт и сотни писем: как Ефремов сидит в колонии и отмечает юбилейШоу-Бизнес11 ноября 2023 г. 15:19Запущен второй сезон шоу «Аватар»: новые правила новые участники новый член жюриШоу-Бизнес8 ноября 2023 г. 11:33Умер олимпийский чемпион Олег ПротопоповСпорт5 ноября 2023 г. 14:25Спорт5 ноября 2023 г. 14:25Умер олимпийский чемпион Олег ПротопоповПоследние новостиТорт и сотни писем: как Ефремов сидит в колонии и отмечает юбилейШоу-Бизнес11 ноября 2023 г. 15:19Запущен второй сезон шоу «Аватар»: новые правила новые участники новый член жюриШоу-Бизнес8 ноября 2023 г. 11:33Умер олимпийский чемпион Олег ПротопоповСпорт5 ноября 2023 г. 14:25ЗнаменитостиВсе знаменитостиКристина АсмусТравля угрозы и развод: Кристина Асмус впервые рассказала чем обернулись съемки в «Тексте»Михаил ЕфремовТорт и сотни писем: как Ефремов сидит в колонии и отмечает юбилейBackstreet BoysПытаемся выяснить кому достался образ Трубадура в шоу «Аватар»«Суперстар!»История любви Игоря Наджиева и его жены Аллы«Аватар-шоу»Спортивный парень Соловей-разбойник: пытаемся раскрыть личность этого участникаПоследние новостиШоу-БизнесвчераТравля угрозы и развод: Кристина Асмус впервые рассказала чем обернулись съемки в «Тексте»Шоу-БизнесвчераТорт и сотни писем: как Ефремов сидит в колонии и отмечает юбилейКраткоРостислав Хаит из «Квартета И» стал отцом в 52 годаШоу-Бизнес26 октября 2023 г.В Москве простились с Анфисой РезцовойОбщество25 октября 2023 г.Звезда сериала «Солдаты» Иван Жидков женится на студенткеШоу-Бизнес25 октября 2023 г.Даня Милохин показал следы от избиения в ТбилисиШоу-Бизнес22 октября 2023 г.Елизавета Туктамышева ответила на слух о завершении карьерыСпорт22 октября 2023 г.В магазине кроссовок Никиты Ефремова прошел обыскШоу-Бизнес22 октября 2023 г.Светлана Разина призналась что сделала семь абортовШоу-Бизнес22 октября 2023 г.Шоу-БизнесвчераПытаемся выяснить кому достался образ Трубадура в шоу «Аватар»Общество9 ноября 2023 г.Новый штамм коронавируса уже в России: что известно о пиролеШоу-Бизнес8 ноября 2023 г.Съемки «Голубого огонька»: каким будет телешоу в 2023 году и почему требуют его отменыОбщество8 ноября 2023 г.Гонконгский грипп нашли в России: симптомы и опасность для здоровьяШоу-Бизнес8 ноября 2023 г.Запущен второй сезон шоу «Аватар»: новые правила новые участники новый член жюриШоу-БизнесвчераИстория любви Игоря Наджиева и его жены АллыШоу-Бизнес21 октября 2023 г. 13:58Олеся Малибу разводится вскоре после свадьбыУмерла олимпийская чемпионка Анфиса РезцоваОбщество21 октября 2023 г.Подведены итоги шоу «Голос. Уже не дети»Шоу-Бизнес21 октября 2023 г.Светлана Светличная лечится от пневмонии и теряет память – СМИШоу-Бизнес19 октября 2023 г.Умер актер шоу «Каламбур» Сергей ГладковОбщество19 октября 2023 г.Шоу-БизнесвчераСпортивный парень Соловей-разбойник: пытаемся раскрыть личность этого участникаОбщество7 ноября 2023 г.Что такое министерство счастья: инициатива Матвиенко и мировая практикаШоу-Бизнес26 октября 2023 г.Юморист Пономаренко раскрыл причину госпитализацииШоу-Бизнес26 октября 2023 г.Кравец раскрыла налоги Пугачевой за «королевские апартаменты» на КипреШоу-Бизнес26 октября 2023 г.«Мисс Россия» Анна Линникова выходит замужШоу-Бизнес25 октября 2023 г.«У матери забрали младенца»: Илью Соболева с женой и грудным ребенком чуть не выгнали из самолетаШоу-БизнесвчераУгадываем кому достался образ Садко в шоу «Аватар»Шоу-Бизнес25 октября 2023 г.«Юбку не задирал»: Андрей Губин возмущен обвинениями певицы АкулыШоу-Бизнес25 октября 2023 г.Наталью Штурм обокрал любовник в ИспанииШоу-Бизнес22 октября 2023 г.Детей Самойловой утвердили на главные роли в новом сериалеПолучайте еженедельно свежие новостиПодписатьсяРазделыШоу-БизнесОбществоНаукаФактыПолитикаЭкономикаПроисшествияПутешествияДом и бытАвтомобилиАрмия и ОПКАрхивО проектеИнформация о проектеРекламаВакансииПользовательское соглашениеРедакция сайтаПолитика использования cookie-файловПолучайте еженедельно свежие новостиПодписатьсяМы в соцсетях:Нашли опечатку? Помогите исправить её! Выделите ее и нажмите CTRL + ENTERorphusМы в соцсетях:© «24smi.org» 2010 - 2022. Использование материалов авторские права на которые принадлежат 24smi.org возможно только с прямой активной ссылкой на первоисточник. Редакция не несет ответственности за достоверность информации содержащейся в рекламных объявлениях. Категория интернет-ресурса 18+</t>
  </si>
  <si>
    <t>24smi.org</t>
  </si>
  <si>
    <t>Чурикова Инна Михайловна — биография актрисы, ...</t>
  </si>
  <si>
    <t>13 янв. 2023 г. —</t>
  </si>
  <si>
    <t>https://www.culture.ru/persons/656/inna-churikova</t>
  </si>
  <si>
    <t>Культура.РФ. Портал культурного наследия традиций народов РоссииАФИШАВся афишаПушкинская картаВыставкиСобытия онлайнСпектаклиКонцертыПраздникиВстречиВам может понравитьсяВо имя промысла. Художественные промыслы России. Имена XX векаLIVEВсе трансляцииРасписание трансляцийАрхив трансляцийЗаявка на трансляциюСтриминговые площадкиНациональный проектВам может понравитьсяЖизельСПЕЦПРОЕКТЫВсе спецпроектыПушкинская картаКультурный вопросСлово дняПодкастыВсероссийские акцииВыставки музеев 2023Вам может понравитьсяМесто на карте: девственные леса КомиКИНОВсё о киноФильмы онлайнСтатьи о киноПодборки фильмовБиографии актеров и режиссеровВам может понравитьсяБерегись автомобиляМУЗЕИВсё о музеях и коллекцияхКаталог музеевСтатьи об искусствеПодборки музейных коллекцийБиографии художников и коллекционеровВам может понравиться5 усадеб художников где стоит побывать осеньюМУЗЫКАВсё о музыкеКонцерты онлайнСтатьи о музыкеПодборки музыкальных произведений и концертовВиртуальные концертные залыБиографии музыкантов и исполнителейМузыкальные коллективыКонцертные площадкиВам может понравитьсяДень рождения Красной ШапочкиТЕАТРВсё о театреСпектакли онлайнСтатьи о театреПодборки спектаклейБиографии актеров и постановщиковКаталог театровВам может понравитьсяХрустальный бал «Хрустальной Турандот» в честь Инны ЧуриковойЛИТЕРАТУРАВсё о литературеПроизведения классической литературыСтатьи о русской литературеПодборки на литературную темуБиографии писателей и критиковБиблиотеки РоссииСтихи русских поэтовВам может понравитьсяРукописи горят: писатели которые сожгли свои произведенияТРАДИЦИИВсё о традицияхНематериальное культурное наследиеСтатьи о традициях РоссииПодборки обычаев и ритуаловРелигиозное наследиеДома культуры и клубыЗарубежное наследиеВам может понравитьсяСуеверия нелепые и полезныеАРХИТЕКТУРАВсё об архитектуреАрхитектурный каталогСтатьи об архитектуреПодборки памятников архитектурыБиографии архитекторовУсадьбы РоссииТерминыВам может понравиться5 старинных храмов разных ветвей христианстваОБРАЗОВАНИЕВсё об образованииЛекции онлайнСтатьи об искусстве и наукеПодборки лекцийБиографии учёных и общественных деятелейОбразовательные учрежденияВсе тестыВам может понравитьсяСоветские городские легендыСпецпроектГлавные художественные объединения русского искусстваКак художники поддерживали друг друга искали новые стили и бунтовали против классических каноновСлово дняФольклорЗначение происхождениеи употребление понятияв современном языкеКультурный вопросПочему царя Алексея Михайловича называют Тишайшим?Отвечает Дарья Федосоваавтор портала «Культура.РФ»ПубликацияТест: ар-нуво или ар-деко?Угадайте архитектурный стиль по фотографииПодборкаСтихи о музыкеКак поэты писали об арфах скрипках джазе и произведениях БетховенаПубликацияДухи которые «пережили всех и вся»Как «Красная Москва» стала одним из главных советских ароматовПодборкаКонцерты и лекции Юрия ТемиркановаСлушаем произведения Шостаковича Хачатуряна и РахманиноваПубликацияТест: разбираетесь ли вы в стихосложении?Отличите катрен от верлибра а парную рифмовку — от кольцевойПодборкаМагия на Руси: от народной медицины до проклятийВолшебные камни и травы обереги от нечистой силы и заговоры на любовьПубликацияМосковские небоскребы начала XX векаКак их строили почему опасались и когда стали называть тучерезамиПубликацияТест: старинная медицинаКакие болезни лечили аметист черный перец и секрет железы оленяПодборкаСтихи Кондратия РылееваЛюбовная лирика посвящение императору и песня о Ермаке в творчестве поэта-декабристаПубликацияИстория одного балета: «Баядерка»Как из спектакля исчезли сцены землетрясения и при чем здесь революцияНовостиМузеиВ «ГЭС‑2» стартует выставка «Кубок созвучий. По направлению к Розановой»10 ноябряДругие новости культурыВ Москве проходит Международная выставка-форум «Россия»9 ноябряДругие новости культурыЗавершает работу конгресс «Культурное наследие Узбекистана — фундамент нового Ренессанса»8 ноябряДругие новости культурыВ России проходит онлайн-олимпиада по гуманитарным наукам «Культура вокруг нас»7 ноябряДругие новости культурыRussian Creative Awards 2023 завершает прием заявок3 ноябряМузеиСамые интересные выставки ноября1 ноябряПодпишитесь на рассылку портала КУЛЬТУРА.РФА также читайте нас в социальных сетяхПосетитьКультурные события интересные места и достопримечательности РоссииЧитатьСтатьи об искусстве и традициях биографии книги и новости культурыСмотретьОтечественные и зарубежные фильмы лекции концерты и спектаклиLive15 ноябср 14:00«Музейные маршруты России». Стратегическая сессия18 ноябсб 17:0010 историй из "Нехорошей квартиры"Музей М.А. Булгакова на Большой Садовой22 ноябср 19:00Ты не становишься воспоминаньемКалужская областная филармония26 ноябвс 19:00К 150-летию С. Рахманинова «Опера «Алеко»Калужская областная филармония30 ноябчт 12:00РусалочкаТверской государственный театр кукол10 деквс 08:00Спектакль «Сказки народов Севера»Няганский театр юного зрителя12 ноябвс 07:00Лекция «К 75-летию конференции по изучению производительных сил Кузбасса»Отдел истории Кузбасского государственного краеведческого музея12 ноябвс 08:00«Как Кощей Бессмертный на Василисе женился»Канский драматический театрКаталоги разделовКино1899фильмовТеатр1108спектаклейМузыка1676концертовОбразование2475лекцийОбразы России347местМузеи5474учреждениялитература722книгиАрхитектура245местИнклюзивные творческие лаборатории РоссииКреативные занятия для людей с инвалидностью по всей странеКультурный код: произведения для школьниковФильмы спектакли книги и архитектурные памятникиИнклюзивные творческие лаборатории РоссииКреативные занятия для людей с инвалидностью по всей странеКультурный код: произведения для школьниковФильмы спектакли книги и архитектурные памятникиСпецпроектыСпецпроектЗаписки путешественника: образ Индии в русском искусствеСтрана неожиданных чудес духовных учений и роскошных жемчуговСпецпроектПутеводитель по Шереметевскому дворцу — Музею музыкиИнструменты разных эпох необычные предметы и старинные интерьерыАфишаLiveСпецпроектыКиноМузеиМузыкаТеатрЛитератураТрадицииАрхитектураОбразование«Культура.РФ» — гуманитарный просветительский проект посвященный культуре России. Мы рассказываем об интересных и значимых событиях и людях в истории литературы архитектуры музыки кино театра а также о народных традициях и памятниках нашей природы в формате просветительских статей заметок интервью тестов новостей и в любых современных интернет-форматах.О проектеОткрытые данные© 2013–2023 ФКУ Цифровая культура. Все права защищеныКонтактыE-mail: cultrf@mkrf.ruОбратная связьНашли опечатку? Ctrl+EnterМатериалыПри цитировании и копировании материалов с портала активная гиперссылка обязательна</t>
  </si>
  <si>
    <t>www.culture.ru</t>
  </si>
  <si>
    <t>Инна Чурикова биография, фото, личная жизнь, ...</t>
  </si>
  <si>
    <t>Инна Чурикова – без преувеличения великая русская актриса, жена и муза талантливого режиссера Глеба Панфилова и прима легендарного театра Ленком. Этой ...</t>
  </si>
  <si>
    <t>https://uznayvse.ru/znamenitosti/biografiya-inna-churikova.html</t>
  </si>
  <si>
    <t>Узнай Все. Новости дня все главные Новости Дня за сегодняШоу-бизнесИнтересноеБиографииАстрология Меню ▼Toggle navigationШоу-бизнес Интересное Биографии Фильмы Тесты Форум Астрология Лунный календарь Имена В россии В мире Происшествия Пресс-релизы Редакция Узнай ВсёХанна объяснила почему их с Пашу дети родились не в РоссииДепутат Госдумы Андрей Свинцов предложил создать для звезд-релокантов особый налоговый режим«Прожить и отпустить»: Ева Польна рассказала о новом альбоме15 известных людей которые отказались от гражданства РФЗвездыСолист «Иванушек» опубликовал редкое архивное видео и объяснил почему их группа стала легендарной Группа «Иванушки International» вот уже 29 лет остаётся на плаву несмотря на множество музыкальных направлений захлестнувших мир отечественного...3547Далее12 российских звезд которые открыто говорят о своих проблемах с психикой Известные люди постоянно пребывают под сильнейшим психологическим прессингом. Им приходится справляться с натиском исходящим от продюсеров коллег...11254ДалееКак карта ляжет: 6 удачных и 6 провальных пластических операций знаменитостей Желание стать лучше естественно для человека. Однако в погоде за идеальной внешностью очень легко сойти с пути и забыть про свою уникальность....121554ДалееХанна объяснила почему их с Пашу дети родились не в России Певица призналась что решение рожать детей за границей было сознательным и принималось заранее.3583ДалееЕще новости шоу-бизнесаГлавные новости дняВсе новостиВ РоссииВ миреПроисшествияБизнес-леди обманула 300 человек пообещав им мебель из IKEA Предпринимательница зарегистрировала фирму Love IKEA VRN и утверждала что сможет ввезти товары ушедшей из России компании через Казахстан Турцию и...2187ДалееМосковский блогер запер в своей квартире курьера 36-летний Антон Дудков заказал в интернете сумку за 500 тысяч рублей но когда ему привезли товар остался недоволен. Блогер решил что ему привезли...2432ДалееВ Подмосковье на людей напал «боец с зомби» Инцидент произошел в Люберцах. Сначала ведущий себя неадекватно мужчина в черной одежде набросился на женщину с ребенком а потом на стражей порядка....2330ДалееВ Москве погиб сын известного театрального режиссера Речь о наследнике театрального режиссера и сценариста Инны Абрамовой. Выпавшего из окна юношу обнаружил на улице прохожий. На место были вызваны...26512ДалееИнтересное8 вещей на свидании которые хороши в теории но плохи на практике Как себя вести на свидании что делать и о чем говорить — эти вопросы волнуют всех кто находится в ожидании встречи и предвкушает приятное общение....5189972Далее13 верных признаков того что вы неприятны собеседнику Человек не всегда может или хочет продемонстрировать собеседнику неприязнь но истинные чувства можно распознать благодаря языку жестов манере...51095661Далее7 необычных рецептов блинов на Масленицу Блинами на Масленицу не удивишь а ведь в праздник хочется попробовать что-то новое. Эти необычные рецепты помогут улучшить настроение в преддверии...550609Далее5 способов спастись от похмелья если вы уже пьяны Головокружение затуманенный рассудок и ухудшение ориентации – первые признаки грядущего утреннего похмелья можно распознать еще во время застолья....415976ДалееИнтересные фактыАстрологияЭти 4 пары знаков зодиака верны друг другу до самого конца❤️  Пары которые остаются верными на протяжении всей жизни – довольно редкое явление в современном мире. Слишком много вокруг возможностей и соблазнов...370342830ДалееЛюбовь и ненависть: какие знаки зодиака тянет друг к другу но им не судьба быть вместе Есть такие отношения в которых страсть и ненависть находятся в равном положении. Эти пары постоянно ругаются спорят ненавидят друг друга и безумно...580515836ДалееМужчины этих 4 знаков зодиака никогда не уйдут из семьи❤️  Для мужчин этих знаков семья – прежде всего. Однако не путайте этот список с рейтингом верности. Некоторые знаки фигурирующие в этом материале...317835675Далее4 самых заботливых знака зодиака Искренне заботливые и неравнодушные люди — большая редкость в нашей жизни. Смысл их существования лежит где-то за пределами их эго они хотят сделать...55824983ДалееБольше статейТестыКак хорошо ты знаешь знаменитостей? Проверь себя! Одни знаменитости идут на всевозможные уловки чтобы скрыть комплексы по поводу роста: в ход идут каблуки скрытые платформы необычный крой одежды...211325518ДалееКалькулятор: чего стоит ваша зарплата в мире российских звезд? Жизнь российских знаменитостей — это не только астрономические гонорары но и соответствующие затраты.135461328ДалееПроверь насколько ты сексист Пока в Америке и Европе феминизм уже воспринимается как неотъемлемая и даже обыденная часть информационной повестки дня Россия немного отстает...13202026ДалееСкоро ли начнется восстание машин? Тест О потенциальной угрозе искусственного интеллекта предупреждали и Стивен Хокинг и Илон Маск но искусственный интеллект (далее ИИ) пока что далек от...1177992ДалееЕще тестыПресс-релизыМаксим Курбангалеев о текущей ситуации в криптомире Максим Курбангалеев рассказал о «криптозаморозках» и о ситуации на рынке в 2022 году. NFT-маркетплейс OpenSea сокращает штат сотрудников на 20%...958ДалееВыбираем и заказываем украшения онлайн: полезные советы покупателям Современная глобальная сеть давно перестала быть только лишь хранилищем информации превратившись в набор удобных инструментов без которых сложно...3145ДалееКак разобраться в характеристиках бриллиантов за 5 минут? Покупка бриллианта или украшения с ним — это всегда инвестиция поскольку такие драгоценности передаются из поколения в поколение. Поэтому...5143ДалееБазовые правила кредитования: разные категории заемщиков Любая кредитная организация выдвигает свои требования к потенциальным заемщикам. У кого-то эти требования строже у кого-то – более лояльные.399ДалееПресс-релизы компанийБиографииЕлена Малышева образование4.6Альберт Филозов место рождения5.4Андрей Ховратов какой в жизниНейромонах Феофан как стали популярны5.8Пол Атрейдес всё о персонаже7.1ОДКБ5.2		Изо дня в день для вас мы отбираем достоверные свежие новости дня обо всем что произошло сегодня в России и в мире: политика экономика культура спорт финансы происшествия факты из жизни любимых кумиров и ответы на вопросы которые волнуют вас. Самые последние новости дня с мнениями экспертов и фотоматериалами. Держите руку на пульсе мировых новостей вместе с информационным порталом УзнайВсе! 	Узнай ВсёВ РоссииВ миреПроисшествияФактыПресс-релизыШоу бизнесТестыЗнаменитостиФорумО компанииРедакцияПолитика конфиденциальностиВсе права защищены. Копирование и использование полных материалов запрещено.Частичное цитирование возможно только при условии гиперссылки на сайт uznayvse.ru</t>
  </si>
  <si>
    <t>uznayvse.ru</t>
  </si>
  <si>
    <t>11 июл. 2023 г. —</t>
  </si>
  <si>
    <t>https://znanierussia.ru/articles/%D0%A7%D1%83%D1%80%D0%B8%D0%BA%D0%BE%D0%B2%D0%B0,_%D0%98%D0%BD%D0%BD%D0%B0_%D0%9C%D0%B8%D1%85%D0%B0%D0%B9%D0%BB%D0%BE%D0%B2%D0%BD%D0%B0</t>
  </si>
  <si>
    <t>Инна Чурикова: биография, фото</t>
  </si>
  <si>
    <t>Инна Чурикова окончила Высшее театральное училище имени М. С. Щепкина. С 1965 года — актриса Московского театра юного зрителя, с 1968 года работала по договорам ...</t>
  </si>
  <si>
    <t>https://kino.mail.ru/person/450879_inna_churikova/</t>
  </si>
  <si>
    <t>Кино Mail.ru — фильмы сериалы и телешоу из самых популярных онлайн-кинотеатровMail.ruПочтаМой МирОдноклассникиВКонтактеИгрыЗнакомстваНовостиПоискОблакоVK ComboВсе проектыВсе проектывыходРегистрацияВходssНаверхдраматриллерСиндром2023 / РоссияСмотреть трейлерРасписание и билетыдрамафантастикаЧувства Анны2023 / РоссияСмотреть трейлерРасписание и билетыдраматриллерКатастрофа2023 / ФранцияСмотреть трейлерРасписание и билеты8.5драматриллерЛаст квест2023 / РоссияСмотреть онлайндрамамелодрамаИди ко мне детка2023 / СШАСмотреть онлайнРасписание и билетыдрамаАбсолютное зло2023 / ШвецияСмотреть онлайнИнтервьюИстории про звездАртур Сопельник: «Мне говорили: “Ты — кадет”. Хорошо но я же еще и актер»ОбзорыВозвращение Мороз откровения Asti детектив с Петренко: что посмотреть прямо сейчасОбзоры10 новых любопытных сериалов осени которые вы могли пропуститьВсе фильмы и сериалыСмотреть онлайнФильмы5792Сериалы14931960189019001910192019301940195019511952195319541955195619571958195919601961196219631964196519661967196819691970197119721973197419751976197719781979198019811982198319841985198619871988198919901991199219931994199519961997199819992000200120022003200420052006200720082009201020112012201320142015201620172018201920202021202220232024202520262027202820292030203120322033203420351890190019101920193019401950195119521953195419551956195719581959196019611962196319641965196619671968196919701971197219731974197519761977197819791980198119821983198419851986198719881989199019911992199319941995199619971998199920002001200220032004200520062007200820092010201120122013201420152016201720182019202020212022202320242025202620272028202920302031203220332034203520231890190019101920193019401950195119521953195419551956195719581959196019611962196319641965196619671968196919701971197219731974197519761977197819791980198119821983198419851986198719881989199019911992199319941995199619971998199920002001200220032004200520062007200820092010201120122013201420152016201720182019202020212022202320242025202620272028202920302031203220332034203518901900191019201930194019501951195219531954195519561957195819591960196119621963196419651966196719681969197019711972197319741975197619771978197919801981198219831984198519861987198819891990199119921993199419951996199719981999200020012002200320042005200620072008200920102011201220132014201520162017201820192020202120222023202420252026202720282029203020312032203320342035драмакомедиямелодраматриллербоевиккриминалужасыприключениясемейныйфэнтезифантастикадокументальныйкороткометражныйвоенныймюзиклисторическийбиографиямузыкальныйвестернмультфильмыспортдетективдетскийанимеэротикаСШАРоссияСССРФранцияВеликобританияБеларусьГерманияГонконгИндияИспанияИталияКазахстанКанадаУкраинаЯпонияБельгияАвстралияКитайПольшаШвецияЮжная КореяДанияНидерландыШвейцарияМексикаЧешская РеспубликаИрландияАргентинаБразилияВенгрияАвстрияФинляндияНорвегияРумынияИзраильПортугалияЮжная АфрикаБолгарияТаиландНовая ЗеландияТурцияГрецияИранЮгославияИсландияЛюксембургСловакияЧилиЛатвияСербияТайвань (Китай)КолумбияЭстонияФилиппиныСингапурЛитваХорватияГрузияИндонезияКубаАрменияСловенияКатарОАЭЕгипетУругвайЛиванМароккоМалайзияАлжирВьетнамПеруРеспублика МакедонияБосния и ГерцеговинаТунисУзбекистанВенесуэлаКипрАзербайджанКиргизияМонголияПакистанНигерияПуэрто-РикоИракКенияСирийская Арабская РеспубликаШри-ЛанкаАлбанияЧерногорияСаудовская АравияПалестинская территорияСенегалАфганистанМальтаБоливияКоста-РикаКамбоджаБангладешiviKIONOkkoPREMIERПодобрать1960191519201930194019501951195219531954195519561957195819591960196119621963196419651966196719681969197019711972197319741975197619771978197919801981198219831984198519861987198819891990199119921993199419951996199719981999200020012002200320042005200620072008200920102011201220132014201520162017201820192020202120222023202420251915192019301940195019511952195319541955195619571958195919601961196219631964196519661967196819691970197119721973197419751976197719781979198019811982198319841985198619871988198919901991199219931994199519961997199819992000200120022003200420052006200720082009201020112012201320142015201620172018201920202021202220232024202520231915192019301940195019511952195319541955195619571958195919601961196219631964196519661967196819691970197119721973197419751976197719781979198019811982198319841985198619871988198919901991199219931994199519961997199819992000200120022003200420052006200720082009201020112012201320142015201620172018201920202021202220232024202519151920193019401950195119521953195419551956195719581959196019611962196319641965196619671968196919701971197219731974197519761977197819791980198119821983198419851986198719881989199019911992199319941995199619971998199920002001200220032004200520062007200820092010201120122013201420152016201720182019202020212022202320242025драмакомедиямелодрамадетективкриминалбоевикприключениятриллерфантастикафэнтезисемейныйисторическийдокументальныйвоенныймультсериалыужасыанимебиографиямузыкальныескетч-шоумистикадля детейспортвестерндля взрослыхСШАРоссияСССРФранцияВеликобританияБеларусьГерманияИндияИспанияИталияКазахстанКанадаУкраинаЯпонияЮжная КореяАвстралияТурцияКитайМексикаШвецияБразилияАргентинаДанияБельгияНорвегияПольшаКолумбияИрландияВенгрияНидерландыНовая ЗеландияФинляндияИзраильСловакияТайвань (Китай)Чешская РеспубликаШвейцарияВенесуэлаПортугалияАвстрияАрменияЮжная АфрикаСингапурЧилиИсландиякороткие (до 26 серий)средние (26-100 серий)длинные (101-250 серий)очень длинные (больше 250 серий)Все статусыеще идетуже закончилсяпремьерыПодобрать  Подборки:Популярные фильмы последних летНовые фильмыРоссийские фильмыЗарубежные сериалыБесплатные сериалы Больше рекомендацийРекомендуем посмотретьРекомендуем посмотретьФильмыСериалыНовостиБрэд Питт вышел в свет с новой возлюбленнойСергей Безруков считает что детей необходимо воспитывать с помощью искусстваГарик Сукачев признался в тоске по Михаилу Ефремову«Елки» возвращаются Ефремов загадывает желание об УДО: новости неделиКристина Асмус рассказала о трудных съемках после перелома ногиВыход фильма «Муфаса: Король лев» перенесен на декабрь 2024 годаДаррен Аронофски снимет фильм про Илона МаскаПремьеры «Дэдпула» и «Капитана Америки» перенесли из-за забастовки актеровКомпания Де Ниро проиграла в суде 12 млн долларов экс-помощницеСобчак с Богомоловым Пересильд с дочками и другие на премьереАртур Сопельник: «Мне говорили: “Ты — кадет”. Хорошо но я же еще и актер»Асмус трогательно поздравила Меньшикова с днем рожденияУехавший из России Бурковский продает билеты на свой день рожденияДочь Владимира Машкова получила гражданство СШАСтажерка Universal случайно раскрыла дату выхода «Шрэка 5»Звезда «Папиных дочек» представила новый сериал со своим участиемВалюшкина Тодоренко Польских появились в первом трейлере «Елок 10»Звезда «Папиных дочек» рассказал о полученной на съемках контузииРаскрыто желание находящегося в колонии Ефремова на юбилейКиркоров Гайдулян Муцениеце и другие звезды на премьере фильмаПолина Гагарина похвасталась стройной фигурой в купальникеМуцениеце рассказала почему выбрала актерскую профессиюДочь Брюса Уиллиса рассказала о его состоянииЗак Эфрон признался что хотел бы сыграть Мэттью ПерриГолливудские актеры прекратили забастовкуЗвезду «Сватов» отказались брать в кино из-за позиции по СВОЕкатерина Шпица восхитила откровенными фото69-летняя Любовь Успенская показала фигуру в купальникеРаскрыты подробности съемок новых «Хроник Нарнии»Автор культового аниме оправдался перед возмущенными фанатамиВсе новостиКиноафишаДочь Болотного царяСША/ 2023/ 1 ч. 48 мин.драма триллер детектив криминалПо щучьему велениюРоссия/ 2023/ 1 ч. 55 мин.приключения фэнтезиЧеловек ниоткудаРоссия/ 2023/ 1 ч. 46 мин.триллер приключения фантастикаКрылатая историяГермания Канада/ 2023мультфильмыПопулярные подборкиФильмыСериалыНовые трейлерыБаба Мороз и тайна Нового ГодаТрейлерГоловоломка 2Тизер-трейлер (англ.)Елки 10ТизерРецепт любвиДублированный трейлерОхотники за привидениями: Ледяная империяТизер-трейлер (англ.)Дрянные девчонкиТрейлер (англ.)Герой наших сновДублированный трейлерСемейный планТрейлер (англ.)Сегодня родилисьЛюдмила Гурченко1935—201188 лет со дня рожденияГрейс Келли1929—198294 года со дня рожденияЭнн Хэтэуэй41 годРайан Гослинг43 годаХарви Стивенс53 годаЮлия Ковальчук41 годещё168Расписание фильма «»СписокНа картеСегодняСегодня (12.11.2023 воскресенье)Завтра (13.11.2023 понедельник)14.11.2023 (вторник)15.11.2023 (среда)16.11.2023 (четверг)17.11.2023 (пятница)18.11.2023 (суббота)19.11.2023 (воскресенье)20.11.2023 (понедельник)21.11.2023 (вторник)22.11.2023 (среда)23.11.2023 (четверг)24.11.2023 (пятница)25.11.2023 (суббота)Весь деньУтроДеньВечер и ночь00:0009:0018:0003:00Только сеансы в 2DТолько сеансы в 3DИстория моих просмотровСкрытьПоказатьСмотреть онлайнФильмыСериалыКаналы ТВФильмыРасписание и билетыФильмы онлайнЛучшие фильмыПодборкиКалендарь кинопремьерВсе фильмыПремииСериалыНовинкиСериалы онлайнЛучшие сериалыПодборкиКалендарь сериаловТелешоуВсе сериалыТелепрограммаОнлайн ТВИзбранныеЦентральныеМестныеСпортивныеФильмы и СериалыДетскиеВсе каналыНовости ТВ и шоу-бизнесаПомощьЗвездыИнтервьюКрасные дорожкиСтатьи про звездСъемкиСегодня родилисьMail.RuО компанииРеклама ОтменитьРедакцияО технологиях рекомендацийУсловия использования материаловПомощь&lt;div class=" js-module" data-module="SlotModel" data-view="SlotView.674812" data-id="674812" data-brandsafety="0"&gt;&lt;/div&gt;</t>
  </si>
  <si>
    <t>kino.mail.ru</t>
  </si>
  <si>
    <t>Биография Инны Чуриковой - РИА Новости, 14.01.2023</t>
  </si>
  <si>
    <t>https://ria.ru/20230114/churikova-1844869415.html</t>
  </si>
  <si>
    <t>Инна Чурикова — биография, личная жизнь, фото, ...</t>
  </si>
  <si>
    <t>Звезда переменчивой эпохи: как Инна Чурикова всю ...</t>
  </si>
  <si>
    <t>15 янв. 2023 г. —</t>
  </si>
  <si>
    <t>https://www.forbes.ru/forbes-woman/483757-zvezda-peremencivoj-epohi-kak-inna-curikova-vsu-zizn-brosala-vyzov-tradiciam</t>
  </si>
  <si>
    <t>Inna Churikova Инна Чурикова</t>
  </si>
  <si>
    <t>Inna Churikova Инна Чурикова, Москва. Отметки "Нравится": 25 408 · Обсуждают: 5. Inna Churikova, Russian actress, the “Tsarina of the stage”</t>
  </si>
  <si>
    <t>https://www.facebook.com/IChurikova/?locale=ru_RU</t>
  </si>
  <si>
    <t>Инна Чурикова (Inna Churikova) биография, фильмы, ...</t>
  </si>
  <si>
    <t>https://www.afisha.ru/people/inna-churikova-287968/</t>
  </si>
  <si>
    <t>калькулятор</t>
  </si>
  <si>
    <t>Калькулятор онлайн</t>
  </si>
  <si>
    <t>Простой, быстрый и удобный в использовании онлайн-калькулятор.</t>
  </si>
  <si>
    <t>https://okcalc.com/ru/</t>
  </si>
  <si>
    <t>OK CalculatorOK CalculatorSimple fast and easy to use online calculations.Simple Calculator- Fractions- Percentages- Exponentiation- Root of a number- LogarithmsScientific Calculator- Derivatives- Integrals- Equations- Matrices- TrigonometryUse the calculator in your own languageEnglishAzərbaycancaБългарскиBahasa IndonesiaBahasa MelayuČeštinaDanskDeutschEspañolFrançaisItalianoKiswahiliMagyarMalagasyNederlandsOʻzbekchaPolskiPortuguêsRomânăРусскийSlovenčinaСрпскиSuomiSvenskaTagalogTiếng ViệtTürkçe          © 2023 OK Calcmail@okcalc.comPrivacy Policy2022-07-22</t>
  </si>
  <si>
    <t>okcalc.com</t>
  </si>
  <si>
    <t>Алгебраический калькулятор - Math Solver - Microsoft</t>
  </si>
  <si>
    <t>Калькулятор исчислений.</t>
  </si>
  <si>
    <t>https://mathsolver.microsoft.com/ru/algebra-calculator</t>
  </si>
  <si>
    <t>Microsoft Math Solver - Math Problem Solver &amp; CalculatorSkip to main contentMicrosoft|Math SolverSolvePlayPracticeDownloadSolvePracticePlayTopicsPre-AlgebraMeanModeGreatest Common FactorLeast Common MultipleOrder of OperationsFractionsMixed FractionsPrime FactorizationExponentsRadicalsAlgebraCombine Like TermsSolve for a VariableFactorExpandEvaluate FractionsLinear EquationsQuadratic EquationsInequalitiesSystems of EquationsMatricesTrigonometrySimplifyEvaluateGraphsSolve EquationsCalculusDerivativesIntegralsLimitsAlgebra CalculatorTrigonometry CalculatorCalculus CalculatorMatrix CalculatorDownloadTopicsPre-AlgebraMeanModeGreatest Common FactorLeast Common MultipleOrder of OperationsFractionsMixed FractionsPrime FactorizationExponentsRadicalsAlgebraCombine Like TermsSolve for a VariableFactorExpandEvaluate FractionsLinear EquationsQuadratic EquationsInequalitiesSystems of EquationsMatricesTrigonometrySimplifyEvaluateGraphsSolve EquationsCalculusDerivativesIntegralsLimitsAlgebra CalculatorTrigonometry CalculatorCalculus CalculatorMatrix CalculatorType a math problemType a math problemSolve algebra trigonometry statistics calculus matrices variables listGet step-by-step explanationsSee how to solve problems and show your work—plus get definitions for mathematical conceptsGraph your math problemsInstantly graph any equation to visualize your function and understand the relationship between variablesPractice practice practiceSearch for additional learning materials such as related worksheets and video tutorialsGet math help in your languageWorks in Spanish Hindi German and moreBack to topEnglishEnglishDeutschEspañolFrançaisItalianoPortuguêsРусский简体中文繁體中文Bahasa MelayuBahasa Indonesiaالعربية日本語TürkçePolskiעבריתČeštinaNederlandsMagyar Nyelv한국어SlovenčinaไทยελληνικάRomânăTiếng Việtहिन्दीঅসমীয়াবাংলাગુજરાતીಕನ್ನಡकोंकणीമലയാളംमराठीଓଡ଼ିଆਪੰਜਾਬੀதமிழ்తెలుగుAboutPopular ProblemsPrivacy PolicyTerms of serviceTrademarks©Microsoft 2023</t>
  </si>
  <si>
    <t>mathsolver.microsoft.com</t>
  </si>
  <si>
    <t>Калькулятор процентов</t>
  </si>
  <si>
    <t>Калькулятор разработан специально для расчета процентов. Позволяет выполнять разнообразные расчеты при работе с процентами. Функционально состоит из 4-х разных ...</t>
  </si>
  <si>
    <t>https://calculator888.ru/calculator-procentov</t>
  </si>
  <si>
    <t>Калькулятор онлайн - лучший и бесплатно | Calculator888 Калькуляторы: Онлайн Простой Инженерный НДС Проценты Валюты Дни КредитыГенераторы: Пароли Случайные числаВсе калькуляторыКалькулятор онлайнОчень большойНормальный размер +90%Нормальный размер +80%Нормальный размер +70%Нормальный размер +60%Нормальный размер +50%Нормальный размер +40%Нормальный размер +30%Нормальный размер +20%Нормальный размер +10%Нормальный размерНормальный размер -10%Нормальный размер -20%Нормальный размер -30%Нормальный размер -40%Нормальный размер -50%Нормальный размер -60%Нормальный размер -70%Нормальный размер -80%Нормальный размер -90%Очень маленькийОчень очень маленькийСо СкобкамиБез СкобокКалькулятор Онлайн бесплатноОписаниеИнструкцииПримерыFAQИз историиКомментарииВсе калькуляторыПопулярные разделыУдобный Калькулятор онлайн для расчетов на работе учёбе или дома. Калькулятор выполняет как простые арифметические действия так и расчет процентов вычисление квадратного корня решает онлайн сложные выражения со скобками. Калькулятор работает на компьютерах планшетах и смартфонах быстро загружается считает онлайн имеет встроенную память и дополнительный дисплей текущих действий. Результаты вычислений можно скопировать. Режимы работы калькулятораКалькулятор поддерживает работу в 2-х режимах: Со Скобками или Без Скобок. Основное отличие - использование скобок при расчетах и как результат возможность расчета более сложных заданий.Для переключения режимов используйте выпадающее меню под калькулятором.Варианты корпуса"По умолчанию" загружается вариант корпуса для ПК или планшетов. Для более комфортной работы на смартфонах возможно использовать вариант мобильной компоновки.Воспользуйтесь переключателем PC/Mobile на корпусе калькулятора для выбора удобной Вам версии.Функции кнопок[ х ] - умножение [ ÷ ] - деление [ + ] - сложение [ - ] - вычитание;         [ % ] - расчет процентов;         [ MU ] - работа с наценкой;         [ 00 ] - ввод 2-х нулей;         [ 0 ] [ 1 ] ... [ 9 ] - клавиши цифр;         [ → ] - удаление последнего знака;         [ +/- ] - изменить математический знак числа на противоположный;         [ √ ] - расчет квадратного корня;         [ M+ ] - сохранить результат в памяти со знаком [ + ];         [ M- ] - сохранить результат в памяти со знаком [ - ];         [ MR ] - показ памяти на дисплее;         [ MC ] - сбросить содержимое памяти;         [ AC ] - сбросить калькулятор и память;         [ C ] - сбросить калькулятор без очистки памяти.Работа с помощью компьютерной клавиатурыПри работе с калькулятором используйте любые цифровые клавиши клавиатуры компьютера - клавиши верхнего ряда или отдельные в правом блоке (если есть).Ввод "Равно" - клавиша [Enter].         Ввод "Плюс" - клавиша [ + ] в верхнем ряду или правом блоке.         Ввод "Минус" - клавиша [ - ] в верхнем ряду или правом блоке.         Ввод "Умножение" - клавиша [ * ] в блоке справа или в верхнем ряду.         Ввод "Деление" - клавиша [ / ] в блоке справа или в верхнем ряду.         Удаление последнего знака - клавиша [Backspace] в цифровом ряду.         Сбросить калькулятор можно используя [Del] или [Esc] - наверху [End] - справа.Примеры для вычислений на калькуляторе онлайнВычислить процент от числа: 420 [ х ] 20 [ % ] . Результат - 84.         Прибавить проценты к числу: 420 [ + ] 20 [ % ] . Результат - 504.         Вычесть проценты из числа: 420 [ - ] 20 [ % ] . Результат - 336.         Вычислить квадратный корень из 2704: 2704 [ √ ]. Результат - 52.           Часто задаваемые вопросыПробую на калькуляторе онлайн вычислить простой пример 2+2×2 в ответе получаю 8. Может быть калькулятор неправильно считает ?Калькулятор считает правильно !Просто при вводе каждого математического действия калькулятор производит промежуточный расчет (подытог). Посмотрите на дисплее текущих действий.Считаем: 2 + 2 = 4  4 × 2 = 8. Правильный ответ 8.Получить в ответе 6 можно используя Математический режим калькулятора. Этот режим поддерживает работу с выражениями и не делает подытог.          Настройте математический режим используя меню под корпусом калькулятора.Исторические фактыПредшественником современных калькуляторов был арифмометр. Арифмометр - это механическое настольное устройство которое могло выполнять только простые арифметические действия:          сложение вычитание умножение и деление.Первые механические счетные машины появились еще в 15 веке но именно арифмометры появились в середине 19 столетия тогда и началось их активное использование.КалькуляторыКалькулятор онлайн Инженерный калькулятор Простой калькуляторВалюты кредитыКонвертер валют Кредитный калькулятор Ипотечный калькулятор Сумма прописью Калькулятор НДСДни и датыКалькулятор дней Сколько дней до … Сколько дней до Нового Года Сколько дней до Дня Рождения Сколько дней до Лета Сколько дней до Весны Сколько дней до Осени Сколько дней до Зимы Сколько дней до Даты Сколько дней до 8 Марта Сколько дней до 23 ФевраляРазноеПлощадь круга Калькулятор дробей Генератор паролей Генератор случайных чисел Калькулятор процентов Чему равно число Пи Таблица квадратов Online-calculator Високосный год Сколько месяцев в году Сколько недель в году Сколько дней в году Сколько часов в году Сколько минут в сутках Сколько секунд в часе Сколько миллисекунд в секунде Текущее время03:45:08Сегодня Воскресенье 12 ноября 2023 года(настроить) © 2010-2023 Calculator888.ruУсловия использования | Контакты</t>
  </si>
  <si>
    <t>calculator888.ru</t>
  </si>
  <si>
    <t>Научный калькулятор</t>
  </si>
  <si>
    <t>Красивый и бесплатный научный онлайн-калькулятор с расширенными возможностями для вычисления процентов, дробей, экспоненциальных функций, логарифмов, ...</t>
  </si>
  <si>
    <t>https://www.desmos.com/scientific?lang=ru</t>
  </si>
  <si>
    <t>Desmos | Let's learn together.Loading...</t>
  </si>
  <si>
    <t>www.desmos.com</t>
  </si>
  <si>
    <t>Калькулятор онлайн - лучший и бесплатно | Calculator888</t>
  </si>
  <si>
    <t>Бесплатный Калькулятор онлайн со скобками для расчетов на работе, учёбе или дома. Калькулятор работает на компьютерах, планшетах и смартфонах.</t>
  </si>
  <si>
    <t>https://calculator888.ru/</t>
  </si>
  <si>
    <t>Веб 2.0 Научный калькулятор</t>
  </si>
  <si>
    <t>web2.0calc.ru онлайн калькулятор обеспечивает основные и дополнительные математические функции, полезные для школы или колледжа. Вы можете управлять ...</t>
  </si>
  <si>
    <t>https://web2.0calc.ru/</t>
  </si>
  <si>
    <t>Веб 2.0 Научный калькулятор  регистр Авторизоваться Имя пользователя пароль АвторизоватьсяЗабыли пароль?Главная Форум+0 формула математика Помогите Комплексные числадифференциальное исчислениедифференциальное исчислениеУравненияФункция ГрафикиЛинейная алгебраТеория чиселПроцентыстандартные функции вероятностьТригонометрияПреобразование единицЕдиницы Около выходные данныеполитика конфиденциальностиУсловия использованиякредиты Google+ Facebook Почта для связи   2ndπconst▼consteii[∷][∷]x==([[)]]sin-1asinsinh-1asinhcot-1acoty√xxy789÷modCcos-1acoscosh-1acoshsec-1asec3√xx3456×#==hextan-1atantanh-1atanhcsc-1acsc√xx2123-=binncrnpr%log10x0±.+=decx=ylnexlg22xorandxorlnexABC0b=hexlshrolrolrshrorrorlg22xDEF0x=bin                             Deg 360º   Rad 2π-- история -- ×чистая история×Clipboardпроизводный:интеграл:Корнеплоды:предел:Экспонент Notation:детерминанта:обратный:транспонировать:Научный калькуляторweb2.0calc.ru онлайн калькулятор обеспечивает основные и дополнительные математические функции полезные для школы или колледжа. Вы можете управлять калькулятором непосредственно с клавиатуры а также с помощью кнопок с помощью мыши. Стать фанатом!https://www.facebook.com/Web-20-scientific-calculator-204577902909300/  Math Формула Дисплей   Большой номер поддержки    Уравнение Solver    Калькулятор Виджеты  Инструкция по началу работыЭто руководство даст вам информативные инструкции о том как эффективно использовать этот калькулятор.Глава 1: Ввод мышиНажмите на кнопки чтобы ввести математическую формулу или уравнение как на карманный калькулятор.Глава 2: Ввод с клавиатурыЕсли вы предпочитаете ввод с клавиатуры математические формулы можно ввести непосредственно в строке ввода. Нажатие ↵ запускает вычисление.Глава 3: ФункцииДля вычисления функции как "синус" с аргументом как 90 введите соответствующее имя функции с последующим аргументом 90 в скобках. Пример: sin(90)   Комплексные числа(2+2i)*(3+3i)дифференциальное исчислениеint(x^2)дифференциальное исчислениеdiff(x^2)Уравненияx^2+2x-1=9Функция Графикиplot(sin(x)x=0..360)Линейная алгебра(1 2 3)#(4 5 6) Теория чиселsum(xx=1..10)Проценты100+5%стандартные функции sqrt(9)вероятностьncr(49 6)Тригонометрияsin(90)Преобразование единиц200m in cm Математический форумформуламатематикаалгебраправила расчетапотенцииЛогарифмыкорень √геометриякругигра в кости ❒цилиндршестиугольникпрямоугольник ▭шар ❍прямая линия ⁄квадратвосьмиугольникфинансысложные процентыПроцентытригонометрия ◿Android App×Данная услуга предоставляется "КАК ЕСТЬ" И "КАК ДОСТУПНО" БЕЗ КАКИХ-ЛИБО ГАРАНТИЙ.. Math Formula InputbetaнаучныйПрограммистВХОД ПОМОЩНИКИФракцииуравненияВекторы / матрицыКонвертер создать графикexpand simplify differentiate integrate factorize limit solve Auto 12 Цифры 18 Цифры 24 Цифры 30 Цифры 48 Цифры 60 Цифры Стандартный (000011) научный (1.1*10-4) Мы обнаружили что Javascript отключен.Мы сожалеем но наш сайт требует JavaScript..Перезагрузить страницуОколовыходные данныеполитика конфиденциальностиУсловия использованиясвязиPricingкредиты Сообщить о проблемеконтакт Google+ Facebook Почта для связиWithdraw cookie consentweb2.0calc.com web2.0rechner.de web2.0calc.es web2.0calc.fr web2.0calc.in web2.0calc.ruCopyright 2006-2023 Andre Massow Your system successfully blocked advertisements on this website!All the major web browsers are starting to block tracking-software and advertisements by default to improve privacy.I do not ask you to disable your ad blocker because there are many good reasons to use one.Please give me some time to remove this dialog from this website sorry.I am just waiting to win the lottery so that I can afford offering this website to 95% of users who want to use this website without ads.Wish me luck!Andre reload  Member Login</t>
  </si>
  <si>
    <t>web2.0calc.ru</t>
  </si>
  <si>
    <t>Ипотечный Калькулятор - Рассчитать Ипотеку Онлайн ...</t>
  </si>
  <si>
    <t>Онлайн Калькулятор Ипотеки в 2023 году от Сбербанка. ✓ Рассчитать ежемесячный платеж, сумму и ставку по ипотечному кредиту на недвижимость.</t>
  </si>
  <si>
    <t>https://domclick.ru/ipoteka/calculator</t>
  </si>
  <si>
    <t>Кредитный калькулятор</t>
  </si>
  <si>
    <t>Удобный онлайн кредитный калькулятор. Быстрый расчет графиков платежей по кредиту.</t>
  </si>
  <si>
    <t>https://fincult.info/calc/loan/</t>
  </si>
  <si>
    <t>Финансовая культура You need to enable JavaScript to run this app.</t>
  </si>
  <si>
    <t>fincult.info</t>
  </si>
  <si>
    <t>Калькулятор дней</t>
  </si>
  <si>
    <t>Калькулятор дней определит разницу между датами, вычислит количество рабочих дней или какая дата наступит через заданное время.</t>
  </si>
  <si>
    <t>https://fincalculator.ru/kalkulyator-dnej</t>
  </si>
  <si>
    <t>Портал финансовых калькуляторовfincalculator.ruПортал финансовых калькуляторовГлавнаяКредитыВкладыКалендарьЮридическиеНалоговыеСправочникиРазноеПортал финансовых калькуляторовКредитный калькулятор Рассчитает полную стоимость кредита с учетом комиссий и иных дополнительных расходов на кредит. Учтет инфляцию и позволит подобрать наиболее комфортные условия кредита. Перейти!Калькулятор вкладов Рассчитает фактическую доходность вклада принимая во внимание удерживаемый налог периодичность начисления процентов капитализируемых во вклад. Перейти!Рассчитаем сколько стоит час вашего времени? Выгодно ли делать покупки в более дорогом магазине но сэконимить 15 минут своего времени? А может быть стоит ездить на работу на такси? Перейти!Ипотечный калькулятор Примет во внимание наиболее распространенные комиссии в банках требования по страхованию и прочим дополнительным сборам которые характерны для кредитов выдаваемых под залог недвижимости. Перейти!Калькулятор автокредита Учтет самые типичные дополнительные платежи свойственные для кредитов выдаваемых на покупку автомобиля. Перейти!Калькулятор потребительского кредита Примет в расчет комиссионные сборы сопутствующие кредитам выдаваемым на неотложные нужды. Перейти!Калькулятор онлайн Калькулятор с поддержкой курсов валют расчетом процентов и вычислением сложных выражений. Перейти!Калькулятор дней Калькулятор вычисляющий количество дней между двумя датам и определяющий дату через заданное количество дней. Перейти!PreviousNextUSD: 919266Курс ЦБ на 10.11EUR: 984076Курс ЦБ на 10.11 RUBUSDEUR Вклады Депозитный калькулятор  Расчет остатка на всех вкладах  Кредиты Кредитный калькулятор  Калькулятор потребительского кредита  Ипотечный калькулятор  Брать ли ипотеку сейчас?  Календарь Калькулятор дней  Производственный календарь на 2023 год  Производственный календарь на 2024 год  Все календари  Разное Калькулятор курсов онлайн  Регион по номеру телефона  Сколько стоит время?  Справочник банков  Транслитерация  © 2010-2023 Сергей Чепурнов | Обратная связь | Политика конфиденциальности | Пользовательское соглашение | 18+        Для полнофункциональной работы этого сайта необходимо включить выполнение сценариев JavaScript.            К сожалению сайт не оптимизирован для работы с данной версией браузера.            Пожалуйста попробуйте обновить версию на наиболее актуальную или использовать другой браузер.          Скрыть уведомление</t>
  </si>
  <si>
    <t>fincalculator.ru</t>
  </si>
  <si>
    <t>Ипотечный калькулятор ставок - рассчитать ипотеку ...</t>
  </si>
  <si>
    <t>https://www.banki.ru/services/calculators/hypothec/</t>
  </si>
  <si>
    <t>Калькулятор</t>
  </si>
  <si>
    <t>Калькуля́тор (лат. calculātor «счётчик») — электронное вычислительное устройство или программное обеспечение (например, встроенное в мобильный телефон, ...</t>
  </si>
  <si>
    <t>https://ru.wikipedia.org/wiki/%D0%9A%D0%B0%D0%BB%D1%8C%D0%BA%D1%83%D0%BB%D1%8F%D1%82%D0%BE%D1%80</t>
  </si>
  <si>
    <t>Калькулятор Ozon</t>
  </si>
  <si>
    <t>Этот калькулятор поможет вам рассчитать затраты и прибыль с продажи товаров на Ozon Marketplace. Калькулятор показывает примерные расчёты.</t>
  </si>
  <si>
    <t>https://calculator.ozon.ru/</t>
  </si>
  <si>
    <t>Как выбрать калькулятор для работы в офисе? ...</t>
  </si>
  <si>
    <t>Что такое разрядность калькулятора и на что она влияет? Табло вычислительного прибора ограничено количеством символов, которое оно способно показать. Если вы ...</t>
  </si>
  <si>
    <t>https://www.officemag.ru/info/guide/index.php?ID=10607497</t>
  </si>
  <si>
    <t>��������-������� �������: ���������� ������ ��� ����� � ���������. �� ���������� ����� cookies    ��� ������ �������� ����������� ������ � ���������. ��������� ������������ ����� ������ �� ����� �������� �� ��������� ������������� ������ � �����    �������� � ��������� ��������� � ������ ������������ ������� ��������� ����� �������� �������� JavaScript. �������� ��� � ���������� ������ �������� � ������������� ��������.                        ��� ������������� ������� ��������� ��� �� ������ +7 (910) 744-44-04         ������                ��� ����� ������?�����  �������� �����                    ����������������������������������������                        ���                     �������. ��� ����� ������ �������������������. ��� ����� ������ �������������������                                ��������������������������������� �������. ������ (���)������ ��� ������������������������������ ���������� ��������� �������������� ������������������������������������������� � ����. �����                    �����                ������� ������������ ������ ����������� ������ � ��������!���� ������                    ������� ������                                    ����������� 24                ��������������������������                    ������ ����                ����� ������� ������������� � ���������������� ������ ����������������������*�������� �������**                    ����/���                                    �����������                                    ������ ����������                                    �����������������                ������� ����������� � �������                        ��������: ���������                        ������� ��������:                        �������� ��������������������������������������������������                            �������                                    �������                            �������            ������� ��� ���������������������� ������������ ����� ��������� ����� ������� ��� ����� ������� �������.���� � ��� ��� ������� ������ �������� ��������� �����������. ��� �� ������ �����                            �������.����������������������������������� ������ ������������������������������������������������ � ��������������������� ����������� ��������                 ����� ������                            ������� � �����������            �������� ���������� �� ���������� ���������������� ��������������� ����������                 ���������� ����������            �������� �������� ������������������� ����� ���������������� ������ ������������ ������                 � ��������            ������ � ������������ �������������������� ������������� ������������������������� ����������������������������� � ������                 ������ ������ ������            ������ ���������������� ��������� �������������� �������������������������� ��������� ����������� ������� �� ������ �������! ������� � �������! ������� �� �������! ���������� ������ �� �������! ���������� ���������� ������ ������! ����� ������. ����� ����������� LAIMA ULTRA - �������� ����� ��� ������ �����! ��������� �� ������ ��� �����! ����������� 2024! ������ ���� ���� � ������ ����! ����� ������ �������! ������� �� ������� ������� �� ERICH KRAUSE! ��� ��� ������ �� ������ � ���������! ������� � �������! ������ �� 40%! ���������� ������� � ����������� �������! ������ �� -44% �� ������ ��� ������! ������ �� ����� � ���������� ��������� ���� � ������� ������! ������� ��� ������ �����! ������ �� ������ ��� �������� ����������!                      ���� ������!��������������100 ��������������� �������� ����������������� ������� ��������!������ �4������ �4���� ������ � 11 �� 17 ������. �� ����� ����� �������� �� ����� ����� ��������05�.10�.14���.�������� �����������! ���������� ������ ����������� � ����� ����� ������ ��� ���������� ������ ����� ��������-�������.-9%���� ������ � 11 �� 17 ������.					����� ������! �� ����� ����� ���������� ����� ����� ��������05�.10�.14���. �������� ��� ����� ������ � ������ 750 �� LAIMA PROFESSIONAL «�����» ����������� 6046539602 ���. 8738 ���.������������ � ������� -25%���� ������ � 11 �� 17 ������.					����� ������! �� ����� ����� ���������� ����� ����� ��������05�.10�.14���. ������� ������������� ����� 19 �� � 35 � �� ���������� ������ 1 �� ������� BRAUBERG 22832626510 ���. 19883 ���.������������ � ������� -25%���� ������ � 11 �� 17 ������.					����� ������! �� ����� ����� ���������� ����� ����� ��������05�.10�.14���. �������� �4 (229×324 ��) �������� ����� 100 �/�2 �������� 25 ��. BRAUBERG 12185226768 ���. 20076 ���.������������ � ������� -22%���� ������ � 11 �� 17 ������.					����� ������! �� ����� ����� ���������� ����� ����� ��������05�.10�.14���.������ ����  �������� �5 (162×229 ��) �������� ����� ����-���� ���������� ��������� 80 �/�2 �������� 100 ��. BRAUBERG 11218842152 ���. 32879 ���.������������ � ������� -25%���� ������ � 11 �� 17 ������.					����� ������! �� ����� ����� ���������� ����� ����� ��������05�.10�.14���. ����� ��������� 200 �� ������� «�������» �� ����� ���������� ����������� � ���������26716 ���. 20037 ���.������������ � ������� -25%���� ������ � 11 �� 17 ������.					����� ������! �� ����� ����� ���������� ����� ����� ��������05�.10�.14���.��� ������  ����� ����������� STAFF «����� �����» ������ 38×14 �� «Printer 9011T» 23742034421 ���. 25816 ���.������������ � ������� -25%���� ������ � 11 �� 17 ������.					����� ������! �� ����� ����� ���������� ����� ����� ��������05�.10�.14���. ����� ��� ������ + ����� ������� ��������� ������ ������-����� ������ 60361542921 ���. 32191 ���.������������ � ������� -25%���� ������ � 11 �� 17 ������.					����� ������! �� ����� ����� ���������� ����� ����� ��������05�.10�.14���. ��������� DURACELL MN27 Alkaline � �������� 12 �40746 ���. 30560 ���.������������ � ������� -25%���� ������ � 11 �� 17 ������.					����� ������! �� ����� ����� ���������� ����� ����� ��������05�.10�.14���.����� �2119812. ������� �� ������� ���������� ������������� �� BRAUBERG!- �� 1 000 ���. - �������� ��� ����� ������ � �������! - �� 1 500 ���. - �������� �������� � �������!- �� 3 000 ���. - �������� ��� ������ � �������!��������� ��: 31.12.2023��������! ����� ���������                            ������ ��� ���������� ������� � ��������� � ����.                             ����������� ���������� BRAUBERG ULTRA PASTEL-12-LG (192×143 ��) 12 �������� ������� ������� ������ 25050485475 ���. 64106 ���.������������ � ������� -7%���� ������ � 11 �� 17 ������.					����� ������! �� ����� ����� ���������� ����� ����� ��������05�.10�.14���. ������� ���������� GOLDEN DESSERT «����� �������� ����������» 200 � ��������� �������40506 ���. 37671 ���.������������ � ������� -7%���� ������ � 11 �� 17 ������.					����� ������! �� ����� ����� ���������� ����� ����� ��������05�.10�.14���. �����-������ � ������ 720 �� x 150 � ��������� 78 �/�2 ����� � (��������) BRAUBERG 4401851 31118 ���. 1 21940 ���.������������ � ������� -25%���� ������ � 11 �� 17 ������.					����� ������! �� ����� ����� ���������� ����� ����� ��������05�.10�.14���. �������� �������������� BRAUBERG 1 ��. «Touch line» 2� ������ ������ ���������� 180623860 ���. 645 ���.������������ � ������� -25%���� ������ � 11 �� 17 ������.					����� ������! �� ����� ����� ���������� ����� ����� ��������05�.10�.14���. �������� ��������-����� BRAUBERG ��� ������� ���� ����� � ������ ������������� 250 �� 51011716044 ���. 12033 ���.������������ � ������� -15%���� ������ � 11 �� 17 ������.					����� ������! �� ����� ����� ���������� ����� ����� ��������05�.10�.14���. ���������� ��� ��� � ������������ ���������������� (64%) � ������������ 100�� ���������-����� ��������������� ��������9100 ���. 7735 ���.������������ � ������� -9%���� ������ � 11 �� 17 ������.					����� ������! �� ����� ����� ���������� ����� ����� ��������05�.10�.14���. ��������� �������������� Ni-Mh ����������� / ������������ ����� 8 ��. (AA+���) 2700/1000 mAh SONNEN 4556121 24596 ���. 1 13382 ���.������������ � �������  ������� ������������ 2024�������� ���������� ������������ 2024                            �������� �������                        �������� ����������� ��� ���� �����������! ��� ������� �����������! ���������� �����! ������� � �������� ������� � ������������ ���������� � �������� ������� � ���������������������������! ���������� ������ ������ ��� ����� ������������������� ������������! ���������� ������ ������ ��� ����� �����������                            ������ � ������ ����                        ������ ��� ������������������� ��� ����������������� � �������������� ��� ���������                            ������ � �������������                        ����� ��������� ������������������� ��������� ��������������������� ������������ ������-������                            ���� ��� �������                        ������������ � �������������� ������� ������ �������! ������ ���� �� �����-�������������������� ���������� ������ �������! ������ ���� �� �����-������������                    ���������� �������                �������� ������������� ��������������������������� ������� ��������� ������������� ������������������ ���� �� �������� ����!�������� ���������� ���� �� �������� ����!                            ��� ������� � ���������� ����                        ����� ��� �������������-������������� ��������������������� �������������                            ����������� ��������������                        ������ ������������� ����������������������� ������������� ����������� �������������                            ����������� ������                         ������� � ����� ������������������� ������������������ �������� �������������� ����������������� ������! - 34% �� ���������� ��� ������ ������������� ��������� ������! - 34% �� ���������� ��� ������ ������������ ��� ���������� ��� �������� ������! - 49% �� ����������� ������ ��� ������������� �������� ������! - 49% �� ����������� ������ ��� �����                            ��� ����� ������������                        ����� ����������� �������� ��������������������������                            ������ ��� ������������                         �������� �������������� �������������� ������ ������������������ ��� �������������-������ �������                            ������ ��� ��������                        ������ ��� �������� ����������������� � ������������� ��� �������������������� ������� ��������������� �� 37% �� ��� ��� ������ ����!�������� ��������� �� 37% �� ��� ��� ������ ����!Piazza Del Caffe � ����������� ���� �������� �������� �� ������ �� ������������� ���Piazza Del Caffe � ����������� ���� �������� �������� �� ������ �� �������������� � ������� ��������� ������� ������ � VEIRO!�������� ������������ � ������� ��������� ������� ������ � VEIRO!                            ��� �������� ������ �������                        ��� �������� ������ ������������������ �������������                             ������� ������� ��� ���                        ��������� �������� �� ���������������� ������� ������������� ������� � ���� ����������������� �� ������ � ������ ���������                            ����� ������� ��� ���                        �������� ��������������� �������������� � ����������� ������������ ������ ��� ����������� �� 34% �� ��������� ������ � �������� ����������������� ��������� �� 34% �� ��������� ������ � �������� ����������� ������� ����������������������� ���������								����������� ���� � ��� ����� 20 �����������							����� ����������������������������� �������������������� ������������ �������������������������������� �������������� �� �������������� �� ������������������ ������������������������ � ������������������� ������������������� �� ��������� �������������� ���������������� ���������������������������������� ��������� ���������������������� � �������� ������������������������� ������������� �������100 �������� ������� �������� ������ ����������� ������ � ������������� ������ ������ �� ����� ������ �����!������ ������-����������� ��������������������������������������� ����������������� �������� ������������������������������� ������������� ����������� ����� ��������������� ������ ������������ ��� ����������� ������������������ ������ �������������� ������ ������������ ������� ���������� ��������������������� � �������������� ������ � ����������� �������������������� ������������� ������������������������� ���������������������� � ������+7 (495) 645-15-55 moscow@officemag.ru��� �������� ������� � ������������� ��������premium@officemag.ru���������� ���. ���������� ��. ������� 2-� ���. 10���������� �� �������������������������� ��������������������������������� ������������� ����������� ����� �������������� ��� ����������� ������������������ ������������� ������ ������© 2004–2023 ������������� �����������                        ����� ��������� ������                        �������� �����                        ���������������</t>
  </si>
  <si>
    <t>www.officemag.ru</t>
  </si>
  <si>
    <t>купить калькулятор цены и отзывы, продажа ...</t>
  </si>
  <si>
    <t>Купить калькулятор в интернет-магазине СИТИЛИНК. Выгодные цены, кэшбэк и бонусы. Отзывы и обзоры от покупателей. Характеристики. Гарантия, покупка в кредит ...</t>
  </si>
  <si>
    <t>https://www.citilink.ru/catalog/kalkulyatory/</t>
  </si>
  <si>
    <t>Ситилинк - интернет-магазин техники электроники товаров для дома и ремонтаМурманск+7 (812) 332-84-84Покупай как юр. лицоЖурналАкцииКонфигураторДоставкаМагазиныОбратная связьКаталог товаровВойтиИзбранноеСравнениеКорзинаКатегории: Популярные/БизнесуПопулярные категории/БизнесуНоутбукиСмартфоныТелевизорыМониторыПроцессорыСадовая техникаСтиральные машиныКлиматическая техникаХолодильникиКомпьютерыСобрать компьютерСоздать свою сборкуГотовые сборкиИгровыеДля домаДля офисаДля дизайнаПопробуйте!Создать свою сборкуОформляйте заказы в кабинете для бизнесаЗарегистрироватьУзнать большеПопулярные брендыСм. всеВсе бренды →Другие услугиСм. всеВсе услуги →Установка техники            Воспользовавшись нашим услугами вы сможете рассчитывать             на качественную установку и подключение любой бытовой техники             кондиционеров в вашем доме квартире или офисе.        Цифровые услуги            Квалифицированные специалисты настроят цифровую технику             в вашем присутствии в Магазинах Ситилинк!  Установка программ             лечение вирусов Upgrade компьютеров настройка смартфонов и многое другое.        Защита покупки            Будем честны: техника иногда ломается причем куда чаще чем хотелось бы.             Защитите свою покупку страховкой: вы получите бесплатную диагностику ремонт             а в случае поломки — быструю замену или денежную компенсацию.        Защита имущества            Пожар залив кража стихийное бедствие — их нельзя избежать на 100%             но можно компенсировать последствия. Защитите свой дом: это в 250 раз дешевле ремонта.             В защиту включена ответственность перед соседями        Хочу быть в курсе акций и новинокПодписатьсяКонтактыАдреса магазинов+7 (812) 332-84-84МурманскЗадать вопросЖурналАкцииПокупателямИнформацияДоставкаГарантияКредит и рассрочкаСервисные центрыУслугиКорпоративным клиентамАренда помещенийПартнёрская программаОбзорыКлуб СитилинкКонфигураторПодбор расходных материаловСитилинкНовостиВакансииДокументы© Ситилинк 2008 – 2023Политика обработки персональных данныхРекомендательные технологииМы используем файлы cookie.  ПодробнееМы используем файлы cookie для вашего удобства пользования сайтом и повышения качества рекомендаций.  ПодробнееЯ согласенГлавнаяКаталогКорзинаИзбранноеСравнениеВойти</t>
  </si>
  <si>
    <t>www.citilink.ru</t>
  </si>
  <si>
    <t>Калькуляторы</t>
  </si>
  <si>
    <t>Купить калькуляторы по ценам от 49 руб в Эльдорадо. При покупке калькуляторов действуют скидки, акции и бонусная программа. Покупать в интернет-магазине ...</t>
  </si>
  <si>
    <t>https://www.eldorado.ru/c/kalkulyatory/</t>
  </si>
  <si>
    <t>Приложения в Google Play – Калькулятор</t>
  </si>
  <si>
    <t>28 июн. 2023 г. —</t>
  </si>
  <si>
    <t>https://play.google.com/store/apps/details?id=com.google.android.calculator&amp;hl=ru&amp;gl=US</t>
  </si>
  <si>
    <t>Приложение калькулятор</t>
  </si>
  <si>
    <t>Бесплатный калькулятор с процентным ключом, клавишами памяти и научными функциями. Научный калькулятор * Расчет процентов. * ключи памяти.</t>
  </si>
  <si>
    <t>https://play.google.com/store/apps/details?id=org.whiteglow.quickeycalculator&amp;hl=ru&amp;gl=US</t>
  </si>
  <si>
    <t>Калькулятор мощности - найди лучший бесшумный БП ...</t>
  </si>
  <si>
    <t>https://www.bequiet.com/ru/psucalculator</t>
  </si>
  <si>
    <t>be quiet! - Silent PSUs cases and PC cooling products. PSU calculator and cooler check for your PCCookies on bequiet.com.bequiet.com uses cookies (including from 3rd parties) to collect information about the use of the website by users. These cookies help us provide you with the best online experience to continually improve our website and present you with offers that are tailored for you. By clicking on the „Accept all cookies“ button you agree to the use of all cookies. By clicking on the „Accept only technical necessary cookies “ button you agree to the use of only technical necessary cookies. For more information about the use of cookies or to change your settings please click on „Information about the use of cookies.Accept only technical necessary cookiesInformation about the use of cookiesAccept all cookiesImprintPrivacyGeneral termsLocalisation of the websiteCountry / RegionLanguageČeštinaDeutschEnglishEspañolFrançaisMagyarPolskiРусскийУкраїнська简体中文繁體中文SaveProductsPower SuppliesDark Power 13Straight Power 12Straight Power 11Pure Power 12 Pure Power 11System Power 10SFX PowerTFX Power 3PC CasesDark Base 901Dark Base 900Dark Base 701Silent Base 802Silent Base 601Shadow Base 800Pure Base 600Pure Base 500Water CoolersPure Loop 2Air CoolersDark RockShadow RockPure RockFansSilent Wings 4Light WingsShadow Wings 2Pure Wings 3Pure Wings 2AccessoriesPower CableM.2 SSD CoolerThermal GreasesTRX4 / TR4 Mounting KitRiser CableHDD AccessoriesWindow Side PanelAirflow Front PanelPSU ShroudC19 / C20 CoverService toolsPSU calculatorMotherboard checkProduct comparisonWhere to buyServiceContactFAQWarrantyProcessing of complaintsDownloadsAbout usAbout be quiet!BlogPress releasesPress reviewsVolume &amp; NoiseContact SearchUnited Statesus  United StatesPERFORMANCECOOLING                            OUTSTANDING RELIABILITY AND QUIET OPERATION!                        LEGENDARYCOOLING                            JOIN THE WORLD OF ELITE GAMING                        SUPERIORCOOLING                            IMMENSE COOLING PERFORMANCE                        REMARKABLECOOLING                            HIGH COOLING POWER FOR DEMANDING APPLICATIONS                        EXCEPTIONALAIRFLOW                            FOR BEST GAMING PERFORMANCE                        OUTSTANDING PERFORMANCE                             THE NEW FLAGSHIP CASE                        HIGH-GRADE EFFICIENCY                            FUTURE PROOF WITH ATX 3.0                        DIGITAL POWER                            EXTREME ATX 3.0 PERFORMANCE                        Color Frenzy                            Light Wings fans offer impressive illumination that combine a vibrant unique look strong performance and quiet operation with efficient cooling.                        NEW POWER                            ENTER THE ATX 3.0 ERA                                                    Life is noisy enough: Everything you need to know about the importance of a quiet PC.                        Learn more!Power suppliesOverviewComparePSU calculatorPC casesOverviewCompareSize comparisonWater coolersOverviewCompareAir coolersOverviewCompareMotherboard checkFansOverviewCompareService tools									PSU calculator																	Find out the recommended power of your system.																		Calculate now!																		Motherboard check																	Find the most suitable be quiet! CPU cooler for your motherboard.																		Check now!																		Product comparison																	Compare up to three be quiet! products.																		Select now!																		Shop Search																	Find the perfect store in your region.																		Search now!									Enter the world of silent computingDiscover everything about the German silence expertsbe quiet! is a German premium brand of power supplies PC cases water and air cooling and fans for desktop PCs. With more than 20 years experience in the field of noise reduction of computers be quiet! offers nearly inaudible products with quality on a world-class level. The unbeaten market leadership in power supplies in Germany since 2007* is solid proof of the confidence users have in these products. Regardless of whether you want to become a part of the high-end enthusiasts’ community search for the perfect power supply with the PSU calculator find out which silent cooler suits your motherboard compare the silence to performance ratio of PWM fans or find retailers and online shops: be quiet! offers one-stop full support.Exceptionally quiet operation be quiet! lives up to its name: 20 years experience in the field of noise reduction and silence make be quiet! products probably the most silent on the market. Undoubtedly the fans are an integral factor in minimizing the noise levels of the products in the be quiet! portfolio. Specially developed Silent Wings and other be quiet! fans are used throughout all product ranges. They are equipped with a variety of noise-reducing features such as special bearings smooth motors optimized airflow and vibration decoupling. Thanks to these fans be quiet! products attain a perfect balance of ideal cooling performance and virtually inaudible operation. Whoever decides to buy be quiet! products buys proven premium quality and the silent operation typical of be quiet!. Developed in Germany High-end gaming systems overclocking rigs or virtually inaudible HTPCs: with a wide range of products available be quiet! has the solution for every individual demand. No matter whether you want all-in-one water cooling or air cooling single-rail or multi-rail PSUs midi or full tower. Customers don’t have to accept anything less than the best performance while hearing nothing but their movies or in-game sounds. The headquarters are located in Glinde near Hamburg. Since 2002 here is where all products have been conceived and designed and quality inspections and controls have been carried out. This is how be quiet! ensures that all products meet the high standards. Regular awards in categories such as "Best Fan" "Best Power Supply" "Best Cooler" and "Best PC Case" from specialized media as well as a high level of customer satisfaction ensure healthy and steady growth. Outstanding manufacturer service and support Regular news exciting articles about current hardware topics competitions and press releases keep the be quiet! community up to date at all times. All technical data is available online including material for B2B customers with downloads of manuals high resolution pictures and videos. As well as products with world-class quality and up to 10-year warranty be quiet! is also famous for its great customer support. contact forms email and telephone offer direct connection to the after-sales team. Social media platforms provide even more opportunities to inform discuss with and help the community. be quiet! is a trademark of Listan GmbH | www.listan.comPress releasesRead more02.11.2023be quiet! introduces Dark Base 701: high-airflow case with outstanding usabilityIdeal case for modern high-end systems thanks to focus on airflow and easy ...Read more24.10.2023be quiet! introduces Pure Wings 3 fan series: Performant progressive quietIncreased airflow and static pressure at a low price ...All press releasesPress reviewRead more11.10.2023Club386 reviews Pure Loop 2 280mm[...] we can say with absolute certainty that Pure Loop 2 280mm is the quietest and ...Read more11.10.2023Datormagazin reviews Dark Power Pro 13 1600WIf you want to build a system with extreme OC multiple GPUs and lots of extra ...Press overviewContactGeneral termsPrivacyCookiesImprintGeneral terms for shop customersCancellation policyPayment optionsShipping optionsbe quiet! Social media						United States - en					© be quiet! 2023All rights reservedFunctionality cookies are not set.×        You cannot proceed without functionality cookies. Please activate them. More information</t>
  </si>
  <si>
    <t>www.bequiet.com</t>
  </si>
  <si>
    <t>Купить калькулятор с доставкой по Москве и России в ...</t>
  </si>
  <si>
    <t>Он легкий, надежный и практичный! Калькулятор Casio MS-20UC-LBНастольный калькулятор Casio MS-20UC-LB ориентирован на широкий круг специалистов, которым ...</t>
  </si>
  <si>
    <t>https://calculators-online.ru/</t>
  </si>
  <si>
    <t xml:space="preserve">Купить калькулятор с доставкой по Москве и России в Calculators-Online.ru - специализированный магазин калькуляторов   (495)240-8280ПН-СБ с 12:00 до 20:00  [email protected]КаталогБаза Знаний!Доставка/оплатаПреподавателямНовостиО насКонтакты  Состояние заказа    КорзинаПустоОфициальный дилерCasio HP Canon Texas CIБесплатнаядоставкаГарантия3 годаЛюбойспособ оплатыСравнить товары (0)По названиюПо параметрам  Научные  Калькулятор научный Casio FX-82ES Plus 2nd editionНаучный калькулятор Casio FX-82ES Plus 2nd edition — улучшенная версия одной из самых популярных моделей Casio предназначенной для старшеклассников студентов специалистов. Разрешен на ЕГЭ по физике химии и географии.  Калькулятор инженерный Casio FX-991ES Plus 2nd editionИнженерный калькулятор Casio FX-991ES Plus 2nd edition с 417 функциями подойдет для работы и учебы. Теперь модель имеет еще более совершенный дизайн и новые полезные опции.  Калькулятор инженерный Texas Instruments TI-30X Pro MathPrintИнженерный калькулятор TI-30X Pro MathPrint — новая модель от компании Texas Instrument с богатым функционалом и системой MathPrint позволяющей вводить математические выражения в том же виде как они даны в учебнике.  Калькулятор научный Casio FX-220 Plus 2nd editionCASIO FX-220 Plus-2 - практичный и удобный калькулятор для школьников и студентов со 181 функцией. Разрешен на ЕГЭ/ОГЭ по химии физике и географии. Стильный дизайн поднимет настроение!  Калькулятор инженерный BRAUBERG SC-880-N  Калькулятор инженерный Texas Instruments TI-30XS MultiviewКалькулятор TI-30XS MultiView поможет на уроках алгебры геометрии физики биологии химии. Он практичен и функционален отличается стильным дизайном и доступной ценой.  Калькулятор научный BRAUBERG SC-850  Калькулятор научный STAFF STF-310  Калькулятор научный STAFF STF-810  Калькулятор научный STAFF STF-165  Калькулятор научный STAFF STF-245  Калькулятор инженерный Casio FX-991EX ClasswizCasio FX-991EX ClassWiz имеет производительный процессор и мгновенно выполняет даже сложные вычисления. 552 функций калькулятора хватит и школьникам и специалистам.  Калькулятор научный Casio FX-85ES Plus 2nd editionНаучный калькулятор Casio FX-85ES Plus 2nd edition разрешен на ЕГЭ по физике химии и географии. Он эргономичный простой в использовании и имеет оптимальный набор функций для учебы.  Технические Строительные и специализированные калькуляторы измерительные приборы  СтроительныеСтроительные калькуляторы для быстрых и точных расчетов. Линейки профессиональных калькуляторов есть не только для экономистов бухгалтеров математиков и физиков но и для людей занимающихся строительством и реконструкцией помещений.   Калькуляторы конверсии  Курвиметры  Дальномеры лазерные  Измерители уровня  Графические  Калькулятор графический Texas Instruments TI-84 Plus CE-T Python EditionСовременный программируемый графический калькулятор Texas Instruments TI-84 Plus CE-T для школьников и студентов - идеальный инструмент для решения математических задач и научной работы в том числе для статистических и финансовых вычислений.  Графический калькулятор Hewlett-Packard HP Prime (G2)Более 2300 встроенных функций. Современный полноценный язык программирования. Приложения Dynamic Geometry CAS Advanced Graphing электронные таблицы. Международная школа + ВУЗ + работа. SAT AP.  Графический калькулятор Texas Instruments TI-Nspire CX II-T CASTI-Nspire CX II-T CAS - последняя разработка компании Texas Instruments и один из самых функциональных удобных и стильных графических калькуляторов на рынке  Графический калькулятор Texas Instruments TI-Nspire CX II-TГрафический калькулятор Texas Instruments TI-Nspire CX II-T станет незаменимым помощником на уроках алгебры геометрии физики химии технологии информатики программирования начиная с 7-го класса.  Калькулятор графический Casio FX-CG50Графический программируемый калькулятор CASIO FX-CG50 простой в использовании с поддержкой 3D графики сделает любые математические вычисления проще и нагляднее.  Финансовые  Калькулятор финансовый Texas Instruments TI BA II PlusФинансовый калькулятор Texas Instruments TI BA II Plus - это мощный вычислительный инструмент для студентов и специалистов работающих в сфере финансов.  Калькулятор финансовый Texas Instruments TI BA II Plus ProfessionalПрофессиональный финансовый калькулятор Texas Instruments TI BA II Plus Professional  Калькулятор финансовый Hewlett-Packard HP 10BII+Финансовый калькулятор HP10BII+ отлично подойдет тем кто ищет способ быстро и просто получить важные ответы.  Калькулятор финансовый Hewlett-Packard HP 12C Platinum для CFAФинансовый калькулятор HP12c Platinum создан специально для самых требовательных профессионалов в сфере финансов.  Калькулятор финансовый Hewlett-Packard HP 17BII+ BusinessПрофессиональный финансовый калькулятор HP17bII+ от компании Hewlett-Packard  Детские  Калькулятор детский Texas Instruments TI Little ProfessorС детским калькулятором TI Маленький профессор ребенок быстро освоит арифметику: задания даются в форме игры а сложность постепенно возрастает.  Калькулятор детский Citizen LC-110NBL синийС помощью калькулятора Citizen LC-110NBL ученики начальной школы научатся быстро и правильно решать примеры. Он легкий и удобный - идеально подходит для детей.  Калькулятор детский Citizen LC-110NPK розовыйCitizen LC-110NPK предназначен для учеников 1-4 классов. Этот детский калькулятор поможет с легкостью освоить базовые арифметические действия.  Калькулятор детский Casio LC-401LV-BU голубойДетский калькулятор Casio LC-401LV-BU имеет яркий и прочный корпус и большой дисплей поэтому решать примеры удобно и приятно. Предназначен для учеников начальных классов.  Калькулятор детский Casio LC-401LV-PK розовыйДетский калькулятор для девочек Casio LC-401LV-PK - отличный вариант для обучения арифметике. Решать примеры будет просто и приятно а яркий дизайн поднимет настроение!  Калькулятор Citizen SDC-450NRDКалькулятор Citizen SDC-450NRD - находка для учителей и родителей которые хотят увлечь детей математикой. Школьники полюбят его за яркий дизайн и удобство!  Калькулятор Citizen SDC-450NYLЯркий и позитивный калькулятор Citizen SDC-450NYL обязательно понравится детям! С ним удобно работать а функций хватит до средних классов школы.  Калькулятор детский Citizen FC-100NPKCitizen FC-100NPK отлично подойдет школьникам: стильный дизайн двухстрочный дисплей функции проверки и коррекции сделают его незаменимым на уроках математики!  Карманные  Калькулятор Citizen LC-110NКарманный калькулятор Citizen LC-110N - модель которая отлично подойдет для выполнения простых расчетов. Его удобно носить с собой в сумке: вес устройства - всего 31 грамм.  Калькулятор Casio HL-4A Casio HL-4A - один из самых доступных карманных калькуляторов. Он имеет все базовые функции при этом очень компактный и легкий - вес модели составляет всего 31 грамм.  Калькулятор Citizen LC-310NRНужен удобный и надежный карманный калькулятор? Citizen LC-310NR станет отличным выбором! Он имеет прочный корпус и все необходимые для простых расчетов функции.  Калькулятор Citizen SLD-100NRКарманный калькулятор Citizen SLD-100NR никогда не подведет: у него двойное питание (батарея + солнечный элемент) поэтому он не сядет в самый неподходящий момент.  Калькулятор Citizen SLD-200NRКарманный калькулятор Citizen SLD-200NR порадует практичностью: у него два источника питания (батарея и солнечный элемент) крупные кнопки и мягкий чехол с кармашком.  Калькулятор Canon X-Mark-I-PointerCanon X-MARK-I-POINTER - это одновременно карманный калькулятор и лазерная указка. Стильный дизайн и обилие функций сделают его незаменимым для профессионалов.  Калькулятор карманный STAFF STF-883  Калькулятор Casio SL-300NC-PKКарманный калькулятор с ярким дизайном большим дисплеем и удобными кнопками - Casio SL-300NC-PK обязательно понравится представительницам прекрасного пола!  Калькулятор Casio SL-300NC-GNКарманный калькулятор с ярким дизайном большим дисплеем и удобными кнопками - Casio SL-300NC-GN обязательно понравится!  Калькулятор Casio SL-310UC-PLВстречайте новику от Casio — карманный калькулятор SL-310UC-PL! Эту легкую эргономичную и функциональную модель вы с удовольствием будете носить с собой в сумке.  Калькулятор Citizen CPC-110VPU12-разрядный карманный калькулятор Citizen CPC-110VPU превосходно выглядит и имеет функции конвертации валют расчета налогов смены знака.  Калькулятор Citizen CPC-110VBL12-разрядный карманный калькулятор Citizen CPC-110VBL превосходно выглядит и имеет функции конвертации валют расчета налогов смены знака.  Калькулятор Casio SL-300NC-RDКарманный калькулятор с ярким дизайном большим дисплеем и удобными кнопками - Casio SL-300NC-RD обязательно понравится представительницам прекрасного пола!  Калькулятор Citizen CPC-110WBМодель сочетает в себе лаконичный дизайн удобство использования и функциональность. В отличие от многих других карманных калькуляторов список опций у Citizen CPC-110WB расширен за счет возможности быстро выполнять простые финансовые расчеты.  Настольные   Калькулятор Canon LS-103TCДоступный и привлекательный 10-разрядный настольный калькулятор Canon LS-103TC имеет функции расчет налогов и конвертирования валюты. Большой ЖК-дисплей обеспечивает исключительную простоту использования.  Калькулятор Citizen Correct SD-208Настольный калькулятор Citizen Correct SD-208 - одна из самых компактных настольных моделей. Он идеально подойдет для учащихся и студентов.  Калькулятор Citizen CDB1201-BKНастольный калькулятор Citizen Correct CDB1201-BK в корпусе классического дизайна поддерживает финансовые операции и подойдет продавцам работникам склада составителям смет.  Калькулятор настольный Casio GR-12C-GNКалькулятор Casio GR-12C-GN — яркая модель которая отлично будет смотреться на рабочем столе. Функциональная и практичная она поможет с базовыми финансовыми расчетами.  Калькулятор настольный Casio GR-12C-RGНовое поколение настольных калькуляторов Casio совмещает яркий дизайн и обилие полезных функций. Модель GR-12C-RG будет отлично смотреться на любом рабочем столе!  Калькулятор Citizen SDC-444SНастольный калькулятор Citizen SDC-444S предназначен для выполнения базовых арифметических действий извлечения квадратного корня подсчета процентов.  Калькулятор Citizen SDC-577IIIНастольный калькулятор Citizen SDC-577III прекрасно подходит для бухгалтеров и финансовых работников. Эта модель поддерживает подсчет налогов и другие функции.  Калькулятор Citizen SDC-868LНастольный калькулятор Citizen SDC-868L с регулируемым дисплеем предназначен для решения финансовых задач.  Калькулятор Citizen SDC-554SНастольный калькулятор Citizen SDC-554S удобен для выполнения бухгалтерских расчетов. У этой модели увеличенный 14-разрядный дисплей.  Калькулятор Citizen SDC-395NНастольный калькулятор Citizen SDC-395N объединил традиционное японское качество и оптимальный набор функций необходимых в работе бухгалтерам экономистам товароведам.  Калькулятор Citizen CDB1601-BKНастольный калькулятор Citizen CDB1601-BK с большим 16-значным экраном - идеальный выбор для частой работы с числами и ценами.  Калькулятор Citizen SDC-444XRNVE темно-синий  Калькулятор Citizen SDC-444XRPKE розовый  Калькулятор Citizen SDC-444XRGNE бирюзовый  Калькулятор Citizen SDC-888TIIНастольный калькулятор Citizen SDC-888TII удобен для простых расчетов и несложных денежных операций. Он поддерживает вычисление процентов скидок и округление итога.  Калькулятор Citizen SDC-888XRDНастольный калькулятор Citizen SDC-888XRD в ярком бордовом корпусе отличается броским дизайном. Он поддерживает все базовые функции а также позволяет вычислять наценку скидку и другие значения.  Калькулятор Citizen SDC-888TIIGE премиумНастольный калькулятор Citizen SDC-888TIIGE премиум — это серия выпущенная ограниченным тиражом в честь пятидесятилетия самой популярной модели японского производителя.  Калькулятор Citizen SDC-888XBKНастольный калькулятор Citizen SDC-888XBK предназначен для базовых вычислений. Он также подходит для выполнения простых финансовых расчетов.  Калькулятор Citizen SDC-888XBLНастольный калькулятор Citizen SDC-888XBL имеет сдержанный дизайн и поддерживает самые востребованные функции. Благодаря большому дисплею работать с ним удобно и комфортно.  Калькулятор Citizen SDC-760NБольшой профессиональный настольный калькулятор Citizen SDC-760N подойдет для специалистов в области финансов и аналитики.  Калькулятор настольный Casio MS-20NC-PKСтильный настольный калькулятор Casio MS-20NC-PK компактного размера.  Калькулятор Casio MS-20UC-BUПростой в работе практичный и недорогой настольный калькулятор Casio MS-20UC-BU пригодится на любом рабочем месте.  Калькулятор Casio MS-20UC-YGНастольный калькулятор Casio MS-20UC-YG понравится и людям которые ищут модель для работы и школьникам. Главные его отличия - яркий корпус и большой дисплей.  Калькулятор Casio MS-20UC-RGЯркий и позитивный оранжевый настольный калькулятор Casio MS-20UC-RG будет поднимать настроение на работе и впечатлит вас удобством.  Калькулятор Casio MS-20UC-GNПредставляем новинку - Casio MS-20UC-GN! Этот настольный калькулятор со стильным дизайном порадует практичностью удобством использования и доступной ценой!  Калькулятор Casio MS-20UC-PKНежно-розовый настольный калькулятор Casio MS-20UC-PK подойдет для рабочего стола или сумочки любой представительницы прекрасного пола. Он легкий надежный и практичный!  Калькулятор Casio MS-20UC-LBНастольный калькулятор Casio MS-20UC-LB ориентирован на широкий круг специалистов которым требуется производить несложные вычисления.  Калькулятор Casio MS-20UC-RDЯркий розовый настольный калькулятор Casio MS-20UC-RD не затеряется среди бумаг! Функциональный и удобный он станет хорошим помощником на работе.  Калькулятор настольный Casio JW-200SC-WE премиумЕсли вы придаете большое значение стилю убедитесь что вы выбрали правильный калькулятор для вашего стиля: с цветным металлическим корпусом настольный калькулятор Casio JW-200SC-WE.  Калькулятор настольный Casio JW-200SC-GD премиумПремиальный настольный калькулятор Casio JW-200SC-GD- будет каждый день радовать вас своим дизайном и удобством использования.  Калькулятор Citizen WR-3000 ВодонепроницаемыйНастольный калькулятор Citizen WR-3000 в компактном корпусе защищенном от ударов попадания воды или пыли.  Калькулятор Citizen SDC-805BNНастольный калькулятор Citizen SDC-805BN — классическая модель вместившая в себя базовые арифметические функции для выполнения простых вычислений. Калькулятор имеет отточенную эргономику и сводит к минимуму количество ошибок при вводе данных.  Калькулятор Canon LS-88L-BLМиниатюрный 8-разрядный настольный калькулятор Canon LS-88L-BL с большим наклонным ЖК-дисплеем.  Калькулятор Canon LS-88L-LGRМиниатюрный 8-разрядный настольный калькулятор Canon LS-88L-LGR с большим наклонным ЖК-дисплеем.  Калькулятор Canon LS-88L-PKМиниатюрный 8-разрядный настольный калькулятор Canon LS-88L-PK с большим наклонным ЖК-дисплеем.  Калькулятор Citizen CT-666NНастольный калькулятор Citizen CT-666N упростит вычисления для бухгалтера менеджера экономиста в том числе расчет налогов прибыли итоговой суммы. Уникальной опцией является проверка и коррекция до 120 последних действий.  Калькулятор Citizen ECC-310Экологичный настольный калькулятор Citizen ECC-310 — одна из последних разработок компании. Несмотря на большие размеры этого калькулятора он работает только на солнечных батареях и не использует другие источники питания.  Калькулятор Citizen Correct D-314Большой настольный калькулятор Citizen Correct D-314 с поддержкой финансовых функций будет удобен для проведения частых расчетов.  Калькулятор Citizen CMB1201-BKНастольный калькулятор Citizen CMB1201-BK - это простая ученическая модель которая подойдет учащимся начальных и средних классов.  Калькулятор Citizen CDC-80RD-WBНастольный калькулятор Citizen CDC-80RD-WB в ярком малиновом корпусе обращает на себя внимание и облегчает работу связанную с вычислениями.  Калькулятор Citizen CDC-80WBНастольный калькулятор Citizen CDC-80WB выпускается в компактном корпусе он подойдет для людей часто работающих вне офиса.  Калькулятор Citizen CDC-80BL-WBНастольный калькулятор Citizen CDC-80BL-WB в стильном синем корпусе будет удобен при работе в офисе и во время выездов на объект.  STEM. Робототехника. Электроника  STEM проекты от TIЧитайте отзывы о нас на Яндекс.МаркетОставить отзывПоследние новости02.10.2023Сдаем физику на 100 баллов с непрограммируемыми калькуляторами Texas Instruments!02.09.2023Единый список разрешенных непрограммируемых калькуляторов на ЕГЭ ОГЭ по физике химии и географии в 2024 году02.08.2023Технология TI-Nspire CAS. Решение систем уравнений и неравенств в том числе с параметром. Люблинская И.Е.КалькуляторыНаучно-технические● Новинка● Хит продажКалькулятор инженерный Texas Instruments TI-30X Pro MathPrint4300 ₽В корзину● АкцияКалькулятор инженерный Texas Instruments TI-30XS Multiview3780 ₽В корзинуКалькулятор научный BRAUBERG SC-8501290 ₽В корзину● НовинкаCI AccuMASTER Цифровой Угломер4070 ₽В корзину● НовинкаCI AccuMASTER XT Цифровой Влагомер 4120 ₽В корзину● НовинкаДальномер CI Laser Dimension Master II3610 ₽В корзину● НовинкаКалькулятор научный Casio FX-220 Plus 2nd edition1880 ₽В корзину● НовинкаСтроительный Калькулятор CI Construction Master 56890 ₽В корзинуКалькулятор инженерный BRAUBERG SC-880-N2510 ₽В корзинуФинансовыеКалькулятор финансовый Texas Instruments TI BA II Plus7680 ₽В корзинуКалькулятор финансовый Hewlett-Packard HP 17BII+ Business12270 ₽В корзину● Хит продажКалькулятор финансовый Texas Instruments TI BA II Plus Professional10320 ₽В корзину● Хит продажКалькулятор финансовый Hewlett-Packard HP 12C Platinum для CFA10520 ₽В корзинуКалькулятор финансовый Hewlett-Packard HP 10BII+6250 ₽В корзинуГрафические● Новинка● Хит продажГрафический калькулятор Hewlett-Packard HP Prime (G2)29730 ₽В корзинуГрафический калькулятор Texas Instruments TI-Nspire CX II-T28850 ₽В корзину● НовинкаГрафический калькулятор Texas Instruments TI-Nspire CX II-T CAS30880 ₽В корзинуКалькулятор графический Casio FX-CG50 ₽В корзину● НовинкаКалькулятор графический Texas Instruments TI-84 Plus CE-T Python Edition26960 ₽В корзинуООО "ТРЕАННА" / Calculators-Online.ru©2009-2023 Авторские права защищены. All Rights Reserved.Политика конфиденциальностиПубличная оферта(495)240-8280[email protected]Мобильная версияКредит на покупку - просто и удобноРешение по заявке будет получено в течение 2 минутКредит доступен гражданам России в возрасте от 18 до 70 летСумма кредитования - от 3 000р до 200 000р.Первоначальный взнос - 0%Срок кредитования - от 3 до 24 месяцевПроцентная ставка рассчитывается индивидуальноКак купить в кредит?Наполните корзину товарамиОформите заказ и выберите способ оплаты "В кредит"Заполните короткую заявкуПодпишите кредитный договор на встрече с представителем банка или смс-кодомВы получаете товар выбранным способом доставкиПодробнее...Чтобы узнать состояние вашего заказа укажите адрес электронной почты и номер заказа:E-Mail№ заказаОтправить </t>
  </si>
  <si>
    <t>calculators-online.ru</t>
  </si>
  <si>
    <t>Пенсионный калькулятор</t>
  </si>
  <si>
    <t>https://www.gosuslugi.ru/325191/1/form</t>
  </si>
  <si>
    <t>Онлайн-калькулятор</t>
  </si>
  <si>
    <t>Онлайн калькулятор позволяет вам оценить бюджет без звонка в компанию. Он позволяет рассчитать практически любую продукцию, кроме вариантов, ...</t>
  </si>
  <si>
    <t>https://exprint.info/calc</t>
  </si>
  <si>
    <t>ЭКСПРИНТ - Типография в Хабаровске - Отличное качество по лучшим ценам!                                                            Продукция                                                            Меню для ресторанов и кафе                                                                                                                                                    Многостраничные брошюры                                                                                                                                                    Наклейки                                                                                                                                                    Этикетки                                                                                                                                                    Упаковка                                                                                                                                                    Фотокниги                                                                                                                                                    Открытки                                                                                                                                                    Приглашения                                                                                                                                                    Свадебные приглашения                                                                                                                                                    Папки                                                                                                                                                    Бирки                                                                                                                                                    Бирдекели                                                                                                                                                    Календари                                                                                                                                                    Буклеты                                                                                                                                                    Сертификаты                                                                                                                                                    Визитки                                                                                                                                                    Воблеры                                                                                                                                                    Конверты                                                                                                                                                    Листовки                                                                                                                                                    Флаеры                                                                                                                                                    Дипломы                                                                                                                                                    Хенгеры                                                                                                                                                    Купоны                                                                                                                                                    Блокноты                                                                                                                                                    Тейблтенты                                                                                                                                                                                                                Услуги                                                            Дизайн и верстка                                                                                                                                                    Бизнес полиграфия                                                                                                                                                    Ивент полиграфия                                                                                                                                                    Свадебная полиграфия                                                                                                                                                    Полиграфия для ресторанов                                                                                                                                                    УФ Печать                                                                                                                                                    Высокая печать                                                                                                                                                    Цифровая печать белым цветом                                                                                                                                                    Тиснение фольгой                                                                                                                                                    Плоттерная резка                                                                                                                                                    Вырубка                                                                                                                                                    Квадрачение корешка                                                                                                                                                                                                                Клиентам                                                            Техтребования                                                                                                                                                    Шаблоны упаковки                                                                                                                                                    Оплата                                                                                                                                                    Доставка                                                                                                                                                                                                                Контакты                                                            ЕщёЗадать вопросЛичный кабинет+7 (4212) 747-999Заказать звонокzakaz@exprint.infoКонтакты                                        Вконтакте                                         Facebook                                         Instagram +7 (4212) 747-999Заказать звонокОнлайн-расчетПродукцияМеню для ресторанов и кафе                                                                                                                                                                                    Многостраничные брошюры                                                                                                                                                                                    Наклейки                                                                                                                                                                                    Этикетки                                                                                                                                                                                    Упаковка                                                                                                                                                                                    Фотокниги                                                                                                                                                                                    Открытки                                                                                                                                                                                    Приглашения                                                                                                                                                                                    Свадебные приглашения                                                                                                                                                                                    Папки                                                                                                                                                                                    Бирки                                                                                                                                                                                    Бирдекели                                                                                                                                                                                    Календари                                                                                                                                                                                    Буклеты                                                                                                                                                                                    Сертификаты                                                                                                                                                                                    Визитки                                                                                                                                                                                    Воблеры                                                                                                                                                                                    Конверты                                                                                                                                                                                    Листовки                                                                                                                                                                                    Флаеры                                                                                                                                                                                    Дипломы                                                                                                                                                                                    Хенгеры                                                                                                                                                                                    Купоны                                                                                                                                                                                    Блокноты                                                                                                                                                                                    Тейблтенты                                                                                                                                                                                    УслугиДизайн и верстка                                                                                                                                                                                    Бизнес полиграфия                                                                                                                                                                                    Ивент полиграфия                                                                                                                                                                                    Свадебная полиграфия                                                                                                                                                                                    Полиграфия для ресторанов                                                                                                                                                                                    УФ Печать                                                                                                                                                                                    Высокая печать                                                                                                                                                                                    Цифровая печать белым цветом                                                                                                                                                                                    Тиснение фольгой                                                                                                                                                                                    Плоттерная резка                                                                                                                                                                                    Вырубка                                                                                                                                                                                    Квадрачение корешка                                                                                                                                                                                    КлиентамТехтребования                                                                                                                                                                                    Шаблоны упаковки                                                                                                                                                                                    Оплата                                                                                                                                                                                    Доставка                                                                                                                                                                                    Контакты+7 (4212) 747-999Онлайн-расчетНайти Продукция                                                    Назад ПродукцияМеню для ресторанов и кафеМногостраничные брошюрыНаклейкиЭтикеткиУпаковкаФотокнигиОткрыткиПриглашенияСвадебные приглашенияПапкиБиркиБирдекелиКалендариБуклетыСертификатыВизиткиВоблерыКонвертыЛистовкиФлаерыДипломыХенгерыКупоныБлокнотыТейблтентыУслуги                                                    Назад УслугиДизайн и версткаБизнес полиграфияИвент полиграфияСвадебная полиграфияПолиграфия для ресторановУФ ПечатьВысокая печатьЦифровая печать белым цветомТиснение фольгойПлоттерная резкаВырубкаКвадрачение корешкаКлиентам                                                    Назад КлиентамТехтребованияШаблоны упаковкиОплатаДоставкаКонтактыОнлайн-калькулятор+7 (4212) 747-999zakaz@exprint.infoКонтакты                                        Вконтакте                                         Facebook                                         Instagram Найти                         Оперативная ЦифроваяТИПОГРАФИЯЭКСПРИНТ                                                Уже более 10 лет наша типография предлагаем вам отличный сервис и                                                качество продукции. За это время был накоплен огромный опыт который                                                помогает решать полиграфические задачи максимально эффективно.                                                                                                Вся продукция ОНЛАЙН-РАСЧЕТУслугиНаша типография предоставляет услуги по изготовлению полиграфической продукции для различных сфер деятельности наших клиентов: от самой простой до премиальной. Мы в постоянном поиске новых технологий и материалов для расширения предоставляемых услуг. Современное оборудование позволяет нам комбинировать различные виды печати с разнообразной отделкой чтобы предложить вам больше чем обычную полиграфию. А наши дизайнеры всегда рады вам помочь в разработке дизайна и верстки любой сложности.Дизайн и версткаБизнес полиграфияИвент полиграфияСвадебная полиграфияПолиграфия для ресторановУФ ПечатьВысокая печатьЦифровая печать белым цветомТиснение фольгойПлоттерная резкаВырубкаКвадрачение корешкаНе нашли нужную услугу или продукцию?Это не значит что мы её не можем предложить или изготовить. Напишите или позвоните нам и мы рассмотрим варианты ее реализации.                    Задать вопросГалерея @exprintТехтребованияПравильно                                    подготовленный  макет к печати существенно  сократит время производства и позволит избежать непредвиденных ситуаций                            Варианты оплаты                                Платите как Вам удобно:                                безналичный расчет оплата наличными банковской картой или онлайн перевод                            Доставка                                Осуществляем оперативную доставку                                Вашего заказа в удобное для вас время                            Оперативная полиграфия ЭКСПРИНТОНЛАЙН-РАСЧЕТВСЯ ПРОДУКЦИЯ                            Оперативная полиграфия — безальтернативный вариант если вам необходимо срочно изготовить                            небольшой тираж полиграфической продукции. Наша типография максимально автоматизирована и                            обладает всем необходимым современным оборудованием чтобы все ваши заказы выполнялись                            максимально быстро и с лучшим качеством.                                                    Мы уже очень давно внедрили систему онлайн расчета на сайте. Она позволит вам рассчитать                            визитки листовки буклеты брошюры календари конверты наклейки открытки и другую продукцию                            сразу на сайте и прикинуть допустимый для вас бюджет. Этим калькулятором пользуются наши                            менеджеры поэтому в актуальности расчета стоимости можете быть уверены. У них                            калькулятор с дополнительными опциями расчета чтобы они могли сделать любой расчет для вас в                            считанные минуты или даже секунды.                                                    Наши цены на цифровую печать одни из самых низких в Хабаровске. Но это никак не сказывается на качестве                            изготавливаемой продукции. В производстве мы используем только качественные и лучшие расходные                            материалы. Многократная калибровка оборудования и визуальный контроль процесса производства                            позволяет делать для вас только качественную полиграфическую продукцию.                        Оптимизация производственных и организационных процессов дает возможность нам быстро изготовить для вас полиграфическую продукцию точно соблюдая сроки их выполнения.                            Простые заказы которым не требуется сложная постпечатная отделка мы стараемся исполнять в течение дня или даже часа. Все зависит от                            текущей загруженности производства и объема вашего заказа.                        Обратившись в нашу типографию — вы получите услуги от первого лица!КонтактыХабаровск ул. Волочаевская 8еРежим работы9-18 / ПН-ПТ / Без перерывовE-mailzakaz@exprint.infoТелефон+7 (4212) 747-999Телефон+7 (4212) 69-00-59WhatsApp+7 (962) 587-00-59Написать намВиджет карты использует                                    JavaScript. Включите его в настройках вашего браузера.                                Написать нам                            © 2023 Все права защищены.                        +7 (4212) 747-999Заказать звонокzakaz@exprint.info9-18 / ПН-ПТг. Хабаровск ул. Волочаевская 8е                                        Вконтакте                                         Facebook Политика конфиденциальности                            © 2023 Все права защищены.                        Форма отправки заказаТираж:             Цена за 1 экземпляр:             Цена за тираж: «Нажимая на кнопку ОТПРАВИТЬ я даю согласие на обработку персональных данных»                    Заказать звонок«Нажимая на кнопку ОТПРАВИТЬ я даю согласие на обработку                        персональных данных»                ×«Нажимая на кнопку ОТПРАВИТЬ я даю согласие на обработку                        персональных данных»                ×АвторизацияЛогинПароль							Запомнить меня Войти					Забыли логин?					Забыли пароль? ×××</t>
  </si>
  <si>
    <t>exprint.info</t>
  </si>
  <si>
    <t>Калькуляторы - купить по выгодной цене от 156 рублей ...</t>
  </si>
  <si>
    <t>Купить Калькуляторы - свыше 391 товаров по цене от 156 рублей с быстрой и бесплатной доставкой в 690+ магазинов и гарантией по всей России: отзывы, ...</t>
  </si>
  <si>
    <t>https://www.vseinstrumenti.ru/category/kalkulyatory-169736/</t>
  </si>
  <si>
    <t>Калькуляторы онлайн, справочник-энциклопедия</t>
  </si>
  <si>
    <t>Калькуляторы онлайн, справочник-энциклопедия. Бесплатные онлайн калькуляторы расчета, перевода, отслеживания курсов и котировок. Сотни калькуляторов, тысячи ...</t>
  </si>
  <si>
    <t>https://www.calc.ru/</t>
  </si>
  <si>
    <t>www.calc.ru</t>
  </si>
  <si>
    <t>Online Calculator</t>
  </si>
  <si>
    <t>https://www.online-calculator.com/</t>
  </si>
  <si>
    <t>Online CalculatorOnline-CalculatorGoChange LanguageMenuFull Screen Calculator - The Online Calculator that can be used free and full screenScientific Calculator - A great Scientific Calculator. Clear and Free!Simple Calculator - A nice Simple Free Online Calculator. Easy to use and read.Online Abacus - An Online Abacus! Teach numbers from 1 to 50 :-)Darts Calculator - Forget the maths and play Darts!Maths Calculator - This Online Maths Calculator show the history of your sums. Very helpful!BMI Calculator - Work out your BMI / Body Mass IndexPatio Calculator - How many slabs for that patio?Ring Size Converter - What size ring do you need? Know the differencesLength Converter - Convert Lengths! CM Feet and more!Percentage Calculator - Work out all the percentages you need!Volume Converter - Find the Volume of a cube!Weight Converter - Convert between weightsLength Conversions - A collection of Length conversion toolsSpeed Conversions - A collection of Speed conversion toolsTemperature Conversions - A collection of Temperature conversion toolsTime Conversions - A collection of Time conversion toolsWeight Conversions - A collection of Weight conversion toolsWelcome to Online Calculator! We have a range of free easy to use calculators conversion tools and much more!Our tools are designed to help you perform a wide range of calculations and conversions quickly and accurately whether you're at home at work or on the go.{embed-link}Use the Online Calculator Full Screen Site MenuHome Page - Go Back to the Home Page... :-)Full Screen Calculator - The Online Calculator that can be used free and full screenScientific Calculator - A great Scientific Calculator. Clear and Free!Simple Calculator - A nice Simple Free Online Calculator. Easy to use and read.Online Abacus - An Online Abacus! Teach numbers from 1 to 50 :-)Darts Calculator - Forget the maths and play Darts!Maths Calculator - This Online Maths Calculator show the history of your sums. Very helpful!BMI Calculator - Work out your BMI / Body Mass IndexPatio Calculator - How many slabs for that patio?Ring Size Converter - What size ring do you need? Know the differencesLength Converter - Convert Lengths! CM Feet and more!Percentage Calculator - Work out all the percentages you need!Volume Converter - Find the Volume of a cube!Weight Converter - Convert between weightsLength Conversions - A collection of Length conversion toolsSpeed Conversions - A collection of Speed conversion toolsTemperature Conversions - A collection of Temperature conversion toolsTime Conversions - A collection of Time conversion toolsWeight Conversions - A collection of Weight conversion toolsStopwatch - Online Stopwatch FULL SCREEN Stopwatch. Great for meetings classrooms conferences schools anywhere really... :-)Random Name Pickers - Random Name Picker Wheel and More Random Generators!Distance Converter - Convert Distances! Miles KM and more!Temperature Converter - Too Hot/ Too Cold? / Just Right!Circle Tools - Circle Radius Circle Diameter or Circle CircumferenceFeatured Tools:These are some of the most popular calculators and tools on the site! Darts CalculatorOur Darts Calculator helps players calculate scores and checkouts quickly and accurately making the game more enjoyable and competitive!Darts Calculator  BMI CalculatorOur BMI Calculator quickly calculates Body Mass Index to help users understand their weight status and make informed health decisions.BMI Calculator  Online AbacusOur Online Abacus is a virtual version of the traditional counting tool designed to help children learn and practice basic math skills.Online Abacus  Scientific CalculatorOur Scientific Calculator is a powerful tool that performs complex mathematical calculations and functions.Scientific Calculator Conversions CalculatorsEffortlessly convert units currencies and more with our comprehensive range of simple to use conversion calculators! Here are just a few make sure you check our all the others we have to offer!Our weight conversion tools are accurate easy to use and offer a wide range of units.Weight ConversionsGet precise and hassle-free length conversions with our user-friendly and comprehensive length conversion calculators.Length ConversionsOur temperature conversion calculators are accurate simple to use and covers various temperature units.Temperature ConversionsLoads of other easy to use conversion tools!More Conversions...KG to PoundsStones to KGOunces to PoundsDays to HoursMinutes to DaysHours to SecondsFeet to CMMiles to KMFeet to InchesCelsius to FahrenheitMM to MetersYards to InchesThe History of the Calculator!Online-Calculator.com has been around since 2007! That's a long time!The original calculator was invented in the 17th century by a Frenchman called Blaise Pascal! He was just 18 years old and wanted to help his father do his tax calculations. Join us on the fascinating history of the calculator!The History of the Calculator!About UsContact usLanguagesTerms &amp; FAQPrivacy PolicyStopwatch</t>
  </si>
  <si>
    <t>www.online-calculator.com</t>
  </si>
  <si>
    <t>Калькулятор - App Store</t>
  </si>
  <si>
    <t>https://apps.apple.com/ru/app/%D0%BA%D0%B0%D0%BB%D1%8C%D0%BA%D1%83%D0%BB%D1%8F%D1%82%D0%BE%D1%80/id398129933</t>
  </si>
  <si>
    <t>App Store: Калькулятор - Apple</t>
  </si>
  <si>
    <t>Читайте отзывы, сравнивайте оценки покупателей, просматривайте снимки экрана и получайте дополнительную информацию об этом контенте (Калькулятор).</t>
  </si>
  <si>
    <t>https://apps.apple.com/ru/app/%D0%BA%D0%B0%D0%BB%D1%8C%D0%BA%D1%83%D0%BB%D1%8F%D1%82%D0%BE%D1%80/id1069511488</t>
  </si>
  <si>
    <t>Пенсионный калькулятор. Фонд пенсионного и социального страхования Российской Федерации.</t>
  </si>
  <si>
    <t>http://www.gosuslugi.ru/325191/1</t>
  </si>
  <si>
    <t>Депозитный калькулятор</t>
  </si>
  <si>
    <t>https://fincult.info/calc/deposit/</t>
  </si>
  <si>
    <t>Заказать грузоперевозку: калькулятор стоимости</t>
  </si>
  <si>
    <t>https://pecom.ru/services-are/shipping-request/</t>
  </si>
  <si>
    <t>Онлайн калькулятор для расчета отпускных в 2023 году</t>
  </si>
  <si>
    <t>... Заказ документов · Календарь бухгалтера · Методики экспертов · Вебинары. normativ.kontur.ru. Калькулятор отпускных. с 1988 года.</t>
  </si>
  <si>
    <t>https://normativ.kontur.ru/calculators/vacation</t>
  </si>
  <si>
    <t>Справочно-правовая система. Всегда актуальное налоговое трудовое гражданское законодательство РФ: кодексы и законы нормативно-правовые акты постановления правительства. — Контур.Нормативnormativ.kontur.ruСПРАВОЧНАЯГлавное на неделюЧек-лист для бухгалтера на 2023 годСудебная практика: обзор и комментарии экспертовПроизводственный календарь на 2024 годПроизводственный календарь на 2023 годГрафик: платежи уведомления отчетностьЕдиный налоговый платеж: уведомленияПлатежные порученияПлатежные реквизиты в СФРСроки по страховым взносамСроки по федеральным налогамСроки по региональным налогамСроки по местным налогамСроки по налогам на спецрежимахМобилизацияТематические навигаторыКБК на 2023 годОКЗ (для ЕФС-1)Тарифы страховых взносовКоэффициенты-дефляторыУСН: региональные ставки — 2023МРОТ в регионахКурсы валют ЦБ РФРегиональные ограничения по алкоголюСправочникиСправочник ОКВЭДСправочник ОКОФСправочник проводокСправочник КОСГУСЕРВИСЫКонструкторыКонструктор договора поставкиКонструктор трудового договораКонструкторы учетной политикиКалькуляторыКалькулятор пенейКалькулятор стажаКалькулятор УСНКалькулятор больничныхКалькулятор отпускныхКалькулятор декретныхЗАКОНОДАТЕЛЬСТВОИзменения законодательстваОбзоры изменений по месяцамВступают в силу в 2023 годуВступили в силу в 2022 годуВступили в силу в 2021 годуАрхив измененийКодексыНК часть 1 (ст. 1-142)НК часть 2 (ст. 143-432)Трудовой кодексГК часть 1 (ст.1-453)ГК часть 2 (ст.454-1109)ГК часть 3 (ст.1110-1224)ГК часть 4 (ст.1225-1551)КоАПБюджетный кодексУголовный кодексОсновные законы402-ФЗ «О бухгалтерском учете»44-ФЗ «О государственных и муниципальных закупках»223-ФЗ «О закупках товаров работ услуг отдельными видами ЮЛ»54-ФЗ «О применении ККТ при осуществлении расчетов»2300-I «О защите прав потребителей»273-ФЗ «Об образовании в РФ»152-ФЗ «О персональных данных»123-ФЗ «О требованиях пожарной безопасности»115-ФЗ «О противодействии легализации (отмыванию) доходов»ФСБУ (ПБУ)1/2008 «Учётная политика»27/2021 «Документы и документооборот в бухгалтерском учете»4/99 «Бухгалтерская отчётность организации»6/2020 «Основные средства»5/2019 «Запасы»26/2020 «Капитальные вложения»9/99 «Доходы организации»10/99 «Расходы организации»25/2018 «Бухгалтерский учет аренды»15/2008 «Учет расходов по займам и кредитам»18/02 «Учет расчетов по налогу на прибыль организаций»23/2011 «Отчет о движении денежных средств»22/2010 «Исправление ошибок в бухгалтерском учете и отчетности»2/2008 «Учёт договоров строительного подряда»3/2006 «Учёт активов и обязательств стоимость которых выражена в иностранной валюте»7/98 «События после отчётной даты»8/2010 «Оценочные обязательства условные обязательства и условные активы»11/2008 «Информация о связанных сторонах»12/2010 «Информация по сегментам»14/2007 «Учёт нематериальных активов»13/2000 «Учёт государственной помощи»16/02 «Информация по прекращаемой деятельности»19/02 «Учет финансовых вложений»21/2008 «Изменения оценочных значений»Планы счетов94н «План счетов хозяйственно-финансовой организации»Для организаций агропромкомплексаДля кредитных организацийБЛАНКИ ФОРМЫ ОБРАЗЦЫПопулярные формыРасчет по страховым взносам (рекомендуемая форма)Расчет по страховым взносам (утвержденная форма)Персонифицированные сведения о физлицахДекларация по налогу на прибыльДекларация по косвенным налогамЕдиная (упрощенная) налоговая декларацияЕФС-1Декларация по НДС6-НДФЛ (за 2022 год)6-НДФЛ (за 2023 год)Заявление о внесении изменений в ЕГРЮЛПопулярные договорыТрудовойПоставкиЗайма с процентамиЗайма без процентовАренды нежилых помещенийАгентский (общая форма)Дарение автомобиляДарение недвижимостиПодряда для юр. лицПодряда для физ. лицОказания услуг юр. лицомОказания услуг физ. лицомБЮДЖЕТСправочник КОСГУТаблица соответствия КВР и КОСГУПланы счетов учреждений157н «Единый план счетов бюджетного учреждения»162н «План счетов бюджетного учёта»183н «План счетов автономных учреждений»174н «План счетов бюджетных учреждений» 							Наверх</t>
  </si>
  <si>
    <t>normativ.kontur.ru</t>
  </si>
  <si>
    <t>Суперпара. Калькулятор отношений мужчины и женщины</t>
  </si>
  <si>
    <t>https://books.google.com/books?id=n9JzDgAAQBAJ&amp;pg=PT24&amp;lpg=PT24&amp;dq=%D0%BA%D0%B0%D0%BB%D1%8C%D0%BA%D1%83%D0%BB%D1%8F%D1%82%D0%BE%D1%80&amp;source=bl&amp;ots=FZK5V0T7rM&amp;sig=ACfU3U0yXivmzg8j8fw4gBJfxoMiGoTofQ&amp;hl=ru&amp;sa=X&amp;ved=2ahUKEwicv6W7jLuCAxVsmIkEHZmXAbAQ6AF6BAg7EAM</t>
  </si>
  <si>
    <t>Калькулятор для молодой мамы. Сколько нужно денег, чтобы ...</t>
  </si>
  <si>
    <t>https://books.google.com/books?id=SYvMAAAAQBAJ&amp;pg=PT283&amp;lpg=PT283&amp;dq=%D0%BA%D0%B0%D0%BB%D1%8C%D0%BA%D1%83%D0%BB%D1%8F%D1%82%D0%BE%D1%80&amp;source=bl&amp;ots=_8Tio77P7n&amp;sig=ACfU3U1_ECvfd1BA-OGKWO_or6ia3FM9QQ&amp;hl=ru&amp;sa=X&amp;ved=2ahUKEwicv6W7jLuCAxVsmIkEHZmXAbAQ6AF6BAg6EAM</t>
  </si>
  <si>
    <t>Калькуляторы ... Калькулятор предназначен для определения точного размера пенсионного аннуитета для каждого вида пенсионного аннуитета. ... Рассчитайте размер ...</t>
  </si>
  <si>
    <t>https://www.sodra.lt/ru/calculators</t>
  </si>
  <si>
    <t>Портал финансовых калькуляторов</t>
  </si>
  <si>
    <t>Калькулятор вклада, кредита, ипотеки с досрочными погашениями, переменной ставкой и различными комиссиями.</t>
  </si>
  <si>
    <t>https://fincalculator.ru/</t>
  </si>
  <si>
    <t>Calculator.net: Free Online Calculators - Math, Fitness ...</t>
  </si>
  <si>
    <t>https://www.calculator.net/</t>
  </si>
  <si>
    <t>Calculator.net: Free Online Calculators - Math Fitness Finance Science   0sincostanDegRadsin-1cos-1tan-1πexyx3x2ex10xy√x3√x√xlnlog()1/x%n!789+Back456–Ans123×M+0.EXP/M-±RNDAC=MRFree Online CalculatorsSearchFinancial CalculatorsMortgage CalculatorLoan CalculatorAuto Loan CalculatorInterest CalculatorPayment CalculatorRetirement CalculatorAmortization CalculatorInvestment CalculatorInflation CalculatorFinance CalculatorIncome Tax CalculatorCompound Interest CalculatorSalary CalculatorInterest Rate CalculatorSales Tax CalculatorFitness &amp; Health CalculatorsBMI CalculatorCalorie CalculatorBody Fat CalculatorBMR CalculatorIdeal Weight CalculatorPace CalculatorPregnancy CalculatorPregnancy Conception CalculatorDue Date CalculatorMath CalculatorsScientific CalculatorFraction CalculatorPercentage CalculatorRandom Number GeneratorTriangle CalculatorStandard Deviation CalculatorOther CalculatorsAge CalculatorDate CalculatorTime CalculatorHours CalculatorGPA CalculatorGrade CalculatorConcrete CalculatorSubnet CalculatorPassword GeneratorConversion CalculatorCalculator.net's sole focus is to provide fast comprehensive convenient free online calculators in a plethora of areas. Currently we have around 200 calculators to help you "do the math" quickly in areas such as finance fitness health math and others and we are still developing more. Our goal is to become the one-stop go-to site for people who need to make quick calculations. Additionally we believe the internet should be a source of free information. Therefore all of our tools and services are completely free with no registration required.We coded and developed each calculator individually and put each one through strict comprehensive testing. However please inform us if you notice even the slightest error – your input is extremely valuable to us. While most calculators on Calculator.net are designed to be universally applicable for worldwide usage some are for specific countries only. For example the Income Tax Calculator is for United States residents only.about us | sitemap | terms of use | privacy policy    © 2008 - 2023 calculator.net</t>
  </si>
  <si>
    <t>www.calculator.net</t>
  </si>
  <si>
    <t>Ипотечный калькулятор онлайн - 🏠 Ипотека</t>
  </si>
  <si>
    <t>https://www.vtb.ru/personal/ipoteka/ipotechnyj-kalkulyator/</t>
  </si>
  <si>
    <t>Банк ВТБ (ПАО) — дебетовые и кредитные карты ипотека вклады автокредиты кредиты наличными и другие услуги  для физических и юридических лиц по всей РоссииВТБ ОНЛАЙНКредитыКредит наличными На любые целиОформитьПодробнееАвтокредит На авто или технику с моторомОформитьПодробнееРефинансирование Снизим ваш ежемесячный платежОформитьПодробнееКредит под залог недвижимости До 20 млн ₽ на срок до 30 летПодробнееИпотекаХочу свою ставку со скидкой до 8%Подать заявкуИпотека для семей с детьми Решение онлайн за 3 минуты без подтверждения доходаРассчитатьПодробнееЛьготная ипотека для всех Решение онлайн за 3 минуты без подтверждения доходаРассчитатьПодробнееИпотека на вторичное жилье Решение онлайн за 3 минуты без подтверждения доходаРассчитатьПодробнееИпотека на новостройку Решение онлайн за 3 минуты без подтверждения доходаРассчитатьПодробнееВсе ипотечные программыКартыДебетовая карта с кешбэкомОформитьКредитная карта ВТБ До 200 дней без % на всеОформитьПодробнееДополнительная карта ВТБ Удобные сервисы для всей семьиПодробнееПенсионная карта ВТБ Получайте пенсию в ВТБ и пользуйтесь всеми преимуществамиОформитьПодробнееВсе банковские картыВкладыНакопительный счет «Сейф»ПодробнееВклад «Стабильный» Надежный вклад на 3 года с простыми условиямиПодробнееВТБ-вклад в юанях С высоким фиксированным доходомПодробнееВТБ-вклад в рублях Выбирайте когда получать выплату %ПодробнееВсе вклады и счетаЧастным лицамСамозанятымБизнесуКредитным организациямАкционерамО банкеМалый и средний Крупный Перейти в раздел «Частным лицам»КредитыПерейти в раздел «Кредиты»Кредит наличнымиЭкспресс-кредитРефинансированиеКредит под залог недвижимостиИнформация для заемщиковКалькулятор кредитаКартыПерейти в раздел «Карты»Дебетовые картыКредитные картыПенсионные карты Карты жителяСоциальные картыПлатежный стикерЗарплатная картаДебетовая карта для жизниКредитная карта возможностейДетская картаПремиум карта Привилегия Mir SupremeПредложение для семьиОплата смартфономИнформация для держателей картТарифы и документы Программа лояльности «Мультибонус» Карта с рассрочкойРефинансирование кредитных картИпотекаПерейти в раздел «Ипотека»Для семей с детьмиЛьготная ипотека для всехИпотека на вторичное жильеИпотека на новостройкиРефинансирование ипотекиИпотечный калькуляторВсе ипотечные программыИпотека на готовый домИпотека на строящийся домКредит под залог имеющейся недвижимостиИпотека на коммерческую недвижимостьИпотека на машино-места и кладовкиИпотека с материнским капиталомТекущим заемщикамОнлайн-ипотекаДокументы и бланки Личный кабинетУчастникам программы «Корпоративный клиент ВТБ»АвтокредитыПерейти в раздел «Автокредиты»Госпрограмма 2023Автокредит наличнымиАвтокредит в автосалонеАвто по подпискеКупить автомобильВыкуп автоНовое автоАвто с пробегомРефинансированиеПолезная информацияКалькулятор автокредитаВклады и счетаПерейти в раздел «Вклады и счета»Накопительный счет «Сейф»Накопительный счет «Копилка»ВТБ-Вклад в рубляхВклад «Новое время»Вклад «Выгодное начало»ВТБ-Вклад в юаняхНалогообложение вкладовВыплаты ACBСейфовые ячейки Обезличенные металлические счетаМонеты из драгоценных металловЧастые вопросыАрхив вкладов и счетовИнвестицииПерейти в раздел «Инвестиции»Счет в плюсеОФЗОблигацииАкцииВТБ Мои ИнвестицииИИСБрокерское обслуживаниеРобот-советникAdvisoryAdvisory PROДоверительное управлениеФондыДокументы обслуживанияНовостиТарифыВажная информацияЛичный кабинетСтатус квал. инвестораОбучение и частые вопросыТерминалы QUIKФорексОнлайн-сервисыПерейти в раздел «Онлайн-сервисы»Приложение ВТБ ОнлайнВТБ Онлайн для не клиентовБанк VKИнтернет-банк ВТБ ОнлайнПомощник ВТБ в АлисеВТБ IDПриложение «Парковки России»Все приложения банкаПриложение «Мой умный город»Голосовой ассистентПереводы по номеру телефона через СБПОплата по QR кодуПлатежи через ВТБ ОнлайнПлатежи через СБППереводы по миру с карты на картуНастройка лимитов в ВТБ ОнлайнОповещения от банкаВТБ.Чаевые по QR кодуСбор денег через приложениеСтать клиентом ВТБ Онлайн с помощью биометрии Платежи и переводыПерейти в раздел « Платежи и переводы»Коммунальные услугиАвтоплатежи ЖКУМобильная связьИнтернет ТВНалоги штрафыТранспортПо реквизитамДругие услугиОплата налогов онлайнДобавить поставщика услугКурсы и обмен валютыКонвертер валютыМеждународные переводыСБПСбор денегВалютный контрольТарифыДругие услугиПерейти в раздел «Другие услуги»ГосуслугиПредложение для семьиСтраховые и сервисные продуктыАренда сейфовых ячеекАккредитивыДополнительная пенсияБанкротство физических лицМобильная связь от ВТБСчета эскроуТариф «Зарплатный»ПенсионерамРодителямЗарплатным и корпоративным клиентамЛюдям с инвалидностьюПродажа залогов Специальный счет участника закупокНациональная лотереяСправки и выпискиБиометрическая регистрацияНаследствоИностранным гражданамПривилегияПерейти в раздел «Привилегия»ДебетовыеКредитныеКлиникиРестораныВклады и счетаИнвестицииЗолотые слиткиОбезличенные металлические счетаНакопительное и инвестиционное страхование жизниПакет услуг Привилегия Сервис Mir PassПремиальные сервисыКредитыАкции и скидки Отделения ПривилегииPrivate BankingПерейти в раздел «Private Banking»Банковские продуктыИнвестицииСемейный офисПрограмма лояльностиПерейти в раздел «Самозанятым»Самозанятым физлицамПерейти в раздел «Самозанятым физлицам»Стать самозанятым с ВТБ простоЗачем становится самозанятымСпециальные предложения для самозанятыхСамозанятым ИППерейти в раздел «Самозанятым ИП»Стать самозанятым ИП с ВТБ простоПреимущества ИП на самозанятостиВас может заинтересоватьРасчеты с самозанятымиПерейти в раздел «Расчеты с самозанятыми»Как это работаетОцените удобство услугиВиды деятельностиПерейти в раздел «Виды деятельности»ТаксиКурьерыПарикмахерыРиелторыПомощьПерейти в раздел «Помощь»Самозанятость физлицСамозанятость ИПРасчеты с самозанятымиВозможности онлайн-банка ВТБПерейти в раздел «Малый и средний бизнес»Расчетный счетПерейти в раздел «Расчетный счет»Расчетный счет для ИПРасчетный счет для ОООПодобрать пакет РКОСпециальные счетаБанковское сопровождениеОткрыть счет онлайнОткрыть ИПОткрыть ОООКарты для бизнесаЗарплатный проектПлатежи и переводыПрограмма лояльностиТарифный сборникОбучающий портал «Ближе к делу»Что такое расчетный счет?Что такое РКО?Регистрация бизнесаПерейти в раздел «Регистрация бизнеса»Регистрация ИПРегистрация ОООРегистрация в качестве самозанятогоКак зарегистрировать бизнесКак открыть ИПКак открыть ООООткрыть счет для ИПОткрыть счет для ОООРКО без визита в банкПодобрать пакет РКОСравнение тарифов РКОРасчетно-кассовое обслуживаниеКредитыПерейти в раздел «Кредиты»Экспресс-кредит онлайнОборотный кредитФинансирование капитальных затратРефинансированиеОвердрафтКредит на госзаказКредит под залог приобретаемой недвижимостиКредитование жилищного строительстваКредитование недропользователейКредит на залоговое имуществоПрограмма льготного кредитования Правительства РФ №1764Программа льготного кредитования сельхозпроизводителейРеструктуризация кредитов по 106-ФЗРеструктуризация кредитов по 377-ФЗ и 106-ФЗ Заемщикам участникам специальной военной операцииПрограмма стимулирования кредитования МСППрограмма льготного кредитования Правительства РФ №2221Бизнес-картыПерейти в раздел «Бизнес-карты»Виртуальная картаУниверсальная картаПремиальная картаТаможенная картаПлатежи и переводыТарифный сборникЗарплатный проектЭквайрингПерейти в раздел «Эквайринг»Торговый эквайрингМобильный эквайрингВТБ-кассаВТБ-SoftPOSПрием платежей по QRИнтернет-эквайрингПриобрести оборудованиеИнкассацияДепозитыПерейти в раздел «Депозиты»Подобрать депозит«Универсальный» со сроком привлечения до года / свыше года«Фиксированный» с возможностью досрочного расторжения«Гибкий» с возможностью пополнения и частичного снятияОвернайтДепозит «Залоговый»Депозит «Авансовый»Неснижаемый остаток на счетеКопилка для бизнесаСреднемесячный остаток на счетеВексельВЭДПерейти в раздел «ВЭД»Экосистема ВЭД ВТБВалютный контрольМеждународные расчетыПокупка / продажа валютыТаможенные сервисыКонсалтинговые сервисыТарифы ВЭДОпция ВЭДГарантии в пользу таможенных органовМеждународные гарантииВТБ Бизнес-коннектВажная информацияПерсональный сервисГарантии и аккредитивыПерейти в раздел «Гарантии и аккредитивы»Экспресс-гарантииГарантии участникам закупок 44-ФЗ 223-ФЗ 615-ППМеждународные гарантииПрочие виды гарантийГарантии в пользу таможенных органовГарантии в пользу налоговых органовНепокрытые аккредитивыАккредитивы для внешней торговлиАккредитивы для расчетов в РФДосрочный платеж по непокрытому аккредитивуИнкассоВалютный контроль и консалтингМеждународные расчетыСпециальный счет участника закупок 44-ФЗ 223-ФЗСервисы для бизнесаПерейти в раздел «Сервисы для бизнеса»Электронная подписьСервис внесения изменений в ЕГРИП/ЕГРЮЛБухгалтерия на аутсорсе для ИП и ОООРасчеты с самозанятымиОнлайн-медицинаКонструктор документовОбучающий портал «Ближе к делу»Виртуальная инфраструктура для бизнесаЮридические услуги Юрист 24Онлайн-налог для АУСНЭДОВсе сервисыДругие продуктыПерейти в раздел «Другие продукты»Электронная подписьВТБ-КассаОткрыть счет 44-ФЗЭкспресс-кредитыВТБ IDПартнерская программаФакторингГруппам компанийПрограмма лояльностиРасчеты с самозанятымиСамозанятымПерейти в раздел «Самозанятым»Самозанятым физлицамСамозанятым ИПРасчеты с самозанятымиПомощьОбучающий порталПерейти в раздел «Обучающий портал»Каталог бизнес-идей Курсы и вебинары в записи Полезные статьи и новости Бизнес-словарь Интервью и бизнес-кейсы ВЭД в новых реалияхМеры поддержки бизнеса Нетворкинг. Как заводить полезные бизнес-знакомстваКак начать продавать дорогоОнлайн-банкПерейти в раздел «Онлайн-банк»Интернет-банк Мобильный банк1С: ДиректБанкПомощьПерейти в раздел «Помощь»Расчетный счетВсе о пакетах услугВсе о тарифахВсе о бизнес-картахВсе о бизнес-сервисахОбщие вопросыПодбор тарифа РКОПодбор продуктов и сервисовСамозанятость физлицСамозанятость ИПРасчет с самозанятымиПерейти в раздел «Крупный бизнес»РасчетыПерейти в раздел «Расчеты»Открыть или зарезервировать счет онлайнКарточные решенияПродукты управления ликвидностьюРасчетно-кассовое обслуживание Дистанционное обслуживаниеБанковское сопровождениеЦентр клиентской поддержкиВалютный контрольКонверсионные операцииЭквайринг и СБППерейти в раздел «Эквайринг и СБП»ЭквайрингСистема быстрых платежей – СБПДокументарные операцииПерейти в раздел «Документарные операции»Банковские гарантииАккредитивыДокументарное и чистое инкассоКредитованиеПерейти в раздел «Кредитование»КредитКредитная линия с лимитом выдачи и/или задолженностиКредитные операции с использованием СДБООвердрафт для корпоративных клиентов ВТБФинансирование проектов строительства жилой недвижимостиФинансирование недропользователейПредоставление займов в драгоценных металлах добывающим предприятиям / промышленным потребителямСтрахование залогового имуществаРазмещение денежных средствПерейти в раздел «Размещение денежных средств»Стандартные срочные депозитыРазмещение денежных средств на счетеСтруктурные срочные депозитыПростой вексельДепозитарийПерейти в раздел «Депозитарий»Описание услуг депозитарияКонтактная информация депозитарияИнвестиционный бизнесПерейти в раздел «Инвестиционный бизнес»Инвестиционно-банковские услуги на глобальных рынкахТорговые операции на рынке инструментов с фиксированной доходностьюОперации на рынке акцийАналитикаЭлектронная торговля FXПерейти в раздел «Электронная торговля FX»Торговое и экспортное финансированиеПерейти в раздел «Торговое и экспортное финансирование»Тарифы и процентные ставкиПерейти в раздел «Тарифы и процентные ставки»Зарплатный проектПерейти в раздел «Зарплатный проект»Перейти в раздел «Кредитным организациям»РасчетыПерейти в раздел «Расчеты»Платежная Система ВТБОткрытие счета для спец. расчетовОткрытие стандартного счета ЛОРОДепозитарные услуги Перейти в раздел «Депозитарные услуги »Достижения ВТБУслугиБыстрые ссылкиБрокерские услугиПерейти в раздел «Брокерские услуги»Преимущества ВТБУслугиБыстрые ссылкиУслуги на финансовых и сырьевых рынкахПерейти в раздел «Услуги на финансовых и сырьевых рынках»УслугиГенеральное соглашениеБыстрые ссылкиПерейти в раздел «Акционерам»Акции и дивидендыПерейти в раздел «Акции и дивиденды»Реестродержатель акций ВТБТипы акций и листингиВТБ в индексахДивиденды по акциямРейтинги и долговые инструментыПерейти в раздел «Рейтинги и долговые инструменты»Эксперт РААКРАНКРДолговые инструментыФинансовая отчетностьПерейти в раздел «Финансовая отчетность»Финансовые результаты по МСФОФинансовые результаты по РСБУОтчеты эмитентаГодовые отчетыКорпоративное управлениеПерейти в раздел «Корпоративное управление»Система корпоративного управленияНаблюдательный советВнешний аудиторДепартамент внутреннего аудитаИнформация для акционеровПерейти в раздел «Информация для акционеров»Общее собрание акционеровИнформационный бюллетень акционераМероприятия для акционеровКалендарь инвестораПредложения для акционеровКонсультационный совет акционеровПутеводитель акционераЦентры по работе с акционерамиВажная информацияУстойчивое развитиеПерейти в раздел «Устойчивое развитие»Политика в области устойчивого развитияРискиИнформационная безопасностьВидеоматериалыРаскрытие информацииПерейти в раздел «Раскрытие информации»Сообщения о существенных фактах и раскрытие инсайдерской информацииФинансовые показатели и отчеты ВТБ 24 (ПАО)Раскрытие информации профессиональным участникам рынка ценных бумагРаскрытие информации для регулятивных целейКомплаенсУстав и внутренние документыПротиводействие коррупцииИнсайдерам банкаВнутренний контроль и аудитУправление рискамиПерейти в раздел «О банке»Банк ВТБПерейти в раздел «Банк ВТБ»РеквизитыУстойчивое развитиеИнформация для партнеровСтраховым компаниямГруппа ВТБПерейти в раздел «Группа ВТБ»Структура группыМиссия видение ценностиСтратегияДокументыПресс-службаПерейти в раздел «Пресс-служба»Пресс-релизыФинансовые пресс-релизыНовости для акционеровКонтактыПерейти в раздел «Контакты»Основные контактыОфициальные каналы связиПомощники и чат-ботыКарьера в ВТБПерейти в раздел «Карьера в ВТБ»Выпускникам и студентамРабота в сети банкаПрофессионалам и руководителям Кредиты Ипотека Карты Вклады МенюЧастным лицамКредитыКартыИпотекаАвтокредитыВклады и счетаИнвестицииОнлайн-сервисы Платежи и переводыДругие услугиПривилегияPrivate BankingПерейти в разделПерейти в раздел «Кредиты»КРЕДИТНЫЕ ПРОДУКТЫКредит наличнымиЭкспресс-кредитРефинансированиеКредит под залог недвижимостиВАМ МОЖЕТ БЫТЬ ИНТЕРЕСНОИнформация для заемщиковКалькулятор кредитаКредит наличнымиПодробнееПерейти в раздел «Карты»ТИПЫ КАРТДебетовые картыКредитные картыПенсионные карты Карты жителяСоциальные картыПОПУЛЯРНЫЕ КАРТОЧНЫЕ ПРОДУКТЫПлатежный стикерЗарплатная картаДебетовая карта для жизниКредитная карта возможностейДетская картаПремиум карта Привилегия Mir SupremeВАМ МОЖЕТ БЫТЬ ИНТЕРЕСНОПредложение для семьиОплата смартфономИнформация для держателей картТарифы и документы Программа лояльности «Мультибонус» СПЕЦИАЛЬНЫЕ УСЛОВИЯКарта с рассрочкойРефинансирование кредитных картДебетовая карта с кешбэком до 30% за покупкиОформитьПерейти в раздел «Ипотека»ПОПУЛЯРНЫЕ ПРОГРАММЫДля семей с детьмиЛьготная ипотека для всехИпотека на вторичное жильеИпотека на новостройкиРефинансирование ипотекиВЫБРАТЬ И РАССЧИТАТЬИпотечный калькуляторВсе ипотечные программыСПЕЦИАЛЬНЫЕ ПРОГРАММЫИпотека на готовый домИпотека на строящийся домКредит под залог имеющейся недвижимостиИпотека на коммерческую недвижимостьИпотека на машино-места и кладовкиИпотека с материнским капиталомПОЛЕЗНОЕТекущим заемщикамОнлайн-ипотекаДокументы и бланки Личный кабинетУчастникам программы «Корпоративный клиент ВТБ»Программа «Корпоративный клиент ВТБ»скидки от партнеров при покупке жилья и автоПодробнееПерейти в раздел «Автокредиты»КРЕДИТНЫЕ ПРОГРАММЫГоспрограмма 2023Автокредит наличнымиАвтокредит в автосалонеВАМ МОЖЕТ БЫТЬ ИНТЕРЕСНОАвто по подпискеКупить автомобильВыкуп автоНовое автоАвто с пробегомРефинансированиеДЛЯ ЗАЕМЩИКОВПолезная информацияКалькулятор автокредитаАвтокредит наличнымиПодробнееПерейти в раздел «Вклады и счета»ПОПУЛЯРНЫЕ ПРОДУКТЫНакопительный счет «Сейф»Накопительный счет «Копилка»ВТБ-Вклад в рубляхВклад «Новое время»Вклад «Выгодное начало»ВТБ-Вклад в юаняхВАМ МОЖЕТ БЫТЬ ИНТЕРЕСНОНалогообложение вкладовВыплаты ACBСейфовые ячейки Обезличенные металлические счетаМонеты из драгоценных металловЧастые вопросыАрхив вкладов и счетовОткройте накопительный счет «Сейф» с доходностью до 15%ПодробнееПерейти в раздел «Инвестиции»ПОПУЛЯРНЫЕ ПРОДУКТЫСчет в плюсеОФЗОблигацииАкцииИНВЕСТИРОВАТЬ САМОСТОЯТЕЛЬНОВТБ Мои ИнвестицииИИСБрокерское обслуживаниеИНВЕСТИРОВАТЬ С КОНСУЛЬТАНТОМРобот-советникAdvisoryAdvisory PROДОВЕРИТЬ ПРОФЕССИОНАЛАМДоверительное управлениеФондыРАСКРЫТИЕ ИНФОРМАЦИИДокументы обслуживанияНовостиТарифыВажная информацияВАМ МОЖЕТ БЫТЬ ИНТЕРЕСНОЛичный кабинетСтатус квал. инвестораОбучение и частые вопросыТерминалы QUIKФорексВТБ Мои ИнвестицииОткрыть брокерский счетПодробнееПерейти в раздел «Онлайн-сервисы»ОНЛАЙН-СЕРВИСЫПриложение ВТБ ОнлайнВТБ Онлайн для не клиентовБанк VKИнтернет-банк ВТБ ОнлайнПомощник ВТБ в АлисеВТБ IDПриложение «Парковки России»Все приложения банкаПриложение «Мой умный город»Голосовой ассистентВАМ МОЖЕТ БЫТЬ ИНТЕРЕСНОПереводы по номеру телефона через СБПОплата по QR кодуПлатежи через ВТБ ОнлайнПлатежи через СБППереводы по миру с карты на картуНастройка лимитов в ВТБ ОнлайнОповещения от банкаВТБ.Чаевые по QR кодуСбор денег через приложениеСтать клиентом ВТБ Онлайн с помощью биометрииМобильное приложение ВТБ ОнлайнПодробнееПерейти в раздел « Платежи и переводы»ПЛАТЕЖИКоммунальные услугиАвтоплатежи ЖКУМобильная связьИнтернет ТВНалоги штрафыТранспортПо реквизитамДругие услугиОплата налогов онлайнИНФОРМАЦИЯ ПО ПЛАТЕЖАМДобавить поставщика услугПЕРЕВОДЫКурсы и обмен валютыКонвертер валютыМеждународные переводыСБПСбор денегВалютный контрольТАРИФЫ ПО ПЕРЕВОДАМТарифыПерейти в раздел «Другие услуги»ПРОДУКТЫ И УСЛУГИГосуслугиПредложение для семьиСтраховые и сервисные продуктыАренда сейфовых ячеекАккредитивыДополнительная пенсияБанкротство физических лицМобильная связь от ВТБСчета эскроуТариф «Зарплатный»ВАМ МОЖЕТ БЫТЬ ИНТЕРЕСНОПенсионерамРодителямЗарплатным и корпоративным клиентамЛюдям с инвалидностьюПродажа залогов Специальный счет участника закупокНациональная лотереяСправки и выпискиБиометрическая регистрацияНаследствоИностранным гражданамДо 16% годовых по вкладу при переводе пенсии на карту ВТБПодробнееПерейти в раздел «Привилегия»КАРТЫДебетовыеКредитныеПРЕМИАЛЬНАЯ ПРОГРАММА ЛОЯЛЬНОСТИКлиникиРестораныСБЕРЕЖЕНИЯ И ИНВЕСТИЦИИВклады и счетаИнвестицииЗолотые слиткиОбезличенные металлические счетаНакопительное и инвестиционное страхование жизниПРЕМИАЛЬНЫЕ ПРОДУКТЫПакет услуг Привилегия Сервис Mir PassПремиальные сервисыКРЕДИТНЫЕ ПРОДУКТЫКредитыВАМ МОЖЕТ БЫТЬ ИНТЕРЕСНОАкции и скидки Отделения ПривилегииДо 355% годовых по вкладу в юаняхПодробнееПерейти в раздел «Private Banking»PRIVATE BANKINGБанковские продуктыИнвестицииСемейный офисПрограмма лояльностиСамозанятымСамозанятым физлицамСамозанятым ИПРасчеты с самозанятымиВиды деятельностиПомощьПерейти в разделПерейти в раздел «Самозанятым физлицам»САМОЗАНЯТЫМ ФИЗЛИЦАМСтать самозанятым с ВТБ простоЗачем становится самозанятымСпециальные предложения для самозанятыхПерейти в раздел «Самозанятым ИП»САМОЗАНЯТЫМ ИПСтать самозанятым ИП с ВТБ простоПреимущества ИП на самозанятостиВас может заинтересоватьПерейти в раздел «Расчеты с самозанятыми»РАСЧЁТЫ С САМОЗАНЯТЫМИКак это работаетОцените удобство услугиПерейти в раздел «Виды деятельности»ВИДЫ ДЕЯТЕЛЬНОСТИТаксиКурьерыПарикмахерыРиелторыПерейти в раздел «Помощь»ПОМОЩЬСамозанятость физлицСамозанятость ИПРасчеты с самозанятымиВозможности онлайн-банка ВТББизнесуМалый и средний Крупный Расчетный счетРегистрация бизнесаКредитыБизнес-картыЭквайрингДепозитыВЭДГарантии и аккредитивыСервисы для бизнесаДругие продуктыСамозанятымОбучающий порталОнлайн-банкПомощьПерейти в разделРасчетыЭквайринг и СБПДокументарные операцииКредитованиеРазмещение денежных средствДепозитарийИнвестиционный бизнесЭлектронная торговля FXТорговое и экспортное финансированиеТарифы и процентные ставкиЗарплатный проектПерейти в разделПерейти в раздел «Расчетный счет»ОТКРЫТИЕ СЧЕТА Расчетный счет для ИПРасчетный счет для ОООПодобрать пакет РКОСпециальные счетаБанковское сопровождениеОткрыть счет онлайнДЛЯ НАЧАЛА БИЗНЕСАОткрыть ИПОткрыть ОООПРОДУКТЫ И СЕРВИСЫКарты для бизнесаЗарплатный проектПлатежи и переводыПрограмма лояльностиТарифный сборникОбучающий портал «Ближе к делу»ВАМ МОЖЕТ БЫТЬ ИНТЕРЕСНОЧто такое расчетный счет?Что такое РКО?Персональный набор продуктов и сервисов для бизнеса – только нужное вамПодобратьПерейти в раздел «Регистрация бизнеса»ДЛЯ НАЧАЛА БИЗНЕСАРегистрация ИПРегистрация ОООРегистрация в качестве самозанятогоМОЖЕТ БЫТЬ ИНТЕРЕСНОКак зарегистрировать бизнесКак открыть ИПКак открыть ООООТКРЫТИЕ СЧЕТАОткрыть счет для ИПОткрыть счет для ОООРКО без визита в банкПАКЕТЫ РКОПодобрать пакет РКОСравнение тарифов РКОРасчетно-кассовое обслуживаниеОткройте счет для вашего бизнесаОткрыть счетПерейти в раздел «Кредиты»РАЗВИТИЕ ДЛЯ БИЗНЕСАЭкспресс-кредит онлайнОборотный кредитФинансирование капитальных затратРефинансированиеОвердрафтКредит на госзаказКредит под залог приобретаемой недвижимостиКредитование жилищного строительстваКредитование недропользователейКредит на залоговое имуществоСПЕЦИАЛЬНЫЕ ПРОГРАММЫПрограмма льготного кредитования Правительства РФ №1764Программа льготного кредитования сельхозпроизводителейРеструктуризация кредитов по 106-ФЗРеструктуризация кредитов по 377-ФЗ и 106-ФЗ Заемщикам участникам специальной военной операцииПрограмма стимулирования кредитования МСППрограмма льготного кредитования Правительства РФ №2221Экспресс-кредит онлайнОформитьПерейти в раздел «Бизнес-карты»ВИДЫ КАРТВиртуальная картаУниверсальная картаПремиальная картаТаможенная картаДОПОЛНИТЕЛЬНЫЕ СЕРВИСЫПлатежи и переводыТарифный сборникЗарплатный проектВиртуальная карта для бизнесаОформить Перейти в раздел «Эквайринг»ПРИЕМ ОПЛАТЫ В ТОРГОВЫХ ТОЧКАХТорговый эквайрингМобильный эквайрингОНЛАЙН-КАССЫВТБ-кассаВТБ-SoftPOSСИСТЕМА БЫСТРЫХ ПЛАТЕЖЕЙПрием платежей по QRЭЛЕКТРОННАЯ КОММЕРЦИЯИнтернет-эквайрингУСЛУГИ ПАРТНЕРОВПриобрести оборудованиеИнкассацияМоментальная оплата по QR коду без комиссийПодробнееПерейти в раздел «Депозиты»ДЕПОЗИТЫПодобрать депозит«Универсальный» со сроком привлечения до года / свыше года«Фиксированный» с возможностью досрочного расторжения«Гибкий» с возможностью пополнения и частичного снятияОвернайтДепозит «Залоговый»Депозит «Авансовый»НАКОПИТЕЛЬНЫЕ ПРОДУКТЫНеснижаемый остаток на счетеКопилка для бизнесаСреднемесячный остаток на счетеВексельСчет для бизнеса за 0 ₽Открыть счетПерейти в раздел «ВЭД»ВНЕШНЕЭКОНОМИЧЕСКАЯ ДЕЯТЕЛЬНОСТЬЭкосистема ВЭД ВТБВалютный контрольМеждународные расчетыПокупка / продажа валютыТаможенные сервисыКонсалтинговые сервисыТарифы ВЭДРЕШЕНИЯ ДЛЯ ВЭДОпция ВЭДГарантии в пользу таможенных органовМеждународные гарантииВТБ Бизнес-коннектВажная информацияПерсональный сервисОткрыть счет для ВЭДОткрыть счетПерейти в раздел «Гарантии и аккредитивы»ГАРАНТИИЭкспресс-гарантииГарантии участникам закупок 44-ФЗ 223-ФЗ 615-ППМеждународные гарантииПрочие виды гарантийГарантии в пользу таможенных органовГарантии в пользу налоговых органовАККРЕДИТИВЫ И ИНКАССОНепокрытые аккредитивыАккредитивы для внешней торговлиАккредитивы для расчетов в РФДосрочный платеж по непокрытому аккредитивуИнкассоДРУГИЕ ПРОДУКТЫВалютный контроль и консалтингМеждународные расчетыСпециальный счет участника закупок 44-ФЗ 223-ФЗЭкспресс-гарантии без визита в банкОформитьПерейти в раздел «Сервисы для бизнеса»СЕРВИСЫ В ПОМОЩЬ БИЗНЕСУЭлектронная подписьСервис внесения изменений в ЕГРИП/ЕГРЮЛБухгалтерия на аутсорсе для ИП и ОООРасчеты с самозанятымиОнлайн-медицинаКонструктор документовСЕРВИСЫ В ПОМОЩЬ БИЗНЕСУОбучающий портал «Ближе к делу»Виртуальная инфраструктура для бизнесаЮридические услуги Юрист 24Онлайн-налог для АУСНЭДОВсе сервисыЭксклюзивные привилегии и бонусы с программой лояльности «Бизнес-лига ВТБ»ПодробнееПерейти в раздел «Другие продукты»ДРУГИЕ БАНКОВСКИЕ ПРОДУКТЫЭлектронная подписьВТБ-КассаОткрыть счет 44-ФЗЭкспресс-кредитыВТБ IDДРУГИЕ БАНКОВСКИЕ ПРОДУКТЫПартнерская программаФакторингГруппам компанийПрограмма лояльностиРасчеты с самозанятымиОткройте счет и получите доступ к бонусамОткрыть счетПерейти в раздел «Самозанятым»САМОЗАНЯТЫМСамозанятым физлицамСамозанятым ИПРасчеты с самозанятымиПомощьПерейти в раздел «Обучающий портал»ДЛЯ СТАРТА И РАЗВИТИЯ БИЗНЕСАКаталог бизнес-идей Курсы и вебинары в записи Полезные статьи и новости Бизнес-словарь Интервью и бизнес-кейсы АНОНСЫ МЕРОПРИЯТИЙ ВЭД в новых реалияхМеры поддержки бизнеса Нетворкинг. Как заводить полезные бизнес-знакомстваКак начать продавать дорогоБлиже к ДелуОбразовательный портал для развития бизнесаПодробнееПерейти в раздел «Онлайн-банк»ИНТЕРНЕТ-БАНК Интернет-банк Мобильный банк1С: ДиректБанкОткройте счет за 0 ₽Открыть счетПерейти в раздел «Помощь»РАСЧЕТНЫЙ СЧЕТ И БИЗНЕС-КАРТЫРасчетный счетВсе о пакетах услугВсе о тарифахВсе о бизнес-картахСЕРВИСЫ ДЛЯ БИЗНЕСАВсе о бизнес-сервисахОбщие вопросыУСЛУГИ ПОД ЗАПРОСЫ БИЗНЕСАПодбор тарифа РКОПодбор продуктов и сервисовСАМОЗАНЯТОСТЬСамозанятость физлицСамозанятость ИПРасчет с самозанятымиПодберите готовый набор продуктов и сервисов для развития вашего бизнесаПодробнееПерейти в раздел «Расчеты»ПРОДУКТЫ И УСЛУГИОткрыть или зарезервировать счет онлайнКарточные решенияПродукты управления ликвидностьюРасчетно-кассовое обслуживание Дистанционное обслуживаниеБанковское сопровождениеСЕРВИСЫЦентр клиентской поддержкиВАМ МОЖЕТ БЫТЬ ИНТЕРЕСНОВалютный контрольКонверсионные операцииПерейти в раздел «Эквайринг и СБП»ПРОДУКТЫ И УСЛУГИЭквайрингСистема быстрых платежей – СБППерейти в раздел «Документарные операции»ПРОДУКТЫ И УСЛУГИБанковские гарантииАккредитивыДокументарное и чистое инкассоПерейти в раздел «Кредитование»КРЕДИТНЫЕ ПРОДУКТЫКредитКредитная линия с лимитом выдачи и/или задолженностиКредитные операции с использованием СДБООвердрафт для корпоративных клиентов ВТБФИНАНСИРОВАНИЕФинансирование проектов строительства жилой недвижимостиФинансирование недропользователейДРУГИЕ КРЕДИТНЫЕ ПРОДУКТЫПредоставление займов в драгоценных металлах добывающим предприятиям / промышленным потребителямСтрахование залогового имуществаПерейти в раздел «Размещение денежных средств»ПРОДУКТЫСтандартные срочные депозитыРазмещение денежных средств на счетеСтруктурные срочные депозитыПростой вексельПерейти в раздел «Депозитарий»О ДЕПОЗИТАРИИОписание услуг депозитарияКонтактная информация депозитарияПерейти в раздел «Инвестиционный бизнес»ИНВЕСТИЦИОННЫЕ УСЛУГИИнвестиционно-банковские услуги на глобальных рынкахТорговые операции на рынке инструментов с фиксированной доходностьюОперации на рынке акцийВАМ МОЖЕТ БЫТЬ ИНТЕРЕСНОАналитикаПерейти в раздел «Электронная торговля FX»Перейти в раздел «Торговое и экспортное финансирование»Перейти в раздел «Тарифы и процентные ставки»Перейти в раздел «Зарплатный проект»Кредитным организациямРасчетыДепозитарные услуги Брокерские услугиУслуги на финансовых и сырьевых рынкахПерейти в разделПерейти в раздел «Расчеты»РАСЧЕТЫПлатежная Система ВТБОткрытие счета для спец. расчетовОткрытие стандартного счета ЛОРОПерейти в раздел «Депозитарные услуги »ДЕПОЗИТАРНЫЕ УСЛУГИДостижения ВТБУслугиБыстрые ссылкиПерейти в раздел «Брокерские услуги»БРОКЕРСКИЕ УСЛУГИПреимущества ВТБУслугиБыстрые ссылкиПерейти в раздел «Услуги на финансовых и сырьевых рынках»УСЛУГИ НА ФИНАНСОВЫХ И СЫРЬЕВЫХ РЫНКАХУслугиГенеральное соглашениеБыстрые ссылкиАкционерамАкции и дивидендыРейтинги и долговые инструментыФинансовая отчетностьКорпоративное управлениеИнформация для акционеровУстойчивое развитиеРаскрытие информацииПерейти в разделПерейти в раздел «Акции и дивиденды»ИНСТРУМЕНТЫРеестродержатель акций ВТБВАМ МОЖЕТ БЫТЬ ИНТЕРЕСНОТипы акций и листингиВТБ в индексахДивиденды по акциямПерейти в раздел «Рейтинги и долговые инструменты»РЕЙТИНГИЭксперт РААКРАНКРВАМ МОЖЕТ БЫТЬ ИНТЕРЕСНОДолговые инструментыПерейти в раздел «Финансовая отчетность»ОТЧЕТНОСТЬФинансовые результаты по МСФОФинансовые результаты по РСБУОтчеты эмитентаГодовые отчетыПерейти в раздел «Корпоративное управление»УПРАВЛЕНИЕСистема корпоративного управленияНаблюдательный советАУДИТВнешний аудиторДепартамент внутреннего аудитаПерейти в раздел «Информация для акционеров»ВАЖНАЯ ИНФОРМАЦИЯОбщее собрание акционеровИнформационный бюллетень акционераМероприятия для акционеровКалендарь инвестораПредложения для акционеровВАМ МОЖЕТ БЫТЬ ИНТЕРЕСНОКонсультационный совет акционеровПутеводитель акционераЦентры по работе с акционерамиВажная информацияПерейти в раздел «Устойчивое развитие»СОДЕЙСТВИЕ УСТОЙЧИВОМУ РАЗВИТИЮ ОБЩЕСТВАПолитика в области устойчивого развитияРискиИнформационная безопасностьВидеоматериалыПерейти в раздел «Раскрытие информации»ОТЧЕТЫ И РАСКРЫТИЕ ИНФОРМАЦИИСообщения о существенных фактах и раскрытие инсайдерской информацииФинансовые показатели и отчеты ВТБ 24 (ПАО)Раскрытие информации профессиональным участникам рынка ценных бумагРаскрытие информации для регулятивных целейКомплаенсВАЖНАЯ ИНФОРМАЦИЯУстав и внутренние документыПротиводействие коррупцииИнсайдерам банкаВнутренний контроль и аудитПРОЧЕЕУправление рискамиО банкеБанк ВТБГруппа ВТБПресс-службаКонтактыКарьера в ВТБПерейти в разделПерейти в раздел «Банк ВТБ»ИНФОРМАЦИЯ О БАНКЕРеквизитыУстойчивое развитиеВАМ МОЖЕТ БЫТЬ ИНТЕРЕСНОИнформация для партнеровСтраховым компаниямПерейти в раздел «Группа ВТБ»ИНФОРМАЦИЯ О ГРУППЕСтруктура группыМиссия видение ценностиСтратегияВАМ МОЖЕТ БЫТЬ ИНТЕРЕСНОДокументыПерейти в раздел «Пресс-служба»ПРЕСС-СЛУЖБАПресс-релизыФинансовые пресс-релизыНовости для акционеровПерейти в раздел «Контакты»КОНТАКТНАЯ ИНФОРМАЦИЯОсновные контактыОфициальные каналы связиПомощники и чат-ботыПерейти в раздел «Карьера в ВТБ»ВАКАНСИИВыпускникам и студентамРабота в сети банкаПрофессионалам и руководителямДо 15% годовых по накопительному счет «Сейф»До 15% годовых по накопительному счету «Сейф»ОткрытьПодробнееРешение от ВТБ на каждый деньРешение от ВТБ на каждый день: кешбэк до 30% бесплатные переводы и платежиОформить картуПодробнееДо 16% годовых по вкладу при переводе пенсии на карту ВТБДо 16% годовых по вкладу при переводе пенсии на карту ВТБ по промокоду ВКЛАДПодробнееВыберите свой транспорт c автокредитом ВТБВыберите свой транспорт c автокредитом ВТБОформить заявкуПодробнее4% кешбэк на супермаркеты при переводе зарплаты на карту ВТБ4% кешбэк  в любимых супермаркетах и сервисах доставки продуктов при переводе зарплаты в ВТБПодробнееНачните пользоваться сервисами ВТБ Онлайн через Банк в VKНачните пользоваться сервисами  ВТБ Онлайн через Банк в VKПодробнееПредложения банка До 15% годовых на накопительный счет «Сейф»ПодробнееКредитная карта до 200 дней без %ОформитьПодробнееКредит наличными платеж от 1900 ₽ОформитьПодробнееИпотека до 60 млн ₽ОформитьПодробнееПредложения для васВажноеЗарплатным клиентамИнвестицииДля пенсионеровПривилегияСтрахованиеЭкопроектыCбереженияДругоеПравила финансовой безопасностиРекомендации по работе с интернет-банком и мобильным приложениемПодробнееПравила финансовой безопасностиРекомендации по работе с интернет-банком и мобильным приложениемПодробнееКредитные каникулыДля тех кто попал в сложную жизненную ситуациюПодробнееПредложение для всей семьиУдобные продукты и сервисы на каждый деньПодробнееУдваиваем кешбэкВ популярных категориях для новых зарплатных клиентовПодробнееУдваиваем кешбэкВ популярных категориях для новых зарплатных клиентовПодробнееКредит наличнымиВыгодные условия для зарплатных клиентовПодробнееТариф «Зарплатный»Больше чем просто зарплатная картаПодробнееТысячи инструментов на платформе размещений ВТБ Мои Инвестиции- Инвестиции в реальный бизнес- Акции и облигации российских компаний- Консультации профессиональных управляющихУзнать большеТысячи инструментов на платформе размещений ВТБ Мои Инвестиции- Инвестиции в реальный бизнес- Акции и облигации российских компаний- Консультации профессиональных управляющихУзнать большеИИСОткройте индивидуальный инвестиционный счет в приложении ВТБ Мои Инвестиции и получайте ежегодный налоговый вычет до 52 000 ₽ПодробнееРобот-советникЭто бесплатный сервис который подберет подходящие вам ценные бумаги и подскажет когда нужно продать активы или купить новыеПодробнееКарта ВТБ для пенсионеровОформите бесплатную карту ВТБ и получайте 7% на остатокОформитьПодробнееКарта ВТБ для пенсионеровОформите бесплатную карту ВТБ и получайте 7% на остатокОформитьПодробнееДо 16% годовых по вкладу при переводе пенсии на карту ВТБПодробнее0₽ за оплату ЖКУ через ВТБ Онлайн или банкоматы ВТБПодробнееДебетовая карта ПривилегияОткрываем доступ ко всем привилегиям одной картойПодробнееДебетовая карта ПривилегияОткрываем доступ ко всем привилегиям одной картойПодробнееПремиальные сервисыПомощь на дорогах страхование в путешествиях для всей семьи консьерж-сервис персональный менеджер и многое другоеПодробнееПремиальные вклады и счетаВклады и счета с премиальной надбавкой к ставкеПодробнееПрограммы страхованияНадежная защита ваших интересовВыбрать программуПрограммы страхованияНадежная защита ваших интересовВыбрать программуОСАГОПодберите комфортные условия и оформите ОСАГО онлайнПодробнееЗащита от мошенниковЗащитите счета и карты любых банков от мошенниковПодробнееЭлектромобилиЭкологично и экономичноПодробнееЭлектромобилиЭкологично и экономичноПодробнееПодари лес другуПроект по восстановлению лесов в РоссииПодробнееНакопительный счет «Сейф» со ставкой до 15%- пополнение счета в любое время- снятие без потери процентов за предыдущие периоды- обслуживание счета бесплатноПодробнееНакопительный счет «Сейф» со ставкой до 15%- пополнение счета в любое время- снятие без потери процентов за предыдущие периоды- обслуживание счета бесплатноПодробнееВТБ-Вклад в рублях до 15%Соберите условия по своему вкладуПодробнееЧто выбрать − вклад или накопительный счет?Поможем выбрать лучший для вас способ для размещения сбереженийПодробнееПамятные монеты из драгоценных металловУспейте купить со скидкой до 48%	ПодробнееПамятные монеты из драгоценных металловУспейте купить со скидкой до 48%ПодробнееКомиссиONМаркетплейс непрофильных активов	ПодробнееНазначьте личную встречу консультанту банкаПолучите персональные рекомендации и оформите заявку на продуктПодробнееСервисы для вашего удобстваОтделения и банкоматыВыберите ближайшее отделение банкаКурсы валютУзнайте об актуальных изменениях курса валютЗарплатная карта ВТБПолучайте двойной кешбэк в популярных категорияхПрограмма лояльности Копите мультибонусы совершая покупки с картой ВТБРасчетный счетОткройте счет для бизнесаДенежные  переводыПереводите деньги быстро и без комиссииГруппа ВТББанк ВТБГруппа ВТБПресс-службаКонтакты Возможности Твоего  БудущегоСтать частью команды ВТБНовости1000Бесплатно с мобильного8 (800) 100-24-24Бесплатный звонок по России+7 (495) 785-53-05для звонков за пределами РоссииОтделения и банкоматыКурсы валютКонтакты Темная темаО банкеО группеРеквизитыАкции и скидкиТарифы и документыПресс-службаРаскрытие информацииПартнерамСтраховым компаниямСтатьиКредитыКартыИпотекаАвтокредитыВкладыФинансовая грамотность English Темная тема EnglishВТБ ОнлайнБанк там где вам удобноВсе приложения банкаПомощник ВТБ в WhatsAppПомощник ВТБ в ТелеграмеКанал ВТБ в ViberПомощник ВТБ в Алисе© ВТБ 2023Генеральная лицензия Банка России №1000191144 Санкт-ПетербургДегтярный переулок д. 11 лит. АРаскрытие информации профессиональным участником рынка ценных бумагРаскрытие информации на сайте агентства «Интерфакс»Информация о процентных ставках по договорам банковского вклада с физическими лицамиОбеспечение защиты прав потребителей финансовых услуг Правила комплексного обслуживанияОбновление сведений в целях ПОД/ФТПоложение об организации обработки персональных данных в Банке ВТБ (ПАО) (выписка)Для повышения удобства работы с сайтом банк ВТБ использует файлы cookie. Продолжая использовать наш сайт вы принимаете условия Соглашения в отношении использования пользовательских данных. Если вы не хотите чтобы пользовательские данные обрабатывались отключите cookie в настройках браузераСвяжитесь с ВТБВыберите удобный способВКонтактеWhatsAppTelegramViber</t>
  </si>
  <si>
    <t>www.vtb.ru</t>
  </si>
  <si>
    <t>9 дек. 2022 г. —</t>
  </si>
  <si>
    <t>https://chrome.google.com/webstore/detail/%D0%BA%D0%B0%D0%BB%D1%8C%D0%BA%D1%83%D0%BB%D1%8F%D1%82%D0%BE%D1%80/gminfkdpejmfkjnelbapfofhkpkomcap</t>
  </si>
  <si>
    <t>https://books.google.com/books?id=n9JzDgAAQBAJ&amp;pg=PT24&amp;lpg=PT24&amp;dq=%D0%BA%D0%B0%D0%BB%D1%8C%D0%BA%D1%83%D0%BB%D1%8F%D1%82%D0%BE%D1%80&amp;source=bl&amp;ots=FZK5V0U6wO&amp;sig=ACfU3U2Grph_TfeTM3MnLNsnULfgNd2oRw&amp;hl=ru&amp;sa=X&amp;ved=2ahUKEwiAmISBkLuCAxVZjYkEHZgLA_0Q6AF6BAhEEAM</t>
  </si>
  <si>
    <t>курс доллара</t>
  </si>
  <si>
    <t>Динамика курса Доллара США</t>
  </si>
  <si>
    <t>Информация о Долларе США. На этой странице портала Банки.ру размещены значения официального курса доллара США к российскому рублю, установленные Банком России.</t>
  </si>
  <si>
    <t>https://www.banki.ru/products/currency/usd/</t>
  </si>
  <si>
    <t>Курс доллара США (USD) по ЦБ, Forex и ММВБ на ...</t>
  </si>
  <si>
    <t>Курс доллара США (USD). 1 USD. ЦБ на 10.11. 91.9266. –0.2707. ЦБ на сегодня. 92.0535. +0.1269. Динамика курса Прогноз курса Кросс-курс. ЦБ. ММВБ. Форекс. Неделя.</t>
  </si>
  <si>
    <t>https://finance.rambler.ru/currencies/USD/</t>
  </si>
  <si>
    <t>Курс доллара к рублю Биржа | Курс ЦБ на сегодня, на ...</t>
  </si>
  <si>
    <t>Архив курсов валют ЦБ РФ за выбранную дату ; USD, 1, Доллар США, 92.0535 ; EUR, 1, Евро, 98.3155 ; INR, 10, Индийских рупий, 11.0552.</t>
  </si>
  <si>
    <t>https://www.profinance.ru/currency_usd.asp</t>
  </si>
  <si>
    <t>Форекс на ProFinance.Ru. Курсы валют. Прогнозы валютного рынка.   18+КабинетКотировкиWebOnlineГрафикиWebOnlineАрхивыНовостиСтатистикаФорумTelegramТоварные и фондовые рынкиВалютный рынок Forex    11:34  Китай надеется перезапустить экономику с помощью человекоподобных роботов          Фото из открытых источниковКитай планирует в ближайшие годы начать производство человекоподобных роботов. Это должно помочь стране стать мировым лидером в робототехнике и перезапустить свою экономику говорится в директиве опубликованной       / далее /...    20:40              Экспорт энергетического угля из Индонезии достиг рекордного максимума              13:36  Рынок американских казначейских облигаций пострадал из-за атаки на ICBC    13:19              Goldman Sachs прогнозирует «явный дефицит» железной руды до конца года              12:15              Пожар на российской шахте обострил ситуацию с поставками цинка              11:44              Добыча золота и производство водки будут способствовать изолированному восстановлению московского рынка после IPO              11:34              Золото дешевеет вторую неделю подряд из-за комментариев главы ФРС              11:16              ОАЭ ограничат экспорт ключевых товаров в Россию заявил ЕС. Турция может принять аналогичные меры              11:09              Рост цен на нефть до $100 не состоялся из-за ухудшения перспектив экономики              10:14              Министр энергетики Саудовской Аравии обвиняет спекулянтов в падении цен на нефть              09:41              Доходность подскочила а акции упали поскольку Пауэлл пообещал снова поднять ставки              22:53  Цены на говядину бьют рекорды из-за засухи в США    22:15  Центробанки задаются вопросом: приведет ли скачок цен на энергоносители к повышению ставок    16:25              Акции банков США упали до рекордно низкого уровня по отношению к S&amp;P 500 поскольку крах облигаций ослабил балансы              10:33  Goldman: экономика США окажет поддержку доллару в 2024 году       График евро/доллара интервалами в 1 деньПо мнению стратегов Goldman Sachs Group перспективы доллара в 2024 году будут ухудшаться но крепкая экономика США и высокая доходность вероятно поддержат курс американской валюты.Индекс доллара в 2023       / далее /...    22:27  Китайский юань дешевеет но при этом укрепляет позиции    19:46              Банк России перечислил факторы благодаря которым рубль смог укрепиться              16:36              Курсы валют ЦБ РФ: курс рубля к доллару евро гривне лире тенге юаню рупии              15:13              JPMorgan называл ралли криптовалют преувеличенным              10:49              Сбербанк дал прогноз курса рубля на пятницу              10:27              Россия добавляет в свой бюджет более 3 трлн рублей расходов              10:11              Доллар торжествует после холодного душа от Пауэлла и компании              16:38              Курсы валют ЦБ РФ: курс рубля к доллару евро гривне лире тенге юаню рупии              14:30              Нехватка рабочей силы в России угрожает экономическому росту считает Центральный банк              13:02              Альфа-банк ждет еще одного повышения ставки ЦБ в декабре              12:23              Биткоин поднялся выше $36 800 на фоне возможного одобрения инвестиций в ETF              09:44              Рубль обладает шансами на укрепление до 90 руб./$1 - "Алор Брокер"              09:38              Японские фонды скупили большую часть долга США за полгода оказывая давление на иену          Поиск по датеАрхив:: Экономические новости и статистика рынка акций и валютного рынка Forex / Форекс    13:30  Россия. Ключевая ставка Банка России: 15.00% прогноз: 14.00% ранее: 13.00%    14:00  Турция. Ставка недельного репо ЦБ: 35.00% прогноз 35.00% ранее: 30.00%    15:30  США. Базовый индекс потребительских цен (CPI Core) сентябрь: +0.3% м/м +4.1% г/г прогноз: +0.3% м/м +4.1 г/г август: +0.3% м/м +4.3% г/г     15:30  США. Индекс потребительских цен (CPI) сентябрь: +0.4% м/м +3.7% г/г прогноз: +0.3% м/м +3.6% г/г август: +0.6% м/м +3.7% г/г    15:32  США. Средняя продолжительность рабочей недели в часах сентябрь: 34.4 часа прогноз: 34.4 часа август: 34.4 часа    15:32  США. Уровень безработицы U-6 сентябрь: 7.0%  август: 7.1%    15:32  США. Уровень участия населения в составе совокупной рабочей силы сентябрь: 62.8% прогноз: 62.8%  август: 62.8%    15:32  США. Средняя часовая заработная плата сентябрь: +0.2% м/м +4.2% г/г прогноз: +0.3% м/м +4.3% г/г  август: +0.2% м/м +4.3% г/г     15:31  США. Уровень безработицы сентябрь: 3.8% прогноз: 3.7% август: 3.8%    15:30  США. Занятость вне с/х сектора сентябрь: +336 000 прогноз: +170 000  август: +227 000 (пересмотрено с +187 000) . далее…    14:03  Великобритания. Решение по ставке Банка Англии: 5.25% прогноз: 5.50% ранее: 5.25%     14:00  Турция. Ставка недельного репо ЦБ: 30.00% прогноз 30.00% ранее: 25.00%АрхивabКурсы валют ЦБ РФ на 10.11.2023с 11.11.2023Курс доллара91.926692.0535Курс евро98.407698.3155Курс юаня12.599812.5979Курсы валют к рублю Forex ПокупкаПродажаВремяUSD/RUB92.26792.27718:59EUR/RUB98.54898.56818:57CNY/RUB12.609412.613218:59Курсы валют Forex ПокупкаПродажаВремяEUR/USD1.068401.0685500:00GBP/USD1.222551.2227523:59USD/CHF0.902300.9025023:59USD/JPY151.530151.54523:59Мировые рынки О компании -	Редакция			·			Реклама			·			Контакты 		Графики и котировки Forex / Форекс -	Котировки			·			Котировки онлайн			·			Графики			·			Графики онлайн			·			Информеры - Курс валют ЦБ и Форекс		Быстрый переход	Котировки валют			·			Курс доллара к рублю			·			Курс евро к рублю			·			Курсы валют к рублю			·			Котировки акций			·			Нефть			· Золото			· Биткоин			·  Нефть Urals		Аналитика и прогнозы Forex / Форекс -    	Архив новостей валютного и фондового рынка			·			Архив экономических новостей и событий		Сообщество форекс - трейдеров -   	Форекс Форум	Новости и аналитика рынка валют Forex / Форекс фондовых и сырьевых рынков на ProFinance.Ru - Copyright © 1995 - 2023 ПроФинанс.ру.Редакция	·	Реклама на сайте	·</t>
  </si>
  <si>
    <t>www.profinance.ru</t>
  </si>
  <si>
    <t>Курс доллара к рублю на сегодня</t>
  </si>
  <si>
    <t>Официальный курс ЦБ в рублях за 1 Доллар США. 91,9266-4,4078 (-4,58%)10/ ...</t>
  </si>
  <si>
    <t>https://1prime.ru/charts_usd_cb/</t>
  </si>
  <si>
    <t>Курс доллара к рублю, котировки USD RUB</t>
  </si>
  <si>
    <t>Курс доллара завершил неделю на отметке 92,29 рубля. Об этом свидетельствуют данные Московской биржи. Курс рубля по итогам торгов пятницы снизился к доллару и ...</t>
  </si>
  <si>
    <t>https://ru.investing.com/currencies/usd-rub</t>
  </si>
  <si>
    <t>Курс доллара США (USD) на сегодня - ЦБ РФ, динамика ...</t>
  </si>
  <si>
    <t>Курс доллара США по данным Центробанка на сегодня, динамика курса доллара США (USD) к рублю - курс обмена валют онлайн.</t>
  </si>
  <si>
    <t>https://news.mail.ru/currency/src/CBRF/charcode/USD/</t>
  </si>
  <si>
    <t xml:space="preserve"> Новости России и мира последние события на сегодня - Новости Mail.ru     Mail.ruПочтаМой МирОдноклассникиВКонтактеИгрыЗнакомстваНовостиПоискОблакоVK ComboВсе проектыВсе проектывыходРегистрацияВходss  ГлавноеПалестино-израильский конфликтСпецоперация на УкраинеПалестино-израильский конфликтСпецоперация на УкраинеЕщё   ВС РФ уничтожили четыре минометных расчета ВСУ под КупянскомВ общей сложности противник потерял до 50 военнослужащих за сутки на данном направлении заявил начальник пресс-центра группировки «Запад» Сергей ЗыбинскийСамолет США потерпел крушение в Средиземном мореСМИ: полковник ВСУ в 2020 году заманил ЧВК «Вагнер» в БелоруссиюВ Токио завили о самой серьезной угрозе со времен Второй мировойРоссийский десантник сразится за титул UFC в тяжелом весеВ Токио завили о самой серьезной угрозе со времен Второй мировойРоссийский десантник сразится за титул UFC в тяжелом весеКурс доллара. Прогноз на 13-17 ноябряКак нужно сидеть для правильного измерения давленияАэропорт Внуково вводил ограничения на прием и вылет самолетовРоссия нанесла авиаудары по объектам боевиков в СирииИзраиль нанес авиаудары по объектам в СирииЧемпиона Bellator Нурмагомедова дисквалифицировали из-за допинга   Популярное за суткиПолковник Макгрегор: конфликт на Украине фактически оконченСиноптик раскрыл какой в этом году будет зима в РоссииКандидат в президенты: конфликт с РФ приведет к исчезновению СШАМакрон не исключил «честные» переговоры Украины и РоссииУкраину предложили принять в НАТО в новых границахЕще одна страна заявила о планах вступить в БРИКСПолитика03:01 (мск)© РИА НовостиСпикер конгресса США представил план предотвращения шатдаунаВАШИНГТОН 12 ноя — РИА Новости. Новый спикер палаты представителей США Майк Джонсон менее чем за неделю до возможного шатдауна представил законопроект по двухэтапному финансированию правительственных программ в котором отсутствует финансирование Киева следует из документа.Нетаньяху заявил о демилитаризации сектора Газа по окончании конфликтаГермания увеличит военную помощь Украине на 2024 год до €8 млрдВласти Сан-Франциско вывезли бездомных и наркозависимых перед визитом Си ЦзиньпинаЭкономика11 ноября© РИА НовостиЭксперты рассказали что нужно России для экономического чудаМОСКВА 11 ноя — РИА Новости. Российские финансисты сегодня отмечают один из своих профессиональных праздников — день экономиста. Почти 260 лет назад в этот день указом Екатерины II было создано Императорское Вольное экономическое общество. В честь этого праздника РИА Новости попросило экспертов составить рецепт «экономического чуда» для нашей страны.Уровень безработицы в России в сравнении с другими странами мира. ИнфографикаПравительство дополнительно выделило 95 млрд рублей на льготную ипотекуВ России с 1 апреля 2024 года могут расширить маркировку пиваОбщество05:27 (мск)Lenta.RuГигантского 90-килограммового питона поймали в болотах СШАВ США охотники поймали гигантского темного тигрового питона. Четверо мужчин и юноша находились в заповеднике когда обнаружили 90-килограммовую змею. Они схватили питона и попытались его обездвижить. Рептилия начала вырываться и приподнимать тело над землей пытаясь обвить тела охотников.Врачи нашли способ спасения людей с анемией при сердечном приступеНайдено новое полезное свойство витамина DУченые раскрыли тайну картины XVI века немецкого художника ГольбейнаСобытия06:39 (мск)ИзвестияЗемлетрясение магнитудой 54 произошло в ИндонезииЗемлетрясение магнитудой 54 зафиксировали в Индонезии. Об этом 12 ноября сообщили в Европейско-средиземноморском сейсмологическом центре.Российские летчики и артиллеристы ударили по штурмовым группам ВСУ в ЛНРДевять полицейских ранены в ходе акции в поддержку Палестины в ЛондонеПри обстреле Донецка со стороны ВСУ пострадала мирная жительница  СМИ в социальных сетяхLenta.Ru06:35 (мск)Пожилая такса застряла в канализации и просидела там два дня. В Подмосковье 12-летний пёс Савва провалился в люк и застрял между трубами…Московский комсомолец06:32 (мск)Фермеры европейских стран боятся вступления Украины в ЕС из-за опасений не выдержать конкуренцию на рынке сельскохозяйственной продукции…Газета.Ру06:32 (мск)В Новосибирске создали приложение для озвучивания русского языка жестов. Система распознает движения рук при помощи камеры в смартфоне. При…ТАСС06:30 (мск)Министр обороны США Ллойд Остин обсудил с украинским коллегой Рустемом Умеровым потребности Киева и планы на предстоящее заседание…Известия06:30 (мск)L'Opinion: фермеры Европы начали испытывать опасения из-за конкуренции на рынке сельскохозяйственной продукции со стороны Украины если…Московский комсомолец06:22 (мск)Таиланд может стать новым покупателем российско-индийских ракет «БраМос» закупив их у Индии в 2024 году сообщает Indian Defence News со…Московский комсомолец06:16 (мск)В Иркутской области столкнулись поезд и грузовик по предварительной информации погибли 3 человека сообщает РИА Новости со ссылкой на…ТАСС06:05 (мск)Иордания сбросила с воздуха гуманитарную помощь для управляемого Амманом полевого госпиталя в секторе Газа. Об этом пишет издание The Times…Московский комсомолец06:03 (мск)С точки зрения права российские и китайские компании нефтегазовой отрасли приспособились к сотрудничеству в условиях санкционного давления…Аргументы и факты06:00 (мск)Как легально платить меньше налогов? Законы позволяют многим россиянам значительно сократить свои налоговые платежи. Какие возможности для…СправкиДоговор о всеобъемлющем запрещении ядерных испытаний. История и основные положения5 карточекИстория конфликта Израиля и Палестины: краткая суть хронология4 карточкиЕдиный реестр воинского учета и электронные повестки: что нужно знать5 карточекЗаразный но неопасный: что нужно знать о коронавирусе «Пирола»5 карточекПутин подписал указ о цифровом паспорте. Что это и как получить4 карточкиЛидеры БРИКС договорились принять шесть новых членов. Какие страны войдут в объединение?6 карточек«Луна-25» погибла. Что нужно знать о потерпевшей крушение миссии5 карточекВ России заблокируют миллионы сим-карт. Кого это коснется и можно ли избежать блокировки?5 карточекЧто известно о новых правилах призыва на срочную службу5 карточекЦифровой рубль простыми словами: зачем он нужен и как им пользоваться7 карточекСанкции на «Тинькофф» и «Юнистрим». Как они повлияют на банки и переводы4 карточкиЧто известно о прекращении зерновой сделки6 карточек  Фоторепортажи15Победители конкурса Mangrove Photography Awards13Британское экологическое общество объявило победителей своего фотоконкурса20Названы фотографии с лучшими цветовыми сочетаниями18Названы победители конкурса Wildlife Photographer Of The Year 202341Показаны самые смешные фото диких животных24Лауреаты Нобелевской премии из России24Опубликованы лучшие концептуальные снимки года26Победители Siena International Photo Awards 202318Показаны работы победителей конкурса Nature TTL Photographer of the Year9Составлен рейтинг худших достопримечательностей мира  ТестыТест ко Дню народного единства: как хорошо вы знакомы с историей праздникаСыроед или фрукторианец: что вы знаете о различных типах питания (тест)Тест: Сколько традиций Хэллоуина вы знаете?Камербанд и коверкот: разбираетесь ли вы в предметах мужского гардероба?Help yourself: угадайте правильный перевод фразТест: был ли такой вкладыш Love is на самом деле?Третьеклассник справился с этой математической задачей за 10 секунд а вы сможете?Тест: как хорошо вы знакомы с биографией Льва ТолстогоТест: угадайте как отмечают День знаний в разных странахТест: удивительные факты о российском триколореТест: угадайте цитату из фильма «Семнадцать мгновений весны»Тест: что вы знаете о шампанском?НавигаторПредприятие: что это такое цели и функцииПсихология: что это история задачи видыЧто такое страховая компания и как она работаетЧто такое фразеологизмЭкономика: определение понятия типыЧто такое общество: как зародилось функции и признакиЧто такое технологияЧто такое организация: определение и характеристикиЧто означает слово «анализ»Политик: кто это и как его деятельность влияет на мирЧто такое закон: определениеДокументы и их разновидности: отличие и определение&lt;div class=" js-module" data-module="SlotModel" data-view="SlotView.345798" data-id="345798" data-brandsafety="0"&gt;&lt;/div&gt;Подпишитесь на насMail.RuО компанииРеклама ОтменитьRSSО проектеО технологиях рекомендацийИспользование материаловОбратная связьКарта сайта		 		  							</t>
  </si>
  <si>
    <t>news.mail.ru</t>
  </si>
  <si>
    <t>Курс доллара ЦБ (USD)</t>
  </si>
  <si>
    <t>Курс доллара ЦБ. Профиль. Курс доллара ЦБ USD. ₽92,054 (+0,14%). 1д. 1н. 1м. 3м. 1г. Все время. Created with Highcharts 7.2.2 85 90 95 100 105 10 окт 17 окт 24 ...</t>
  </si>
  <si>
    <t>https://quote.rbc.ru/ticker/72413</t>
  </si>
  <si>
    <t>Котировки акций курсы валют новости компании :: РБК Инвестицииadv.rbc.ru adv.rbc.ru adv.rbc.ru Инвестиции            Телеканал                                Pro                                Инвестиции                                        Мероприятия                                Отрасли                                Недвижимость                                Autonews                                Спорт                                Тренды                                Национальные проекты                                Город                                Стиль                                Крипто                                РБК+                                Дискуссионный клуб                                Исследования                                Кредитные рейтинги                                Франшизы                                Газета                                Спецпроекты СПб                                Конференции СПб                                Спецпроекты                                Проверка контрагентов                                РБК Библиотека                                ESG-индекс                                Политика                                Экономика                                Бизнес                                Технологии и медиа                                Финансы                    РБК КомпанииРБК Life                            ...                        Скрыть баннерыВходРегистрацияГлавноеКаталогСоветыСловарь+7 (800) 333-24-24+7 (495) 797-93-48broker@vtb.ru            Регистрация                                        Вход                            Скрыть баннеры    Главное менюadv.rbc.ru ИнвестицииПрямой эфирОшибка воспроизведения видео. Пожалуйста обновите ваш браузер.Новости                    Трудности на рынке электрокаров: стоит ли вкладываться в акции сектора                                    Как перевести деньги с карты на карту: 6 способов и подробные инструкции                11 ноя 10:00 ·0                    Торги на СПБ Бирже на паузе. Эксперты о шансах инвесторов продать бумаги                11 ноя 09:00 ·0adv.rbc.ru                     Палладий подешевел до уровней 2018 года на фоне перехода на электромобили                10 ноя 19:26 ·0                    Акции «Русал» подешевели на фоне отказа от дивидендов за 9 месяцев                10 ноя 19:08 ·0                    ЦБ установил курсы доллара евро и юаня на выходные и понедельник                10 ноя 16:39 ·0                    «Газпром нефть» обогнала по капитализации материнскую компанию «Газпром»                10 ноя 16:32 ·0                    СПБ Биржа запланировала провести зависшие расчеты по сделкам 13 ноября                10 ноя 15:45 ·0                    В «Синаре» назвали фактор в пользу ослабления рубля в середине ноября                10 ноя 15:25 ·0                    ЦБ заявил о праве инвесторов торговать с недружественными нерезидентами                10 ноя 15:11 ·0                    Акции Novabev подорожали на фоне отчетности и новостях о дивидендах                10 ноя 13:35 ·0                    Мосбиржа начнет торги вечным фьючерсом на индекс Мосбиржи с 14 ноября                10 ноя 11:57 ·0                    Акции Сбербанка подорожали после выхода отчетности за 10 месяцев                10 ноя 11:21 ·0                    Почему в США разочаровались в прибыльных зеленых фондах ESG                adv.rbc.ru adv.rbc.ru РегистрацияВходГлавноеКаталогСоветыСловарь                                                            Торги на СПБ Бирже на паузе. Эксперты о шансах инвесторов продать бумаги                                                Главная тема                                                                    11 ноя 09:00                            Что это значитСанкции против СПБ Биржи создали риск новой блокировки активов которые учитывались в американском депозитарии. Инвесторы не могут избавиться от активов к тому же им приходиться платить за маржинальные позиции                                        СПБ Биржа                                                                            SPBE                                                                +224%                                                    Индекс SPB100                                                                            SPB100                                                                —                            Pro Инвестиции                                                                          Как перевести деньги с карты на карту: 6 способов и подробные инструкции                                                                                                                                    11 ноя 10:00                            РБК БанкиСовершать денежные переводы с карты на карту быстро и удобно. Как при этом сэкономить на комиссии — разберем вместе с экспертом. «РБК Инвестиции» собрали шесть разных способов отправить деньги с помощью банковской карты                                        Сбербанк                                                                            SBER                                                                -012%                                                    ВТБ                                                                            VTBR                                                                -04%                                                    Московский кредитный банк                                                                            CBOM                                                                +115%                                                    Росбанк                                                                            ROSB                                                                -119%                                                    TCS Group (Тинькофф Банк)                                                                            TCS                                                                —            adv.rbc.ru                                                             Палладий подешевел до уровней 2018 года на фоне перехода на электромобили                                                                                                                                    10 ноя 19:26                            НовостиПалладий используется в автомобилях с двигателем внутреннего сгорания популярность которых снижается из-за перехода на электрокары                                        Норникель                                                                            GMKN                                                                -039%                                                    Платина                                                                            Platinum                                                                —                                                    Серебро                                                                            Silver                                                                —                                                    Золото                                                                            GOLD                                                                —                                                                        Акции «Русал» подешевели на фоне отказа от дивидендов за 9 месяцев                                                                                                                                    10 ноя 19:08                            НовостиПравление компании «Русал» рекомендовало не объявлять и не выплачивать дивиденды по результатам девяти месяцев 2023 года. Акции компании отреагировали снижением                                        Русал                                                                            RUAL                                                                -079%                                                    Китайский юань/Рубль                                                                            CNY/RUB                                                                +009%                                                    Курс юаня ЦБ                                                                            CNY                                                                -002%                                                                        ЦБ установил курсы доллара евро и юаня на выходные и понедельник                                                                                                                                    10 ноя 16:39                            Курсы валютЦентральный банк России установил официальный курс доллара США на 11–13 ноября в размере ₽920535 евро — ₽983155 юаня — ₽125979. Об этом сообщается на сайте регулятора.По данным на...                                        Доллар/Рубль                                                                            USD/RUB                                                                +028%                                                    Евро/Доллар                                                                            EUR/USD                                                                -046%                                                    Китайский юань/Рубль                                                                            CNY/RUB                                                                +009%                                                                        «Газпром нефть» обогнала по капитализации материнскую компанию «Газпром»                                                                                                                                    10 ноя 16:32                            НовостиНефтяная компания «Газпром нефть» стала стоить дороже своей материнской компании «Газпром». Поддержку бумагам дочерней компании оказали новости по дивидендным выплатам акционерам                                        Газпром нефть                                                                            SIBN                                                                +431%                                                    «Газпром»                                                                            GAZP                                                                +005%                                                    ЛУКОЙЛ                                                                            LKOH                                                                +039%                                                    «Роснефть»                                                                            ROSN                                                                +261%                                                    BRENT                                                                            BRENT                                                                -056%                                                                        СПБ Биржа запланировала провести зависшие расчеты по сделкам 13 ноября                                                                                                                                    10 ноя 15:45                            НовостиПлощадка подпала под санкции 2 ноября. С тех пор торги иностранными активами приостановлены                                        СПБ Биржа                                                                            SPBE                                                                +224%                                                    Московская биржа                                                                            MOEX                                                                +292%                                                                        В «Синаре» назвали фактор в пользу ослабления рубля в середине ноября                                                                                                                                    10 ноя 15:25                            НовостиВ инвестбанке предупредили что погашение еврооблигаций на общую сумму свыше ₽2 млрд увеличит волатильность рубля во второй половине ноября                                        Доллар/Рубль                                                                            USD/RUB                                                                +028%                                                    Китайский юань/Рубль                                                                            CNY/RUB                                                                +009%                                                    Евро/Рубль                                                                            EUR/RUB                                                                -011%                                                    Казахстанский тенге/Рубль                                                                            KZT/RUB                                                                +132%                                                                        ЦБ заявил о праве инвесторов торговать с недружественными нерезидентами                                                                                                                                    10 ноя 15:11                            Что это значитУказ президента внес ясность можно ли российским инвесторам торговать иностранными бумагами с недружественными нерезидентами через иностранных брокеров. Разрешение правкомиссии на такие сделки не требуется                                        Индекс МосБиржи                                                                            IMOEX                                                                +007%                                                    Индекс SPB100                                                                            SPB100                                                                —                                                                        Акции Novabev подорожали на фоне отчетности и новостях о дивидендах                                                                                                                                    10 ноя 13:35                            НовостиNovabev Group опубликовала финансовые результаты за девять месяцев. Кроме того компания сообщила что совет директоров на заседании 13 ноября обсудит вопрос дивидендов за девять месяцев                                        Novabev Group                                                                            BELU                                                                -073%                                                    «Абрау-Дюрсо»                                                                            ABRD                                                                -213%                                                    Индекс МосБиржи                                                                            IMOEX                                                                +007%                                                    Индекс РТС                                                                            RTSI                                                                -013%                                                                        Мосбиржа начнет торги вечным фьючерсом на индекс Мосбиржи с 14 ноября                                                                                                                                    10 ноя 11:57                            НовостиВечный фьючерс на индекс Мосбиржи будет иметь объем около ₽30 тыс. Расчетная цена нового инструмента определится по значениям индекса Мосбиржи (IMOEX). Торговый код контракта — IMOEXF                                        Индекс МосБиржи                                                                            IMOEX                                                                +007%                                                    Московская биржа                                                                            MOEX                                                                +292%                                                    Индекс РТС                                                                            RTSI                                                                -013%                                                    ЛУКОЙЛ                                                                            LKOH                                                                +039%                                                    «Газпром»                                                                            GAZP                                                                +005%                                                    «Роснефть»                                                                            ROSN                                                                +261%                                                                        Акции Сбербанка подорожали после выхода отчетности за 10 месяцев                                                                                                                                    10 ноя 11:21                            НовостиВ Сбербанке раскрыли финансовые результаты января — октября 2023 года. Чистая прибыль банка за 10 месяцев достигла ₽126 трлн. Акции Сбербанка на выход отчета отреагировали ростом                                        Сбербанк                                                                            SBER                                                                -012%                                                    Сбербанк                                                                            SBERP                                                                +118%                                                                        «Газпром нефть» 8 акций на вечерней сессии индекс Мосбиржи: дайджест                                                                                                                                    10 ноя 08:52                            События дняМосбиржа расширит список бумаг торгуемых на вечерней сессии. СД «Газпром нефти» рекомендовал дивиденды с доходностью 10%. Индекс Мосбиржи отскочил вверх вслед за ценами на нефть. События которые влияют на рынки                                        СПБ Биржа                                                                            SPBE                                                                +224%                                                    Газпром нефть                                                                            SIBN                                                                +431%                                                    BRENT                                                                            BRENT                                                                -056%                                                    «Магнит»                                                                            MGNT                                                                -105%                                                    Индекс МосБиржи                                                                            IMOEX                                                                +007%                                                                        «Газпром нефть» объявила дивиденды с доходностью около 10%                                                                                                                                    09 ноя 21:07                            НовостиНефтяная компания «Газпром нефть» объявила промежуточные дивиденды за девять месяцев 2023 года в размере ₽8294 на акцию. Дивидендная доходность такой выплаты составит около 10%                                        ЛУКОЙЛ                                                                            LKOH                                                                -048%                                                    «Роснефть»                                                                            ROSN                                                                +025%                                                    Башнефть                                                                            BANE                                                                +127%                                                    «Нижнекамскнефтехим»                                                                            NKNC                                                                -004%                                                    Русснефть                                                                            RNFT                                                                -031%                                                    Газпром нефть                                                                            SIBN                                                                +431%                                                    «Татнефть»                                                                            TATN                                                                +011%                                                    «Сургутнефтегаз»                                                                            SNGS                                                                +065%                                                                        Акционеры Fix Price проголосовали за редомициляцию компании в Казахстан                                                                                                                                    09 ноя 20:33                            НовостиКомпания получит регистрацию на площадке казахстанского Международного финансового центра «Астана». Процесс переезда не завершится ранее второй половины 2024 года сообщили в компании                                        Fix Price                                                                            FIXP                                                                -165%                                                    Ozon                                                                            OZON                                                                +009%                                                    «Полиметалл»                                                                            POLY                                                                -037%                                                                        ЦБ и СПБ Биржа пока не могут дотянуться до иностранных бумаг                                                                                                                                    09 ноя 19:23                            НовостиБанк России и СПБ Биржа будут использовать все фактические и юридические возможности для того чтобы обеспечить возможность возобновления торгов иностранными бумагами на площадке                                        СПБ Биржа                                                                            SPBE                                                                +224%            adv.rbc.ru adv.rbc.ru                 Лидеры роста                            Лидеры падения                            Валюты                            Товары                            Индексы                            Курсы валют ЦБ РФ                                                                +1236%                                                                                                                    ₽16                            КупитьАрсагераARSA                                                    +979%                                                                                                                    ₽1985                            КупитьРУСС-ИНВЕСТRUSI                                                    +764%                                                                                                                    ₽2 283                            КупитьБашнефтьBANE                                                    +485%                                                                                                                    ₽33215                            Купить«Мечел»MTLRP                                                    +431%                                                                                                                    ₽84905                            КупитьГазпром нефтьSIBN                                                    -1358%                                                                                                                    ₽63                            КупитьНПК «Объединенная вагонная компания»UWGN                                                    -1352%                                                                                                                    ₽787                            КупитьЯковлевIRKT                                                    -986%                                                                                                                    ₽1 992                            КупитьТНС энерго ННNNSBP                                                    -922%                                                                                                                    ₽1 300                            КупитьТНС энерго ЯрославльYRSB                                                    -901%                                                                                                                    ₽0879                            Купить«Камчатскэнерго»KCHE                                                    +132%                                                                                ₽19828                            КупитьKZT/RUB                                                    +028%                                                                                ₽92293                            КупитьUSD/RUB                                                    +022%                                                                                ₽12069                            КупитьHKD/RUB                                                    +014%                                                                                ₽92054                            КупитьUSD                                                    +009%                                                                                ₽12611                            КупитьCNY/RUB                                                    -002%                                                                                ₽12598                            КупитьCNY                                                    -056%                                                                                $8406                            BRENT                                                    —                                                                                —                            GOLD                                                    —                                                                                —                            Silver                                                    —                                                                                —                            Platinum                                                    +016%                            86525IFX-Cbonds                                                    +007%                            3 24206IMOEX                                                    -013%                            1 10744RTSI                                                    —                            —SPB100                                                    +014%                                                                                ₽92054                            USD                                                    -002%                                                                                ₽12598                            CNY                                                    -009%                                                                                ₽98316                            EURКаталогadv.rbc.ru adv.rbc.ru adv.rbc.ru adv.rbc.ru РБКО компанииКонтактная информацияРедакцияРазмещение рекламыСоциальные сетиВКонтактеОдноклассникиYouTubeTelegramПодписки                                            РБК Comfort                                                                                    РБК Pro                                        РБК НовостиiOSAndroidДругие продукты РБКДомены и хостингМедиапоиск и анализЗнакомстваИнформация об ограниченияхПравовая информацияО соблюдении авторских правЮридическая информацияИнформация об ограниченияхПравовая информацияО соблюдении авторских прав                        © АО «РОСБИЗНЕСКОНСАЛТИНГ» 1995–2023.                                                Сообщения и материалы сетевого издания «РБК» (зарегистрировано Федеральной службой по надзору в сфере связи информационных технологий и массовых коммуникаций (Роскомнадзор) 03.12.2021 за номером ЭЛ №ФС77-82385) сопровождаются пометкой «РБК».                                                                                                    18+quote@rbc.ru        Данные предоставлены: Мосбиржа        Thomson Reuters        Санкт-Петербургская биржа                        Котировки мировых финансовых инструментов предоставлены Reuters                            Чтобы отправить редакции сообщение выделите часть текста в статье и нажмите Ctrl+Enter                        ГлавноеНовостиКаталогСоветыПрофиль</t>
  </si>
  <si>
    <t>quote.rbc.ru</t>
  </si>
  <si>
    <t>Официальные курсы валют на заданную дату ...</t>
  </si>
  <si>
    <t>7 часов назад —</t>
  </si>
  <si>
    <t>https://www.cbr.ru/currency_base/daily/</t>
  </si>
  <si>
    <t>Центральный банк Российской Федерации | Банк РоссииМЕРЫ ЗАЩИТЫ ФИНАНСОВОГО РЫНКАПоиск по сайтуИнтернет-приемнаяRUENПоиск по сайтуRUENЦентральный банк  Российской ФедерацииДоклад о денежно-кредитной политикеОктябрь 2023 годаОпрос о безопасности финансовых услуг7-30 ноября онлайнЦикл вебинаров «Финтрек»Как связаны экономический успех и культура?15 ноября 10:00-11:00Всероссийский онлайн-зачет по финансовой грамотности 1 - 21 ноября онлайн№ 70 (2466)Вестник Банка Россииот 9 ноября 2023 годаЦентральный банк  Российской ФедерацииИскатьДоклад о денежно-кредитной политикеОктябрь 2023 годаПерейтиОпрос о безопасности финансовых услуг7-30 ноября онлайнПерейтиЦикл вебинаров «Финтрек»Как связаны экономический успех и культура?15 ноября 10:00-11:00ПерейтиВсероссийский онлайн-зачет по финансовой грамотности 1 - 21 ноября онлайнПерейти№ 70 (2466)Вестник Банка Россииот 9 ноября 2023 годаПерейтиО Банке РоссииИнтернет-приемнаяВопросы и ответыПроверить финансовую организациюЛичный кабинет участника информационного обменаПараметры операций Банка РоссииЧто вы хотите найти?ИскатьДеятельностьФинансовые рынкиДокументы и данныеО Банке РоссииСервисыМеры защиты финансового рынка+7 499 300-30-008 800 300-30-00300Бесплатно для звонков с мобильных телефоновНовостиРешения Банка РоссииКонтактная информацияКарта сайтаО сайтеПроверить финансовую организациюНовостиВсеНовостиПресс-релизыИнтервьюВыступленияНовое на сайтеЦель по инфляции40%				Инфляцияоктябрь 202367%				Ключевая ставка									с 30.10.20231500%						Ставка RUONIA09.11.20231441%				Курсы валют10.11.202311.11.2023							CNY 1¥							125998 ₽								125979 ₽						Официальный курс Банка России							USD 1$919266 ₽						920535 ₽						Официальный курс Банка России							EUR 1€984076 ₽						983155 ₽						Официальный курс Банка РоссииВсе показателиПодпискаНовости и обновления сайтаПодписатьсяОбразовательный порталИнформационно-аналитический порталЖурнал «Деньги и кредит»ЦБ онлайнМузей Банка РоссииКонтакты для СМИИздания Банка РоссииГрафик публикацийRSS-каналыАктуальные документыГодовой отчет Банка России2022 г. Основные направления развития финансового рынка Российской Федерации на 2023 год и период 2024 и 2025 годовОсновные направления единой государственной денежно-кредитной политики на 2023 год и период 2024 и 2025 годов02.11.2022 Итоги работы Банка России: коротко о главном2022 г. Стратегия развития национальной платежной системы на 2021 – 2023 годыОсновные документы Основные направления развития наличного денежного обращения на 2021–2025 годыОсновные направления развития технологий SupTech и RegTech на период 2021 – 2023 годовДоклад о денежно-кредитной политикеВыпуск № 4 (40) • Октябрь Обзор финансовой стабильностиIV квартал 2022 г. — I квартал 2023 г. Перспективные направления развития банковского регулирования и надзораМаркетплейсСистема быстрых платежейОптимизация регуляторной нагрузкиМониторинг предприятийОткрытый стандарт отчетностиМаркетплейсСистема быстрых платежейОптимизация регуляторной нагрузкиМониторинг предприятийОткрытый стандарт отчетности Наверх107016 Москва ул. Неглинная д. 12 к. В БанкРоссии300(круглосуточно бесплатно для звонков с мобильных телефонов)8 800 300-30-00(круглосуточно бесплатно для звонков из регионов России)+7 499 300-30-00(круглосуточно в соответствии с тарифами вашего оператора)Личный кабинет участников рынкаОтношения с инвесторамиПеречень инсайдерской информации Банка РоссииОфициальное опубликование нормативных актов Банка РоссииПроекты нормативных актов Банка РоссииПеречень нерабочих праздничных дней и перенесенных выходных днейО сайтеКонтактыПротиводействие коррупцииТехнические ресурсыВерсия для слабовидящихОбычная версия© Банк России 2000–2023.Дизайн сайта —                 На сайте Банка России используются файлы cookie                            Оставаясь на www.cbr.ru вы принимаете                пользовательское соглашение                Подтвердить</t>
  </si>
  <si>
    <t>www.cbr.ru</t>
  </si>
  <si>
    <t>Курс доллара США ЦБ РФ</t>
  </si>
  <si>
    <t>Курс Доллар США по ЦБ РФ. Текущий курс. посмотреть все курсы валют. 11.11.2023. за 1 USD. 92,0535. +0,1269. Образцы купюр. Доллар США. Купюра номиналом в 1 USD ...</t>
  </si>
  <si>
    <t>http://www.finmarket.ru/currency/USD/</t>
  </si>
  <si>
    <t>Курс Доллар/Рубль (котировки USD/RUB) - Quote.ru</t>
  </si>
  <si>
    <t>Центральный банк России установил официальный курс доллара США на 10 ноября в размере ₽91,9266, евро — ₽98,4076, юаня — ₽12,5998. Об этом сообщается на сайте ...</t>
  </si>
  <si>
    <t>https://quote.ru/ticker/59111</t>
  </si>
  <si>
    <t>РБК Инвестиции - новости инвестиций котировки акций и курсы валют - РБК ИнвестицииИнвестицииИнвестицииВТБ Мои ИнвестицииРеклама Банк ВТБ (ПАО) 0+ИнвестицииОсновное меню РБК ИнвестицийГлавнаяНовостиКаталогБанкиСоветыОблигации...Главные котировкиUSDБирж. 10.11922925+0255EURБирж. 10.11985525-011CNYБирж. 10.1112611+0011Brent10.11 8406-0556%USDЦБ 11.11920535+0127EURЦБ 11.11983155-0092CNYЦБ 11.11125979-0002USDНал. 06:4391509356EURНал. 06:4395001008789EUR/USD10.11 10673-0005BTC/USDБирж. 06:4336 95000-19100IMOEX10.11 3 24206+0066%RTSI10.11 1 10744-0129%SPB10002.11 75124+2046%Меню с ключевыми разделами сайтаРБКО компанииКонтактная информацияРедакцияРазмещение рекламыСоциальные сетиВКонтактеОдноклассникиYouTubeTelegramПодпискиРБК ComfortРБК PROРБК НовостиiOSAndroidДругие продукты РБКДомены и хостингМедиапоиск и анализЗнакомстваЮридическая информацияИнформация об ограниченияхПравовая информацияО соблюдении авторских прав© АО «РОСБИЗНЕСКОНСАЛТИНГ» 1995–2022. Сообщения и материалы сетевого издания «РБК» (зарегистрировано Федеральной службой по надзору в сфере связи информационных технологий и массовых коммуникаций (Роскомнадзор) 03.12.2021 за номером ЭЛ №ФС77-82385) сопровождаются пометкой «РБК». Отдельные публикации могут содержать информацию не предназначенную для пользователей до 18 лет. quote@rbc.ruДанные предоставлены: МосбиржаThomson ReutersСанкт-Петербургская биржаКотировки мировых финансовых инструментов предоставлены ReutersГлавные новостиВажное для инвестора прямо сейчасТорги на СПБ Бирже на паузе. Эксперты о шансах инвесторов продать бумагиЧто это значитКак перевести деньги с карты на карту: 6 способов и подробные инструкцииРБК БанкиПалладий подешевел до уровней 2018 года на фоне перехода на электромобилиНовостиАкции «Русал» подешевели на фоне отказа от дивидендов за 9 месяцевНовостиКурсы валют·ЦБ установил курсы доллара евро и юаня на выходные и понедельникЦентральный банк России установил официальный курс доллара США на 11–13 ноября в размере ₽920535 евро — ₽983155 юаня — ₽125979. Об этом сообщается на сайте регулятора.По данным на...Новости·«Газпром нефть» обогнала по капитализации материнскую компанию «Газпром»Нефтяная компания «Газпром нефть» стала стоить дороже своей материнской компании «Газпром». Поддержку бумагам дочерней компании оказали новости по дивидендным выплатам акционерамНовости·СПБ Биржа запланировала провести зависшие расчеты по сделкам 13 ноябряПлощадка подпала под санкции 2 ноября. С тех пор торги иностранными активами приостановленыНовости·В «Синаре» назвали фактор в пользу ослабления рубля в середине ноябряВ инвестбанке предупредили что погашение еврооблигаций на общую сумму свыше ₽2 млрд увеличит волатильность рубля во второй половине ноябряЧто это значит·ЦБ заявил о праве инвесторов торговать с недружественными нерезидентамиУказ президента внес ясность можно ли российским инвесторам торговать иностранными бумагами с недружественными нерезидентами через иностранных брокеров. Разрешение правкомиссии на такие сделки не требуетсяВТБ Мои ИнвестицииТысячи возможностей с инвестиционной платформой №1Реклама Банк ВТБ (ПАО) 0+Новости·Акции Novabev подорожали на фоне отчетности и новостях о дивидендахNovabev Group опубликовала финансовые результаты за девять месяцев. Кроме того компания сообщила что совет директоров на заседании 13 ноября обсудит вопрос дивидендов за девять месяцевНовости·Мосбиржа начнет торги вечным фьючерсом на индекс Мосбиржи с 14 ноябряВечный фьючерс на индекс Мосбиржи будет иметь объем около ₽30 тыс. Расчетная цена нового инструмента определится по значениям индекса Мосбиржи (IMOEX). Торговый код контракта — IMOEXFНовости·Акции Сбербанка подорожали после выхода отчетности за 10 месяцевВ Сбербанке раскрыли финансовые результаты января — октября 2023 года. Чистая прибыль банка за 10 месяцев достигла ₽126 трлн. Акции Сбербанка на выход отчета отреагировали ростомВТБ Мои ИнвестицииТысячи инструментов на платформе размещенийРеклама Банк ВТБ (ПАО) 0+События дня·«Газпром нефть» 8 акций на вечерней сессии индекс Мосбиржи: дайджестМосбиржа расширит список бумаг торгуемых на вечерней сессии. СД «Газпром нефти» рекомендовал дивиденды с доходностью 10%. Индекс Мосбиржи отскочил вверх вслед за ценами на нефть. События которые влияют на рынкиНовости·«Газпром нефть» объявила дивиденды с доходностью около 10%Нефтяная компания «Газпром нефть» объявила промежуточные дивиденды за девять месяцев 2023 года в размере ₽8294 на акцию. Дивидендная доходность такой выплаты составит около 10%Новости·Акционеры Fix Price проголосовали за редомициляцию компании в КазахстанКомпания получит регистрацию на площадке казахстанского Международного финансового центра «Астана». Процесс переезда не завершится ранее второй половины 2024 года сообщили в компанииНовости·ЦБ и СПБ Биржа пока не могут дотянуться до иностранных бумагБанк России и СПБ Биржа будут использовать все фактические и юридические возможности для того чтобы обеспечить возможность возобновления торгов иностранными бумагами на площадкеНовости·Мосбиржа допустила к торгам акции «Южуралзолота» с 22 ноября«Южуралзолото» планирует провести IPO на Мосбирже до конца ноября. С 22 ноября акции золотодобывающей компании будут включены в раздел «второй уровень» списка ценных бумаг допущенных к торгам. Торговый код — UGLDНовости·ЦБ назвал жизнеспособность СПБ Биржи вызовом для ее менеджментаБанк России и СПБ Биржа будут использовать все фактические и юридические возможности для того чтобы обеспечить возобновление торгов иностранными бумагами на площадкеНовости·Совет директоров «ФосАгро» рекомендовал дивиденды в размере ₽291 на акциюВ сентябре акционеры производителя удобрений «ФосАгро» не одобрили рекомендованные советом директоров дивиденды за первое полугодие в размере ₽126 на акциюНовости·Сенатор предложил допустить банки и брокеров к долгосрочным сбережениямСенатор Николай Журавлев предложил допустить в систему ПДС помимо НПФ и других профессиональных участников финансового рынкаПоказать еще</t>
  </si>
  <si>
    <t>quote.ru</t>
  </si>
  <si>
    <t>Курс доллара США на сегодня в банках России</t>
  </si>
  <si>
    <t>Курс доллара на сегодня в банках России и всех обменниках. Выгодный курс покупки и продажи доллара в России, прогноз и динамика курса на завтра.</t>
  </si>
  <si>
    <t>https://myfin.by/currency/usd/russia</t>
  </si>
  <si>
    <t>Myfin.by | Банки Беларуси. Кредиты. Вклады. Курсы валютПриём платежей через смартфонНовостиВсе банкиКриптовалютыЛучшие курсыНБРБ Войти КаталогКурсы валютКурсы валютЗабронировать курсКонвертерКурсы НБРБКурсы ЦБРФТорги БВФБКурсы для больших суммКурсы валют в МосквеgagКурс доллараКурс евроКурс рубляДоллар/РубльЕвро/ДолларКурс злотогоКурс гривныМинскБрестВитебскГомельГродноМогилёвПинскКурсы криптовалютКурс BitcoinКурс EthereumНовостиНовостиКошелекРынкиБанкиЖизньНовости бизнесаБлоги: Компании и экспертыПопулярноеВ Беларуси с 1 января вырастет базовая ставка. Кого ждут изменения?10.11.2023 21:1430159Новый подъем ставок по вкладам в национальной валюте – обзор банковских изменений08.11.2023 15:2919826Можно ли заработать на старых вещах? Посмотрите что продается за бешеные деньги07.11.2023 12:0019115Что делать если не хватает зарплаты? Белорусы рассказали о своих дополнительных доходах09.11.2023 09:0015007«На пике получалось 1100 BYN». Как 14-летний программист зарабатывает на играх для смартфона08.11.2023 10:1014544КредитыПотребительскиеУзнать свой кредитный рейтингКалькуляторОнлайн заявка на кредитРефинансирование кредитовНаличнымиБез справокДля пенсионеровОнлайн-кредитыКредит за 5 минут на MYFINНа                        жилье КалькуляторЛьготныеНа строительство жилья На покупку квартирыИпотекаНа 10 летАвтокредитыКалькуляторБез                                первоначального взноса На новое автоНа подержанное автоДля бизнесаДля малого бизнесаДля юридических лицНа бизнес с нуляДля ИПЗаявка на РКОРасчётно-кассовое обслуживаниеМастер подбора РКОВкладыВ белорусских рубляхОтзывные в                                белорусских рублях Безотзывные в                                белорусских рублях КалькуляторВыгодные в                                белорусских рублях Под высокий процентВ иностранной валютеОтзывные в                                иностранной валюте Безотзывные в иностранной                                валюте В долларахВыгодные в                                иностранной валюте В российских рубляхКартыКредитные                        карты Выгодные картыКарты с овердрафтомКарты без справок о                                доходах Карты с льготным периодом Дебетовые карты  Мастер подбора дебетовых карт Онлайн оформление картыКрасная карта 2.0Карта 100 дней Переводы с карты на карту  Бизнес КаталогEvent                                агентства Бизнес школыГотовый бизнес  Коммерческая недвижимость  Инвестиционные компании Кредитные                                брокеры Лизинговые                                компании  Логистические компании Оффлайн-казино Рекламные                                агентства Страховые                                компании КредитыДля малого бизнесаНа бизнес с нуляДля ИПРасчётно-кассовое обслуживаниеЗаявка на РКОМастер подбора РКОТарифы РКОРКО для ИПТорговый эквайринг Эквайринг в смартфоне Мобильный                                эквайринг mPOS-терминалPOS-терминалАрендаБесплатныйВ рассрочкуБез                                дополнительного оборудования Интернет-эквайрингПлатеж по QR-кодуДля                                    интернет-магазина  Кассовое и терминальное оборудование Для                                магазинов  Онлайн-сервисы Операции с валютойЗабронировать курсОнлайн кредитованиеКредит БелВЭБКрасная карта 2.0Карта 100 днейПереводыПереводы по ХалвеМТБанк: с карты на картуБелВЭБ: с карты на картуАльфа Банк: с карты на картуБелВЭБ: по номеру телефонаПлатежиПлатежи в рассрочку по ХалвеЕРИП Платежи Инвестиции ОблигацииСписок эмитентовКалькулятор облигацийВ иностранной валюте На годБанковскиеКорпоративныеАкцииСШАДрагоценные металлыЗолотоСереброПлатинаКриптовалютыКурс БиткоинаКалькулятор криптовалютКурс ЭфираЕщеОтделения и банкоматыРейтинг банковБанковские терминыКредитный калькуляторКалькулятор автокредитаКалькулятор кредитов на жильеКонвертер валютМобильное приложение Букмекерские                        конторы РБ РассрочкаНовостройкиОнлайн страхованиеФорексРейтинг форекс брокеров Оставайся с Myfin.by  USDНБРБ 3.1775  +0.0011  EURНБРБ 3.3951  +0.004 100 RUBНБРБ 3.4478  -0.0044 10 PLNНБРБ 7.6666  -0.0082 10 CNYНБРБ 4.3545  +0.0053 Bitcoin 36 919.6$  -145.337 Ethereum  2 046.38$  -1.39413 BNB 248.17$  -0.15362 Ripple 0.66$  +0.0091827 Solana 56.24$  +0.383857  Торги на БВФБUSDEURRUB100CNY10 Лучшие курсы Забронировать курсМинскБрестВитебскГомельГродноМогилёв Конвертер по курсу  НБ РБ  на 13.11.2023 BYNUSDEURRUBUAHPLNBYNUSDEURRUBUAHPLN Банки  Кошелек  Новости бизнеса  Рынки  Мнения  Жизнь  Спорт Главное сегодня Минздрав повысил предельные отпускные цены на популярный противоаллергический препарат Министерство здравоохранения Беларуси своим постановлением №168 от 1 ноября увеличило... Вчера 08:59  3512  Чтение: 1 мин.  Названы самые востребованные профессии в Минске. Кто в списке?  Вчера 18:08  5633  Чтение: 2 мин.  Ставки по вкладам в белорусских и российских рублях вновь растут – обзор банковских изменений  Вчера 15:54  5850  Чтение: 4 мин.  Криптовалюты в 2023 году: что влияет на их будущее  Вчера 16:30  Чтение: 4 мин.  Кошелек  В Беларуси с 1 января вырастет базовая ставка. Кого ждут изменения?  Правительством нашей страны принято решение об очередном этапе повышения базовой...  10.11.2023 21:14  30159  Чтение: 1 мин. Разместить рекламу на MyfinКошелекВыплаты и пособия Как получить пособие по уходу за ребенком? Пояснили в Минтруда  В Министерстве труда и социальной защиты Беларуси напомнили когда и куда нужно...  Вчера 19:44  1648  Чтение: 2 мин. Выплаты и пособия До 36 тысяч рублей – топ самых высоких зарплат Минска в 2023 году  В текущем году у некоторых работников Минска номинальная начисленная средняя зарплата...  Вчера 19:31  2315  Чтение: 2 мин. Экономика Беларусь стала лидером в ЕАЭС по росту промышленного производства  Евразийская экономическая комиссия оценила динамику промышленного производства...  Вчера 18:37  892  Чтение: 1 мин. Обзор цен Как в Беларуси поменялись цены на овощи в межсезонье? Рассказали в МАРТ  В МАРТ утверждают что в отечественных магазинах цены на перцы и огурцы в начале...  Вчера 12:31  834  Чтение: 1 мин. БлогиТоп авторовАлександр ПаньковАлександр МудрикАлександр  ВысоцкийНикита  Корнеев​Юрий  ЛихутаВсе авторы Для авто и хобби. Посмотрели сколько стоят гаражи в Минске и какие варианты доступны  В Минске множество гаражных кооперативов и индивидуальных боксов где можно оставлять... 6341Чтение: 3 мин.Компания Domovita4ВКFacebookViberТелеграмTwitterОднокласники Копировать ссылку  За сколько продают квартиры и по какой цене их готовы покупать? Смотрим на данные по сделкам  Национальное кадастровое агентство опубликовало данные по сделкам с жилой недвижимостью... 14665Чтение: 3 мин.Компания Domovita7ВКFacebookViberТелеграмTwitterОднокласники Копировать ссылку  Сколько стоит аренда коттеджа на Новый год — посмотрели на цены и интерьеры  Новый Год и Рождество – праздники которые принято отмечать в кругу близких семьи... 8684Чтение: 4 мин.Компания Domovita10ВКFacebookViberТелеграмTwitterОднокласники Копировать ссылку РынкиТоварно-сырьевые Какой процент отечественной продукции покупают белорусы – рассказал Белстат  По ряду продовольственных товаров спрос покупателей удовлетворяется преимущественно...  Вчера 20:10  538  Чтение: 1 мин.  Белорусская компания попала под усиленный контроль Россельхознадзора  Вчера 19:55  1139  Чтение: 1 мин.  Италия наращивает экспорт кофе. Есть ли поставки в Беларусь?  Вчера 16:48  1466  Чтение: 1 мин.  Курсы валют на 12 ноября 2023: валюты пошли в рост  Вчера 13:10  1320  Чтение: 2 мин.  На сколько вырос биткоин и другие криптовалюты? Смотрим курсы  Вчера 09:00  827  Чтение: 1 мин.  Сколько Беларусь зарабатывает на экспорте сливочного масла  10.11.2023 17:55  4625  Чтение: 2 мин.  Курсы валют на 11 ноября 2023 — доллар снова подорожал  10.11.2023 13:10  14107  Чтение: 2 мин. Больше из рубрикиНедвижимостьКриптовалютыВалютыЦенные бумагиДрагметаллыАналитикаАвто Бесплатное приложение Myfin  Курсы валют и конвертер в мобильном приложении Myfin  Наведите камеру своего телефона на QR-код и установите наше мобильное приложение БанкиОбзоры Какие банки выбирают белорусы – исследование  Исследование проведенное в рамках Премии конкурса БРЕНД ГОДА показало какие белорусские...  10.11.2023 19:33  5286  Чтение: 1 мин. Обзоры Новый пакет РКО и мгновенные платежи в Россию по номеру телефона – обзор банковских изменений  На этот раз в традиционном обзоре не нашлось места привычному перекраиванию отечественными...  10.11.2023 16:51  2245  Чтение: 3 мин. Кредиты и вклады Доля рублевых депозитов продолжает расти но вкладчиков в стране все меньше – статистика Нацбанка  Национальный банк Беларуси представил данные о привлечении срочных банковских...  10.11.2023 12:05  5070  Чтение: 1 мин. Продукты MyfinПотребительские кредитыИпотекаАвтокредитыВкладыКредитные картыДебетовые картыИнвестицииПереводы по ХалвеОнлайн-сервисыЖизньИскусство Про Илона Маска снимут фильм – в кресле режиссера номинант на «Оскар»  Над байопиком о самом богатом человеке современности будет работать хорошо зарекомендовавшая...  Вчера 11:21  707  Чтение: 1 мин.  Погода в Беларуси на 3 дня: умеренно прохладно до +11°С ветрено  10.11.2023 11:20  3316  Чтение: 1 мин.  Новые чартеры «Белавиа» начнут летать из двух областных центров на курорты Египта и Турции  10.11.2023 11:15  10131  Чтение: 1 мин.  Что изменится при использовании семейного капитала на получение медпомощи?  09.11.2023 18:38  1812  Чтение: 1 мин.  Голливудские актеры прекратят забастовку – студии пошли на уступки. Чего удалось добиться?  09.11.2023 11:58  1920  Чтение: 2 мин.  Ушедшее с молотка полотно Пикассо стало вторым по стоимости среди работ художника  09.11.2023 09:18  1834  Чтение: 1 мин.  Открыта продажа билетов на поезда в Россию отправлением с 1 января – смотрим возможные скидки  08.11.2023 10:18  5216  Чтение: 1 мин. Больше из рубрикиИскусствоОтдыхРепортажРазноеИстория успехаЗОЖСкарбонка гісторый Бесплатное приложение Myfin  Курсы валют и конвертер в мобильном приложении Myfin  Наведите камеру своего телефона на QR-код и установите наше мобильное приложение Новости партнеров Лучшие цены на апартаменты в доме «Карибиан».  Старт продаж в квартале «Австралия и Океания»  Спешите: цена от 1040 евро за квадратный метр! Предложение ограничено.    Правовой режим...  09.11.2023 09:31  Чтение: 6 мин.  Дом «Карибиан» в Minsk World. Начало продаж в праздник!  Компания-застройщик комплекса Minsk World поздравляет своих клиентов настоящих и будущих...  07.11.2023 09:00  Чтение: 6 мин.  ТОЛЬКО 4 ДНЯ! СПЕЦИАЛЬНЫЕ цены  в Minsk World  С 3 по 6 ноября включительно застройщик комплекса «Адриатик» и 2 на ряд апартаментов...  02.11.2023 09:37  Чтение: 9 мин.  Крупнейшее событие на рынке цифровых активов - ICO инвестиционных токенов FRETO на онлайн-платформе finstore.by  Российский инвестиционный холдинг «Аталайя» объявил о проведении 1 ноября ICO нового...  01.11.2023 15:29  Чтение: 2 мин. СпортЛегальные букмекеры БеларусиРейтинги Сколько должны платить спортсменам за призовые места – определили в Совмине  Правительство Беларуси приняло постановление №711 от 23 октября которым устанавливается...  24.10.2023 09:33  8197  Чтение: 1 мин. Спецпроект Возвращение Ганчаренко в Борисов. Наш взгляд на матч Betera Fair Play сборной клубов высшей лиги Беларуси с «Уралом»  Виктор Ганчаренко вернулся в Борисов. Но к сожалению для многих белорусских футбольных...  18.10.2023 19:27  8943  Чтение: 5 мин. Рейтинги Самые высокооплачиваемые футболисты 2023 года – список Forbes  Журнал Forbes представил свой ежегодный рейтинг самых высокооплачиваемых футболистов...  13.10.2023 10:54  10746  Чтение: 2 мин. Чемпионаты У футбольной «Барселоны» оказался внушительный долг за трансферы. Могут быть проблемы?  Испанский клуб который уже больше года остается должен десятки миллионов евро...  11.10.2023 15:15  5012  Чтение: 1 мин. ТехнологииSoft &amp; Hardware Leica выпустила первую в мире камеру с технологией защиты подлинности снимков  Немецкий бренд фототехники Leica выпустил новую камеру M11-P которая стала первой в...  01.11.2023 14:44  4093  Чтение: 1 мин. Интересно знать «Яндекс» начнет удалять неактивные аккаунты. Что это значит?  «Яндекс ID» обновил политику вотношении неактивных аккаунтов. Сервис будет удалять...  25.10.2023 21:20  5118  Чтение: 1 мин. Soft &amp; Hardware Пользователи техники Xiaomi в Беларуси и России столкнулись с масштабным сбоем. В чем дело?  В различных регионах России и Беларуси владельцы устройств китайского бренда одновременно...  05.10.2023 09:32  8216  Чтение: 1 мин. Инновации ChatGPT научилась разговаривать и отвечать на сообщения с картинками  Платформа искусственного интеллекта ChatGPT теперь может «видеть слышать и говорить»...  27.09.2023 11:11  5854  Чтение: 2 мин. Новости бизнесаМеждународные компании Мировой рынок онлайн-доставки еды вырос до $1 трлн. Как он будет развиваться в ближайшие годы?  Аналитическая площадка ecommerceDB в своем обзоре демонстрирует основные тенденции...  10.11.2023 14:43  1173  Чтение: 3 мин.  Чистая прибыль «Евроторга» превышает прошлогоднюю. На сколько?  08.11.2023 12:17  6050  Чтение: 1 мин.  Днем – бухгалтер вечером – кукольная фея. Как многодетная мама основала бренд необычных игрушек  03.11.2023 07:00  6485  Чтение: 6 мин.  Товарный знак белорусского производителя табачных изделий конфисковали в Финляндии. Это как?  02.11.2023 11:18  10738  Чтение: 1 мин.  Не работает сайт доставка и часть магазинов «Остров чистоты и вкуса»: что происходит с крупнейшей сетью бытовой химии  02.11.2023 07:00  18663  Чтение: 3 мин.  Сколько стоит проверка на детекторе лжи и к чему это приводит: опыт белоруса  01.11.2023 13:35  15232  Чтение: 5 мин.  Cамый масштабный редизайн упаковки за 13 лет: в Беларуси «переодели» известный бренд  01.11.2023 11:48  10423  Чтение: 1 мин. Читайте в ТеlegramТоварооборот Беларуси и Санкт-Петербурга превысил $22 млрд 20.04.2023 20:48 Новый резидент «Великого камня» будет производить компьютеры и комплектующие 29.03.2023 20:59 В Беларуси прогнозируют рост потребления электроэнергии 23.03.2023 19:16 Промпроизводство в Беларуси снизилось на 18% в январе – феврале 17.03.2023 20:29 МненияНезависимый эксперт Какими будут курсы доллара и евро после длинных выходных. Прогноз по валютам  Как мы и предполагали в предыдущем прогнозе курс доллара США на белорусском валютном... Михаил ГрачевЭксперт фондового рынка финансовый консультант Доллар и евро дешевеют не просто так: почему удалось сдержать рост курсов Вадим ИосубФинансовый аналитик Курс доллара пытаются сдержать евро остается под давлением. Прогноз по валютам Михаил ГрачевЭксперт фондового рынка финансовый консультант Итоги рынка валют: доллар и евро снижаются. Как долго будет доступна дешевая валюта? Вадим ИосубФинансовый аналитик Прогноз по валютам: ждем дешевый доллар в конце октября? Михаил ГрачевЭксперт фондового рынка финансовый консультант Прогноз по валютам: курсу рубля приказали «стоять на месте». Это сработает? Михаил ГрачевЭксперт фондового рынка финансовый консультант Курс доллара поставил рекорд и отступил – это надолго? Итоги рынка валют Вадим ИосубФинансовый аналитикСмотрите на YouTubeКрах карьеры Роналду взлет Месси: яркие моменты самого дорогого спортивного события 2022 годаДенег едва хватает до зарплаты? Вот 3 шага к финансовой свободе Белорусский McDonald’s будет работать под российским брендом «Вкусно – и точка». ПодробностиАфишаКонференция Enterprise Agile RussiaВ Москве 17 ноября пройдет ежегодная конференция об ускорении крупных компаний с помощью фреймворков Enterprise Agility. Что будет на мероприятии и кому оно будет интересно?VIII Всероссийский Форум HR-АНАЛИТИКА17 ноября в Москве MK Group проводит ежегодный форум который собирает самые интересные наработки с рынка как в крупных так и в небольших компаниях. В программе конференции будет собрана успешная практика в области HR-аналитики от компаний которым удалось с помощью анализа данных повлиять на повышение эффективности бизнес-процессов организации.Конференция «Digital Learning 2023: итоги года»Событие состоится в Москве 16 ноября. Эксперты в сфере онлайн-обучения из ведущих компаний обсудят ключевые тренды обучения лучшие кейсы в обучении и инструменты оценки эффективности обучения. Конференция «Повышение эффективности корпоративных бизнес-процессов»14-15 ноября 2023 пройдет 16-я конференция «Повышение эффективности корпоративных бизнес-процессов» в МосквеКак это было В Минске прошла восьмая выставка «Содружество»: вдохновение обучение и новые бизнес-связи  В белорусской столице 5 октября состоялась восьмая выставка-презентация маркетинговых...  13.10.2023 15:50  7836  Чтение: 1 мин.  Об ароматах нейромаркетинге и успешном бизнесе. Как прошла ежегодная встреча AMDG Club  В среду 13 сентября прошла ежегодное закрытое мероприятие AMDG Club для крупнейших...  18.09.2023 14:43  8517  Чтение: 1 мин.  Юристы REVERA law group успешно сопроводили seed раунд инвестиций в Made On Earth Games  Made on Earth Games – это основанная Юрием Красильниковым и Алексеем Ильином молодая гейм...  02.09.2023 15:31  9200  Чтение: 1 мин.  Первый турнир по пляжному волейболу для организаций SportUp  Недавно 13 августа в Минске при поддержке "Спортмастер" "EXPONENTA" "Darida" и др. состоялся...  01.09.2023 08:30  3892  Чтение: 1 мин. Отзывы о банкахВсе отзывы 08.11.2023 18:16  Андрей  г. Минск При заказе справки через личный кабинет требовалось ввести адрес доставки. Несмотря на это выслали на адрес регистрации. Зачем-то опцией указания адреса ввели в... Все отзывы «Приорбанка» 02.10.2023 16:26  Надежда  г. Минск Была в РКЦ 60 на ул. Свислочская 9. Хочу выразить огромную благодарность сотруднику Януш Дарье. За грамотное общение за быстрое и чёткое обслуживание. С таких работников... Все отзывы «МТБанка» 07.09.2023 6:24  Наталья Терещенко  г. Минск отделение 510/522 г. МинскаВыражаю огромную благодарность сотруднику банка Жажковой Наталье за полную и исчерпывающую информацию по всем поставленным вопросам содействие... Все отзывы «Беларусбанка» 15.08.2023 20:52  Елена  г. Орша Хочу выразить благодарность сотрудникам  ОАО "Белгазпромбанка"ЦБУ 202 г. Оршив частности  Ващинниковой Д. за профессионализмтактичный подход к посетителям. Доступнобыстро... Все отзывы «Белгазпромбанка» 27.07.2023 21:28  Сергей  г. Гродно Всё было хорошо в личном кабинете интернет-банкинга в последнее время: информативно удобно быстро. Зачем нужны были изменения? Не хочу критиковать но объективно... Все отзывы «Cбер Банка» 22.05.2023 15:55  Иванна  г. Столин Хочу оставить положительный отзыв о сотрудниках банка.Всегда вежливы и компетентны обслуживают быстро и качественно.Спасибо!Всегда приятно быть вашими клиентами.Успехов... Все отзывы «Белагропромбанка» 07.04.2023 14:48  Оксана  г. Молодечно Добрый день! 04.04.2023 подписала с Белинвестбанком кредитный договор по Указу 240. Хочу выразить огромную благодарность от нашей многодетной семьи экономисту ЦБУ 932 г.Молодечно... Все отзывы «Белинвестбанка»Мобильное приложение Myfin!Курсы валют конвертер кредиты и адреса банков Курсы валют и конвертер в мобильном приложении Myfin  Наведите камеру своего телефона на QR-код и установите наше мобильное приложение  Курсы валют и конвертер в мобильном приложении Myfin  Наведите камеру своего телефона на QR-код и установите наше мобильное приложение  Курсы валют и конвертер в мобильном приложении Myfin  Наведите камеру своего телефона на QR-код и установите наше мобильное приложение  Открыть в AppGallery Популярные банковские продуктыКредитные картыКредиты без справокВыгодные кредитыКредиты на строительствоИпотекаРефинансирование кредитовВклады в иностранной валютеВыгодные вклады в бел. рубляхВклады в долларахПопулярные банкиБеларусбанкБелагропромбанкПриорбанкСбер БанкБелинвестбанкАльфа БанкБанк БелВЭББелгазпромбанкМТБанкБанк ВТБ (Беларусь)Банк ДабрабытБНБ-БанкПаритетбанкТехнобанкБСБ БанкОтделения банковКалькуляторыКредитный калькуляторКалькулятор кредитов на жильеКалькулятор автокредитовКалькулятор криптовалютКалькулятор вкладовПолезноПлатежиОблигацииБанковские терминыРейтинг банковПеревод с карты на картуМастер подбора картМастер подбора кредитовИнформеры курсов валют Оставайся с Myfin.by О проектеРекламаКонтактыПубликацииАвторыО компанииУсловия использованияПолитика конфиденциальностиПубличный договорMyfin.ptMyfin.frMyfin.ukMyfin.esRu.Myfin.byMyfin.usООО "Майфин" УНП 192711843. Содержание сайта не является                    рекомендацией или офертой и носит информационно-справочный характер. © 2012 – 2023 Myfin.by Заявка  К сожалению в данный момент онлайн-заявка на пакет недоступна Вы можете оставить заявку на РКО в «На рефинансирование без поручителей»Подать заявку Отправим заявку в банк. Сотрудник банка свяжется с вами в ближайшее время. Подать заявкуВход или регистрацияВойдите или создайте личный кабинет                    в MYFIN ТелефонВаше имя Продолжить  Нажимая кнопку «Продолжить» вы даёте согласие на обработку персональных данныхВведите код из СМСМы отправили код на номер:ИзменитьКод подтверждения Запросить новый код можно через 00: 30 Запросить новый код Войти Нажимая кнопку «Продолжить» вы даёте согласие на обработку персональных данныхВы зарегистировались!Номер телефона:Продолжить</t>
  </si>
  <si>
    <t>myfin.by</t>
  </si>
  <si>
    <t>Сберометр - курс доллара и евро на завтра</t>
  </si>
  <si>
    <t>Сберометр - инструмент для измерения и сохранения сбережений: советы, текущие курсы валют, курс доллара и евро на завтра, официальные курсы валют ЦБ РФ.</t>
  </si>
  <si>
    <t>https://www.sberometer.ru/</t>
  </si>
  <si>
    <t xml:space="preserve">Сберометр - курс доллара и евро на завтра											Курс доллара и евро сейчас и на завтра									На  USD: EUR: Юань: Нефть (Brent): BTC: Валюта сейчасКурсы ЦБНовостиРейтинг банковвкладовкартФорумИнвестиции в золотоСбереженияКвартираОракулыОнлайн:USDEURЮаньНефтьЗолотоАкцииКриптаКонкурсВойти черезЧто сейчас с валютой: узнай курс раньше обменника            Неофициальный биржевой курс на USD ДолларЕвроЮаньРубльЕвро / ДолларДоллар / ЮаньМосбиржаРТСНефтьЗолотоBitcoinEthereumEUR ДолларЕвроЮаньРубльЕвро / ДолларДоллар / ЮаньМосбиржаРТСНефтьЗолотоBitcoinEthereumЮань ДолларЕвроЮаньРубльЕвро / ДолларДоллар / ЮаньМосбиржаРТСНефтьЗолотоBitcoinEthereumEUR/USD ДолларЕвроЮаньРубльЕвро / ДолларДоллар / ЮаньМосбиржаРТСНефтьЗолотоBitcoinEthereumЕжесекундно: доллар евро нефть золото акции криптовалюты криптаЧто происходит: Налог на сковородку. Россиянам разъяснили когда платить НДФЛ за металлолом  12 Эксперт: От перевода денег с карты на карту лучше отказаться до конца СВО Юрист назвал простые операции которые вызовут подозрение у банка и ФНС Доллар СШАЕвроРубльПоследний официальный курс на С момента определения последнего официального курса на Будет официальный курс на  За последний часСо времени вашего последнего визита на эту страницу ДолларЕвроЮаньРубльЕвро / ДолларДоллар / ЮаньМосбиржаРТСНефтьЗолотоBitcoinEthereum2 годаГодМесяцНеделяДень        * Курс на графике приведен в бивалютных единицах за 1000 руб. (т.е. 1000/бивал. корзина).        Рубль дорожает – график вверх; рубль падает – график вниз.            * Курс на графике - это официальный курс ЦБ РФ    Сообщите мне                на                 когда текущий курс                долларевроюаньевро / доллардоллар / юаньнефтьзолотоbitcoinethereum                выйдет из диапазона                                -                $Отправить                Мы сообщим Вам на  когда:                См. также Уведомления о курсе и новости в браузереЕженедельная рассылкаПолучать самые интересные и комментируемые новости наОКОжидания участников биржиГражданеОрганизациипродажапокупкапродажапокупкапокупкапродажапокупкаПодробнееДанные на конец дня 10.11.2023Новостивалютадраг.металцен.бумагибанкикредитынефтьнедвижказ/п и ценыкомпанииполитикаЧПвот!криптовалютавсе новостивалютадраг.металцен.бумагибанкикредитынефтьнедвижказ/п и ценыкомпанииполитикаЧПвот!криптовалюта ПопулярныеХронологияКомментируемыеПоиск			Обновление через Добавить новость  Доллар сегодня-завтра по мнению валютных оракуловСмотри все новости-прогнозы от ведущих оракулов России и мира.Стань валютным оракуломУгадайте повысится или понизится официальный курс доллара США относительно текущего курса (см. Оракулы).Доллар сейчас:92.27 Р–/$Так как Вы еще не указали email то мы не сможем вас уведомить о результате. Пожалуйста добавьте свой email для отправки оповещений. ОкПрогноз по курсу доллара - получить призРейтинг вкладов и банковРейтинг:вкладовбанковВклад (рублевый)% годовыхНадежный процент                                    МОСКОВСКИЙ КРЕДИТНЫЙ БАНКПерспектива                                    12.5%                                                                    ФК ОТКРЫТИЕПервый (для новых клиентов)                                    11.5%                                                                    ВТБВТБ-вклад (онлайн)                                    11.5%                                Оптимальный процент                                    БАНК "САНКТ-ПЕТЕРБУРГ"Осень                                    11.3%                                                                    ТИНЬКОФФ БАНКСмартВклад                                    11%                                                                    Всероссийский банк развития регионовДоходный онлайн                                    10%                                Максимальный доход                                    ТРАНСКАПИТАЛБАНКПросто вклад                                    12.5%                                                                    АЗИАТСКО-ТИХООКЕАНСКИЙ БАНКВклад                                    11.5%                                                                    АЛЕФ-БАНКОкеан мечты онлайн                                    11.5%                                Рейтинг вкладов подробнейРейтинг по вкладам населенияБанкДоверие населенияРейтинг СберометраСентябрь3 месяца12 месяцев1СБЕРБАНК РОССИИ2ВТБ3ГАЗПРОМБАНК4РОССЕЛЬХОЗБАНК5АЛЬФА-БАНКПоказать все банкиОбсуждаем и комментируем        Обсуждаем все что касается валюты банков финансов экономики сбережений. Не постим: ругательства (тем более нецензурные) политику в отрыве от экономики оффтоп сверх меры (см. все правила форума).        См. готовые ответы на два самых популярных вопроса: стоит ли покупать валюту сейчас и какую именно доллары или евро.    Добавить новостьПро валюту во ВКонтакте (см. также группу ВК)На заметкуЧто такое курс валюты в общем и выгодный курс в частностиКурс рубля: что это и где смотретьАктуальный курс юаня (CNY)Ответ на вопрос хранить сбережения в валюте или рубляхОфициальный курс доллара и текущий прогноз по долларуОфициальный курс евро и текущий  прогноз по евроРоссийский рубль vs. белорусский рубль и украинская гривна.Официальные курсы ЦБ РФ для всех ежедневно котируемых валютКурс доллара в банках Москвы и Санкт-ПетербургаВ какой момент купить валюту: сейчас или подождать? И какую лучше: доллары или евро?Стоит ли продавать валюту сейчас или еще подождать?Что будет с долларом: ответы на самые актуальные вопросыКакой сейчас должен быть курс рубля к доллару исходя из стоимости нефти?Какому банку доверить сбережения: советыЧто будет с ценами на недвижимость?Кредиты в валюте: лучший ли это выбор для частного заемщикаПокупка валюты через брокера какого выбрать?Личный брокер что это такое?На досуге: Как выиграть в рулеткуКак бесплатно перевести деньги с одной карты на другуюRussian ruble (RUB) to USD: current rate and forecastRussian ruble (RUB) to EUR: current and official ratesПримечание    В чем хранить сбережения? Какую валюту и когда лучше покупать: доллары или евро?    Нам часто задают этот вопрос друзья родственники знакомые.    Чтобы ответить всем и каждому мы создали этот сайт. Сберометр – это инструмент для измерения и сохранения сбережений.    Информация о курсах валют советы по купле-продаже валюты и оптимизации сбережений представленные на сайте    носят справочный характер.        Авторы "валютных" советов стараются помочь россиянам разобраться в    сложных финансовых вопросах но не несут ответственности за решения которые пользователи    принимают на основе представленных данных. В то же время эти данные регулярно используют сами авторы    поэтому стараются чтобы они были оперативными и достоверными. Наши советы не помогут вам разбогатеть    но позволят сохранить сбережения!Отключить мобильную версию сайта © Audit-it.ru 2013 - 2023                    Реклама на сайте                        или оставьте свои                        отзывы и предложенияУсловия использования и конфиденциальностьМы в соцсетях:Google playApp StoreAppGalleryRuStore </t>
  </si>
  <si>
    <t>www.sberometer.ru</t>
  </si>
  <si>
    <t>Валюта Usd/Rub</t>
  </si>
  <si>
    <t>Курс Usd/Rub (USDRUB:FOREX) на рынке Forex, курс валюты онлайн, цены в режиме реального времени.</t>
  </si>
  <si>
    <t>https://www.finam.ru/quote/forex/usdrub/</t>
  </si>
  <si>
    <t>Купить доллар сша (USDRUB) 💵 по биржевому курсу</t>
  </si>
  <si>
    <t>Покупка и продажа доллара США физическим лицам онлайн. Курс доллара США в реальном времени, графики динамики котировок, новости и обсуждение валют в ...</t>
  </si>
  <si>
    <t>https://www.tinkoff.ru/invest/currencies/USDRUB/</t>
  </si>
  <si>
    <t>ЦБ повысил курс доллара на 11-13 ноября до 92,05 рубля</t>
  </si>
  <si>
    <t>15 часов назад —</t>
  </si>
  <si>
    <t>https://tass.ru/ekonomika/19254905</t>
  </si>
  <si>
    <t>Доллар/рубль</t>
  </si>
  <si>
    <t>... курсов иностранной валюты одной страны, выраженных в денежной единице другой страны, как они определены в "Методике расчета фиксингов Московской Биржи ...</t>
  </si>
  <si>
    <t>https://www.moex.com/ru/issue/USD000UTSTOM/CETS</t>
  </si>
  <si>
    <t>Курс доллара на 11.11.2023 в Украине - Минфин</t>
  </si>
  <si>
    <t>Здесь вы можете узнать средний наличный курс доллара к гривне, коммерческий курс доллара по всем крупным банкам страны, курс доллара Нацбанка Украины, а также ...</t>
  </si>
  <si>
    <t>https://minfin.com.ua/currency/usd/</t>
  </si>
  <si>
    <t>Мінфін - все про фінанси: новини курси валют банкиМінфін - Курси валют УкраїниВстановити%Бонус від МінфінуВалютаМіжбанкКурси в банкахВалютний аукціонНБУМобільний додатокКонвертерФорумКурси по APIДля договорівVisa/MastercardФорексКурси для сайтівПрогноз курсуДепозитиБонус до депозитівПідтвердження депозитуОгляд ставокПитання та відповідіУмови акціїПромокодПереможці акціїІсторії учасниківКредитиКредити онлайнКарткиІпотекаРейтинг МФОМікрофінансові організаціїБанкиІнтернет-банкиНародний рейтингРейтинг стійкостіРенкінг НБУВідгукиАкціїРахунки для бізнесуКонтакти банківСтрахуванняКАСКОРейтинг КАСКООСЦПВРейтинг ОСЦПВМедицинаТуризмВідгукиСтрахові компаніїАкціїІнвестиціїКаталог брокерівІнвестиційні пропозиціїАкадеміяКриптовалютаКаталог криптобіржІндексиЦіни на АЗСІндекс інфляціїМінімальна зарплатаСередня зарплатаПрожитковий мінімумВВП УкраїниПДФОКомунальні тарифиЕщеВалютаВалютаМіжбанкКурси в банкахВалютний аукціонНБУМобільний додатокКонвертерФорумКурси по APIДля договорівVisa/MastercardФорексКурси для сайтівПрогноз курсуДепозитиДепозитиБонус до депозитівПідтвердження депозитуОгляд ставокПитання та відповідіУмови акціїПромокодПереможці акціїІсторії учасниківКредитиКредитиКредити онлайнКарткиІпотекаРейтинг МФОМікрофінансові організаціїБанкиБанкиІнтернет-банкиНародний рейтингРейтинг стійкостіРенкінг НБУВідгукиАкціїРахунки для бізнесуКонтакти банківСтрахуванняСтрахуванняКАСКОРейтинг КАСКООСЦПВРейтинг ОСЦПВМедицинаТуризмВідгукиСтрахові компаніїАкціїНерухомістьНерухомістьРейтинг забудовниківРейтинг забудовників передмістяНовини нерухомостіЗабудовникиАкції забудовниківТелекомТелекомТарифы КиевстарМТСVodafoneЛайфселлОбзоры телефоновІнвестиціїІнвестиціїКаталог брокерівІнвестиційні пропозиціїАкадеміяКриптовалютаКриптовалютаКаталог криптобіржІндексиІндексиЦіни на АЗСІндекс інфляціїМінімальна зарплатаСередня зарплатаПрожитковий мінімумВВП УкраїниПДФОКомунальні тарифиБонус від МінфінуБонус від МінфінуСпецпроектиСпецпроектиРекламні лонгрідиВалютаВалютаМіжбанкКурси в банкахВалютний аукціонНБУМобільний додатокКонвертерФорумКурси по APIДля договорівVisa/MastercardФорексКурси для сайтівПрогноз курсуДепозитиДепозитиБонус до депозитівПідтвердження депозитуОгляд ставокПитання та відповідіУмови акціїПромокодПереможці акціїІсторії учасниківКредитиКредитиКредити онлайнКарткиІпотекаРейтинг МФОМікрофінансові організаціїБанкиБанкиІнтернет-банкиНародний рейтингРейтинг стійкостіРенкінг НБУВідгукиАкціїРахунки для бізнесуКонтакти банківСтрахуванняСтрахуванняКАСКОРейтинг КАСКООСЦПВРейтинг ОСЦПВМедицинаТуризмВідгукиСтрахові компаніїАкціїІнвестиціїІнвестиціїКаталог брокерівІнвестиційні пропозиціїАкадеміяКриптовалютаКриптовалютаКаталог криптобіржІндексиІндексиЦіни на АЗСІндекс інфляціїМінімальна зарплатаСередня зарплатаПрожитковий мінімумВВП УкраїниПДФОКомунальні тарифиВхідРеєстраціяПОШУК ПО САЙТУПошукUSDМІЖБАНК USD361250+005ПОКУПКА/361450+005ПРОДАЖГОТІВКОВИЙ (ЧОРНИЙ) РИНОК USD3765-001ПОКУПКА/3775000ПРОДАЖBITCOIN36925.00 $-41.58/1328503.00 грн-1468.31НОВИНИ ГОЛОВНІ ФІНАНСОВІ НОВИНИ8:00​​Україна та МВФ досягли домовленості на рівні експертів щодо пакету на $156 млрд15:34За неповний 2023 рік кількість скарг людей на фінмон банків зросла на 128% порівняно з минулим роком — НБУНОВИНИ16:29Біржа Poloniex втратила $63 мільйона внаслідок злому15:11У жовтні споживча інфляція впала до 53%. Як змінилися ціни14:22Прибутки американських компаній досягнуть найбільшого квартального зростання за рік — Reuters13:14Банк розвитку Ради Європи може долучитись до іпотечного кредитування в Україні12:06Банки продовжують знижувати ставки за депозитами11:21Канада запровадила санкції проти російських пропагандистів10:14Уряд збільшив фінансування грантових програм для переробних підприємств9:10НБУ зменшив строки повернення валюти для агроекспортерів20:02Головне за тиждень: Держбюджет-2024 блокування карток та фінмоніторинг19:14Дефіцит зовнішньої торгівлі товарами вже вдвічі перевищив торішнійВСІ НОВИНИ10 листопада1валютаЦінники обмінників знижуються: чому та на який курс очікувати цими вихіднимиЩо зараз рухає курс на українському міжбанку та готівковому ринкуекономікаЧи виправдана девальвація гривні в даний часДЕРЖАВАЧому не перезавантажують БЕБ митну та податкову службиЕНЕРГЕТИКАЧи буде в Україні паливо після блокування польського кордону10 листопада23народний рейтинг банківБлокування карток і не тільки: що радять банки власникам «мертвих» рахунків і тим хто виїжджає за кордонНа які проблеми скаржились клієнти банків та як фінустанови їх вирішувалиРЕГУЛЮВАННЯСкільки можна заробити на легальній коноплі в УкраїнінерухомістьКотеджі REIT апартаменти: скільки можна заробити на нерухомості та де купуватиВалютний аукціонДолар3765/ 3775 грнДетальнішеДепозитиГлобусАкция: до +025% от Минфинадо 165%Банк Кредит ДніпроАкция: до +1% от Минфинадо 16.5%Піреус БанкАкция: до + 175% от Минфинадо 17%Кредитвест БанкАкция: до + 1% от Минфинадо 17%КредитиІдея БанкКредиты наличными32.99% РВС БанкКредиты наличными18%Прокредит БанкКредиты наличными29%Райффайзен БанкКредиты наличными299%Кредитні карткиПУМБCash-back до 500%до 200 000 грнСенс БанкCash-back до 10%до 30 000 грнmonobankCash-back до 20%до 100 000 грнАбанкCash-back до 20%до 200 000 грнДетальнішеВсі депозитиВсі кредитиВсі кредитні картиСпецпроектиБізнес«Плекаємо своє»: проєкт підтримки бізнесу з загальним фондом 1000000 грнБонуси для читачівІнвестиційні пропозиціїСodeChange.ccКриптообмінники та безпека: що потрібно знатиТвоє колоРинок землі в Україні: стабільність попри війнуUNITY-BARSНадійні та швидкі. Як війна гартує український фінтех-ринокВсі спецпроекти9 листопада2фінансиОВДП у гривні: як змінюватиметься їхня дохідність та чи варто побоюватися дефолту за нимиЯк дохідність за депозитами впливає на ставки за гривневими ОВДПінвестиціїГотельний бізнес чи земля: куди готові інвестувати українціГРОШІГроші дорожчають вперше за 30 років: як це позначиться на вкладниках та інвесторахАктуальноТОП-5 криптокарток для виведення USDT у 2024 році9 листопада24інвестиціїСкільки потрібно грошей щоб комфортно почуватись на пенсії та де їх узятиМожливі варіанти інвестицій які дозволяють зібрати на пенсію людям різного вікуінвестиціїНе слухати прогнози ФРС і купувати акції на все життя: 4 золотих правила БаффетасанкціїДилема Nestle: компанії що працюють в рф та інвестують в Україну — що з цим робитидержрегулюванняКоли на прожитковий мінімум можна буде прожити і як це змінить соцвиплати8 листопададепозитиЗаробітки на депозитах масово переглядаються: 4 великі банки які підвищили ставкиАктуальні пропозиції для приватних клієнтів від банків із депозитним портфелем від 2 млрд грнЕнергетикаЄС на повний хід закачує газ до України: чому Європа хоче зберігати паливо у насінвестиціїДержборг у 165 українських економік: кому винні США і хто скуповує їх боргиАктуальноЗемля чи нерухомість: куди готові інвестувати українці8 листопада39держрегулюванняБізнес без реєстрації ФОП: що насправді ховається за цією пропозицією державиРозбираємо законопроєкт який дозволяє представникам сфери послуг перейти на новий спецрежим оподаткуваннянерухомістьОдеса та Харків наздоганяють Київ: у яких містах України найбільше купують житлоНЕРУХОМістьЧому Ощад призупинив «Доступну іпотеку 7%» але не закриває її назавждиДУМКАЧи здатні США допомагати Україні — пояснює нобелівський лауреат7 листопадапортфель "мінфіну"Наступного року золото очікує шалене зростання: як цим прогнозом скористався «Мінфін»Продовжуємо формувати свій агресивний портфель акцій і розповідаємо як змінилася його вартість за останні декілька тижнівяк заробити на ОВДПЖовтень на ринку ОВДП: топ-5 найпопулярніших випусків у приватних інвесторівАктуальноІнвестиції в житло преміум-класу: як знайти ЖК квартири в якому дорожчатимуть7 листопада16фінансиФінмоніторинг став жорсткішим: за що банки насправді блокують рахунки і що з цим робитиПрацюючий алгоритм дій який збільшить шанс знову отримати доступ до своїх грошейдумкаЧому Україні невигідно розвивати своє виробництво та що з цим робитифінансиНБУ хоче зробити заробіток на гривневих депозитах вищим ніж на купівлі доларівАктуальноОлександр Кацуба: Чи потрібен країні Нафтогаз6 листопадафондовий ринокМинулого тижня ринки відгуляли вечірку: чому цього тижня вже буде невеселоНайкращі та найгірші компанії минулого тижня на фондовому ринку СШАгеополітикаМи маємо бути готовими до зменшення чи навіть зупинки допомоги США: чим її замінитидумкаСтати підрядником і ще 5 способів долучитися до відновлення країниАктуальноДев’ять ознак того що ви обрали правильний криптообмінникЧитати більше новинПошукПовідомити про помилкуПовідомити про помилкуПомилка в текстіЩось не працюєІдея побажанняЗаповніть всі обов`язкові поля!Повідомлення:Введіть E-mail щоб отримати відповідь:Завантажити скрін сторінки з помилкою:Завантажити файлВідправитиДякую! Повідомлення про помилку успішно надіслано. Ми все прочитаємо і виправимо.Приєднуйтесь до нас в соц. мережах:TrustpilotДодаток «Мінфін Валюта»Доступно в Доступно в ФінансиКурс валютКурс долараКурс євроКурс НБУБанківські карткиІнвестиційні брокериМіжбанкДепозитиТарифи на газКонвертер валютКредит онлайнНародний рейтинг банківПопулярні банкиПриватбанкВся інформація про ПриватбанкКурс валют в ПриватбанкуВідгуки про ПриватбанкКредити ПриватбанкуДепозити ПриватбанкуВідділення ПриватбанкуУкрсиббанкВся інформація про УкрсиббанкКурс валют в УкрсиббанкуВідгуки про УкрсиббанкКредити УкрсиббанкуДепозити УкрсиббанкуВідділення УкрсиббанкуОщадбанкВся інформація про ОщадбанкКурс валют в ОщадбанкуВідгуки про ОщадбанкКредити ОщадбанкуДепозити ОщадбанкуВідділення ОщадбанкуСенс БанкВся інформація про Сенс-БанкКурс валют в Сенс-БанкуВідгуки про Сенс-БанкКредити Сенс-БанкуДепозити Сенс-БанкуВідділення Сенс-БанкуПУМБВся інформація про ПУМБКурс валют в ПУМБВідгуки про ПУМБКредити ПУМБДепозити ПУМБВідділення ПУМБУкргазбанкВся інформація про УкргазбанкКурс валют в УкргазбанкуВідгуки про УкргазбанкВідділення УкргазбанкуРайффайзен БанкВся інформація про Райффайзен БанкКурс валют в Райффайзен БанкуВідгуки про Райффайзен БанкКредити Райффайзен БанкуДепозити Райффайзен БанкуВідділення Райффайзен БанкуОТП банкВся інформація про ОТП БанкКурс валют в ОТП БанкуВідгуки про ОТП БанкВідділення ОТП БанкуmonobankВся інформація про monobankВідгуки про monobankДепозити monobankВідділення monobankВалютний аукціонОбмін валютКурс валют в обмінникахКурс валют на чорному ринкуКупити доларКупити євроКупити злотийКурси по містахКурс валют в КиєвіКурс валют в ХарковіКурс валют в ОдесіКурс валют в ЛьвовіКурс валют в Івано-ФранківськуКурс валют в ЛуцькуКурс валют в ДніпріКурс валют в ПолтавіКурс валют в ТернополіКурс валют в УжгородіКурс валют в ЗапоріжжіКурс валют в РівномуКорисні сторінкиВалютний форумІндекс інфляціїРейтинг забудовниківДепозитний калькуляторКредит готівкоюМінімальна зарплатаЩо дає реєстрація?API курсів валютКарта сайтуПро Minfin.com.uaПро компаніюКонтактиРедакціяКар'єраЕкспертиПравила користуванняПолітика конфіденційностіРекламаРедакційна політикаНовини та статтіНовини фінансівПублікації про валютуПублікації про депозитиПублікації про інвестиціїПублікації про кредитиПублікації про криптовалютиПублікації про нерухомістьПублікації про страхуванняСтатті© 2008-2023 ТОВ "МiнфiнМедiа". Код ЕГРПОУ: 35506859 Копіювання і розміщення матеріалів на інших сайтах дозволяється тільки з гіперпосиланням виду: www.minfin.com.ua Інформація на даній сторінці не є рекламою банківських послуг. Верифіковану банком інформацію про продукти та послуги можна подивитись на офіційному сайті відповідного банку. Телефон: (044) 392-47-40 Дзвінок в межах території України з усіх номерів операторів мобільного та міського зв'язку за тарифами операторів Графік роботи: понеділок - п'ятниця з 09:00 до 18:00 Юридична адреса: Україна Київ Вадима Гетьмана 1-Б 3 поверх</t>
  </si>
  <si>
    <t>minfin.com.ua</t>
  </si>
  <si>
    <t>Курсы доллара США и евро, установленные Банком России</t>
  </si>
  <si>
    <t>Курсы доллара США и евро, установленные Банком России. * Официальный курс доллара США приведен по информации, размещенной на сервере ЦБР в Интернете (по ...</t>
  </si>
  <si>
    <t>https://base.garant.ru/555501/</t>
  </si>
  <si>
    <t>Среднегодовые обменные курсы валют</t>
  </si>
  <si>
    <t>Перевод иностранной валюты в доллары США. Вы должны указывать суммы, которые вы сообщаете в своей налоговой декларации США, в долларах США.</t>
  </si>
  <si>
    <t>https://www.irs.gov/ru/individuals/international-taxpayers/yearly-average-currency-exchange-rates</t>
  </si>
  <si>
    <t>Internal Revenue Service | An official website of the United States government      Skip to main content    Home PageAn official website of the United States Government      English      Español中文 (简体)中文 (繁體)한국어РусскийTiếng ViệtKreyòl ayisyenInformation MenuHelpNewsCharities &amp; NonprofitsTax Pros                    Search                    Toggle searchSearchInclude Historical Content- Any -NoInclude Historical Content- Any -NoSearch Help Menu MobileHelp                    Menu                    Toggle menu Main navigation mobileFileOverviewINFORMATION FOR…IndividualsBusiness &amp; Self EmployedCharities and NonprofitsInternational TaxpayersFederal State and Local GovernmentsIndian Tribal GovernmentsTax Exempt BondsFILING FOR INDIVIDUALSWho Should FileHow to FileWhen to FileWhere to FileUpdate My InformationPOPULARGet Your Tax RecordApply for an Employer ID Number (EIN)Check Your Amended Return StatusGet an Identity Protection PIN (IP PIN)File Your Taxes for FreePayOverviewPAY BYBank Account (Direct Pay)Debit or Credit CardPayment Plan (Installment Agreement)Electronic Federal Tax Payment System (EFTPS)POPULARYour Online AccountTax Withholding EstimatorEstimated TaxesPenaltiesRefundsOverviewWhere's My RefundWhat to ExpectDirect DepositReduced RefundsFix/Correct a ReturnCredits &amp; DeductionsOverviewINFORMATION FOR...Individuals            For you and your family          Businesses &amp; Self-Employed            Standard mileage and other information          POPULAREarned Income Credit (EITC)Advance Child Tax CreditStandard DeductionHealth CoverageRetirement PlansForms &amp; InstructionsOverviewPOPULAR FORMS &amp; INSTRUCTIONSForm 1040            Individual Tax Return          Form 1040 Instructions            Instructions for Form 1040           Form W-9            Request for Taxpayer Identification Number (TIN) and Certification          Form 4506-T            Request for Transcript of Tax Return          Form W-4            Employee's Withholding Certificate          Form 941            Employer's Quarterly Federal Tax Return          Form W-2            Employers engaged in a trade or business who pay compensation          Form 9465            Installment Agreement Request          POPULAR FOR TAX PROSForm 1040-X            Amend/Fix Return          Form 2848            Apply for Power of Attorney          Form W-7            Apply for an ITIN          Circular 230            Rules Governing Practice before IRS          SearchInclude Historical Content- Any -NoInclude Historical Content- Any -NoSearchInformation MenuHelpNewsCharities &amp; NonprofitsTax ProsFileOverviewINFORMATION FOR…IndividualsBusiness &amp; Self EmployedCharities and NonprofitsInternational TaxpayersFederal State and Local GovernmentsIndian Tribal GovernmentsTax Exempt BondsFILING FOR INDIVIDUALSWho Should FileHow to FileWhen to FileWhere to FileUpdate My InformationPOPULARGet Your Tax RecordApply for an Employer ID Number (EIN)Check Your Amended Return StatusGet an Identity Protection PIN (IP PIN)File Your Taxes for FreePayOverviewPAY BYBank Account (Direct Pay)Debit or Credit CardPayment Plan (Installment Agreement)Electronic Federal Tax Payment System (EFTPS)POPULARYour Online AccountTax Withholding EstimatorEstimated TaxesPenaltiesRefundsOverviewWhere's My RefundWhat to ExpectDirect DepositReduced RefundsFix/Correct a ReturnCredits &amp; DeductionsOverviewINFORMATION FOR...IndividualsBusinesses &amp; Self-EmployedPOPULAREarned Income Credit (EITC)Advance Child Tax CreditStandard DeductionHealth CoverageRetirement PlansForms &amp; InstructionsOverviewPOPULAR FORMS &amp; INSTRUCTIONSForm 1040Form 1040 InstructionsForm W-9Form 4506-TForm W-4Form 941Form W-2Form 9465POPULAR FOR TAX PROSForm 1040-XForm 2848Form W-7Circular 230Main navigation mobileFileOverviewINFORMATION FOR…IndividualsBusiness &amp; Self EmployedCharities and NonprofitsInternational TaxpayersFederal State and Local GovernmentsIndian Tribal GovernmentsTax Exempt BondsFILING FOR INDIVIDUALSWho Should FileHow to FileWhen to FileWhere to FileUpdate My InformationPOPULARGet Your Tax RecordApply for an Employer ID Number (EIN)Check Your Amended Return StatusGet an Identity Protection PIN (IP PIN)File Your Taxes for FreePayOverviewPAY BYBank Account (Direct Pay)Debit or Credit CardPayment Plan (Installment Agreement)Electronic Federal Tax Payment System (EFTPS)POPULARYour Online AccountTax Withholding EstimatorEstimated TaxesPenaltiesRefundsOverviewWhere's My RefundWhat to ExpectDirect DepositReduced RefundsFix/Correct a ReturnCredits &amp; DeductionsOverviewINFORMATION FOR...Individuals            For you and your family          Businesses &amp; Self-Employed            Standard mileage and other information          POPULAREarned Income Credit (EITC)Advance Child Tax CreditStandard DeductionHealth CoverageRetirement PlansForms &amp; InstructionsOverviewPOPULAR FORMS &amp; INSTRUCTIONSForm 1040            Individual Tax Return          Form 1040 Instructions            Instructions for Form 1040           Form W-9            Request for Taxpayer Identification Number (TIN) and Certification          Form 4506-T            Request for Transcript of Tax Return          Form W-4            Employee's Withholding Certificate          Form 941            Employer's Quarterly Federal Tax Return          Form W-2            Employers engaged in a trade or business who pay compensation          Form 9465            Installment Agreement Request          POPULAR FOR TAX PROSForm 1040-X            Amend/Fix Return          Form 2848            Apply for Power of Attorney          Form W-7            Apply for an ITIN          Circular 230            Rules Governing Practice before IRS          Main navigationFilePayRefundsCredits &amp; DeductionsForms &amp; InstructionsInfo Menu MobileHelpNewsCharities &amp; NonprofitsTax Pros            Helping people understand and meet their tax responsibilities           How can we help you? Get your tax record       Sign in to your Account       Get your refund status       Make a payment       Check your federal tax withholding       Apply for an Employer ID Number (EIN)       Get answers to your tax questions       Check your amended return status       Find forms &amp; instructions      Tools &amp; ApplicationsYour Online AccountView your tax records adjusted gross income and estimated tax payments.Go to your accountDocument Upload ToolUpload documents in response to an IRS notice or letter.Submit requested filesWhere's My Refund?Find the status of your last return and check on your refund.Check your refund statusPay Directly From Your Bank AccountUse Direct Pay to securely pay your taxes from your checking or savings account.Pay your taxesGet Your Tax RecordsRequest your transcripts online or by mail.Get your transcriptIdentity Protection PIN (IP PIN)Protect yourself from tax-related identity theft.Register for your IP PINTax Withholding EstimatorMake sure you have the right amount of tax withheld from your paycheck.Check your withholdingInformation Returns Intake System (IRIS)Free electronic filing online portal to file Form 1099 series information returns.Submit your formsIRS2Go Mobile AppCheck your refund status make a payment get free tax help and more.Download the IRS2Go appTaxpayer Assistance Center LocatorFind your local office and see what services are available.Contact your local IRS OfficeNews &amp; AnnouncementsInflation Reduction Act Strategic Operating PlanSee how the IRS will deliver transformational changeRead the PlanClean energy credits and deductionsUpdates on credits and deductions under the Inflation Reduction ActFind out moreA Closer LookNew: IRS is improving the taxpayer experienceFind out howEmployee Retention CreditIRS is working on solutions for scam victimsGet the latest updatesIRS ends most unannounced home visitsIRS ends most unscheduled visits to taxpayers to end confusion and increase safetyLearn moreTax Updates and NewsSpecial updates and news for 2023Read the latest developmentsIRS operations statusCheck our current processing times for returns refunds and other services.Get the latest updatesPreparing for DisastersWhen disaster strikes you want to be prepared. Safeguard important documents in case of an emergency.IRS on TwitterFollow @IRSnews on Twitter for the latest news and announcements.Read the latest IRS tweetsFooter NavigationOur Agency About IRSCareersOperations and BudgetTax StatisticsHelpFind a Local OfficeKnow Your Rights Taxpayer Bill of RightsTaxpayer Advocate ServiceIndependent Office of AppealsCivil Rights FOIANo FEAR Act DataResolve an Issue IRS Notices and LettersIdentity TheftPhishingTax FraudCriminal InvestigationWhistleblower OfficeLanguages Español中文 (简体)中文 (繁體)한국어PусскийTiếng ViệtKreyòl ayisyenEnglishOther LanguagesRelated Sites U.S. TreasuryTreasury Inspector General for Tax AdministrationUSA.govUSAspending.gov     SubfooterPrivacy PolicyAccessibility</t>
  </si>
  <si>
    <t>www.irs.gov</t>
  </si>
  <si>
    <t>Банк России: Центральный банк Российской Федерации</t>
  </si>
  <si>
    <t>08.11.2023 - 09.11.2023. ср, 08.11, 98,7863 ₽, -0,2248 ₽. чт, 09.11, 98,4403 ₽, -0,3460 ₽. Официальный курс Банка России. Все показатели. Подписка. Новости ...</t>
  </si>
  <si>
    <t>https://www.cbr.ru/</t>
  </si>
  <si>
    <t>майл</t>
  </si>
  <si>
    <t>Mail.ru: почта, поиск, новости, прогноз погоды, гороскоп ...</t>
  </si>
  <si>
    <t>https://mail.ru/</t>
  </si>
  <si>
    <t>Mail.ru: почта поиск в интернете новости игрыMail.ruПочтаМой МирОдноклассникиВКонтактеИгрыЗнакомстваНовостиПоискОблакоVK ComboВсе проектыВсе проектывыходРегистрацияВходПочтавыход0  ВходящиеНаписать письмоРегистрация нового ящикаНеверное имя или пароль@mail.ru@inbox.ru@list.ru@bk.ru@xmail.ru@internet.ru имя ящикапароль запомнитьЗабыли пароль?Регистрация в почтес современным календаремAНовостиСпортАвтоКиноЛедиИгрыHi-TechВС РФ уничтожили четыре минометных расчета ВСУ под КупянскомВ общей сложности противник потерял до 50 военнослужащих за сутки на данном направлении заявил начальник пресс-центра группировки «Запад» Сергей ЗыбинскийСамолет США потерпел крушение в Средиземном мореСМИ: полковник ВСУ в 2020 году заманил ЧВК «Вагнер» в БелоруссиюВ Токио завили о самой серьезной угрозе со времен Второй мировойРоссийский десантник сразится за титул UFC в тяжелом весеКурс доллара. Прогноз на 13-17 ноябряКак нужно сидеть для правильного измерения давленияАэропорт Внуково вводил ограничения на прием и вылет самолетовРоссия нанесла авиаудары по объектам боевиков в СирииИзраиль нанес авиаудары по объектам в СирииСпортРоссияне — в «группе смерти»: стартует Итоговый турнир ATPАвтоКакие штрафы за нарушение ПДД в БелоруссииКиноЗвезда «Аншлага» объяснила почему не уезжает из РоссииЭнн-Арбор   Погода0 ночью +2завтра +10Курс ЦБ c 11.11$92.05+0.13€98.32−0.09ГороскопыТелец — день будет неплохим но избежать мелких недоразумений едва ли удастся. С трудностями могут…ТВ программаНефть82.71+0.95Начните делать добрые дела!Mail.RuО компанииРекламаВакансииМобильные приложенияОбратная связьПомощь«Краснодар» закончил первый круг РПЛ на первом местеСАНКТ-ПЕТЕРБУРГ 11 ноября. /ТАСС/. «Краснодар» и петербургский «Зенит» сыграли вничью со счетом 1:1 в матче 15-го тура Мир — Российской премьер-лиги (РПЛ). Встреча прошла на «Газпром-Арене» в Санкт-Петербурге в присутствии 46 701 зрителя.Новый провал «Ак Барса» и другие итоги субботы в КХЛЧемпиона Bellator Нурмагомедова дисквалифицировали за допингАрсен Захарян вышел в старте на матч Ла Лиги и сделал результатМатч «Спартака» и «Ростова» завершит первый круг РПЛРоссияне — в «группе смерти»: стартует Итоговый турнир ATPСразу трое россиян сделали голевые передачи в одном матче НХЛ«Лучший матч ЧР»: Василий Уткин — об игре «Зенит» - «Краснодар»Матч чемпионата Бразилии остановлен из-за массовой драки фанатовХабиб Нурмагомедов раскритиковал США за поддержку ИзраиляНа игру «Рейнджерс» пришли жена и сын Артемия Панарина: фотоСын Кокорина забил пять голов в первом матче за академию «Ариса»Алина Загитова опубликовала видео из университетаКакие штрафы за нарушение ПДД в БелоруссииРоссия ратифицировала соглашение о сотрудничестве с Республикой Беларусь: российские водители ответят за нарушение ПДД по законам РБ но по российскому курсу.Nissan GT-R R35 для дрифта: злой и очень крутойПолиция Вашингтона просит найти автомобиль который у нее угналиКак оспорить штраф за прогрев двигателяЭксперты рассказали из каких стран в Россию едут туристыПять самых распространенных способов обмана в автосервисеКак не нарваться на штраф во двореКак проверить кондиционер перед покупкой машиныToyota опубликовала еще одно фото модели Camry нового поколения20 доказательств гениальности создателей OldsmobileАвтоликбез: чем именно отличается страховка ОСАГО от каскоЧто будет если вообще не менять масло в двигателеКакие водительские права перестанут действовать в РФ в 2024 годуБрэд Питт вышел в свет с новой возлюбленнойPeople: актера заметили на мероприятии с новой возлюбленной Инес де РамонСМИ узнали гонорар и райдер Валерия МеладзеСергей Безруков считает что детей необходимо воспитывать с помощью искусстваМилохин оценил свое решение уехать из РоссииГарик Сукачев признался в тоске по Михаилу Ефремову«Елки» возвращаются актеры прекращают бастовать: новости неделиКристина Асмус рассказала о трудных съемках после перелома ногиВыход фильма «Муфаса: Король лев» перенесен на декабрь 2024 годаПо горячим следам: 10 новых интригующих российских детективных сериаловДаррен Аронофски снимет фильм про Илона МаскаФиналист «Фабрики звезд» рассказал о «блате» на проектеНазваны гонорары российских звезд за выступления в новогоднюю ночьАртур Сопельник: «Мне говорили: “Ты — кадет”. Хорошо но я же еще и актер»Маникюр хромбре: что это значит и как он стал популярнымСоединение двух значительных трендов 2023 годаКрестница показала честное фото Аллы Пугачевой на КипреИрина Шейк описала жизнь в России словами «я ненавидела быть девочкой»Тимур Родригез вышел в свет со звездой сериала «Клуб» Екатериной КабакРедкий выход: Иван Янковский и Диана Пожарская блистали на светском вечереБоярская и Матвеев Пегова и другие звезды на 125-летии МХТ12 стильных идей маникюра от мастера Адель Кайли Дженнер и Хейли БиберПолина Гагарина перестала скрывать своего возлюбленногоЕкатерина Варнава впервые за долгое время высказалась о личной жизни3 стильных приема из 10-х которые снова в модеВ Call of Duty: Warzone 2.0 появится новая карта «Остров Ашика»Локация «Остров Ашика» выйдет со стартом второго сезонаВ Overwatch 2 появится мифический кастомизируемый образ для КирикоSony отгрузила 32 млн PS5 — это меньше чем было у PS4 за тот же периодAtomic Heart Hogwarts Legacy и Returnal: во что поиграть в февралеВышел новый геймплейный трейлер Wanted: Dead — его посвятили противникамНа видео сравнили производительность Cyberpunk 2077 до и после патчаRockstar выпустила «анти-хакерское» обновление для GTA OnlineКосплей с Bubble Comics Con 2023Геймер показал Fallout: New Vegas на движке Far Cry 5Sony объявила о скором закрытии PS Plus CollectionСМИ: EA отменила неанонсированную одиночную игру по TitanfallВ феврале в PS Plus раздадут Destiny 2: Beyond Light и ремейк MafiaЛегендарный игрок NAVI по Dota 2 рассказал как справиться с поражениямиРаскрыт секрет британских «прыгающих бомбах» во Второй мировойИ к чему это привелоНазван самый популярный пароль 2023 года: не пользуйтесь имСамые дешевые Apple Watch еще скинули в цене: где купитьМодели Balenciaga из разных миров захватывают интернет5 мая пройдет лунное затмение: как посмотретьНовый Redmi Note — смартфон с экраном флагмана и доступной ценойМногоэтажные и с колесами: в сети показали дома будущегоГде знакомиться россиянам после ухода «Тиндера»В России выпустили микрофоны размером с горошину (фото)Умный браслет Xiaomi за 3 тысячи рублей удивил журналистовПосмотрите на единственный в мире офис на рельсах (фото)В Steam появился симулятор гопника за 25 рублей5 мая пройдет лунное затмение. Вот что нужно знатьПроизошла ошибка соединенияДобавить почтовый ящикВы можете переключаться между несколькими почтовыми ящиками.Узнать больше →Выберите свой город из спискаВы находитесь в городе ?ДаНет</t>
  </si>
  <si>
    <t>mail.ru</t>
  </si>
  <si>
    <t>Email - Gmail - Google</t>
  </si>
  <si>
    <t>https://mail.google.com/mail/u/0/</t>
  </si>
  <si>
    <t>GmailSign into continue to GmailEmail or phoneForgot email?Not your computer? Use a private browsing window to sign in. Learn moreNextCreate accountAfrikaansazərbaycanbosanskicatalàČeštinaCymraegDanskDeutscheestiEnglish (United Kingdom)English (United States)Español (España)Español (Latinoamérica)euskaraFilipinoFrançais (Canada)Français (France)GaeilgegalegoHrvatskiIndonesiaisiZuluíslenskaItalianoKiswahililatviešulietuviųmagyarMelayuNederlandsnorsko‘zbekpolskiPortuguês (Brasil)Português (Portugal)românăshqipSlovenčinaslovenščinasrpski (latinica)SuomiSvenskaTiếng ViệtTürkçeΕλληνικάбеларускаябългарскикыргызчақазақ тілімакедонскимонголРусскийсрпски (ћирилица)Українськаქართულიհայերեն‫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t>
  </si>
  <si>
    <t>mail.google.com</t>
  </si>
  <si>
    <t>Free email accounts with mail.com | Log in here or register today</t>
  </si>
  <si>
    <t>https://www.mail.com/</t>
  </si>
  <si>
    <t>Free email accounts with mail.com | Log in here or register today  Please enable JavaScript to experience the full functionality of mail.com.Login SSLEmail addressPasswordLog inForgot password?Keep me logged in!Premium LoginSign upSearchSearchSign upSign upLog inEmailEmailCreate email accountDomainsMail appEmail address ideas Business emailMail CollectorMailCheckPremiumFeaturesOrganizerContactsOnline OfficeSearchFirefox + mail.comCloudCloudCloud backupFile sharingCloud upgradeCloud for Windows &amp; macOS SecuritySecuritySpam filterAntivirusPasswordTwo-factor authenticationSupportMigration serviceFirst steps webmailFirst steps AndroidFirst steps iOSHelp &amp; Contact CenterBlogSign up SPONSORED NEWS        MAIL.COM EMAILmail.com - the right email address for you Free email &amp; cloud storage Secure business email High domain name availabilityChoose usernameChoose domain@mail.com@email.com@usa.com@myself.com@consultant.com@post.com@europe.com@asia.com@iname.com@writeme.com@dr.com@cheerful.com@accountant.com@techie.com@engineer.com@linuxmail.org@musician.org@contractor.net@workmail.com@financier.comEmail tools &amp; features        DomainsChoose from 100+ email domains        Email Create a free email account at mail.com         featuresPractical mail features – from apps to virus protectionMail.com Blog              CybersecurityWhat is typosquatting? Types and examplesTyposquatting and website hijacking can open the door to phishing and other cybersecurity risks. Learn how to steer clear of ...              SpamEmail spam: Why do I get spam messages &amp; how do I get rid of them?Spam is one of the things people like least about email. You can help stop spam by learning to identify spam &amp; scams and ...              EmailJob search: Why follow-up after an interview?Writing follow-up email after a job interview can be a bit tricky. Learn how to compose an effective and professional ...More from mail.com        EMAILProfessional &amp; free business email        SECURITYKeep your email password secure        JOB SEARCHApplying by email: Samples for your successful job application  MoreGamesDomainsMail Collector30 MB Attachmentsmail.com 25th anniversaryToolsMail appMailCheckHelpRecover your passwordHelp CenterContact Premium Supportmail.com blog About mail.comTerms &amp; ConditionsPrivacy SettingsPrivacy PolicyData CollectionCA Do Not Sell My InfoEnvironmentJobsHelp CenterNewsletter Press RoomCopyright © 2023 1&amp;1 Mail &amp; Media Inc. All rights reserved.</t>
  </si>
  <si>
    <t>www.mail.com</t>
  </si>
  <si>
    <t>Yahoo Mail</t>
  </si>
  <si>
    <t>https://mail.yahoo.com/</t>
  </si>
  <si>
    <t>Yahoo MailSign inAbout Yahoo MailUpgrade to Mail PlusSupportSign upGet StuffDoneSave time? Save money?Done and done with Yahoo Mail.Let's goGet the appAbout our AdsTermsPrivacyPrivacy Dashboard</t>
  </si>
  <si>
    <t>mail.yahoo.com</t>
  </si>
  <si>
    <t>Mail on the App Store - Apple</t>
  </si>
  <si>
    <t>https://apps.apple.com/us/app/mail/id1108187098</t>
  </si>
  <si>
    <t>Proton Mail</t>
  </si>
  <si>
    <t>https://mail.proton.me/</t>
  </si>
  <si>
    <t>Proton MailProton Mail requires Javascript. Enable Javascript and reload this page to continue.</t>
  </si>
  <si>
    <t>mail.proton.me</t>
  </si>
  <si>
    <t>Mail.ru - Email App</t>
  </si>
  <si>
    <t>https://play.google.com/store/apps/details?id=ru.mail.mailapp&amp;hl=en_US</t>
  </si>
  <si>
    <t>AOL Mail</t>
  </si>
  <si>
    <t>https://mail.aol.com/</t>
  </si>
  <si>
    <t>AOL MailLoginAOL Mail is free and helps keep you safe.From security to personalization AOL Mail helps manage your digital lifeStart for freeAOL Mail FAQIs AOL Mail free?Absolutely!  It's quick and easy to sign up for a free AOL account.  With your AOL account you get features like AOL Mail news and weather for free!Is AOL Mail secure?AOL uses the latest in security and spam-blocking technology.Does AOL Mail have an app?Yes! You can take your email on the go with an iOS &amp; Android app.What languages does AOL Mail support?We support over 70+ languages.Start for free© 2023 Yahoo Inc. All rights reserved.TermsPrivacyPrivacy DashboardContact Us</t>
  </si>
  <si>
    <t>mail.aol.com</t>
  </si>
  <si>
    <t>Почта Mail.ru: почтовый клиент</t>
  </si>
  <si>
    <t>https://play.google.com/store/apps/details?id=ru.mail.mailapp&amp;hl=ru&amp;gl=US</t>
  </si>
  <si>
    <t>Mailchimp: Marketing, Automation &amp; Email Platform</t>
  </si>
  <si>
    <t>https://mailchimp.com/</t>
  </si>
  <si>
    <t>Marketing Automation &amp; Email Platform | MailchimpSkip to main contentHey there! Free trials are available for Standard and Essentials plans. Start for free today.Solutions and ServicesSolutions and Services                See what’s new                         Email marketing                                            Send personalized emails that convert                              SMS marketing                  New!                 Reach your customers on every device                              Social media marketing                                            Amplify the conversation across multiple channels                              Websites                                            Create your branded web presence                              Audience management                                            Target and segment customers                              Marketing automation                                            Deliver the right message at the right time                              Templates                                            Customize pre-designed layouts                              Reporting &amp; analytics                                            Track sales &amp; campaign performance                              Content creation                                            Develop your unique brand with optimized content                              See all features                                            See all our product offerings in one place                          INTEGRATE YOUR APPS                        See 300+ integrations            Shopify    Wix    Salesforce    Canva    BigCommerce For your industry        E-commerce and retail            Mobile and web apps            Start-ups            Agencies and freelancers            Developers    Professional Services        Hire an Expert            Personalized onboarding            Customer success      ResourcesResources                See all resources        Learn with Mailchimp         AI marketing tools            E-commerce            Digital content            Marketing automations            Audience management            Websites            Email marketing            Social media    Mailchimp Presents         Podcasts            Series            Films    For Developers         Marketing API            Transactional API            Release notes            Transactional email                      Help Center                                             Case Studies                                             Events                            Professional Services        Hire an Expert            Personalized onboarding            Customer success      Pricing							Search						PricingThis page is now available in other languages.ENEN                            English                         ES                            Español                        FR                            Français                        BR                            Português                        DE                            Deutsch                        IT                            Italiano                        Sales:+1 (800) 315-5939Log In                                    Start Free Trial                                    Hi %s        Account                    Audience                                    Campaigns                                    Account                                Mailchimp Home            								Log In						  								Main Menu						Close Main MenuMain MenuSolutions and ServicesBackClose Main MenuSolutions and Services                 Email marketing                                            Send personalized emails that convert                              SMS marketing                  New!                 Reach your customers on every device                              Social media marketing                                            Amplify the conversation across multiple channels                              Websites                                            Create your branded web presence                              Audience management                                            Target and segment customers                              Marketing automation                                            Deliver the right message at the right time                              Templates                                            Customize pre-designed layouts                              Reporting &amp; analytics                                            Track sales &amp; campaign performance                              Content creation                                            Develop your unique brand with optimized content                              See all features                                            See all our product offerings in one place                             See what’s new             For your industryBackClose Main MenuFor your industry         E-commerce and retail            Mobile and web apps            Start-ups            Agencies and freelancers            Developers    Professional ServicesBackClose Main MenuProfessional Services         Hire an Expert            Personalized onboarding            Customer success         Integrate your appsBackClose Main MenuIntegrate your apps                         Shopify                                             Wix                                             Salesforce                                             Canva                                             BigCommerce                                         See 300+ integrations                  ResourcesBackClose Main MenuResourcesLearn with MailchimpBackClose Main MenuLearn with Mailchimp         AI marketing tools            E-commerce            Digital content            Marketing automations            Audience management            Websites            Email marketing            Social media    Mailchimp PresentsBackClose Main MenuMailchimp Presents         Podcasts            Series            Films    For DevelopersBackClose Main MenuFor Developers         Marketing API            Transactional API            Release notes            Transactional email                    See all resources                              Help Center                                             Case Studies                                             Events                            Professional ServicesBackClose Main MenuProfessional Services         Hire an Expert            Personalized onboarding            Customer success     PricingSearchThis page is now available in other languages.English EN                            English                         ES                            Español                        FR                            Français                        BR                            Português                        DE                            Deutsch                        IT                            Italiano                        Contact Sales:+1 (800) 315-5939                Hi %s            BackClose Main MenuAccount                            Audience                                                    Campaigns                                                    Account                                            Mailchimp Home                Log In                                    Start Free Trial                        Log InLog In																			Start Free Trial																Turn Emails into RevenueWin new customers with the #1 email marketing and automations brand* that recommends ways to get more opens clicks and sales.                            Start Free Trial                Convert with email &amp; SMS automations                        Boost orders and customer lifetime value by personalizing emails and SMS based on behavioral data*.                                 Explore marketing automation          Create faster with generative AI                        Effortlessly create on-brand content with generative AI tools and choose from expertly designed templates.                                 Explore AI tools         Refine with segmentation                        Target customers with advanced logic like spend amounts buying behavior and predicted attributes.                                 Explore audience management         Optimize with analytics &amp; reporting                        Analyze performance with custom reports funnel visualizations and industry benchmarking.                                 Explore analytics &amp; reporting           Get started easily with a personalized product tour An onboarding specialist is here to help you get started with confidence—it’s included with a paid plan.*                  Learn more about onboarding                              Start your free trial today                            Mailchimp Recommends                Premium        Scale fast with dedicated onboarding unlimited contacts and priority support; built for teams.                Starts at                                                 /month based on 10000 contacts*                                            Starts at $350                per month for {contacts} contacts                        Phone &amp; Priority Support                    Custom-Coded and Pre-built Email Templates                    SMS &amp; MMS Add-on                    Multivariate and A/B Testing                    Enhanced Automated Customer Journeys                    Dedicated Personalized Onboarding                    Predictive Segmentation                    Campaign Manager                                    Get started                            Mailchimp Recommends                Standard        Sell even more with personalization optimization tools and enhanced automations.                Starts at            Free for 1 monthThen starts at                                     /month*                                                                /month based on 500 contacts*                                            Starts at $20                per month for {contacts} contacts                        24/7 Email &amp; Chat Support                    Custom-Coded and Pre-built Email Templates                    SMS &amp; MMS Add-on                    Multivariate and A/B Testing                    Enhanced Automated Customer Journeys                    Personalized Onboarding                    Predictive Segmentation                    Campaign Manager                                    Get started                            Mailchimp Recommends                Essentials        Send the right content at the right time with testing and scheduling features.                Starts at            Free for 1 monthThen starts at                                     /month*                                                                /month based on 500 contacts*                                            Starts at $13                per month for {contacts} contacts                        24/7 Email &amp; Chat Support                    Pre-built Email Templates                    SMS Add-on                    A/B Testing                    Basic Automated Customer Journeys        Personalized OnboardingPredictive SegmentationCampaign Manager                            Get started                            Mailchimp Recommends                Free        Easily create email campaigns and learn more about your customers.                Starts at                                                 /month based on 500 contacts*                                            Starts at $0                per month for {contacts} contacts                        Email support for first 30 days                    Pre-built Email Templates        SMS Add-onA/B TestingBasic Automated Customer JourneysOnboardingPredictive SegmentationCampaign Manager                            Get started                            Mailchimp Recommends                Free        Easily create email campaigns and learn more about your customers.                Starts at                                                 /month based on 500 contacts*                                            Starts at $0                per month for {contacts} contacts                        Email support for first 30 days                    Pre-built Email Templates        SMS Add-onA/B TestingBasic Automated Customer JourneysOnboardingPredictive SegmentationCampaign Manager                            Get started                            Mailchimp Recommends                Essentials        Send the right content at the right time with testing and scheduling features.                Starts at            Free for 1 monthThen starts at                                     /month*                                                                /month based on 500 contacts*                                            Starts at $13                per month for {contacts} contacts                        24/7 Email &amp; Chat Support                    Pre-built Email Templates                    SMS Add-on                    A/B Testing                    Basic Automated Customer Journeys        Personalized OnboardingPredictive SegmentationCampaign Manager                            Get started                            Mailchimp Recommends                Standard        Sell even more with personalization optimization tools and enhanced automations.                Starts at            Free for 1 monthThen starts at                                     /month*                                                                /month based on 500 contacts*                                            Starts at $20                per month for {contacts} contacts                        24/7 Email &amp; Chat Support                    Custom-Coded and Pre-built Email Templates                    SMS &amp; MMS Add-on                    Multivariate and A/B Testing                    Enhanced Automated Customer Journeys                    Personalized Onboarding                    Predictive Segmentation                    Campaign Manager                                    Get started                            Mailchimp Recommends                Premium        Scale fast with dedicated onboarding unlimited contacts and priority support; built for teams.                Starts at                                                 /month based on 10000 contacts*                                            Starts at $350                per month for {contacts} contacts                        Phone &amp; Priority Support                    Custom-Coded and Pre-built Email Templates                    SMS &amp; MMS Add-on                    Multivariate and A/B Testing                    Enhanced Automated Customer Journeys                    Dedicated Personalized Onboarding                    Predictive Segmentation                    Campaign Manager                                    Get started                *See            Free Trial Terms        *Overages apply if contact or email send limit is exceeded. Free plan sending  will be paused if contact or email send limit is exceeded.            Learn more                                    Get started                Generate up to 4x more orders* with Customer Journey Builder automations                             Web browser shows Customer Journey Builder automations with recommended actions for an abandoned cart.                                                      Web browser shows Customer Journey Builder automations with recommended actions for an abandoned cart.                         Convert more customers at scale Drive more traffic and sales by setting up automations that trigger emails based on customer behavior with our Customer Journey Builder.                 Learn more                                     Example of pre-built automation to engage customers: customer makes purchase wait 1 week send Feedback Request.                                                     Example of pre-built automation to engage customers: customer makes purchase wait 1 week send Feedback Request.                        Discover new ways to automate Get a head start with pre-built journeys that help you cross-sell your products recover abandoned carts re-engage existing customers and win new ones.                 Learn more                                     Example of automated email for maximum engagement: send to abandoned cart customer with the subject line Forgot something?                                                     Example of automated email for maximum engagement: send to abandoned cart customer with the subject line Forgot something?                        Keep your emails relevant and your brand growing Deliver personalized emails based on their buying behavior survey responses chat interactions and support tickets to promote loyalty and growth.                     Keep customers ready to buy with engaging content                             Content Optimizer        Learn how your emails compare to the top-performing campaigns in your industry and get data-driven suggestions for improving your copy imagery and layout.                Learn more                         getLottieComponent()}&gt;                            Creative Assistant        Our Creative Assistant will help you stand out by using AI to create custom designs for your brand.                Learn more                         getLottieComponent()}&gt;                            GDPR ready tools        Mailchimp helps you achieve data security and privacy standards for your customers.                Learn more           Get up to 88% more revenue* with our Customer Lifetime Value and Likelihood to Purchase segments                             Example customer profile rated 4/5 stars and tagged Local Customer New Customer and Opens Emails.                                                     Example customer profile rated 4/5 stars and tagged Local Customer New Customer and Opens Emails.                        Mailchimp will help you focus on your most loyal and valuable customers.                             Example of variety of customer tags for segmenting customers targeting specific groups and optimizing engagement.                                                     Example of variety of customer tags for segmenting customers targeting specific groups and optimizing engagement.                        Predict who’s likely to buy again Create segments of customers based on their lifetime value and likelihood to purchase.                 Learn more                                     2 side-by-side sales emails offering the same 10% discount but with customized messaging to target specific segments.                                                     2 side-by-side sales emails offering the same 10% discount but with customized messaging to target specific segments.                        Build customers for life Use our intelligent predictions to tighten your targeting strategy strengthen customer relationships and drive repeat sales.                 Learn more                     Bring in more data drive more growth with our integrations                Canva            Create compelling visuals for your marketing.            Mailchimp for Salesforce            Sync your Mailchimp subscribers and Salesforce® leads across platforms.            Instagram            Promote and share your Instagram posts in email campaigns.            Shopify            Sync Shopify customers products and purchase data to Mailchimp.            Google Analytics            Unlock powerful insights with campaign website or landing page data.            WooCommerce            Power your ecommerce store with smart marketing features.            QuickBooks Online            Bring together your marketing tools and invoice data.            Squarespace Commerce            Market your ecommerce business and drive sales.            Zapier            Automatically pass data between web services without a single line of code.                    View all 300+ integrations        *DisclaimersAvailability of features and functionality varies by plan type. For details view plans and pricing.Intuit Assist functionality (beta) is available to certain users with Premium Standard and Legacy plans in select countries in English only. Access to Intuit Assist is available at no additional cost at this time. Pricing terms conditions special features and service options are subject to change without notice.  Availability of features and functionality varies by plan type. Features may be broadly available soon but represents no obligation and should not be relied on in making a purchasing decision. For details please view Mailchimp’s various plans and pricing. Generate up to 4X more orders with Customer Journey Builder automations based on orders generated through user's connected stores with automations versus when they used bulk emails. Get up to 88% more revenue based on emails sent with predicted segments against non-predictive segmented emails for users with connected stores only. Standard or Premium Plans only.This information contains forward-looking statements including our expectations regarding the functionality and availability of current or future features. Because these forward-looking statements involve risks and uncertainties there are important factors that could cause our actual results to differ materially from these expectations as described in our SEC filings. This represents no obligation to deliver future features and should not be relied on in making a purchasing decision. Additional terms conditions and fees may apply.Email Content Generator available to select US Standard and Premium plan users. Related Links:What is SEO?How to Buy a Domain Name: Domain Registration GuideChatGPT: What to Know About This AI Content Writing Tool Products                 Why Mailchimp?                        Product Updates                        Email Marketing                        Websites                        Transactional Email                        How We Compare                        GDPR Compliance                        Security                        Status                        Mobile App        Resources                 Marketing Library                        Free Marketing Tools                        Marketing Glossary                        Integrations Directory        Community                 Agencies &amp; Freelancers                        Developers                        Events        Company                 Our Story                        Newsroom                        Give Where You Live                        Careers                        Accessibility        Help                 Contact Us                        Hire an Expert                        Help Center                        Talk to Sales                 Films podcasts and original series that celebrate the entrepreneurial spirit.                    Check it out                This page is now available in other languages.                    English                                    Español                                    Français                                    Português                                    Deutsch                                    Italiano                ©2001-2023 All Rights Reserved. Mailchimp® is a registered trademark of The Rocket Science Group. Apple and the Apple logo are trademarks of Apple Inc. Mac App Store is a service mark of Apple Inc. Google Play and the Google Play logo are trademarks of Google Inc. Privacy | Terms | Legal | Cookie Preferences</t>
  </si>
  <si>
    <t>mailchimp.com</t>
  </si>
  <si>
    <t>Удобная Яндекс Почта с защитой от спама</t>
  </si>
  <si>
    <t>https://mail.yandex.ru/</t>
  </si>
  <si>
    <t>АвторизацияНеобходимо включить JavaScriptДля корректной работы этого сайта включите JavaScript.Войдите с Яндекс ID чтобы перейти к ПочтеПочтаТелефонВведите ваш IDСоздать IDВойтиСоздать IDВойти с помощьюQR-кодMail.ruОдноклассникиTwitterЯндекс ID — ключ от всех сервисов Узнать большеИспользуйте режим инкогнито на чужом компьютереruEnСправка и поддержка© 2001-2023 Яндекс</t>
  </si>
  <si>
    <t>mail.yandex.ru</t>
  </si>
  <si>
    <t>Apple iCloud Mail</t>
  </si>
  <si>
    <t>https://www.icloud.com/mail</t>
  </si>
  <si>
    <t>iCloud</t>
  </si>
  <si>
    <t>www.icloud.com</t>
  </si>
  <si>
    <t>Secure Business Email Hosting for your Organization</t>
  </si>
  <si>
    <t>https://www.zoho.com/mail/</t>
  </si>
  <si>
    <t xml:space="preserve">Zoho | Cloud Software Suite for Businesses        Your life's work powered by our life's work     A unique and powerful software suite to transform the way you work. Designed for businesses of all sizes built by a company that values your privacy. Get Started For Free Access your apps            Featured apps   CRMConvert leads and close sales deals faster. Try now    MailSecure email service for your business. Try now    BooksPowerful financial platform for growing businesses. Try now    PeopleOrganize automate and simplify your HR processes. Try now    DeskHelpdesk software to deliver great customer support. Try now    ProjectsManage track collaborate on projects with teams. Try now    BackstageEnd-to-end event management software. Try now    WorkDriveOnline file management for teams. Try now    AssistRemote support and unattended remote access software. Try now    CliqStay in touch with teams no matter where you are. Try now    CreatorBuild custom apps for your business needs. Try now    Sign Digital signature app for businesses. Try now    SocialThe all-in-one social media management software.  Try now    CampaignsCreate send and track targeted email campaigns that drive sales.  Try now    RecruitIntuitive recruiting platform built to provide hiring solutions.  Try now     ConnectTeam collaboration software that brings people together. Try now    AnalyticsCreate custom reports and dashboards from any data set. Try now    FlowAutomate business workflows by creating smart integrations. Try now    FormsBuild online forms for every business need. Try now    VaultOnline password manager for teams. Try now    SurveyDesign surveys to reach and interact with your audience. Try now    SitesOnline website builder with extensive customisation options. Try now   Explore all products     Spotlight  A complete solution for every billing requirement.  Try now   Spotlight        All-in-one suiteZoho OneThe operating system for businessRun your entire business on Zoho with our unified cloud software designed to help you break down silos between departments and increase organizational efficiency. Try zoho one  "You can be a startup mid-sized company or an enterprise—Zoho One is a boon for all."  Prakarsh GagdaniCEO 5paisa.com (an IIFL subsidiary)  "Zoho continues to modify adapt grow and add things to the platform that our business sees value in."  Paul GrimesChief Operating Officer Lubrication Engineers  "I highly recommend Zoho One for all your business management sales marketing and invoicing requirements."  Diksha Vohra Founder &amp; CEO Digital by DV Dubai UAE.  "Zoho serves as an ‘enterprise bucket to assess new software’ - if we need something new we’ll always look to see if Zoho One has something available."  Andy TrimmerHead of Technology Simply  Brands that trust us              Customer Stories     "Zoho had a tremendous impact on all of our processes. It helped us unite all the data into one platform." Eisa Bin Ahmad Alserkal General Manager Blue LLC UAE.   Watch video   "We can't imagine not using Zoho. We track our sales and investments our clients' potential and actual investors." Birgit Rainbird Co-founder and Office Manager Funding Strategies   Read the story   "With our complete business under control our productivity is up by 80% in the last year that we have been using Zoho." Thomas John Managing Director Agappe Diagnostics   Read the story   "Zoho's operating system is very robust and contains the collective memory of Selectra's entire business." Aurian De Maupeou Co-Founder Selectra   Watch video     Zoho for Enterprises Experience the breadth and depth of the Zoho ecosystem with the professional services infrastructure support and security that a large business needs. Streamline complex business processes build strong relationships with your customers and drive growth at scale. Get in touch Learn more           Made in India.Made for the World. Business Software.Our Craft. Our Passion.  Swadeshi-Sanklap 0M+Users Globally0+Countries Served0K+Employees Worldwide0+Years in Business0+ProductsMore about zoho   Your privacy is our responsibility We believe that trust is paramount in a relationship. We do not own or sell your data and we most certainly do not bank on advertising-based business models. The only way we make money is from the software license fees you pay us.  watch video         The core values and principles that drive us Long-term commitment 25 years of running a profitable organization gives us a good sense of challenges that a growing business faces. We take pride in running a sustainable business that’s powered by you our customer. Focus on research &amp; developmentSoftware is our craft and we back it up with our relentless investments in R&amp;D. So much so that we prefer to own the entire technology stack including running our data centers globally. Customer-first philosophyIn all these years it's our customers' trust and goodwill that has helped us establish a strong position in the market. No matter the size of your business we're here to help you grow.Read our story    Vision from a village "Why Zoho's CEO moved from California to a hamlet in Tamil Nadu: The lessons this holds for an economy that wants to be self-reliant; for corporations headquartered in big cities; and a country with a high density of urban and migrant workers coming to grips with a pandemic."  More on Forbes   Transnational Localism "Zoho follows a long-term approach and therefore our growth will be rooted in closely working with and serving the local communities while staying connected through shared knowledge and culture. A strong local presence will help us in effectively addressing the needs of local businesses and add a personal touch to our services."Read More    Hyther Nizam President Zoho Middle East &amp; Africa       </t>
  </si>
  <si>
    <t>www.zoho.com</t>
  </si>
  <si>
    <t>Mail.ru — Википедия</t>
  </si>
  <si>
    <t>https://ru.wikipedia.org/wiki/Mail.ru</t>
  </si>
  <si>
    <t>Newsletters spam test by mail-tester.com</t>
  </si>
  <si>
    <t>https://www.mail-tester.com/</t>
  </si>
  <si>
    <t>Newsletters spam test by mail-tester.comTest the Spammyness of your EmailsFirst send your email to:FAQGive FeedbackSPF GuidesSPF &amp; DKIM checkAPILog inBulgarianChineseCroatianCzechDutchEnglishEstonianFrenchGermanGreekHebrewHungarianItalianNorwegianPolishPortugueseRomanianRussianSpanishSwedishTurkishUkrainian</t>
  </si>
  <si>
    <t>www.mail-tester.com</t>
  </si>
  <si>
    <t>UK Home | Daily Mail Online</t>
  </si>
  <si>
    <t>https://www.dailymail.co.uk/home/index.html</t>
  </si>
  <si>
    <t>www.dailymail.co.uk</t>
  </si>
  <si>
    <t>Почта Mail.ru</t>
  </si>
  <si>
    <t>https://vk.com/mailru</t>
  </si>
  <si>
    <t>Fastmail | We Respect Your Privacy &amp; Put You in Control</t>
  </si>
  <si>
    <t>https://www.fastmail.com/</t>
  </si>
  <si>
    <t>майские праздники 2023</t>
  </si>
  <si>
    <t>Майские праздники 2023: как отдыхаем и сколько дней</t>
  </si>
  <si>
    <t>2 мар. 2023 г. —</t>
  </si>
  <si>
    <t>https://www.rbc.ru/life/news/63ff0b8f9a79474eebf84e1c</t>
  </si>
  <si>
    <t>Как отдыхаем в мае 2023 года: праздники и перенос ...</t>
  </si>
  <si>
    <t>13 апр. 2023 г. —</t>
  </si>
  <si>
    <t>https://ria.ru/20230413/may-1855644309.html</t>
  </si>
  <si>
    <t>Как отдыхаем в 2023 году: майские праздники и другие ...</t>
  </si>
  <si>
    <t>20 апр. 2023 г. —</t>
  </si>
  <si>
    <t>https://xn--h1alcedd.xn--d1aqf.xn--p1ai/news/kak-otdykhaem-v-2023-godu-mayskie-prazdniki-i-drugie-dlinnye-vykhodnye/</t>
  </si>
  <si>
    <t xml:space="preserve"> Cпроси.дом.рф – Консультационный центр ДОМ.РФ                                                                         ДОМ.РФ Финансовый институт развития в жилищной сфере        Спроси ДОМ.РФ Центр информационной поддержки ДОМ.РФ        Банк ДОМ.РФ Универсальный ипотечно-строительный банк        Аренда Развитие рынка арендного жилья и инвестиций в недвижимость        НАШ.ДОМ.РФ Цифровая экосистема рынка недвижимости        Лифтостроение Щербинский лифтостроительный завод        СТРОИМ.ДОМ.РФ Новый подход к рынку индивидуального жилищного строительства        Развитие инфраструктуры Облигации на финансирование инфраструктуры        ДОМ.РФ Девелопмент Девелопер полного цикла        Земля и Недвижимость Аукционы и градостроительная подготовка        Городская среда Мастер-планирование и развитие городов        Оператор ипотечных программ Для регионов граждан и застройщиков        Цифровая академия Актуальные знания от ведущих экспертов по востребованным направлениям        Ипотечные облигации Развитие рынка секьюритизации        Устойчивое развитие «Зеленое» строительство и стандартизация                                8 800 775-11-22   Инструкции  Всё об ИЖС Ипотека Льготы Покупка Меры поддержки Оформление собственности Продажа Аренда Общие вопросы Эксплуатация    Сервисы  Каталог жилищных программ с господдержкой Узнайте сколько стоит ваша квартира Расчёт ипотеки Проверьте статус заявления на участие в «программе 450» Калькуляторы по недвижимости Сервис проверки жилья и застройщика Жилищно-строительные кооперативы Найти ИТ-компанию Активация и проверка свидетельств Получение налогового вычета Записаться на просмотр арендных домов Пошаговый сервис помощи в оформлении документов Меры поддержки застройщиков    Обучение  Курсы Видео Тесты    Документы  Покупка Оформление собственности Продажа Общие вопросы    Вопросы и ответы  Ипотека Льготы Покупка Оформление собственности Меры поддержки Программа помощи многодетным семьям Продажа Общие вопросы Федеральные программы поддержки Аренда Банковские ставки Эксплуатация    Новости  Ипотека Льготы Покупка Оформление собственности Меры поддержки Продажа Федеральные программы поддержки Общие вопросы Аренда Программа помощи многодетным семьям Банковские ставки Эксплуатация    О проекте  Результаты деятельности                                              Инструкции Всё об ИЖСИпотекаЛьготыПокупкаМеры поддержкиОформление собственностиПродажаАрендаОбщие вопросыЭксплуатация   Сервисы Каталог жилищных программ с господдержкойУзнайте сколько стоит ваша квартираРасчёт ипотекиПроверьте статус заявления на участие в «программе 450»Калькуляторы по недвижимостиСервис проверки жилья и застройщикаЖилищно-строительные кооперативыНайти ИТ-компаниюАктивация и проверка свидетельствПолучение налогового вычетаЗаписаться на просмотр арендных домовПошаговый сервис помощи в оформлении документовМеры поддержки застройщиков   Обучение КурсыВидеоТесты   Документы ПокупкаОформление собственностиПродажаОбщие вопросы   Вопросы и ответы ИпотекаЛьготыПокупкаОформление собственностиМеры поддержкиПрограмма помощи многодетным семьямПродажаОбщие вопросыФедеральные программы поддержкиАрендаБанковские ставкиЭксплуатация   Новости ИпотекаЛьготыПокупкаОформление собственностиМеры поддержкиПродажаФедеральные программы поддержкиОбщие вопросыАрендаПрограмма помощи многодетным семьямБанковские ставкиЭксплуатация   О проекте Результаты деятельности                                                               8 800 775-11-22                                                     consultant@domrf.ru                                  Ответим на все вопросы о жилье               #ИЖС #Кредитные каникулы #Программа 450 #Ипотека #IT-ипотека #Льготы #Продажа             Инструкции                             Подробные инструкции о жилье на все случаи жизни                                    Сервисы Полезные онлайн-сервисы            Вопросы и ответы                             Все ответы на ваши вопросы о жильe                                    Видео                             Познавательные видео о недвижимости и госпрограммах                                    Меры поддержки                             Узнать обо всех доступных мерах господдержки и льготах                                    Тесты                             Проверьте ваши знания об ипотеке и недвижимости                                              Ипотечный марафон                                  Психология ипотекиУзнайте как рационально подойти к покупке жилья                                          Участвовать           ИЖС                                  ИЖС: от покупки землидо готового частного дома                                                    ИЖС                                  Бесплатныйобучающий курс«Как построить домот А до Я»                                                    Онлайн                                  Калькулятор                                           Рассчитать           Льготы                                  Проверьте статус заявления на участие в «программе 450»                                          Проверить статус           Цифровой рубль                                  Цифровой рубль – простыми словами                                                    Ипотека                                  Льготная ипотека до 8% на новостройки и ИЖС                                                    Государственная поддержка                                  Кредитные каникулы для мобилизованных                                          Узнать подробнее           Оценка жилья                                  Узнайте сколько стоит ваша квартира                                          Оценить           ЖСК                                  ЖСК. Вступить создать и выбрать объект                                                Популярные инструкцииВсе инструкции               Федеральные региональные и местные налоги: в чем отличия?     0  0       0           Налог на имущество физических лиц: что нужно знать     0  0       0           Условия программы льготной ипотеки для IT-специалистов     0  0       0           Как взять Льготную ипотеку с господдержкой в 2023 году?     0  0       0           Как воспользоваться «Семейной ипотекой»?     0  0       0           Помощь многодетным семьям в погашении ипотеки     0  0       0           Сельская ипотека: вопросы и ответы     0  0       0           Условия программы Дальневосточная ипотека     0  0       0           Как получить бесплатную консультацию о жилье?     0  0       0        Все инструкции               Ваши вопросыВсе вопросы                  #Мобилизация #Программа 450 #Ипотека #Общие вопросы #Льготы #Эксплуатация #Продажа #Оформление собственности #Федеральные программы поддержки #Аренда #Покупка #Меры поддержки                                  Как получить налоговый вычет за страхование жизни?                            0  0       0                                     До какого числа передаются показания счетчиков воды?                            0  0       0                                     Как вызвать сантехника по месту жительства?                            0  0       0                                     Как связаться с единой диспетчерской службой?                            0  0       0                                     Когда отключат отопление?                            0  0       0                                     Можно ли получить налоговый вычет при покупке или при продаже автомобиля?                            0  0       0                                     Когда налоговая перечислит налоговый вычет?                            0  0       0                                     Что такое домокомплект?                            0  0       0                                     Что такое градостроительный план земельного участка?                            0  0       0                                     Нужно ли платить взносы садоводству если не пользуешься участком?                            0  0       0                                     На каких условиях можно получить Сельскую ипотеку на приграничных территориях?                            0  0       0                                     Какие льготы по ипотеке могут получить семьи с детьми инвалидами                            0  0       0                                     Что такое договор ипотеки?                            0  0       0                                     Можно ли отказаться от доли в квартире?                            0  0       0                                     Как наследовать квартиру с неузаконенной перепланировкой?                            0  0       0                                     Как наследовать квартиру которая находится в ипотеке?                            0  0       0                                     Могут ли военнослужащие претендовать на Дальневосточную ипотеку под 2%?                            0  0       0                                     Если медработник работает в частной больнице то может ли он участвовать в программе Дальневосточная ипотека?                            0  0       0                                     Может ли директор школы или заведующий детского сада оформить дальневосточную ипотеку?                            0  0       0                                     Можно ли повторно участвовать в программе «Дальневосточная ипотека»?                            0  0       0                                     Что такое дом блокированной застройки?                            0  0       0                                     Что такое доходный дом?                            0  0       0                                     Что такое кадастровая стоимость земельного участка?                            0  0       0                                     При каких условиях военнослужащий может получить жилищную субсидию?                            0  0       0                                     Будет ли квартира приобретенная по военной ипотеке при разводе делиться между супругами (один из супругов военный)?                            0  0       0                                     Я мобилизован. Как представить декларацию за 2022 год по продаже недвижимости?                            0  0       0                                     Простит ли банк ипотеку в связи с частичной мобилизацией?                            0  0       0                                     Как платить мобилизованному за жилищно-коммунальные услуги?                            0  0       0                                     Есть ли налоговые льготы по транспортному и земельному налогам для военнослужащих?                            0  0       0                                     Собственником квартиры является мобилизованный гражданин ФНС прислала уведомление об оплате налога за квартиру. Как оплатить?                            0  0       0                                     Как распорядиться недвижимостью если призван на военную службу по частичной мобилизации?                            0  0       0                                     Что будет с взысканием долгов по кредитам и займам мобилизованных граждан?                            0  0       0                                     Список российских городов-миллионников                            0  0       0                                     Могут ли родственники подать заявление на получение кредитных каникул или реструктуризацию долга мобилизованного гражданина?                            0  0       0                                     Какие есть ограничения для получения кредитных каникул для военнослужащих и мобилизованных?                            0  0       0                                     Должен ли мобилизованный оплачивать штрафы за долги по ЖКХ?                            0  0       0                                     Что будет с кредитами мобилизованных?                            0  0       0                                     Какие платежи можно не оплачивать если тебя мобилизовали?                            0  0       0                                     Может ли жена мобилизованного получить кредитные каникулы или оформить реструктуризацию если является созаемщиком или поручителем?                            0  0       0                                     Смогу ли я получить кредитные каникулы или реструктуризировать свой долг если я сейчас возьму ипотеку и меня мобилизуют?                            0  0       0                                     Мобилизовали моего мужа могу ли я получить отсрочку по кредиту?                            0  0       0                                     Как принимать квартиру если новостройка сдана а дольщик мобилизован?                            0  0       0                                     Могу ли я оплачивать ипотечный кредит находясь за рубежом?                            0  0       0                                     Какие банки предлагают кредитные каникулы призывникам?                            0  0       0                                     Можно ли продать ипотечную квартиру по доверенности?                            0  0       0                                     Предусмотрены ли кредитные каникулы для мобилизованных граждан?                            0  0       0                                     Как отказаться от права собственности на недвижимость?                            0  0       0                                     Когда включают отопление в домах?                            0  0       0                                     Где посмотреть основные показатели национального проекта «Жилье и городская среда»?                            0  0       0                                     Можно ли по программе IT-ипотеки приобрести квартиру по договору уступки по ДДУ от физического лица?                            0  0       0                                     Как узнать кто запрашивал информацию о моей кредитной истории?                            0  0       0                                     Кадастровый инженер: кто он чем занимается как выбрать?                            0  0       0                                     Как снести объект недвижимости и снять его с кадастрового учета?                            0  0       0                                     Почему после продажи квартиры у граждан-банкротов остаются долги по коммунальным платежам?                            0  0       0                                     Как узнать кадастровую стоимость недвижимости и чем она отличается от рыночной?                            0  0       0                                     Как узнать кто запрашивал информацию о вашей недвижимости?                            0  0       0                                     Какой предельный возраст для заемщика по программе IT-ипотеки?                            0  0       0                                     Как узнать историю объекта недвижимости?                            0  0       0                                     Можно ли изменить вид разрешенного использования у садового участка?                            0  0       0                                     Нужно ли регистрировать недвижимость в Росреестре если право собственности признано судом?                            0  0       0                                     Что делать собственнику при переименовании улицы?                            0  0       0                                     До какого возраста дают ипотеку?                            0  0       0                                     Как подать договоры аренды и найма в Росреестр?                            0  0       0                                     Что такое хостел?                            0  0       0                                     Почему отключают горячую воду?                            0  0       0                                     Популярные вопросы о программе помощи многодетным семьям                            0  0       0                                     Популярные вопросы об оформлении дарственной на квартиру                            0  0       0                                     Популярные вопросы о программе «Дальневосточная ипотека»                            0  0       0                                     Популярные вопросы о наследстве                            0  0       0                                     Популярные вопросы о материнском капитале                            0  0       0                                     Популярные вопросы о льготных ипотечных программах                            0  0       0                                     Популярные вопросы о налогах при продаже квартиры                            0  0       0                                     Популярные вопросы о налоговом вычете                            0  0       0                                     Популярные вопросы об ипотеке 8%                            0  0       0                                     Как получить временную прописку?                            0  0       0                                     Можно ли использовать материнский капитал в семейной ипотеке?                            0  0       0                                     Как продать квартиру обремененную ипотекой?                            0  0       0                                     У меня нет временной регистрации в городе. Какой за это штраф?                            0  0       0                                     Я не помню приватизирована ли моя квартира. Как это выяснить?                            0  0       0                                     Можно ли перевести ипотечный кредит на одного заемщика после развода?                            0  0       0                                     Можно ли уточнить капитальный и текущий ремонт в договоре с наймодателем?                            0  0       0                                     Как получить выписку из реестра требований кредиторов?                            0  0       0                                     Если у нас квартира 31 кв. м на 4 человека можем ли мы улучшить свои жилищные условия?                            0  0       0                                     Можно ли оформить предварительный договор купли-продажи вместо ДДУ для ипотечного кредита?                            0  0       0                                     Можно ли взять обычную ипотеку а потом рефинансировать по семейной ипотеке?                            0  0       0                                     Имею ли я право прописать в квартиру кого-то без приватизации квартиры?                            0  0       0                                     Законно ли поступает застройщик если просит оплатить квартиру по ДДУ и оплатить заключение самого договора?                            0  0       0                                     Можно ли рефинансировать ипотеку в случае рождения первого ребенка?                            0  0       0                                     Обязательно ли договор страхования должен быть заключен с тем же банком который выдает ипотечный кредит?                            0  0       0                                     Могу ли я рассчитывать на рассрочку платежа по ипотеке в случае банкротства строительной компании?                            0  0       0                                     Можно ли рефинансировать по программе «Семейная ипотека» кредит оформленный на апартаменты?                            0  0       0                                     Как можно заключить договор дарения если квартира обремененная ипотекой в залоге у ДОМ.РФ?                            0  0       0                                     Что такое договор управления многоквартирным домом?                            0  0       0                                     Какие документы должен предоставить застройщик в момент сдачи объекта долевого строительства?                            0  0       0                                     Если у меня есть жилье по договору социального найма могу ли я приобрести дом или квартиру?                            0  0       0                                     Как узнать остаток маткапитала?                            0  0       0                                     Какие теплицы нужно ставить на кадастровый учет?                            0  0       0                                     Как принимать квартиру у застройщика в 2022 году?                            0  0       0                                     Как рассчитываются выплаты на детей от 8 до 17 лет?                            0  0       0                                     Что такое комплексное освоение территорий?                            0  0       0                    Лекция «Психология ипотеки»Эксперты расскажут как рационально подойти к покупке жилья Узнать Подробнее    Все вопросы               Новости Все новости                      Открытый диалог: Психология ипотеки  10.11.2023          Прокуратура Москвы рассказала о 10 наиболее частых способах мошенничества  08.11.2023          На Госуслугах появился новый сервис проверки подлинности паспорта  07.11.2023          Эксперты Росреестра рассказали как безопасно купить квартиру  02.11.2023       Все новости             Остались вопросы? Задавайте!        Мы получили Ваше обращение и постараемся ответить на него в течение 24 часов!Тем временем посмотрите наши инструкции    Выберите категорию    Общие вопросы Программа 450 Ипотека с господдержкой Материнский капитал Налоговые вычеты   Выберите категорию      Введите корректный e-mail      Максимальное количество символов — 300                   Я даю согласие на обработку персональных данных  Согласитесь с условиями          Отправить       На сайте используются файлы cookie         Оставаясь на сайте вы выражаете свое согласие на обработку персональных данных в соответствии с политикой АО "ДОМ.РФ"     Подтвердить                8 800 775-11-22    consultant@domrf.ru          Победитель 2021 2022 Лучшие социальные проекты России                                                   Политика обработки персональных данных Пользовательское соглашение © 2023 спроси.дом.рф                     Данный сайт защищен с помощью reCAPTCHA и соответствует                    Политике конфиденциальности                    и Условиям использования Google.                               Мы получили Ваше обращение и постараемся ответить на него в течение 24 часов!Тем временем посмотрите наши инструкции      Остались вопросы? Задавайте!     Выберите категорию    Общие вопросы Программа 450 Ипотека с господдержкой Материнский капитал Налоговые вычеты   Выберите категорию      Введите корректный e-mail      Максимальное количество символов — 300                     Я даю согласие на обработку персональных данных  Согласитесь с условиями              Отправить                     Мы получили Ваше обращение и постараемся ответить на него в течение 24 часов!Тем временем посмотрите наши инструкции       Звоните по телефону     8 800 775-11-22Или закажите обратный звонок     Выберите категорию    Общие вопросы Программа 450 Ипотека с господдержкой Материнский капитал Налоговые вычеты   Выберите категорию      Это поле обязательно для заполнения      Это поле обязательно для заполнения                         Я даю согласие на обработку персональных данных  Согласитесь с условиями              Заказать звонок             </t>
  </si>
  <si>
    <t>xn--h1alcedd.xn--d1aqf.xn--p1ai</t>
  </si>
  <si>
    <t>Какие дни в 2023 году нерабочие</t>
  </si>
  <si>
    <t>Утвержденный производственный календарь на 2023 год в России. Праздничные, выходные и рабочие дни в 2023 году. График праздничных и выходных дней: март, ...</t>
  </si>
  <si>
    <t>https://www.mos.ru/otvet-rabota/kakie-dni-v-2023-godu-nerabochie/</t>
  </si>
  <si>
    <t>Официальные майские выходные в 2023 году</t>
  </si>
  <si>
    <t>19 апр. 2023 г. —</t>
  </si>
  <si>
    <t>https://skillbox.ru/media/management/ofitsialnye-mayskie-vykhodnye-v-2023-godu-spisok-nerabochikh-dney-i-sovety-yurista/</t>
  </si>
  <si>
    <t>Skillbox – образовательная платформа с онлайн-курсами.Черная пятница Курс в подарок  Выбрать курс              Все курсы                Открыть меню:        О Skillbox           О нас          Центр карьеры          Отзывы          Контакты          Вакансии          Школа кураторов          Скидки для друзей          Сообщество Skillbox          О платформе          Открыть меню:        Вебинары           Все вебинары          Плейлисты          Расписание          Медиа           Компаниям        Войти   Станьте востребован­ным специалистом         Программирование              Дизайн              Аналитика              Маркетинг              Управление              Финансы              Игры              Кино и Музыка              Маркетплейсы              Инженерия              Психология              Английский язык              Все курсы                 Алина Преуспела в бизнесе организовала любительский баскетбольный клуб и спонсирует детскую команду.          Роман За полгода стал разработчиком и пришёл к стабильному доходу.          Василий Выучился на таргетолога и устроился в digital‑агентство.          Дмитрий Решил сменить профессию и пошёл учиться на дизайнера.          Игорь Бросил офисную работу и стал снимать фестивальное кино.          Программирование              Дизайн              Аналитика              Маркетинг              Управление              Финансы              Игры              Кино и Музыка              Маркетплейсы              Инженерия              Психология              Английский язык              Все курсы             Профессия или навык      Найти          Почему выбирают образовательную платформу Skillbox             №1             Skillbox №1 в рейтинге качества организации обучения EdTech-компаний в сегменте ДПО (по данным Smart Ranking)          Понятно        По качеству обучения по версии Smart Ranking          787           курсов: профессии навыки высшее образование и MBA          24/7           Учитесь с любым графиком из любой точки мира          93%           Окончивших курс отмечают что достигли своих целей         Не пропустите       Нейросети всех уволят? Разбираемся на большой конференции — с практикой и подарками                Смотреть бесплатно            IT‑профессии с высокими зарплатами         Профессия      Python-разработчик             10            месяцев           Профессия      Графический дизайнер             10            месяцев           Профессия      3D-дженералист             13            месяцев           Профессия      1С-разработчик             6            месяцев           Профессия      Инженер по тестированию             7            месяцев           Профессия      Веб-разработчик             9            месяцев           Профессия      Java-разработчик             8            месяцев           Профессия      UX/UI-дизайнер             12            месяцев           Профессия      Разработчик на C++ с нуля             7            месяцев           Профессия      Data Scientist             12            месяцев           Профессия      BI-аналитик             6            месяцев           Профессия      Веб-дизайнер             12            месяцев           Профессия      Motion-дизайнер             12            месяцев               Смотреть всё         Курсы под любые цели         Освоить профессию с нуля и найти работу          161 профессия            Получить новые навыки и ускорить карьеру          356 курсов            Поможем найти профессию по душе          Начать              Академические программы           Среднее профессиональ­ное образование          Подробнее         Высшее образование с ведущими вузами России          7 программ                События Skillbox             Исследование НИУ ВШЭ     93% выпускников считают — Skillbox помог достичь цели           Смотреть исследование                    4 шага к переменам в карьере и жизни               1     Изучаете материал на платформе в любое удобное время      2     Общаетесь с экспертами и единомышленниками в Telegram      3     Выполняете практические задания получаете обратную связь и закрепляете знания      4     Готовите проект и дополняете им своё портфолио         Что говорят участники курсов                Андрей Жураков г. Москва Курс «Ableton Live c нуля до PRO»  Курс на 100% соответствует своему названию! Я быстро освоил программу которая раньше своим внешним видом вызывала лишь ужас и полное непонимание.Считаю что мне очень повезло с куратором. Он очень развёрнуто отвечал на все мои вопросы подробно рассказывал что я сделал не совсем правильно — даже прикладывал видео на которых показывал как сделать лучше!       Ирина Афанасьева Курс «Профессия Менеджер проектов»  Я программист. Долгое время занималась разработкой и внедрением систем а затем руководила IT-подразделениями крупных энергетических компаний. Сейчас для меня настало время перемен и я подумала что нужно обновить знания. Тем более что теоретических основ по управлению проектами у меня не было.Учиться на платформе было очень интересно и познавательно курсы помогли мне систематизировать весь опыт и получить новые знания.           Видеоотзыв            Алла Комиссаренко Курс «UX-дизайнер с нуля до PRO»  Работать дизайнером мне очень нравится от UX я вообще в восторге тяга к аналитике у меня была всегда. После долгих поисков работы в новой сфере подруга помогла мне получить заказ на редизайн сайта большой компании.Отдельно хочу сказать спасибо куратору Александру Свободе он очень подробно расписывал все недочёты и ошибки решений в дизайне.              Примеры работ            Людмила Юрченко Курс «HR-менеджер с нуля»  Я новичок в профессии и мне важно было чтобы курс содержал в себе не только теорию но и практику. Свои ощущения я назову более чем положительными потому что курс мне понравился. Я очень много получила полезной информации которой буду пользоваться. Сейчас я в процессе поиска работы и карьерные консультанты Skillbox мне в этом очень помогают.           Видеоотзыв            Михаил Зеркаль г. Череповец Курс «Электронная музыка с нуля до PRO»  Курс помог мне систематизировать имеющиеся знания и получить новые. Большое значение сыграл чат с другими участниками курса и кураторами где всегда можно обсудить любые вопросы тонкости и нюансы.Но самое главное — курс даёт мотивацию работать над собой развиваться и позволяет сделать шаг от самиздата в VK или SoundCloud до монетизации творчества и коммерческого продакшна.       Светлана Девянина Курс «Autodesk Maya 2.0»  Мне всё понравилось. Платформа для обучения очень удобная всегда можно задать вопрос в чат или написать в Telegram где участники в моменте помогут. Куратор всегда на связи и записывает видео если что-то не получается. Мне как новичку материал даётся не сразу но куратор всё комментирует и разъясняет.Учиться в целом очень интересно каждое занятие открываю для себя что-то новое.       Олеся Новикова Курс «Как найти работу сегодня. Экспресс-курс с карьерной консультацией»  Я прохожу курс с карьерной консультацией и получила уже три тестовых задания а на одной вакансии начала проходить испытательный срок 😍.Хотя до этого либо получала отказы либо просто не отвечали работодатели. Для меня волшебство какое-то 🔥.            Готовы к переменам в жизни?      Сделайте первый шаг!              Витрина курсов                 Отзывы о Skillbox                            Ксения Пузыренко                Артём Раздьяконов                Вадим Лазарев                Юлия Холодкова                Игорь Федянин                Владислав Винтенбах                Максим Фомин           Для тех кто пока не определился            Пройдите тест и найдите свою идеальную профессию              Пройти бесплатно             Сотрудничаем с ведущими компаниями       Собираем лучшие вакансии в отрасли готовим к интервью и рекомендуем вас компаниям-партнёрам.        73432880104 78126025210 74952910742 74954453639 74954453936 74954016931 73432880104 79310093246 79310093248 79310093249 78126025210 73512009018            Поможем в выборе!                   Если у вас есть вопросы о формате или вы не знаете что выбрать оставьте свой номер — мы позвоним чтобы ответить на все ваши вопросы.                  Имя                  Телефон                  Электронная почта                       Отправить          Похоже произошла ошибка при отправке. Попробуйте отправить снова или перезагрузите страницу.            Нажимая на кнопку я соглашаюсь на                      обработку персональных данных                        и                          с правилами пользования Платформой                       Направления           Программирование               Дизайн               Аналитика               Маркетинг               Управление               Финансы               Игры               Кино и Музыка               Маркетплейсы               Инженерия               Психология               Английский язык               Все курсы            О Skillbox           О нас               Центр карьеры               Отзывы               Контакты               Вакансии               Школа кураторов               Сообщество Skillbox               О платформе           Проекты           Вебинары               Медиа               Распродажа               Бесплатные курсы            Сотрудничество           Скидки для друзей               Партнёрская программа               Корпоративным клиентам               Работодателям               Материалы бренда                  8 (800) 500-05-22          Контактный центр          +7 499 444 90 36          Отдел заботы о пользователях             Есть вопрос или предложение?               Напишите        Сергею Попкову —        ответственному за качество курсов       г. Москва ул. Тимура Фрунзе дом 11 корпус 2 этаж 1 помещение 1 комната 75     hello@skillbox.ru    Оферта Оплата Правила пользования Платформой Политика конфиденциальности Рекомендательные технологии        Мы используем файлы cookie      для персонализации сервисов и повышения удобства пользования сайтом. Если вы не согласны на их использование      поменяйте настройки браузера.             Образовательные услуги оказываются ЧОУ ДПО «Образовательные технологии «Скилбокс (Коробка навыков)»        на основании Лицензии № Л035-01298-77/00179609 от 19 января 2022 года.               Образовательные услуги оказываются в соответствии с Федеральным законом        от 04.05.2011 № 99-ФЗ «О лицензировании отдельных видов деятельности».               Правообладатель ПО LMS «Skillbox 2.0» ООО «Скилбокс».        Премии Рунета2018 2019 2020 2021 2022 © Skillbox 2023</t>
  </si>
  <si>
    <t>skillbox.ru</t>
  </si>
  <si>
    <t>Как отдыхаем в майские праздники 2023</t>
  </si>
  <si>
    <t>21 апр. 2023 г. —</t>
  </si>
  <si>
    <t>https://www.infullbroker.ru/articles/mayskiye-prazdniki-2023/</t>
  </si>
  <si>
    <t>INFULL - финансовый маркетплейс банковских/страховых продуктов и услуг                       Москва                  +7 (800) 333-19-33                       Москва                  +7 (800) 333-19-33 СтрахованиеОнлайн ОСАГОКАСКОИпотечное страхованиеЗеленой картыИмуществаТуристамЖизни и здоровьяДМСДля бизнесаСтрахованиеЛизингФакторингDigital agencyЛизинговые компанииПомощь в ипотекеИпотечные программыСемейная ипотекаГосподдержка 2023Ипотека для ИТСельская ипотекаКомпанияО компанииКонтактыОтзывыВакансииСотрудничествоАвтосервисПолезная информацияЖурналНовостиРейтинг страховых компанийАдреса страховых компанийСтрахованиеЛизингПомощь в ипотекеАвтосервисDigital agencyЖурнал                      Москва                  +7 (800) 333-19-33               Оказываем полный спектр финансовых услуг              для людей и компаний с 2012 года            50+                    Страховых                    компаний                  374 000+                    Оформленных договоров93%                                      Положительных                    решений                  11 лет                                     Работаем                   с 2012 года                  Страхование автомобиля — получите полис максимально просто и быстро                  ОСАГОКАСКОЗелёная картаДСАГОСтрахование имуществаДомаКвартирыИпотекиКвадракоптеровМедицинское страхование — получите полис максимально просто и быстро                    ДМСТелемедицинаКоронавирусаТуристамВсе разделыПомощь в получении ипотеки — решение сложных вопросов                    НовостройкиСемейная ипотекаОформление документовВсе разделыКорпоративным клиентамСтрахование юридических лицЛизингФакторингDigital AgencyВсе разделы                  Представляем продукты более                  80 компаний и 20 банков                                      Страховые компании                                          Лизинговые компании                                          Банки                                   С нами вы в полной уверенности                                Без лишних                    движений                                      Дистанционное взаимодействие без поездок и очередей                                      Рядом                    когда надо                                      В любой сложной ситуации будем с вами на связи                                      Под защитой                    закона                                      На все время действия договора наши юристы будут на вашей стороне                                      Удобный                    формат                                      Если вам нужны оригиналы документов мы сами все привезем в удобное время                                Infull Journal — Свежие новости рынка страхования с нашей экспертной оценкой                Все статьи и новости              Финансы                  1 августа 2023                                    Цифровой рубль                  Ипотека                  25 июля 2023                                    Как быть если я не могу выплачивать ипотеку? Страхование ответственности ипотечного заемщика                  Авто                  25 июля 2023                                    Китайские автомобили: лучшие и надежные авто на российском рынке                  Ипотека                  25 июля 2023                                    Права и обязанности созаемщика по ипотеке                  Технологии                  25 июля 2023                                    Как правильно работать с клиентской базой в CRM                  КАСКО                  25 июля 2023                                    Что такое КАСКО                                         Москва                  +7 (800) 333-19-33                 Все самое интересное в нашей подписке!                              Спасибо за подписку!              Адрес вашей почты                    Подписаться                  СтрахованиеОнлайн ОСАГОКАСКОЗеленая картаИмуществаТуристамЖизни и здоровьяДМСИпотекиСтрахование бизнесаАвтоМедицинаИмуществоВоздушный транспортВодный транспортВсе разделыПомощь в ипотекеСемейная ипотекаИпотека с господдержкойИпотека для ИТСельская ипотекаИпотека на постройку домаИпотечные программыDigital AgencyВнедрение CRMРазработка сайтовДизайнПоисковое продвижениеКонтекстная рекламаSMMАвтосервисРемонт по ОСАГО и КАСКОМалярно кузовной ремонтУдаленное урегулирование убытковКузовной ремонтДетейлингПокраска автоЛизингГрузовых автомобилейСпецтехникиНедвижимостиКитайского оборудованияЛизинговые компанииПодбор недвижимостиИпотечный брокерИпотечные программыБанкиКомпанияО компанииКонтактыОтзывыВакансииСотрудничествоВопрос-ответПартнерыПолезная информацияСтраховые компанииАдреса страховых компанийЖурналНовостиКарта сайтаПолитика конфиденциальности            © 2012—2023 ООО «ИНФУЛЛ»                      Разработка сайта: АП-ИММы используем куки! Что это значит?Выберите ваш город              Введите название вашего города или выберите ниже.            Введите название городаМоскваСанкт-ПетербургНовосибирскЕкатеринбургКазаньЧелябинскОмскСамараРостов-на-ДонуУфаОтправка заявки на услугу              Оставьте номер телефона и мы перезвоним вам для уточнения информации. Наши менеджеры проведут анализ предложений по всем страховым компаниям.            Ваше имяВаш телефон                Я соглашаюсь с условиями обработки и хранения моих персональных данных              Отправить            Добавить отзывРейтинг12345Категория Автосервис INFULLБанковские организацииВЗРДМСЖизньЗеленая картаИпотечное страхованиеИпотечный брокерМедицинаО компанииОтзывы КАСКООтзывы ОСАГОСтрахование бизнесаСтрахование ГрузовСтрахование недвижимости ДругиеВаше имяТелефонФамилия                          Фотография                                                  Обзор                          Отзыв                    Я соглашаюсь с условиями обработки и хранения моих персональных данных                  Отправить</t>
  </si>
  <si>
    <t>www.infullbroker.ru</t>
  </si>
  <si>
    <t>Что ждет россиян в мае 2023 года: майские выходные, ...</t>
  </si>
  <si>
    <t>27 апр. 2023 г. —</t>
  </si>
  <si>
    <t>https://www.garant.ru/news/1621587/</t>
  </si>
  <si>
    <t xml:space="preserve">	������ - ���������������� (������� ������ ����� �������������) �� ��������� ����������� ��������.������������������������������������������� �������������������� ��������								��������							EngRu					������� ������� ������� � ������������ �� ����������� � ������									�������� ������ �������� �� 1300%				12 ������ 2023�����������		�����	���������������						������� ����� ����������� �����:											������� ������:											���������											������ ������											�� ������ ����� ��������� ������� ������ ����� �� ���������� �����:					�������� �������������� � ����������������������������������� ������������������������������������IT�������������������������� ����������� ������������� ��������������-20 ��������� � ���������������� � ���������������������� ��������� � 2024����������� ����������� ���������������� ��� ��� ���������� �� �������������� ����������������������� ������������������������� (100+)������ (1267+)���������������� ��������� (1601+)����������� ���������� (5277+)���� ���������������		�����					������������� �� �� ����������� ������������� �������� ����� ����������� ��������� ���������� ���� ��� ������������� �������������� �������� ������� � ����������� �����?					(��������� ������ 12.11.2023)									�� �������������� �������� �������� ������ ���� ���������� ������������� �������� � ���� �����													�� ����� ���� ����� ������� ���� ������������ ���������� �����													�� �� ������ ��� ��������� ���������� ������ ���������������� � �� �������� ����������� ����� ���													��� ����� �������� ���������� ����������� ���������													��� ������� ��������� �������� ��������������� �������������� ����������� ���� � ������													��� ��������� ��� ����� ��������� ��� ������ ��� ����� ������													���� ������� (������� � �����������)						���������� ������� ������������� 4 ������� 2023��������� ��������� ������������ "� ����������� ������� � ����� �������" (44-��)"�� ���������� ���������� � �� ������� ���� ����������  ��������� ������������� ��������� � �� ''���� �". ����������  ������� ��������� ��������� �������� ������������� �������������� �������.15 ������ 2023��������� ��������� ������������ "� ������������� ������"(223-�� �� 18.07.2011)��������� ����������� ��������� � �� ''���� �".       ���������� ������� ��������� ��������� �������� �������������       �������������� �������.��������-������ ������� ��������������������� ����� ���������			����������������� ������� ������ ������������ ��������� �� ���					���������� ������ ������ � �������� ��������� ������������ ������� ��					� 1 ������ 2024 ���� ����������� ��������� ������ ���������� �� ������ �������������� ���������������					������������� �� ���������� �������� ����������� ��������� �� �������					����������������� ����� ������������� ������������� �� ����������� ��������					� ������� ���������� ��������� ������� ������ ������� ������������					������ ���������� ����������� ������������ ���������� �� ����					�������� ���� ������������� ��� ����������� �������� �� ����� 2024 ����		������10 ������ 18:30			��������� ����					������ � ����� ����������� ������ �������������: �������������� ��������� ��� � 2024		10 ������ 16:47����� ��������			����					����������������� ������� ������ ������������ ��������� �� ���		26 �������			���������					������ ����: ����� ������ � ����� ���������� ������					� ��������������� ����������� � ����� ������� � ������ ������ ������ ��� �� ������ �� ��������������� �� ������������ ���������� � �������� �������� �� ���� ���� � � ����� ���������.		10 ������ 13:55����� ��������			��������					���������� ������ ������ � �������� ��������� ������������ ������� ��		10 ������ 13:22			������ � �������					� ������� ������ ������������ � ��������������� ��������� �� �������� ��������������� � ���������������� ��������		17 �������			���					������ ������������� ������: ���������������� � �������� ��������					� ��������������� ������ � �������� ����� �� �������� �������������� ������������ ������������ ������ ��������� ������� ������ ����������� � ��������������� �� ���� ������ ������������� ������ � � ���������.		10 ������ 10:34			������					��������� ������� ������ ������������� ������ ���������� �� ������� ������������ ������ �� ������ � 44-��		10 ������ 09:31			�������� ��������					�� �� ������� ��������� ������� ������ ��������� � ��� ��� ����������� � ����� �� ������ ����������		 5 �������			IT					������������� ��������� � ������� � ��������					95% ���������� ������-�������� ��� �������� ���������� �� � �������� �������� � �������� ���������.		 9 ������ 16:15			��������					� ������� ���������� ��������� ������� ������ ������� ������������		 9 ������ 15:39			�������� ��������					������������� ��������� ��������: ������ � ���������� ���������� ���� ���� �� �� �������� ���������������� � ������		 9 ������			������				������� �������� ����� ����������� ��������������� ������ ������ � �������					������ ������ ���������� ��� ������� � �������������� ����������� ��� ������� �������� �������������� ������� ������ � ������� ��������. �������������� ��� ������������ � ��������� �� ������������� ������� �� ������ � 44-�� ���������� � ������� � ���������� �������� ��� ����� ������������� ������ ����� ���������� ������. ����� �������� ������� ������ �������� � ��������� ��������� �������� "������" ������ �������.		 9 ������ 14:01			���������					������ �� ������������ ��������� �������� ������������� �� ������� ��������� �����?		 9 ������ 13:32			������ � �������					����������� ����� ����� ������� ������ � ��� ������ �� III ������� 2023 ����		 9 ������ 12:00����� ��������			���������� �����					������������ ������� ������� ��� ������������ ���������� ������������� ������� � ��������� ������ �� ��������		 9 ������ 10:34			������ � �������					�� ������ ��������� ����������� ������ �� 2022 ��� �������� ������ ������		30 �������			��������				��� ��������� � ������ � 1 ������ 2023 ����: ���������� ��������� ������������ ����������� ������������ ���-������ ��� �������� �������� ������������ ��������������� ��������					� ����� �������� ����� � ����� ���������� ����� ��������� ������������ ���������� � ����� ������ ���� ������������ ���������� ������� ������� ���������� ������������ ��������� ���������� ��������� � ����������� ������� ������ � �. �.		10 ������ 16:04			������ � �������					� ��������� ��������� �������� ���������� �������� �������� �������� ��������� ������ 03% �� �����������		10 ������ 15:32			���������					�� �� �������� � ������ ����������� ���������� ���� � ���� ��� ���� ������������ � �������� �����������		24 �������			��������� ����				�������� "������" �������� V ����������� ��� ����������� ����������� � ��������� ��������� �����					����������� ������� � ������-������� ��������� ��� ���������� � ������������ ���������� ������ ����������.		10 ������ 12:03�����			��������					� 1 ������ 2024 ���� ����������� ��������� ������ ���������� �� ������ �������������� ���������������		10 ������ 11:35�����			������ � �������					������������� �� ���������� �������� ����������� ��������� �� �������		30 �������			���					������������ ������� �������� �������������� �������������� ����������� � ����������� ������ ��� �����������					���� �������� ������� ������������ "��� �����" ������������ � ���������� ����������� � �������� ������������ � ���� ������������ �� �� ����������.		 9 ������ 18:30			���������					� ������� ������� ������� ������ �� ������������� ������������� ����������������		 9 ������ 17:46			������ � �������					����������� ������� ����������� ����������� �������������� ������� ��������������� � ���������� ��� ���������� ����������		 1 ������			��������				�������� ������� ���������������� � �����������		 9 ������ 14:55����� ��������			������ � �������					������ ���������� ����������� ������������ ���������� �� ����		 9 ������ 14:38			IT					����� ��������������� ��������� ����� ��������� ������������		31 �������			������ � �������					���������������� ��������� �� ������ 2023 ����					�� �������� �������� � ����� ����� ������� � ������ ������� � ������ 2023 ���� � ����� ���������� � ���������������� ����������.		 9 ������ 12:34			������					�������� ���� ������������� ��� ����������� �������� �� ����� 2024 ����		 9 ������ 11:26			��������					� ������� ���������� �������� ���� � �������������� �����		��� ������������������������������� ������				 2 ������ 2023								������								������� �� ��������� ���������*							��� �� ���� ���� ����������� ��������� ������������������� ������������ �� �������� ����������� �������� ������ ������������� �� �������������� ����. ��������� �� ���� � ���������.							26 ������� 2023								���������								������ ����: ����� ������ � ����� ���������� ������							� ��������������� ����������� � ����� ������� � ������ ������ ������ ��� �� ������ �� ��������������� �� ������������ ���������� � �������� �������� �� ���� ���� � � ����� ���������.							17 ������� 2023								���								������ ������������� ������: ���������������� � �������� ��������							� ��������������� ������ � �������� ����� �� �������� �������������� ������������ ������������ ������ ��������� ������� ������ ����������� � ��������������� �� ���� ������ ������������� ������ � � ���������.							 4 ������� 2023								IT								������������� ��������� � ������� � ��������							95% ���������� ������ �������� ��� �������� ���������� �� � �������� �������� � �������� ���������.							20 �������� 2023								��������								����������� ������������ � ��� ������������� � �������� ����������� ��� ������ ���������� ������������� ������� ��������� ����							� ��������� ��������������� ������� ������������� �������� ���������� ������������� ������������ � ����� ����������� (������� ����������� ���������� ��������) � ����������� (������� ��������� �����������).							 1 �������� 2023								�����������								������ ��� � ������ �����: ����������� ����������� �������� �������� � ������������ �� ��������� ���������������							� ���������-������������������ ����������� ��������� ������� ��������� � ������������ ��������� � ����� �� ����������� �������� ������� ����������� ���������� � �������� ����� � � ����� ���������.						��� ������		������                30 ������� 2023            				���							������������ ������� �������� �������������� �������������� ����������� � ����������� ������ ��� �����������							���� �������� ������� ������������ "��� �����" ������������ � ���������� ����������� � �������� ������������ � ���� ������������ �� �� ����������.			                 5 ������� 2023            				������ � �������							����������� ��������� ��������� �������������� ����������� � �������������� ����������������: �������� ���������							��� ���������� ������ �������������� ������������ ��� �������� ������������-�� ������� �������� �� ���������� ��� ���� ��������������� ����� ������������ ������ ���������� ������������ ������������ "������ � ���������-������������� ����������" ��� "������������ ���������� ����".			                27 �������� 2023            				������							����� �������� �������� ������ �������� ���������� ��� ������������� ���������� ������������?							� ������ ���������� �������� ���� ����������� ���������� ������� ���������� ���������� �������������� �������� ��� �������� ��������� � ������. ����� ����� � ����������� �������� ��� "��� �� 115-��" ��������� � ��������� �� ��� �������� �������� ������������ ���� �� ���/��.			                15 �������� 2023            				���							������� ��������������: ������� ���������� � ����� ������� ��� �� ������������							� ��� �  ����� ������� �������� � ��������������� ������ �� ���������� �������� �������������� � ��� ����������� ��� ������������� ������� �������� �� ����� �� ������������ ������������ ���� �������� ������� ������������ ����������� �������� "��� �����".						��� ������					��� ������		������� � ������		������� � ����������			������			����������� �����			�������� �����			����������			��������� ����			��������					������:							���� �������� �� ���������������� ������ � ������� ����������� ��� ���������� ��� ("������ ����� �������") � �������� �� ������������ �� ������� � �����������. ����������� ����� � ���� ��������� �����							������:							������ ��� ��� ��������� �������� �� �������� � ������ ������. ������ ������. �������� ������� ��������� ��������							������:							����� ������� ���������� ��� (���) � ��������� ������� �������� � ���������?							������:							����� ������ ��� ����������� �� ��������� ������� ������� ��������� �����							������:							��� ��������� � ������������ ����������� ������������ �� ��������� ���� ��������� ������������� � ���� �������� ����������� ������������ �� ��������� � �������������� ����� ����������?							������:							������ ���������� ������� �������� �������� � ������ ���� ����� ���� �������� � ������� ���� �� � ������� ���� ���������� � ����� � ��������� �������� ���������� � ���������� �� ������������?							������:							�������� ���� �������� ��������� �������� � ���� �������� ��������� �������� ��������� ������� ����������� ����� ���������������� ��� � ������ � ����������� ������ ���� ��� � ������� 8 103 236 ���. ����� ��������� � ������ ��� ��������� ������������������ �������� �� ������� �������������. �������� ���������� � ��������������� � ���� ������ ��� ����� � ������ ����� � ����� 10 000 000 ������. �������� ������ � ���. ��� ������ � ������������� ��������� ������� ��������. ��������� ����� �������� ���������� � ����� �� ����� 10 000 000 ������. ��� ������������ ��������� ������� �������� ���� � ������� ������ ������� ����������.����� �� ����� ��������...					������ �����		��� ���������������                        30 �������� 2022                    							������ � �������												������ ��������											�������������� ��������������� �������� �� 3 ������					"������ ��������� ���� ����������� ������ ��������� ������ ������� � 1 ������ 2023 ����"                        26 �������� 2022                    							��������� ����												��������� ������											����������� ��������� ������������ ��������� ����������� � ���������� ���������� � ��������������� ������� ������� ������					"�� ����� ��������� ������ �� ���������� ������������ ������� ������� ��������� ��������������� ��������� ������������� � ������������� ������������� ��������� �������"		��� ��������	����� � �����                         9 ������ 2023                                                ������                                            ������� �������� ����� ����������� ��������������� ������ ������ � �������                                    ������ ������ ���������� ��� ������� � �������������� ����������� ��� ������� �������� �������������� ������� ������ � ������� ��������. �������������� ��� ������������ � ��������� �� ������������� ������� �� ������ � 44-�� ���������� � ������� � ���������� �������� ��� ����� ������������� ������ ����� ���������� ������. ����� �������� ������� ������ �������� � ��������� ��������� �������� "������" ������ �������.                                         7 ������ 2023                                                ��������� ����                                            �������������� � ���������� � 2023: ����� ������� ����� ��������� ����� ������ �� ������ �������                                    �� ���� � ����������� ��������� ����� ������� �������������� � ������ ������ � ������: ����� ������� �������������� ����� ��������� ����� ������... �� ������� ����� �������� �� ����� ��������� �� ��������� �����. ��������� �������� � �������������� ���� �������� � ���������-�������� ������������ �������� "��������� �����" �������� "������".                        ��� ������    �����������			31 ������� 2023						������ � �������						���������������� ��������� �� ������ 2023 ����					�� �������� �������� � ����� ����� ������� � ������ ������� � ������ 2023 ���� � ����� ���������� � ���������������� ����������.					13 �������� 2023						�����������						����� � 2023: ������� �������� � ���������� � ����������					1 �������� �������� ���������� ����� ����� � �����. ����� ���������-������������������ � ������������� ���������� ������������� � ����������? ������ ������������ ������� �������� � ������� ������ � ���? ��� ����� ������ ��� ������������� ����������� ������� ��������? ������� �� ����� �����������.					��� �����������		���������� �������                     7 ������ 2023                					���������									77% ��������� ������� ������.�� ���������� ����������� ������ ������������ ����������� ����������������				                    30 ������� 2023                					��������									39% ������������ ������������ �������� ��������� � �������� �� �������� ��������� � ��������: �� �������� ���������� ������ � ������� ������� ����������� � �� ����������� �� �������				��� ������ ���������������� ���������		�����������		���������������� � ������� �� 10 ������ 2023 �.				������ ��� �� 11 ������� 2023 �. � 2018 "�� ����������� ����� � ������� �������� � �������� ������ ������ ����� �� ����������� ������� � ������ � �����...							���������� ����������� ��������� ������ �� 9 ������ 2023 �. "����� ����� �������� ����������������� ����� ������������� ���� �������������"							������������� ������������� �� �� 4 ������ 2023 �. N 1865 "� ����������� �������������� ������� "����������� ������ ��������� ������������� �� ���������� ��...						��� ����������� ���������				������						������ ������������ ����������� � ����� �. ������ �� 20 ������� 2023 �. N 990 "� �������� ��������� � ������ ������������ ����������� � ����� ������ ������...							������ ������������ ��������������� �. ������ �� 26 ������� 2023 �. N 1058 "� �������� ��������� � ������ ������������ ��������������� ������ ������ �� 5...							������������� ������������� ������ �� 26 ������� 2023 �. N 2042-�� "� �������� ��������� � ������������� ������������� ������ �� 10 ������� 2004 �. N 77-��"			�������� ������ ��� ����������� ����������� � ����� "������� ���������":					�. ������										�. �����-���������										��������� ����										�������� �������										������������� �������										������������ �������										������������ �������										�������� �������										������������ �������										������������� �������										����������� �������										����������� �������										��������� ���������� �������										������������� ����										���������� �������										��������� �������										���������-���������� ����������										��������������� �������										��������� �������										���������� ����										���������-���������� ����������										����������� �������										��������� �������										����������� �������										������������� ����										������������ ����										���������� �������										������� �������										������������� �������										�������� �������										����������� �������										���������� �������										���������� �������										�������� ���������� �����										������������� �������										������������ �������										������������� �������										������ �������										������������ �������										��������� �������										���������� �������										�������� ����										���������� ����										��������� �������										���������� ������										���������� �����										���������� ������������										���������� �������										���������� ��������										���������� ���������										���������� ��������										���������� �������										���������� ����										���������� ����										���������� ����� ��										���������� ��������										���������� ���� (������)										���������� �������� ������-������										���������� ���������										���������� ����										���������� �������										���������� �������										��������� �������										��������� �������										����������� �������										����������� �������										������������ �������										�����������										���������� �������										�������������� ����										���������� �������										�������� �������										������� �������										�������� �������										��������� �������										���������� ����������										����������� �������										����������� ����										�����-���������� ���������� �����-����										����������� �������										��������� ����������										��������� ����������										��������� ���������� �����										�����-�������� ���������� �����										����������� �������									��� ������						��� ������������ ���������				������ �������				���-��������� ������				���������� ������� � ���						����������� ��� �� ������� ����������� ���� ���������� ����� ������������� ����� � ������ ������������ ����������������							����������� ��� ������������ ��������������� ������ ��� ���������� ����������						��� ���������				����� �����������						������������� ������������� �� �� 2 ������ 2023 �. ��1847 ��� ��������� ��������������� �������� � ����� ��������������� ��������� � � ����������� �������...							����������� ����� ������ �� 9 ������ 2023��. "�� ������� � ������ �������� �������� ������"							����������� ����� ������ �� 8 ������ 2023��. ��� �������� ����� ������������ ���� �� �������� ������������� ���������						��� �����������		������� ����������		����������		223-��44-��54-����� �������������� ������������������� ������������������� ����������������� ������������ ������� � ���������������� � ������ ���� ����������������� � ������������ ����������� � ������������ � �������� � ������������� �� ���������������� �� �������� �� ����������� �� ������� ������ �������� ������������ �� ����������� ���������������� ��������� ����������������� ����������� ����������������������������� � ������� ����������� ������� ������������������� � ��������� �������������������� �������������� ������������ ����������� �� ����� ��������������� ������������ �������������� ��������������� �������� ����� �������� �� ��������� ���		�������						����������� ������							�������� ������							��������� ������							����							��������� ������							����������� �������������� ������							��������-�������������� ������							����������� �������������� ������							��������� ������							�������� ������							�������� ������							��������� ������							����������������� ������							���������� ������ ����������� �����							������ ����������������� ����������������							��������-�������������� ������							������ ������							������ ������							��������� ������							������ ��������� ������������							������ ����������� ������� ����������					������						����� "� ������ ���� ������������"							����� "�� �����������"							����������� ����� "� �������"							����������� ����� "�� ���"							����� "� �������"							����������� ����� "� ���������"							����� "� ���"							����������� ����� "�� ������"							����������� ����� "�� ��"							����������� ����� "�� �����"							����������� ����� "� �����"							����������� ����� "� �������� ����������� � ������� ������"							����������� ����� "� ������� ��������������"							����� "� ������"							����������� ����� "� �������� ������� � ���������� ���������"							����������� ����� "� �������������� ��������� ����� ������������"							����������� ����� "� ���������������"							����� "� ������������ ��������� ����� � ���������� ���������"							����������� ����� "� ������ � ���������� ������������"							����� �� ����������� ������������							����� "� ����� �� �����"							����������� ����� "� ����� ������ �����"							����������� ����� "� ����������� ���������� ���������"							����������� ����� "�� ������ ���������� �����"							����������� ����� �� ����������� �������							����� � �����������							����������� ����� "� ���"							����������� ����� "� ����������� �������������"							����������� ����� "� ����������������� (�����������)"							����� � ����������					������-�������				������						��� ���������								�����������				�������				����� ����� 12 ������ 2023			USD �� ��					920535									+01269				EUR �� ��					983155									-00921				������ ���� � ������������ ���������������� 15.00%											������������																									������ ����������																											������ ��������� �� ����������� ������ ��������� ����������																											������ ������ �� ��������� ���������� ��� � ������																											������ ����� �� ������� ������ � �������																											������ ����������� �� �������� ���������� ����� ������ ������� ������ ��� ���������� � ���� ������ ������������� ���������																											������ ���																									��� ������������											���������        ���������������� ��������� �� 2023 ���            ���������������� ��������� �� 2024 ���    �������������������������������������������������������������123456789								10												1112								13																				14																				15																				16																				17												1819								20																				21																				22																				23																				24												2526								27																				28																				29																				30												21/91671502998��������������������								1																				2																								3*								456								7																				8																				9																				10												1112								13																				14												15								16																				17												1819								20																				21																				22																				23																				24												25262728								29												3021/91671502998��������������������12345678910111213141516171819202122232425262728293021/91671502998��������������������								1												23456								7																				8																				9																				10												1112								13																				14												15								16																				17												181920								21																				22																				23																				24												252627								28																				29												3021/91671502998������� ����� ������� ���������� ����� �������� ���������� ����������� ��� ���������� 5-������� ����� ���������� �� ������ ������ � �����������?���������� ������ ���������				������� ***							� ����� ����������� ����������� ��������� � ��������							ElenaO							�������� ������ ������������� ������ �������������� ������ ��� ������ ��� ����� ��� ������ ���� � ���							irinaks							������� �������� �������			����������� ��������� 7 �������� 2023 10:52				Cloud4Y �������� ��������� �������������� � ������������ � ������� � ������������ ������							������������� �������� ��������� Cloud4Y ����������� �������� ���������� ������������ �������������� �������� ������� ������ ������.			18 ���� 2023 15:54				������������� ��������� �� "������- ����������"							������������ � ����� ���������� �� "����������������" � ������������� ��� ���������� ������			28 ���� 2023 17:38				����������� ����������� ������������ ISO 14001							ISO 14001 ��������� � ������������ ������������ � ������������ ������������ ����������� � ������ ���.			28 ���� 2023 17:37				������������ ������������ �� ISO 45001							������������ �� ��������� ISO 45001 ���� ��� ����������� �������: ���������� ������������ � �������� ���������� ���������� ������ �����.			 7 ���� 2023 12:03				����� "������" � ��� �������� �������							"������" ������ � ������ ������ ������� ����� ����� � �������� � 16 ������� ����			 7 ���� 2023 12:00				��� �������� ������������ ISO 9001							����� ��������� ������� "�����" ���������� ������ ������������ �� ���� ������.			20 ������ 2023 15:13				��������-������� ����� ������� ������� � ������ �����							��� �������� ������������� �������� ������� ���� ���������� � ��������� ����������������� ����������� � ��������� �� ��������� �������.			13 ������ 2023 18:42				��� ������� ������������� ����							� ���� ����������� ������������ ��������� ������������� ���� � ��� ����������� ������������ ��� ����������� ������������ � �������� ��������������� ������ �� ������� ����������. �������� � ���������� �����...			12 ������ 2023 11:38				��������� "�����": ��������������� � ����������							������� ����������� ������� �� ���� ��� ������ � ������� �������� �������������� �������� ��� ����� ������.			 7 ������ 2023 16:50				���������������� ����������: 5 ���������� ������ �� ������� ������������� ��������������							�������������� � ���� �� ���������� ����� ��������������. ������ � ��� ��������.						��� ���������					�������		��� �������������� ��������������-��������13 ������ 2023 ������ ��������� �������� ��� ���������. ������������ ������������                ���������� �������� �����������            ������� �������14 ������ 2023 ��� 2023-2024: �������� � ����� �������                �������� ����� �����������            ������� �������������� ��������26 ������� 2023		�������� "������" ������� ������� � �������� �� ������ ����� � ������	�� ������ ������� ���������� �������� ������ �������� ���������� ��� ����������� ������� ���������� ������� ����� �� ������������.24 ������� 2023		�������� "������" �������� V ����������� ��� ����������� ����������� � ��������� ��������� �����	����������� ������� � ������-������� ��������� ��� ���������� � ������������ ���������� ������ ����������.17 ������� 2023		���������� ����� ����������� ����� ������ ��������	�������� �������� "������" ������� ��� � ������ ����� ���������� ���������� ����������� ����������� ����� � �������� �������.13 ������� 2023		�������� "������" ���������� IV ������������� �������� ����-��������� "�������+"	���������� �������� ������ � ����������������� ��������� ������� ������.�������� � �������������������-�������� �����������					����������� ������									������� ������									�������� ����������									�����									�������� ������ www.garant.ru									"����� �������"									������ "����������������"									������������ �� ����������� ������									������������� ����������� ������-��������									����������� ������									"�������� ��������"				���� �������������������������� ������������������ ��������������� ������� �������������� ����-�������������������������� ������������� ��� "��������������� ����� ������"�������������� � �������� ������������������� � ����������������					������� ��������									������� ����������� � �������									�������� ��������									�������� �����				�����-�����					������� ��������									���������� ��� ���									�������������� �����������				������� ������������� ���������� ��������������� � ��������� ��������� ������������ ������������������ ��������������� ��������� �������� "������"!C�������������������� "�������� ������"���������������� ������ ������ � ������� ������ ��������� �� 3 ���!�������� ������				� ��� "��� "������-������" 2023. ������� ������ ����������� � 1990 ����. �������� "������" � �� �������� �������� ����������� ���������� ���������� �������� ���������� ������.							��� ����� �� ��������� ����� ������.�� ����������� ��� "��� "������-������" (��� 7718013048 ���� 1027700495745). ������ ��� ��������� ��������������� ���������� �������� ������ �� ����������� ���������� ���������������. ������� ������������� �������.				������ ������.��  ��������������� � �������� �������� ������� ����������� ������� �� ������� � ����� ������������������� ���������� � �������� ������������ (��������������) �� � ��77-58365 �� 18 ���� 2014 ����.			��� "��� "������-������" 119234 �. ������ ��. ��������� ���� �. 1 ���. 77 info@garant.ru.����������� ��� ������� ������ � ��� ���� �������-������-������������8-800-200-88-88				(���������� ������������� ������)							��������: +7 (495) 647-62-38 (���. 3145) editor@garant.ru				����� �������: +7 (495) 647-62-38 (���. 3136) adv@garant.ru. ��������� ����������� �����				���� �� �������� �������� � �������������� �� � ������� Ctrl+Enter			 </t>
  </si>
  <si>
    <t>www.garant.ru</t>
  </si>
  <si>
    <t>Майские праздники в 2023 году в России - как отдыхаем ...</t>
  </si>
  <si>
    <t>Выходные на 1 мая 2023 года по новому постановлению правительства продлятся 3 дня – с 29 апреля до 1 мая. А также, официальными праздниками будут считаться 9 ...</t>
  </si>
  <si>
    <t>https://artist.ru/prazdniki/majskie-prazdniki/</t>
  </si>
  <si>
    <t>Заказать артиста на праздник пригласить звезду на мероприятие - база Artist.ruВся РоссияВыберите городВся россияМоскваСанкт-ПетербургЕкатеринбургКазаньКраснодарНовосибирскПермьЧелябинскАнапаБарнаулБелгородБрянскВеликий НовгородВерхняя ПышмаВладивостокВладимирВолгоградВоронежИжевскИркутскКалининградКалугаКаменск-УральскийКемеровоКостромаКрасноярскКурганМагнитогорскМиассНабережные ЧелныНижний НовгородНижний ТагилНовокузнецкНовороссийскОмскОренбургОрёлПервоуральскРостов-на-ДонуРязаньСамараСаратовСочиСургутТверьТольяттиТомскТулаТюменьУфаХабаровскЧебоксарыЯрославльКрымБелоруссияКазахстанУкраинаДругие регионыЗаказать артиста на праздник пригласить звезду на мероприятие - база Artist.ruРегистрацияВходАвторизацияЛогинПарольвосстановить доступВойдите через социальные сети: или зарегистрируйтесь по e-mailВам отправлено сообщение на e-mailВходРегистрацияВыбранный городВся РоссияВся россияМоскваСанкт-ПетербургЕкатеринбургКазаньКраснодарНовосибирскПермьЧелябинскАнапаБарнаулБелгородБрянскВеликий НовгородВерхняя ПышмаВладивостокВладимирВолгоградВоронежИжевскИркутскКалининградКалугаКаменск-УральскийКемеровоКостромаКрасноярскКурганМагнитогорскМиассНабережные ЧелныНижний НовгородНижний ТагилНовокузнецкНовороссийскОмскОренбургОрёлПервоуральскРостов-на-ДонуРязаньСамараСаратовСочиСургутТверьТольяттиТомскТулаТюменьУфаХабаровскЧебоксарыЯрославльКрымБелоруссияКазахстанУкраинаДругие регионыЧаще всего ищутВедущийМузыкальные группы ВИАТанцы шоу-балетыОригинальный жанрФотографыEvent-агентстваАртисты по жанрамВедущие Шоу-балеты Fire-шоу Фокусники Клоуны Стриптиз ...ВедущиеСвадебные ведущиеТамадаЮмористыАктеры театраАртисты циркаДвойники ПародистыИллюзионисты фокусникиОригинальный жанрКлоуныЖивые статуиРостовые куклыДед мороз и снегурочкаБармен-шоуОгненное шоу (Fire-show)Песочное шоуТравести-ШоуШоу барабановШоу мыльных пузырейЭкстрим-шоуТанцы Шоу-балетыКлубные танцы АниматорыСтриптиз Эротические шоуМузыкантыВокалисты ВИА Аккордеон Гитара Скрипка Саксофон Шансон Dj...ВокалистыВокалисткиВокальные группы дуэтыМузыкальные группы ВИАИнструментальные коллективы оркестрыАккордеонАрфаГитаристыКлавишникиНародные инструментыСаксофонистыСкрипкаУдарные перкуссияРесторанные музыкантыАльтернативная музыкаФольклорЦыганские коллективыШансонDJАранжировщикиЗвукооператорыКомпозиторыУслугиФотограф Видеосъемка Флористика Стилисты Распорядители Автомобили ...Фотограф фотосъемкаВидеосъемкаХудожники шаржистыФотокабинка фотобудкаФлористика (оформление цветами)Художественное оформление залаАттракционыПрезентационное оборудованиеКейтерингФейерверкиВизажистыПарикмахерыСтилистыМастер ногтевого сервисаБоди-артСвадебный распорядитель координаторСценаристыПоэты и поэзия (лирика)ХореографыТоп моделиФотомоделиАвтомобили ЛимузиныСтудии звукозаписиТеатральные костюмыОрганизация мероприятийКорпоративы Свадьбы Юбилеи Детские праздники ...Частные мероприятияКорпоративные мероприятияДетские праздникиДеловые мероприятияСвадебные агентстваEvent агентстваСтудии детских праздниковКонцертные агентстваРекламные агентства и PRПродюсерские центрыБукинговые агентстваМодельные агентстваПлощадкиРестораны Кафе Бары Конференц-залы Коттеджи ...РестораныБанкетные залыСтоловыеКафеЗагородные клубы виллы коттеджиОтели гостиницыБазы отдыха турбазыБары пабыНочные клубыБанкетные шатрыКонференц-залыКараоке-клубыБлижайшие праздники21 ноябряДень бухгалтера26 ноябряДень матери27 ноябряДень морской пехотыВсе праздникиБаза артистов23 800 профессионалов: артисты музыканты площадки и организаторы мероприятийРоман ШуролеИллюзионистВалентин ТаранВедущий на корпоративСветовое шоу "X-KEEPERS" (ХРАНИТЕЛИ)Световое шоу                            Вы артист или специалист event-индустрии? И у вас до сих пор нет страницы на Artist.ru?                Не упускайте заказчиков! Регистрируйтесь на портале сами и призывайте к этому своих коллег.                    Спецпредложения исполнителей13 ноябряпонедельникФото- и видеосъёмка Александр МалининФотографФотограф на Новогодний корпоратив свадьбу и юбилей.18 000 руб.14 ноябрявторникДед Мороз-Оркестр Дедов Морозов и Санта клаусовДед морозНовогодние артисты для Вашего мероприятия. Деды Морозы Санта Клаусы Снеговики и Снегурочки. Специальная скидка по промокоду Artist-ru49 500 руб.17 ноябряпятницаВедущий и комментатор Андрей ОдинцовВедущийВаш ведущий37 000 руб.СтатьиКакую свадьбу выбрать: публичную или приватнуюДля кого-то свадьба это большое торжество где каждый гость должен остаться под впечатлением и вернуться домой с кучей фото а для кого-то это праздник только для двоих. Одни пары предпочитают публичное освещение мероприятия но не все готовы погружаться в мир социальных сетей выбирая приватность. Некоторые невесты транслируют события с этапа подготовки и даже спрашивают у подписчиков совета в выборе платья.18.10.2023244#ДеталиИдеи и атрибуты для стильной осенней фотосессии на улицеГлавное - вовремя поймайте нужный настрой вдохновитесь особой осенней атмосферой.28.08.2023927#ИдеиРабота над ошибками при подготовке к свадьбеСамые распространённые ошибки которые совершают молодожены при подготовке к свадьбе3.08.2023697#ЛикбезОчередность тостов по этикетуИскренние оригинальные мудрые и добрые тосты запоминаются на всю жизнь.15.06.20231370#ЛикбезАфиша мероприятийXIII Евразийский Ивент Форум ("EFEA")EFEA - первый в России форум индустрии встреч традиционно в начале делового года объединяет на одной площадке лидеров евразийского ивент сообщества событийного маркетинга экспертов делового и инсентив туризма.17 - 19 январяСанкт-ПетербургНовости исполнителей⛔ HЕ ЗHАЕTE КАК ИНТEРEСНO И BЕСЕЛO ПPOBECTИ ДЕНЬ РОЖДЕHИЯ?Предстaвляeм вaшeму внимaнию уникальный квиз-шоу на пpаздник 🎁Это пoдaрит вам 2 часа совмeстнoго вeсeлья a именно1 час:✅ "Bинoвник тоpжeства" (тур сделанный пo вашим интереcам в крaсивoм oфоpмлeнии)✅ "Детский балаган" (забавная угадайка по детским фоткам)✅ И 2-3 тура по общим интересам (есть 4 варианта на выбор)🕺🕺🕺 Небольшая пауза 💃💃💃2 час:✅ Командная игра: "Кто сверху!?" - это для взрослых/"Самый умный" - для детишек✅ Командная шоу-программа "А ну перетанцуй меня..." - ничего общего с А. Реввой 😃Ну и конечно же выносим торт 🎂P.S.:💥 Весь ноябрь скидки по будням скидка 30% 💥Напишите в л/с чтобы узнать о свободных датах 💎Ведущий Сергей КолосовскийНовости telegram-каналаОдин из самых трогательных моментов на свадьбе-выездная регистрация!Так радостно видеть счастливые родные глаза своих близких родных! Чувствовать поддержку!Свадьба Елены и Антона 15.09.23гВедущие дуэт "Уютный вечер"Зеркальные драконы готовы блестнутьЕсли хотите эффектно блестнуть перед гостями вашего праздника то зеркальные люди "Невидимки" отлично подойдут для этого. Зеркальные драконы люди и другие персонажи встретят гостей праздника на вэлком-зоне торжественно откроют ваше мероприятие сделают фирменный танец украсят промо-акцию или презентацию товара.Костюмы выполнены из множества отражающих ярких зеркал. Глядя на них невозможно сдержать эмоции и восторг! Сотни Ваших улыбок отражаются и дарят солнечных зайчиков всем кто находиться рядом приумножая свет и волшебный эффект уникального костюма.Зеркальные люди "НЕВИДИМКИ"ПОЮЩИЕ ДРАКОНЫ - символ Нового годаУдивите гостей вашего события музыкальным шоу "Поющие драконы". Единственное в России музыкальное  шоу в котором Драконы играют и поют. Тем более что символ нового года - Дракон. Только проверенные кавер-хиты танцы и фото с Драконами в завершение шоу. Несколько ценовых программ.Есть программы для корпоративов и семейных фестивалей. Выступаем на улице!Для заказчиков из Екатеринбурга приятный бонус - вы не переплачиваете за трансфер  коллектива как это делают заказчики из других регионов. Читайте отзывы и смотрите видео. Агентская комиссия. Бронируйте заранее.Кавер-группа "ПОЮЩИЕ ДРАКОНЫ"Новости telegram-каналаА между тем в фотостудиях всё сложнее найти свободные часы для съёмок. Предновогодние фотосессии идут очень активно. Есть смысл позаботиться о брони времени съёмки заранееАнтон РепинНовости telegram-каналаУже завтра! Мировые хиты в исполнении электроскрипки с оркестром! 10 ноября 2023 года КДЦ Московский начало в 19:30  В программе будет: Nirvana "Smells like teen spirit" Linkin Park Ac/Dc The Cranberries "Zombie" Queen "The show must go on" и многое другое. А также саундтреки из любимых фильмов от "Пиратов Карибского моря" до "Титаника" от "Крестного Отца" до "Игры Престолов" и даже темы из "Агента 007". Два часа драйва восторга и любимых композиций! Мелодии из любимых кинофильмов рок-хиты и непередаваемые эмоции! Лучшие классические и рок музыканты Санкт-Петербурга на одной сцене. Это событие нельзя пропустить! Сделайте вечер незабываемым! Билетов все меньше: https://spb.kassir.ru/action/7207Скрипичное шоу Анастасии ЛаптевойОцените моменты тысяч реальных мероприятийОбщение на актуальные темыВсё было "кругло" при обычном доступе в Instagram и "сжимается" при попытках подключения через VPN.Мы присутствуем везде - зачем ограничивать себя одной соцсетью инстаграм телеграм вк ютюб - публикуемся и взаимодействуем!))) Всем больших охватов!!!Шоу-балет "Z-DANCE"7.05.202341 978Новый информационно-рекламный формат – "Объявления"Бонусные баллы можно легко использовать при активации рекламы на портале.Для того чтобы использовать бонусы при заказе рекламы укажите "Использовать бонусы" на странице заказа.Небольшая инструкция: На портале доступны несколько видов рекламы. Описание и актуальная стоимость доступно в вашем профиле.Artist.ru17.02.202352 016Ищем музыкантов в Южную КореюЗдравствуйте.Люблю и уважаю Корею и корейскую культуру.Жаль только - у меня на Российском сайте: Госуслуги - написано: выезд за границу запрещён ➡️ возможно из за долгов по жкх и в банк возможно из за ситуации с Украиной..Ды и читаю я рэп (авторский и пару каверов) а танцую Hip - Hop .. и далеко - не как BTS(Но возможно даже позвоню вам 🙏🏻Всего Доброго.Роман Петров16.02.202333 228Новые исполнителиИгровая арена "Место Пряток"Корпоративный праздникНаталья КутусоваВедущаяКристина БондарцеваФотостудияАлексей СвистоплясовВедущийВоронежский Стендап КлубStand-up комикАйсылу КадыроваПевицаСветовое шоу "X-KEEPERS" (ХРАНИТЕЛИ)Световое шоуВалентин ТаранВедущий на корпоративРоман ШуролеИллюзионистО проекте                Copyright  Artist.ru 2010 - 2023 Все права защищены.При использовании информации с сайта Artist.ru активная ссылка обязательна.                Политика конфиденциальностиРазделы сайтаО проектеКаталогСтатьиФорумПлатные сервисыПомощьКонтактыМобильное приложениеМы в социальных сетях </t>
  </si>
  <si>
    <t>artist.ru</t>
  </si>
  <si>
    <t>Как отдыхаем в майские праздники 2023 года</t>
  </si>
  <si>
    <t>28 мар. 2023 г. —</t>
  </si>
  <si>
    <t>https://ufacity.info/press/news/481326.html</t>
  </si>
  <si>
    <t>Официальный сайт Администрации ГО г. Уфа РБЕдиная служба по работе с застройщикамиПредпринимательство и инвестицииПресс-центрЛента новостейРемонт подъездов 2023Мосты Уфы онлайнГостямСми о насФото городаАдминистрацияМуниципальные программыПоложение об АдминистрацииУстав города УфыПортал для предпринимателейМуниципальные торгиМуниципальные услугиПротиводействие коррупцииВакансииОбщественные обсужденияОткрытые данныеНаграды вручаемые АдминистрациейКонкурс проектов памятника Куприяновой Маргарите НиколаевнеАнтитеррорЛучший проект памятного сооружения "Первому учителю"Структура / СправочникДокументыГрафик личного приема руководителейОбращения гражданРайоныДемский районКалининский районКировский районЛенинский районОктябрьский районОрджоникидзевский районСоветский районВсё об УфеИстория УфыИсторические фотоИсторические видеоВыдающиеся землякиДень в историиРейтинги и показателиФотогалереяВиртуальные турыВидеогалереяУфа интерактивнаяСообщи о бездомной собакеКарта ямочного ремонтаУфа чистая«ПАВОДОК 2.0»«Моделирование паводковой обстановки»Карта мест накопления ТКОИнтерактивная карта ремонта дорогУфа снежнаяСвободные муниципальные помещенияЗелёная БашкирияСообщи о пьяном водителеНацпроектыВойти РусБашEng Рус Баш EngВойти 10 ноя 2023 Деревьям Уфы – внимание особое Обновление зеленых насаждений в городе является необходимой мерой.09 ноя 2023 В Уфе приступили к монтажу балок пролетного строения Шакшинского мостаМостовое сооружение обновляется по нацпроекту «Безопасные качественные дороги». → к главным новостямСила ловкость и умТурнир в честь настоящего патриотаПод звуки кураяСдать географию на «пять»Оперативный штаб Уфы: главное«Город талантов» открывает двериСам себе продюсер и режиссерЕсть делоЖалобы на всё                        Не убран мусор яма на дороге не горит фонарь?                         Столкнулись с проблемой — сообщите о ней!  Подать жалобу Документы08.11.2023                                     №1962                                    Об утверждении проекта планировки и проекта  межев...                  08.11.2023                                     №1959                                    Об утверждении проекта внесения изменений в проект...                  08.11.2023                                     №1982                                    О внесении изменения в постановление главы Админис...                  08.11.2023                                     №1964                                    Об утверждении проекта межевания территории микрор...                  08.11.2023                                     №1963                                    О подготовке проекта о внесении изменений в Правил...                  08.11.2023                                     №1961                                    О создании Согласительной комиссии по урегулирован...                  Фото дняФотоматериалы пресс-службы→ в раздел Статьи→ в разделХотите жить в комфортном городе? Тогда не забудьте отдать свой голосНововведения в Федеральном законе от 30 декабря 2004 г. №214-ФЗ «Об участии в долевом стро...Памятка о классификации гостиницПамятка об ограничении курения табака при оказании гостиничных услугЦифра дня213млн рублей выделено Уфе на развитие туристического кода  ЖИТЕЛЯМ  полезная информация и ссылки  ГОСТЯМ  полезная информация и ссылкиНазадДалее Контактные телефоныЭлектронная почта: cityadm@ufacity.infoПри перепечатке или цитировании (полном или частичном) ссылка на Официальный сайт Администрации городского округа город Уфа Республики Башкортостан обязательна. Для Интернет изданий прямая активная гиперссылка обязательна.Версия для слабовидящих РеквизитыСправочник АдминистрацииСхема проездаУставСферы деятельностиОбращение к руководству городаАнтитеррорПротиводействие коррупцииАнтимонопольный комплаенсНациональные проектыРаспределение жилья и реализация жилищных программамГородской советМуниципальные услугиМуниципальные торгиМуниципальные закупкиМуниципальный контрольЗемельные ресурсыОценка регулирующего воздействияУправление транспорта и связиУправление по взаимодействию с институтами гражданского обществаРеестр должниковУфа 450Службы экстренного вызоваПредпринимательствоСтроительствоПромышленностьРазвитие конкуренцииСписок наименований улиц УфыАрхивНародная дружинаЭлектронные очередиУправление потребительского рынка туризма и защиты прав потребителейКомплексное развитие территорийwww.soka.co.kehttps://www.mercadocentral.clhttps://www.rmhamm.lumarlina.idlibichava.skfc-etzella.luMod Bussid        Администрация городского округа город Уфа Республики Башкортостан © 2000-2023 гг.      				Размер шрифта: 141820				Цветовая схема: AAAАвторизацияЛогинПарольЗапомнить меняРегистрацияЗабыли свой пароль?Войти как пользователь:Войти как пользовательВы можете войти на сайт если вы зарегистрированы на одном из этих сервисов:ОдноклассникиВКонтактеИспользуйте вашу учетную запись Odnoklassniki.ru для входа на сайт.Используйте вашу учетную запись VKontakte для входа на сайт.Закрыть</t>
  </si>
  <si>
    <t>ufacity.info</t>
  </si>
  <si>
    <t>Как отдыхаем на майские праздники в 2023 году</t>
  </si>
  <si>
    <t>10 мар. 2023 г. —</t>
  </si>
  <si>
    <t>https://www.sravni.ru/text/kak-otdyhaem-na-majskie-prazdniki-v-2023-godu/</t>
  </si>
  <si>
    <t>Какие дни будут нерабочими в майские праздники 2023 ...</t>
  </si>
  <si>
    <t>https://its.1c.ru/db/answersstaff/content/4749/hdoc</t>
  </si>
  <si>
    <t xml:space="preserve">�������������� ������� 1�:���     ����  �� 1�:�������-������������� ��������� �������������� ��������� 1������� ����������������� ����������������� ���������������������������� ������������ ���������� ����������������� �� �������� �������  				������ � �������� �������:				����� �� ������������													�������� ������ � ���������� �������������� ������� 1�:���:				��������� �� 7 ������ �������� ����� ���� ������������������������������� ����������� ������������������������� ������������������������ ��������������� ������������ 1�������1�:������������� � �������� 1�������� ����� 1��� ����� ��� � ����� �������� ������� �� ������������ � ������ ���������� �����?96������ �� ���������� ����� ������������� ���� ������� ������������� ���������� �� ����������?79������ ������ ��������� � ��������� ������������ ������ ������������� �������� ��� ����������97�� ������� 1�:��� ������������ ����� ������ 3.1.9.209 "1�:���������� ����������� ���������"17� ������ ����������� ����������� �� ���������� ���������100����� �� ���������� ������ �������� �� ������� ��� ����� ��������� �����������?95����� �� �� ��� ��������� � ������� � �������������?118�� ������� 1�:��� ������������ ����� ������ 3.1.28.12 "�������� � ����� ���������������� ���������� ����"4�� ������� 1�:��� ������������ ����� ������ 3.1.28.12 "�������� � ���������� ���������� ����"4���������� ����� ���������� �� ������ �� ������������837������������ ������� 1�:��� ������������ ����� ������ 3.1.28.12 "�������� � ����� ���������������� ����������"8�� ������� 1�:��� ������������ ����� ������ 11.5.15.40 "���������� ���������"2�� ������� 1�:��� ������������ ����� ������ 3.1.28.12 "�������� � ����� ���������������� ���������� �������"2�� ������� 1�:��� ������������ ����� ������ 3.1.28.12 "�������� � ���������� ����������"7�� ������� 1�:��� ������������ ����� ������ 2.5.15.40 "����������� �������������"3��������� ����� ���������� 3-���� �� 2023 ���157�� ������� 1�:��� ������������ ����� ������ 3.1.28.12 "�������� � ���������� ���������� �������"0�� ������� 1�:��� ������������ ����� ������ 2.5.15.40 "ERP ���������� ������������"3�� ������� 1�:��� ������������ ����� ������ 3.1.27.113 "�������� � ����� ���������������� ���������� ����"0�� ������� 1�:��� ������������ ����� ������ 3.1.27.113 "�������� � ���������� ���������� ����"6�� ������� 1�:��� ������������ ����� ������ 3.1.27.113 "�������� � ����� ���������������� ����������"10�� ������� 1�:��� ������������ ����� ������ 3.1.27.113 "�������� � ����� ���������������� ���������� �������"1�� ������� 1�:��� ������������ ����� ������ 3.1.27.113 "�������� � ���������� ����������"11�� ������� 1�:��� ������������ ����� ������ 3.1.27.113 "�������� � ���������� ���������� �������"0�� ������� 1�:��� ������������ ����� ������ 1.3.215.1 "1�:���������� ���������������� ������������"11���������� �� ������: ���� ������������ (����������� � ���������) ������������� � 1�:��� 8 ���. 2112��� � "1�:��� 8" (���. 3) ������� ��� ���������� ����� � ��������� �����?160����� �� ������� ���� ���� ��������� �������� ������?124��� ��������� ���� �� ������������ ���������������� ����� ��������� ������� �����?169�������� �� ����������� �� ����������� ������� �� ��� ���� ������� ������?339��� ������ ����� �������� ����?582����������10���'23�� ������� 1�:��� ������������ ����� ������ 2.0.94.37 "����������� ���������������� ���������� ����"21�� ������� 1�:��� ������������ ����� ������ 2.0.94.37 "����������� ���������������� ����������"47������� ������� ����� �������������� ���������� ��� �������������202�� ������� 1�:��� ������������ ����� ������ 2.0.94.37 "����������� ���������������� ���������� �������"8�� �� ��� � ��� ��������� � �����. ��� ����� � �������� ���� �������� ����� ������?398������� �� ������������ ����������� ������� ������� � 2019 ����?99� ����� ���� ��������� ����� �������� �������� ���?227����� �� � 2024 ���� �������� ����������� � ����� ������ �� ���������?2211������������� �������� ��� �� ������ ��������� �� ��������� �������� �� ����������?316��� � "1�:��� 8" (���. 3) ������������ ������ ���������� ������ �� �����?457��� � "1�:��� 8" �������� ������ �������������� �������� ���� ��� ����� �� ��������-���������142���������� �� ��������� ������� �� ������� 2023 ���� � "1�:����������� 8"142���������� �� ������ �� ������� �� ������-������� 2023 ���� � "1�:����������� 8" ��� ������ ����������� ��������� �������� ������ �� ����������� �������100����� ����� ��������� � ������ ���������� �� ������ �� ���������?301����� �� ���� ���������� �������� ������ �� ���������� ����������?521��������������� �� ������� ���� �� �������� � ���������� ��������� ��������486����� �� �������� ���-1 �� ������������ ���� �� �� ����������� ���?549��������������� �� ���������� �������� ������� ����� 3.2 ���� ��������� ������?20509���'23� ����� ������� ����������� �� ���� � 2024 ���� ����� ������� ������ �� ����������?31908���'23 ��������� ���������� 1�:��������			 ����������� ����		 ������ 2023 ����������� 2023 ������������ 2023 ���������� 2023 �������� 2023 �������� 2023 ������� 2023 ���������� 2023 �������� 2023 ����������� 2023 ���������� 2023 ����������� 2022 ������01��02��03��04��05��06��07��08��09��10��11��12��13��14��15��16��17��18��19��20��21��22��23��24��25��26��27��28��29��30 ���������������� ��������� �� 2023 ����������� ���������������� ���������� ��������� ����������� ����� ���������� � ������ ������� (�������) � 2023 ��������� ������ ����������� �� ����������� ������� (�������) � 2023 ���������� ��������� ���������������� � 1 ������ 2023 �������-5 �������� �������������������� ������� ���. ����������������������������������������������������������� � ������������������ ��������������-1����������������������������������������� ��������6-������������������������������� �������������� ���������������� ����������������� 1�:����������� �������� ����������-����������� ����� 1�1�.ru������ ���1� ���������� �������1�:����������� 8���.1�.ru1�:����1�:������������1�:����������1����1�-��������������������� ���������1�:�����������1�:����1� �������1� ��� ��������		���������������!���������Telegram� ��� �1�-�����. ��� ����� ��������		������ ����� Liqium  										© ��� �1�-�����. ��� ����� ��������																		�������������� ������� 1�:���								 ���������� �� ����� � ���������� 1����������� �� ���������� �� 1������������� �� ��������������������� � ������������������� �������������� ����������� �����������������1�:������������� � ������������� � �������� 1������� �� ��� ���������  </t>
  </si>
  <si>
    <t>its.1c.ru</t>
  </si>
  <si>
    <t>Длинные выходные: как отдыхаем в мае и июне 2023 года</t>
  </si>
  <si>
    <t>25 апр. 2023 г. —</t>
  </si>
  <si>
    <t>https://www.business-class.su/news/2023/04/25/dlinnye-vyhodnye-kak-otdyhaem-v-mae-i-iyune-2023-goda</t>
  </si>
  <si>
    <t>Новости Перми и Пермского краяИсторииПерсоныНовостная рассылкаАрхив номеров ПолитикаЭкономикаНедвижимостьГородБизнесДороги и транспортПроисшествияКультураСпорт     		Свежий номер    	Строительство в Перми Пермь-300Кафе и рестораны   ПолитикаЭкономикаНедвижимостьГородБизнесДороги и транспортПроисшествияКультураСпорт Все материалыВсе новости ИсторииПерсоныНовостная рассылкаАрхив номеров                     Город                                    ​Сближение с Цзянси и Гуйчжоу. Специалисты из Перми развивают сотрудничество с Китаем                                     Председатель пермского отделения Общества российско-китайской дружбы Михаил Каменских и врач-невролог Никита Сексяев поделились с Business Class опытом взаимодействия с коллегами из Поднебесной. В планах – расширение сотрудничества по различным направлениям.                 11 ноября 2023 08:00   Главные новости                        РЖД запустят новые маршруты поездов курсирующих через Пермь                                                                         08:30                                                                    Полицейский из Перми получил звание генерал-майора                                                                        11 ноя                                                                    В Перми на продажу выставлено помещение где раньше располагалась кофейня «Кофе-Сити»                                                                        11 ноя                                                                    Недостроенный ТЦ в микрорайоне Садовый выставили на торги за 65 млн рублей                                                                         11 ноя                                                                    «Такой погоды не было с 2013 года»: в Пермском крае потеплеет до +5 градусов и пойдут дожди                                                                        11 ноя                                                                    В Прикамье продолжают передавать работу по градостроительной деятельности на уровень региона                                                                        11 ноя                                                                    ​Спрос на антидепрессанты в сентябре в Пермском крае вырос на 20 %                                                                        11 ноя                                                                    ​В Пермском крае ужесточат требования к содержанию домашних животных                                                                        10 ноя                                                                    ​Пермский край вошел в ТОП-20 регионов страны по доступности аренды жилья                                                                        10 ноя                                                                    ​Глава Перми представил инвестиционный потенциал города на международном форуме                                                                        10 ноя                                                                    ​В Минздраве Прикамья допустили появление новой суперинфекции в регионе в конце ноября                                                                        10 ноя                                                                    ​Ремонт двух подземных переходов в Перми планируется завершить до конца 2023 года                                                                         10 ноя                                                                    ​В Перми «Сатурн-Р» через суд планирует взыскать с властей 61 млн рублей                                                                        10 ноя                                                                    ​В Перми пройдет конкурс на лучшее новогоднее оформление среди предприятий                                                                         10 ноя                                                                    ​Депутатам представили предпроект комплексного развития транспортной инфраструктуры Перми                                                                        10 ноя                                                                    ​Завершена надвижка пролетов над долиной реки Ивы в рамках строительства трассы ТР-53                                                                        10 ноя                                                                    ​Синоптики рассказали о погоде в Пермском крае в предстоящие выходные                                                                        10 ноя                                                                    ​Предпроект расширения аэровокзального комплекса Большое Савино оценили в 84 млн рублей                                                                        10 ноя                                                                    ​В защиту предпринимателя из Куеды Аяза Шабутдинова выступил бизнес-омбудсмен Борис Титов                                                                        10 ноя                                                                    ​Росстат: в Пермском крае сокращаются зарплаты                                                                        10 ноя                                                                    ​Жителя Пермского края обвиняют в организованной краже 625 тонн нефтепродуктов                                                                        10 ноя                                                                    ​С начала года в Перми установили 40 новых остановочных павильонов                                                                        10 ноя                                                                    ​Метеорологи рассказали когда в Пермский край придет зима                                                                        10 ноя                                                                    ​В ходе СВО в ДНР погиб уроженец Осинского округа Прикамья                                                                        10 ноя                                                                    Количество занятых в малом и среднем бизнесе в Пермском крае превысило полмиллиона человек                                                                        10 ноя                                                                    Проект строительства новой железнодорожной платформы в центре Перми прошел экспертизу                                                                        10 ноя                                                                    ​Суд запретил проводить работы на стройплощадке дома бизнес-класса в центре Перми                                                                        09 ноя                                                                    ​Вакантный мандат депутата Законодательного Собрания Пермского края передали Татьяне Абдуллиной                                                                        09 ноя                                                                    Проект проезда от улицы Уральской до улицы Степана Разина в Перми оценили в 24 млн рублей                                                                        09 ноя                                                                    ​Власти Перми усиливают поддержку общественных инициатив                                                                         09 ноя                                            1 / 6Все новости                                     Недвижимость                                                                    ​Точечно плотно дорого. В Перми растет спрос на жилье повышенного класса в центре города                                 09 ноября 2023 08:30                                       Бизнес                                                                    ​Витрина на экране. В 2023 году объем продаж на маркетплейсах в Прикамье значительно вырос                                 07 ноября 2023 07:00                                       Бизнес                                                                    ​Конец бизнеса. Предприниматели из Перми рассказали почему решились закрыть собственное дело                                 04 ноября 2023 08:00                                       Бизнес                                                                    ​За Чебурашку ответишь. «Союзмультфильм» взыскивает с предпринимателей Прикамья 34 млн рублей                                 03 ноября 2023 07:00                                       Экономика                                                                    Оплата следствию не помеха. В спорах налоговой и молкомбината появились новые детали                                 02 ноября 2023 18:22                                       Недвижимость                                                                    Нашли по объявлению. В Перми продается более полумиллиона квадратов земли под жилье                                 02 ноября 2023 07:00                                       Культура                                                                    С инопланетянами в голове. В ноябре в Перми стартует премьера фильма «Чувства Анны» (18+)                                  01 ноября 2023 08:00                                       Экономика                                                                    ​Поляна повышенной комфортности. В Прикамье в ближайшие два года появятся новые глэмпинги                                 01 ноября 2023 07:00   Все материалы Новости компаний                Умную систему мониторинга внедрили на крупнейшем газопроводе              09 ноября 2023 11:35   525                 Пермяки в два раза чаще стали звонить через интернет             09 ноября 2023 11:00   538 Все новости компаний  Выбор редакции                Долг позвал. Кто из пермяков в 2022-2023 годах стал банкротом с наибольшей суммой задолженности             25 октября 2023 07:00                   А цены здесь текущие. Как за год изменилась стоимость крупнейших дорожных строек в Перми             30 октября 2023 12:00                   ​Конец бизнеса. Предприниматели из Перми рассказали почему решились закрыть собственное дело             04 ноября 2023 08:00    info@business-class.su        +7 (922) 371-30-28                            Политика                                                 К участию в конкурсе на должность главы Краснокамска допущены три кандидата                         08 ноября 2023                             ​Вакантный мандат депутата Законодательного Собрания Пермского края передали Татьяне Абдуллиной                         09 ноября 2023                             ​В Перми активисты обсудили лучшие практики работы ТОС                         09 ноября 2023                             Президент РФ присвоил специальное звание заместителю начальника ГУ МВД по Пермскому краю                         08 ноября 2023                         Экономика                                                 ​Определены ключевые темы Пермского инженерно-промышленного форума                         07 ноября 2023                             ​Пермский край вошел в ТОП-20 регионов страны по доступности аренды жилья                         10 ноября 2023                             ​Глава Перми представил инвестиционный потенциал города на международном форуме                         10 ноября 2023                             ​Росстат: в Пермском крае сокращаются зарплаты                         10 ноября 2023                         Недвижимость                                                 ​Точечно плотно дорого. В Перми растет спрос на жилье повышенного класса в центре города                         09 ноября 2023                             ​Суд запретил проводить работы на стройплощадке дома бизнес-класса в центре Перми                         09 ноября 2023                             ​С проектировщиком реконструкции путепровода в центре Перми расторгнут контракт                         07 ноября 2023                             ​В Перми вместо медицинского учреждения построят гостиничный комплекс                          06 ноября 2023                         Город                                                 В Пермском крае выявили три случая заражения гонконгским гриппом                          08 ноября 2023                             Полицейский из Перми получил звание генерал-майора                         11 ноября 2023                             Недостроенный ТЦ в микрорайоне Садовый выставили на торги за 65 млн рублей                          11 ноября 2023                             «Такой погоды не было с 2013 года»: в Пермском крае потеплеет до +5 градусов и пойдут дожди                         11 ноября 2023                         Бизнес                                                 ​Витрина на экране. В 2023 году объем продаж на маркетплейсах в Прикамье значительно вырос                         07 ноября 2023                             В Перми на продажу выставлено помещение где раньше располагалась кофейня «Кофе-Сити»                         11 ноября 2023                             ​В Перми «Сатурн-Р» через суд планирует взыскать с властей 61 млн рублей                         10 ноября 2023                             ​В защиту предпринимателя из Куеды Аяза Шабутдинова выступил бизнес-омбудсмен Борис Титов                         10 ноября 2023                         Дороги и транспорт                                                 В Правительстве РФ рассказали о ходе строительства участка трассы М-12 в Пермском крае                          08 ноября 2023                             РЖД запустят новые маршруты поездов курсирующих через Пермь                          12 ноября 2023                             ​Ремонт двух подземных переходов в Перми планируется завершить до конца 2023 года                          10 ноября 2023                             ​Депутатам представили предпроект комплексного развития транспортной инфраструктуры Перми                         10 ноября 2023                     Город                                    ​Сближение с Цзянси и Гуйчжоу. Специалисты из Перми развивают сотрудничество с Китаем                                 Председатель пермского отделения Общества российско-китайской дружбы Михаил Каменских и врач-невролог Никита Сексяев поделились с Business Class опытом взаимодействия с коллегами из Поднебесной. В планах – расширение сотрудничества по различным направлениям.             11 ноября 2023 08:00                       РЖД запустят новые маршруты поездов курсирующих через Пермь                  12 ноября 2023 08:30                       Полицейский из Перми получил звание генерал-майора                 11 ноября 2023 18:20                       В Перми на продажу выставлено помещение где раньше располагалась кофейня «Кофе-Сити»                 11 ноября 2023 16:46                       Недвижимость                                    ​Точечно плотно дорого. В Перми растет спрос на жилье повышенного класса в центре города                                Эксперты отмечают что потенциальным покупателям таких квартир не хватает выбора. Проблему дефицита предложений могло бы решить выделение участков для комплексной застройки премиум-жильем.             09 ноября 2023 08:30                       Недостроенный ТЦ в микрорайоне Садовый выставили на торги за 65 млн рублей                  11 ноября 2023 14:27                       «Такой погоды не было с 2013 года»: в Пермском крае потеплеет до +5 градусов и пойдут дожди                 11 ноября 2023 13:30                       В Прикамье продолжают передавать работу по градостроительной деятельности на уровень региона                 11 ноября 2023 12:24                       Бизнес                                    ​Витрина на экране. В 2023 году объем продаж на маркетплейсах в Прикамье значительно вырос                                Продажи на маркетплейсах в Пермском крае продолжают расти количество активных пользователей на онлайн-рынке увеличилось до 79%. Это существенно превышает общероссийский показатель.             07 ноября 2023 07:00                       ​Спрос на антидепрессанты в сентябре в Пермском крае вырос на 20 %                 11 ноября 2023 09:30                       ​В Пермском крае ужесточат требования к содержанию домашних животных                 10 ноября 2023 21:00                       ​Пермский край вошел в ТОП-20 регионов страны по доступности аренды жилья                 10 ноября 2023 20:10                       ​Глава Перми представил инвестиционный потенциал города на международном форуме                 10 ноября 2023 18:58                       ​В Минздраве Прикамья допустили появление новой суперинфекции в регионе в конце ноября                 10 ноября 2023 18:05                       ​Ремонт двух подземных переходов в Перми планируется завершить до конца 2023 года                  10 ноября 2023 17:10   Все новости Новости компаний                Умную систему мониторинга внедрили на крупнейшем газопроводе              09 ноября 2023 11:35   525                 Пермяки в два раза чаще стали звонить через интернет             09 ноября 2023 11:00   538 Все новости компаний ПолитикаЭкономикаНедвижимостьГородБизнесДороги и транспортПроисшествияКультураСпортСтроительство в Перми Пермь-300Кафе и рестораны              2004-2023 Business Class Выписка из реестра зарегистрированных СМИ от 29.08.2018 (интернет-сайт) свидетельство СМИ ПИ59-1143 от 07.02.2017 (газета)ООО “Центр деловой информации”            На информационном ресурсе применяются рекомендательные технологии (информационные технологии предоставления информации на основе сбора систематизации и анализа сведений относящихся к предпочтениям пользователей сети «Интернет» находящихся на территории Российской Федерации).        РедакцияОб изданииРеклама в Business ClassСпециальные проектыУсловия использования материалов                    Согласие на обработку данных                Разработка сайтов в Перми«Агентство Интернет Коммуникаций»           Информация о возрастных ограничениях в отношении информационной продукции подлежащая распространению на основании норм Федерального закона «О защите детей от информации причиняющей вред их здоровью и развитию».          Некоторые материалы настоящего раздела могут содержать информацию запрещенную для лиц младше 16 лет.</t>
  </si>
  <si>
    <t>www.business-class.su</t>
  </si>
  <si>
    <t>Производственный календарь на 2023 год</t>
  </si>
  <si>
    <t>Производственный календарь 2023 (рабочие дни, праздники и выходные дни). Производственный календарь на 2023 год. 2024; 2023; 2022 · 2021 · 2020 · 2019 · 2018 ...</t>
  </si>
  <si>
    <t>https://www.consultant.ru/law/ref/calendar/proizvodstvennye/2023/</t>
  </si>
  <si>
    <t xml:space="preserve">"КонсультантПлюс" - законодательство РФ: кодексы законы указы постановления Правительства Российской Федерации нормативные актыВход в системуНекоммерческие интернет-версииО компании и продуктахКупить КонсультантПлюсНовшества и акцииПробный доступНовостиВакансииВход в систему            Верховный суд обобщил практику по защите прав потребителей        «Горячие» документыНовые законы РФ указы Президента постановления Правительства и другие нормативные акты. Новые документы поступают несколько раз в день.            «Конструктор договоров» от КонсультантПлюс стал еще удобнее        ПродуктыЮристуЗаконодательство судебная практика и ее анализ. Комментарии и разъяснения. Конструктор договоров.БухгалтеруГотовые решения разъяснения ведомств образцы заполнения. Видеосеминары. Конструкторы калькуляторы.Бюджетной организацииЗаконодательство и разъяснения. Образцы заполнения видеосеминары новости. Конструкторы.Другим специалистам            Верховный суд обобщил практику по защите прав потребителей        Новости10 ноябряСуды не поддержали наказание работника который не подготовился к внеплановому совещанию10 ноябряПоправки к ГК РФ о выделе долей в исключительном праве внесены в ГосдумуНе пропуститеИзменения НК РФ: Госдума приняла поправки во втором чтении10 ноябряВзносы на травматизм: суд подтвердил что на скидку не влияет смертельный случай из-за третьих лиц10 ноябряЗакупки по Законам N 44-ФЗ и 223-ФЗ: какую практику отметила ФАС в обзорах за сентябрь 2023 года10 ноябряОтчет о зарплате: Минтруд хочет скорректировать перечень видов деятельности учреждений Все новостиВход для клиентовВход в систему КонсультантПлюс для клиентовПробный доступПробный доступ к системе КонсультантПлюс бесплатноКупить системуПолучите специальное предложение на покупку системы КонсультантПлюс296 967 651документ в системе КонсультантПлюсОбзоры законодательстваПодписка на рассылкиИнтернет-интервьюСтуденту и преподавателюКодексыГражданский кодекс (ГК РФ)Жилищный кодекс (ЖК РФ)Налоговый кодекс (НК РФ)Трудовой кодекс (ТК РФ)Уголовный кодекс (УК РФ)Кодекс об административных правонарушениях (КоАП РФ)Бюджетный кодекс (БК РФ)Таможенный кодекс ЕАЭСАрбитражный процессуальный кодекс (АПК РФ)Земельный кодекс (ЗК РФ)Популярные документы для бухгалтеровВсе документыЗаконыО защите прав потребителейО банкротствеОб исполнительном производствеО персональных данныхО налогах на имущество физических лицОКВЭДРасходы организации ПБУ 10/99О судебных приставахО государственной регистрации недвижимостиСправочная информацияПравовой календарь на IV квартал 2023 г.Календарь бухгалтера на 2023 г.Производственный календарь на 2024 г.Производственный календарь на 2023 г.Таможенный календарь на 2023 г.КалькуляторыГосударственная регистрация юридических лицГосударственная регистрация индивидуальных предпринимателейНалоговая декларация по НДСФормы бухгалтерской отчетностиПроцентная ставка рефинансирования (учетная ставка) установленная ЦБ РФКлючевая ставка ЦБ РФ на сегодняДолжностные инструкцииПособия и их расчетные данные на 2023 г.МРОТ 2023Подборки материалов: акты образцы формы договорыЧастичная мобилизация: обзор новостейВся справочная информацияКонтактная информация117292 Москва            ул. Кржижановского 6 (центральный офис)        +7 (495) 956-82-83+7 (495) 787-92-92contact@consultant.ruМы в социальных сетяхВКонтактеTelegramОдноклассникиДзенВсе права защищены © 1997—2023 КонсультантПлюсВсе права защищены © 1997—2023 КонсультантПлюсСвидетельство МПТР России Эл №77‑6731Политика обработки персональных данныхУсловия доступа к сайту </t>
  </si>
  <si>
    <t>www.consultant.ru</t>
  </si>
  <si>
    <t>Майские выходные в 2023 году — как отдыхаем</t>
  </si>
  <si>
    <t>27 июн. 2022 г. —</t>
  </si>
  <si>
    <t>https://iz.ru/1355481/2022-06-27/mintrud-obiavil-daty-vykhodnykh-na-maiskie-prazdniki-v-2023-godu</t>
  </si>
  <si>
    <t>Известия – новости политики экономики спорта культуры | IZ.RUСпецоперация России на УкраинеОбострение палестино-израильского конфликтаВыставка-форум «Россия»                                                             $                                                            €                            Спецоперация России на УкраинеОбострение палестино-израильского конфликтаВыставка-форум «Россия»                                                             $                                                            €                            Главное менюНовостиСтатьиМненияФотоВидеоИнфографикаРубрикиПолитикаОбществоЗдоровьеИнтернет и технологииЭкономикаПроисшествияАвтоТуризмМирАрмияНаука и техникаНедвижимостьСтранаКультураСпортСпецпроектыГазетаПриложенияПодпискаГлавноеО компанииРедакцияПресс-центрРекламаНовости о насПользовательское                                                            соглашениеОхрана труда                                                    Сайт функционирует при финансовой поддержке Министерства цифрового развития связи и массовых коммуникаций Российской Федерации.                                                                                                    Зарегистрировано Федеральной службой                                                    по надзорув сфере                                                    связи информационных технологий                                                    и массовых                                                    коммуникаций.                                                    Свидетельства о регистрации ЭЛ № ФС 77 - 76208 от 8 июля 2019 года ЭЛ № ФС 77 - 72003 от 26 декабря 2019 года                                                    Все права защищены                                                    © ООО «МИЦ «Известия» 2023Новости iz.ruГазета «Известия»НМГНовости РЕН ТВНовости 5 каналаНовости 78 каналаСпорт ЭкспрессСпорт Экспресс                                                            Газета                                                        ГазетаПриложенияПодписка                                                                                Фийон отрицает организацию встречи                                                                                ливанского бизнесмена с Путиным                                                                            20                                                                            Марта                                                                        Все результаты    Перейти к основному содержаниюПрямой эфир ВажноеРоссийские летчики и артиллеристы ударили по штурмовым группам ВСУ в ЛНРБелый дом отверг проект финансирования работы правительства США без помощи КиевуСтраны ЛАГ и ОИС потребовали расследовать военные преступления ИзраиляЦПВС заявил о поражении пункта управления и укрытия боевиков в СирииСиноптики спрогнозировали в Москве дождь и до +7 градусов 12 ноябряРекламаПрямой эфир        ПОСЛЕДНИЕ НОВОСТИ              Врач рассказала о способах пережить магнитную бурю      06:15        Овечкин забросил 825-ю шайбу в регулярных чемпионатах НХЛ      06:05        Землетрясение магнитудой 54 произошло в Индонезии      05:50        Фермеры Европы с опаской отнеслись к возможности вступления Украины в ЕС      05:35        Армия РФ уничтожила четыре минометных расчета ВСУ на купянском направлении      05:20        Российские летчики и артиллеристы ударили по штурмовым группам ВСУ в ЛНР      05:05        Bloomberg узнало о согласии ФРГ увеличить помощь Украине в два раза до €8 млрд      04:50        Три человека погибли при столкновении поезда с грузовиком в Приангарье      04:35        Байдену потребовалась помощь почетного караула во время церемонии на кладбище      04:20        Армия Израиля ответила Сирии ударами по террористической инфраструктуре      04:05        Женщина и ее двухлетняя дочь погибли при пожаре в Подольске      03:50        Белый дом отверг проект финансирования работы правительства США без помощи Киеву      03:40        Макрон назвал конференцию по Газе шагом к созданию гуманитарной коалиции      03:25        Спикер конгресса США предложил финансирование правительства без помощи Киеву      03:15        Синоптики спрогнозировали в Москве дождь и до +7 градусов 12 ноября      03:00        Кинолог рассказал о причинах ранней смерти собак      02:50        Экс-советник Кучмы указал на готовность Залужного и ВСУ к переговорам с РФ      02:40        Полиция Лондона задержала 150 участников демонстрации в поддержку Палестины      02:27        ПВО Израиля перехватила подозрительную цель из Газы      02:15        В Бразилии футбольные фанаты устроили массовую драку во время чемпионата      02:05        Три человека погибли в ДТП в Псковской области      01:50        Посетители «Игоры Драйв» поделились с «Известиями» впечатлениями о стенде      01:35        Брата Нурмагомедова дисквалифицировали на полгода из-за допинга      01:25        Украинские СМИ сообщили о взрывах в подконтрольном Киеву городе Херсоне      01:14        Подоляк заявил о готовности Украины к экономическим спорам со странами ЕС      01:10СпортОвечкин забросил 825-ю шайбу в регулярных чемпионатах НХЛМирБелый дом отверг проект финансирования работы правительства США без помощи КиевуПроисшествияЗемлетрясение магнитудой 54 произошло в ИндонезииМирПодоляк заявил о готовности Украины к экономическим спорам со странами ЕСМирBloomberg узнало о согласии ФРГ увеличить помощь Украине в два раза до €8 млрдМирБайдену потребовалась помощь почетного караула во время церемонии на кладбищеОбществоСиноптики спрогнозировали в Москве дождь и до +7 градусов 12 ноябряПроисшествияТри человека погибли в ДТП в Псковской областиМирУкраинские СМИ сообщили о взрывах в подконтрольном Киеву городе ХерсонеАрмияАрмия РФ уничтожила четыре минометных расчета ВСУ на купянском направленииМирМакрон назвал конференцию по Газе шагом к созданию гуманитарной коалицииМирАрмия Израиля ответила Сирии ударами по террористической инфраструктуреМирМинистр обороны Украины Умеров рассказал главе Пентагона о потребностях КиеваЛОНГРИДКарман потянут: ипотечный спрос на вторичку рухнул почти наполовинуВ условиях высоких ставок банки ищут необычные способы привлечь клиентовАрмия                                            Дмитрий Корнев                                    Стратосфера влияния: зачем России новый разведывательно-ударный комплекс          Что получится если объединить сверхвысотные летательные аппараты и системы ударного вооружения        Общество                                            Дмитрий Алексеев                                    Жилой понт: сдавать посуточно жилье без согласия соседей не получится          Новый законопроект призван найти компромисс между жильцами и желающими получать арендный доход        Общество                                            Иван Петров                                    Заячьи обиды: какие права есть у контролера в транспорте          В Москве возбудили дело за жестокое избиение ревизора в автобусе        Экономика                                            Дмитрий Мигунов                                    Бомба на $33 трлн: госдолг США стал мировой проблемой          Спрос на американские облигации начал отставать от предложения        Гладиатор на колесах: итальянские журналисты вспоминают Айртона СеннуВеликий гонщик продолжает будоражить публикуМирЛОНГРИДТрадиционные отношения: как живут современные гейшиИскусство быть компаньоном в Японии востребовано до сих порМир                                            Игорь Кармазин                                    Меняют ориентацию: для чего Армения портит отношения с Россией          Глава армянского генштаба встретился с американскими генералами        Мир                                            Виктор Неделин                                    Радужные перспективы: Латвию принудили к однополым бракам          Международное ЛГБТ-лобби продолжает работу над прибалтами        МирИздан отказ: в мире бойкотируют произраильские компании        Что произойдет с экономикой еврейского государства и стоит ли ждать новую волну антисемитизма      12 ноября 2023 00:01Экономика«Открытый портфель»: сколько могли заработать частные инвесторы в октябре                    Эксперты проанализировали состояние российского фондового рынка        12 ноября 2023 00:02Наука и техникаОдеть надежду: ученые создали гардероб для недоношенных детей                    Как разработка уменьшит опасность травм и инфекций у новорожденных с низкой массой тела        12 ноября 2023 00:01КультураПоток энергии: Мариинский в Китае Талызина в Моссовете Цискаридзе в БДТ                    О чем на этой неделе говорили поклонники прекрасного        12 ноября 2023 00:01РекламаРекламаНовости smi2.ruПолитикаРодные берега: что меняет для Азовского моря статус внутреннего                    Как эти изменения повлияют на экономику региона и России        16 августа 2023 18:52МирОпасная земля: как Украина стала одной из самых заминированных стран в мире                    И как российские саперы помогают решить эту проблему        17 августа 2023 17:19Наука и техникаНаучный подход: как российские ученые создают уникальные технологии                    Аналогов многим разработкам нет нигде в мире        31 июля 2023 18:52ЭкономикаНа своем поле: как обеспечивается продовольственная безопасность в России                    И какое влияние на нее оказали ковид и санкции        31 июля 2023 18:52МирБайдену потребовалась помощь почетного караула во время церемонии на кладбище12 ноября 2023 04:20Армия Израиля ответила Сирии ударами по террористической инфраструктуре12 ноября 2023 04:05Спикер конгресса США предложил финансирование правительства без помощи Киеву12 ноября 2023 03:15Белый дом отверг проект финансирования работы правительства США без помощи Киеву12 ноября 2023 03:40Экс-советник Кучмы указал на готовность Залужного и ВСУ к переговорам с РФ12 ноября 2023 02:403D-модель танка Т-90М «Прорыв»3D-модель первого пробного поезда московского метро3D-модель танка «Пантера»3D-модель Московского Кремля3D-модель дачи М. С. Горбачева в Форосе3D-модель самолета «Илья Муромец»3D-модель атомного крейсера «Петр Великий»3D-модель танка «Тигр»3D-модель скульптуры «Рабочий и колхозница»3D-модель брига «Россия»3D-модель Большого Кремлевского дворца3D-модель собора Парижской БогоматериСамолет АНТ-20 «Максим Горький». 3D-модель3D-модель Крымского моста3D-модель Главного храма Вооруженных сил РФ3D-модель самолета Boeing 747-1003D-модель монастыря Киево-Печерская лавра3D-модель дома Деда Мороза3D-модель сторожевого корабля «Изумруд»3D-модель собора Святого Павла3D-модель Ржевского мемориала советскому солдату3D-модель Берлинской стеныТяжелый танк ИС-23D-модель Солсберийского собора3D-модель пассажирского самолета Ту-1043D-модель Сухаревой башни3D-модель самолета Ил-763D-модель круизного теплохода «Петр Великий»3D-модель храма Христа Спасителя3D-модель космических кораблей «Союз-19» и «Аполлон»3D-модель линкора «Севастополь»Участник «Алых парусов» — бриг Tre Kronor af StockholmКурчатовский специализированный источник синхротронного излучения3D-модель космического корабля «Восток-1»3D-модель «Титаника»История в датах: 12 ноябряСобытия недели в фотографиях: удар по Джабалии смертоносный шторм «Киаран» и выбор платья для мисс Вселенная            Что важного произошло в России и мире в минувшие дни          Супер БАГ: как делают муку из сверчков            Свежий взгляд на товары категории ЗОЖ из Ставрополья          Не по-соседски: Пакистан депортирует афганских нелегалов            Мероприятия должны были завершиться до 1 ноября          Фото дня: вулкану Ключевскому присвоили «красный» код опасности для авиации00:24Магнитная буря накроет Землю в ночь на 12 ноября11 ноября 2023 19:4600:57В Китае стартовала онлайн-распродажа по случаю Дня холостяка11 ноября 2023 18:3000:33Новый американский стратегический бомбардировщик B-21 совершил первый полет11 ноября 2023 13:53На ВДНХ открылся самый большой в Европе искусственный ледовый каток. Видео 360°Здание Малого театра отмечает 195-летний юбилей. Видео 360°В Москве прошла международная выставка деловой авиации RUBAE. Видео 360°Фестиваль военной техники «Моторы войны». Видео 360°В Москве проходит фестиваль садов и цветов. Видео 360°Второй за год парад трамваев прошел в столице. Видео 360°ПМЭФ. Видео 360°Утро 9 мая в Москве с крыши бронеавтомобиля «Тайфун». Видео 360°Эвакуация самолета. Видео 360°Чем кормят в самолете: экскурсия на фабрику бортового питания. Видео 360°Выставка «Жигули всегда»: более 100 самых необычных моделей.  Видео 360°Восток. Другая красота: масштабная выставка. Видео 360°Экскурсия по легендарным павильонам «Мосфильма». Видео 360°Как производят кокс. Видео 360°90 лет Микки-Маусу: мультимедийная выставка. Видео 360°120 ранее неизвестных скульптур Церетели. Видео 360°Чемпионат России по высшему пилотажу: уникальные кадры с крыла самолета. Видео 360°Московский монетный двор и Московская типография «Гознака». Видео 360°Чемпионат мира по авиагонкам в Казани. Видео 360°Кинотеатр «Иллюзион» после реконструкции. Видео 360°Сумасшедший дрифт на «Жигулях». Видео 360°Экскурсия по парку Горького. Видео 360°Кормление акул в «Москвариуме». Видео 360°Мировой рекорд по прыжкам в вингсьютах. Видео 360°Роскошный поезд «Императорская Россия». Видео 360°Вождение танка Т-80У под водой. Видео 360°Чемпионат мира по футболу 2022 в Катаре: уникальное шоу. Видео 360°Испытание не для слабонервных: марафон на выносливость. Видео 360°РекламаОбществоСекреты красоты: десять продуктов которые продлят молодость        Врачи рассказали что нужно есть чтобы замедлить старение      11 ноября 2023 00:02МирПовысить уровень: президент Ирана собрался в Саудовскую Аравию                    Визит в рамках саммита по ситуации в секторе Газа станет первым после примирения двух стран         11 ноября 2023 00:02ОбществоСедьмая печать связи: как защититься от кражи данных через VPN                    Под VPN-сервисом может маскироваться троянец-стилер        11 ноября 2023 00:02				Мнения			Ольга Позднякова«»В России появится реестр должников по алиментам. Удалить фамилию из него можно будет только погасив все обязательства. В дальнейшем возможно введение санкций против внесенных в реестр - ограничение на выезд из страны изъятие водительских прав и т.д. 11 ноября 2023 08:00Александра Бабкина«»В интернете не стоит делать ничего из того что вы не позволяете себе в реальной жизни. Технические инструменты могут защитить вас от кибербуллинга однако пока мы не изменим культуру нашего общения в Сети мы не сможем глобально решить проблему11 ноября 2023 08:00Валерий Емельянов«»Позитивные факторы которые никак не могли заставить рубль развернуться теперь перевесили. Валютные качели несутся вниз пока не найдут разворотную точку там и не полетят обратно10 ноября 2023 08:00Максим Добромыслов«»В одном мы опережаем киноиндустрию Голливуда — маленькими бюджетами. Наши в сто раз меньше. Парадоксально но это — большой плюс9 ноября 2023 20:00Евгения Пименова«»Культурные обмены в самом широком понимании этого слова — это инструмент мирных и стабильных времен. Когда начинается раскручиваться мировая спираль конфликтов весь этот «декор» начинает осыпаться9 ноября 2023 14:00Олег Шамонаев«»Данное дело затрагивает не только лично Камилу но и всю сборную страны да еще и в вопросе с олимпийским золотом. Так что никакие компромиссы (со своей совестью и антидопинговыми органами) здесь невозможны9 ноября 2023 08:00Георгий Мохов«»Везде где есть бюджетные деньги — тем более когда их раздают на «облегченных» условиях: не через госзакупки и конкурентные процедуры а выделяя субсидии по сути под честное слово — всегда появляются злоумышленники. Это произошло и в сфере туризма9 ноября 2023 08:00Спорт«Уровень РПЛ немного упал — больше матчей стало выигрываться на классе»                    Футболист «СКА-Хабаровск» Вячеслав Подберезкин — о лидерстве «Краснодара» и мотивации нового поколения игроков        12 ноября 2023 00:01ПроисшествияЖенщина и ее двухлетняя дочь погибли при пожаре в Подольске12 ноября 2023 03:50МирМакрон назвал конференцию по Газе шагом к созданию гуманитарной коалиции12 ноября 2023 03:25Синоптики спрогнозировали в Москве дождь и до +7 градусов 12 ноября12 ноября 2023 03:00Полиция Лондона задержала 150 участников демонстрации в поддержку Палестины12 ноября 2023 02:27ПВО Израиля перехватила подозрительную цель из Газы12 ноября 2023 02:15В Бразилии футбольные фанаты устроили массовую драку во время чемпионата12 ноября 2023 02:05Спортивные выходные с «Известиями»10 ноября 2023 00:00Культурная неделя: выбор «Известий»9 ноября 2023 00:01Реклама                                    Меню                                                                        Реклама                                                                            Подписка на газету                                                                            RSS                                                                        Прислать новость                                О компанииРедакцияПресс-центрРекламаНовости о насПользовательскоесоглашениеОхрана труда                            Авторское право на систему визуализации содержимого портала iz.ru а также на исходные                            данные включая тексты фотографии аудио- и видеоматериалы графические изображения иные                            произведения и товарные знаки принадлежит ООО «МИЦ «Известия». Указанная информация                            охраняется в соответствии с законодательством РФ и международными соглашениями.                                                    Частичное цитирование возможно только при условии гиперссылки на iz.ru.                                                    АО «АБ «РОССИЯ» — партнер рубрики «Экономика»                                                    Сайт функционирует при финансовой поддержке Министерства цифрового развития связи и массовых коммуникаций Российской Федерации.                                                    Ответственность за содержание любых рекламных материалов размещенных на портале несет                            рекламодатель.                                                    Новости аналитика прогнозы и другие материалы представленные на данном сайте не являются                            офертой или рекомендацией к покупке или продаже каких-либо активов.                                                    Зарегистрировано Федеральной службой по надзору в сфере связи информационных технологий и                            массовых коммуникаций.                            Свидетельства о регистрации                                                        ЭЛ №                                ФС 77 - 76208 от 8 июля 2019 года                            ЭЛ №                                ФС 77 - 72003 от 26 декабря 2019 года                            Все права защищены © ООО «МИЦ «Известия» 2023</t>
  </si>
  <si>
    <t>iz.ru</t>
  </si>
  <si>
    <t>Куда поехать на майские праздники 2023 в России</t>
  </si>
  <si>
    <t>Суточно.ру рассказывает, какие города России и ближнего зарубежья лучше всего подходят для того, чтобы провести майские праздники.</t>
  </si>
  <si>
    <t>https://sutochno.ru/info/may-v-rossii-sng</t>
  </si>
  <si>
    <t>СУТОЧНО.РУ — сервис бронирования жилья: отели квартиры посуточно гостевые дома коттеджи в частном сектореКэшбэк 30%Кэшбэк вам и вашим друзьям!За каждую бронь до 30 сентября 2023 мы вернём вам до 3 000 ₽ бонусами. Их можно потратить на бронирования или передать друзьям — пусть они тоже сэкономят!Подробнее об акцииСдавайсяМои объекты12КалендарьБрони36ОтзывыОбъявления в поискеСтатистикаБесплатная страховкаАктивнаТелеграм-канал для партнёровМобильное приложение СдавайсяДобавить объектБронированияТекущие бронированияПрошедшие бронированияМои отзывыСообщения104MAG IOS IOS cj9 минут назад MAG IOS IOS cj8 минут назад MAG IOS IOS cj10 минут назад MAG IOS IOS cj13 минут назад MAG IOS IOS cj13 минут назадВсе сообщенияИзбранноеАдлер 1Барыш 16Вичуга 3Геленджик 4Евпатория 1Екатеринбург 3Казань 1Калининград 2Кисловодск 1Лазаревское 1Москва 9Оренбург 1Орехово-Зуево 1Санкт-Петербург 15Светлогорск 1Ульяновск 1Ялта 4Посмотреть всеБаланс1Получить кэшбэк 5 бонусов Барыш Влетная полоса улица 1 к 175 ₽ поступит 30 июня 2023 г.предоплата по брони №18993053 7 ₽ поступит 30 июня 2023 г.предоплата по брони №20971291 440 ₽ поступит 30 июня 2023 г.предоплата по брони №20566383Посмотреть всеМои деньги9 781 ₽ Мои бонусы32910 000 бонусов за друзейМаг Андройд Личный кабинетНастройка уведомленийРедактировать профильИзменить парольСвязанные аккаунтыСхема работы БизнесПлюсВыйти из аккаунтаИнформация о владельцеДополнительные фильтрыБыстрый поискРедактировать локациюРедактировать SEOРедактировать статьюОтключить searchApp urlsОтключить уведомленияПоиск по геокодеру карты RUBВыберите языкРусскийEnglishВыберите валютуRUB - Российский рубльUSD - Доллар США EUR - ЕвроBYN - Белорусский рубль KZT - Казахский тенгеПоказать ещеВопросы и ответыСлужба поддержкиСообщения от службы поддержки8 (800) 555 2608Найдём где остановиться!Квартиры отели гостевые дома — 200 тысяч вариантов для поездок по России и зарубежью Курорт город или адресЗаезд29 июн чтОтъезд30 июн птГости1 взрослыйНайтиНапримерСанкт-ПетербургМоскваСочи БайкалМинскДагестанАбхазия КарелияМаршрутыМаршруты на автомобилеЧто посмотретьКавказские Минеральные ВодыКуда поехатьМоря РоссииЭкстримВулканы РоссииTelegram Больше интересного в Телеграм-канале200 тысяч вариантов:квартиры отели гостевые домаЦены напрямуюот хозяев жильяКэшбэк бонусами послекаждой поездкиКруглосуточная службаподдержкиНамылились в отпуск? Найдём где остановиться!Квартиры с джакузи Жильё с бассейном С видом на горы Глэмпинги Карелии Коттеджи для вечеринки Отели с завтракомКэшбэк вам и вашим друзьям!За каждую бронь до 31 августа 2023 мы вернём вам до 3000 ₽ бонусами. Их можно потратить на бронирования или передать друзьям — пусть они тоже сэкономят!Узнать о кэшбэкеКуда поехать16 602 вариантаСанкт-Петербург 9 968 вариантовМосква 3 696 вариантовКазань 4 460 вариантовКалининград 15 709 вариантовСочи 4 276 вариантовГеленджик 2 848 вариантовСириус 7 633 вариантаАнапа 1 333 вариантаМинск 1 329 вариантовВладивосток 1 237 вариантовМахачкала 2 289 вариантаЕкатеринбург 1 749 вариантовКисловодск 4 033 вариантаКраснодарБронировать в приложении Суточно.ру — ещё удобнее и быстрее!Все варианты брони и переписка с хозяевами у вас в кармане.Наведите камеру на QR-код чтобы скачать приложение Популярно за рубежомБеларусьМинск Брест ВитебскКазахстанАстана Алматы АктауАбхазияГагра Сухум ПицундаГрузияТбилиси БатумиАрменияЕреван ДилижанТурцияАнталия Стамбул АланьяАзербайджанБаку СиазаньКиргизияБишкек КараколИзраильТель-Авив Бат-Ям ХайфаТайландПхукет ПаттайяУзбекистанТашкент СамаркандОАЭДубай Умм-эль-КайвайнСдавайте жильё на Суточно.руДобавляйте свои объекты бесплатно и зарабатывайте вместе с нами!С чего начать Личный кабинетСлужба поддержки 8 (800) 555 2608ГостямКак бронировать жильё Отзывы гостейКэшбэк 30% Акция «Отсыпь кэшбэк»Гарантии Идеи для путешествийВопросы и ответыХозяевам жильяКак сдавать жильё Разместить объявление Бесплатное страхованиеПомощьО насВакансииРеквизиты Реферальная программаПодписывайтесь на нас     Приложение Суточно.руДоступно вДоступно в© 2011—2023 Суточно.руTMРоссийский сервис бронирования жилья официальный сайт товарный знак № 646300Пользовательское соглашениеОбработка персональных данныхThis page requires you to have the Javascript enabled.</t>
  </si>
  <si>
    <t>sutochno.ru</t>
  </si>
  <si>
    <t>30 авг. 2022 г. —</t>
  </si>
  <si>
    <t>http://duma.gov.ru/news/55144/</t>
  </si>
  <si>
    <t>Выходные и праздничные дни в 2023 году: новогодние ...</t>
  </si>
  <si>
    <t>Таким образом, в 2023 году будут следующие дни отдыха: с 1 по 8 января 2023 г. (31 декабря 2022 года выпадает на субботу, поэтому новогодние каникулы продлятся ...</t>
  </si>
  <si>
    <t>https://mintrud.gov.ru/labour/70</t>
  </si>
  <si>
    <t xml:space="preserve">Министерство труда и социальной защиты РФ: Официальный сайт | Министерство труда и социальной защитыНастройка режима отображения            Закрыть        Размер текстаОбычныйКрупныйОчень крупныйКернингМаленькийСреднийБольшойШрифтSegoe UIArialsans-serifmonospaceЦветовая схемаЦЦИзображенияДаНетЧБ Настройки по умолчаниюПрименитьRuRuEngФорма обратной связиЛичный кабинетПодать обращениеВерсия для слабовидящих                  Найти  МинтрудРоссии                Министерство                            Деятельность                            Пресс-центр            Картина дня10 ноября 2023В Центре реабилитации им. Альбрехта прошло выездное заседание Совета по делам инвалидов при Совете Федерации10 ноября 2023Танцевальный флешмоб и показ национальных костюмов прошли на стенде «Семья. Работа. Долголетие»Все новостиМероприятия05 декабря 2023Второй Всероссийский конкурс литературных работ людей с нарушением зрения имени Эдуарда Асадова05 октября 202323-24 октября  2023г. на стажировочной площадке СДУ в Рязанской области пройдет семинарВсе мероприятияМедиафайлы3 авг. 2023 г.Интервью Антона Котякова телеканалу "Россия 24"24 июн. 2023 г.Обращение к гражданам РоссииВсе медиафайлыПресс-службаТелефон:+7 (495) 870-68-46Электронная почтаpressa@mintrud.gov.ruПодробнее                Документы                            Госуслуги                            Открытое министерство                            Контакты            НовостиВ Центре реабилитации им. Альбрехта прошло выездное заседание Совета по делам инвалидов при Совете Федерации10 ноября 2023НовостиПервую интерактивную карту «Активного долголетия» и кадровый центр представят на выставке «Россия»02 ноября 2023НовостиМинтруд России и РГСУ подписали соглашение о сотрудничестве  01 ноября 2023НовостиЛучший машинист электропоезда метрополитена работает в Москве на Большой кольцевой линии31 октября 2023НовостиСтали известны финалисты второго Всероссийского конкурса профессионального мастерства в сфере занятости26 октября 2023актуально                             Социальный контракт: что это такое зачем он нужен и как получить?                                                    Подробнее                                                        Как получить субсидию за наём работника                                                     Подробнее                                                        Как пройти переобучение для граждан ищущих работу?                                                    Подробнее                            Полезные материалы                            Ищущим работу                                                                Возможности                                                                        Последние новости                                                                        Госуслуги Минтруда                                                                Работникам и служащим                                                                Возможности                                                                        Последние новости                                                                        Госуслуги Минтруда                                                                Семьям с детьми                                                                Возможности                                                                        Последние новости                                                                        Госуслуги Минтруда                                                                Пожилым гражданам                                                                Возможности                                                                        Последние новости                                                                        Госуслуги Минтруда                                                                Гражданам с инвалидностью                                                                Возможности                                                                        Последние новости                                                                        Госуслуги Минтруда                                                                Малообеспеченным гражданам                                                                Возможности                                                                        Последние новости                                                                        Госуслуги Минтруда                                                                Работодателям                                                                Возможности                                                                        Последние новости                                                                        Госуслуги Минтруда                                            Все о трудовых правах мобилизованных граждан     Социальное обслуживание в цифрах4566 тыс.                                    социальных работников                                75 тыс.                                    поставщиков социальных услуг в 2022 г.                                7888 млн                                     услуг оказано в 2022 г.                                4566 тыс.                            социальных работников                        75 тыс.                            поставщиков социальных услуг в 2022 г.                        7888 млн                             услуг оказано в 2022 г.                         Решаем вместе  Есть предложения по улучшению социальной сферы повышению эффективности служб занятости или другие вопросы?    Напишите об этом —  Минтруд поможет с решением!   Написать о проблеме Решаем вместеГосударственные услуги                                Министерство труда и социальной защиты Российской Федерации                                            Роструд                                            Фонд пенсионного исоциального страхования  Российской Федерации                                            Органы государственной власти субъектов Российской Федерации                                            Федеральное Бюро Медико-социальной экспертизы            Все услугиПерейти Открытое министерство    Общественный совет        Открытые данные        Опрос по качеству соц. услуг        Опрос по трудовой мобильности        Интернет-приемная                                 Пресс-центр                                                                Контакты                                                                        Мероприятия                                                                        Последние новости                                    НовостиВсеДемографияЗанятостьТрудОхрана трудаСоцзащитаПенсииГосударственная служба                В Центре реабилитации им. Альбрехта прошло выездное заседание Совета по делам инвалидов при Совете Федерации                            10 ноября 2023                            Танцевальный флешмоб и показ национальных костюмов прошли на стенде «Семья. Работа. Долголетие»                            10 ноября 2023                            Открылась экспозиция «Семья. Работа. Долголетие» на выставке «Россия»                            04 ноября 2023                            Подать декларацию соответствия условий труда станет проще                                03 ноября 2023                            Первую интерактивную карту «Активного долголетия» и кадровый центр представят на выставке «Россия»                            02 ноября 2023                            Минтруд по поручению Президента в кратчайшие сроки внесет изменения в порядок выплаты ряда пособий                            16 июня 2023                            Доклад Министра труда и социальной защиты РФ Антона Котякова на «Правительственном часе» в Государственной Думе                            14 июня 2023                            Состоялось расширенное заседание Коллегии Минтруда России                             19 мая 2023                            Лучший машинист электропоезда метрополитена работает в Москве на Большой кольцевой линии                            31 октября 2023                            Стали известны финалисты второго Всероссийского конкурса профессионального мастерства в сфере занятости                            26 октября 2023                            Минтруд определит ответственность работодателей за неисполнение квоты для приема на работу граждан с инвалидностью                                 18 октября 2023                            На 2024 год продлевается проактивный формат предоставления услуг центров занятости                              13 октября 2023                            Подать декларацию соответствия условий труда станет проще                                03 ноября 2023                            В Сочи завершилась VIII Всероссийская неделя охраны труда                            29 сентября 2023                            Цифровизация процессов охраны труда стала главной темой Открытого микрофона на ВНОТ-2023                            29 сентября 2023                            Алексей Вовченко: К личному кабинету работодателя по охране труда подключились порядка 70 тысяч предприятий                            27 сентября 2023                            Подать декларацию соответствия условий труда станет проще                                03 ноября 2023                            В Сочи завершилась VIII Всероссийская неделя охраны труда                            29 сентября 2023                            Цифровизация процессов охраны труда стала главной темой Открытого микрофона на ВНОТ-2023                            29 сентября 2023                            Алексей Вовченко: К личному кабинету работодателя по охране труда подключились порядка 70 тысяч предприятий                            27 сентября 2023                            В Центре реабилитации им. Альбрехта прошло выездное заседание Совета по делам инвалидов при Совете Федерации                            10 ноября 2023                            Танцевальный флешмоб и показ национальных костюмов прошли на стенде «Семья. Работа. Долголетие»                            10 ноября 2023                            Открылась экспозиция «Семья. Работа. Долголетие» на выставке «Россия»                            04 ноября 2023                            Первую интерактивную карту «Активного долголетия» и кадровый центр представят на выставке «Россия»                            02 ноября 2023                            Доклад Министра труда и социальной защиты РФ Антона Котякова на «Правительственном часе» в Государственной Думе                            14 июня 2023                            С 1 апреля социальные пенсии предлагается доиндексировать на 33%                            28 февраля 2023                            Проживающие за рубежом пенсионеры смогут получать пенсию на открытые в России банковские счета                            28 февраля 2023                            Подведены итоги Всероссийского конкурса лучших кадровых практик в системе государственного и муниципального управления                            31 мая 2023                            Стартовал Всероссийский конкурс лучших кадровых практик государственного и муниципального управления                            10 апреля 2023                            В органах власти пройдет эксперимент по использованию электронных кадровых документов                              24 марта 2023                            Вопросы-ответы по организации удалённой работы и оформлению больничных в период кампании по противодействию распространению коронавируса                            23 марта 2020            Все новости   МероприятияБлижайшие13 марта 2023 - 29 ноября 2023                        Всероссийское чемпионатное движение по профессиональному мастерству                    21 марта 2023 - 29 декабря 2023                        «Всероссийский конкурс «Российская организация высокой социальной эффективности» - 2023»                    01 июня 2023 - 16 ноября 2023                        Всероссийский конкурс  профессиональных достижений «ИнваПрофи» среди работников образовательно-реабилитационных организаций для инвалидов и лиц с ограниченными возможностями здоровья                    25 июля 2023 - 05 декабря 2023                        Второй Всероссийский конкурс литературных работ людей с нарушением зрения имени Эдуарда Асадова                    Все мероприятия    МедиафайлыИнфографикаВидеозаписи            Больничный: что нужно знать?                     04 февраля 2022                            Какие доходы учитываются и не учитываются при назначении выплаты на детей до 3 лет из средств материнского капитала?                                     24 июля 2023                                В отпуск по уходу за ребенком вместо мамы                    04 февраля 2022                    Больничный: что нужно знать?                     04 февраля 2022                            Какие доходы учитываются и не учитываются при назначении выплаты на детей до 3 лет из средств материнского капитала?                                     24 июля 2023                                В отпуск по уходу за ребенком вместо мамы                    04 февраля 2022        видео                Интервью Антона Котякова телеканалу "Россия 24"            03 августа 2023                                Заместитель директора департамента демографической и семейной политики Минтруда России Всеволод Боровский в программе «Инструкция» телеканала «Россия 24» рассказал о социальном контракте                            21 февраля 2023                                Заместитель директора департамента демографической и семейной политики Минтруда России Елена Семенова в программе «Утро России» телеканала «Россия 1» рассказала о ежемесячной выплате на детей до 3 лет из средств маткапитала                             20 февраля 2023                                Заместитель директора департамента демографической и семейной политики Минтруда России Елена Семенова в программе «Инструкция» телеканала «Россия 24» рассказала о материнском капитале                            01 февраля 2023                Все медиафайлы ДокументыПриказыПисьмаТелеграммы                            Приказы                        Приказ Минтруда России № 771 от 19 октября 2023 г.                        О внесении изменений в приложение к приказу Министерства труда и социальной защиты Российской Федерации от 30 декабря 2022 г. № 829                                                Приказы                        Приказ Минтруда России № 729н от 26 сентября 2023 г.                        О внесении изменений в приложения № 1 – 3 к приказу Министерства труда и социальной защиты Российской Федерации от 12 декабря 2022 г. № 777н «О распределении по субъектам Российской Федерации утвержденных Правительством Российской Федерации на 2023 год квот на выдачу иностранным гражданам прибывающим в Российскую Федерацию на основании визы разрешений на работу и приглашений на въезд в Российскую Федерацию в целях осуществления трудовой деятельности»                                                Приказы                        Приказ Минтруда России № 721 от 19 сентября 2023 г.                        О внесении изменений в приложение к приказу Министерства труда и социальной защиты Российской Федерации от 30 декабря 2022 г. № 829                                                Приказы                        Приказ Минтруда России № 716н от 14 сентября 2023 г.                        Об утверждении профессионального стандарта «Психолог в социальной сфере»                                                Приказы                        Приказ Минтруда России № 717н от 14 сентября 2023 г.                        Об утверждении профессионального стандарта «Специалист по работе с семьей»                                                Приказы                        Приказ Минтруда России № 698н от 7 сентября 2023 г.                        Об утверждении профессионального стандарта «Специалист по оказанию космических услуг на основе использования глобальных навигационных спутниковых систем»                                                Письма                        Письмо от 17 апреля 2023 года № 14-4/10/В-5676                        Работодателям организаций авиационной промышленности                                                Письма                        Письмо Минтруда России № 14-6/10/В-13042 от 27 сентября 2022 г.                        в Общероссийский союз «Федерация независимых профсоюзов России» и в Общероссийское объединение работодателей «Российский союз промышленников и предпринимателей»                                                Письма                        Письмо от 1 июля 2022 г. № 14-4/10/В-8784                        Работодателям организаций жилищно-коммунального хозяйства Российской Федерации.                                                Письма                        Письмо Минтруда России № 10-9/В-579 от 21 декабря 2021 г.                         Руководителям организаций находящихся в ведении Минтруда России (по списку)                                                Письма                        Совместные разъяснения Минтруда России и Роспотребнадзора по организации вакцинации в организованных рабочих коллективах (трудовых коллективах) и порядку учёта процента вакцинированных                         В секретариат Российской трехсторонней комиссии по регулированию социально-трудовых отношений                                                Письма                        Письмо Минтруда России № 15-2/10/П-4122 от 2 июня 2021 года                        Высшие органы исполнительной власти субъектов Российской Федерации (по списку)                                                Телеграммы                        Правительственная телеграмма № 13-5/10/В-4180 от 12 апреля 2021 г.                        Руководителям высших исполнительных органов государственной власти субъектов Российской Федерации (по списку)                                                Телеграммы                        Правительственная телеграмма № 14-0/10/П-2199 от 25 марта 2021 г.                        Высшие органы исполнительной власти субъектов Российской Федерации (по списку)                                                Телеграммы                        Правительственная телеграмма № 14-0/10/П-2198 от 25 марта 2021 г.                        Федеральные государственные органы и организации (по списку)                                                Телеграммы                        Правительственная телеграмма №  28-3/10/В-1152 от 4 февраля 2021 г.                        Высшие органы исполнительной власти субъектов Российской Федерации (по списку)                                                Телеграммы                        Правительственная телеграмма № 13-5/10/В-7119 от 25 августа 2020 г.                        Руководителям высших исполнительных органов государственной власти субъектов Российской Федерации (по списку)                                                Телеграммы                        Правительственная телеграмма № 13-5/10/В-2848 от 13 апреля 2020 г.                        Руководителям высших исполнительных органов государственной власти субъектов Российской Федерации (по списку)                    Перейти в раздел Полезные ссылкиКлючевые государственные информационные ресурсы                        Информационные порталы и информация Минтруда России                        Cервисы и автоматизированные информационные системы                        Подведомственные организации                        Неправительственные организации                        Мероприятия и конкурсы                        Сайт Президента Российской ФедерацииСайт Правительства Российской ФедерацииСоциальный калькуляторСправочно-информационный портал «Государственные услуги»Сайт Государственной Думы Федерального Собрания Российской ФедерацииСайт Совета Федерации Федерального Собрания Российской ФедерацииСайт Конституционного суда Российской ФедерацииСайт Верховного Суда Российской ФедерацииГосударственная система правовой информацииФедеральный портал проектов нормативных правовых актовРоссийская общественная инициативаНормативные правовые акты в Российской ФедерацииПортал открытых данных Российской ФедерацииНациональные проекты РоссииСайт Президента Российской ФедерацииСайт Правительства Российской ФедерацииСоциальный калькуляторСправочно-информационный портал «Государственные услуги»Сайт Государственной Думы Федерального Собрания Российской ФедерацииСайт Совета Федерации Федерального Собрания Российской ФедерацииСайт Конституционного суда Российской ФедерацииСайт Верховного Суда Российской ФедерацииГосударственная система правовой информацииФедеральный портал проектов нормативных правовых актовРоссийская общественная инициативаНормативные правовые акты в Российской ФедерацииПортал открытых данных Российской ФедерацииНациональные проекты РоссииВсероссийская диспансеризация взрослого населения Российской ФедерацииГорячая линия по вопросам повышения оплаты труда работников государственных и муниципальных учрежденийСправочная информация о социально-экономическом положении ветеранов Великой Отечественной войныГорячая линия по вопросам инвалидностиКонцепция государственной семейной политики в РоссииНезависимая оценка качества условий оказания услугИнтернет-портал «Жить вместе»Общенациональная информационная кампания «Россия — без жестокости к детям»Государственная гражданская службаНезависимая оценка квалификацииИсполнение указов Президента Российской Федерации от 7 мая 2012 годаПилотные проекты по внедрению новых принципов кадровой политики на государственной гражданской службежурнал «Социально-трудовые исследования» Направление «Трудовые отношения»Направление «Занятость населения»Направление «Социальная защита»Направление «Пенсионное обеспечение»Всероссийская диспансеризация взрослого населения Российской ФедерацииГорячая линия по вопросам повышения оплаты труда работников государственных и муниципальных учрежденийСправочная информация о социально-экономическом положении ветеранов Великой Отечественной войныГорячая линия по вопросам инвалидностиКонцепция государственной семейной политики в РоссииНезависимая оценка качества условий оказания услугИнтернет-портал «Жить вместе»Общенациональная информационная кампания «Россия — без жестокости к детям»Государственная гражданская службаНезависимая оценка квалификацииИсполнение указов Президента Российской Федерации от 7 мая 2012 годаПилотные проекты по внедрению новых принципов кадровой политики на государственной гражданской службежурнал «Социально-трудовые исследования» Направление «Трудовые отношения»Направление «Занятость населения»Направление «Социальная защита»Направление «Пенсионное обеспечение»Общероссийская база вакансий «Работа в России»Справочник профессийПрофессиональные стандартыРеестр системы независимой оценки квалификацийЕдиная общероссийская справочно-информационная система по охране трудаПенсионный калькуляторДанные Минтруда России в Единой межведомственной информационно-статистической системе (ЕМИСС)Портал оперативного взаимодействия участников СМЭВАИК «Миграционные квоты»Реформа контрольной и надзорной деятельностиПрограмма поэтапного совершенствования системы оплаты труда на 2012-2018 годыУчастие в опросе качества услуг в социальном обслуживанииГражданам Украины и лицам без гражданства покинувшим территорию страны в экстренном и массовом порядкеОбщероссийская база вакансий «Работа в России»Справочник профессийПрофессиональные стандартыРеестр системы независимой оценки квалификацийЕдиная общероссийская справочно-информационная система по охране трудаПенсионный калькуляторДанные Минтруда России в Единой межведомственной информационно-статистической системе (ЕМИСС)Портал оперативного взаимодействия участников СМЭВАИК «Миграционные квоты»Реформа контрольной и надзорной деятельностиПрограмма поэтапного совершенствования системы оплаты труда на 2012-2018 годыУчастие в опросе качества услуг в социальном обслуживанииГражданам Украины и лицам без гражданства покинувшим территорию страны в экстренном и массовом порядкеВсероссийский научно-исследовательский институт труда Минтруда РоссииФедеральное бюро медико-социальной экспертизы Минтруда РоссииВсероссийский научно-исследовательский институт труда Минтруда РоссииФедеральное бюро медико-социальной экспертизы Минтруда РоссииМеждународная организация трудаЕвразийский экономический союзОбщественная палата Российской ФедерацииРоссийский союз промышленников и предпринимателейФедерация независимых профсоюзов РоссииНациональный совет при Президенте Российской Федерации по профессиональным квалификациямНациональное агентство развития квалификацийСовет при Правительстве Российской Федерации по вопросам попечительства в социальной сфереФонд поддержки детей находящихся в трудной жизненной ситуацииВсероссийское общество инвалидовВсероссийское общество слепыхВсероссийское общество глухихРоссийская общественная организация «Перспектива»Межрегиональная общественная организация инвалидов «Пилигрим»Благотворительный фонд помощи пожилым людям и инвалидам «Старость в радость» Информационная система Совета Европы по вопросам социального обеспеченияЕдиная информационная система «Добровольцы России»Международная организация трудаЕвразийский экономический союзОбщественная палата Российской ФедерацииРоссийский союз промышленников и предпринимателейФедерация независимых профсоюзов РоссииНациональный совет при Президенте Российской Федерации по профессиональным квалификациямНациональное агентство развития квалификацийСовет при Правительстве Российской Федерации по вопросам попечительства в социальной сфереФонд поддержки детей находящихся в трудной жизненной ситуацииВсероссийское общество инвалидовВсероссийское общество слепыхВсероссийское общество глухихРоссийская общественная организация «Перспектива»Межрегиональная общественная организация инвалидов «Пилигрим»Благотворительный фонд помощи пожилым людям и инвалидам «Старость в радость» Информационная система Совета Европы по вопросам социального обеспеченияЕдиная информационная система «Добровольцы России»Российский инвестиционный форум Всероссийский конкурс профессионального мастерства «Лучший по профессии»Всероссийский конкурс «Российская организация высокой социальной эффективности»Петербургский международный экономический форум V Восточный экономический форум Конкурс «Лучшие кадровые практики на государственной гражданской и муниципальной службе»Столетие Международной организации трудаВсероссийский конкурс «Доброволец России »Российский инвестиционный форум Всероссийский конкурс профессионального мастерства «Лучший по профессии»Всероссийский конкурс «Российская организация высокой социальной эффективности»Петербургский международный экономический форум V Восточный экономический форум Конкурс «Лучшие кадровые практики на государственной гражданской и муниципальной службе»Столетие Международной организации трудаВсероссийский конкурс «Доброволец России »Показать больше ×Сообщить об ошибке Текст с ошибкой Ваш комментарий Ваш комментарий   Verify Отправить Министерство трудаи социальной защитыРоссийской ФедерацииТелефон: +7 (495) 587-88-89Адрес: 127994 ГСП-4 г. Москва ул. Ильинка 21E-mail: mintrud@mintrud.gov.ruНа                                    карте                                    На карте                                                                    Подать обращение                                                                    Личный кабинет                                Основные разделыО МинистерствеДеятельностьДокументыГосуслугиОткрытое министерствоКонтактыДополнительные возможностиКарта                                    сайта RSSТехническая поддержкаСтатистика посещаемости сайтаВерсия для слабовидящихEnglish versionНашли опечатку? Выделите текст и нажмите                            Ctrl+Enter                        Все материалы сайта доступны по лицензии: Creative Commons Attribution 3.0                    Официальный интернет-ресурсПротиводействие коррупцииОткрытые данныеКарта сайта МинистерствоО МинистерствеГосслужба в МинистерствеПротиводействие коррупцииКонкурсы и тендерыБюджетМеждународное сотрудничествоИнформационные системыДеятельностьГосударственные услугиДеятельностьРазвитие ранней помощи в Российской                                Федерации на период до 2020 годаПилотный проект по отработке                                подходов при апробации новых классификаций и критериев используемых при                                осуществлении медико-социальной экспертизы детейПилотный проект по формированию                                системы комплексной реабилитации и абилитации инвалидов и детей-инвалидовФедеральный закон №442-ФЗ от 28                                декабря 2013 г. «Об основах социального обслуживания граждан в Российской                                Федерации»Реализация постановления                                Правительства Российской Федерации от 24 мая 2014 г. №481Взаимодействие с социально                                ориентированными некоммерческими организациямиРеализация Указов Президента                                Российской Федерации от 7 мая 2012 г. № 596 – 606Стратегия долгосрочного развития                                пенсионной системы Российской ФедерацииДемографическая политика Российской                                Федерации на период до 2025 годаНезависимая оценка квалификацииПрограмма поэтапного                                совершенствования системы оплаты труда на 2012-2018 годыРеформирование контрольной и                                надзорной деятельностиГосударственная гражданская                                службаМуниципальная                                служба Политика в сфере                                противодействия коррупцииГосударственные программыКонцепция государственной семейной                                политики в Российской Федерации до 2025 годаСовершенствование правового                                положения государственных (муниципальных) учрежденийГендерная политикаНормирование труда в                                Российской ФедерацииЕдиная государственная                                информационная система социального обеспечения (ЕГИССО)Независимая система оценки                                качестваПресс-центрКартина дняМероприятияМедиафайлыДокументыГосударственные услугиПеречень государственных услуг                                Министерства труда и социальной защиты Российской Федерации                                Перечень государственных услуг                                Роструда                                Перечень государственных услуг Пенсионного фонда Российской Федерации                                                            Перечень государственных услуг Фонда социального страхования Российской Федерации                            Открытое министерствоПринципы работы системы «Открытое                                министерство»Открытые данныеПроектный центр Минтруда РоссииПубличная декларацияПланы и программа работОбщественный советОбсуждение проектов нормативных                                правовых актовДоклады о результатах и основных                                направлениях деятельности Минтруда РоссииРабота с референтными группамиПланы законопроектной деятельностиПлан деятельности Министерства труда и                                социальной защиты Российской Федерации на 2013-2018 годыКонтактная информация× Перейти в избранное×Спасибо!Ваше сообщение отправлено.×Напишите в техническую поддержку сайта                             В предлагаемой онлайн-форме вы можете оставить ваши замечания по работе сайта и предложения по его развитию.                                                        Также Вы можете обратиться в техническую поддержку сайта по электронной почте                                support@soctech-it.ru.                                 Для направления иных вопросов просим пользоваться сервисом «Общественной приемной». Возможно интересующая Вас информация опубликована в перечне типовых практических вопросов социально-трудовой сферы.                        Проблемы в работе сайтаПредложения по совершенствованию сайтаИмя *E-mail *ТелефонСообщение *Введите код с картинки  Разрешаю обработку персональных данныхОтправить                            Поля отмеченные * обязательны для заполнения </t>
  </si>
  <si>
    <t>mintrud.gov.ru</t>
  </si>
  <si>
    <t>https://www.interfax.ru/proizvodstvennyy-kalendar.html</t>
  </si>
  <si>
    <t>���������: ���������������� �������� "����������"Interfax.com���������-������������������...����������������������������������������      USD9205EUR983211.11+01311.11-009���������•••���� ��� ������������������� ������� ��������������������������������Digital���������� ��������� ������������������������������� �������� �� ���������������� � 14:15������� ������������� ����� ��� ������� �������� ������� � ������������� �������� ������ �������� ��� ��� �������� �������� � ������� ���������� ����� ����� � ������� 19 �������� ������� ��� �������������� ��� ��� �������� �������� � ����������� ���������� ������ � ����������� ���� �� ������ ���� � ������������ �� ���� ������ ���������� ������������ �� ������������ �������� � ������ �� ����������� �������06:32�������� ������� ��� � ������� �������� ������� ����������� �����05:55��� �������� ����� �������� ������������ ��������� � ������ � ��������� ���������� �������� ���������� �������� �������� ������ ������05:41��� ������� ��������� ���� �� ���������� �����05:34��������� �������� ������ �������� ��� ��� �������� ����04:40����������� ������� ������� ����� �� ����� � ������04:32���������� ���������-������������ ��������������� ����� ��� ������� �������� ������� � ����03:00������� ��� ��� �������� �������� � ����������� ����00:59���������� ������� ������� ��������� �� �������� �������� � �����23:18�������� ������������ �� ������������ �������� � ������ �� ��23:06����������� ������� ������� ��� �� �������� �������� � ����22:50���� ������� ������� ��������� �������� �� ������ ���� �� �� �����22:28��������� �������� �������� � ������ ����� ������ ������� ATP22:12"�����" � "���������" ������� ������ � ���������� ������ �� �������22:09���������� ���������-������������ ������������ ��������� ������� ������� �� ��������� ��������� �� ������� �������21:45���������� ���������-������������ ��������������������� � �������� ����������� ������������ ����������� ���� � ����20:46������� ������������� ������ ������� ������ � ����������� ��� � �������� ����20:30��� ��������� �� ����: ������� 11 ������20:07������� ������� ������������� ������ ���������� ��� ������� �������� ����19:59� ��������� ������� ������ � ����� 11 �� 19 �������� ������� ��������� ������19:24"���������" ������� "�����" � ����� ���19:15���� � ������� ���������� ����� ����� � ������� 19 �������� ������� ��� �������19:08������� �������� ������� � ���������� �������� ���� � �������� �������18:34���� � ��������� ����������� �������� � �������18:26����� Beatles ���������� ���-����� �������������� ������� � 1969 �.17:51������� ������� �������� �������� ��������� � �������� ������17:41���������� �� ��������� �������� ���������� ��. ������ �������������� � ������17:00� ��� �� ������� ���������������� ��������� ����� �������� Carlsberg16:48���������� ���������-������������ ��������������������� ��� ������������ ������ �������� "��-����" � ������� ����15:45���������� ���������-������������ ������������������� ��������� ������� � ������������ ����������� ���� � ������� ����15:37����� �������� ������������ �� ������ ��������� ��� ����� "������" �� 2030 ����14:59����������������� ����� ��� ������������ ������������� ����� � ��������� �������14:15������� �������� �� ����������������� �� �������� �� ��������� � ������� ����� ������ ���� ���13:32������ ������ � ����������� ���� �� ������ ���� � ������������ �� ���� ������ ��13:05� ��� �� ������� ������������ ��������� ������ � ������� �������������� ������ � ��������12:53� �������� �������� ����� ������������ �������� ��-�� ������ ���������� �������12:19� ��������� ������� 19 �������� ������� ����� � �������11:36���������� ���������-������������ �������������� ������� ������� ������� �� ������ �� ���������� �������� ����� �� ����11:20� ������ ����� ����������� ��������� �� ���������� � ����������11:14��� ��������� ���������� �� ��������� ����� 40 ���� ��������� � ����������11:01��� ������������ ����� � ������������ ��������� ����������� ���������� �������10:34���� ������������ ��������������� ��������� ��� �� �����10:00���������� ���������-������������ ������������������-����������� ��������: ������� ������� ������ ���� �� ���������� � ������-���?09:30��� ���� ��������� �� ������ "���������" �� ��������� "�������" � ���09:18�������� � ������� ������� "����������" �������� "���-������" � ���08:30��� ��������� ���� �����: ������� 11 ������07:53���������� ���������-������������ ������������������� ������ �������� � ������� ������ �� �������� � ������� ����07:37�������� � 152 ��������� �� �� ��������� ������� �� ����� ������������ - �����07:16���� ������� ��� ��� ��������� ������������� �� ��������� �����������06:51������� �������� �� ����������������� ������� ������� �� ������ �� ����� ��� � ������������ ��� ������� ����������� ��������������� �� ������������ ��������� �������� � ����� ����������������� �������� � ����������� ������ ��������������� ��������������� �� ������� ������� ��-2 ������� ������������ ������� ������ ����������� ������"������ �����" � ������� � ��� �����-����������� ������� � ����������� �������� �������arlsberg ������ ������ ������������� ����� ��-�� �������� ������ "�������"�����������10 ���������� ���� ������10 ��������������� 10 ������10 ��������������� 9 ����������� ��������  ��� ��������� � ���� �����. �������� �������� ������ ���������� ��������� �� ������ ������. ����� ������ �� 8 ������� ��������� ������� ��������� ��� � ����� � 27 ����. �������������������� �� ��: ��������� ����� �� ������� ���������� ����� ������� - ���������� ������ �� ������������������� �������� ��������� � �������� � ��������� ��������� � ��������� ��������� ������� �� �������������� ��������� ��: ������ ��� �������� ������ ������� ��� ����� ������������� ������� �� ����������������� ����������� �������� ��������� � ��� ��� ����������� ���������� �������� � � ������ ��������� ���������������������� ���: ��������� ������ � �� ����� ���� �������� ������������� � ������� � ������� ���� ������������������� ����������������� ������������ �������� ��������� ���� ����� �� ������� � �������� � ���� �� ����� ���������� ���������� ������������ ��������� � ��������������� �� ��������������� "������� �����": �� ��������� ��������������� ���� � 20% ���������� ����� �������� ���������� �������� ��������� � ���������� � ������� � ����������� ��� "������� �����"�����-����� �����-������Business Wire: ���������� ���� �������� ������������ �������� �������������� �� ��������� �������� � �������� � ��������� ����������� �������������� � ���-���������� �������: ��� �������� ������� �� ������������ ��������� ������� � ����� ����� ����� ������� ���������� � ���������� ���������� ������������� ��������������� ��������Business Wire���������� ���� �������� ������ ���������������-����������� �������� ������ ������� � ����������� �������� ������ �� ����������� ��������� "������� ���" ������������������� "����������"�����-�������������������� �� ���������������� Copyright � 1991—2023 Interfax. ��� ����� ��������. ������� ������� "���������.��".�������������� � ����������� ��� �� � �� 77 - 84928 ������ ����������� ������� �� ������� � ����� ����� �������������� ���������� � �������� ������������ (������������) 21.03.2023. ��� ���������� ����������� �� ������ ���-����� ������������� ������ ��� ������������� ����������� � �� �������� ����������� ��������������� �/��� ��������������� � �����-���� ����� ����� ��� � ����������� ���������� ����������.�������� ������������� �������������� ������ "���������"���������� � ��������� ������� � ����������X-Compliance����������������Interfax Dun&amp;Bradstreet������� � ������������ "����������"����RU Data����� ��������� ������������� ����������      ���������� ������ �� �����? �������� �������� ������ � ������� � ������� Ctrl + Enter.  ������� ������������� ������������������ ������������ – Motka.ru</t>
  </si>
  <si>
    <t>www.interfax.ru</t>
  </si>
  <si>
    <t>Майские праздники в 2023 году будут длинными или нет</t>
  </si>
  <si>
    <t>10 апр. 2023 г. —</t>
  </si>
  <si>
    <t>https://ngs.ru/text/job/2023/04/10/72203609/</t>
  </si>
  <si>
    <t>новости</t>
  </si>
  <si>
    <t>РИА Новости - события в Москве, России и мире сегодня ...</t>
  </si>
  <si>
    <t>Новости в России и мире, самая оперативная информация: темы дня, обзоры, анализ. Фото и видео с места событий, инфографика, радиоэфир, подкасты.</t>
  </si>
  <si>
    <t>https://ria.ru/</t>
  </si>
  <si>
    <t>Lenta.ru - Новости России и мира сегодня</t>
  </si>
  <si>
    <t>4 часа назад —</t>
  </si>
  <si>
    <t>https://lenta.ru/</t>
  </si>
  <si>
    <t>Лента новостей</t>
  </si>
  <si>
    <t>РИА Новости — последние новости в России и мире, самая оперативная информация: темы дня, обзоры, анализ. Фото и видео с места событий, инфографика, ...</t>
  </si>
  <si>
    <t>https://ria.ru/lenta/</t>
  </si>
  <si>
    <t>Последние новости дня в России и мире сегодня - свежие ...</t>
  </si>
  <si>
    <t>5 часов назад —</t>
  </si>
  <si>
    <t>https://www.rbc.ru/</t>
  </si>
  <si>
    <t>Новости Mail.ru: Новости России и мира, последние ...</t>
  </si>
  <si>
    <t>https://news.mail.ru/</t>
  </si>
  <si>
    <t>Интерфакс: новости</t>
  </si>
  <si>
    <t>https://www.interfax.ru/</t>
  </si>
  <si>
    <t>Главные новости - Газета.Ru</t>
  </si>
  <si>
    <t>1 час назад —</t>
  </si>
  <si>
    <t>https://www.gazeta.ru/</t>
  </si>
  <si>
    <t>Главные новости - Газета.Ru  НовостиСпортПоисковый запросПолитикаБизнесОбществоАрмияМненияКультураНаукаСемья и детиТехнологииАвтоСтильФотоИнфографикаЭксклюзивыТестыРедакцияЦивилизация#Война в Израиле #Лучшие врачи РоссииНовостиСпорт#Война в Израиле #Лучшие врачи РоссииПолитикаБизнесОбществоАрмияМненияКультураНаукаСемья и детиТехнологииАвтоСтильФотоИнфографикаЭксклюзивыТестыРедакцияЦивилизацияИзраиль объявил об уничтожении десятков главарей ХАМАС06:40Москвичам рассказали о погоде в воскресенье06:31У берегов Индонезии произошло землетрясение магнитудой 5506:20Остин обсудил с Умеровым боевые действия на Украине06:10Дубль Овечкина принес «Вашингтону» победу над «Айлендерс»06:03«Питтсбург» одолел «Баффало» благодаря голу Малкина05:57Брат Хабиба сделал заявление на фоне скандала с допингом05:50Украинский сервис такси разрешил жалобы на «антиукраинских» водителей05:26Армия РФ ликвидировала четыре минометных расчета ВСУ на Купянском направлении05:23Сын Плющенко отреагировал на предложение перейти к Тутберидзе одним словом05:20Все новостиGazeta.ru на рабочем столедля быстрого доступаУстановитьНе сейчас Главные новости - Газета.Ru  Картина дняWP назвала координатора атак на «Северные потоки». Это арестованный в Киеве полковник ВСУWP: экс-полковник ССО ВСУ координировал подрыв «Северных потоков» 00:30 Поезд сошел с рельсов после подрыва ж/д путей под Рязанью. Возбуждено дело о терактеВ Рязанской области возбудили дело о теракте после схода с рельсов 19 вагонов11.11.2023 22:44«Кучка оголтелых недоличностей»: Пугачева объяснила кого назвала «холопами и рабами»Певица Пугачева назвала своих критиков клеветниками и недоличностями11.11.2023 18:18Белому дому не понравился проект Джонсона по спасению от шатдауна03:11В Минцифры уточнили какие сервисы VPN заблокируют в РФ03:35На пути к титулу: Павлович бьется с Аспиналлом. LIVEСмешанные единоборства. UFC 295. Сергей Павлович (Россия) — Том Аспиналл (Великобритания). ОНЛАЙН06:11Самолет ВВС США потерпел крушение в водах Средиземного моря00:31Bellator сделал заявление из-за скандала с допингом брата Хабиба01:5010 главных фото недели: ситуация в секторе Газа папа Римский на кабриолете и протесты в ИспанииЛев сбежал из цирка недалеко от Рима00:25«Попытка обанкротить»: как Россия поссорилась с Carlsberg из-за «Балтики»В МИД РФ назвали несостоятельными заявления Carlsberg о краже бизнеса11.11.2023 20:17«Пусть воюет против сатанистов». Дудя проверяют на дискредитацию армииПрокуратура проверяет Дудя по уголовной статье о дискредитации армии11.11.2023 20:263:1  Крылья Советов— Урал 1:1  Факел— ЦСКА 2:1  Локомотив М— Ахмат 1:1  Зенит— Краснодар 4:3  Лада— Спартак 3:0  Металлург Мг— Ак Барс 4:2  СКА— НефтехимикСпорт1:1Главный матч осени: «Зенит» и «Краснодар» сыграли огненную ничью в Санкт-Петербурге«Зенит» отыгрался против «Краснодара» в центральном матче тура РПЛ 11.11.2023 19:30 Дубль Овечкина принес «Вашингтону» победу над «Айлендерс»06:03«Питтсбург» одолел «Баффало» благодаря голу Малкина05:57Брат Хабиба сделал заявление на фоне скандала с допингом05:50Сын Плющенко отреагировал на предложение перейти к Тутберидзе одним словом05:20На глазах у Тутберидзе: Валиева поразила зрителей сразу после слушаний в CASВалиева выиграла короткую программу на этапе Гран-при России в Казани11.11.2023 15:141:1Драматичная ничья: «Факел» украл у ЦСКА победу в Воронеже«Факел» и ЦСКА сыграли вничью в матче 15-го тура РПЛ11.11.2023 14:00Новости и материалыИзраиль объявил об уничтожении десятков главарей ХАМАС06:40Москвичам рассказали о погоде в воскресенье06:31У берегов Индонезии произошло землетрясение магнитудой 5506:20Остин обсудил с Умеровым боевые действия на Украине06:10Украинский сервис такси разрешил жалобы на «антиукраинских» водителей05:26Армия РФ ликвидировала четыре минометных расчета ВСУ на Купянском направлении05:23ЦАХАЛ нанес удар по террористической инфраструктуре в САР05:13ВВС Иордании совершили гуманитарный рейд в сектор Газа05:04Погранслужба Газы назвала сроки возобновления работы КПП «Рафах» для иностранцев04:59Германия увеличит объем военной помощи Украине в 2024 году04:55В США заявили о странных следах на шее Овечкина04:50На Украине рассекретили что совершил Залужный04:46Арабские страны отказались разделять Газу и Западный берег04:32ВОЗ сообщила о потере связи с координаторами в больнице «Аш-Шифа» в Газе04:28Россиян предупредили о схеме мошенников во время распродаж04:10Овечкин прервал безголевую серию в НХЛ04:05Европейские фермеры опасаются новой угрозы из-за вступления Украины в ЕС04:04В Госдуме предложили новые льготы для детей из многодетных семей03:54«Я бы не поехала»: чемпионка Хоркина оценила условия допуска россиян03:50Девять полицейских ранены в ходе акции в поддержку Палестины в Лондоне03:26Все новостиДмитрий СамойловЧто чувствует средний москвич в 40 лет11.11.2023 08:30 Денис Лукьянов«Мы поймем но позже». За что Бунину дали Нобеля?10.11.2023 08:22 Марина ЯрдаеваНе хотим не верим протестуем. Почему учителя против ИИ?09.11.2023 08:00 «Мы ответим тем же». Киев пригрозил ударами по энергетической инфраструктуре РоссииУкраина пригрозила ответными ударами по энергетической инфраструктуре России11.11.2023 18:45 «Перспективы скорой победы над Россией нет»: Боррель оценил ситуацию на УкраинеБоррель: победы Украины над РФ в ближайшее время не будет11.11.2023 16:43  «Не в малых объемах»: после официального отказа Европа продолжает закупать российский газМиллер заявил что европейские страны все еще получают российский газ11.11.2023 15:51 «Братская могила на территории больницы». Что происходит в ГазеTasnim: ХАМАС остановил армию Израиля у больницы «Аш-Шифа» в Газе11.11.2023 14:45 Байден и Си Цзиньпин встретятся в Сан-Франциско. На повестке отношения с Россией и ИраномPolitico: Байден планирует «жесткий разговор» с лидером КНР о России и Иране11.11.2023 13:41 План военной помощи Украине на €20 млрд встретил сопротивление со стороны стран ЕСReuters: Германия выступила против выделения ЕС Украине €20 млрд военной помощи11.11.2023 11:09В Москве показали редкие монеты времен Золотой Орды Почему появляется целлюлит и как его лечитьКосметолог Карапетян: развитие целлюлита приводит к судорогам и отекам11.11.2023 08:27 Тест: на какую оценку вы сдадите экзамен по русскому языку за 8-й классОтветьте на несколько вопросов по русскому языку и узнайте свою оценку11.11.2023 08:26 Роботы роняют смартфоны и фотографируют еду. День из жизни фабрики в КитаеРепортаж «Газеты.Ru» о фабрике и фотолаборатории Oppo где работают роботы11.11.2023 08:09 Автор доносов на звезд Бородин лишился статуса адвоката но пока не знает об этомАдвокатская палата Северной Осетии лишила статуса Виталия Бородина11.11.2023 00:34Давка и панические атаки. В очереди за билетами на «Щелкунчика» пострадали людиУ Большого театра в очереди на «Щелкунчик» возникла давка двое пострадали11.11.2023 00:22«Раскаялся извинился». Полицейский подкинувший наркотики Ивану Голунову вышел на свободуСуд освободил по УДО осужденного по делу Голунова экс-полицейского Коновалова10.11.2023 23:46Читайте такжеВ России хотят вернуть тотализаторКак нейросеть влияет на ваши покупкиЯндекс запустил новую функциюПочему важно следить за уровнем кальцияЗОЖ для ленивых. Как защититься от сердечно-сосудистых заболеванийКак в России защищают спутниковое вещание Cамое читаемоеЗагрузкаРедакцияРекламаКарта сайтаПравовая информацияУсловия использованияПолитика конфиденциальности   © АО «Газета.Ру» (1999-2023) – Главные новости дняНазвание: Газета.Ru (Gazeta.Ru)Учредитель: АО «Газета.Ру» ОГРН 1067761730376 ИНН 7743625728Адрес учредителя: 125239 Россия Москва Коптевская улица дом 67Адрес редакции и издателя:117105г. МоскваВаршавское шоссе д.9 стр.1Телефон редакции: +7 (495) 785-00-12 | Факс: +7 (495) 785-17-01Электронная почта: gazeta@gazeta.ru18+Свидетельство о регистрации СМИ Эл № ФС77-67642 выдано федеральной службой по надзору в сфере связи информационных технологий и массовых коммуникаций (Роскомнадзор) 10.11.2016 г. Редакция не несет ответственности за достоверность информации содержащейся в рекламных объявлениях. Редакция не предоставляет справочной информации.Информация об ограниченияхПравила применения рекомендательных технологий Найдена ошибка?ЗакрытьСпасибо за ваше сообщение мы скоро все поправим.Продолжить чтение</t>
  </si>
  <si>
    <t>www.gazeta.ru</t>
  </si>
  <si>
    <t>ТАСС: Новости в России и мире</t>
  </si>
  <si>
    <t>16 часов назад —</t>
  </si>
  <si>
    <t>https://tass.ru/</t>
  </si>
  <si>
    <t>Последние новости дня на этот час</t>
  </si>
  <si>
    <t>Лента самых свежих новостей на сегодня на rg.ru. Рассказываем обо всем, что происходит прямо сейчас.</t>
  </si>
  <si>
    <t>https://www.rg.ru/news.html</t>
  </si>
  <si>
    <t>Новости сегодня в России и мире - Российская газетаНовостиНовости компанийНаши проектыСвежий номерРГ-НеделяРодинаТематические приложенияСоюзСвежий номерПодписка на изданиеВойтиНовостиВластьЭкономикаВ регионахВ миреПроисшествияОбществоСпортКультураДокументыСпецпроектыЕщёЛента новостейДокументыСпецпроектыГлавное сегодняUSEUCOM: Самолет ВВС США упал в Средиземное море во время тренировочного полетаАрмия России поразила склад боеприпасов ВСУ в районе села Девички под КиевомМО РФ: На купянском направлении уничтожены 50 бойцов ВСУ БМП Bradley и САУ KrabСпикер конгресса США предложил финансирование правительства без помощи КиевуМинцифры: В России заблокируют несущие угрозу сервисы VPNПалестино-израильский конфликт: хроники "октябрьской войны"Военные РФ рассказали о тяжелом бое на Днепре где взяли в плен 11 морпехов ВСУГлавное сегодняUSEUCOM: Самолет ВВС США упал в Средиземное море во время тренировочного полетаАрмия России поразила склад боеприпасов ВСУ в районе села Девички под КиевомМО РФ: На купянском направлении уничтожены 50 бойцов ВСУ БМП Bradley и САУ KrabСпикер конгресса США предложил финансирование правительства без помощи КиевуМинцифры: В России заблокируют несущие угрозу сервисы VPNПалестино-израильский конфликт: хроники "октябрьской войны"Марина Акифьева благодарна "РГ" за возможность воспитывать внука-сиротуКарин Кнайсль - о том кто разгромил ее сад в Австрии и почему она выбирает сегодня Россию а не ЕвропуЭксклюзивКоманда: Воздух!Алексей Герман: Принятие своей страны со всеми ее сложностями и заслугами - вот содержание русского искусстваЭксклюзивКак обрели чудотворный образ - Казанскую икону Божией МатериОбострение палестино-израильского конфликта: день 36-йВыбор редакции"Родина" как подарокПавел Крашенинников сделал подарок "Российской газете" в день ее рождения: Тридцать три школы в Свердловской области подписаны на наш журнал "Родина"Сирота из Омска благодаря вмешательству "РГ" получил квартиру стал студентом и поверил в то что можно изменить судьбуС нами Бах!Победитель музыкальных конкурсов в Париже и Праге Марианна Васильева отказалась от европейской карьеры ради концертов в донбасских окопахЭксклюзивРоссийское выбирают за надежность. Ростех - о новинках на Dubai Airshow и об экспорте отечественного оружияЭксклюзивЧто будет с рублем нефтью и биржей на неделе с 13 по 19 ноябряНа ВДНХ открылась выставка "Россия": что посмотретьНовостиНовости компанийМедиавсефотовидео© 1998-2023ФГБУ «Редакция  «Российской газеты»ВластьЭкономикаВ регионахВ миреПроисшествияОбществоСпортКультураТематические проекты:Русское оружиеАвтопаркЮрконсультацияТехнологииКинократияСтиль жизниКвадратный метрДубль дв@Совместные проекты:Пушкинский конкурсСтань журналистом!Миссия выполнимаВ МГИМО - с «РГ»Звезды ПобедыГод литературыРоссия-Китай: события и комментарииРегиональное контент-партнерствоО газетеПодпискаКонтактыОбратная связьРекламаМедиацентрСервисы и приложенияРассылка «Свежий номер» каждое утроВ рассылку включаются главные материалы свежего номера «Российской Газеты»?ПодписатьсяИспользование материалов «РГ»Обязательная для публикации информацияНа сайте rg.ru применяются рекомендательные технологии (информационные технологии предоставления информации на основе сбора систематизации и анализа сведений относящихся к предпочтениям пользователей сети «Интернет» находящихся на территории Российской Федерации). Подробная информацияИнтернет-портал «Российской газеты» (16+) зарегистрирован в Роскомнадзоре 21.06.2012 г. Номер свидетельства ЭЛ № ФС 77 — 50379.Учредитель ФГБУ «Редакция «Российской газеты»Главный редактор В.А. ФронинRSS+7 (495) 775-31-18+7 (499) 257-56-50mail@rg.ruРедакция не несет ответственности за мнения высказанные в комментариях читателей.© 1998-2023 ФГБУ «Редакция «Российской газеты»+16</t>
  </si>
  <si>
    <t>www.rg.ru</t>
  </si>
  <si>
    <t>Коммерсантъ: последние новости России и мира</t>
  </si>
  <si>
    <t>13 часов назад —</t>
  </si>
  <si>
    <t>https://www.kommersant.ru/</t>
  </si>
  <si>
    <t>Google Новости</t>
  </si>
  <si>
    <t>3 часа назад —</t>
  </si>
  <si>
    <t>https://news.google.com/?hl=ru</t>
  </si>
  <si>
    <t>Google NewsNewsHelp HelpPrivacyTermsAbout GoogleGet the Android appGet the iOS appSend feedbackSettings SettingsLanguage &amp; regionEnglish (United States)Sign inHomeFor youFollowingNews ShowcaseU.S.WorldLocalBusinessTechnologyEntertainmentSportsScienceHealthMore NewsYourbriefingToday50°30°Sun51°37°Mon58°31°Tue54°32°Ann Arbor36°FMore on weather.comTop storiesThe GuardianMoreIsraeli troops in key battle with Hamas gunmen near Gaza City hospital4 hours agoJason Burke &amp; Ruth MichaelsonBy Jason Burke &amp; Ruth MichaelsonCNNMoreGaza doctors say hospitals are failing. US medical groups are scrambling to help2 hours agoAlaa ElassarBy Alaa ElassarCBS New YorkMoreGaza hospital nearly at its breaking point as it operates without power4 hours agoAl Jazeera EnglishMoreIsrael is bombing hospitals in Gaza with Israeli doctors’ approval16 hours agoOpinionFull CoverageABC NewsMoreSpeaker Mike Johnson pitches Republicans on plan to avert government shutdown3 hours agoJohn R Parkinson Rachel Scott &amp; Allison PecorinBy John R Parkinson Rachel Scott &amp; Allison PecorinCNNMoreHouse GOP pursuing two-step plan to avert government shutdown2 hours agoLauren Fox Manu Raju &amp; Annie GrayerBy Lauren Fox Manu Raju &amp; Annie GrayerRoll Call MoreSenate stopgap plan might extend to January jettison war funds11 hours agoPaul KrawzakBy Paul KrawzakMSNBCMoreMike Johnson has a secret plan to fight a government shutdown5 hours agoOpinionHayes BrownBy Hayes BrownFull CoverageThe Associated PressMorePope Francis removes Tyler Texas bishop Joseph Strickland4 hours agoNicole WinfieldBy Nicole WinfieldBBC.comMoreFagradalsfjall: Iceland declares emergency over volcano eruption concerns5 hours agoLocal newsPicks for youSign in for personalized stories in your briefing &amp; news feedSign inSearchClear searchClose searchGoogle appsMain menu</t>
  </si>
  <si>
    <t>news.google.com</t>
  </si>
  <si>
    <t>Новости — Meduza</t>
  </si>
  <si>
    <t>14 минут назад —</t>
  </si>
  <si>
    <t>https://meduza.io/</t>
  </si>
  <si>
    <t>Новости — Meduza    Перейти к материаламНовостиИсторииРазборПодкастыШапитоВойтиО «Медузе»РекламаMeduza in EnglishПоказывать по порядкуENВойтиПоддержатьФильм о судье Тамаре Морщаковой. ТрейлерПоказывать по порядкуНовостиФильм о судье Тамаре Морщаковой. ТрейлерновостиWashington Post: диверсию на «Северных потоках» координировал украинский полковник Роман Червинский Военный находящийся в СИЗО Киева свою причастность отрицает3 часа назад«Фонтанка»: финские пограничники перестали пропускать в страну россиян на велосипедах — их разворачивают на границе 4 часа назадСледственный комитет РФ возбудил дело о теракте после схода с рельсов вагонов грузового поезда в Рязанской области5 часов назадразборВозможно вы не в курсе но российская пропаганда постоянно обвиняет Украину в торговле органами. Их якобы изымают у военных а потом везут на Запад Методично разбираем этот бред16 часов назадисторииПо всему миру тысячи людей вышли на акции в поддержку Палестины Они требуют немедленного прекращения огня в секторе Газа. Фотографии20:20 11 ноября 2023В Лондоне начался очередной марш в поддержку Палестины. В акции приняли участие десятки тысяч человек6 часов назадГлава европейской дипломатии Жозеп Боррель призвал страны ЕС «оставаться едиными» в поддержке Украины поскольку помощь Киеву со стороны США может сократиться7 часов назадисторииМагическое средство коммуникации «Аквариум» перевыпустил альбом «Радио Африка» — на основе записей 40-летней давности. Лев Ганкин рассказывает как появилась эта версия знаменитой пластинки11 часов назадПрокуратура Москвы начала проверку в отношении журналиста Юрия Дудя по статье о «дискредитации» российской армии8 часов назадИлон Маск призвал Владимира Зеленского начать переговоры а также «не отправлять украинскую молодежь умирать в окопах»8 часов назадисторииCергей Павлович — бывший десантник и фанат Федора Емельяненко. Теперь он дерется в Мэдисон-сквер-гарден за чемпионский пояс UFC10 часов назад«В наших песнях нет ни слова против СВО ни слова в поддержку Украины». В сети появились видео c участниками группы Zero People после срыва их концерта в Санкт-Петербурге10 часов назад«Россия никогда не приходит навсегда потому что Украина всегда возвращается».  Зеленский выступил с обращением по случаю годовщины освобождения Херсона11 часов назадновости«Я постараюсь дожить до победы света над тьмой победы добра над злом победы правды над клеветой» Алла Пугачева опубликовала первый пост после своего визита в РФ8 часов назадНа Европейский университет в Санкт-Петербурге составили два протокола об участии в деятельности «нежелательной организации»12 часов назадМакрон заявил что Израиль бомбит мирное население в Газе и призвал прекратить атаки. В ответ Нетаниягу обвинил в происходящем ХАМАС15 часов назадновостиКим Чен Ын сделал ставку на Китай и Россию в условиях их противостояния с США. Теперь он не боится санкций — и может продолжать ядерные испытания Главное из статьи Financial Times10 часов назадГлава Минпросвещения лично представил Кадырову переписанный учебник истории который критиковали в Чечне из-за абзаца о репрессированных народах 13 часов назадАгентство Moodyʼs понизило прогноз по кредитному рейтингу США до «негативного»14 часов назадисторииКак осенью меняется фронт: траншеи заполняются водой и грязью Шестьсот двадцать пятый день войны. Фотографии11 часов назадВ Рязанской области из-за «вмешательства посторонних лиц» сошли с рельсов 19 вагонов грузового поезда15 часов назадПоследняя песня The Beatles — «Now and Then» — возглавила музыкальный хит-парад Великобритании побив сразу несколько рекордов15 часов назадисторииГод назад ВСУ освободили Херсон. Но война для города не закончилась — российская армия продолжает его обстреливать Местные жители хоронят близких теряют дома остаются без света и воды — и все равно выживают14 часов назадВ Тамбовской области произошел пожар на пороховом заводе. Местные жители сообщали что пожару предшествовал взрыв16 часов назадновостиВойна Шестьсот двадцать шестой день. Онлайн «Медузы»16 часов назадReuters: у Евросоюза есть «план Б» на случай если Венгрия наложит вето на новый пакет помощи Украинедень назадВласти Израиля уточнили что при нападении ХАМАС на страну 7 октября погибли 1200 человек. Ранее сообщалось о 1400 погибшихдень назадВ ежегодном Всемирном индексе благотворительности Россия заняла 102-е место Украина — второедень назадновостиСША приступили к летным испытаниям ядерного бомбардировщика B-21 Raider. Фотографиядень назадПервые летные испытания американского стелс-бомбардировщика B-21 Raider способного нести ядерное вооружение прошли 10… Читать дальшеПервые летные испытания американского стелс-бомбардировщика B-21 Raider способного нести ядерное вооружение прошли 10 ноября в Калифорнии. Компания — производитель Northrop Grumman позиционирует B-21 как первый в мире самолет шестого поколения и «будущую основу авиации США». B-21 имеющий форму «летающего крыла» как и его предшественник B-2 Spirit будет способен нести обычное и ядерное оружие по всему миру используя возможности дозаправки на дальних и средних расстояниях. По оценке Reuters стоимость одного самолета составляет около 750 миллионов долларов. ВВС США планируют закупить не менее 100 таких самолетов на замену бомбардировщикам B-1 и B-2.David Swanson / Reuters / Scanpix / LETAВ Одесской области под удар попал дачный кооператив. Пострадали три человека в том числе 96-летняя женщинадень назадГлавком ВСУ заявил что российская армия за месяц штурма Авдеевки потеряла десять тысяч человекдень назадBloomberg: страны Евросоюза выступили за «более постепенный подход» к использованию российских замороженных активовдень назадМинюст РФ объявил «иноагентами» журнал для студентов «Гроза» и издание об окружающей среде «Кедр.медиа»день назадновостиЦАХАЛ снял документальный фильм о нападении террористов ХАМАС на Израиль Актриса Галь Гадот показала его в США. Потом произошли столкновениядень назадКонституционный суд Кыргызстана отменил матчества в паспортах. Их разрешили всего четыре месяца назад — и это вызвало критикудень назадВ самопровозглашенной ДНР 37-летнего защитника Мариуполя Виталия Матвиенко попавшего в плен приговорили к 30 годам колониидень назад«Аль-Арабия»: Израиль и ХАМАС договорились об обмене — 100 палестинских женщин и подростков на 100 женщин и детей из числа заложников ХАМАСдень назадОбъявлены номинанты на «Грэмми». У певицы SZA девять номинаций у Тейлор Свифт Билли Айлиш и Майли Сайрус — по шестьдень назадИлью Яшина этапировали из Москвы в Смоленскую область. Его приговорили к восьми с половиной годам по делу о «фейках»день назадновостиНа складе «Медузы» закончились все книги Елены Костюченко «Моя любимая страна»… Что делать тем кто не успел ее заказать? Не все потеряно!день назадПодросток из Мариуполя которому вручили повестку в подмосковный военкомат вернется в Украинудень назадСуд досрочно освободил одного из фигурантов дела Ивана Голуновадень назадКриптобиржа Binance прекращает обслуживать рублевые депозитыдень назад«Если ты начал видеть себя победителем можно все проиграть». Глава офиса Зеленского — о перспективах войныдень назадподкастыПремьера подкаста «Кроме звезд»! Начинаем с нашей любимой музыки Рюити Сакамото — слушаем его саундтреки технозаписи фортепианные концерты (и даже рингтон для Nokia)42 минуты13:36 10 ноября 2023Все эпизодыПодписатьсяiTunesRSS-потокGoogle PodcastsSpotifyCastboxYouTubeПремьера подкаста «Кроме звезд»! Начинаем с нашей любимой музыки Рюити Сакамото — слушаем его саундтреки технозаписи фортепианные концерты (и даже рингтон для Nokia)00:0042:11«Они искупают кровью преступления на поле боя». Песков — о том почему помиловали убийцу студентки Веры Пехтелевой и других преступниковдень назадОтец писателя Саши Филипенко арестован на 13 сутокдень назадРодственники попавшего в плен и осужденного в России украинского правозащитника Максима Буткевича два месяца не могут его найти день назадBaza: в Брянской области обстреляли автомобиль погрануправления ФСБ. Погиб офицер спецслужбыдень назадисторииНа Netflix вышел «Киллер» Дэвида Финчера. Эта картина ломает жанровый канон А Майкл Фассбендер играет в ней одну из самых выразительных своих ролей2 месяца назадВ Курской области четыре из пяти частных клиник проводивших медикаментозные аборты отказались предоставлять такую помощьдень назад«Медиазона»: в России за полтора года после ужесточения уголовного наказания о пытках возбудили 32 таких дела. Под суд попали 58 силовиковдень назадСтартап бывших сотрудников Apple представил гаджет AI Pin — брошь с ИИ-помощникомдень назадисторииВо Львове снесли скульптуру с советским космонавтом (неофициально ее называли «памятником Терешковой»). Раньше власти считали что она «не несет идеологической нагрузки» — но война их переубедила Шестьсот двадцать четвертый день войны. Фотографиидень назадВиктор Орбан: Украина не готова к переговорам о вступлении в ЕС2 дня назадподкастыК первой годовщине освобождения Херсона говорим с Константином Рыженко. До начала российской оккупации он был местным журналистом а после стал участником сопротивления48 минут2 дня назадВиталий Манский написал пост о поездке в Баку. После этого в Ереване отменили его фестиваль «Эхо Артдокфеста»2 дня назадОсновательницу фонда «Свободная Бурятия» Александру Гармажапову заочно приговорили к 7 годам колонии по делу о «фейках» о российской армии2 дня назадРБК: «прямая линия» и пресс-конференция Путина пройдут одновременно 14 декабря2 дня назадРоссия атаковала Украину беспилотниками и ракетами. ВСУ заявили что сбили пять дронов и одну ракету2 дня назадПредставитель России впервые не попал в состав Международного суда ООН2 дня назадистории«Российские власти охотно превращают собственных граждан в хладнокровных чудовищ» Год назад армия РФ ушла из Херсона. Журналистка Андреа Йеска написала серию репортажей из освобожденного города. Мы с ней поговорили2 дня назадПутин посетил штаб российских войск в Ростове-на-Дону где осмотрел «новые образцы военной техники». Ему показали «машинку» — вездеход для фермеров2 дня назадГосдума одобрила создание общедоступного реестра должников по алиментам2 дня назадразборЕврокомиссия рекомендовала начать переговоры с Украиной о вступлении в ЕС. Киев действительно стал ближе к тому чтобы стать членом союза? И что означает рекомендация выдать статус кандидата в члены ЕС Грузии?9 карточек2 дня назадновостиBloomberg: в руководстве Украины отрицают раскол между Залужным и Зеленским О разногласиях между ними стали говорить после интервью главкома ВСУ. Он сказал что «война зашла в тупик»2 дня назадистории«Я не одна. Таких мам сотни» Интервью Оксаны Пехтелевой. Путин помиловал убийцу ее дочери — тот получил 17 лет колонии но освободился поехав на войну с Украиной2 дня назадновостиГод назад российская армия отступила из Херсона — хотя «пришла туда навсегда» Как украинцы освободили свой город — и как российские войска приняли «непростое решение»3 минуты2 дня назадРоссийская армия в начале полномасштабного вторжения в Украину захватила Херсон. Это был единственный украинский област… Читать дальшеРоссийская армия в начале полномасштабного вторжения в Украину захватила Херсон. Это был единственный украинский областной центр который удалось занять войскам РФ. 9 ноября 2022 года министр обороны РФ Сергей Шойгу заслушав доклад генерала Сергея Суровикина приказал вывести войска из Херсона заявив что это «тяжелое» решение но оно позволит сохранить жизни людей. Российские власти заявляли что «пришли в Херсон навсегда». 11 ноября 2022 года в Херсон вернулись украинские военные.новости«Все злятся на командование. Это глупость военного руководства» Бойцы 128-й бригады ВСУ погибли при обстреле у линии фронта — во время церемонии награждения. The Washington Post поговорила с теми кто выжил2 дня назадПодпишитесь на «Сигнал» — имейл-рассылку от создателей «Медузы». Она помогает понимать новости и будет работать до тех пор пока в России есть интернет. Защита от спама reCAPTCHA.  Конфиденциальность и условия использованияВаш e-mailПодписатьсяновостиМосквичи сутками стоят в очередях за билетами на балет «Щелкунчик» в Большом театре Только за место в очереди перекупщики просили 15 тысяч рублей (их в итоге задержали)2 дня назадновостиLed Zeppelin IV — один из самых великих и загадочных альбомов в истории рока. Он вышел более полувека назад Теперь одна из его тайн раскрыта: британский ученый выяснил кем был мужчина с хворостом на обложке — и кто сделал его фото2 дня назадПутин приехал в Казахстан. Ему опять стало трудно выговорить отчество президента Токаева2 дня назадновостиХотите пойти в магазин и купить книги Зыгаря или Костюченко выпущенные «Медузой»? Вот удобный список — по странам3 дня назадО чем мы писали на этой неделеистории«Я понял что эту тему лучше не поднимать» Фигурант дела «Сети» Максим Иванкин выступил в суде по делу об убийстве Екатерины Левченко и Артема Дорофеева. Вот его показания4 дня назадисторииОни боялись диктатора. И сами привели его к власти В 2024 году Путин (почти наверняка) в пятый раз станет президентом. «Медуза» рассказывает как он выиграл свои первые выборы — и как ему в этом помогали российские либералы5 дней назадисторииУкраине не удалось добиться успехов в результате контрнаступления. Но Кремль все равно хочет оставить войну «на заднем плане» во время предвыборной кампании 2024 года4 дня назадисторииВойна России с Украиной снова зашла в тупик. Западные страны все чаще говорят о мирных переговорах. Они все-таки начнутся? Выпуск рассылки «Сигнал» на «Медузе»4 дня назадразборБольшинство американцев сегодня считают войну во Вьетнаме ошибкой. Но так было не всегда — во время самой войны общество ее поддерживало Почему у антивоенного движения даже в 1960-е не получилось склонить на свою сторону большинство?5 дней назадистории«Воспринимают как ярмарку тщеславия» На ВДНХ идет выставка «достижений» России при Путине — с Шаманом роботами и балалайкой. Рассказываем зачем она нужна Кремлю и руководству российских регионов2 дня назадНавигацияМедузаО редакцииКодекс «Медузы»Meduza in EnglishБлогИспользование кукиОбработка данныхСвязаться анонимноПоддержать «Медузу»ПриложенияiOSAndroidДрузья «медузы»Имейл-рассылка Kit«Радио Долин»ПлатформыИнстаграмТелеграмФейсбукТвиттерЮтьюбВсе платформыРассылкаПодпишитесь на «Сигнал» — имейл-рассылку от создателей «Медузы». Она помогает понимать новости и будет работать до тех пор пока в России есть интернет. Защита от спама reCAPTCHA. Конфиденциальность и условия использования. Подробнее про «Сигнал»EmailПодписатьсяКак читать  «Медузу» во время блокировкиНашли ошибку? Выделите ее и нажмите Ctrl+Enter© Meduza 2023</t>
  </si>
  <si>
    <t>meduza.io</t>
  </si>
  <si>
    <t>Главные и последние новости дня на ...</t>
  </si>
  <si>
    <t>6 часов назад —</t>
  </si>
  <si>
    <t>https://iz.ru/news</t>
  </si>
  <si>
    <t>Известия – новости политики, экономики, спорта, культуры ...</t>
  </si>
  <si>
    <t>IZ.RU – информационный портал газеты Известия, Ren TV, 5 канала. Последние новости политики, экономики, культуры, новости в мире и стране, новости спорта, ...</t>
  </si>
  <si>
    <t>https://iz.ru/</t>
  </si>
  <si>
    <t>Новости</t>
  </si>
  <si>
    <t>https://www.1tv.ru/news</t>
  </si>
  <si>
    <t>Первый канал: Новости. Видео. Телепрограмма. Прямой эфирГлавнаяСмотрите на ПервомЭфирНовостиШоуФильмы и сериалыСпортТелепрограммаnews.1tv.ruСмотреть другие телеканалыТелепрограммаРубрики Смотрите на Первом Выпуски новостейВсе выпуски новостей Title is loadingПоказать ещеСмотрите без рекламы Телепроекты Первого канала Спецпроекты первого канала СвернутьОнлайн-кинотеатрВещание за рубежомВы можете разместить у себя на сайте или в социальных сетях плеер Первого канала. Для этого нажмите на кнопку «Поделиться» в верхнем правом углу плеера и скопируйте код для вставки. Дополнительное согласование не требуется.Онлайн-трансляция эфирного потока в сети интернет без согласования строго запрещена. Заявка на организацию трансляции© 1996 — 2023 Первый канал. Все права защищены. Пользовательское соглашениеПервый канал. Все права защищены.Трансляция общероссийских обязательных общедоступных телеканалов и телеканалов получивших право на осуществление эфирного цифрового наземного вещания с использованием позиций в мультиплексах на всей территории Российской Федерации осуществляется в непрерывном режиме круглосуточно без взимания платы на странице Телеканалы.</t>
  </si>
  <si>
    <t>www.1tv.ru</t>
  </si>
  <si>
    <t>Первый канал: Новости. Видео. Телепрограмма. Прямой ...</t>
  </si>
  <si>
    <t>Новости, познавательные передачи и развлекательные шоу, фильмы и сериалы – все это вы можете смотреть на сайте Первого канала.</t>
  </si>
  <si>
    <t>https://www.1tv.ru/</t>
  </si>
  <si>
    <t>Новости - ИА REGNUM</t>
  </si>
  <si>
    <t>https://regnum.ru/news</t>
  </si>
  <si>
    <t>Новости России СНГ и мира - ИА REGNUMважноеПризнание Залужного о провале ВСУ позволит России атаковать Киев — СоскинБывший советник второго президента Украины Леонида Кучмы Олег Соскин считает что признание главнокомандующего ВСУ Валерия Залужного о провале на фронте заставит президента России Владимира Путина атаковать Киев. «Путин уже понимает после статьи и интервью Залужного что руководство армии Украины...06:02новостивсе новостиновость часаВС России уничтожили четыре миномётных расчёта ВСУ под Купянскомвсе новости06:29мнениеЖдем третьего. За месяц США получили сразу два глобальных удараПЕТР АКОПОВвсе мненияПолитикаСельскому хозяйству Европы угрожает вступление Украины в ЕСОбществоВ Минцифры разъяснили какие сервисы VPN попадут под блокировкуВ секторе Газа попавшая под обстрел больница осталась без электричествамнениявсе мненияэкономика«Нищая страна». Из-за чего португальский премьер-министр потерял постпроисшествияВойна перевозчиков: поляки не желают отдавать Украине «последнюю рубашку»общество«Камера все передает». Кровь и лучшие кадры фронтового оператораЛИЦА ДОНБАССАобщество«Тонкая струйка». Россияне не смогли покинуть гибнущий сектор ГазаКонтрольно-пропускной пункт «Рафах» на границе сектора Газа и Египта 10 ноября оказался заблокированным. Из-за этого 85 российских граждан ожидающих с утра эвакуации не смогли перейти границу. Однако спецпредставитель президента РФ по Ближнему Востоку и странам Африки замглавы МИД России Михаил...РУССКИЕ ЗА РУБЕЖОМобществоСвет и тьма. Украина готовится «к самой тяжелой зиме»«Я купил десятки свечей. Мой отец купил полный грузовик дров. Мы готовимся к худшей зиме чем когда-либо. Поэтому мы закроем глаза если не получим Taurus но получим системы ПВО» — пугая немцев попрошайничает в свежем интервью Die Welt глава украинского МИД Дмитрий Кулеба. Подготовка к зиме на...политика«Я завидую россиянам». Польский политик рассказал как разрушают его странуНедавно зарегистрированная партия «Безопасная Польша» представила свой манифест в котором призвала к дружбе с Россией Белоруссией и Германией и выходу Варшавы из режима слепого подчинения Вашингтону и Брюсселю. О ситуации в стране сложившейся после парламентских выборов перспективах...политика«Полумесяц и звёзды». Путин откалибровал баланс отношений с КазахстаномэкономикаКонфискация российских активов: что изменит новый закон в СШАКомитет по иностранным делам палаты представителей Конгресса США большинством голосов поддержал двухпартийный законопроект об использовании конфискованных российских активов для помощи Украине. Чем это грозит? США давно «ходят вокруг да около» темы конфискации российских активов замороженных после...фоторепортажобществоАвтомат и гитара барда Сергея ЛысенкоЛИЦА ДОНБАССАхамас против израиля«Тонкая струйка». Россияне не смогли покинуть гибнущий сектор ГазаКонтрольно-пропускной пункт «Рафах» на границе сектора Газа и Египта 10 ноября оказался заблокированным. Из-за этого 85 российских граждан ожидающих с утра эвакуации не смогли перейти границу. Однако спецпредставитель президента РФ по Ближнему Востоку и странам Африки замглавы МИД России Михаил...ЦАХАЛ ударила по инфраструктуре террористов в СирииВ секторе Газа попавшая под обстрел больница осталась без электричестваВ ходе протестов в поддержку Палестины в Лондоне пострадали полицейскиеАрабские страны выдвинули условия установления мира с ИзраилемИзраильские военные перехватили «подозрительную» воздушную цель из ГазыИзраиль заявил о поражении пусковой площадки движения «Хезболла»Возле дома Байдена активисты потребовали прекращения огня в ГазеВ Израиле пригрозили Ливану последствиями вступления в конфликтВласти Израиля раскрыли планы военного присутствия ЦАХАЛ в ГазеНетаньяху предостерёг «Хезболлу» от вступления в конфликтВ Израиле заявили о нанесении ударов по военной инфраструктуре «Хезболлы»КПП «Рафах» откроют для иностранцев 12 ноябряРаскрыты подробности соглашения с ХАМАС по освобождению пленныхПрокуратура Баварии приравняла пропалестинский лозунг к нацистскимГенсек ЛАГ допустил повторение ближневосточного конфликта «раз за разом»Тысячи жителей Парижа вышли на марш в поддержку ПалестиныСтраны ЛАГ и ОИС заявили что Газа неотделима от земель на Западном берегуСтраны ЛАГ и ОИС возложили ответственность за конфликт в Газе на ИзраильВ Иране рассказали к чему привела операция ХАМАС для СШАПрезидент Ирана потребовал немедленного вывода израильских войск из ГазыПрезидент Ирана Раиси призвал мусульманские страны вооружить палестинцевЕгипет призвал ЛАГ приложить усилия для создания палестинского государстваНаследный принц Саудовской Аравии призвал освободить заложников в ГазеХАМАС попросило помощи у арабских и исламских странсво на украине«Гром» среди ясного неба. ВС России применили новейшие ракеты у ХерсонаВ открытом доступе появилось видео с херсонского участка фронта — как сообщается из района Антоновского моста. Первые кадры снятые с воздуха: группа бойцов ВСУ заходит в дом в полуразрушенном частном секторе со следами плотной застройки у берега Днепра. В следующие секунды уже с другого ракурса...Маск призвал Зеленского начать переговоры с Путиным — 626-й день СВОВС России уничтожили четыре миномётных расчёта ВСУ под КупянскомПризнание Залужного о провале ВСУ позволит России атаковать Киев — СоскинБелый дом не поддержал план финансирования правительства без помощи КиевуВ подконтрольном Украине городе Херсоне прогремели взрывыУкраинский эксперт рассказал как будет урегулирован конфликт на УкраинеРазгром ВСУ надломил Зеленского — TelegraphПолковник ВСУ Червинский хотел взять в плен группу «Вагнер» в 2020 годуВСУ обстреляли город Валуйки в Белгородской областиМинобороны показало кадры ударов по позициям ВСУ из гаубиц «Мста-Б»Откровения Борреля: к чему глава дипломатии ЕС готовит европейцевВ подконтрольном Киеву Херсоне прогремела серия мощных взрывовОфицер Золто Арсаланов рассказал как хитрят морпехи ВСУДва человека погибли в Донецке и Горловке из-за обстрелов со стороны ВСУВ Британии рассказали чего опасается командование ВСУНа Украине заявили о бесполезности ракет ВСУ из-за российской РЭБНежелание ЕС помогать Украине объяснили заминками в Конгрессе СШАВ Киеве сделали неожиданное заявление о ЗалужномЗахарова допустила что Боррель признал победу России над УкраинойВ ДНР высмеяли сообщения о том что Киев не готовил контрнаступлениеРоссийский офицер рассказал о сдавшихся после боя на Днепре морпехах ВСУБоррель заявил что скорой победы Украины над Россией не будетВС России поразили склад боеприпасов ВСУ в Киевской областиВС России отразили три атаки украинских штурмовиков под Купянскомновые территорииДело — труба. Водная проблема новых территорий растянется надолгоНедавно Федеральное агентство водных ресурсов (Росводресурсы) провело инвентаризацию водных объектов Новороссии внеся в государственный реестр сведения о 400 из них а также подготовило водный баланс территорий. Его используют для подготовки схем водоснабжения и водоотведения новых территорий где...В Херсонской области учредили региональную организацию ОНФБолее 14 млн заявлений на госуслуги приняли в новых регионах с начала годаПутин поделился впечатлениями о ЛуганскеВ ДНР открыли представительство платформы «Россия — страна возможностей»Путин назвал новые регионы историческими землями РоссииПутин надеется что в новых регионах скоро наступит безопасностьПервые три компании в новых регионах России получили льготный лизингКравцов назвал настоящими героями педагогов из новых регионов РоссииКравцов рассказал о переходе к стандартам образования РФ в новых регионахПушилин заявил что в школах ДНР нет желающих изучать украинский языкПушилин пообещал что украинский никогда не станет вторым языком в ДНР113 участников «Лидеров возрождения» получили назначения в новых регионахУчастники форума «Спектр» обсудили развитие информпространства в РоссииАксёнов сообщил о планах строительства трассы через новые регионыДума приняла законопроект о продлении бесплатной медпомощи в новых регионахБелоусов заявил что Россия продолжит поддерживать бизнес в новых регионахКо Дню освобождения Мелитополя захоронены останки 11 бойцов Красной армииКличко признал потерю Украиной четырёх регионовПутин открыл движение по мосту в МариуполеСоцфонд назвал число назначенных в новых субъектах России пенсийКириенко ознакомился с проектом центра молодёжи в Запорожской областиКириенко посетил Энергодар и Запорожскую АЭСКириенко проверил работу нового МФЦ в херсонском ГеническеПутин заявил что Киев истреблял русскую культуру в новых регионах РоссииЛица Донбасса«Камера все передает». Кровь и лучшие кадры фронтового оператораФронтовой оператор Павел Чуприна считает что как профессионалу ему очень повезло: он ведь местный из Мариуполя. До 2014 года работал на телеканале в Донецке когда вдруг из размеренной жизни провинциального медиа где плановые съемки и работа с девяти до шести вдруг оказался в гуще событий. Где...СТАТЬЯАвтомат и гитара барда Сергея Лысенко«Я всегда о нём говорю как о живом. Потому что для меня он не погиб. Музыку его включаю смеюсь вспоминаю много ведь было хорошего» — говорит Дмитрий (позывной Физик) друг и соратник легендарного донецкого барда Сергея Лысенко. Он и действительно живет в своих берущих за душу песнях. Сам Лысый...СТАТЬЯ«Носки от тёти Гали». Старики и дети Галины АбдураимовойКаждый вечер тетя Галя проводит перед телевизором в напряженном труде: она вяжет носки. Разного размера и фасона поскольку нужны они разным людям. Побольше и потеплее — это для военных чуть поменьше — для дома престарелых а лежачим больным гораздо удобнее «следочки». Их снимать-надевать проще...СТАТЬЯ«Принцип ступенечки» от резчика УнгераДеревянная резьба бывшего луганского ополченца Александра Унгера пользуется большой популярностью среди военных. Заказывают по-свойски знают что мастер и сделает с пониманием потребностей заказчика поскольку сам воевал и не откажет. Александр и не отказывает. «Меня наверное в каждой воинской...СТАТЬЯРусские за рубежом«Тонкая струйка». Россияне не смогли покинуть гибнущий сектор ГазаКонтрольно-пропускной пункт «Рафах» на границе сектора Газа и Египта 10 ноября оказался заблокированным. Из-за этого 85 российских граждан ожидающих с утра эвакуации не смогли перейти границу. Однако спецпредставитель президента РФ по Ближнему Востоку и странам Африки замглавы МИД России Михаил...СТАТЬЯБюргерская русофобия. Существует ли в Германи дискриминация русскоязычныхСозданная в июне прошлого года немецкая правозащитная организация VADAR провела социологическое исследование согласно которому 63% русскоговорящих в Германии сталкивались с дискриминацией по национальному признаку после 24 февраля 2022 года. Данные этого исследования мы попросили прокомментировать...СТАТЬЯНад русскими детьми в Латвии издеваются «с помощью двигательной активности»Во исполнение принятого в Латвии в прошлом году закона в стране проходит кампания «дерусификации» детских садов и школ нацменьшинств. В задачу педагогам поставлено полностью перевести весь учебный процесс на государственный язык — и это осуществляется в том числе и самыми жесткими методами. На...СТАТЬЯРусский мэр колумбийского города: «Это случилось первый раз в истории»Результаты выборов мэра одного из городов в далёкой Колумбии оказались сенсацией в России. Градоначальником города Тунхи — центра провинции Бояка и одной из «университетских столиц» страны — избран 45-летний уроженец Саратова по имени Михаил Краснов. Собственно сенсацией стала и сама избирательная...СТАТЬЯнагорно-карабахский конфликт«Заслуги перед папой». За что Ватикан наградил ПашинянаПремьер-министр Армении Никол Пашинян удостоился «высокой» награды. Завершающий свою миссию апостольский нунций в Армении архиепископ Жозе Авелина Беттанкур от имени папы Римского Франциска вручил Пашиняну как говорится на сайте премьера «одну из высших наград Святого престола — Большой крест...Минобороны России объявило о завершении ротации миротворцев в КарабахеМинобороны сообщило о завершении ротации российских миротворцев в КарабахеГлава НКР заявил что республика не перестала существоватьПашинян заявил о готовности к подписанию мира с АзербайджаномАлиев назвал тему карабахского конфликта закрытой навсегдаАлиев поднял флаг Азербайджана в столице Нагорного Карабаха СтепанакертеАлиев поднял государственный флаг Азербайджана в ХанкендиВ США заявили о возможном вторжении Азербайджана в АрмениюПутин рассказал когда Карабах стал частью АзербайджанаПесков рассказал о переговорах Путина и АлиеваПутин заявил что Москва готова организовать переговоры Баку и ЕреванаЛавров назвал цели Запада в АрменииПесков заявил что Путин и Пашинян не обсуждали вопрос о миротворцахАрмения и Азербайджан предварительно дали согласие на встречу в БрюсселеПашинян выступил против перевода миротворцев РФ в АрмениюВ Бишкеке может пройти встреча глав МИД России Азербайджана и АрменииРоссийские миротворцы свернули ещё два поста в КарабахеАлиев назвал страну — виновника новых конфликтов на КавказеРоссийские миротворцы свернули наблюдательный пост в Нагорном КарабахеСМИ: Москва не обсуждала вывод миротворцев из Нагорного КарабахаРоссия по просьбе Еревана начала поставки топлива в АрмениюМИД заявил что миссия ООН не нашла серьёзных нарушений в Нагорном КарабахеАрмения отреагировала на заявление делегации ООН по Нагорному КарабахуГлава ЕК заявила о проведении мероприятия ЕС — США для поддержки Армениизерновая сделка«Национальное предательство». Болгария и Румыния пропустят украинское зерноЕвропейская комиссия прогнозируемо не стала продлевать запрет на ввоз украинского зерна в Польшу Словакию Венгрию Румынию и Болгарию а альянс соседей Украины дал трещину. Брюссель отверг даже действовавшую до минувшей пятницы компромиссную формулу: ввозить зерно для потребления в упомянутых...На Украине призвали не питать иллюзий о новом правительстве ПольшиРоссия в течение месяца начнёт поставки зерна в АфрикуПо альтернативному зерновому коридору в Турцию прибыло второе судноПесков: точной даты переговоров Путина и Эрдогана по зерновой сделке нетКиев не разрешил Будапешту отправить украинское зерно в АфрикуПолитолог назвал сигналом для США слова Дуды об «утопающей» УкраинеУкраина захотела создать зерновой хаб в КенииЭрдоган заявил о просьбе к Путину увеличить объёмы поставок зерна в АфрикуДва судна воспользовались временным коридором к украинским портамВ Киеве назвали положение Украины в Чёрном море «огненным мешком»В Белом доме не увидели возможности восстановления зерновой сделкиЭксперты сочли смехотворным обращение Киева в ВТО из-за ПольшиЭрдоган заявил об опасности исключения России из зерновой сделкиЭрдоган усомнился в устойчивости поставок зерна без участия РоссииЛавров назвал нереалистичной предложенную Западом схему подключения к SWIFTГлава Евросовета раскритиковал планы России по бесплатным поставкам зернаКремль ответил на предложение ООН по возобновлению зерновой сделкиСМИ узнали о планах подключить к SWIFT «дочку» «Россельхозбанка»Политолог предрёк Польше конфронтацию с Украиной и ЕвросоюзомМоравецкий потребовал не пускать украинское зерно на рынки ПольшиСамолёты ВВС Британии начали охранять суда с украинским зерномЗеленский и Сунак обсудили возможность разблокировки зернового коридораКиеву поставили условие для страховки поставок зернаНа Украине заявили о начале экспорта зерна через Хорватиюдроны атакуют россиюОпасность для всего мира. ВСУ превращают суда в «авианосцы» для дроновВСУ предприняли атаку на Сочи. На время атаки произошедшей 1 октября была временно приостановлена работа местного аэропорта в районе Большого Сочи задействовали средства ПВО. По информации Минобороны дрон прилетел со стороны Чёрного моря и был сбит зенитчиками неподалёку от Адлера. Ранее...В Белгородской области зафиксировали более 240 прилётов со стороны ВСУВ Брянской области уничтожили четыре украинских БПЛАПри падении украинского БПЛА в Смоленской области никто не пострадалВ Минобороны РФ сообщили о перехвате двух украинских беспилотниковВ Подмосковье в Коломне прогремел взрывСредства ПВО сбили над Брянской областью украинский БПЛА самолётного типаВ Орловской области средства РЭБ обезвредили беспилотникИсточник рассказал что пытались атаковать ВСУ ночью в КрымуСилы ПВО РФ в Крыму перехватили два беспилотника один уничтожили в ТулеВ Макеевке в результате сброса боеприпаса с БПЛА пострадали три человекаСредства ПВО сбили в Брянской области беспилотник самолётного типаДрон упал в районе СНТ в Новой Москве и повис на деревеВ Севастополе при падении обломков сбитого дрона ВСУ пострадал мужчинаНад Чёрным морем и Крымом уничтожены 17 беспилотников ВСУВ Севастополе обломки от сбитого БПЛА упали на крышу частного домаНад акваторией Севастополя система ПВО сбила пять беспилотниковВС России обезвредили в Воронежской области два беспилотникаВСУ используют дроны для ударов у трассы Донецк — Мариуполь сообщили в ДНРБогомаз: при атаке дрона ВСУ Брянской области никто не пострадалСилы ПВО сбили украинский дрон над Брянской областьюРоссийские силы ПВО сбили украинский дрон над Белгородской областьюСилы ПВО уничтожили четыре дрона ВСУ над Курской и Белгородской областямиСилы ПВО сбили два украинских дрона над Курской областьюСилы ПВО сбили четыре беспилотника ВСУ над Курской и Белгородской областямиРусские идеиКонец мирового порядка основанного на правилахМнениеТретья мировая может оказаться не самой страшной угрозойМнениеГоттентотская мораль. Жертвы будут множитьсяМнениеКогда самоотменилась русская интеллигенцияМнениевыборы президента сша 2024Кандидат в президенты США назвал Зеленского нацистомВо Флориде состоялись третьи дебаты кандидатов в президенты от Республиканской партии. От одних дебатов к другим сокращается число участников — кто-то вылетает из президентской гонки другие просто не проходят на дебаты из-за ужесточившихся правил. При этом и быстро уменьшается аудитория...Сын Трампа раскритиковал помощь КиевуВ США республиканцы не сошлись во мнении на тему поддержки УкраиныСША впервые в истории близки к третьей мировой войне — ТрампТрамп не исключил кандидатуру Карлсона в качестве вице-президента СШАВ США заявили о превосходстве России по гиперзвуковому и ядерному оружиюТрамп не принял приглашение Зеленского посетить УкраинуПушков назвал демократам США три способа как «победить» ТрампаОпрос: Трамп опережает Байдена по уровню поддержки в пяти важных штатахТрамп вновь оценил умственные способности БайденаПолитик Майк Пенс отказался от участия в предвыборной гонкеПерестановки в палате представителей не изменят позицию США заявил ПесковВ США призвали согласиться с вхождением новых регионов в состав РФРамасвами: американцы заслуживают правительство которое не будет им вратьБайден прочитал перед аудиторией инструкции по поведению на сценеВ МИД прокомментировали сообщения о роли ЦРУ в подготовке атак в РоссииТрамп обвинил Байдена в разжигании войн на Украине и Ближнем ВостокеБайдена уличили в уходе от реальности и игнорировании проблем в СШАКандидат в президенты США резко ответил всем недовольным АмерикойТрамп раскритиковал Нетаньяху и заявил сторонникам о желании его отставкиТрамп назвал президента Байдена посмешищемТелеведущий Добров пожелал Байдену победы на выборах президента СШАКулеба заявил о нарастании сложностей для Украины из-за выборов в СШААмериканисты оценили последствия отставки спикера МаккартиАмериканист: в США будет появляться всё больше желающих «пнуть» Байдена</t>
  </si>
  <si>
    <t>regnum.ru</t>
  </si>
  <si>
    <t>Новости России и мира сегодня</t>
  </si>
  <si>
    <t>https://rtvi.com/</t>
  </si>
  <si>
    <t xml:space="preserve">Новости России и мира сегодня$ 92.18€ 98.61₿ 37048IXIC 13799НовостиИсторииОбъясняемМненияВизуалLifestyleСпецпроекты$ 92.18€ 98.61₿ 37048IXIC 13799НовостиИсторииОбъясняемМненияВизуалLifestyleСпецпроектыНовости«Свобода — главное богатство». Пугачева объяснила кого она назвала «рабами»11.11.2023 / 17:37ГлавноеНовости11.11.2023 / 16:19Politico: Байден проведет «жесткие переговоры» с Си ЦзиньпиномНовости11.11.2023 / 11:52В Рязанской области 19 грузовых вагонов сошли с рельсов из-за возможного взрываНовости11.11.2023 / 14:01Макрон допустил переговоры Украины и России. В Киеве говорят о «ловушке»Новости11.11.2023 / 10:56Перехвачены БПЛА над Московской и Смоленской областями. Что известноБоевые действия на УкраинеСанкции и контрсанкцииМобилизация в РоссииУход западных компанийНовости«Свобода — главное богатство». Пугачева объяснила кого она назвала «рабами»11.11.2023 / 17:37НовостиPolitico: Байден проведет «жесткие переговоры» с Си Цзиньпином11.11.2023 / 16:19НовостиВ Рязанской области 19 грузовых вагонов сошли с рельсов из-за возможного взрыва11.11.2023 / 11:52НовостиМакрон допустил переговоры Украины и России. В Киеве говорят о «ловушке»11.11.2023 / 14:01НовостиПерехвачены БПЛА над Московской и Смоленской областями. Что известно11.11.2023 / 10:56Война в Израиле CNN и AP разорвали отношения с фотографом заподозренным в связях с ХАМАСомНовости10.11.2023 / 16:31Из сектора Газа 10 ноября эвакуируют первых россиянНовости10.11.2023 / 08:53ХАМАС: настанет день когда КНДР нанесет удар по США чтобы помочь ПалестинеНовости08.11.2023 / 16:08Машина сгоревшая в результате израильского авиаудара на юге Ливана. Фото дняВизуал06.11.2023 / 19:56Новые масштабные акции в поддержку Палестины в мире. ФотогалереяВизуал06.11.2023 / 18:19ЦАХАЛ отчитался о новых успехах. В Газе заявили что убиты еще 200 человекНовости06.11.2023 / 14:40НовостиСтал известен повод для протоколов на Европейский университет в ПетербургеНовости11.11.2023 / 21:05ТАСС: прокуратура Москвы проверяет Дудя* из-за интервью ЦыгановыхНовости11.11.2023 / 19:58Миллер: российский газ поступает в страны ЕС которые от него отказалисьНовости11.11.2023 / 18:57Названа причина смерти нового креативного директора Moschino Давиде РеннеНовости11.11.2023 / 00:05Глава Минпросвещения представил Кадырову исправленный учебник историиНовости10.11.2023 / 23:36В Госдуме предложили операторам связи отключить безлимитный доступ к YouTubeНовости10.11.2023 / 22:59НовостиПороховой завод в Котовске загорелся второй раз за полгода11.11.2023 / 10:15ВизуалКак Польша отметила День независимости11.11.2023 / 19:04НовостиMoody’s ухудшило прогноз рейтинга США до негативного11.11.2023 / 10:40НовостиПолитика Алексея Малова и издание «Кедр медиа» признали иноагентами10.11.2023 / 21:17ВизуалЗабастовка польских дальнобойщиков. Фото дня11.11.2023 / 20:02НовостиКонституционный суд Киргизии отменил право выбрать матчество вместо отчестваНовости10.11.2023 / 21:46Канада ввела санкции против певицы Жасмин газеты «Известия» и канала «РЕН-ТВ»Новости10.11.2023 / 20:41Депутат Госдумы объяснил отказ частных клиник от абортов в некоторых регионахНовости10.11.2023 / 19:26В Армении отменили «Артдокфест» из-за поста Манского* о поездке в АзербайджанНовости10.11.2023 / 19:18Политолог Кашин: ядерные испытания возобновятсяЭксклюзив10.11.2023 / 19:06«НИ» предположили «подковерную борьбу» и столкновение интересов в РосавиацииНовости10.11.2023 / 17:32НовостиВывезенного из Мариуполя подростка который получил повестку вернут на УкраинуНовостиВ Испании нашли скелет женщины медного века пережившей две трепанации черепаНовостиРБК: ФСБ провела обыски в крупных компаниях-производителях медицинского спиртаМнения«За Авдеевку будут цепляться до последнего». Зачем Зеленскому второй БахмутРедакция115280 г. Москва ул. Ленинская слобода 			д. 26 этаж 2			тел: +7 (499) 579-86-96			Для общих вопросов: Infortvi@rtvi.comРедакция RTVI: news@rtvi.com			Маркетинг/PR: pr@rtvi.com			Реклама RTVI: adv-eu@rtvi.comПартнерские материалыДостойные новостиМы в Дзен.Новостях 			и Google.NewsНашли опечатку? Выделите ее нажмите Ctrl + Enter и сообщите нам Спасибо!RTVI в соцсетях18+Выходные данные СМИ RTVI |Пользовательское соглашение|Политика обработки персональных данных|Вакансии RTVI© ООО "ЭрТиВиАй Продакшн". Все права защищены. При цитировании материалов активная гиперссылка на rtvi.com обязательна </t>
  </si>
  <si>
    <t>rtvi.com</t>
  </si>
  <si>
    <t>Новости · СМИ сообщили о назначении генерала Лапина начальником штаба Сухопутных войск · Не меньше семи человек погибли при взрыве в пятиэтажке на Сахалине.</t>
  </si>
  <si>
    <t>https://www.forbes.ru/novosti</t>
  </si>
  <si>
    <t>Главная - BBC News Русская служба</t>
  </si>
  <si>
    <t>LIVE Live, Война Израиля с ХАМАС: вокруг четырех главных больниц Газы идут бои. Последние новости, комментарии и видео о нападении группировки ХАМАС на Израиль.</t>
  </si>
  <si>
    <t>https://www.bbc.com/russian</t>
  </si>
  <si>
    <t xml:space="preserve"> BBC - Homepage  HomepageAccessibility linksSkip to contentAccessibility HelpBBC AccountNotificationsHomeNewsSportWeatheriPlayerSoundsBitesizeCBeebiesCBBCFoodHomeNewsSportEarthReelWorklifeTravelCultureFutureTVWeatherSoundsMore menu Search BBC Search BBC HomeNewsSportWeatheriPlayerSoundsBitesizeCBeebiesCBBCFoodHomeNewsSportEarthReelWorklifeTravelCultureFutureTVWeatherSoundsClose menu BBC Homepage                                                                          Gaza hospital crippled as fighting rages nearby                                                                                                                        Israel agrees to help evacuate babies from Al-Shifa hospital after two die due to a lack of electricity.                                                    Middle East                    Gaza hospital crippled as fighting rages nearby                                                                                     Legal experts see uphill battle for Trump in fraud case                                                            US                    Legal experts see uphill battle for Trump in fraud case                                                                                     Iceland declares emergency over volcano threat                                                            Europe                    Iceland declares emergency over volcano threat                                                                                     'Ten Hag has space to breathe after win over Luton'                                                            Football                    'Ten Hag has space to breathe after win over Luton'                                                                                     China's matchmaking mums have a powerful ally: The Party                                                            China                    China's matchmaking mums have a powerful ally: The Party                                News                                                                      Israel denies striking Gaza hospital – but says fighting happening around it                                                                                                                        The Israeli military acknowledges clashes "around" Al-Shifa where doctors say they have lost power and run out of food and water.                                                    Middle East                    Israel denies striking Gaza hospital – but says fighting happening around it                                                                                     Pope fires Texan bishop after criticism of reforms                                                                                                                        Joseph Strickland is "relieved" from governance following a Vatican investigation.                                                    US &amp; Canada                    Pope fires Texan bishop after criticism of reforms                                                                                     Mafia bust shows US-Italy crime links still strong                                                                                                                        While decades of prosecutions weakened the US and Italian mafia transatlantic relations remain strong.                                                    US &amp; Canada                    Mafia bust shows US-Italy crime links still strong                    Sport                                                                      Arsenal go second with victory over Burnley                                                                                                                        Arsenal move level on points with Premier League leaders Manchester City courtesy of a hard-fought victory over struggling Burnley.                                                    Football                    Arsenal go second with victory over Burnley                                                                                     'England find the blueprint at the bitter end'                                                                                                                        England's World Cup campaign was shrouded with confusion but they found a blueprint that helped them avoid falling apart like previous sides.                                                    Cricket                    'England find the blueprint at the bitter end'                                                                                     Vinicius and Rodrygo score twice as Real thrash Valencia                                                                                                                        Real Madrid thrash Valencia as Carlo Ancelotti's side move two points behind La Liga leaders Girona.                                                    European Football                    Vinicius and Rodrygo score twice as Real thrash Valencia                    Weekend Reads                                                                      The raunchy books Britain loves                                                                                                                        Jilly Cooper's raunchy novels include Rishi Sunak as a fan                                                    Culture                    The raunchy books Britain loves                                                                                     Diwali spending set to boom in the US                                                                                                                        Amid rising recognition of Diwali US companies are hoping to capture consumers                                                    Worklife                    Diwali spending set to boom in the US                                                                                     South America's 'beverage of champions'                                                                                                                        This bitter tea is growing in popularity as people aim for a healthier lifestyle                                                    World's Table                    South America's 'beverage of champions'                              Earth                Solutions for a sustainable world             The mirrors cooling Sierra Leone                How bubble veils muffle wind farm noise                Tuning into indigenous climate science             Editor’s Picks                                                                        The people living low-waste lives                                                                                                                        A sustainable lifestyle is possible – but it's a "trial and error" process                                                    Culture                    The people living low-waste lives                                                                                     Three reasons Americans won't buy EVs                                                                                                                        US consumers aren't driving electric vehicles off the lots in droves. Why?                                                    Worklife                    Three reasons Americans won't buy EVs                                                                                     The fattiest pastry in Europe                                                                                                                        Eaten warm these butter cakes are an exercise in indulgence                                                    Travel                    The fattiest pastry in Europe                                                                                     The benefits of walking backwards                                                                                                                        The activity of 'retro-walking' was little more than an eccentric hobby                                                    Future                    The benefits of walking backwards                                                                                     How Bumble's Whitney Wolfe Herd changed the dating scene                                                                                                                        Whitney Wolfe Herd is stepping down as Bumble's boss after nearly a decade                                                    Technology                    How Bumble's Whitney Wolfe Herd changed the dating scene                                                                                     The Ghanaian artist who has exhibited in space                                                                                                                        The rags to riches story of Amoako Boafo whose portraits of black subjects now command mega prices                                                    Africa                    The Ghanaian artist who has exhibited in space                                                                                     Michael Jackson jacket sells for £250000 at auction                                                                                                                        The leather jacket was worn by the late singer in a Pepsi advert                                                    UK                    Michael Jackson jacket sells for £250000 at auction                    Latest Business News    1 UK economy flatlines as higher interest rates bite     2 Microsoft says Teams and Xbox outage fixed     3 Ratcliffe close to Man Utd minority stake agreement     4 Thai owner of Miss Universe goes bankrupt     5 Actors celebrate deal to end long Hollywood strike                           Visit Reel            The most amazing videos from the BBC             This famous carrot myth is actually WW2 propaganda                How exercise helps sculpt the brain                The smartphone you can take apart and fix yourself                  Technology of Business    Business                                                                    Whatever happened to NFTs?                                                                                Whatever happened to NFTs?                          ADVERTISEMENT          BBC Select    Now Streaming                                                                    The 60th Anniversary of Doctor Who                                                                                The 60th Anniversary of Doctor Who                          Featured video                                                                        Watch: Massive crowds in London demand ceasefire                                                                                                                        Video shows the scale of the biggest UK pro-Palestinian rally since the start of the war.                                                    UK                    Watch: Massive crowds in London demand ceasefire                     Recommended     Latest                                                                           Watch: Massive crowds in London demand...                                                            UK                    Watch: Massive crowds in London demand ceasefire                                                                                      Missiles thrown and 'send them home' chants...                                                            UK                    Missiles thrown and 'send them home' chants by counter-protesters                                                                                      Gove surrounded by protesters shouting 'shame...                                                            UK                    Gove surrounded by protesters shouting 'shame on you'                                                                                      Watch: Giant blaze at Nottinghamshire waste...                                                            UK                    Watch: Giant blaze at Nottinghamshire waste site                                                                                      Macron urges Israel to stop killing Gaza's...                                                            World                    Macron urges Israel to stop killing Gaza's women and children                                                                                      One fled Gaza City one stayed - what became...                                                            Middle East                    One fled Gaza City one stayed - what became of Farida and Khalid?                                                                                      Armistice Day silence marked around the UK                                                            UK                    Armistice Day silence marked around the UK                                                                                      Firefighters tackle raging Texas Tesla fire                                                            US &amp; Canada                    Firefighters tackle raging Texas Tesla fire                                                                                      Watch: Hawaii's mysterious 'Barbie' pink pond                                                            US &amp; Canada                    Watch: Hawaii's mysterious 'Barbie' pink pond                                                                                      Anger as diner 'puts own hair on plate to get...                                                            UK                    Anger as diner 'puts own hair on plate to get free meal'                           BBC World Service      On Air: World Questions        More around the BBC                                                                        Royals rallies and regattas: Africa's top shots                                                                                                                        A selection of the best photos from the African continent and beyond.                                                    Africa                    Royals rallies and regattas: Africa's top shots                                                                                     Ex-NatWest boss loses £7.6m after Farage row                                                            Business                    Ex-NatWest boss loses £7.6m after Farage row                                                                                     First-ever images prove 'lost echidna' not extinct                                                            Science &amp; Environment                    First-ever images prove 'lost echidna' not extinct                                                                                     Baby Queen: From Heartstopper to chart topper                                                            Entertainment                    Baby Queen: From Heartstopper to chart topper                                                                                     Making video game Just Dance accessible for all                                                            Wales                    Making video game Just Dance accessible for all                                                                                     Mounjaro weight loss jab authorised in UK                                                            Health                    Mounjaro weight loss jab authorised in UK                                                                                     Asia leads way in Earthshot quest to repair planet                                                            Asia                    Asia leads way in Earthshot quest to repair planet                    From Our Correspondents        What to expect when Biden and Xi Jinping meet  By Barbara Plett Usher          Actors' deal includes pay rises and intimacy co-ordinators  By Sam Cabral          FBI seize NYC mayor's phones in financing probe  By Sam Cabral          Why 'I don't recall' is a common strategy on the stand  By Holly Honderich          China's 'communist spies' in the dock in Taiwan  By Kelly Ng          How WeWork’s founder flew too close to the Sun  By Simon Jack          Star of David graffiti - the Russian connection  By Hugh Schofield          Wanted: Driver for 800mph car  By Jonathan Amos                 Technology of Business                                                                        Can AI cut humans out of contract negotiations?                                                            Business                    Can AI cut humans out of contract negotiations?                          New Tech Economy                                                                        The floating desalination machines powered by the waves                                                            Business                    The floating desalination machines powered by the waves                          World in pictures                                                                       King Charles III delivers speech at State Opening of Parliament                                                            UK Politics                    King Charles III delivers speech at State Opening of Parliament                                                                                     Damage and disruption: Storm Ciarán in pictures                                                            In Pictures                    Damage and disruption: Storm Ciarán in pictures                                                                                     Clouds crowns and crews: Africa's top shots                                                            Africa                    Clouds crowns and crews: Africa's top shots                                                                                     Elton John photography collection to go on display                                                            London                    Elton John photography collection to go on display                                                                                     Skulls and flowers: Mexico's 'skeleton' parade                                                            In Pictures                    Skulls and flowers: Mexico's 'skeleton' parade                    BBC in other languages       Persian     اسرائیل حمله به بیمارستان غزه را تکذیب کرده، اما می‌گوید درگیری در اطراف آن در جریان است       Urdu     ’جنوری میں عام انتخابات 90 روزہ دستوری مدت سے باہر‘ الیکشن کمیشن کے اعلان پر پی ٹی آئی کا ردعمل         More Languages      Arabic  عربي      Azeri  AZƏRBAYCAN      Bangla  বাংলা      Burmese  မြန်မာ      Chinese  中文网      French  AFRIQUE      Hausa  HAUSA      Hindi  हिन्दी      Indonesian  INDONESIA      Japanese  日本語      Kinyarwanda  GAHUZA      Kirundi  KIRUNDI      Kyrgyz  Кыргыз      Marathi  मराठी      Nepali  नेपाली      Pashto  پښتو      Persian  فارسی      Portuguese  BRASIL      Russian  НА РУССКОМ      Sinhala  සිංහල      Somali  SOMALI      Spanish  MUNDO      Swahili  SWAHILI      Tamil  தமிழ்      Turkish  TÜRKÇE      Ukrainian  УКРАЇНСЬКA      Urdu  اردو      Uzbek  O'ZBEK      Vietnamese  TIẾNG VIỆT          Explore the BBCHomeNewsSportWeatheriPlayerSoundsBitesizeCBeebiesCBBCFoodHomeNewsSportEarthReelWorklifeTravelCultureFutureTVWeatherSoundsTerms of UseAbout the BBCPrivacy PolicyPrivacy PolicyCookiesCookiesAccessibility HelpParental GuidanceContact the BBCMake an editorial complaintBBC emails for youAdvertise with usCopyright © 2023 BBC. The BBC is not responsible for the content of external sites. Read about our approach to external linking.         </t>
  </si>
  <si>
    <t>www.bbc.com</t>
  </si>
  <si>
    <t>https://www.golosameriki.com/novosti</t>
  </si>
  <si>
    <t>Голос Америки Линки доступностиПерейти на основной контентПерейти к основной навигацииПерейти в поискLink has been copied to clipboardГолос АмерикиГлавноеПрограммыАмерикаНовости за минутуИтогиПочему это важно?Дискуссия VOAДеталиНью-Йорк New YorkАмерика. Большое путешествиеПроектыУчим английскийНаша американская историяА как в Америке?АртефактыАмериканские городкиТестыЭкспертизаИнтервьюФАКТЫ ПРОТИВ ФЕЙКОВЗА СВОБОДУ ПРЕССЫУчим английскийВидеоПодписка на новостиLearning EnglishСоциальные сетиЯзыкиПоискЭфирЭфирПоискПредыдущая страницаСледующая страницаСрочно ГлавноеВойна в УкраинеСШАГлавные новости Джо Байден поздравил американцев с Днем ветерановВоенный самолет США потерпел крушение в ходе тренировочного вылета на востоке Средиземного моряWP и Spiegel сообщили что ключевую роль в диверсии на «Северных потоках» мог сыграть украинский офицерПапа Римский отправил в отставку консервативного американского епископаСША и Украина вошли в пятерку стран-лидеров Всемирного индекса благотворительностиВторжение России в Украину Как шахматная доска блок марок боевой нож и бутылка шампанского будут помогать бойцам ВСУБлижний Восток Блинкен: в результате действий Израиля убито «слишком много палестинцев»Видеорепортажи Интервью с Татой Кеплер – о войне волонтерстве и УкраинеСША Новый бомбардировщик ВВС США B-21 Raider совершил первый полетРоссия Российские жены требуют вернуть своих мужей с войныБеларусь Режим Лукашенко продолжает репрессии против журналистов и деятелей культурыЭкспертиза Эксперт рассказала о «путинском авторитарном федерализме» во время войны в УкраинеПРОГРАММЫ «ГОЛОСА АМЕРИКИ» EmbedshareДве войны. “Итоги” с Рафаэлем СааковымEmbedshareThe code has been copied to your clipboard.widthpxheightpxПоделись на Facebook Поделись в Twitter The URL has been copied to your clipboardNo media source currently available0:000:24:180:00Две войны. “Итоги” с Рафаэлем Сааковым Две войны. Как Запад намерен помогать Украине и Израилю одновременно? // В обход санкций. Окажется ли Казахстан под вторичными санкциями за экспорт запрещенных товаров в Россию? // Пятеро в Майами не считая Трампа: третьи президентские дебаты Республиканской партииНовые видео Новости США за минуту: День ветеранов в СШАИнтервью с Татой Кеплер – о войне волонтерстве и УкраинеПодкасты Новый выпускУкраина. Самое важное. Путь в ЕС открыт? Украина. Самое важноеПодписатьсяПодписатьсяiTunesGoogle PodcastYouTubeПодписатьсяРепортаж Инвестиции в иммигрантовАктуально Россия в ООН обвинила Украину в обстрелах жилых домов и мирного населенияЭкономика Агентство Moody's сменило прогноз по кредитному рейтингу США на «негативный»Наука и технологии Virgin Atlantic получила разрешение на трансатлантические перелеты на экологически чистом топливеПрямая речь Previous slideДальше«Дискуссию можно вести до тех пор пока не пролилась кровь» — Светлана КомиссарукЭхуд Ольмерт: Израиль был излишне уверен в своих силахSave the Children: «Каждые 10 минут в Газе гибнет ребенок»Эксперты: республиканские дебаты без Трампа – игра в ожидание«Эти небольшие инициативы могут стать очагами нового гражданского общества»Кубилюс: «Режим в Кремле становится опасным не только на территории Украины»Джек Раков: «Трамп имеет все шансы столкнуться с реальными проблемами»«Я конечно вернусь. Вопрос в том не буду ли я люто разочарован»Маша Алехина: смысл российской пропаганды – вырастить настоящих фашистовВойна Израиля с ХАМАС: узел затянутый десятилетиями противостоянияМария Орджоникидзе: российским журналистам в изгнании нужна поддержкаАнтисемитизм в РоссииПосол США в ОБСЕ: обвинения Кремля в адрес Запада по поводу событий в Махачкале являются нелепымиАнтисемитские беспорядки в Дагестане: комментарий экспертаШендерович: в Махачкале власти допустили «управляемую ксенофобию»Правила игры США и Израиль: противоречия союзаФакты против фейков Кремль отрицает право Израиля на самооборону манипулируя международным правомГорячие точки Палестинцы обвинили Израиль в нанесении ударов по больницамКонтекст «Вопрос стоит чрезвычайно остро»: американская пресса о помощи УкраинеИтоги Две войны. “Итоги” с Рафаэлем СааковымДетали Искусственный интеллект проектирует роботов; скамейки из пластиковых бутылок | «Детали»Санкции Санкции США в отношении России с февраля 2022: списокНью-Йорк New York «Нью-Йорк New York». Обыкновенный антисемитизм. 5 ноября 2023Культура Фильм «Дело Дмитриева» о российском правозащитнике покажут в Нью-ЙоркеТесты Американский ветеранBack to topСоциальные сетиГолос АмерикиО насПишите намПравовая информацияКак обойти блокировку сайта?VOA+iOSAndroidRSSПодпишитесь на новостиПособие по безопасному пользованию ИнтернетомДоступная среда: Section 508ВакансииПриватностьПроектыАмерикаИтогиДеталиНовости США за минутуНью-Йорк New YorkДискуссия VOAИстория «Голоса Америки»Учим английскийПОЗИЦИЯ ПРАВИТЕЛЬСТВА США  XSSMMDLG</t>
  </si>
  <si>
    <t>www.golosameriki.com</t>
  </si>
  <si>
    <t>Российская газета: Новости сегодня в России и мире</t>
  </si>
  <si>
    <t>Новости сегодня в России и мире. Российская газета - издание Правительства Российской Федерации, официальный публикатор документов.</t>
  </si>
  <si>
    <t>https://rg.ru/</t>
  </si>
  <si>
    <t>rg.ru</t>
  </si>
  <si>
    <t>NBC News - Breaking News &amp; Top Stories - Latest World, US ...</t>
  </si>
  <si>
    <t>23 часа назад —</t>
  </si>
  <si>
    <t>https://www.nbcnews.com/</t>
  </si>
  <si>
    <t>http://government.ru/news/</t>
  </si>
  <si>
    <t>Новости дня | 10 ноября — вечерний выпуск</t>
  </si>
  <si>
    <t>11 часов назад —</t>
  </si>
  <si>
    <t>https://www.youtube.com/watch?v=KAC0FXPGWG0</t>
  </si>
  <si>
    <t>Главные новости сегодня в России, а также самые ...</t>
  </si>
  <si>
    <t>Новости · 05:11. СМИ: в Коломне прогремел взрыв · 05:01. В Генпрокуратуре рассказали об ущербе России от экономических преступлений · 04:43 · 04:38 · 04:22 ...</t>
  </si>
  <si>
    <t>https://www.mk.ru/news/</t>
  </si>
  <si>
    <t>Новости ∙ Президент ∙ События ∙ ...</t>
  </si>
  <si>
    <t>Новости, стенограммы, фото и видеозаписи, документы, подписанные Президентом России, информация о деятельности Администрации.</t>
  </si>
  <si>
    <t>http://www.kremlin.ru/events/president/news</t>
  </si>
  <si>
    <t>Reuters | Breaking International News &amp; Views</t>
  </si>
  <si>
    <t>https://www.reuters.com/</t>
  </si>
  <si>
    <t>Reuters | Breaking International News &amp; ViewsSkip to main contentExclusive news data and analytics for financial market professionalsLearn more aboutRefinitivReuters homeWorldBusinessMarketsSustainabilityLegalBreakingviewsTechnologyInvestigationsMoreMy ViewRegistertrading higherPositiveSPX4415.24+1.56%Positivetrading higherPositiveIXIC13798.11+2.05%Positivetrading higherPositiveDJI34283.10+1.15%Positivetrading lowerNegativeSTOXX443.31-1.00%Negativetrading lowerNegativeFTSE7360.55-1.28%Negativetrading lowerNegativeN22532568.11-0.24%NegativeGet real-time market data from LSEGWorld NewsWorldcategoryRussia renews missile attacks on Kyiv attacks intensify in the eastNovember 11 2023WorldcategoryThousands in Honduras march in anti-government protestNovember 11 2023WorldcategoryTrump plans sweeping undocumented immigrant roundups detention camps New York Times reports1:09 AM UTCWorldcategoryAustralia foreign minister touts Tuvalu security migration pactNovember 11 2023BusinesscategoryNew satellite will detect and share CO2 data from individual facilitiesNovember 11 2023WorldcategoryBritain's King Charles PM Sunak to lead remembrance services after day of protestsNovember 11 2023WorldcategoryPortugal's PM soothes investors after resignation over corruption probeNovember 11 2023WorldcategoryIsrael says it's ready to evacuate babies from Gaza hospital as fighting rages3:16 AM UTC ·  agoarticle with videoPalestinian officials said two newborns died and dozens were at risk after fuel ran out. Hamas said it destroyed some Israeli military targets while an Israeli military spokesperson said Hamas had lost control of northern Gaza.Analysis: Israel targets Hamas tunnels in new phase of Gaza warGaza's centuries of war - a brief historyArab and Muslim leaders demand immediate end to Gaza warWorldcategoryHouse Republicans eye plan to avert government shutdownU.S. House of Representatives Speaker Mike Johnson unveiled a Republican stopgap spending measure on Saturday aimed at averting a government shutdown a week from now but the measure quickly ran into opposition from lawmakers from both parties in Congress.12:56 AM UTCMoody's turns negative on US credit rating draws Washington ireUS Senate Democrats tee up bill to avert government shutdownWhere are the 12 US government funding bills to avert shutdown?article with galleryWorldcategoryIceland prepares for volcanic eruption in coming daysAuthorities ordered a complete evacuation of Grindavík a fishing town of around 3000 residents.November 11 2023article with videoBusinesscategoryWegovy's heart benefits due to more than weight loss Novo saysNovember 11 2023article with videoWorldcategoryIn very rare move Pope dismisses conservative US bishop StricklandNovember 11 2023TechnologycategoryPolice investigate 'cyber incident' at Australia ports operatorThe Australian Federal Police said on Sunday they were investigating a cybersecurity incident that forced ports operator DP World Australia to suspend operations at ports in several states.November 11 2023FrancaiscategoryChina's Singles Day sales festival wraps up with e-commerce giants reporting sales growth2:39 AM UTCarticle with galleryIsrael-Hamas WarWorldcategoryExclusive: UAE plans to maintain ties with Israel despite Gaza outcry sources sayNovember 11 2023article with videoWorldcategoryLondon police arrest over 120 as pro-Palestinian rally draws counter-protestsNovember 11 2023WorldcategoryHezbollah says front with Israel will remain activeNovember 11 2023WorldcategoryGaza border authority: Rafah land crossing to reopen SundayNovember 11 2023Talking PointsBusinessarticle with galleryMarketscategoryExclusive: Exxon aims to begin lithium production by 2026 in ArkansasNovember 11 2023Sustainable Finance &amp; ReportingcategoryUAW workers at GM's Flint plant narrowly vote against new labor dealNovember 11 2023Exploration &amp; ProductioncategoryBP Edison Shell ask US EU to intervene in Venture Global LNG disputeNovember 11 2023Aerospace &amp; DefensecategoryTurkish Airlines talks to Airbus about ordering 355 new jetsNovember 11 2023United Statesarticle with galleryUnited StatescategoryTrump backs requests for TV coverage of his federal criminal trialNovember 11 2023article with galleryMedia &amp; TelecomcategoryPost-strike Hollywood rushes to get film TV sets hummingNovember 11 2023article with videoBusinesscategoryUS Air Force's new B-21 Raider "flying wing" bomber takes first flightNovember 11 2023article with videoUnited StatescategoryBiden registers for South Carolina primary seen as first test of re-election strengthNovember 10 2023Sportsarticle with gallerySoccerGotham defeat Reign for first NWSL title3:26 AM UTC · Updated  agoTennisCanada edge out Czechs to reach BJK Cup final Italy down SloveniaNovember 11 2023article with gallerySoccerArsenal win to move level with Man City Spurs slip up at WolvesNovember 11 2023SoccerSolanke double fires Bournemouth to upset win over NewcastleNovember 11 2023PicturesWorldcategoryOur top photos of the weekNovember 10 2023WorldcategoryThousands of civilians flee northern GazaNovember 10 2023WorldcategoryInside Israel's ground assault in GazaNovember 10 2023The Last Readarticle with videoLifestylecategorySZA tops Grammy nominations in a year made for women and 'Barbie'November 11 2023LifestylecategoryLeading nominations for 2024 Grammy AwardsNovember 10 2023article with galleryLifestylecategoryBrazilian cotton hits the runway at Sao Paulo Fashion WeekNovember 10 2023article with videoLifestylecategoryBeatlemania is back as chart-topping 'Now And Then' breaks recordsNovember 11 2023Latest StoriesSite IndexBrowseWorldBusinessMarketsSustainabilityLegalBreakingviewsTechnologyInvestigations opens new tabSportsScienceLifestyleAbout ReutersAbout Reuters opens new tabCareers opens new tabReuters News Agency opens new tabBrand Attribution Guidelines opens new tabReuters Leadership opens new tabReuters Fact Check opens new tabReuters Diversity Report opens new tabStay InformedDownload the App opens new tabNewsletters opens new tabInformation you can trustReuters the news and media division of Thomson Reuters is the world’s largest multimedia news provider reaching billions of people worldwide every day. Reuters provides business financial national and international news to professionals via desktop terminals the world's media organizations industry events and directly to consumers.Follow UsThomson Reuters ProductsWestlaw opens new tabBuild the strongest argument relying on authoritative content attorney-editor expertise and industry defining technology.Onesource opens new tabThe most comprehensive solution to manage all your complex and ever-expanding tax and compliance needs.Checkpoint opens new tabThe industry leader for online information for tax accounting and finance professionals.LSEG ProductsWorkspace opens new tab Access unmatched financial data news and content in a highly-customised workflow experience on desktop web and mobile.Data Catalogue opens new tab Browse an unrivalled portfolio of real-time and historical market data and insights from worldwide sources and experts.World-Check opens new tabScreen for heightened risk individual and entities globally to help uncover hidden risks in business relationships and human networks.Advertise With Us opens new tabAdvertising Guidelines opens new tabCoupons opens new tabAcquire Licensing Rights opens new tabCookies opens new tabTerms of Use opens new tabPrivacy opens new tabDigital Accessibility opens new tabCorrections opens new tabSite Feedback opens new tabAll quotes delayed a minimum of 15 minutes. See here for a complete list of exchanges and delays.© 2023 Reuters. All rights reserved</t>
  </si>
  <si>
    <t>www.reuters.com</t>
  </si>
  <si>
    <t>Лента новостей - РТ на русском</t>
  </si>
  <si>
    <t>Лента новостей · Бывший СССР · Шмыгаль: Украина закроет дефицит бюджета за счёт Запада и МВФ · Премьер-министр Украины Денис Шмыгаль заявил, что страна намерена ...</t>
  </si>
  <si>
    <t>https://russian.rt.com/news</t>
  </si>
  <si>
    <t>russian.rt.com</t>
  </si>
  <si>
    <t>одноклассники</t>
  </si>
  <si>
    <t>Социальная сеть Одноклассники. Общение с друзьями в ...</t>
  </si>
  <si>
    <t>Одноклассники.ру это социальная сеть, где вы можете найти своих старых друзей. Общение, онлайн игры, подарки и открытки для друзей. Приходите в ОК, делитесь ...</t>
  </si>
  <si>
    <t>https://ok.ru/</t>
  </si>
  <si>
    <t>Одноклассники: Социальная сеть</t>
  </si>
  <si>
    <t>Одноклассники – социальная сеть, где можно отдохнуть от забот, найти друзей и посмотреть что-то интересное. МУЗЫКА Огромная коллекция песен ждет вас в ОК!</t>
  </si>
  <si>
    <t>https://play.google.com/store/apps/details?id=ru.ok.android&amp;hl=ru&amp;gl=US</t>
  </si>
  <si>
    <t>Одноклассники (социальная сеть)</t>
  </si>
  <si>
    <t>«Однокла́ссники» (OK.ru) — российская социальная сеть, принадлежащая VK. На май 2022 года 50-й по популярности сайт в мире. Проект запущен 26 марта 2006 года ...</t>
  </si>
  <si>
    <t>https://ru.wikipedia.org/wiki/%D0%9E%D0%B4%D0%BD%D0%BE%D0%BA%D0%BB%D0%B0%D1%81%D1%81%D0%BD%D0%B8%D0%BA%D0%B8_(%D1%81%D0%BE%D1%86%D0%B8%D0%B0%D0%BB%D1%8C%D0%BD%D0%B0%D1%8F_%D1%81%D0%B5%D1%82%D1%8C)</t>
  </si>
  <si>
    <t>Одноклассники: Социальная сеть - App Store</t>
  </si>
  <si>
    <t>Одноклассники — социальная сеть с миллионами пользователей по всему миру, которых объединяет искренность и открытость. Звоните друзьям, ведите прямые эфиры, ...</t>
  </si>
  <si>
    <t>https://apps.apple.com/ru/app/%D0%BE%D0%B4%D0%BD%D0%BE%D0%BA%D0%BB%D0%B0%D1%81%D1%81%D0%BD%D0%B8%D0%BA%D0%B8-%D1%81%D0%BE%D1%86%D0%B8%D0%B0%D0%BB%D1%8C%D0%BD%D0%B0%D1%8F-%D1%81%D0%B5%D1%82%D1%8C/id398465290</t>
  </si>
  <si>
    <t>Одноклассники</t>
  </si>
  <si>
    <t>https://www.youtube.com/channel/UCOv_9TXKqHE1HkRasX09o8w</t>
  </si>
  <si>
    <t>Одноклассники - последние новости сегодня</t>
  </si>
  <si>
    <t>Одноклассники. Читайте последние новости на тему в ленте новостей на сайте РИА Новости. Одноклассники присоединятся к Дню борьбы с кибербуллингом– ежегодной ...</t>
  </si>
  <si>
    <t>https://ria.ru/organization_Odnoklassniki/</t>
  </si>
  <si>
    <t>Блог соцсети Одноклассники - insideok.ru</t>
  </si>
  <si>
    <t>Блог соцсети Одноклассники, в котором мы публикуем новости о запусках, проектах и полезные материалы для маркетологов и SMM-специалистов.</t>
  </si>
  <si>
    <t>https://insideok.ru/</t>
  </si>
  <si>
    <t>Блог соцсети Одноклассники - insideok.ruРубрикиНовостиЭкспертыПодборкиМаркетологамДля медиаИгрыАвторы контентаИсследованияOK Media ChallengeКурсы OKО проектеИнформацияМатериалыКонтактыПоискПодписатьсяНе пропустите много классного от блога Одноклассников! ОК обновили сервис «Увлечения» и представили кампанию в поддержку позиционирования как территории хоббиОК представили обновлённые «Увлечения»: теперь это полноформатный сервис с разными видами контента по самым популярным категориям хобби и новыми возможностями для общения. Обновление… Новости1625 мин.Одноклассники обновили «Увлечения»: общение по интересам вопросы профессионалам и экспертные материалыОК представили обновленные «Увлечения»: теперь это полноформатный сервис с разными видами контента и новыми возможностями для общения. Пользователи ОК могут не только находить в… Новости2804 мин.Одноклассники запускают обновленную «Академию контента» посвященную личному брендуОдноклассники запускают второй поток «Академии контента» — бесплатного образовательного курса для блогеров которые хотят развивать личный бренд.… Авторы контента3644 мин.Выплаты авторам в программе монетизации ОК выросли в 2 раза с начала годаОдноклассники на мероприятии для создателей контента Prime Time поделились результатами работы контентной платформы соцсети за последний год. За это время ОК открыли две программы монетизации… Авторы контента3085 мин.Как проводить трансляции в ОК с помощью OBS Studio?Прямые эфиры – один из самых популярных форматов среди создателей контента. Во время трансляции блогеры могут общаться с пользователями онлайн…Маркетологам1 20113 мин.Инструкция: как подтвердить факт создания официальной страницы органа или организации в ОК через «Госуслуги»С 1 декабря 2022 года государственные органы органы местного самоуправления и подведомственные им организации (далее – органы и организации) создают…Маркетологам3 3244 мин.Новый медиакит 2023 года: глобальные обновления в ОКОК представили медиакит который дает авторам маркетологам и представителям бизнеса свежую информацию о новых продуктах и сервисах Одноклассников а также…Маркетологам1 6792 мин.Инструкция: как авторам и группам маркировать рекламу в ОК и отчитываться за неёС 1 сентября 2022 года в силу вступили изменения в Федеральный закон «О рекламе» от 13.03.2006 N 38-ФЗ (закон «О…Авторы контента5 30410 мин.  Игровой дайджест. Осень 2023Летом мы рассказали вам о том что запустили возможность подключения саппорта для игроков добавления текстовых отзывов от пользователей к играм и о внедрении рекламных sticky-баннеров. Осень принесла не менее интересные обновления для разработчиков которые стали логичным продолжением работы над летними проектами.#Актуальное: Проверьте наличие блокировщика рекламы на устройстве пользователя#Новинка: Новые возможности баннерной рекламы для монетизации#ПоЗапросам: Валидация платежей в формате JSON#Обновления: Событие о добавлении отзыва об игре от пользователяБлокировщики рекламы всем известны способностью неприятно влиять на монетизацию игр. Поэтому мы придумали для вас метод позволяющий проверить наличие блокировщика рекламы на устройстве пользователя.О наличии включенного блокировщика рекламы пока можно узнать только для игр запущенных на десктопной версии ОК. О том как это сделать узнайте подробнее по ссылке:Хотите монетизировать свою игру но не готовы интегрировать рекламу через SDK? Мы подготовили для вас возможность автопоказа баннерной рекламы. Вам остается лишь выбрать тип отображения баннеров в настройках: со смещением игры «над» игровым интерфейсом или «под» ним.Если вы хотите использовать другой тип отображения баннеров например рекламу поверх контейнера игры нужно будет отключить автопоказ рекламы в настройках игры и настроить вызов методов рекламного SDK.Сейчас в ОК доступны следующее типы показа рекламных баннеров:поверх контейнера игры (сверху или снизу) – на mobile desktop Android;со смещением контейнера игры (вверх или вниз) – на mobile desktop Android.Вы просили нас заменить формат валидации платежей XML на JSON и мы сделали это! При работе с API OK в различных вопросах уже давно и активно используется формат JSON и сейчас мы его поддержали в платежах чтобы вам было комфортнее работать.Эта возможность доступна всем играм по умолчанию и не требует какой-либо дополнительной настройки. О том что нужно сделать чтобы перейти на новый формат валидации читайте по ссылке ниже.Разработчики игр в ОК получили возможность моментально получать информацию о добавлении пользователями нового отзыва об игре. При подписке на это событие все новые отзывы пользователей а также их изменение будут приходить вам на webhook указанный в настройках игры.О том как подписаться на такой тип событий вы можете узнать по ссылке:Игры1316 мин.Эвелина Корольчук (KNOPKA): как завести группу в ОК — и получить приглашение на съёмки ТВ-шоу «Ты супер!»Эвелина Корольчук рассказала о своём блоге KNOPKA том чем отличаются авторы ОК от блогеров других платформ и съёмках эксклюзивного бэкстейджа шоу «Ты супер!».— Расскажи о своём блоге. Как давно ты его ведёшь и о чём рассказываешь?— Моя группа называется KNOPKA. Вообще я два года веду блог в на нескольких платформах: публикую видео в ОК и в других соцсетях. Например на сегодняшний день на YouTube у меня более 232 000 подписчиков.Я снимаю обзоры на контент популярных блогеров. История моего проекта началась с того что мне стали попадаться интересные блоги в которых использовались необычные идеи для развития и продвижения. Я захотела рассказать об этих проектах другим людям. Любой блог который ещё не приобрёл тысячи подписчиков в некоторой степени недооценён – с ним стоит знакомить более широкую аудиторию.Во время подготовки к первым выпускам я сама искала в интернете информацию о героях. Со временем когда у меня появилось больше подписчиков я начала лично писать блогерами через почту рассказывать о себе и предлагать снять видео о них. Многие авторы с удовольствием соглашались на моё предложение. С недавнего времени я создаю ролики о популярных блогерах ОК. Первым моим героем стал Тёма — самый популярный енот в России («Тот самый енот Тёма»). Ролик с ним получил более 650 000 просмотров в ОК и почти 25 млн просмотров в YouTube Shorts. Пользователи активно продолжают его смотреть. Иногда мои подписчики сами предлагают блогеров для новых обзоров потому что у меня есть возможность напрямую связываться с авторами. Сейчас у меня уже записано несколько интервью с популярными блогерами ОК которые выйдут в сентябре-октябре. Помимо обзоров на современный контент блогеров я часто искала их самые первые видео и другие ранние публикации. Мне хотелось показать зрителям особенно начинающим авторам что не все сразу создают идеальные видео — ролики могут получаться очень «сырыми» но вне зависимости от этого можно получить крутой результат и в будущем стать популярным. Я стараюсь на всех площадках говорить о полезных советах приёмах и инструментах для продвижения которые были бы полезны подписчикам. У меня есть много интересных идей для видео для переходов и для вступлений. То есть если начинающий автор не знает о чём снимать ролик — я могу объяснить как сделать запоминающийся контент. Также я веду популярную рубрику для начинающих блогеров и когда нахожусь на мероприятиях и общаюсь с блогерами прошу их дать полезные советы новичкам или рассказать что помогло набрать первых подписчиков. Часто авторы делятся уникальными механизмами для привлечения аудитории — и об этом я тоже рассказываю.— Чем отличаются авторы ОК от блогеров других платформ?— Мне кажется авторы ОК более душевные и открытые. Они делятся с аудиторией важными событиями своей жизни. На платформе блогеры готовы показывать что с ними происходит в каждый момент и публиковать не только экспертный контент. К тому же аудитория ОК очень тёплая — и ей нравятся интересные видео.Каждый автор ОК с которым я общалась отмечал что платформа предоставляет много возможностей для продвижения. Много разных кнопок и настроек для создания контента в различных форматах — постов моментов видео и т. д. Кажется что изучить все инструменты ОК за один день просто невозможно! Команда ОК поддерживает блогеров и даёт полезные советы через группу для авторов чаты со Службой поддержки и другие каналы общения. Летом я была на мероприятии соцсети для создателей контента увидела людей которые ведут группы на этой площадке и поняла как много для них значит поддержка от ОК.— Как ОК помогли тебе в развитии личного бренда?Благодаря ОК у меня появилась возможность найти новую аудиторию и познакомиться со многими другими блогерами которые тоже развивают группы на платформе. Теперь я могу лично познакомиться с блогерами о которых хочу рассказать встретиться и узнать новые фишки для продвижения. Это очень важно для меня потому что видео об авторах — мой основной тип контента.Сейчас я хочу набрать первых 10 000 подписчиков на площадке. ОК дают мне возможности работать над достижением этой цели. Например недавно я благодаря поддержке ОК получила приглашение от НТВ на съёмки шоу «Ты супер!». Я снимаю эксклюзивные материалы со звёздами «за кадром». Эти ролики получили в ОК большое количество просмотров и высокие охваты и контент очень понравится пользователям.— Расскажи о съёмках шоу. Что ты обычно рассказываешь в роликах из закулисья «Ты супер»?— Я стараюсь снимать ролики о том что интересно моей аудитории — о блогинге. У каждого артиста и музыканта я спрашиваю как он развивает свой личный бренд в соцсетях. Дополнительно обращаю внимание на то как выстроена работа с камерой и со светом. На самом деле в большинстве случаев съёмки — очень сложный процесс. Конечно интересно посмотреть как много людей участвуют в работе над таким масштабным проектом как телешоу. И наблюдая за этим процессом даже блогеру можно узнать много нового о работе над видео и подаче контента. Конечно мне понравилось общаться с артистами. Например на съёмках «Ты супер!» мы пообщались в гримёрке с Алексеем Воробьёвым. Он рассказал о своём рабочем графике том как строится его жизнь — и мне было очень интересно говорить с ним не как со звездой а как с обычным человеком.Я успела познакомиться и со многими участниками шоу. Несмотря на сложный и напряжённый съёмочный процесс они были рады показаться в кадре и даже спеть на камеру.  — Чем отличаются авторы ОК от блогеров других платформ?— Мне кажется авторы ОК более душевные и открытые. Они делятся с аудиторией важными событиями своей жизни. На платформе блогеры готовы показывать что с ними происходит в каждый момент и публиковать не только экспертный контент. К тому же аудитория ОК очень тёплая — и ей нравятся интересные видео.Каждый автор ОК с которым я общалась отмечал что платформа предоставляет много возможностей для продвижения. Много разных кнопок и настроек для создания контента в различных форматах — постов моментов видео и т. д. Кажется что изучить все инструменты ОК за один день просто невозможно! Команда ОК поддерживает блогеров и даёт полезные советы через группу для авторов чаты со Службой поддержки и другие каналы общения. Летом я была на мероприятии соцсети для создателей контента увидела людей которые ведут группы на этой площадке и поняла как много для них значит поддержка от ОК.— Как ОК помогли тебе в развитии личного бренда?Благодаря ОК у меня появилась возможность найти новую аудиторию и познакомиться со многими другими блогерами которые тоже развивают группы на платформе. Теперь я могу лично познакомиться с блогерами о которых хочу рассказать встретиться и узнать новые фишки для продвижения. Это очень важно для меня потому что видео об авторах — мой основной тип контента.Сейчас я хочу набрать первых 10 000 подписчиков на площадке. ОК дают мне возможности работать над достижением этой цели. Например недавно я благодаря поддержке ОК получила приглашение от НТВ на съёмки шоу «Ты супер!». Я снимаю эксклюзивные материалы со звёздами «за кадром». Эти ролики получили в ОК большое количество просмотров и высокие охваты и контент очень понравится пользователям.— Расскажи о съёмках шоу. Что ты обычно рассказываешь в роликах из закулисья «Ты супер»?— Я стараюсь снимать ролики о том что интересно моей аудитории — о блогинге. У каждого артиста и музыканта я спрашиваю как он развивает свой личный бренд в соцсетях. Дополнительно обращаю внимание на то как выстроена работа с камерой и со светом. На самом деле в большинстве случаев съёмки — очень сложный процесс. Конечно интересно посмотреть как много людей участвуют в работе над таким масштабным проектом как телешоу. И наблюдая за этим процессом даже блогеру можно узнать много нового о работе над видео и подаче контента. Конечно мне понравилось общаться с артистами. Например на съёмках «Ты супер!» мы пообщались в гримёрке с Алексеем Воробьёвым. Он рассказал о своём рабочем графике том как строится его жизнь — и мне было очень интересно говорить с ним не как со звездой а как с обычным человеком.Я успела познакомиться и со многими участниками шоу. Несмотря на сложный и напряжённый съёмочный процесс они были рады показаться в кадре и даже спеть на камеру.  Авторы контента1106 мин.Кейс Птицефабрики «Северная»: как с помощью конкурсов на 60% увеличить количество подписчиков группы брендаКоманда агентства SMMashing Media занималась развитием группы Птицефабрики «Северная» в ОК. Рассказываем как анализ предпочтений пользователей соцсети помог создать успешные публикации и активности от имени бренда.Задачах продвижения Птицефабрики «Северная» в ОК;Результатах рекламной кампании Птицефабрики «Северная».АО «Птицефабрика “Северная”» из Ленинградской области занимается производством мяса цыплят-бройлеров а также созданием различных куриных продуктов и полуфабрикатов. При работе над контентом для группы бренда в ОК команда агентства SMMashing Media старалась не только рассказывать об акциях собственного интернет-магазина компании но и поддерживать высокую вовлечённость аудитории с помощью интересного контента.Главная задача развития группы Птицефабрики «Северная» на платформе – рост количества подписчиков и их активности. Поэтому команда SMMashing Media хотела протестировать какие темы и форматы контента помогут получить наилучшие результаты.С мая 2022 года по май 2023 года в группе Птицефабрики «Северная» в ОК размещались вовлекающие публикации разных форматов. Команда агентства SMMashing Media создавала посты с призывом подписаться на группу новостями о скидках в интернет-магазине и другими полезными для пользователей материалами.Среди публикаций группы Птицефабрики «Северная» больше всего аудитории соцсети понравились конкурсы интерактивы с домашними животными и советы с рецептами блюд из курицы. Так в одном из постов команда SMMashing Media попросила пользователей написать имена своих питомцев — и получила 315 комментариев с ответами.Пользователи ОК активно участвовали в конкурсах с простыми условиями. Например жители Санкт-Петербурга могли подписаться на группу Птицефабрики «Северная» и поставить «класс» под конкурсным постом чтобы получить возможность выиграть призы – продукцию компании (грудку курицы голени тушку бройлера и т. д.).Самым успешным конкурсом бренда в ОК стал розыгрыш 15 кг куриного филе перед новогодними праздниками в декабре 2022 года. С его помощью команде агентства SMMashing Media удалось привлечь в группу более 2 тыс. новых подписчиков. Общий рост количества подписчиков группы Птицефабрики «Северная» составил 60%.Пользователи ОК часто оставляли «классы» и комментарии в группе бренда под постами с изображениями созданными без использования сложной графики и без обработки в фоторедакторах. Например для постов о конкурсах с розыгрышем продукции Птицефабрики «Северная» хорошо подошли фотографии призов крупным планом. Благодаря таким изображениям участники сразу понимали какие подарки могут выиграть.Маркетологам21814 мин.Советы от популярных авторов ОК: как вести блог в соцсети?Работа над блогом в ОК требует большого внимания к качеству контента к регулярности публикации и ко многим другим важным деталям. Создатели популярных блогов Тим Керби («Тим Керби – самый русский американец») Азиза («Миса и Лёлик») Анастасия и Евгений Жуковы («Вкус Жуковы») и Александра Басенкова («Александра Басенкова. О жизни с попугаями») рассказали на что стоит обратить внимание тем кто только начинает публиковать контент на платформе. как выбрать идею для блогапочему важно обращать внимание на фидбек аудитории;как развивать насмотренность в блогинге;какие дополнительные навыки могут понадобиться автору конетна.«Постарайтесь сразу понять что путь к успеху в блогинге часто очень долгий он требует усилий и терпения. Представьте что вы бежите марафон. И ваше желание вести блог и выстраивать контакт с аудиторией помогут сделать путь к успеху незабываемым.Создавайте контент который в первую очередь нравится вам самим. При этом не так важно какую технику вы используете – можно снимать и на дорогую камеру и на смартфон. Качество материала зависит в большей степени от того как вы работаете над контентом.При этом звук в ваших роликах должен быть идеальным потому что зрители часто обращают на это внимание. Хорошо что запись хорошего звука стоит в разы дешевле чем создание идеального видео».«Сразу определитесь с тематикой блога и выберите идею которая близка вам. Хорошо создавать контент без любви к тому что делаешь мало у кого получается. Сейчас например в ОК хорошо быстро набирают популярность блоги про увлечения.В самом начале работы над группой вам может быть непросто набрать первую тысячу подписчиков. Но не поддавайтесь отчаянию и продолжайте работать над контентом – в блогинге важны регулярность и мотивация. К тому же вы можете попасть в программу «Молния»  которая помогает начинающим авторам увеличить количество подписчиков и продвинуть своё сообщество.Прислушивайтесь к фидбэку аудитории – в ОК она очень дружелюбная. Поддержка пользователей соцсети легко вдохновит вас на новые посты!»«Развивайте насмотренность. Когда наш блог только появился мы стали наблюдать за активностью других авторов анализировали их контент и изучать почему одни посты нравятся аудитории а другие – нет. Конечно пришлось обратить внимание и на техническую составляющую: на композицию кадра работу со звуком и видеорядом. Благодаря этому мы смогли найти индивидуальный стиль блога».«Научитесь монтировать видео — для начала вам будет достаточно элементарных навыков: как добавить аудио прикрепить красивую подпись и т. д. Монтаж сделает ваши ролики качественнее и подписчики это заметят.Изучите площадку на которой вы планируете развиваться. Авторы в ОК могут использовать разные форматы и инструменты. Попробуйте понять как они работают — и что подойдет для вашего блога».ОК помогают авторам развивать группы на платформе и находить новую вовлечённую аудиторию. Недавно был запущен второй сезон «Академии контента» — бесплатного образовательного курса для блогеров которые хотят развивать личный бренд. Присоединяйтесь к проекту чтобы узнать как создать успешный блог по интересной вам теме в ОК!Авторы контента25616 мин.                     Новости                ОК поддержат День борьбы с кибербуллингом10 ноября 2023ОК обновили сервис «Увлечения» и представили кампанию в поддержку позиционирования как территории хобби31 октября 2023Одноклассники обновили «Увлечения»: общение по интересам вопросы профессионалам и экспертные материалы30 октября 2023В Одноклассниках появились новые инструменты для развития групп26 октября 2023Одноклассники назвали самые популярные в России профессиональные праздники и объяснили почему люди их отмечают25 октября 2023 Все новостиКейс «Махеевъ»: как получить 4 млн охватов под видео блогеров с рекламными интеграциямиВ марте 2023 года бренд «Махеевъ» начал использовать новые форматы продвижения продукции в ОК. Так его команда начала активно сотрудничать с авторами ОК и стала партнёром тематического мероприятия соцсети ко Дню космонавтики. Рассказываем как «Махеевъ» удалось собрать 4 млн охвата видеороликов с рекламными интеграциями от блогеров в ОК.Цель интеграции в контент популярных авторов ОК — повышение узнаваемости «Махеевъ» на платформе. Команде бренда было важно рассказать о преимуществах своей продукции и привлечь новую релевантную аудиторию.Первым этапом сотрудничества бренда с авторами ОК стали интеграции в контент фуд-блогеров в марте-апреле 2022 года а вторым — участие в тематическом мероприятии соцсети ко Дню космонавтики.ОК изменили позиционирование осенью 2022 года. Платформа усилила вектор развития как территории для увлечений где легко можно найти интересный контент даже о самых редких хобби. Это позволило «Махеевъ» использовать новые форматы для общения с аудиторией в ОК. Согласно задумке бренда популярные авторы блогов о кулинарии могли бы стать его «лицами» в социальной сети и помочь привлечь активную аудиторию.Работу «Махеевъ» с создателями контента ОК можно разделить на два этапа — отбор блогеров и подготовка видео для публикации. В марте-апреле 2023 года команда бренда выбрала нескольких авторов популярных групп о кулинарии чтобы понять насколько эффективно работает реклама в видео в соцсети. Сотрудничество было предложено блогерам с релевантной и активной аудиторией которые вызывают доверие пользователей ОК благодаря качественному контенту.Инфлюенсерами «Махеевъ» стали несколько популярных фуд-блогеров ОК:«Готовим с Сашей»;«Мария Нефедова»;«Мама готовит»;«Рецепты | Гузель Пудовкина»;«Вкус Жуковы»;«Папа на кухне»;«Сам себе сушист»;«Рябов на кухне»;«ЗДЕСЬ СВОЙ | МАСТЕР ШЕФ».Бренд «Махеевъ» более десяти лет является одним из поставщиков питания для российского экипажа Международной космической станции. В апреле 2022 он стал партнёром мероприятия ОК для авторов ко Дню космонавтики. Участие в этом событии стало для бренда важным шагом в повышении своей узнаваемости.ОК и «Махеевъ» пригласили 10 популярных авторов платформы на экскурсию в Музей космонавтики в Москве. Пять участников мероприятия — это создатели популярных групп о кулинарии:«Рецепты Для Лентяев»;«Вкус Жуковы»;«Сам себе сушист»;«Папа на кухне»;«Рябов на кухне».Остальные участники мероприятия ведут блоги о путешествиях и популярной науке:«Голландец в России»;«Точно безопасно»;«Девушка с татуировкой самолёта»;«Путешествия с фотокамерой»;«Популярная наука».Авторы ОК осмотрели экспозицию музея во время экскурсии а позже приняли участие в кулинарном мастер-классе и попробовали придумать блюда для рациона питания космонавтов на МКС. Победителей в конце мероприятия выбрал космонавт Сергей Корсаков. Команда «Махеевъ» подготовила специальные подарки для гостя мастер-класса и всех его участников. После экскурсии и мастер-класса авторы опубликовали материалы о мероприятии в своих соцсетях с упоминанием бренда. Это дало возможность «Махеевъ» рассказать о своём участии в организации питания космонавтов большему количеству пользователей.Бренд «Махеевъ» более десяти лет является одним из поставщиков питания для российского экипажа Международной космической станции. В апреле 2022 он стал партнёром мероприятия ОК для авторов ко Дню космонавтики. Участие в этом событии стало для бренда важным шагом в повышении своей узнаваемости.ОК и «Махеевъ» пригласили 10 популярных авторов платформы на экскурсию в Музей космонавтики в Москве. Пять участников мероприятия — это создатели популярных групп о кулинарии:«Рецепты Для Лентяев»;«Вкус Жуковы»;«Сам себе сушист»;«Папа на кухне»;«Рябов на кухне».Остальные участники мероприятия ведут блоги о путешествиях и популярной науке:«Голландец в России»;«Точно безопасно»;«Девушка с татуировкой самолёта»;«Путешествия с фотокамерой»;«Популярная наука».Авторы ОК осмотрели экспозицию музея во время экскурсии а позже приняли участие в кулинарном мастер-классе и попробовали придумать блюда для рациона питания космонавтов на МКС. Победителей в конце мероприятия выбрал космонавт Сергей Корсаков. Команда «Махеевъ» подготовила специальные подарки для гостя мастер-класса и всех его участников. После экскурсии и мастер-класса авторы опубликовали материалы о мероприятии в своих соцсетях с упоминанием бренда. Это дало возможность «Махеевъ» рассказать о своём участии в организации питания космонавтов большему количеству пользователей.С помощью интеграции в контент авторов ОК бренд «Махеевъ» смог улучшить коммуникацию с потенциальными покупателями:Авторы ОК опубликовали 23 поста с видео в своих группах. Средний охват выбранных блогеров — 931 833 в месяц а их общий охват — 13 977 505 в месяц. Пользователи посмотрели ролики с интеграцией «Махеевъ» 4 млн раз (ERV составил 472%). Благодаря активности подписчиков и особенностям алгоритмической ленты ОК охват рекламных постов в группах увеличился в среднем на 76%. «Классы» и комментарии пользователей видны всем их друзьям (если они сами не захотят скрыть реакции). Поэтому видео смогли увидеть ещё больше пользователей. Бренд смог привлечь аудиторию из разных городов благодаря размещению интеграций в группах авторов. Самые большие охваты посты и ролики о «Махеевъ» получили в Москве (1402%) Новосибирске (1010%) Краснодаре (638%) Санкт-Петербурге (527%) и Екатеринбурге (484%). С помощью интеграции в контент авторов ОК бренд «Махеевъ» смог улучшить коммуникацию с потенциальными покупателями:Авторы ОК опубликовали 23 поста с видео в своих группах. Средний охват выбранных блогеров — 931 833 в месяц а их общий охват — 13 977 505 в месяц. Пользователи посмотрели ролики с интеграцией «Махеевъ» 4 млн раз (ERV составил 472%). Благодаря активности подписчиков и особенностям алгоритмической ленты ОК охват рекламных постов в группах увеличился в среднем на 76%. «Классы» и комментарии пользователей видны всем их друзьям (если они сами не захотят скрыть реакции). Поэтому видео смогли увидеть ещё больше пользователей. Бренд смог привлечь аудиторию из разных городов благодаря размещению интеграций в группах авторов. Самые большие охваты посты и ролики о «Махеевъ» получили в Москве (1402%) Новосибирске (1010%) Краснодаре (638%) Санкт-Петербурге (527%) и Екатеринбурге (484%). С помощью интеграции в контент авторов ОК бренд «Махеевъ» смог улучшить коммуникацию с потенциальными покупателями:Авторы ОК опубликовали 23 поста с видео в своих группах. Средний охват выбранных блогеров — 931 833 в месяц а их общий охват — 13 977 505 в месяц. Пользователи посмотрели ролики с интеграцией «Махеевъ» 4 млн раз (ERV составил 472%). Благодаря активности подписчиков и особенностям алгоритмической ленты ОК охват рекламных постов в группах увеличился в среднем на 76%. «Классы» и комментарии пользователей видны всем их друзьям (если они сами не захотят скрыть реакции). Поэтому видео смогли увидеть ещё больше пользователей. Бренд смог привлечь аудиторию из разных городов благодаря размещению интеграций в группах авторов. Самые большие охваты посты и ролики о «Махеевъ» получили в Москве (1402%) Новосибирске (1010%) Краснодаре (638%) Санкт-Петербурге (527%) и Екатеринбурге (484%). Видеоролики в группах авторов ОК с упоминаниями «Махеевъ» получили большие охваты и хорошую глубину просмотра.Пользователи оставили 3 937 реакций («классов» комментариев и нажатий на кнопку «Поделиться») под видео в группе «Мама готовит» о рецепте салата «Мимоза» с заправкой из майонеза «Махеевъ» .Рецепт маффинов с джемом «Махеевъ» в группе «Готовим с Сашей» получил самый высокий ERV — 553%.Ролик Игоря Чернякова автора группы «Сам себе сушист» о способе приготовления домашних стрипсов с соусом «Махеевъ» собрал 224 235 охвата и 2 554 реакций.Видеоролики в группах авторов ОК с упоминаниями «Махеевъ» получили большие охваты и хорошую глубину просмотра.Пользователи оставили 3 937 реакций («классов» комментариев и нажатий на кнопку «Поделиться») под видео в группе «Мама готовит» о рецепте салата «Мимоза» с заправкой из майонеза «Махеевъ» .Рецепт маффинов с джемом «Махеевъ» в группе «Готовим с Сашей» получил самый высокий ERV — 553%.Ролик Игоря Чернякова автора группы «Сам себе сушист» о способе приготовления домашних стрипсов с соусом «Махеевъ» собрал 224 235 охвата и 2 554 реакций.Поддержка мероприятия ОК ко Дню космонавтики дала возможность бренду в необычном формате рассказать широкой аудитории что продукция «Махеевъ» поставляется на МКС. После экскурсии и мастер-класса авторы ОК подготовили видео для своих блогов.Видео в группе «Популярная наука» о Юрии Гагарине и о современном космическом питании в которое входят соусы «Махеевъ» получило 116 547 охвата.Ролик Елены Лисейкиной в группе «Путешествия с фотокамерой» о жизни космонавтов на станции «МИР» и о современном использовании продукции «Махеевъ» на орбите получил ERV 692%.Видео авторов Евгения и Анастасии Жуковых в группе «Вкус Жуковы» о приготовлении «космической картошки фри» смогло набрать 51 558 охвата.По итогам мероприятия авторы также опубликовали в своих группах общий видеоролик об экскурсии и мастер-классе. Пользователи ОК посмотрели его более 500 тысяч раз.Все приглашённые создатели контента в ОК дополнительно по собственному желанию опубликовали посты ко Дню космонавтики на страницах в других социальных сетях. Это помогло бренду «Махеевъ» получить дополнительные охват и упоминания бесплатно.Маркетологам9622 мин.Кейс «Науки» и «Комсомольской правды»: как увеличить вовлечённость аудитории с помощью стикерпаков с дизайном от нейросетиКо Дню космонавтики телеканал «Наука» и «Комсомольская правда» подготовили необычные наборы стикеров для своих подписчиков в ОК. Рассказываем как творческий подход в использовании нейросетей для создания стикерпаков помогли медиа увеличить размер лояльной аудитории на платформе.Команды телеканала «Наука» (входит в медиахолдинг «Цифровое Телевидение») и «Комсомольской правды» хотели в первую очередь увеличить количество подписчиков в своих группах с помощью инструментов ОК. Также они хотели использовать современные нейросети чтобы создать интересные для пользователей стикерпаки.Команда телеканала использовала несколько популярных нейросетей для создания набора стикеров — Midjourney и Stable Diffusion. Дизайнеры и авторы вдохновились научно-фантастическими иллюстрациями середины XX века и дополнили получившиеся изображения фразами которые можно использовать каждый день. Когда пользователь ОК добавлял себе стикеры он автоматически соглашался подписаться на группу «Науки».При создании стикерпака команда «Комсомольской правды» использовала не только нейросети но и нестандартные приветствия. Как и в случае с набором стикеров от телеканала «Наука» пользователь который хотел установить стикеры группы «Комсомольской правды» получал предложение вступить в неё. Эта механика позволила команде медиа увеличить количество подписчиков в ОК за счёт аудитории заинтересовавшейся стикерпаками.Стикеры созданные с использованием нейросетей помогли командам обоих СМИ найти новую аудиторию в ОК:Стикерпак «Науки» помог команде телеканала привлечь более 32 500 новых подписчиков в группу ОК;Более 7 000 пользователей подписались на группу «Комсомольской правды» после установки набора стикеров ко Дню космонавтики.Для медиа8614 мин.Кейс X5 Group в ОК: как получить 48 млн охвата контента авторов о сервисе «Пакет»В мае 2023 года X5 Group запустили рекламную кампанию сервиса «Пакет» . С его помощью покупатели торговых сетей «Пятёрочка» и «Перекрёсток» могут получать копить и тратить баллы за покупки. Объясняем как сотрудничество с авторами помогло компании добиться 48 млн охвата публикаций и как особенности алгоритмов платформы позволили снизить CPV в 12 раз.В первую очередь для X5 Group было важно объяснить как работает сервис «Пакет» в торговых сетях «Пятёрочка» и «Перекрёсток» — и показать что его можно подключить сразу на кассе. Кроме этого команда торговой компании планировала рассказать пользователям ОК об акции «Магазин сокровищ». Во время неё покупатели торговой сети «Пятёрочка» получали памятные монеты за каждые 600 рублей в чеке или за подключение сервиса «Пакет» на кассе а также участвовали в розыгрыше призов. ОК позиционирую себя территорией увлечений где каждый пользователь может найти материалы по интересной ему теме а автор контента — аудиторию которая будет активно смотреть публикации о его хобби. Команда X5 Group решила предложить сотрудничество популярным кулинарным блогерам платформы но дополнительно привлекла к совместному созданию контента и тех кто публикует контент о других темах.Главными критериями выбора авторов для интеграций стали: стиль подачи общения со зрителями;активность подписчиков под роликами и постами. Команда X5 Group предложила блогерам встроить рекламу в сюжет основного ролика – например рецепта окрошки и сырников или видео о походе в магазин. В середине видео авторы объясняли как подключить сервис «Пакет» на кассе в «Пятёрочке» а также показывали количество полученных баллов за покупку и монету из акции «Магазин сокровищ». В комментарии к роликам все блогеры добавляли ссылку на сервис «Пакет». Пользователи должны были перейти по ней оформить подписку и сохранить полученный штрихкод чтобы позже показать его на кассе.Перед запуском рекламных интеграций команда X5 Group предполагала что получит охват в среднем около 400 тысяч просмотров публикаций блогеров со CPV (cost per view англ. «цена за один просмотр») около 2 рублей. Результаты сотрудничества с авторами ОК превзошли ожидания рекламодателя:Общих охват публикаций блогеров с рекламными ставками о сервисе «Пакет» с 20 апреля по 14 июня — 48 млн уникальных пользователей;CPV составил в среднем 019 рублей – в 12 раз ниже чем предполагали в X5 Group. Это стало возможным благодаря работе алгоритмов ОК: многие ролики авторов получили дополнительное бесплатное промо за счёт попадания в рекомендации; 139% пользователей кто видели ролики с рекламными интеграциями авторов живут в Москве в Новосибирске — 99% в Краснодаре — 62% в Санкт-Петербурге — 5% а в Челябинске — 37%. Кроме того видео смотрела аудитория из Уфы Саратова Казани Ростова-на-Дону Читы Ставрополя Омска Волгограда и других городов.Больше всего охвата получили ролики блогеров с рассказом о том как работает кешбэк и в чём заключается его выгодность. Так например видео Виктории Злобиной о походе в «Пятёрочку» вместе с дочкой набрало 254 727 просмотров. Рост суммарного охвата составил 4137%.Самой успешной публикацией по количеству полученных переходов и откликов стало видео блогера-сушиста Игоря Чернякова. В минутном ролике автор рассказал почему делать роллы дома выгоднее. Он купил ингредиенты в магазине и объяснил зрителям почему пользоваться сервисом «Пакет» выгодно.По итогам сотрудничества с блогерами команда X5 Group пришла к выводу что интеграция рекламы продуктов в ролики авторов с похожими тематиками приносит наилучшие результаты. Видео о преимуществах сервиса «Пакет» заинтересовали широкую аудиторию и получили высокие охваты.Команда бренда отмечает что на результат сотрудничества с авторами повлиял и хронометраж роликов — в среднем одно видео блогера в ОК длится до 5 минут. В будущем представители X5 Group планируют во время каждой кампании продолжить сотрудничество с одним автором и предлагать ему рекламные интеграции которые будут занимать 10−15% от длительности ролика. Как считают в X5 Group это поможет постепенно заинтересовать пользователей продуктом.Маркетологам20713 мин.OK Media Challenge 2023. ФиналЗавершился последний четвертый этап OK Media Challenge 2023 а это значит что мы готовы подвести итоги конкурса для региональных медиа от Одноклассников и представить победителей.Главным заданием завершающего этапа OK Media Challenge 2023 стал марафон. Наши участники придумали для подписчиков простые но интересные активности. Члены жюри оценили креатив и выставили баллы за задания.За четыре недели участники узнали все о постинге в ОК грамотно оформили группы настроили виджеты активно публиковали посты проводили эфиры и запускали марафоны для подписчиков. В рамках OK Media Challenge 2023 многие медиа активно выполняли задания держали высокую планку на протяжении всего челленджа и шли по баллам практически наравне друг с другом.Мы рады что конкурс состоялся и уверены что полученные знания пригодятся участникам и дальше.А теперь итоговая таблица с оценками жюри:Поздравляем «Ариг Ус» «Калининград.Ru» «Комсомольская правда. Самара»! Победители получают промокоды в размере 50 30 и 15 тысяч рублей на размещение рекламы в социальной сети а также дополнительную поддержку от ОК в течение года фирменный мерч и наградные статуэтки.Благодарим за участие в конкурсе! Сертификат о прохождении OK Media Challenge 2023 участники могут забрать здесь.Подробные оценки смотрите по ссылке.Решение жюри окончательное и не может быть оспорено участниками.С подробными правилами участия в конкурсе можно ознакомиться по ссылке.OK Media Challenge2304 мин.Кейс «Москвы 24»: как привлечь 15 млн пользователей к участию в конкурсе с использованием ИИТелеканал «Москва 24» запустил конкурс в ОК чтобы укрепить присутствие бренда на платформе и повысить активность аудитории. Рассказываем как креативный подход помог команде медиа создать необычную идею конкурса а также увеличить количество подписчиков группы и их вовлечённость.Команда телеканала хотела увеличить узнаваемость бренда «Москвы 24» среди пользователей социальной сети и привлечь новую аудиторию к просмотру своего контента. Поэтому целями продвижения «Москвы 24» в ОК стали рост количества подписчиков группы медиа и их активности под публикациями (поставленных «классов» нажатий на кнопку «Поделиться» и комментариев).Команда «Москвы 24» решила провести в ОК конкурс и использовать при его подготовке нейросеть Midjourney. В июне и июле по вторникам в группе телеканала публиковались посты с двумя картинками сгенерированными с помощью ИИ. Участники конкурса писали в комментариях какую картинку нейросеть сгенерировала по тексту песен пословиц и поговорок о Москве.Чтобы привлечь зрителей к участию телеканал рассказывал об условиях конкурса в эфире призывал переходить по QR-коду в группу в ОК и угадывать правильный ответ. Ведущие «Москвы 24» выбирал победителя к каждому посту в прямом эфире.Публикации «Москвы 24» с конкурсом увидели 45 млн пользователей ОК. Кроме того телеканалу удалось охватить 11 млн телезрителей.Более 15 000 пользователей отгадывали песни пословицы поговорки о Москве и комментировали посты;Посты с конкурсом собрали в сумме 1 748 реакций а в дни их публикации общее количество реакций превышало средние показатели группы за сутки примерно на 50%;В течение десяти конкурсных дней на группу «Москвы 24» подписались 6 000 пользователей ОК — на 20% больше чем среднемесячный рост аудитории.Для медиа12111 мин.Кейс «Юмор FM» в ОК: как получить 350 тысяч просмотров музыкального видео с котами пользователейВесной радиостанция «Юмор FM» запустила креативную кампанию в ОК. Пользователи отправляли видео со своими котами которые мурлыкали мяукали или издавали другие смешные звуки. По итогам акции команда радиостанции выбрала забавные ролики создала на их основе видео о космокотах. Рассказываем как «Юмор FM» удалось вовлечь пользователей ОК в создание общего видеоролика с питомцами.На протяжении нескольких лет чёрный кот является частью логотипа и узнаваемым маскотом «Юмор FM». Поэтому команда радиостанции решила к Дню кошек (1 марта) запустить в ОК марафон забавных снимков котов и кошек.По итогам акции 13 тыс. пользователей соцсети опубликовали свои фотографии с любимыми питомцами. Этот марафон стал первым в группе радиостанции — и сразу привлёк внимание аудитории. Команда «Юмор FM» заметила желание пользователей создавать контент о своих котах и решила создать кампанию-продолжение фотомарафона.Перед запуском нового проекта команда радиостанции провела небольшое исследование и узнала что один из самых популярных форматов развлекательного контента о животных — короткие видео. Пользователи часто используют такие ролики для создания смешных песен и клипов.Команда «Юмор FM» предложила подписчикам своей группы в ОК прислать забавные видео с котами которые мяукают мурлычут шипят и т. д. Самые необычные звуки питомцев вошли в аудиодорожку а ролики — в клип который был создан под «кошачий» трек. Авторы видео которые были использованы для создания финального видео о космокотах получили подарки от радиостанции.Открытый приём заявок на участие позволил команде «Юмор FM» значительно увеличить вовлечённость аудитории. Пользователи активно отправляли видео и и ждали когда можно будет услышать и увидеть своих котов в итоговом ролике.Открытый приём заявок на участие позволил команде «Юмор FM» значительно увеличить вовлечённость аудитории. Пользователи активно отправляли видео и и ждали когда можно будет услышать и увидеть своих котов в итоговом ролике.26 апреля команда «Юмор FM» эксклюзивно выложила финальное видео с космокотами в группе в ОК а позже опубликовала его и на других платформах. Привлечь внимание к клипу и треку помогло сотрудничество с авторами групп о животных и о воспитании детей. Блогеры «Деакселия» «Лакшери котакшери» «Оскар и плюша» «Бельчонок в доме» «Лекс и Фокси» «Лисы в доме» «Дай Мяу» и «Очаровательный чихуахуа Лаврик» записали реакцию питомцев на видео а Алла которая ведёт блог про родительство сняла танец своего ребёнка под этот трек.«Юмор FM» удалось с помощью креативной кампании не только создать интересный контент для группы в ОК но и увеличить вовлечённость своей аудитории на платформе.Пользователи оставили более 2 тыс. комментариев под постом о конкурсе смешных видео с котами;За один день клип собрал в ОК более 200 тыс. просмотров (на момент написания кейса пользователи посмотрели его уже более 357 тыс. раз);Более 232 тыс. пользователей посмотрели видео блогеров с реакцией на видео а посты авторов получили более 1 300 000 просмотров.Для медиа13114 мин.OK Media Challenge 2023: итоги третьей неделиЗавершилась третья неделя OK Media Challenge 2023 и мы готовы подвести итоги.Все семь дней наши участники активно публиковали посты а также проводили прямые эфиры или совместные видеозвонки. Некоторые конкурсанты смогли привлечь к съемке интересных спикеров местных звезд и блогеров за что получили дополнительные баллы.Рейтинг третьей недели и итоги трех этапов смотрите ниже:Впереди четвертая заключительная неделя челленджа. Рейтинг может измениться. Желаем всем участникам удачи!Посмотреть свои оценки за конкретное задание можно в документе по ссылке.С подробными правилами участия в конкурсе можно ознакомиться здесь.OK Media Challenge1534 мин.Одноклассники запускают обновленную «Академию контента» посвященную личному брендуУченики курса будут иметь доступ не только к урокам но и к полезным чек-листам и гайдам для работы на площадке. Кроме того студенты будут получать обратную связь от блогеров-преподавателей и сотрудников соцсети. Лучшие ученики получат сертификаты на покупку техники для съемок контента и возможность сотрудничества с командой по работе с авторами контента ОК.Среди преподавателей:Ана Мавричева — основатель женского международного сообщества «Код публичности» автор бестселлера «Код публичности» эксперт-практик в продвижении первых лиц звёзд шоу-бизнеса и блогеров-миллионников спикер федеральных и международных форумов.Катя Гершуни — блогер телеведущая один из самых авторитетных экспертов по стилю который создаёт образы известным персонам из мира кино телевидения политики и шоу-бизнеса. Автор собственных мастер-классов и вебинаров о моде и стиле.Ольга Гладкова — блогер фотограф звёзд шоу-бизнеса амбассадор марки Nikon  в России спикер российских и международных школ и конференций по фотографии основатель онлайн-школы по фотографии «Магия Портрета».Екатерина Михайлова — автор блога «Екатерина. Честный кондитер» с аудиторией 500к подписчиков на разных платформах кондитер с 9-летним стажем участник ТВ-передач на Рен-ТВ ТНТ Пятница 78 канал в качестве кулинарного эксперта.Екатерина Пискунова — блогер художник дизайнер автор книг и журналов для детей.Тани Шуваева — креатор бренд-стратег и контент-продюсер основатель и руководитель агентства INNOE.RU автор курсов о создании креативной контент-стратегии создатель благотворительного проекта «Контентим во благо».Маргарита Распопова — блогер маркетолог с 15-летним стажем психолог автор собственных курсов о контент-маркетинге автор серии видеороликов о психологии продвижения в соцсетях.После прохождения всех уроков студенты смогут пройти тест на закрепление нового материала. Пользователи которые по итогам обучения наберут не менее 25 баллов из максимально возможных 30 получат электронный сертификат о прохождении курса от ОК. Трое лучших выпускников получат сертификаты на покупки техники для ведения своего блога. А также у лучших выпускников будет дополнительная поддержка команды ОК по работе с авторами.Чтобы стать студентом курса необходимо пройти регистрацию на сайте проекта.В прошлом «Академия контента» была посвящена тому как делать интересный контент снимать фото и видео находить единомышленников. Учениками курса стали более 45 тыс. пользователей соцсети и лучшие из них получили поддержку в развитии блога от соцсети Одноклассники.Авторы контента3644 мин.Кейс Rambler&amp;Co: как привлечь 5 тысяч подписчиков  с помощью рамок в группу бренда в ОКВ июле медиахолдинг Rambler&amp;Co запустил набор тематических рамок в ОК. Пользователи могли украшать ими аватары профиля и показывать друзьям что им большое всего нравится летом. Рассказываем как творческий подход и анализ предпочтений аудитории помогли бренду получить 130 тыс. установок рамок и увеличить количество подписчиков группы в ОК на 5 тысяч.Целью Rambler&amp;Co было увеличение аудитории группы в ОК. Поэтому команда медиахолдинга выбрала один из самых популярных инструментов платформы — рамки. После её установки на аватар через приложение «Волшебные рамки» пользователь получает предложение подписаться на группу которая её запустила.Концепция серии рамок Rambler&amp;Co появилась после анализа интересов которые наиболее актуальны летом для аудитории ОК. Так команда медиахолдинга выбрала несколько популярных тем:море;путешествия;цветы;отпуск;улыбки.Каждая рамка вошедшая в набор отразила одну из тем выбранных идей — и пользователи ОК могли установить на аватар наиболее соответствующий их настроению вариант.Каждая рамка вошедшая в набор отразила одну из тем выбранных идей — и пользователи ОК могли установить на аватар наиболее соответствующий их настроению вариант.Сразу после анонса рамок в группе Rambler&amp;Co количество подписчиков начало расти. Это произошло во многом благодаря особенностям работы алгоритмов ОК. Пользователи видели что их друзья устанавливали новые рамки на аватары выбирали такое же украшение для главной фотографии своих профилей и получали предложение вступить в группу Rambler&amp;Co. За несколько недель количество подписчиков медиахолдинга в ОК выросло на 5 тыс. пользователей. Публикация рамок помогла бренду начать выстраивать взаимодействие с пользователями уже в начале развития на площадке.Рамки — инструмент который может помочь бизнесу любой направленности увеличить количество подписчиков в ОК. Больше информации о том как продвигать бренд на платформе вы можете узнать в группе «ОК для бизнеса».Маркетологам1416 мин.OK Media Challenge 2023: итоги второй неделиВторой этап конкурса OK Media Challenge 2023 позади и мы готовы представить баллы от жюри.Большинство участников справились с заданиями. В течение недели наши конкурсанты активно публиковали посты а также создавали интересные лонгриды и освоили инструменты в редакторе постов.Так выглядит рейтинг участников на данный момент:Это только вторая неделя челленджа и рейтинг может измениться! Ждем от конкурсантов классных и креативных решений на третьем этапе!Посмотреть свои оценки за конкретное задание можно в документе по ссылке.Всем удачи!С подробными правилами участия в конкурсе можно ознакомиться здесь.OK Media Challenge1854 мин. Показать еще                    Не пропустите много классногоот блога Одноклассников!                                    Подпишитесь на новости                МатериалыКонтактыПодпишитесь на канал ОК НОРМ                 © Проект Одноклассники            ×Подпишитесь на рассылку InsideokНе пропустите много классного от блога Одноклассников</t>
  </si>
  <si>
    <t>insideok.ru</t>
  </si>
  <si>
    <t>Однокла́ссники (в женском роде — однокла́ссницы) — люди, обучающиеся или обучавшиеся ранее в одном классе. Кроме того: «Одноклассники» — социальная сеть ...</t>
  </si>
  <si>
    <t>https://ru.wikipedia.org/wiki/%D0%9E%D0%B4%D0%BD%D0%BE%D0%BA%D0%BB%D0%B0%D1%81%D1%81%D0%BD%D0%B8%D0%BA%D0%B8</t>
  </si>
  <si>
    <t>Сайт</t>
  </si>
  <si>
    <t>https://www.odnoklassniki.ru/?_erv=vwhxlyirbwpynedop</t>
  </si>
  <si>
    <t>www.odnoklassniki.ru</t>
  </si>
  <si>
    <t>https://vk.com/ok_official</t>
  </si>
  <si>
    <t>Одноклассники.ру, РОССИЯ - вся информация о компании</t>
  </si>
  <si>
    <t>Одноклассники.ру – социальная сеть на русском и украинском языке для общения, поиска одноклассников, бывших выпускников и однокурсников, а также своих ...</t>
  </si>
  <si>
    <t>https://www.dk.ru/all/wiki/odnoklassniki</t>
  </si>
  <si>
    <t>DK.RU — деловой портал ЕкатеринбургаЕкатеринбургЕкатеринбургКазаньКрасноярскНижний НовгородНовосибирскРостов-на-ДонуСанкт-ПетербургТюменьЧелябинскВся РОССИЯПодписатьсяTelegramВконтактеTwitterОдноклассникиYoutubeYandex ZenКурс ЦБ на 11.1192059831Регион поиска:ЕкатеринбургЕкатеринбургКазаньКрасноярскНижний НовгородНовосибирскРостов-на-ДонуСанкт-ПетербургТюменьЧелябинскВся РОССИЯВаше местоположение Екатеринбург?ДАВыбрать другоеНовостиБизнесСвое делоКачество жизниМненияWIKIКонтактыНОВОСТИ ЕКАТЕРИНБУРГАвчера10:07Чистый отток капитала из России снова вырос в два раза07:16Bloomberg сообщил о формировании новой российской бизнес-элиты в России10 ноября 202318:26Впервые за 30 лет. Ростех покажет тяжелый транспортный самолет на выставке в Дубае17:18Ельцин-центр остался без директора16:56Банк Уралсиб вошел в Топ-10 рейтинга самых выгодных вкладов16:29Иностранный бизнес боится уходить из России после истории с Carlsberg16:24Новые номинации и новый прием заявок: в Екатеринбурге стартовал «Серебряный лучник»15:23Экс-главу РКК «Энергия» обвинили в причинении ущерба на 9 млрд руб.15:21Банк ПСБ провел в Екатеринбурге форум по повышению уровня финансовой культуры15:14В Екатеринбурге презентовали первый сериал известной креативщицы14:35Лондон запрещает. Сбербанку отказано в обмене $107 млн с бывшей «дочкой»11:4255–70 тыс. руб. зарабатывает средний екатеринбуржец. Власти посчитали доходы населения10:36В Екатеринбурге выставили на продажу четырехэтажную квартиру за 108 млн руб.10:35ПСБ предложил клиентам детские карты08:07«Мы хотим чтобы люди получили возможность жить и работать находясь в одной локации»07:08От небольшой конференции до общероссийского форума: как растут «Города России»09 ноября 202320:19«Это случится в декабре»: Путин готовится к прямой линии. Но сначала выслушает бизнес17:53В декабре в Екатеринбурге пройдет благотворительный фестиваль «Интеллектfest»17:12Старообрядцы хотят снести собственную церковь в центре Екатеринбурга. Активисты против17:01Покупай по карте Уралсиба и выиграй миллион рублей16:13Очередная уральская компания попала в очередной список санкций16:05Аэропорты предлагают ввести дополнительный сбор с пассажиров. Билеты подорожают на 3-5%15:38Эльвира Набиуллина: Экономика израсходовала все ресурсы. ЦБ задумался о повышении ставки15:26На реконструкцию Белой Башни не хватает 60 млн руб. Их соберут с населения13:36Ипотека становится все менее доступной. Когда покупать квартиру?13:18Закрыли лазейки. Власти доработали поправки в Налоговый кодекс. Что меняется для бизнеса?11:40В 2024 г. в екатеринбургском метро жетоны может заменить биометрия11:26«Ашан» запретил поставщикам поднимать цены на товары до Нового года11:17Банк Уралсиб вручил приз победительнице акции «Автомобиль за оформление кредита наличными»10:11Теперь и в Академическом. В Екатеринбурге планируют построить мусороперерабатывающий завод08:40Свердловская область стала одним из регионов-лидеров по «звонкам в интернете»08:16Чистейшие озера горы со снежными вершинами и бескрайние степи в одной поездке07:04Зачем вести бюджет и как не бросить это скучное занятие через неделю — Роман Романович06:18Указ подписан: Владимир Путин придумал как продать замороженные активы россиян08 ноября 202322:12Рынок ипотеки в России за месяц обвалился почти на 20%18:17Цифровые рубли теперь можно снять через банкомат. Первым технологию представил ВТБ17:47ЦБ планирует сохранять высокую ключевую ставку минимум до весны 2024 г.17:05Банки из дружественных стран стали отказывать российскому бизнесу в проведении платежей16:40Компания Calvin Klein отсудила у предпринимателей Екатеринбурга почти 500 тыс. руб.16:21Средства на городскую елку соберут на Екатерининской Ассамблее#КУЛЬТУРА#ГОРОД#КАЧЕСТВО ЖИЗНИСвятая Екатерина высотой с восьмиэтажный дом появилась в Екатеринбурге«Мы хотим чтобы люди получили возможность жить и работать находясь в одной локации»Масштабную 3D-иллюзию святого образа можно увидеть на торце одного из зданий УрФУ. Мурал стал финальной работой фестиваля STENOGRAFFIA в этом году.Когда речь заходит о покупке квартиры в новостройке то в первую очередь в голове возникает образ Академического района как самого молодого и развивающегося.Самое читаемоеБорис Титов: «Дело против Аяза сильно отличается от дел против Чекалиной или Блиновской»Впервые за 30 лет. Ростех покажет тяжелый транспортный самолет на выставке в ДубаеСвердловская область стала одним из регионов-лидеров по «звонкам в интернете»Рынок ипотеки в России за месяц обвалился почти на 20%Старообрядцы хотят снести собственную церковь в центре Екатеринбурга. Активисты против#ГОРОДАРОССИИ_2030От небольшой конференции до общероссийского форума: как растут «Города России»В этом году в Екатеринбурге ждут более 5 тыс. участников форума. Они смогут не только обсудить ключевые вопросы развития муниципалитетов но и посетить выставку городов.#ИСТОРИЧЕСКОЕ НАСЛЕДИЕ#ИПОТЕКА#СТРОЙКАСтарообрядцы хотят снести собственную церковь в центре Екатеринбурга. Активисты противИпотека становится все менее доступной. Когда покупать квартиру?Община «открестилась» от здания потому что здесь когда-то была биолаборатория НКВД. Старообрядцев уже штрафовали за плохое содержание церкви. Активисты планируют спасти здание.Эксперты отмечают что сейчас самый удачный момент для сделки — дальше цены и размер первоначального взноса могут вырасти еще существеннее а продление льготной ипотеки — под большим вопросом.#ЧТО Я ТАМ НЕ ВИДЕЛСовременные индустриальные парки: как разместить производство склады и торговлю?Чистейшие озера горы со снежными вершинами и бескрайние степи в одной поездкеЛокация подъездные пути инженерные сети — эксперты DK.RU рассказали о нюансах которые позволят арендатору оценить выгодность предложения и не попасть в ловушку мнимой экономии.Опыт кольцевого автопутешествия с Урала в Монголию через Сибирь: города обязательные для посещения самые красивые виды и места по которым плачут интроверты.#ЛИЧНЫЕ ФИНАНСЫ#ЛАЙФХАКИ#СУДЫ#ЗАКОНЫЗачем вести бюджет и как не бросить это скучное занятие через неделю — Роман РомановичКомпания Calvin Klein отсудила у предпринимателей Екатеринбурга почти 500 тыс. руб.Тысячу раз обещали себе что будете записывать все расходы и поступления денег? Планировать покупки и отпуск? И тысячу раз — мимо? Как правильно приступить к финансовому планированию — на DK.RU.В городе продолжаются суды о нарушении авторских прав. Американская корпорация подала десять исковых заявлений почти по всем делам суд встал на ее сторону.#МЕСТНОЕ ПРОИЗВОДСТВО#МОДА#ГОРОД#МЕСТНОЕ ПРОИЗВОДСТВОУральский керамогранит — всегда в тренде«Дизайнеры могут многое но есть проблемы которые способно решить только государство»В Екатеринбурге запустили импортозамещающее производство косметики для животныхВсе чаще плиточники и дизайнеры выбирают для отделки помещений продукцию Завода керамических изделий. Что сегодня пользуется особой популярностью и как производитель отвечает на запросы аудитории?Состоялась 19-я Неделя моды в Екатеринбурге. Яркие показы сменялись дискуссиями о ситуации в отрасли: с одной стороны есть все для роста с другой — коллекции некому и порой не из чего шить.Это проект владелицы сети салонов для животных GROOM Дарьи Гоц. Флагманским продуктом компании стала линейка средств для собак. Она уже получила 83 предзаказа из России и Казахстана.#НАЛОГИ#ЭКОНОМИКА#ЧЕЛОВЕК ГОДА#БИЗНЕС#ЧТО Я ТАМ НЕ ВИДЕЛ#ТУРИЗМ«Нужно менять налоговую систему. Она — главный тормоз экономики России»«Это как Нобелевский комитет». Как прошла встреча экспертного совета премии «Человек года»Стоит ли ехать больше 35 тыс. км ради того чтобы увидеть большое озеро? Изучаем БайкалОснователь «Этажей» Ильдар Хусаинов считает что налоговый кодекс написан под большие компании поэтому малый и средний бизнес в РФ не может нормально развиваться.Эксперты уверены что по-настоящему успешным предпринимателям важно не только строить богатый бизнес но и думать о социальной составляющей принимать участие в жизни общества.В Иркутскую область стоит ехать не только за красивыми ландшафтами. Знакомьтесь с нерпами бурятской культурой и кухней памятниками инженерного искусства — тогда точно не пожалеете.#ВЛАСТЬ#ЗАКОНЫ#НЕДВИЖИМОСТЬ#ГОРОДАвтор бизнес-тренингов Аяз Шабутдинов задержан в Москве за мошенничествоВ Екатеринбурге элитное жилье стоит от 200 тыс. руб./кв.м в Москве — от 1 млн. Почему?Кадровый ресурс: новая реальность рынка труда — сотрудники на вес золотаБлог с бизнес-тренингами Шабутдинова насчитывает 2 млн подписчиков. Мужчину задержали в съемной квартире сотрудники ФСБ и Главного управления МВД по экономической безопасности.Главный критерий дорогого жилья — локация. Плюс архитектура и набор сервисов. Кто покупает элитные квартиры сегодня и есть ли у них выбор? Ксения Чернецкая и Анастасия Полухина разбираются в ситуации.Факты анализ прогнозы. Экспертная оценка российского рынка труда от специалистов 16-ти ведущих агентств Екатеринбурга Челябинска Тюмени Москвы и Новосибирска.#СУПЕРСТРОЙКА#УРФУ#ИСТОРИЯ#ЦЕННОСТИ#КЕЙСЫ#КАРЬЕРАВдохновлялись Сколтехом: архитекторы показали каким будет новый корпус радиофака УрФУ«Сегодня мы часто не верим в то что будущее вообще возможно»«Хватит курить кальян и читать зарубежные книги по менеджменту! Кризис еще впереди»Он станет самым большим корпусом на территории нового кампуса УрФУ который сейчас строится в Новокольцовском микрорайоне — сможет вместить более 4 тыс. человек.Что такое утопия в XXI в. и какова ее роль? Возникшая в начале Нового времени как литературный жанр сегодня она является типом мышления и возможно подходит к концу как и Новое время.Руслан Долженко стал участником конкурса «Лидеры России» и победил в окружном финале. Был ли полезен этот конкурс чему он может научить руководителя реального бизнеса? Эмоциональный отзыв на DK.RU.#АТЛАС ДЕВЕЛОПМЕНТ#ИМПОРТОЗАМЕЩЕНИЕ#КАДРЫ#КУЛЬТУРА#КАЧЕСТВО ЖИЗНИ«Атлас Девелопмент» и крупный уральский банк запустили акцию для клиентов«Был момент когда выпускники школ считали что быть блогером лучше чем идти на завод»«Как жемчужина в раковине». История деревянного дома в границах «Екатеринбург-Сити»Партнер застройщика — Банк Уралсиб предложил программу для будущих новоселов в рамках которой ставку по ипотечному займу можно снизить до 599%.Власти региона включились в решение проблемы дефицита кадров на промышленных предприятиях. Сергей Пересторонин рассказал как промышленность Свердловской области адаптировалась к новым вызовам.Одноэтажный дом в стиле модерн окружен высотками вокруг идет бурное строительство. Мы решили выяснить его судьбу: он пережил Колчака революцию Советский Союз и 90-е. Переживет ли наши дни?#БИЗНЕС#НЕДВИЖИМОСТЬ#БИЗНЕС#НАЛОГИ#ЗАКОНЫМашиночитаемая доверенность для бизнеса: что это кому она нужна и где ее взятьПочему возникают ошибки в расчете стоимости общедомовых коммунальных платежей?Бизнес и должники: как оптимизировать налоги с помощью «дебиторки» и снизить ее уровеньМашиночитаемая доверенность — это новый инструмент в электронном документообороте. Эксперт Контур.Доверенности Иван Быков рассказал про полномочия МЧД ее передоверие а также многое другое.Одна из основных причин — неактуальные данные в техническом паспорте. В БТИ рассказали кто и как должен актуализировать информацию о многоквартирном доме.Не все знают но дебиторская задолженность — это не только бремя. С ее помощью можно снизить налоговые выплаты в определенный период и даже получать прибыль с этих долгов.#ЮРИСТЫ#БИЗНЕС#ОПЫТ#БИЗНЕС#ГОРОД#АВТО«Цифры не всегда правы. Финансово устойчивое предприятие может быть непривлекательным»«Как дорасти до миллиарда делая все неправильно» — Иван ШкиряСейчас или сейчас. В Екатеринбург поступила ограниченная партия премиальных внедорожниковАвтоматизация бизнес-процессов значительно помогает при решении сложных задач но все-таки оценка бизнеса — сложная и нестандартная задача решить которую искусственный интеллект не в силах.«Я долго был один потому что на один делить просто договариваться просто и это тешит эго». Почему основатель Callibri изменил отношение к партнерству и на чем оно должно строиться — на DK.RU.В Екатеринбурге в EXEED Центр Автобан Юг поступила ограниченная партия из 33 автомобилей EXEED TXL по специальным ценам.Показать ещеНовостиЧистый отток капитала из России снова вырос в два разаBloomberg сообщил о формировании новой российской бизнес-элиты в РоссииВпервые за 30 лет. Ростех покажет тяжелый транспортный самолет на выставке в ДубаеЕльцин-центр остался без директораБанк Уралсиб вошел в Топ-10 рейтинга самых выгодных вкладовИностранный бизнес боится уходить из России после истории с CarlsbergНовые номинации и новый прием заявок: в Екатеринбурге стартовал «Серебряный лучник»БизнесИпотека становится все менее доступной. Когда покупать квартиру?МТС VK и МЕГА раскроют свои маркетинговые секреты на Евразийской Неделе Маркетинга-2023«Это как Нобелевский комитет». Как прошла встреча экспертного совета премии «Человек года»MAKFA и молодые волонтеры фудшеринга поделились опытом«Был момент когда выпускники школ считали что быть блогером лучше чем идти на завод»Машиночитаемая доверенность для бизнеса: что это кому она нужна и где ее взятьПочему возникают ошибки в расчете стоимости общедомовых коммунальных платежей?Свое делоНас заказали в интернете. Как уральская компания теряет клиентов из-за фейковых отзывовДжип-тур по месторождениям Сысерти или как собрать коллекцию уральских минералов за день«Ребята хотят игрушку здесь и сейчас». Как новая франшиза продает счастье детямОпыт идеи благотворительность и рецепт успеха от екатеринбургского шеф-повара«В России производство подушек из полиуретана мало изучено. Но такие изделия нужны»Как уральский производитель светильников стал освещать трассы по всей странеПарад факапов. Три реальных кейса от фитнес-центровКачество жизни«Мы хотим чтобы люди получили возможность жить и работать находясь в одной локации»От небольшой конференции до общероссийского форума: как растут «Города России»Старообрядцы хотят снести собственную церковь в центре Екатеринбурга. Активисты противЧистейшие озера горы со снежными вершинами и бескрайние степи в одной поездкеУральский керамогранит — всегда в тренде«Дизайнеры могут многое но есть проблемы которые способно решить только государство»Стоит ли ехать больше 35 тыс. км ради того чтобы увидеть большое озеро? Изучаем БайкалМнения«Нужно менять налоговую систему. Она — главный тормоз экономики России»«Хватит курить кальян и читать зарубежные книги по менеджменту! Кризис еще впереди»«Мы достигли уровня когда насыщение экономики цифровыми девайсами не гарантирует рост»Упыри и маньяки Екатеринбурга. Яков Можаев подсветит темную историю города«Впервые в истории фондовый рынок России становится не спекулятивным а функциональным»Как обязательная продажа валютной выручки скажется на рубле бизнесе и экономике России«Охота — зло охотник — браконьер!» Шесть аргументов почему это вредный и ложный тезисWIKI — биографии персон и справки о компанияхМорозов Владимир ВладимировичКозлова Валерия ДмитриевнаAquaCleanСтройкова Анастасия НиколаевнаПавлович Роман АлександровичМазараки Лев БорисовичБельский Алексей ВладильевичHauswerkСтанислав Алексеевич ДорофеевГруппа компаний М1НаверхРазмещение рекламы:+7 (343) 379 40 42dk-sales@dk.ru18+ВконтактеTwitterTelegramYoutubeОдноклассникиYandex ZenРеклама на DK.RUУсловия использования материаловПользовательское соглашениеПолитика конфиденциальностиМобильная версия сайтаКарта сайтаТелефон: (343) 379-40-42 ООО «Деловой квартал-Екатеринбург» © 2005 — 2023 Все права защищены Наименование владельца сайта: ООО «Деловой квартал-Екатеринбург» Местонахождение и адрес владельца сайта: г. Екатеринбург 620014 ул. Добролюбова д. 16 оф. 411.Цитирование материалов сайта допускается при условии обязательного размещения прямой активной гиперссылки на первоисточник. Полное копирование материалов сайта в том числе использование RSS-каналов допускается только с письменного согласия Редакции DK.RUСетевое издание "Деловой портал DK.RU" зарегистрировано Федеральной службой по надзору в сфере связи информационных технологий и массовых коммуникаций 01.03.2021 года. Регистрационный номер: ЭЛ № ФС 77 - 80472. Учредитель: ООО Издательство "Пульс цен". Главный редактор: Дружинин С.А. Знак информационной продукции 18+. Телефон редакции: (343) 379-40-42​. Адрес электронной почты редакции: in@dk.ru.Чтобы пользоваться всеми сервисами сайта необходимо авторизоваться или пройти регистрацию.E-mailПарольвспомнить парольЗапомнить меняВы можете войти через форму авторизации зарегистрироватьсяИзвините мы не можем обрабатывать Ваши персональные данные без Вашего согласия.Имя:Укажите ваше имяФамилия:Укажите вашу фамилиюE-mail:Укажите E-mail мы вышлем запрос подтвержденияПароль (необязателен для заполнения)Не менее 8 символовЕсли вы не хотите вводить пароль система автоматически сгенерирует его и вышлет на указанный e-mail.Я принимаю условия Пользовательского соглашения и даю согласие на обработку моих персональных данных в соответствии с Политикой конфиденциальности.Извините мы не можем обрабатывать Ваши персональные данные без Вашего согласия.Вы можете войти через форму авторизацииСамое важное о бизнесе.</t>
  </si>
  <si>
    <t>www.dk.ru</t>
  </si>
  <si>
    <t>odnoklassniki - Одноклассники</t>
  </si>
  <si>
    <t>26K Followers, 3 Following, 1428 Posts - See Instagram photos and videos from Одноклассники (@odnoklassniki)</t>
  </si>
  <si>
    <t>https://www.instagram.com/odnoklassniki/</t>
  </si>
  <si>
    <t>Одноклассники, 2010 — описание, интересные факты</t>
  </si>
  <si>
    <t>Одноклассники ... 5 друзей детства встречаются после 30 лет разлуки в летнем доме у озера на уик-энд в День независимости. Они приехали сюда с семьями, чтобы ...</t>
  </si>
  <si>
    <t>https://www.kinopoisk.ru/film/450345/</t>
  </si>
  <si>
    <t>Odnoklassniki | Official Profile</t>
  </si>
  <si>
    <t>https://www.facebook.com/official.odnoklassniki/?locale=ru_RU</t>
  </si>
  <si>
    <t>Одноклассники API</t>
  </si>
  <si>
    <t>Описание процессов и возможностей разработки приложений, игр и внешних сайтов для Одноклассников.</t>
  </si>
  <si>
    <t>https://apiok.ru/</t>
  </si>
  <si>
    <t>Одноклассники API     Игры     Виджеты     API    English     Результаты поиска API ОдноклассникиЛучшее API для интеграции виджетов на сайт и профессиональных разработчиков в области создания мобильных HTML5 игр Платформа приложений Создание игры и приложений Параметры приложения Пользовательские приложения Приложения групп VK Mini Apps Игровая платформа Главное о платформе Мобильные игры Гиперказуальные игры Фичеринг игр Запуск игр на платформе SDK для игр и приложений Возможности платформы Хостинг для игр и приложений Платежи и подписки Внутриигровая реклама Сообщения пользователям Новости и обновления Виджеты для сайтов Кнопка Класс Виджет публикации Виджет группы Виджет профиля пользователя Виджет контента OAuth авторизация Создание приложения Запрос прав приложения Авторизация для сайтов Авторизация для игри приложений Работа с API Список методов Обработка ошибок Примеры приложений Bot API Список методов Bot API Верификация сервисов ОК Официальная группа Чат для разработчиков игр Поддержка © Проект Одноклассники</t>
  </si>
  <si>
    <t>apiok.ru</t>
  </si>
  <si>
    <t>Товары Одноклассники</t>
  </si>
  <si>
    <t>Создание выгрузки товаров · 1. В inSales в блоке "Каналы продаж" нажмите на плюс и подключите выгрузку в Одноклассники: · 2. Нажмите "Авторизация" и дайте ...</t>
  </si>
  <si>
    <t>https://www.insales.ru/collection/doc-sotsseti/product/products-odnoklassniki</t>
  </si>
  <si>
    <t>Создайте интернет-магазин бесплатно и продавайте онлайн через inSalesКаналы продажИнтернет-магазинМаркетплейсыВозможностиФункционал платформыШаблоны дизайнаПриложенияУслуги по разработкеДоставкаМессенджерыМаркетинг и SEOБезопасность и хостингГенератор UTM-метокТарифыПереезд на inSalesПартнёрыСтать партнёромРеферальная программаРеселлерская программаНанять специалистовПортал для разработчиковFAQ для партнёровПомощьДокументацияОбновления и новостиЧастые вопросыУниверситет inSalesКак открыть интернет-магазинОтзывы и примеры магазиновКонтакты                Войти                              Зарегистрироваться              ЗаказыТоварыАналитикаКлиентыДиалогиНастройкиСчета и оплатаПомощьВыйти              Войти                          Зарегистрироваться            ЗаказыТоварыАналитикаКлиентыДиалогиНастройкиСчета и оплатаПомощьВыйти          Запуститеонлайн-продажи через           inSales — платформа управления онлайн-торговлей через сайт на маркетплейсах в социальных сетях и мессенджерах        			Попробовать бесплатно		          Нажимая кнопку «Попробовать бесплатно» я принимаю Пользовательское соглашение и Политику конфиденциальности        Более 11 000 клиентов inSales получают 1 200 000 заказов ежемесячно      Проблемы которые решает inSalesМасштабированиеАвтоматизацияЭкономияИнструменты продажМасштабирование каналов продажПроблема: нет понимания как масштабировать свой бизнес и выйти на новые каналы продажРешение: в inSales есть прямые интеграции с популярными маркетплейсами соцсетями Google а также инструменты SEO-продвиженияАвтоматизация работы и процессовПроблема: многие задачи приходится выполнять вручную или привлекать подрядчиковРешение: в магазине приложений inSales более 300 e-commerce сервисов позволяющих автоматизировать онлайн-продажиЭкономия на разработке сайтаПроблема: доработка функционала разработка интеграций и обслуживание магазина требуют больших финансовых затратРешение: клиенты inSales экономят на программистах и доработках от 100 000 руб/год благодаря нашим сертифицированным партнёрамВсе инструменты продаж уже внутриПроблема: для некоторых задач необходимо искать стороннее решение и работать в разных сервисах одновременноРешение: в inSales уже есть CRM-система встроенная аналитика диалоги с клиентами а также 300 других интеграцийПроблемы которые решает inSalesМасштабирование каналов продажПроблема: нет понимания как масштабировать свой бизнес и выйти на новые каналы продажРешение: в inSales есть прямые интеграции с популярными маркетплейсами соцсетями Google а также инструменты SEO-продвиженияАвтоматизация работы и процессовПроблема: многие задачи приходится выполнять вручную или привлекать подрядчиковРешение: в магазине приложений  inSales более 300 e-commerce сервисов позволяющих автоматизировать онлайн-продажиЭкономия на разработке сайтаПроблема: доработка функционала разработка интеграций и обслуживание магазина требуют больших финансовых затратРешение: клиенты inSales экономят на программистах и доработках от 100 000 руб/год благодаря нашим сертифицированным партнёрамВсе инструменты продаж уже внутриПроблема: для некоторых задач необходимо искать стороннее решение и работать в разных сервисах одновременноРешение: в inSales уже есть CRM-система встроенная аналитика диалоги с клиентами а также 300 других интеграций          Три простых шага для запуска продаж            Зарегистрироваться                        Зарегистрируйтесь                          Пользуйтесь всем функционалом платформы бесплатно в течение 14 дней                          Загрузите товары                          Импортируйте товары из файла торговых площадок или добавьте вручную                          Начните продавать                          Управляйте продажами на популярных маркетплейсах и в соцсетях из одного окна                        Зарегистрироваться          Создайте интернет-магазинсамостоятельноВыберите один из десятков шаблонов дизайна и создайте интернет-магазин из готовых виджетов без помощи программистовСмотреть все шаблоныСоздайте интернет-магазин самостоятельноВыберите один из десятков шаблонов дизайна и создайте интернет-магазин из готовых виджетов без помощи программистовСмотреть все шаблоны →            «С помощью inSales мы создали продающий интернет-магазин получаем более 1000 заказов из маркетплейсов и автоматически транслируем товары в соцсети»                        Александр Гладков               магазин «Yshmot»                        Выгружайте товары сразу на несколько маркетплейсов                      управляйте ценами остатками и заказами через inSales                        Маркетплейсы                        Подключайте социальные сети к единой платформе                      обменивайтесь товарами актуальными ценами и принимайте онлайн-оплату удобным способом                        Соцсети                        Управляйте ассортиментом централизованно                      через единый каталог товаров для всех маркетплейсов и социальных сетей                        Товары            13 ЛЕТ МЫ ПОМОГАЕМ БИЗНЕСУ                  Работа с заказами                      Пункт управления заказами                      Получайте и обрабатывайте заказы из всех каналов продаж в едином окне                      Система аналитики                      Анализ показателей                      Изучайте структуру продаж и определяйте эффективные источники трафика                      Доступность                      Управление через приложение                      Ведите онлайн-продажи из любой точки мира с помощью смартфона                      Попробовать бесплатно                    Интегрируйтевнешние сервисы          В магазине приложений inSales более 300 интеграций для автоматизации доставки оплаты маркетинга и расширения функционала сайта        Смотреть все интеграцииОбщайтесь с клиентамиНе теряйте заказы в перепискахВсе чатыпод рукойВедите все диалоги в одном окнеWhatsAppVK TelegramViber email и SMSВедите все диалогив одном окнеОбщайтесь с клиентамиВсе чатыпод рукойНе теряйтезаказы вперепискахWhatsAppVK TelegramViber email и SMS          #отзывыклиентов                  Пользователи платформы говорят об inSales          97% клиентов довольны круглосуточной техподдержкой                    Зарегистрироваться                    #отзывыклиентов                Пользователи платформы говорят об inSales          97% клиентов довольны круглосуточной техподдержкой      Источник отзывов: ЯндексУниверситет inSalesКак начать продавать на Wildberries: условия сотрудничества требования к партнерам инструкция по регистрации 05.03.2022Смотреть статьюУниверситет inSalesКак начать продавать на Wildberries: условия сотрудничества требования к партнерам инструкция по регистрации05.02.2022Смотреть статью →        Попробуйте бесплатно!              Используйте единый инструмент для всех каналов интернет-продаж                Начать продавать                Регистрация в inSales      			Создать аккаунт		или зарегистрируйтесь через      СберБизнес ID            Сбер ID            Регистрируясь я принимаю      Пользовательское соглашение и Политику конфиденциальностиО компанииКонтактыТарифыПереезд на inSalesИнтернет-магазин «под ключ»Карта сайтаРоссияEspañaУкраїнаКыргызстанQazaqstanБеларусьUK/USAРоссияКаналы продажИнтернет-магазинМаркетплейсыВозможностиФункционал платформыШаблоны дизайнаПриложенияМессенджерыМаркетинг и SEOБезопасность и хостингГенератор UTM-метокКомпанияУниверситет inSalesПресс-центрМероприятияВакансииРеферальная программаРеселлерская программаПортал для разработчиковДокументация по inSales APIFAQ для партнёровПомощьДокументацияКак открыть интернет-магазинОбновления и новостиЧастые вопросыОферта и соглашенияКомплаенс8 495 649-83-14Москваinfo@insales.ruПо общим вопросам8 800 555-10-61Россия звонок бесплатныйcms@insales.ruОтдел по работе с клиентамиМобильное приложениеМы в социальных сетях© 2008-2023. Все права защищены. ООО «Инсейлс Рус» (InSales Rus LLC).© 2008-2023. Все права защищены.ООО «Инсейлс Рус» (InSales Rus LLC).      Регистрация в inSales    			Создать аккаунт		или зарегистрируйтесь через      СберБизнес ID            Сбер ID            Регистрируясь вы принимаете публичную оферту политику конфиденциальности и пользовательское соглашение сервиса                     Хочешь сайт «под ключ»? Оставь заявку сейчас                        Продающий сайт с товарной выгрузкой необходимыми интеграциями дизайном и круглосуточной          техподдержкой          за 20 днейОтправить заявку на          консультацию          Нажимая кнопку я принимаю Пользовательское соглашение и Политику конфиденциальности               Заявка отправлена.                          Мы свяжемся с вами в ближайшее время!                 Интернет-магазин «под ключ»    Продолжая пользоваться сайтом     вы соглашаетесь с использованием cookieПринять        ×</t>
  </si>
  <si>
    <t>www.insales.ru</t>
  </si>
  <si>
    <t>Компания Одноклассники - Хабр Карьера</t>
  </si>
  <si>
    <t>О компании «Одноклассники». Одноклассники - это технологическая, контентная и сервисная платформа. Ежемесячная аудитория сервиса - порядка 37 миллионов человек ...</t>
  </si>
  <si>
    <t>https://career.habr.com/companies/odnoklassniki</t>
  </si>
  <si>
    <t>OK.me</t>
  </si>
  <si>
    <t>https://ok.me/</t>
  </si>
  <si>
    <t>ОдноклассникиОдноклассникиЛогин адрес почты или телефонпарольЗабыли пароль?Зарегистрироваться</t>
  </si>
  <si>
    <t>ok.me</t>
  </si>
  <si>
    <t>Одноклассники - Москва</t>
  </si>
  <si>
    <t>Через 20 лет после окончания школы бывшие одноклассники решают собраться в день рождения одного из них - Ванечки. Кем они стали за это время? Священник, олигарх ...</t>
  </si>
  <si>
    <t>https://teatrarmii.ru/spectacles/odnoklassniki/</t>
  </si>
  <si>
    <t>Главная :: Центральный академический театр Российской Армии АфишаТеатрАктерыСпектаклиПроектыКонтактыПоискПоиск АфишаТеатрАктерыСпектаклиПроектыКонтактыПоискПоискКупить билет                                       Ближайшие спектакли12 Ноября Вс 18:00Маскарад                                ПРЕМЬЕРАМихаил Лермонтов3 часа с антрактом16+                            Купить билет14 Ноября Вт 16:00Театр Звезда                                спектакль-синемоушн Продолжительность: 2 часа 45 мин без антракта12+                            Купить билет14 Ноября Вт 19:00Театр Звезда                                спектакль-синемоушн Продолжительность: 2 часа 45 мин без антракта12+                            Купить билет15 Ноября Ср 19:00Филумена Мартурано                                Эдуардо де Филиппо Перевод с итальянского А.Гусева Мелодрама в 2-х действиях 2 часа 35 минут с антрактом. 16+                            Купить билет15 Ноября Ср 19:30Бобок                                ПРЕМЬЕРАСпектакль по произведениям Ф.М. Достоевского Режиссер - Сергей Тонышев16+                            Купить билетПосмотреть больше спектаклейновости театра                        Пт 10 Ноября 2023Поздравление с юбилеем творческой деятельности народной артистки России Ольги Богдановой от имени Министра обороны Российской Федерации                                10 ноября 2023 года перед началом спектакля «Играем Зощенко» народной артистке России Ольге Богдановой был вручен ценный подарок от имени Министра обороны Российской Федерации генерала армии Сергея Шойгу в честь юбилея её творческой деятельности...                            Ср 8 Ноября 2023Артисты Театра Армии выступили на Красной площади                                7 ноября артисты Театра Российской Армии выступили с концертом в честь 82-й годовщины со дня проведения военного парада 7 ноября 1941 года на Красной площади.Посмотреть больше новостей                     Подписаться на рассылку                Я согласен на обработку персональных данных                             Министерство обороны 	Российской Федерации Департамент культуры 	Министерства обороны 	Российской ФедерацииКонтакты министерства обороны × 				 Адрес 119160 г. Москва Фрунзенская набережная 22/2 Телефон 8 (495) 498 02 75			 Стратегический партнер:  	Информационные партнеры:      	Билетные партнеры:         Министерство Обороны Российской ФедерацииДепартамент культуры Министерства обороны Российской Федерации 	 Мы находимся по адресуг. Москва Суворовская площадь д.2	 (рядом со станцией метро "Достоевская")Контактные телефоныАдминистратор: тел./факс +7 (495) 681-51-20 info@teatrarmii.ruБилетная касса: +7 (495) 681-10-43 	 +7 (495) 681-24-08	 Время работы касс: 11.00-19.00 	 Перерыв с 15.00-16.00Отдел реализации билетов	 (групповые заявки юридические лица)	 тел./факс +7 (495) 681-24-08 	 e-mail: sales@teatrarmii.ruПо вопросам сотрудничества e-mail: teatr.armii@yandex.ruПо вопросам гастролей тел. +7 (495) 681-51-20Пресс-служба театра: 	 e-mail: teatr.armii@yandex.ruПРАВИЛА ПОКУПКИ БИЛЕТОВПРАВИЛА ВОЗВРАТА БИЛЕТОВПРАВИЛА ПОСЕЩЕНИЯ ТЕАТРА  Подпишитесь на нас в социальных сетях:      © Центральный академический Театр Российской Армии 2022Сайт создан   </t>
  </si>
  <si>
    <t>teatrarmii.ru</t>
  </si>
  <si>
    <t>«Одноклассники» представили обновление сайта - ...</t>
  </si>
  <si>
    <t>25 сент. 2023 г. —</t>
  </si>
  <si>
    <t>https://www.vedomosti.ru/media/news/2023/09/25/996967-odnoklassniki</t>
  </si>
  <si>
    <t>OK.RU (@odnoklassniki) / X</t>
  </si>
  <si>
    <t>https://twitter.com/odnoklassniki?lang=ru</t>
  </si>
  <si>
    <t>Odnoklassniki (2010)</t>
  </si>
  <si>
    <t>Odnoklassniki: Directed by Sergey Solovyov. With Alyona Bondarchuk, Mikhail Efremov, Sonya Karpunina, Konstantin Kryukov. 3 kids from rich families finish ...</t>
  </si>
  <si>
    <t>https://www.imdb.com/title/tt1601883/</t>
  </si>
  <si>
    <t>Одноклассники - социальная сеть от Mail ru</t>
  </si>
  <si>
    <t>Одноклассники · Чтобы зарегистрировать профиль, откройте сайт ok.ru и в окне справа нажмите на слово «Регистрация». Введите номер мобильного телефона с кодом ...</t>
  </si>
  <si>
    <t>https://www.seonews.ru/glossary/odnoklassniki/</t>
  </si>
  <si>
    <t>SEOnews: продвижение сайта все о поисковом маркетинге и поисковых системах раскрутка сайта в интернете - Новости Seo-индустрииНовостиСтатьиИнтервьюБлогиРейтингиКаталогиКаталог компанийКаталог сервисовКалендарьГлоссарийНейросети и ИИ×ВойтиВойти как пользовательВы можете войти на сайт если вы зарегистрированы на одном из этих сервисов:GoogleВКонтактеTwitterИспользуйте вашу учетную запись Google для входа на сайт.Используйте вашу учетную запись VKontakte для входа на сайт.Используйте вашу учетную запись на Twitter.com для входа на сайт.Выбор SEOnewsSEOnews объявил победителей рейтинга «SEO глазами клиентов 2023» Нейроколлеги: как использовать ИИ в работе агентстваВидеокурс по Telegram Ads: кому подходит реклама в мессенджереГЛАВНОЕ НА SEONEWSНовости1 день назадМинцифры запускает второй этап багбаунтиБлоги1 день назадУмный тематический поиск от Sape подберет подходящие страницы для продвиженияНовости1 день назадРозыгрыши премиум-подписок в Telegram: маркировка и юридические рискиСтатьи1 день назадРуководство по 301 и 302 редиректам для SEOНовостиГенеративный ИИ-поиск Google доступен теперь в 120 странахИ на четырех дополнительных языках 1 день назад703НовостиVK отчиталась о финансах за третий квартал 2023 годаВыручка компании за девять месяцев 2023 года увеличилась на 37% по сравнению с 2022 годом1 день назад667БлогиОшибка 404: как ее удалить и защитить сайт от риска появленияNot Found или ошибка 404 – частая проблема на сайте. Учимся ее решать Demis Group1 день назад431НовостиЛайкни подвел итоги рейтинга Известности SMM-компаний 202380 респондентов определили самые популярные бренды сферы социальных медиа2 дня назад848НовостиЯндекс Маркет запустил масштабную медийную кампанию в Москве к 11.11Пользователи увидели медиафасады с обращениями к известным каналам в Telegram 2 дня назад874БлогиПоиск по товарам: как Яндекс помогает предложениям интернет-магазинов попасть в органическую выдачуКак попадание в товарный поиск может помочь бизнесу и что нужно сделать чтобы оказаться в немB2B Click2 дня назад491Все новости →Рейтинги SeoNews→ПОПУЛЯРНОЕ НА SEONEWSПродуктовый подход в SEO: новая эпоха поисковой оптимизации 1025667Скупой платит дважды: история о важности техподдержки сайта 0142246 трендов контекстной рекламы в 2023 году 018522В поисках истины: разбираем 7 мифов о Telegram Ads 21808810 сервисов для работы с текстом 532971Примеры использования ChatGPT в SEO-стратегии 1125987Все статьи →Интервью с экспертамиНаталья Зоткина (ОРД VK): о маркировке рекламы и ошибках при регистрации креативов  13455Юрий Никулин (mos.ru): как продуктовый подход меняет SEO и SEO-специалистов  07091Руслан Осин (VK): ответы на частые вопросы рекламодателей о VK Рекламе  08229Денис Савельев (TexTerra): управление проектами и стартапами в условиях риска и неопределенности  125617Роман Ломовской (Original Works): агентство или штатная единица стоит ли нанимать аналитика в штат  026536Мероприятия отраслиПредыдущие событияПредстоящие события11/НоябряКонцепт14/НоябряКак улучшить конверсию в интернет-магазине или на сайте услуг14/НоябряБольшая конференция маркетолога15/НоябряАналитика бьюти-брендов в соцсетях и СМИТехнические приемы15/НоябряПрибыль под прицелом15/НоябряTEAMLY16/НоябряФорум Персональных Ассистентов 202316/НоябряОсобенности бухгалтерского учета в ИТ-компаниях16/НоябряGLOBAL TECH FORUM | Цифровые решения и сервисы для ключевых сфер бизнеса16/НоябряМТС IDENTITY DAY16/НоябряТипичные ошибки при размещении рекламы у блогеровИнтернет-реклама16/НоябряМаркетплейсы и интернет-магазин: как эффективно сочетать продажиИнтернет-реклама16/НоябряПрибыль под прицелом16/НоябряВыигрышные стратегии 2023 для предпринимателей16/НоябряВЗО Digital Day 2023 для представителей МФО и банков17/НоябряTender Hack18/НоябряCHIPEC-6Поисковый маркетинг22/НоябряБлог с вами: объясняем всё про маркировку рекламы у инфлюенсеровИнтернет-реклама22/НоябряSMM TRENDS: как нейросети Telegram и инфлюенсеры поменяли SMM в 2023Технические приемы23/НоябряПродажи главноеИнтернет-реклама23/НоябряB2B Marketing Forum 202323/НоябряКак запустить технологию Collective Intelligence в своей организации?23/НоябряНастраиваем поисковую рекламу в Яндекс Директе с учетом обновлений — практикаИнтернет-реклама23/НоябряАнализ HR-рынка в сфере производства: тренды вакансий и особенности привлечения талантовИнтернет-реклама29/НоябряUniverse Ecom Convention 202330/НоябряSEO 2008 vs 2023: как изменилась услуга за 15 летПоисковый маркетинг1/ДекабряЕвразийскмая Неделя Маркетинга 2023Поисковый маркетинг5/ДекабряСколько стоит подписчик и другие инсайты Telegram AdsИнтернет-реклама11/ДекабряKPI-школа мотивации и управления Александра Литягина14/ДекабряМаркетинговые исследования 202328/ИюняIT-КОНФЕРЕНЦИЯ SUMMER MERGEКаталог компаний577ОДОБРЕНО4534Космос-ВебОфициальный аккаунтDigital-агентство Космос-Веб основано в 2004 году и является ведущ...ОДОБРЕНО3R52.RUОфициальный аккаунт23 года опыта реализации эффективных рекламных стратегий. Оптималь...ОДОБРЕНОUNICOMОфициальный аккаунтUNICOM — digital-экосистема рекламных решений по модели CPA. Агент...Каталог сервисов228ВыборSEOnewsUnicom — больше чем партнерская сетьПлатформа для монетизации трафика сайтов и мобильных приложений. Unicom предлагает бесплатные ...ВыборSEOnewsAccsMarketМагазин аккаунтов вконтакте и других популярных социальных сетей.ВыборSEOnewsProxy StoreСамая выгодная аренда прокси сервера для работы и развлеченийБиблиотека 136 книгРассылка SEOnewsПопулярные статьи в вашем почтовом ящике.ПодписатьсяВведите emailОшибка сервераEmail уже в базеПревышено число обращений с этой почтой. Свяжитесь с поддержкойСпасибо! Выходим на связь каждую неделю.Подтвердите рассылку seonews.ru ссылка уже на почте Реклама на сайтеХочу рекламу. Что делать?   Прямой эфирSerhii 1 день назадГде SEO-специалистам искать работу? Семь советов от экспертаМогу еще посоветовать новую фриланс биржу маркетплейс услуг PriceWork.orgСам пользуюсь уже длительный...MST digital agency 2 дня назадКак привести трафик из онлайна в офлайн на примере Stars CoffeeЗдравствуйте. Спасибо вам за интересный вопрос.1) Что касается регионов задействовали не все сразу а...Елена 2 дня назадКак привести трафик из онлайна в офлайн на примере Stars CoffeeСпасибо за статью! Было интересно прочитать. Хотелось бы уточнить пару моментов:1) Это Москва? или все...Татьяна 3 дня назад28 способов повысить конверсию интернет-магазинаОчень действенные рекомендации представлены в статье! Всё четко расписано и легко внедряемо в работу ин...Георгий Комиссаров 3 дня назад28 способов повысить конверсию интернет-магазинаСтатья очень своевременная. Сайты компаний значительно проигрывают маркет-плейсам. И тут собраны самые ...Тигран 3 дня назад28 способов повысить конверсию интернет-магазинаПолезная инфо..  Я бы добавил голосовой поиск... тоже полезно и быстро...Андрей  3 дня назад28 способов повысить конверсию интернет-магазинаХорошая статья очень полезно. Хотя думал что здесь будут советы из разряда "интегрируйте сайт с ...Никита 3 дня назад28 способов повысить конверсию интернет-магазинаОчень доступно рассказано интересно и полезно.Артем 3 дня назад23 маркетинговых мифа о которых нужно помнить при принятии решений Привет! Спасибо за такую интересную а главное полезную статью сейчас как раз начинаю изучать сферу м...Мой Генерал 4 дня назад5 способов увидеть сайт глазами поисковика: анализируем скрытый контент и cloakingвся суть госухи (ну не вся конечно но большая часть) неэффективная трата ресурсов ради чего?все то...Виктор 4 дня назад«Грязная» конкуренция: как «отменить» сайт из топа ЯндексаА секретный соус - это поведенческие на запрос+компания на нужный документ? Google  Яндекс  Вебмастерам  SEO  Поисковые системы  Клиентам  Исследования  Сервисы  Контекстная реклама  Чилаут  Реклама  Поиск  Конференции  Яндекс.Директ  Пресс-релизы  Google AdWords  Социалки  Рекламодателям  Интернет-реклама  Yahoo  Ссылки  Сайт  Facebook  Microsoft  Пользователи  ВКонтакте  Рунет  Статистика  Алгоритмы  Вебинары Нашли опечатку? Ctrl+Enter© SEOnews.ru Все права защищены. 2023Сетевое издание «Интернет-сайт www.seonews.ru» зарегистрировано Федеральной службой по надзору в сфере связи информационных технологий и массовых коммуникаций. Свидетельство о регистрации: Эл № ФС 77-67910 от 6 декабря 2016 г. Учредитель: ООО «СЕО НЬЮЗ» Email редакции: info@seonews.ruТелефон редакции:+7 (495) 139-20-33Главный редактор: Летов Александр ЛеонидовичThis site is protected by reCAPTCHA and the Google							Privacy Policy and Terms of Service apply.КомпанияО проектеПриглашаем авторовУсловия публикацииКонтактыПравилаКарта сайтаМобильная версияРазделыНовостиСтатьиИнтервьюБлоги компанийРейтинги SEO-компанийКалендарь событийКаталог компанийКаталог сервисовБиблиотекаЭнциклопедия интернет-маркетингаРеклама на сайтеПодписывайтесьВКонтактеTelegramДзенТwitterRSSРассылкаРазработка сайта:Renaissance ArtПродвижение сайта:Ingate12+Отправьте отзыв!</t>
  </si>
  <si>
    <t>www.seonews.ru</t>
  </si>
  <si>
    <t>Одноклассники: социальная сеть</t>
  </si>
  <si>
    <t>Одноклассники: социальная сеть от разработчика “VK” в каталоге RuStore. Скачать «Одноклассники: социальная сеть» для Android, бесплатно — RuStore.</t>
  </si>
  <si>
    <t>https://apps.rustore.ru/app/ru.ok.android</t>
  </si>
  <si>
    <t>Odnoklassniki</t>
  </si>
  <si>
    <t>Odnoklassniki (Russian: Одноклассники, lit. 'Classmates'), abbreviated as OK or OK.ru, is a social network service used mainly in Russia and former Soviet ...</t>
  </si>
  <si>
    <t>https://en.wikipedia.org/wiki/Odnoklassniki</t>
  </si>
  <si>
    <t>Официальная страница одноклассники</t>
  </si>
  <si>
    <t>https://m.facebook.com/p/%D0%9E%D1%84%D0%B8%D1%86%D0%B8%D0%B0%D0%BB%D1%8C%D0%BD%D0%B0%D1%8F-%D1%81%D1%82%D1%80%D0%B0%D0%BD%D0%B8%D1%86%D0%B0-%D0%BE%D0%B4%D0%BD%D0%BE%D0%BA%D0%BB%D0%B0%D1%81%D1%81%D0%BD%D0%B8%D0%BA%D0%B8-100066355790324/</t>
  </si>
  <si>
    <t>открывают доступ к сервису аналитики и поиска ошибок ...</t>
  </si>
  <si>
    <t>https://www.forbes.ru/tekhnologii/495277-odnoklassniki-otkryvaut-dostup-k-servisu-analitiki-i-poiska-osibok-v-prilozeniah</t>
  </si>
  <si>
    <t>https://www.netflix.com/kz-ru/title/70125231</t>
  </si>
  <si>
    <t>Netflix - Watch TV Shows Online Watch Movies OnlineNetflixSign InUnlimited movies TV shows and moreWatch anywhere. Cancel anytime.Ready to watch? Enter your email to create or restart your membership.Email addressGet StartedThe Netflix you love for just $6.99.Get the Standard with ads plan.Learn MoreEnjoy on your TVWatch on Smart TVs Playstation Xbox Chromecast Apple TV Blu-ray players and more.Watch everywhereStream unlimited movies and TV shows on your phone tablet laptop and TV.Create profiles for kidsSend kids on adventures with their favorite characters in a space made just for them—free with your membership.Download your shows to watch offlineWatch on a plane train or submarine...Stranger ThingsDownloading...Frequently Asked QuestionsWhat is Netflix?Netflix is a streaming service that offers a wide variety of award-winning TV shows movies anime documentaries and more on thousands of internet-connected devices.You can watch as much as you want whenever you want – all for one low monthly price. There's always something new to discover and new TV shows and movies are added every week!How much does Netflix cost?Watch Netflix on your smartphone tablet Smart TV laptop or streaming device all for one fixed monthly fee. Plans range from $6.99 to $22.99 a month. No extra costs no contracts.Where can I watch?Watch anywhere anytime. Sign in with your Netflix account to watch instantly on the web at netflix.com from your personal computer or on any internet-connected device that offers the Netflix app including smart TVs smartphones tablets streaming media players and game consoles.You can also download your favorite shows with the iOS Android or Windows 10 app. Use downloads to watch while you're on the go and without an internet connection. Take Netflix with you anywhere.How do I cancel?Netflix is flexible. There are no pesky contracts and no commitments. You can easily cancel your account online in two clicks. There are no cancellation fees – start or stop your account anytime.What can I watch on Netflix?Netflix has an extensive library of feature films documentaries TV shows anime award-winning Netflix originals and more. Watch as much as you want anytime you want.Is Netflix good for kids?The Netflix Kids experience is included in your membership to give parents control while kids enjoy family-friendly TV shows and movies in their own space.Kids profiles come with PIN-protected parental controls that let you restrict the maturity rating of content kids can watch and block specific titles you don’t want kids to see.Ready to watch? Enter your email to create or restart your membership.Email addressGet StartedQuestions? Call 1-844-505-2993FAQHelp CenterAccountMedia CenterInvestor RelationsJobsNetflix ShopRedeem Gift CardsBuy Gift CardsWays to WatchTerms of UsePrivacyCookie PreferencesCorporate InformationContact UsSpeed TestLegal NoticesOnly on NetflixDo Not Sell or Share My Personal InformationAd ChoicesSelect LanguageEnglishEspañol</t>
  </si>
  <si>
    <t>www.netflix.com</t>
  </si>
  <si>
    <t>озон</t>
  </si>
  <si>
    <t>OZON — интернет-магазин. Миллионы товаров по ...</t>
  </si>
  <si>
    <t>Интернет-магазин OZON — низкие цены на миллионы товаров! Электроника, одежда, косметика, книги, зоотовары, продукты и многое другое. Быстрая доставка на дом ...</t>
  </si>
  <si>
    <t>https://www.ozon.ru/</t>
  </si>
  <si>
    <t>OZON: товары, продукты, билеты - Apps on ...</t>
  </si>
  <si>
    <t>Ozon is the most famous and largest marketplace in Russia. Everything you need can be ordered on Ozon: electronics and home appliances, baby products and ...</t>
  </si>
  <si>
    <t>https://play.google.com/store/apps/details?id=ru.ozon.app.android&amp;hl=en_US</t>
  </si>
  <si>
    <t>OZON</t>
  </si>
  <si>
    <t>Официальный аккаунт маркетплейса Ozon. | 647333 подписчика. 10280 записей. 39 фотографий.</t>
  </si>
  <si>
    <t>https://vk.com/ozon</t>
  </si>
  <si>
    <t>Озон — Википедия</t>
  </si>
  <si>
    <t>Озон (от др.-греч. ὄζω — пахну) — состоящая из трёхатомных молекул O3, аллотропная модификация кислорода. При нормальных условиях — голубой газ.</t>
  </si>
  <si>
    <t>https://ru.wikipedia.org/wiki/%D0%9E%D0%B7%D0%BE%D0%BD</t>
  </si>
  <si>
    <t>Ozon</t>
  </si>
  <si>
    <t>«Ozon» («Озон») — старейший российский универсальный интернет-магазин; по данным исследовательского агентства Data Insight, второй по обороту онлайн-магазин ...</t>
  </si>
  <si>
    <t>https://ru.wikipedia.org/wiki/Ozon</t>
  </si>
  <si>
    <t>OZON: товары, продукты, билеты</t>
  </si>
  <si>
    <t>https://play.google.com/store/apps/details?id=ru.ozon.app.android&amp;hl=ru&amp;gl=US</t>
  </si>
  <si>
    <t>OZON: товары, отели, билеты - App Store</t>
  </si>
  <si>
    <t>Ozon — самый известный и крупный маркетплейс в России. На Ozon можно заказать всё, что вам нужно: электронику и бытовую технику, детские товары и детское ...</t>
  </si>
  <si>
    <t>https://apps.apple.com/ru/app/ozon-%D1%82%D0%BE%D0%B2%D0%B0%D1%80%D1%8B-%D0%BE%D1%82%D0%B5%D0%BB%D0%B8-%D0%B1%D0%B8%D0%BB%D0%B5%D1%82%D1%8B/id407804998</t>
  </si>
  <si>
    <t>Каталог товаров интернет-магазина OZON</t>
  </si>
  <si>
    <t>Каталог товаров интернет-магазина OZON. Официальный сайт. Миллионы товаров. Доставка по всей России!</t>
  </si>
  <si>
    <t>https://ozon.by/category/</t>
  </si>
  <si>
    <t>OZON — интернет-магазин. Миллионы товаров по выгодным ценамBYN  Минск •  Укажите адрес доставки  Стать продавцом Покупать как компания Мобильное приложение Помощь Пункты выдачи  Каталог        Везде          0Войти  0Заказы 0Избранное0КорзинаОдежда и обувьЭлектроникаДом и садДетские товарыПродукты питанияБытовая техникаИнтернет-магазин ОМБКанцелярия для школыКрасота и здоровьеСпорт и отдых        2 дня             до конца                 На страницу акции        12.11 в 11:00 мск Напомнить     1 ед. в руки     44.82 BYN-61%Будет стоить17.91 BYN4500 шт.      1 ед. в руки     53.45 BYN-71%Будет стоить15.84 BYN5000 шт.      1 ед. в руки     172.50 BYN-65%Будет стоить62.08 BYN1300 шт.     Новые товары каждый день Посмотреть полные условия акции Все товары Хот СейлЛовите часы продажи!</t>
  </si>
  <si>
    <t>ozon.by</t>
  </si>
  <si>
    <t>OZON.ru (@ozonru) • Instagram photos and videos</t>
  </si>
  <si>
    <t>Дождались! Снова руки-загребуки! Распродажа 11.11 на Ozon началась! С 1 по 13 ноября скидки до 90% · Вот оно — идеальное время для тех, кто обожает читать!</t>
  </si>
  <si>
    <t>https://www.instagram.com/ozonru/</t>
  </si>
  <si>
    <t>Ozon – торговая сеть</t>
  </si>
  <si>
    <t>Ozon — российский интернет-магазин, предоставляющий своим покупателям более 100 млн товарных наименований в 20 категориях, среди которых: электроника, ...</t>
  </si>
  <si>
    <t>https://www.retail.ru/rbc/tradingnetworks/ozon/</t>
  </si>
  <si>
    <t>Ozon - последние новости сегодня</t>
  </si>
  <si>
    <t>Ozon. Читайте последние новости на тему в ленте новостей на сайте РИА Новости. Маркетплейс "Мегамаркет" представил на своей площадке квартиры от группы ...</t>
  </si>
  <si>
    <t>https://ria.ru/organization_ozon/</t>
  </si>
  <si>
    <t>Отзывы о магазине OZON.ru</t>
  </si>
  <si>
    <t>Отзывы о магазине OZON.ru ... Через неделю отменён заказ из за повышения цены? Так цены постоянно повышаются, что-ж, отменяйте дальше. А я жду и не знал об отмене ...</t>
  </si>
  <si>
    <t>https://market.yandex.ru/shop--ozon-ru/155/reviews</t>
  </si>
  <si>
    <t>Всё о команде разработки Ozon</t>
  </si>
  <si>
    <t>https://ozon.tech/</t>
  </si>
  <si>
    <t>Всё о команде разработки Ozon  Кто мыСтекOpen SourceДелимся опытомМероприятияЛокацииНаправления разработкиСтажировки и Route 256Вакансии Кто мыСтекOpen SourceДелимся опытомМероприятияЛокацииНаправления разработкиСтажировки и Route 256ВакансииНа связи команда разработки Ozon Tech Мы делаем крутые штуки и рассказываем об этом на конференциях ведем блог на Хабре контрибьютим в Open Source и много чего ещё. Enjoy!   Мы используем cookie для улучшения пользовательского опыта. Подробнее о cookie вы можете узнать здесь.Ок понятноClose    Мы делаем лидирующий e-com в России Чтобы миллионы пользователей могли совершать сотни тысяч заказов в день и получать их вовремя нужна IT-инфраструктура и специалисты которые всё это поддерживают. Мы решаем реально интересные хайлоад-задачи и применяем лучшие практики для построения инфраструктуры позволяющей поддерживать проекты красиво и эффективно.     Исповедуем концепцию минимум ручных действий максимум автоматизации.   Исповедуем концепцию минимум ручных действий максимум автоматизации.   Исповедуем концепцию минимум ручных действий максимум автоматизации.   Исповедуем концепцию минимум ручных действий максимум автоматизации.     CTO Ozon Антон Степаненко     ЦОДа 3 микросервисов  4К в дни распродаж 76К RPS До допустимые нагрузки на микросервисы 300К RPS метрик собираем с сервисов и систем 230М уникальных пользователей 90М заказов в минуту в дни распродаж 60000 товаров в день отправляет склад До 3.7М заказов в сутки 620К суммарный объем аналитических хранилищ PB 35 серверов 6.1К 4000 ~ инженеров в команде   У нас под капотом   ВсеBackendFrontendMobileQAInfrastructureDataObservabilityJSX TypeScript Vue.js Java C# Go Python Kotlin Swift Allure CI/CD NGINX S3 K8s Docker Memcached ClickHouse PostgreSQL Kafka ​​Airflow Hadoop Vertica Ceph Redis OpenTelemetry Thanos Prometheus Graylog Grafana Jaeger 1C TSX   Java C# Go   JSX TypeScript Vue.js Node.js TSX   Kotlin Swift   Allure TypeScript C# Python Go   CI/CD NGINX S3 K8s Docker   Kafka ​​Airflow Hadoop Vertica Ceph Redis Memcached ClickHouse PostgreSQL   Graylog Grafana Jaeger OpenTelemetry Thanos Prometheus     Рассказываем в видео Болтаем обо всем Шесть причин почему ваши A/B-тесты не работают  Что такое фаззинг и зачем он нужен?  Посмотреть всеПосмотреть всеКраткий гайд по эргономике для трудяг IT-индустрии  Пишем техностатьи Миша Подгорный руководитель отдела Frontend-платформы  Лев Савельев младший менеджер по продукту Посмотреть всеМарина Самойлова руководитель направления платформы BI  Статьи Статьи QA Go Mobile Meetup Highload Управление разработкой IT–инфраструктура IT–инфраструктура Управление разработкой Highload Статьи Data     Развиваем внутренние сообщества   Ozon Tech TuesdaysВнутренние митапыOzon Tech All HandsХакатоны и конкурсыТрадиционные техтолки и воркшопы инженерной команды для своих. Говорим о проектах процессах технологиях и инструментах с умеренным погружением в технические детали.  Ozon Tech Tuesdays   Технические доклады для внутренних сообществ (Go .NET Frontend QA Product Data Science &amp; ML Design Platform) где эксперты делятся своим опытом и рассказывают о последних нововведениях и планах. Внутренние митапы   Ежемесячные короткие апдейты от руководителей и СТО. Только самые важные новости чтобы каждый сотрудник Ozon Tech был в курсе текущих процессов и планов.  Ozon Tech All Hands   Устраиваем челленджи для своих: покодить порисовать поштормить идеи. Победители выигрывают достойные призы и ещё это весело и полезно. Хакатоны и конкурсы     Выступаем и поддерживаем митапы и конференции                 Организуем митапы у себя Посмотреть всеFrontend платформа • JS на службе маркетинга • Видео в вебе Frontend Meetup октября 27 Посмотреть запись Набор микросерсервисов «потребность» Kafka компонентный подход; принципы работы генераторов исходного кода C# Meetup 24 августа Посмотреть запись Приоритизация проектов • аналитические инструменты • подсчёт потенциала новых инициатив Product Meetup 28 июля Посмотреть запись     Учимся сами и учим других У нас растут все даже те кто уже вырос          Работаем где нам удобно   Работаем где нам удобно   Работаем где нам удобно   Работаем где нам удобно        Все плюшкиЕщё факт Ещё фактВсе плюшки ... ...      Приду к вам работатьесли у вас будет:  Отправить идею Нажимая «Отправить» я даю согласие на обработку персональных данных СогласиеВ соответствии с Условиями обработки персональных данных я даю согласие в адрес ООО «Озон Технологии» (ИНН 7703475603 123112 г. Москва Пресненская наб. д. 10 помещение I эт. 41 комн. 7) (далее по тексту — Оператор) на автоматизированную а также без использования средств автоматизации обработку следующих персональных данных (далее по тексту – Согласие):заполняемых в форме сбора (заявке анкете и т.д.) под которой размещена ссылка на настоящее Согласие (далее по тексту — Форма);моего идентификатора (ID) как пользователя соответствующего веб-сервиса Ozon (при наличии).Цель обработки персональных данных — обратная связь со мной по итогам заполнения Формы.Я проинформирован(а) что под обработкой персональных данных понимаются действия (операции) с персональными данными включая сбор запись систематизацию накопление хранение уточнение (обновление изменение) извлечение использование передачу (предоставление доступ) блокирование удаление уничтожение персональных данных. Передавая персональные данные третьего лица Оператору подтверждаю и гарантирую наличие согласия третьего лица на такое предоставление данных.Согласие действует со дня его предоставления до дня отзыва в письменной форме но в любом случае не более 1 (одного) года со дня предоставления.Отозвать Согласие можно путём направления заявления в свободной форме по вышеуказанному адресу Оператора указав в тексте:ФИО;данные позволяющие однозначно идентифицировать субъекта персональных данных;сведения подтверждающие участие в отношениях с Оператором либо сведения иным способом подтверждающие факт обработки персональных данных Оператором;подпись гражданина (или его законного представителя).Понятно  Направления   Разработка логистикиOzon растёт кратно от года к году. Мы непрерывно масштабируем технологическое обеспечение под этот рост в частности наращиваем бизнес-функциональность логистических микросервисов и приложений. В нашем отделе более 500 IT-специалистов которые работают над тем чтобы миллионы товаров в сутки доходили до покупателей по наиболее быстрым и оптимальным маршрутам: от момента рождения посылки на складе до вручения курьером.  Наши задачи:   маршрутизация курьеров и мобильное приложение для них;   сортировка на железных автоматизированных сортерах;магистральные транспортные потоки «первая миля»;   возвратный поток;   маршрутная карта и расчёт сроков доставки;   центр управления посылками;   сортировочные центры и ТСД;зона отгрузки на фулфилментах. Наши системы должны обладать высокой степенью надёжности. Ведь любой сбой может привести к тому что пользователи не получат свои посылки а большое количество сотрудников складов сортировочных центров ПВЗ курьеров водителей и ряд других не смогут выполнять свою работу. Высокие требования к уровню нагрузки и отказоустойчивости предполагают соблюдение самых высоких стандартов разработки и эксплуатации сервисов. У нас современный стек: основные языки — C# и Go мы живём в нескольких дата-центрах работаем с K8s PostgreSQL Redis и Memcached. Активно используем асинхронные очереди (а именно Kafka) внимательно следим за аптаймом и метриками стабильности сервисов. Некоторые компоненты работают под высокой нагрузкой (до нескольких десятков тысяч RPS) что заставляет нас заранее думать о правильной архитектуре и горизонтальном масштабировании.ПодробнееРазработка складаМиллионы людей делают заказы на сайте и в приложении Ozon и получают свои посылки. Товары хранятся на десятках складов. Принимать хранить быстро собирать заказы и отправлять их покупателям помогает система управления складом — WMS (Warehouse Management System) которую мы разработали с нуля.  WMS — сложная система управляющая работой множества складов. С ней работают тысячи сотрудников и от того насколько понятны интерфейсы зависит количество ошибок а в конечном итоге и производительность склада.  Наша система управления складом построена на микросервисной архитектуре и работает на распределённом между несколькими дата-цетрами кластере K8s. Она состоит из более чем сотни сервисов на .NET Core которые хранят данные в базах PostgreSQL взаимодействуют через gRPC и обмениваются сообщениями через Kafka.  Отдельные компоненты системы обрабатывают от 1000 до 100 000 запросов в секунду. Система работает 24/7 а на складах под её управлением хранятся товары на миллиарды рублей поэтому стабильность и скорость работы WMS очень важны. ПодробнееРазработка поисковых технологийМы разрабатываем сервисы которые формируют поисковую выдачу и рекомендации для покупателей и предоставляют аналитические инструменты продавцам. В нашей команде есть бэкенд-разработчики (Java Go C# Python) фронтенд-разработчики датасаентисты аналитики тестировщики (Go Python TypeScript) и менеджеры продукта. Они работают над разными частями одной большой задачи: рантаймом поиска индексацией товаров ранжированием выдачи товарными рекомендациями поисковыми подсказками исправлением опечаток.  Поиск — это высоконагруженная и отказоустойчивая система. Мы много времени уделяем проектированию архитектуры и оптимизации алгоритмов чтобы поддерживать рост бизнеса сохраняя высокое качество. В 2021 году мы закончили разработку собственного поискового движка О2 который на порядок улучшил производительность и обеспечил больше гибкости при разработке собственных решений.  Но архитектура — далеко не всё чем занимается команда поиска. Мы постоянно улучшаем продукт и UX вкладываем много сил в развитие ML-ранжирования закапываемся в аналитику и проводим множество A/B-экспериментов. У нас немало задач в которых используются интересные структуры данных и алгоритмы например фильтры Блума LRU Trie HyperLogLog и RingBuffers. Помимо основных задач совершенствования поиска и ранжирования товаров есть много сопутствующих: исправление опечаток поисковые подсказки (suggests) предсказание товарной категории для поисковых запросов и другие элементы NLP. Мы не останавливаемся на достигнутом — впереди нас ждёт ещё много амбициозных задач. ПодробнееРазработка платформыПлатформа — это бэкенд для бэкенда: мы разрабатываем собственные проекты для коллег-разработчиков и управляем инфраструктурой Ozon. Из чего состоит платформа?Базовая инфраструктура. Решаем задачи низкоуровневого характера: открываем дата-центры закупаем серверы обеспечиваем их логистику коммутацию строим сетевую архитектуру. У нас одна из самых масштабных IT-инфраструктур в России: наш серверный парк состоит из более чем 2500 серверов несколько десятков тысяч ядер которых выполняют код более тысячи приложений. Виртуализация и контейнеризация. Поверх железных машин мы строим виртуальный слой который позволяет эффективнее использовать ресурсы с помощью Kubernetes для stateless-приложений и собственной виртуализации и шедулера для баз данных.Управляемые сервисы. Разрабатываем технологические продукты цель которых — обеспечение автономности при использовании их разработчиками без привлечения системных администраторов и других специалистов: базы данных хранилища шины обмена данных аналитические инструменты телеметрия. Частные примеры технологий которые мы выносим во внутренние облако — PostgreSQL ClickHouse Ceph Redis Memcached Kafka.Языковые платформы и телеметрия. Разрабатываем базовые библиотеки и фреймворки (на Go C# TypeScript) которыми пользуются тысячи разработчиков занятых в проектах Ozon а также создаём и развиваем эффективные средства трейсинга мониторинга логирования и работы с распределёнными базами данных.Приложения. Наши заказчики — разработчики компании. Мы создаём внутренние сервисы с удобными интерфейсами для автоматизации разных задач инженеров например: внутреннее облако — для заказа внутренних ресурсов и инфраструктуры; Maint — для проведения регламентных работ; и ряд других. Помимо разработки сервисов мы строим пайплайны доставки кода из dev-а в продакшен с унифицированным флоу а также с добавлением разного рода фичей таких как canary deployment.Аналитика. В направлении аналитики объединились основные функции для построения автоматизированного сбора данных и предоставления витрин заказчику. Мы эксплуатируем и развиваем Hadoop Vertica Superset создаём инструменты доставки и хранения данных.   В нашем департаменте работают более 350 специалистов среди которых много экспертов с опытом в построении публичных облаков хранилищ и баз данных. Наши решения проверяются в бою одним из самых крупных e-com-сервисов в России. Нетрудно представить насколько такая работа перспективна в смысле профессионального и личностного роста.  ПодробнееERP и учётные системыМы разрабатываем ERP-систему для учёта хозяйственных операций расчётов с контрагентами и клиентами формирования МСФО/РСБУ-отчётности. Ключевыми пользователями для нас являются Финансовый департамент. Для многих систем Ozon мы предоставляем интерфейсы для взаимодействия.  С учётом того что Ozon располагает десятками больших складских комплексов по всей стране а также тысячами мини-складов Ozon fresh пунктов выдачи заказов постаматов курьеров фиксирование учётно-значимых событий по товарам превращается в интересную и сложную задачу как с инженерной стороны так и со стороны бизнес-логики.  Например мы помогаем компании вести гранулярный учёт на уровне экземпляров. То есть для каждого карандаша на полке склада мы можем рассказать его учетную историю: откуда он поступил как перемещался между складами куда в итоге был доставлен.  Результатом нашей работы являются корректные исходные данные по которым строится финансовая и управленческая отчётность компании.  У нас собрана сильная инженерная команда. Мы перешли на микросервисную архитектуру чтобы поддерживать быстрорастущий бизнес Ozon. Горизонтальное масштабирование отказоустойчивость мониторинг Domain driven design event sourcing CQRS highload — это то с чем мы действительно работаем каждый день.  ПодробнееТорговая площадкаНаправление отвечает за разработку инструментов которыми активно пользуются наши покупатели и продавцы. Сюда входит абсолютно всё что нужно для того чтобы продавец смог предложить товар или услугу а покупатель — сделать заказ. После оформления заказа площадка прибегает к услугам складской и логистической инфраструктуры чтобы обеспечить передачу товара из рук в руки.  В торговую площадку входят:   сайт и мобильное приложение Ozon;   поиск и рекомендации инструменты продавца собранные в едином кабинете управления;   маркетинговые инструменты;   инструментарий для взаимодействия торговой площадки с логистическими и складскими операторами;   инструментарий для кол-центров;   инструментарий для третьих лиц на маркетплейсе которые не являются продавцами или покупателями;   платформа для выполнения заданий самозанятыми;   анализ цен и ассортимента конкурентов;   и многое другое. Впереди нас ждёт много амбициозных задач:   Выйти на зарубежные рынки что подразумевает большую подготовительную работу — от хранения персональных данных до поддержки документооборота с учётом законодательств разных стран.   Выпустить CRM-систему для команд привлечения и развития продавцов.   Совершенствовать чат-бот. Мы внедряем новое распознавание текста и увеличиваем долю закрытых чат-ботом задач а также уменьшаем объём труда операторов благодаря интеграции CRM-системы с базой знаний и ML-технологиями.   Ускорить путь продавца: дать возможность продавать свои товары уже через пять минут после регистрации.   Обеспечить безопасность сделок на площадке за счёт автоматического пресечения неправомерных действий пользователей.   Расширить список и глубину мониторинга рынка. Это приводит к росту объёма данных которые мы обрабатываем в потоковом режиме.  ПодробнееВнутренние сервисыВ команде внутренних сервисов работают специалисты по управлению инцидентами разработчики технические писатели администраторы Jira и специалисты по мониторингу информационных систем Ozon Travel.  Специалисты по управлению инцидентами круглосуточно поддерживают работоспособность систем Ozon и устраняют причины сбоев. Они помогают сотрудникам компании если у тех возникают вопросы касающиеся внутренних сервисов или случаются ошибки.  В отделе внутренних сервисов разрабатывают системы и порталы которыми пользуются сотрудники Ozon например систему для подбора и адаптации персонала внутренний портал компании и платформу обучения.  Технические писатели создают инструкции как для пользователей Ozon так и для разработчиков внутри компании. Отдел занимается разработкой платформы документации и поддерживает стайлгайды для текстов компании.  Администраторы Jira помогают сотрудникам автоматизировать кадровые логистические и другие процессы с помощью Jira и Confluence.  Специалисты по мониторингу информационных систем Ozon Travel создают и обновляют дашборды для систем мониторинга. С их помощью отслеживают динамику продаж билетов и поступление платежей следят за работой серверов и работают с GDS (глобальной дистрибьюторской системой).  В работе мы используем Groovy Python PowerShell Prometheus Grafana Git Jira SQL.  ПодробнееКорпоративные IT-системыОсновная задача подразделения — обеспечение безотказной работы внутренних IT-систем пользовательского и производственного оборудования. Наша команда осуществляет техническую поддержку сотрудников на местах занимается администрированием внутренних систем отвечает за полный жизненный цикл корпоративного оборудования и программного обеспечения.ПодробнееДепартамент по продукту и технологиям собственных продажДепартамент предоставляет бизнесу инструменты управления на всех этапах жизненного цикла товара: вывод на рынок наполнение контентом ценообразование маркетинг закупки продажи внутренний учёт и многое другое. Работа в департаменте ведётся в продуктовых командах. Сравнительно молодое подразделение будет интересно тем кто хочет создавать архитектуру с нуля и участвовать в выстраивании процессов.  В структуре департамента несколько отделов:   управления контентом и торговлей;   управления товарными запасами;   управления внешнеэкономической деятельностью;   управления внешними отношениями;автоматизации бизнес-процессов;моделирования и обработки данных.  ПодробнееИнформационная безопасностьКоманда информационной безопасности занимается защитой данных от несанкционированного доступа раскрытия искажения уничтожения.  Мы ведём работу по нескольким направлениям:   продуктовая безопасность;   безопасность инфраструктуры;   соответствие требованиям регуляторов;   автоматизация сервисов безопасности и SOC.    Подробнее  ПодробнееПодробнееСтажировки Route Start Возможность погрузиться в продуктовую разработку поработать над живыми задачами и перенять опыт наставников. По итогам оплачиваемой стажировки предлагаем присоединиться к команде. Route 256 Бесплатное обучение для middle-разработчиков от менторов Ozon Tech по направлениям Go C# Vue.js QA Mobile.По итогам обучения оффер лучшим выпускникам.     Посмотреть вакансииВ Ozon Tech работает почти 4000 инженеров в сотнях кросс-функциональных командахи мы продолжаем расти В Ozon Tech работает почти 4000 инженеров в сотнях кросс-функциональных командах и мы продолжаем расти В Ozon Tech работает почти 4000 инженеров в сотнях кросс-функциональных командахи мы продолжаем расти     © 1998 – Route 256 Стажировки Материалы бренда Ozon Tech Ozon Job Условия обработки персональных данных 2025 Информация о компании ООО «Озон технологии». Все права защищены *Персональные данные опубликованы в соответствии со ст.10.1 Федерального закона РФ № 152-ФЗ от 27 июля 2006г. «О персональных данных» с согласия субъекта. Какая либо иная обработка в том числе дальнейшее распространение персональных данных третьими лицами в иных целях запрещена.</t>
  </si>
  <si>
    <t>ozon.tech</t>
  </si>
  <si>
    <t>Отзывы о Ozon.ru - интернет-магазин</t>
  </si>
  <si>
    <t>https://otzovik.com/reviews/ozon_ru_online_shop/</t>
  </si>
  <si>
    <t>УДАЧНЫЕ ПОКУПКИ ДЛЯ ДОМА С OZON</t>
  </si>
  <si>
    <t>https://www.youtube.com/watch?v=M3XyZKm4OD4</t>
  </si>
  <si>
    <t>Купить акции Ozon Holdings PLC (OZON)</t>
  </si>
  <si>
    <t>Курс акций Ozon Holdings PLC (OZON) на сегодня. Цена на покупку и продажу ценных бумаг (OZON) физическим лицам онлайн. Котировки Ozon Holdings PLC на ...</t>
  </si>
  <si>
    <t>https://www.tinkoff.ru/invest/stocks/OZON/</t>
  </si>
  <si>
    <t>Ozon в Волгограде: филиалы</t>
  </si>
  <si>
    <t>Ozon: все адреса на карте, телефоны, время работы, фото и отзывы. Проложите маршрут до нужного вам филиала.</t>
  </si>
  <si>
    <t>https://2gis.ru/volgograd/branches/70000001025247751</t>
  </si>
  <si>
    <t>Ozon в Кемерове: филиалы</t>
  </si>
  <si>
    <t>https://2gis.ru/kemerovo/branches/70000001025244771</t>
  </si>
  <si>
    <t>Ozon - about the company</t>
  </si>
  <si>
    <t>https://corp.ozon.com/</t>
  </si>
  <si>
    <t xml:space="preserve">  Ozon - about the company  About OzonKey FactsValues and missionHistoryAwardsMediaNewsPress about usMedia KitImages for PressMedia ContactsSustainabilitySustainability PoliciesInvestor ResourcesFinancialsSEC FilingShareholder Information Corporate Governance EventsConvertible BondsContactsRU  About OzonKey factsValues and missionHistoryAwards MediaNewsPress about usMedia KitImages for pressMedia contactsInvestor ResourcesFinancialsSEC FilingShareholder information Corporate Governance EventsConvertible BondsContactsRussianSustainability Sustainability Policies  Fast growing online marketplace &amp; advanced logistics network   Leading online marketplace connecting millions of customers and sellersInnovative IT platform with services from express delivery to fintechAdvanced logistics network spanning 11 time zones  —  —  —    About Ozon    Popular e-commerce platform and visionary IT-company with its own technological infrastructure.  The Ozon marketplace is a gateway for small and medium enterprises to launch and grow their business in Russia.    Our advanced logistics network is the key to processing hundreds of thousands of daily orders – and delivering them quickly – across the world's largest country.  Ozon is developing a system of services that complement our core business including fintech products under Ozon Bank the Ozon.Travel service and express delivery through Ozon fresh.    Marketplace &amp; IT platform20+ years in Russian e-commerce&gt;196 millionproducts across 20+ categories37 million active customers&gt;4000 IT engineersOzon offers one of the largest product range in Russian e-commerce. Our marketplace is a one-stop shop for the widest range of customer needs with an assortment that spans home goods electronics health and beauty products apparel and much more. We connect sellers with millions of customers and give them the tools to develop their business. Our growth is fueled by constant innovation led by an in-house tech team.E-commerce growthOzon had 37 million active customers in the first quarter of 2023 up from 28.7 million for the same period in 2022.The number of orders placed on Ozon grew by 93% year-over-year in 2022 to 179.3 million.During the same period sales turnover (as measured by Gross Merchandise Value or GMV) increased by 71% year-over-year to RUB 303 billion.Ozon reached more than 59.2 million monthly active users (MAU).60% of shoppers on the Russian internet use Ozon at least once per month according to Mediascope BrandPulse 2022.Tech at OzonMore than 4000 experts work at our in-house tech lab Ozon Tech. They develop our IT platform warehouse management system and new products and services.Ozon Tech automates warehouse management and order tracking to support our e-commerce infrastructure which handles more than 2.4 million orders per day and up to 3.7 million products delivered to our warehouses daily.We believe in training the next generation of tech leaders. Ozon offers educational and internship programs for new and continuing tech professionals many of whom go on to join the Ozon team.Logistics &amp; delivery&gt;1400000 sqm of warehouse space  24 fulfillment centers across Russia and abroad&gt;30000 pick-up points and parcel lockers&gt;6500 couriers&gt;4500 settlements in Russia covered by Ozon delivery or with pick-up point nearbyOzon has tripled its logistics infrastructure since 2020 offering next-day delivery on millions of items. Spanning from Kaliningrad in the West to the Russian Far East our network enables faster delivery to customers in the regions and gives local sellers access to new markets with no extra costs.Logistics highlightsOne of the largest logistics networks in Russia with more than 1.4 million square meters (sqm) of fulfillment sorting center and dark store space.25 high-tech fulfillment hubs and more than 80 sorting centers in Russia and the CIS focused on efficiency and employee safety.Options for delivery by courier contactless door delivery and customer pick-up at Ozon-branded pick-up points and parcel lockers.Entrepreneurship&gt;250000 marketplace sellers8 out of 10 Ozon sellers are small and medium sized businesses (SMEs)&gt;79% marketplace sellers' share in total sales turnoverOne of Ozon's main priorities is to help new and experienced sellers – mainly local businesses across Russia – to grow and expand their business. By giving sellers access to a multi-million customer audience and an advanced logistics network we enable small enterprises to scale their business across all of Russia and beyond. Our seller offering includes a competitive rewards system a variety of training analytics and advertising tools and flexible payment and delivery options.Sellers on OzonThe number of sellers on the Ozon marketplace reached 250000 in the first quarter of 2023.Sellers today account for more than 79% of sales turnover on Ozon (by Gross Merchandise Value or GMV) – up from 1% in 2018 when Ozon began its transition to a marketplace model.The number of international sellers approached 30000 in 2022. Together they added approximately 24 million products to the Ozon assortmentServices ecosystemOzon is developing a system of additional services for marketplace customers and sellers including fintech products express delivery and travel booking.&gt;20 millionOzon Card users&lt;60-minutedelivery via Ozon Fresh ~1 million orders on Ozon Travel in 2022Ozon FintechOzon Fintech is a team of financial and IT specialists who design and develop new fintech products and services that complement our e-commerce business – mostly from scratch.On the basis of Ozon Bank the company's integrated bank with a universal banking license Ozon offers a number of unique financial services for marketplace customers and sellers. These include the Ozon Card banking card and the Ozon Installment deferred payment plan for customers and seller services like Ozon Credit a loan or credit securement platform and Ozon Factoring a service that enables sellers to receive money transfers without respite.Ozon FreshOzon Fresh (formerly Ozon Express) is an express delivery service for fresh products groceries and everyday items.Currently available in 9 cities in Russia and growing Ozon Fresh offers delivery time up to 60 minutes on an assortment of more than 35000 products.The Ozon Fresh private label features more than 400 products in the food and non-food categories.Ozon TravelA leading online travel platform Ozon.Travel features airfare and train ticket booking hotel reservations and access to other travel services directly on the Ozon marketplace.Ozon Travel offers special services for business customers including flexible payment options and seamless electronic documentation flow as well as products for small and medium businesses and their employees.    Values    Community   We believe in fostering a sustainable business that helps communities to grow along with us. We offer educational programs for marketplace sellers and beginning tech professionals support charitable foundations through Ozon Care and work to limit our impact on the environment.   Empowerment  We give local entrepreneurs a platform to grow their business while expanding access to new products and services for customers across Russia. Our logistics hubs create new opportunities for employment and development in the regions where we operate.   Innovation  We are constantly developing new services for customers and marketplace sellers from express delivery to fintech. This is made possible by our deep pool of top-notch talent and our embrace of cutting-edge technology.     Our mission  We aim to leverage technology logistics and innovation in order to stay one step ahead of our customers' needs. By connecting people and products from multinational suppliers and small local businesses alike we work to improve lives and create opportunities for all people in Russia regardless of their location ranging from the most remote settlement to the capital.    History   1998  2006  2014  2011  2018  2007  2021    Ozon founded as an online book seller launching e-commercein Russia  Launches one-hour delivery with Ozon Express  Logistics infrastructure exceeds 1 mln sqm  Opens first logistics center in Tver  Launchof Ozon Travel  Acquires minority stake in e-book service Litres  Raises $100 mlnin largest private investment in Russian e-commerce to date  Expands assortment launches deliveryto 400 Russian cities  2001             2020     2002  Opens first delivery pick-up point  Launches pick-up points via franchise model   2020  Begins international expansion   2021  Launches fintech services                 Rankings   2020  2020   Holds $1 billion IPO on NASDAQ   Begins transition to marketplace model   #2  Forbes2022   Most Popular Franchise  #4  Forbes2022   Russian Company with Best Reputation  Habr2022  #2   Top 3 Best IT Employer Brands 2022  Rosaccreditationand Roskachestvo2022  Top Trusted Marketplace  #1   #1   bbdo group 2021  Most recognized brand in Russian e-commerce  Romir2021  Most trustedonline ecosystem in Russia  #1   #2  Data insight2021   Largest Russiane-commerceplatform by turnover  #3  Forbes2021   Most valuable Russian internet company    Awards   Most Attractive E-commerce Employer  2021  Randstad Employer Brand Research   Best Program for Young Specialists – 3rd place for Ozon Golang School  2020  Russian Graduate Awards   First place among IT and Internet companies with 5000+ employees  2021  Rating of Top Russian Employers   Top Manager - Ozon CEO Alexander Shulgin  2021  RBC Award   Person of the Year - Ozon CEO Alexander Shulgin  2021  E-Retail Tech Awards   Private Equity Market Deal of the Year - Ozon IPO  2021  Russia PE&amp;VC Awards   Person of the Year - Ozon CEO Alexander Shulgin Best Customer ServiceBest Last-Mile Solution  2021  ECOM Awards   Grand Prix for significant achievement and contributionto e-commerce development in Russia  2021  Big Turnover Award    Awards   Most Attractive E-commerce Employer  2021  Randstad Employer Brand Research   Best Program for Young Specialists – 3rd place for Ozon Golang School  2021  Russian Graduate Awards   First place among IT and Internet companies with 5000+ employees  2019  Rating of Top Russian Employers   Top Manager - Ozon CEO Alexander Shulgin  2019  RBC Award   Person of the Year - Ozon CEO Alexander Shulgin  2021  E-Retail Tech Awards   Private Equity Market Deal of the Year - Ozon IPO  2021  Russia PE&amp;VC Awards   Person of the Year - Ozon CEO Alexander Shulgin Best Customer ServiceBest Last-Mile Solution  2021  ECOM Awards   Grand Prix for significant achievement and contributionto e-commerce development in Russia  2021  Big Turnover Award         Alexander Shulgin — СЕОAlexander Shulgin was appointed CEO of Ozon in December 2017. Under his leadership Ozon has focused on expanding its technological capabilities and on developing its marketplace and fulfillment service for merchants.  Prior to Ozon Alexander served as Chief Operating Officer (2014-2017) and earlier as CFO (2010-2014) of Yandex. Between 1997 and 2010 he held a number of positions at Coca-Cola Hellenic the latest being financial director for Russia.  He holds a degree in Management.Elena Shulgina — СEO of Ozon Express Elena joined Ozon in 2019 as Business Development Director in the FMCG department where she and her team focus on expanding market share and generating profits in this category and develop Ozon Supermarket as a special project inside the company.  Prior to Ozon Elena worked as a Purchasing Director at Yandex. From 2006–2012 Elena was a director at the joint venture of the AB InBev &amp; British American Tobacco (Agrega CEE).  She holds an MA in Economics from the Moscow State Institute of Motor Cars and Roads (MADI) and is a Certified Management Accountant (CMA) with the Institute of Management Accountants (IMA) USA. Alexander Gehl — CEO of Ozon Fulfillment Services Andrey Pavlovich — Director of Ozon Logistics Andrey became Ozon's director of supply chain services in 2018. Since then the company has formed a new supply chain team and more than doubled its logistics infrastructure in order to enhance its customer service.  Prior to joining Ozon Andrey worked at Coca-Cola HBC Russia from 2009-2018 where he served as manager for country planning and later as logistics director. Before that he spent six years overseeing logistics at an international brewing company.  Andrey graduated from the Volga State Academy of Water Transport in 2000 with a degree in transport operation. Maria Zaikina — Director of Public &amp; Industry Relations Since 2018 Maria has been responsible for communications at Ozon where she oversees relations with the media industry groups client service projects and international communications.  Maria worked for ten years in the automobile industry including at Russia's leading car dealership franchise Rolf Group and later at Svyaznoy Group a leading consumer electronic retail chain. She subsequently joined a nascent project by the payment service provider QIWI to develop a new installment card for the Russian market.  In addition to her role at Ozon Maria serves as the Dean of the Reputation Management Program at the Moscow Advanced Communications School (MACS).  She holds a degree in Sociology from St. Petersburg State University. Evgeny Shirinkin — Chief Product Officer Evgeny became Ozon's chief product officer in 2019. He oversees the development of client products (including the Ozon website and mobile apps) and leads a team of more than 200 people that is responsible for improving the shopping experience on Ozon.  Since 2000 Evgeny has held a range of positions in automation technical support and product development including at the companies ITSoft and S3. He served as chief technological officer and product director at one of Russia's largest fashion e-commerce projects BUTIK.RU before being appointed vice-president for product development at Lazada Group. There Evgeny implemented several large-scale projects including the complete overhaul of the company's website search platform.  Evgeny has developed and taught courses on Web Technologies and Systems and Webs at the Moscow Institute of Electronics and Mathematics (MIEM) part of the Higher School of Economics. He has completed post-graduate MBA studies in addition to coursework in Project Management Body of Knowledge (PMBOK) and Information Technology Infrastructure Library (ITIL). Vahe Ovasapyan — СEO of Ozon Financial Services  Vahe took the helm of financial product development at Ozon in late 2019 where he and his team work to improve the company's financial services.  From 2017-2019 Vahe worked at Yandex as the head of its experimental projects group which was responsible for the corporate development of the company's business initiatives. Prior to that Vahe spent six years at Goldman Sachs where he rose from an intern in the bank's department of investment analysis to Senior Associate on the CEEMEA (Central and Eastern Europe Middle East and Africa) Metals &amp; Mining team.  He holds a master's degree from the International College of Economics and Finance at the Higher School of Economics in Moscow. Oleg Dorozhok — Chief Marketing Officer Oleg joined Ozon in 2018 as Head of marketing communications and was appointed Chief Marketing Officer in mid-2019.  From 2016 Oleg served as Chief Marketing Officer at Delivery Club where he contributed significantly to strengthening the company's position in the Russian food tech market.  From 2007–2016 Oleg held various positions in product marketing and marketing communications at Microsoft Disney and Yandex.  Oleg holds a degree from the Belarusian National Technical University.  Igor Gerasimov Chief Financial OfficerIgor serves as Corporate Finance Director he and his team develop corporate finance and strategy carry out fundraising and oversee investor relations.  From 2016–2019 Igor served as Investment Manager at Baring Vostok Capital Partners the largest and private equity fund in Russia where he specialised in investments in fintech e-commerce mobility and food tech. He also served as a Board member and worked on the strategic development of a number of the fund's portfolio companies.  From 2014–2016 Igor worked in equity research at Goldman Sachs where he became Primary Analyst for CEEMEA Banks. Prior to that he worked in the infrastructure and project finance department of PricewaterhouseCoopers (PwC).  Igor holds an honors degree from the Graduate School of Management at St. Petersburg State University and has completed exchange studies at the Rotterdam School of Management at Erasmus University. Daniil Fedorov Chief Operating OfficerDaniil joined Ozon in early 2018 as head of corporate development became CFO in December 2018 and was appointed COO of Ozon in March 2021. He was nominated for Forbes Russia's "30 Under 30" list in the management category (2020).  From 2012–2018 Daniil worked in equity research at Goldman Sachs where he became Primary Analyst for CEEMEA Transportation Real Estate and Infrastructure as well as Primary Analyst for European Airlines. Prior to joining Goldman Sachs he worked in the Investment Banking Department M&amp;A at Sberbank CIB and in Fixed Income Research at Renaissance Capital.  Daniil graduated from the Higher School of Economics in Moscow with a BA in Management in 2011. He completed the Summer Finance School at the London School of Economics and Political Science (LSE) at the University of London in 2010. Anton Stepanenko — Chief Technology OfficerAnton joined Ozon as Platform Development Director in 2018 and became Ozon's Chief Technology Officer in early 2020 overseeing the company's software engineering and product development.Prior to joining Ozon Anton worked as head of technical projects at Yandex.Market where he was responsible for advancing the platform's indexing data collection and analysis search performance and scalability and application speed.From 2012–2016 Anton managed the platform development department at the social networking website Badoo. He later became vice president of engineering at Lazada Group where he was involved in automating development processes and developing a separate cloud for the company. Anton graduated from the department of Radio Engineering and Cybernetics at the Moscow Institute of Physics and Technology.Stanislav Kondratyev — CEO of Ozon Rocket Ozon`s logistics serviceStanislav oversees Ozon`s logistics customer service and support.Prior to joining Ozon in 2019 Stanislav worked at Elbrus Capital as an investment professional focused on investments into Russian internet media pharma and consumer companies. From 2013-2017 Stanislav worked in equity research at Goldman Sachs where he covered Russian CEEEMA and European internet and telecom companies. Prior to Goldman Sachs he worked for Uralsib Capital as a stock market analyst.Stanislav holds a master's degree in Economics from the New Economic School in Moscow.Anna Karpova — Business Development DirectorAnna joined Ozon as a purchasing manager in 2010 and became business development director in 2019 responsible for developing books home&amp;decor furniture DIY and automotive product categories.Prior to Ozon Anna worked as head of the book assortment department at Grand Fair publishing group from 2008–2010. She earlier served as a sales manager at the publishing house Rosman and worked at the book company Omega-L where she was involved in creating a logistics system for returns.Anna is a graduate of the Management Faculty of Moscow State University of Printing Arts and holds a degree in Foreign Economic Activity from the Higher School of Economics in Moscow. Alexander Gehl — Director of Ozon Fulfillment Services  Alexander joined the company as head of Ozon major fulfillment center in Tver in 2018 and was promoted to Director of Ozon Fulfillment Services in 2020.  Prior to Ozon Alexander held leading technical positions including as chief mechanic and chief engineer at a series of construction businesses. He earlier built a career with Coca-Cola HBC Eurasia starting as a distribution manager before rising to Country Transportation Manager and later Logistics Manager for the Moscow and North-West Region.  Alexander graduated from Ural State Technical University with a degree in engineering. Sergey Pankov — СЕО of Ozon Retail Sergey joined Ozon in 2019 as business development director in the Fresh category where he oversees the development of the company's online supermarket.  Prior to Ozon beginning in 2015 he served as CEO of myToys.ru an online store for children's products. From 2014-2015 Sergey was CEO of the packaging company VG Konturs where he managed several plants in Moscow and the Moscow region. Under his oversight the company developed a long-term strategy for the development and technical re-equipment of production processes.  Sergey holds a degree in Informational Systems in Economics from the Economics Department of Moscow Technical University of Communications and Informatics (MTUCI). Dmitry Mannanikov Corporate Security Director Dmitry joined Ozon in April 2020 where he is responsible for managing risk and maintaining assets as well as reducing collateral losses. Previously Dmitry was responsible for ensuring asset security in major corporations including OBI Russia SPSR Express and Energostream.  He has additional experience in banking and IT and teaches courses as part of the MBA programmes of the Russian Presidential Academy of National Economy and Public Administration (RANEPA). Maxim Melnichuk Corporate Security DirectorMaxim joined Ozon in November 2021 where he oversees company employee and asset security in addition to managing occupational health ecological and fire safety at the company.  Maxim has 20 years of experience working in the field of security in commercial and state sectors including significant expertise in maintaining commercial security in large organizations. Artem Afanasiev — General Counsel Artem heads the Legal Affairs Department and GR function at Ozon since early 2020 where he is responsible for supporting and overseeing all of the Group's existing and new business projects.  Artem began his legal career at the British law firm Freshfields Bruckhaus Deringer (London Moscow) and went on to join the US law firm Skadden Arps Slate Meagher &amp; Flom (Moscow New York London).  In 2014 Artem joined the Mercury Group as Director for Corporate Governance and Compliance at the Megapolis Trade Company (Moscow Amsterdam). In 2016 he was promoted to lead the legal compliance and M&amp;A functions at the Russian food retailer Dixy Group – another core asset of the Mercury Group where he also served as Deputy Chairman of the Management Board and was a member of the Board of Directors.  In 2019 as the General Counsel to the major Russian automobile group AVTOVAZ Artem facilitated the acquisition of the GM-AVTOVAZ car manufacturer and managed a full audit of the entire consolidated legal function of the AVTOVAZ group.  Artem is consistently included in the GC Powerlist (formerly the Corporate Counsel 100) published by The Legal 500. He is a member of the Association of Antimonopoly Experts of Russia and a member of the Expert Council on Foreign Investment under the Federal Antimonopoly Service of Russia.  Artem is a graduate of the Faculty of Law at Lomonosov Moscow State University and the Law Faculty at Sorbonne University (Paris). Irina Kaburova — Director of Human Resources Irina was appointed director of human resources at Ozon in 2019 where she brings more than 15 years of experience in the HR industry.  Prior to Ozon Irina spent eight years as head of the Talent Acquisition Department at Yandex where she created and led the company's executive search practice. During her time at Yandex Irina additionally established the company's business processes for recruitment. In 2008 she was responsible for recruitment at Luxoft a company specialising in software development and innovative IT solutions.  Irina holds a degree from the Department of Philology at Kaluga State University Tsiolkovsky. Iloanga Ershova — Business Development Director Iloanga joined Ozon as an intern in 2014 and was appointed Groceries manager in 2017. In 2019 she became Ozon's business development director overseeing the categories of Apparel and Shoes Beauty Health Products and Accessories. In addition she launched Ozon's Pharmacy offering from scratch after obtaining the necessary wholesale and retail pharmaceutical licenses. Iloanga and her team develop marketing and promotion strategies across Ozon's product categories as well as overseeing the launch of new products.  Prior to 2010 Iloanga studied at an Olympic Reserve School becoming a Master of Sports and a Champion of Russia in track and field.  She holds a BA in Management and an MA with honors in Innovation Management from Lomonosov Moscow State University.Sergey Belyakov — Managing Director Sergey joined Ozon in 2021 to oversee strategic projects and initiatives tied to the Company's e-commerce development.A longtime civil servant Sergey worked at the Russian Ministry of Economic Development from 2008 going on to serve as Deputy Minister from 2012 to 2014. Prior to joining the Ministry he worked at the Russian Union of Industrialists and Entrepreneurs. In 2016 Sergey was elected President of the Alliance of Pension Funds an association of non-governmental pension funds. From 2018 to 2021 he headed the Russian Association of Retail Companies (AKORT).Sergey holds a degree in Law from the Academy of the Federal Security Service of Russia.Mikhail Osin — Director of Ozon TravelMikhail joined the Ozon team in 2008 as Head of PR &amp; Marketing Communications. Then in 2011 he took over digital sales of the online platform and in 2015 became Ozon's Web Director to oversee the company's website and mobile app development.  In 2018 Mikhail Osin was appointed CEO at Ozon Travel which became part of the Ozon Marketplace in 2021.  Named one of Russia's Top-250 managers in 2018 by Kommerstant.ABOUT THE COMPANY    © 2022 Ozon   MEDIA  News﻿﻿Press about us  Media Kit  Images for Press  Сontacts for Media  About  Values   History    AwardsContacts       INVESTOR RESOURCES      Financials   SEC Filings    Shareholder information    Corporate Governance    Events  Convertible Bonds  PRIVACY POLICY    </t>
  </si>
  <si>
    <t>corp.ozon.com</t>
  </si>
  <si>
    <t>Озон: онлайн интернет-магазин 17+ - App Store</t>
  </si>
  <si>
    <t>https://apps.apple.com/us/app/%D0%BE%D0%B7%D0%BE%D0%BD-%D0%BE%D0%BD%D0%BB%D0%B0%D0%B9%D0%BD-%D0%B8%D0%BD%D1%82%D0%B5%D1%80%D0%BD%D0%B5%D1%82-%D0%BC%D0%B0%D0%B3%D0%B0%D0%B7%D0%B8%D0%BD/id407804998</t>
  </si>
  <si>
    <t>Ozon Holdings PLC (OZON) Stock Price, News, Quote &amp; ...</t>
  </si>
  <si>
    <t>Find the latest Ozon Holdings PLC (OZON) stock quote, history, news and other vital information to help you with your stock trading and investing.</t>
  </si>
  <si>
    <t>https://finance.yahoo.com/quote/OZON/</t>
  </si>
  <si>
    <t>Yahoo Finance - Stock Market Live Quotes Business &amp; Finance NewsHomeMailNewsFinanceSportsEntertainmentSearchMobileMore...Yahoo FinanceSearchSkip to NavigationSkip to Main ContentSkip to Related ContentSign inMailSign in to view your mailFinance HomeWatchlistsMy PortfolioMarketsNewsVideosYahoo Finance PlusScreenersYahoo Finance InvestPersonal FinanceCryptoSectorsContact Us                  AdvertisementU.S. markets closedS&amp;P 5004415.24+67.89(+1.56%)Dow 3034283.10+391.16(+1.15%)Nasdaq13798.11+276.66(+2.05%)Russell 20001705.32+18.09(+1.07%)Crude Oil77.35+1.61(+2.13%)Gold1942.70-27.10(-1.38%)                  Advertisement                  Advertisement                  Advertisement                  AdvertisementWomen taking retirement saving seriously surveys showThis year there has been a heady 48% growth in new women customers opening individual accounts compared to 2019.Yahoo FinanceHigh interest rates cool America's love for home remodeling Yahoo FinanceReview: Latest iMac packs solid performance and sleek designYahoo FinanceHouse Speaker Johnson unveils a two-step stopgap billReuters13 : 30Boston Dynamics says robots could be in homes in 10 to 20 yearsYahoo Finance Video14 : 36Short-term gain is long-term failure: Olympian Lindsey VonnYahoo Finance VideoWhy Trump’s fraud trial feels underwhelmingYahoo FinanceHollywood actors to vote on strike dealYahoo FinanceI bonds just got more attractive in two key waysYahoo FinanceBusinessFortuneA grocery chain is removing self-checkout after realizing executives hate it as much as customers do: ‘We like to talk to people’The supermarket chain Booths says self-scan machines can be more trouble than they're worth.BusinessBarrons.comSchwab’s Unrealized Bond Losses Widened to $19.4 Billion. Why Investors Should Care.The unrealized paper losses in a key part of its large bond portfolio widened in the third quarter to $19.4 billion.BusinessSmartAsset84% of Retirees Are Making This RMD Mistake. You Don't Have to Be One of ThemThough retirees are only required to take a certain portion of their retirement savings out as distributions each year a study from JPMorgan Chase shows that there is likely good reason to take out more. A withdrawal approach based solely on … Continue reading → The post 84% of Retirees Are Making This RMD Mistake appeared first on SmartAsset Blog.BusinessSmartAssetAmericans' Average Net Worth By AgeNet worth is the difference between your assets – what you own – and your liabilities – what you owe. This figure represents your financial health at a given point in time providing a snapshot of your current financial position. But understanding the distinction between average net worth and median net worth is crucial when […] The post Average vs. Median Net Worth appeared first on SmartReads by SmartAsset.My Portfolio &amp; MarketsCustomizeRecently ViewedYour list is empty.Latest Research ReportsPremium analysis from Morningstar &amp; ArgusQCOMNeutralQUALCOMM Incorporated: Qualcomm Earnings: A Slow and Steady Recovery in Smartphone Demand23 hours ago • MorningstarSENeutralSea Limited: New Proposed Indonesia Law Long-Term Incrementally Positive for GoTo and Sea but Questions Remain23 hours ago • MorningstarARNeutralAntero Resources Corporation: Antero Earnings: Stronger-Than-Expected Production Boosts Our Fair Value Estimate by 10%23 hours ago • MorningstarView all research reports                  AdvertisementMy WatchlistsSign-in to view your list and add symbols.Sign InCryptocurrenciesSymbolLast PriceChange% Change                  AdvertisementTrending TickersSymbolLast PriceChange% ChangeStocks: Most ActivesSymbolLast PriceChange% ChangeStocks: GainersSymbolLast PriceChange% ChangeStocks: LosersSymbolLast PriceChange% ChangeTop Mutual FundsSymbolLast PriceChange% ChangeTop ETFsSymbolLast PriceChange% ChangeCurrenciesSymbolLast PriceChange% ChangeFuturesSymbolLast PriceChange% ChangeOptions: Highest OISymbolLast PriceChange% ChangeOptions: Highest Implied VolatilitySymbolLast PriceChange% Change                   Advertisement Data DisclaimerHelpSuggestionsTermsandPrivacy PolicyPrivacy DashboardAbout Our AdsSitemap© 2023 Yahoo. All rights reserved.</t>
  </si>
  <si>
    <t>finance.yahoo.com</t>
  </si>
  <si>
    <t>Великая книга пророков.1 кн. Видевшие сквозь время. Озон</t>
  </si>
  <si>
    <t>https://books.google.com/books?id=v1eHBXOVuqUC&amp;pg=PA304&amp;lpg=PA304&amp;dq=%D0%BE%D0%B7%D0%BE%D0%BD&amp;source=bl&amp;ots=FD8lawaepP&amp;sig=ACfU3U18GAzDiSmOGpS7njf4o3hiAKB53g&amp;hl=ru&amp;sa=X&amp;ved=2ahUKEwjjxJP-iruCAxWapIkEHfPXAhUQ6AF6BAgwEAM</t>
  </si>
  <si>
    <t>Великая книга пророков. 3 кн. Пророчества Нового времени. Озон</t>
  </si>
  <si>
    <t>https://books.google.com/books?id=4TYyp30DcGEC&amp;pg=PA169&amp;lpg=PA169&amp;dq=%D0%BE%D0%B7%D0%BE%D0%BD&amp;source=bl&amp;ots=sXCP25sRuk&amp;sig=ACfU3U2gRMHgphcH_dLwH7JF33gpTA7AFA&amp;hl=ru&amp;sa=X&amp;ved=2ahUKEwjjxJP-iruCAxWapIkEHfPXAhUQ6AF6BAgvEAM</t>
  </si>
  <si>
    <t>https://www.youtube.com/channel/UCa5t4JYLYu9SHVraIDFQNHQ</t>
  </si>
  <si>
    <t>François Ozon</t>
  </si>
  <si>
    <t>https://www.imdb.com/name/nm0654830/</t>
  </si>
  <si>
    <t>Тропосферный озон | Коалиция за климат и чистый ...</t>
  </si>
  <si>
    <t>В стратосфере озон защищает жизнь на Земле от ультрафиолетового излучения Солнца. В тропосфере это мощный парниковый газ и загрязнитель воздуха, наносящий вред ...</t>
  </si>
  <si>
    <t>https://www.ccacoalition.org/ru/short-lived-climate-pollutants/tropospheric-ozone</t>
  </si>
  <si>
    <t>Climate and Clean Air Coalition | Homepage | Climate &amp; Clean Air CoalitionSkip to main contentWelcome to our new website! We've gotten a new look and added new features to provide more accurate up-to-date information on climate and clean air action. Main navigation            About SLCPs                About SLCPs                    Back                             About SLCPs                      Why we need to act now          Learn more            Short-lived climate pollutants                Short-lived climate pollutants                    Back                             Short-lived climate pollutants                      Methane              Hydrofluorocarbons              Black carbon              Tropospheric ozone                      Sector solutions                Sector solutions                    Back                             Sector solutions                      Agriculture              Cooling              Fossil Fuels              Household Energy              Transport              Waste                      Benefits of action                Benefits of action                    Back                             Benefits of action                      Climate              Health              Food security              Economic development              Global Goals                      Who we are                Who we are                    Back                             Who we are                      We are the only international body working to connect climate and clean air action          Our strategy            About us                About us                    Back                             About us                      History              Funding              Governance              Annual reports              Contact us              Get involved                      Our partners                Our partners                    Back                             Our partners                      State              Non-state              Partner directory                      Our hubs                Our hubs                    Back                             Our hubs                      Agriculture              Cooling              Fossil fuels              Heavy-duty vehicles              Household energy              National planning              Waste                      Our work                Our work                    Back                             Our work                      Our work in over 70 countries delivers climate and clean air action where it is most needed          Our projects            Our approach                Our approach                    Back                             Our approach                      Policy development              Sector mitigation              Science policy              Political leadership &amp; cooperation              Climate commitments                      Project funding                Project funding                    Back                             Project funding                      Project portfolio              Key project figures              Our results              Calls for proposals              Applicant resources                      Technical assistance services                Technical assistance services                    Back                             Technical assistance services                      Targeted expert assistance              National experts              GMP support                      Tools &amp; resources                Tools &amp; resources                    Back                             Tools &amp; resources                      Our assessments help inform ambitious policies with social economic and environmental benefits          Learn more            CCAC assessments                CCAC assessments                    Back                             CCAC assessments                      Global Methane Assessment              Africa Integrated Assessment              Asia Integrated Assessment              Resource library              Policy database                      News &amp; events                News &amp; events                    Back                             News &amp; events                      Sign up to our newsletter for updates from the partnership funding opportunities and job announcements          Read more    Media resources                      Global initiatives                Global initiatives                    Back                             Global initiatives                      Global Methane Pledge              BreatheLife campaign              International Clean Air Day              News &amp; updates              Newsletter                      Events &amp; meetings                Events &amp; meetings                    Back                             Events &amp; meetings                      Climate weeks and COP28                Climate and Clean Air CoalitionWe are the only international body working to connect climate and air quality action                Learn more                   Global Methane Pledge supportThe CCAC acts as the Secretariat of the Global Methane Pledge to support countries in achieving their GMP commitments                  Our services                   Towards sustainable development objectives in AfricaOur new assessment shows how integrated climate and air quality measures can achieve substantial benefits for the African continent                Learn more                Why climate and clean air?Actions that address climate change and air pollution at the same time achieve greater results. We promote actions to reduce short-lived climate pollutants that have quick impacts on global warming air quality food security and human health.1/32/33/3 Previous   What are short-lived climate pollutants?Short-lived climate pollutants have a strong near-term warming effect on the climate and significant impacts on our health and the environment.                 About SLCPs                MethaneBlack carbonHydrofluorocarbonsTropospheric ozone   How can we reduce short-lived climate pollutants?Simple actions such as plugging methane leaks from oil and gas production banning agricultural burning and composting food waste can drastically reduce emissions.                Solutions                  Implementing solutions available nowcan avoid up to 0.6°Cof warming by 2050   How we support actionThe Climate and Clean Air Coalition leverages science finance and political will to drive global action on short-lived climate pollutants.                 Our approach                Policy developmentSector mitigationScience-policyPolitical leadership and cooperation Previous Next News &amp; updatesSelect a topic of interestAgricultureBrick productionCoolingEmissions assessmentsFinanceFossil fuelsPublic healthHeavy-duty vehicles and enginesHousehold EnergyNational policy and planningWasteBosnia and Herzegovina Embarks On SLCP Reductions Mission News          11 Nov 2023        Bosnia and Herzegovina Embarks On SLCP Reductions MissionClean Refrigeration Technology Rapidly Increasing in Supermarkets Around the World News          10 Nov 2023        Clean Refrigeration Technology Rapidly Increasing in Supermarkets Around the WorldMeasurement Tools Accelerate Clean Cooking Potential In Nepal News          27 Oct 2023        Measurement Tools Accelerate Clean Cooking Potential In NepalUS EPA Releases New Food Waste Reports News          24 Oct 2023        US EPA Releases New Food Waste ReportsCCAC National Project Coordinator for Gabon Job opening          24 Oct 2023        CCAC National Project Coordinator for GabonEuro VI and beyond: What next for the mission to eliminate transport sector pollutants?  News          19 Oct 2023        Euro VI and beyond: What next for the mission to eliminate transport sector pollutants? See lessSee moreSee more news &amp; updates Events &amp; meetings CCAC governance meetingClimate and Clean Air Conference 202421 February 2024 - 23 February 202409:00 - 17:00(Nairobi) Reducing methane emissions in the oil and gas sector11 December 202310:00 - 11:00(Dubai)COP28 VenueDubaiUnited Arab EmiratesSide event ofCCAC at COP28 Side eventLaunch of UNEP Food Waste Index Report 202310 December 202311:45 - 12:30(Dubai)UNEP PavilionDubaiUnited Arab EmiratesSide event ofCCAC at COP28See more events &amp; meetingsSign up for our email alerts to receive regular updates on our work events and funding opportunities  SubscribeOUR PARTNERS AND PROJECTSThe Climate and Clean Air Coalition is a partnership of over 160 governments and organisations committed to reducing short-lived climate pollutants. We work in over 70 countries around the world.   PartnersProjectsSelect / Deselect AllState partners (80)Non-state partners (82)Select / Deselect All (226)Agriculture (31)Brick production (6)Cooling (16)Emissions assessments (3)Finance (3)Fossil fuels (6)Public health (7)Heavy-duty vehicles and engines (11)Household Energy (21)National policy and planning (89)Waste (45)Our impactOur projects and programmes span the globle delivering climate and clean air action where it is most needed.     80      state partners      82      non-state partners      50%      global SLCP mitigation potential within our partnership      75      countries supported by CCAC funding  Tools &amp; resourcesVisit our resource library to see all policies emissions calculation tools training materials and more.     Image      Reports Case Studies &amp; AssessmentsGlobal Methane Assessment: 2030 Baseline Report        Read more          Event Documents2023Event documents: Workshop on Preventing the Dumping of New Inefficient Cooling Equipment Using High-GWP Refrigerants 2023The Imperative of Cutting Methane from Fossil Fuels  2023MRAP Workshop Virtual Workshop Series - Building Block 1See more resourcesFooter menuAbout SLCPsShort-lived climate pollutantsSector solutionsBenefits of actionWho we areAbout usOur partnersOur hubsOur workOur approachProject fundingTechnical assistance servicesTools &amp; resourcesCCAC assessmentsResource libraryPolicy databaseNews &amp; eventsMedia resourcesGlobal initiativesNews &amp; updatesNewsletterEvents &amp; meetings        This website is managed by the CCAC Secretariat and is hosted by the UN Environment Programme. The content on this site does not necessarily represent the views of the individual partners.              Follow us on                 NEWSLETTER                  Sign up for CCAC alerts to receive regular updates on our work events and opportunities for funding and collaboration.              Subscribe                Subscribe for updates                  If you would like to receive periodic updates about the CCAC please complete the form below.         Select your areas of interest to receive updates from our hubs about relevant events meetings and funding opportunities.Agriculture HubCooling HubFossil Fuels HubHeavy-Duty Vehicles and Engines HubHousehold Energy HubNational policy and planning hubWaste hubCaptchaYou need Javascript for CAPTCHA verification to submit this form.  Subscribe</t>
  </si>
  <si>
    <t>www.ccacoalition.org</t>
  </si>
  <si>
    <t>OZON · Два повода проснуться утром в отличном настроении: кофе и котики · Вот оно — идеальное время для тех, кто обожает читать! · Тест на внимательность. Кто ...</t>
  </si>
  <si>
    <t>https://www.facebook.com/ozon.ru/</t>
  </si>
  <si>
    <t>March 4, 2022 – Ozon Holdings PLC (NASDAQ and MOEX</t>
  </si>
  <si>
    <t>On February 28, 2022, trading of the Ozon's ADSs on the NASDAQ was suspended by the NASDAQ. It is currently unknown when trading in the ADSs will resume.</t>
  </si>
  <si>
    <t>https://www.sec.gov/Archives/edgar/data/1822829/000119312522065190/d212488dex991.htm</t>
  </si>
  <si>
    <t>SEC.gov | HOME      Skip to main content    Search SEC.gov      Company Filings U.S. Securities and Exchange CommissionqAboutCareersCommissionersContactReports and PublicationsSecurities LawsMissionDivisions &amp; OfficesCorporation FinanceEnforcementInvestment ManagementEconomic and Risk AnalysisTrading and MarketsOffice of Administrative Law JudgesExaminationsRegional OfficesEnforcementLitigation ReleasesAdministrative ProceedingsOpinions and Adjudicatory OrdersAccounting and AuditingTrading SuspensionsHow Investigations WorkReceivershipsInformation for Harmed InvestorsRegulationRulemaking ActivityProposed RulesFinal RulesInterim Final Temporary RulesOther Orders and NoticesSelf-Regulatory OrganizationsStaff InterpretationsEducationInvestor EducationGlossariesSmall Business Capital Raising FilingsEDGAR – Search &amp; AccessEDGAR – Information for FilersCompany Filing SearchHow to Search EDGARForms ListAbout EDGARNewsPress ReleasesSpeeches and StatementsSecurities TopicsUpcoming EventsWebcastsSEC in the NewsSEC VideosMedia GalleryBUILDING COMMUNITIESThe SEC protects investors in the $3.8 trillion municipal securities markets that cities and towns rely on to provide neighborhood schools local libraries and hospitals public parks safe drinking water and so much more. We Inform and Protect InvestorsWe Facilitate Capital FormationWe Enforce Federal Securities LawsWe Regulate Securities MarketsWe Provide Data  SEC Adopts Rules to Increase Transparency in Securities Lending and Short SalesThe Commission has adopted rules to increase transparency in securities lending and short selling.   Q&amp;A with Disability Interests Advisory Committee Co-ChairIn honor of National Disability Employment Awareness Month one of the SEC’s Disability Interests Advisory Committee co-chairs shares on her thoughts on disability and accessibly in the workplace. See MoreFeatured Video  Office Hours with Gary Gensler: What Does the SEC Division of Examinations Do? When Congress passes laws or the SEC enacts rules for market participants you need someone to check for compliance. That’s where our Division of Examinations comes in: checking on investment advisers investment companies broker-dealers and other market participants.More VideosSpotlight On Diversity Equity Inclusion and Accessibility (DEIA) Strategic PlanThe SEC released its 2023-2026 Diversity Equity Inclusion and Accessibility (DEIA) Strategic Plan which builds on and advances our DEIA commitment and previous successes. More Spotlight Topicsb Submit a Tip orFile a ComplaintLatest News SEC Charges Former Co-CEOs of Tech Start-Up Bitwise Industries for Falsifying Documents While Raising $70 Million From Investors Nov. 9 2023 SEC Charges Royal Bank of Canada with Internal Accounting Controls Violations Nov. 2 2023 SEC Charges President/CCO of Prophecy Asset Management Advisory Firm with Multi-Year Fraud  Nov. 2 2023More NewsE-mail UpdatesSign up for emails that will deliver SEC News direct to your inbox.E-mail Updates We Inform and Protect InvestorsProtect Your Money!Check out an investment professional's registration status and background at Investor.gov.Check YourInvestmentProfessionalLearn more Advance Fee Fraud Exchange-Traded Funds (ETFs) Form 10-K Variable AnnuitiesBefore you invest Investor.govInvestor Alerts &amp; BulletinsThe SEC's Office of Investor Education and Advocacy issues Investor Alerts &amp; Bulletins as a service to investors. Investor Alerts typically warn investors about the latest investment frauds and scams. Investor Bulletins tend to educate investors about investment-related topics including the functions of the SEC. Investor Resilience Crypto Assets and Sustainable Finance: World Investor Week 2023 — Investor Bulletin Sept. 29 2023 Updated Investor Bulletin: An Introduction to ABLE Accounts Sept. 15 2023 Subscription-based Advisory Fees:  Investor Bulletin Sept. 6 2023More Investor Alerts &amp; Bulletins  OmbudsThe Ombuds will listen to your inquiries complaints and issues review the information you provide and help identify procedures options and resources. The Ombuds is also available to clarify certain SEC decisions policies and practices and serve as an alternate channel of communication between retail investors and the SEC.We Facilitate Capital Formation  Capital RaisingThe Office of the Advocate for Small Business Capital Formation and the Division of Corporation Finance’s Office of Small Business Policy launched an expanded Capital Raising Hub which includes all of the SEC’s small business educational resources for entrepreneurs and their investors.   FinHubThe SEC’s FinHub facilitates our active engagement with innovators developers and entrepreneurs of financial technology. Building BlocksExplore the fundamentals of capital raising with the SEC's Office of the Advocate for Small Business Capital Formation.We Enforce Federal Securities Lawsa CyberEnforcement Actionso AdministrativeProceedingDocuments  Office of the WhistleblowerSubmit a tip learn about the program or claim an award.Latest Federal Court ActionsLitigation ReleasesJohn A. Masanotti Jr. and Middlesex Mortgage Group LLCNov 9 2023Premium Point Investments LP et al.Nov 8 2023John HughesNov 2 2023SafeMoon LLC SafeMoon US LLC Kyle Nagy Braden John Karony Thomas Glenn SmithNov 1 2023SolarWinds Corporation and Timothy G. BrownOct 31 2023More Litigation ReleasesLatest Administrative ProceedingsAdministrative ReleasesJeremy ShorNov 8 2023Ronald T. MoloNov 8 2023Red White &amp; Bloom Brands Inc. (f/k/a Tidal Royalty Corp.)Nov 7 2023Original Sixteen to One Mine Inc.Nov 6 2023Stoner Cats 2 LLCNov 3 2023More Administrative ReleasesWe Regulate Securities Markets  Tell us about your experienceMaking Wall Street work for Main Street means getting your input. The U.S. Securities and Exchange Commission wants to hear from you! We want your input on proposals and other pertinent issues and topics. We want to know what information is important to you the investor. Credit Rating Agencies= SEC Proposed Rulesh View Final RulesWe Provide DataDeveloper ResourcesCheck out updates on the SEC open data program including best practices that          make it more efficient to download data.View Developer ResourcesMoney Market Fund StatisticsOur Investment Management Analytics Office released an updated Money Market Fund Statistics report. The report reflects staff’s compilation and analysis of data reported to the Commission on Form N-MFP.Latest Data Sets Company Information About Active Broker-DealersThis text file contains the Central Index Key (CIK) numbers company names SEC reporting file numbers and addresses (business addresses are provided when mailing addresses are not available) of active broker-dealers who are registered with the SEC.Updated Nov. 2023 Financial Statement and Notes Data SetsThe data sets provide the text and detailed numeric information in all financial statements and their notes extracted from exhibits to corporate financial reports filed with the Commission using eXtensible Business Reporting Language (XBRL). Updated Oct. 2023More Data Sets  SEC Enhances Access to Financial Disclosure DataThe SEC has released Application Programming Interfaces (APIs) that aggregate financial statement data making corporate disclosures quicker and easier for developers and third-party services to use. APIs will allow developers to create web or mobile apps that directly serve retail investors.STAY CONNECTED1 Twitter 2 Facebook 3RSS 4YouTube6LinkedIn  8 Email Updates About The SECBudget &amp; PerformanceCareersCommission VotesContactContractsData ResourcesTransparencyAccessibility &amp; DisabilityDiversity &amp; InclusionFOIAInspector GeneralNo FEAR Act &amp; EEO DataOmbudsWhistleblower ProtectionWebsitesInvestor.govRelated SitesUSA.govSite InformationPlain WritingPrivacy &amp; SecuritySite MapReturn to Top</t>
  </si>
  <si>
    <t>www.sec.gov</t>
  </si>
  <si>
    <t>OZONWeb by OZON Magazine</t>
  </si>
  <si>
    <t>https://en.ozonweb.com/</t>
  </si>
  <si>
    <t>OZONWeb.com | Fashion Interviews Art Music Photos Videos &amp; More Ozon Magazine  Current Issue Past Issues Distribution Subscriptions   e-Shop EL EN  FacebookTwitterInstagramPinterestFashionInterviewsOzon NewsCultureLifestyleFASHIONFashion NewsTrendsHistoryFashion WeekOzon Fashion StoriesINTERVIEWSFashionArt &amp; DesignFilm &amp; TheatreOZON NEWSEventsWorkshopsCULTUREArt &amp; DesignFilm &amp; TheatreMusicLIFESTYLECelebsNewsWell BeingEnvironment                                      Generic selectors    Exact matches only Exact matches only   Search in title Search in title   Search in content Search in content  Search in excerpt  Post Type Selectors   Hidden [vc_row gap=”30″ equal_height=”yes” el_id=”top-latest”][vc_column width=”2/3″ offset=”vc_col-md-8″ el_class=”hp-top-post”]  Fashion Homi Fashion &amp; Jewels Exhibition Returns The most amazing fashion trade show returns![/vc_column][vc_column width=”1/3″ offset=”vc_col-md-4″ el_class=”red-categories small-list”] THE LATEST Culture Athens Art Scene – The New Visionaries: Panos Fourtoulakis Culture Athens Art Scene – The New Visionaries: Kostas Prapoglou Fashion Homi Fashion &amp; Jewels Exhibition Returns Culture Broken Melody: A music video that depicts beauty in darkness Music Vinyl is spinning its way back into everyday life Fashion Because we are still in love with the 90s[/vc_column][/vc_row][vc_row el_id=”quote-1″][vc_column el_class=”large-title”] Culture Athens Art Scene – The New Visionaries: Panos Fourtoulakis Panos Fourtoulakis is a curator and producer with vigorous activity in London and Amsterdam.[/vc_column][/vc_row][vc_row gap=”30″ equal_height=”yes”][vc_column width=”2/3″ offset=”vc_col-md-8″ el_class=”hp-top-post”]  Culture Athens Art Scene – The New Visionaries: Kostas Prapoglou It is more than obvious that during the three years of the pandemic the contemporary art scene in Athens was anything but idle.[/vc_column][vc_column width=”1/3″ offset=”vc_col-md-4″] Lifestyle Snack: A new dating app for Gen Z. Can we join too please? News TikTok challenge kills 12-year-old[/vc_column][/vc_row][vc_row equal_height=”yes” el_id=”most-popular-with-ad”][vc_column width=”2/3″ el_class=”big-list numbered-list most-popular”] MOST POPULAR[/vc_column][vc_column width=”1/3″ css=”.vc_custom_1575251445013{padding-top: 30px !important;}”][/vc_column][/vc_row][vc_row disable_element=”yes” el_id=”most-popular-without-ad”][vc_column offset=”vc_col-md-offset-2 vc_col-md-8″ el_class=”big-list numbered-list most-popular”] MOST POPULAR[/vc_column][/vc_row][vc_row gap=”30″ equal_height=”yes” el_id=”fashion”][vc_column][vc_custom_heading text=”FASHION” font_container=”tag:h2|text_align:center” google_fonts=”font_family:Playfair%20Display%3Aregular%2Citalic%2C700%2C700italic%2C900%2C900italic|font_style:400%20regular%3A400%3Anormal” link=”url:%2Ffashion%2F|||” el_class=”ozonweb_block_heading”]  Fashion Homi Fashion &amp; Jewels Exhibition Returns The most amazing fashion trade show returns!  Trends Feeling fashion-nostalgic: Rihanna is leading vintage back to trend Who said vintage clothes belong in the past? Rihanna’s latest public look sure didn’t.   Fashion News Burberry’s new virtual replica store is right around the corner… or under your fingertips. Check out how you can visit and browse!  Fashion News Donatella Versace talks inclusivity in fashion We need to hear it now more than ever.[vc_row_inner][vc_column_inner el_class=”large-title”] Film &amp; Theatre What happens in the toilet cubicles of a Berlin club? The new film by George Markakis is a raw portrait of Berlin’s hedonistic club culture.[/vc_column_inner][/vc_row_inner][/vc_column][/vc_row][vc_row gap=”30″ el_id=”ad_homepage_3″][vc_column][/vc_column][/vc_row][vc_row el_id=”culture”][vc_column][vc_custom_heading text=”CULTURE” font_container=”tag:h2|text_align:center” google_fonts=”font_family:Playfair%20Display%3Aregular%2Citalic%2C700%2C700italic%2C900%2C900italic|font_style:400%20regular%3A400%3Anormal” link=”url:%2Fculture%2F|||” el_class=”ozonweb_block_heading”]  Culture Athens Art Scene – The New Visionaries: Kostas Prapoglou It is more than obvious that during the three years of the pandemic the contemporary art scene in Athens was anything but idle.  Culture Athens Art Scene – The New Visionaries: Panos Fourtoulakis Panos Fourtoulakis is a curator and producer with vigorous activity in London and Amsterdam.[/vc_column][/vc_row][vc_row][vc_column el_class=”featured-excerpt”]  Art &amp; Design Vintage PSAs are repurposed and reused for spreading the word on coronavirus safety Well it really is a war. The pandemic has violently created an unprecedented battlefield with front lines millions of casualties and everything. A Canadian design studio took the notion of war quite literally and in the search of courage to get through these coronavirus times it has found inspiration in old PSA posters from World War II. Shawn Murenbeeld Creative Director at Touchwood Design has spoken to Ozon about the repurposed design of some iconic images that we have been always connecting to another dark period of history. [/vc_column][/vc_row][vc_row][vc_column]  Film &amp; Theatre 10 years without Amy Winehouse: a new documentary celebrates her legacy Stories and memories…[/vc_column][/vc_row][vc_row disable_element=”yes” el_id=”ozonboutique”][vc_column][vc_custom_heading text=”OZONBOUTIQUE” font_container=”tag:h2|font_size:23|text_align:left” use_theme_fonts=”yes” el_class=”ozonweb_block_heading”][vc_raw_html]JTNDZGl2JTIwaWQlM0QlMjdjb2xsZWN0aW9uLWNvbXBvbmVudC00NmU2YjBmYWY5YiUyNyUzRSUzQyUyRmRpdiUzRSUwQSUzQ3NjcmlwdCUyMHR5cGUlM0QlMjJ0ZXh0JTJGamF2YXNjcmlwdCUyMiUzRSUwQSUyRiUyQSUzQyUyMSU1QkNEQVRBJTVCJTJBJTJGJTBBJTBBJTI4ZnVuY3Rpb24lMjAlMjglMjklMjAlN0IlMEElMjAlMjB2YXIlMjBzY3JpcHRVUkwlMjAlM0QlMjAlMjdodHRwcyUzQSUyRiUyRnNka3Muc2hvcGlmeWNkbi5jb20lMkZidXktYnV0dG9uJTJGbGF0ZXN0JTJGYnV5LWJ1dHRvbi1zdG9yZWZyb250Lm1pbi5qcyUyNyUzQiUwQSUyMCUyMGlmJTIwJTI4d2luZG93LlNob3BpZnlCdXklMjklMjAlN0IlMEElMjAlMjAlMjAlMjBpZiUyMCUyOHdpbmRvdy5TaG9waWZ5QnV5LlVJJTI5JTIwJTdCJTBBJTIwJTIwJTIwJTIwJTIwJTIwU2hvcGlmeUJ1eUluaXQlMjglMjklM0IlMEElMjAlMjAlMjAlMjAlN0QlMjBlbHNlJTIwJTdCJTBBJTIwJTIwJTIwJTIwJTIwJTIwbG9hZFNjcmlwdCUyOCUyOSUzQiUwQSUyMCUyMCUyMCUyMCU3RCUwQSUyMCUyMCU3RCUyMGVsc2UlMjAlN0IlMEElMjAlMjAlMjAlMjBsb2FkU2NyaXB0JTI4JTI5JTNCJTBBJTIwJTIwJTdEJTBBJTBBJTIwJTIwZnVuY3Rpb24lMjBsb2FkU2NyaXB0JTI4JTI5JTIwJTdCJTBBJTIwJTIwJTIwJTIwdmFyJTIwc2NyaXB0JTIwJTNEJTIwZG9jdW1lbnQuY3JlYXRlRWxlbWVudCUyOCUyN3NjcmlwdCUyNyUyOSUzQiUwQSUyMCUyMCUyMCUyMHNjcmlwdC5hc3luYyUyMCUzRCUyMHRydWUlM0IlMEElMjAlMjAlMjAlMjBzY3JpcHQuc3JjJTIwJTNEJTIwc2NyaXB0VVJMJTNCJTBBJTIwJTIwJTIwJTIwJTI4ZG9jdW1lbnQuZ2V0RWxlbWVudHNCeVRhZ05hbWUlMjglMjdoZWFkJTI3JTI5JTVCMCU1RCUyMCU3QyU3QyUyMGRvY3VtZW50LmdldEVsZW1lbnRzQnlUYWdOYW1lJTI4JTI3Ym9keSUyNyUyOSU1QjAlNUQlMjkuYXBwZW5kQ2hpbGQlMjhzY3JpcHQlMjklM0IlMEElMjAlMjAlMjAlMjBzY3JpcHQub25sb2FkJTIwJTNEJTIwU2hvcGlmeUJ1eUluaXQlM0IlMEElMjAlMjAlN0QlMEElMEElMjAlMjBmdW5jdGlvbiUyMFNob3BpZnlCdXlJbml0JTI4JTI5JTIwJTdCJTBBJTIwJTIwJTIwJTIwdmFyJTIwY2xpZW50JTIwJTNEJTIwU2hvcGlmeUJ1eS5idWlsZENsaWVudCUyOCU3QiUwQSUyMCUyMCUyMCUyMCUyMCUyMGRvbWFpbiUzQSUyMCUyN296b24tYm91dGlxdWUubXlzaG9waWZ5LmNvbSUyNyUyQyUwQSUyMCUyMCUyMCUyMCUyMCUyMGFwaUtleSUzQSUyMCUyN2Q4MGJjN2RlMGE0ODIyMWJkNGEyYjM4OGE0NDRlY2Q0JTI3JTJDJTBBJTIwJTIwJTIwJTIwJTIwJTIwYXBwSWQlM0ElMjAlMjc2JTI3JTJDJTBBJTIwJTIwJTIwJTIwJTdEJTI5JTNCJTBBJTBBJTIwJTIwJTIwJTIwU2hvcGlmeUJ1eS5VSS5vblJlYWR5JTI4Y2xpZW50JTI5LnRoZW4lMjhmdW5jdGlvbiUyMCUyOHVpJTI5JTIwJTdCJTBBJTIwJTIwJTIwJTIwJTIwJTIwdWkuY3JlYXRlQ29tcG9uZW50JTI4JTI3Y29sbGVjdGlvbiUyNyUyQyUyMCU3QiUwQSUyMCUyMCUyMCUyMCUyMCUyMCUyMCUyMGlkJTNBJTIwNDU0NTY5OTM1JTJDJTBBJTIwJTIwJTIwJTIwJTIwJTIwJTIwJTIwaWZyYW1lJTNBJTIwZmFsc2UlMkMlMEElMjAlMjAlMjAlMjAlMjAlMjAlMjAlMjBub2RlJTNBJTIwZG9jdW1lbnQuZ2V0RWxlbWVudEJ5SWQlMjglMjdjb2xsZWN0aW9uLWNvbXBvbmVudC00NmU2YjBmYWY5YiUyNyUyOSUyQyUwQSUyMCUyMCUyMCUyMCUyMCUyMCUyMCUyMG1vbmV5Rm9ybWF0JTNBJTIwJTI3JTI1RTIlMjU4MiUyNUFDJTI1N0IlMjU3QmFtb3VudCUyNTdEJTI1N0QlMjclMkMlMEElMjAlMjAlMjAlMjAlMjAlMjAlMjAlMjBvcHRpb25zJTNBJTIwJTdCJTBBJTIwJTIwJTIwJTIwJTIwJTIwJTIwJTIwJTIwJTIwJTIwJTIwJTIycHJvZHVjdFNldCUyMiUzQSUyMCU3QiUwQSUyMCUyMCUyMCUyMCUyMCUyMCUyMCUyMCUyMCUyMCUyMCUyMCUyMCUyMCUyMCUyMCUyMmlmcmFtZSUyMiUzQSUyMGZhbHNlJTJDJTBBJTIwJTIwJTIwJTIwJTIwJTIwJTIwJTIwJTIwJTIwJTIwJTIwJTIwJTIwJTIwJTIwJTIycGFnaW5hdGlvbiUyMiUzQSUyMGZhbHNlJTBBJTIwJTIwJTIwJTIwJTIwJTIwJTIwJTIwJTIwJTIwJTIwJTIwJTdEJTJDJTBBJTIwJTIwJTIwJTIwJTIwJTIwJTIwJTIwJTIwJTIwJTIwJTIwJTIycHJvZHVjdCUyMiUzQSUyMCU3QiUwQSUyMCUyMCUyMCUyMCUyMCUyMCUyMCUyMCUyMCUyMCUyMCUyMCUyMCUyMCUyMCUyMCUyMmlzQnV0dG9uJTIyJTNBJTIwdHJ1ZSUyQyUwQSUyMCUyMCUyMCUyMCUyMCUyMCUyMCUyMCUyMCUyMCUyMCUyMCUyMCUyMCUyMCUyMCUyMmJ1dHRvbkRlc3RpbmF0aW9uJTIyJTNBJTIwJTIyb25saW5lU3RvcmUlMjIlMkMlMEElMjAlMjAlMjAlMjAlMjAlMjAlMjAlMjAlMjAlMjAlMjAlMjAlMjAlMjAlMjAlMjAlMjJsYXlvdXQlMjIlM0ElMjAlMjJob3Jpem9udGFsJTIyJTJDJTBBJTIwJTIwJTIwJTIwJTIwJTIwJTIwJTIwJTIwJTIwJTIwJTIwJTIwJTIwJTIwJTIwJTIydmFyaWFudElkJTIyJTNBJTIwJTIyYWxsJTIyJTJDJTBBJTIwJTIwJTIwJTIwJTIwJTIwJTIwJTIwJTIwJTIwJTIwJTIwJTIwJTIwJTIwJTIwJTIyY29udGVudHMlMjIlM0ElMjAlN0IlMEElMjAlMjAlMjAlMjAlMjAlMjAlMjAlMjAlMjAlMjAlMjAlMjAlMjAlMjAlMjAlMjAlMjAlMjAlMjAlMjAlMjJpbWdXaXRoQ2Fyb3VzZWwlMjIlM0ElMjBmYWxzZSUyQyUwQSUyMCUyMCUyMCUyMCUyMCUyMCUyMCUyMCUyMCUyMCUyMCUyMCUyMCUyMCUyMCUyMCUyMCUyMCUyMCUyMCUyMnZhcmlhbnRUaXRsZSUyMiUzQSUyMGZhbHNlJTJDJTBBJTIwJTIwJTIwJTIwJTIwJTIwJTIwJTIwJTIwJTIwJTIwJTIwJTIwJTIwJTIwJTIwJTIwJTIwJTIwJTIwJTIyb3B0aW9ucyUyMiUzQSUyMGZhbHNlJTJDJTBBJTIwJTIwJTIwJTIwJTIwJTIwJTIwJTIwJTIwJTIwJTIwJTIwJTIwJTIwJTIwJTIwJTIwJTIwJTIwJTIwJTIyZGVzY3JpcHRpb24lMjIlM0ElMjBmYWxzZSUyQyUwQSUyMCUyMCUyMCUyMCUyMCUyMCUyMCUyMCUyMCUyMCUyMCUyMCUyMCUyMCUyMCUyMCUyMCUyMCUyMCUyMCUyMmJ1dHRvbldpdGhRdWFudGl0eSUyMiUzQSUyMGZhbHNlJTJDJTBBJTIwJTIwJTIwJTIwJTIwJTIwJTIwJTIwJTIwJTIwJTIwJTIwJTIwJTIwJTIwJTIwJTIwJTIwJTIwJTIwJTIycXVhbnRpdHklMjIlM0ElMjBmYWxzZSUyQyUwQSUyMCUyMCUyMCUyMCUyMCUyMCUyMCUyMCUyMCUyMCUyMCUyMCUyMCUyMCUyMCUyMCUyMCUyMCUyMCUyMCUyMmJ1dHRvbiUyMiUzQSUyMGZhbHNlJTBBJTIwJTIwJTIwJTIwJTIwJTIwJTIwJTIwJTIwJTIwJTIwJTIwJTIwJTIwJTIwJTIwJTdEJTBBJTIwJTIwJTIwJTIwJTIwJTIwJTIwJTIwJTIwJTIwJTIwJTIwJTdEJTBBJTIwJTIwJTIwJTIwJTIwJTIwJTIwJTIwJTdEJTBBJTIwJTIwJTIwJTIwJTIwJTIwJTdEJTI5JTNCJTBBJTIwJTIwJTIwJTIwJTdEJTI5JTNCJTBBJTIwJTIwJTdEJTBBJTdEJTI5JTI4JTI5JTNCJTBBJTJGJTJBJTVEJTVEJTNFJTJBJTJGJTBBJTNDJTJGc2NyaXB0JTNF[/vc_raw_html][/vc_column][/vc_row][vc_row gap=”30″ equal_height=”yes” el_id=”lifestyle”][vc_column][vc_custom_heading text=”LIFESTYLE” font_container=”tag:h2|text_align:center” google_fonts=”font_family:Playfair%20Display%3Aregular%2Citalic%2C700%2C700italic%2C900%2C900italic|font_style:400%20regular%3A400%3Anormal” link=”url:%2Flifestyle%2F|||” el_class=”ozonweb_block_heading”]  Well Being This university course can actually make you happier. Who could have thought? Where do we register?  News A viral TikTok video might help solve a decades long kidnapping case After so many years light was shed[vc_row_inner][vc_column_inner el_class=”featured-excerpt featured-excerpt-no-image”]  Film &amp; Theatre These are the best documentaries of 2021 and you are going to love them Sometimes you just don’t want to see another action movie. You need a connection to reality you feel the need to find answers about things that bother you – or that you are just curious about. The documentary genre comes to the rescue those nights offering at times surprisingly fascinating perspectives of real life and larger-than-life situations and characters. From what’s fresh in documentaries this year we’ve gathered the best; from Britney Spears to Billie Eilish and from the years of Martin Luther King Jr. to the era of Donald Trump Ozon’s list has got a suggestion for every interest![/vc_column_inner][/vc_row_inner]  People The hidden power of a red dress What’s happened to all theese women?  Well Being Shadow work: the latest self-care trend on TikTok Are you ready to be healed?  People FKA Twigs speaks up against criminalizing sex work #sexworkiswork[/vc_column][/vc_row][vc_row el_id=”interviews”][vc_column][vc_custom_heading text=”INTERVIEWS” font_container=”tag:h2|text_align:center” google_fonts=”font_family:Playfair%20Display%3Aregular%2Citalic%2C700%2C700italic%2C900%2C900italic|font_style:400%20regular%3A400%3Anormal” link=”url:%2Finterviews%2F|||” el_class=”ozonweb_block_heading”][vc_row_inner][vc_column_inner el_class=”hp-top-post” width=”2/3″]  Culture Athens Art Scene – The New Visionaries: Panos Fourtoulakis Panos Fourtoulakis is a curator and producer with vigorous activity in London and Amsterdam.[/vc_column_inner][vc_column_inner width=”1/3″] Art &amp; Design Artemis Baltoyanni’s “The Intermission” is changing the way contemporary art is presented Fashion Lily Bling speaks about gender fluidity and the future of fashion industry![/vc_column_inner][/vc_row_inner][vc_row_inner][vc_column_inner el_class=”featured-excerpt”][/vc_column_inner][/vc_row_inner][vc_column_text el_class=”more-link”]MORE[/vc_column_text][/vc_column][/vc_row][vc_row equal_height=”yes” disable_element=”yes” el_id=”ozon-news-with-ad”][vc_column][vc_custom_heading text=”OZON NEWS” font_container=”tag:h2|text_align:center” google_fonts=”font_family:Playfair%20Display%3Aregular%2Citalic%2C700%2C700italic%2C900%2C900italic|font_style:400%20regular%3A400%3Anormal” link=”url:%2Fozon-news%2F|||” el_class=”ozonweb_block_heading”][vc_row_inner][vc_column_inner width=”2/3″]  Events Fashion Room Service Wins Fashion Event of the Year 2018 We are not accustomed to being spotlighted because we simply do not…  Events The Interpretation of the Greek Goddess Athena Through the Work of 50 Artists How do 50 Greek and foreign artists interpret the Ancient Goddess Athena? Klaus…[/vc_column_inner][vc_column_inner width=”1/3″][/vc_column_inner][/vc_row_inner][vc_row_inner][vc_column_inner el_class=”large-title”] Events Macaronut: A Donut-Sized Macaron that Went Viral! What’s a macaronut? If you analyze the word you can easily understand it is the combination of a macaron and a donut. To be…[/vc_column_inner][/vc_row_inner][/vc_column][/vc_row][vc_row el_id=”ozon-news-without-ad”][vc_column][vc_custom_heading text=”OZON NEWS” font_container=”tag:h2|text_align:center” google_fonts=”font_family:Playfair%20Display%3Aregular%2Citalic%2C700%2C700italic%2C900%2C900italic|font_style:400%20regular%3A400%3Anormal” link=”url:%2Fozon-news%2F|||” el_class=”ozonweb_block_heading”]  Art &amp; Design Swab Barcelona is back! Everything you need to know about the contemporary art fair!  Fashion News Berlin Fashion Week enters 2021 with a new collective fashion format The 202030 Berlin Fashion Summit calls for transformation in fashion[vc_row_inner][vc_column_inner el_class=”large-title”][/vc_column_inner][/vc_row_inner][/vc_column][/vc_row][vc_row el_id=”merch” css=”.vc_custom_1580881280762{margin-bottom: 60px !important;}”][vc_column][vc_custom_heading text=”SHOP” font_container=”tag:h2|text_align:center” google_fonts=”font_family:Playfair%20Display%3Aregular%2Citalic%2C700%2C700italic%2C900%2C900italic|font_style:400%20regular%3A400%3Anormal” link=”url:https%3A%2F%2Fozonboutique.com%2F||target:%20_blank|” el_class=”ozonweb_block_heading”][vc_row_inner][vc_column_inner width=”1/2″ offset=”vc_col-md-3″][vc_single_image image=”64331″ img_size=”large” onclick=”custom_link” img_link_target=”_blank” link=”https://ozonboutique.com/collections/wb”][/vc_column_inner][vc_column_inner width=”1/2″ offset=”vc_col-md-3″][vc_single_image image=”64332″ img_size=”large” onclick=”custom_link” img_link_target=”_blank” link=”https://ozonboutique.com/collections/mb”][/vc_column_inner][vc_column_inner width=”1/2″ offset=”vc_col-md-3″][vc_single_image image=”64333″ img_size=”large” onclick=”custom_link” img_link_target=”_blank” link=”https://ozonboutique.com/collections/all-bags”][/vc_column_inner][vc_column_inner width=”1/2″ offset=”vc_col-md-3″][vc_single_image image=”64334″ img_size=”large” onclick=”custom_link” img_link_target=”_blank” link=”https://ozonboutique.com/collections/xxx”][/vc_column_inner][/vc_row_inner][/vc_column][/vc_row][vc_row gap=”30″ el_id=”ad_homepage_4″][vc_column][/vc_column][/vc_row][vc_row][vc_column]  Lifestyle Snack: A new dating app for Gen Z. Can we join too please? If Tinder and TikTok had a baby…  Culture Carlota Guerrero’s sensual celebration of female bodies See the majestic female body through the eyes of an artist  Fashion Vibrant and colorful clothing is back in town! Time to throw away your pajamas  News Kim Kardashian smuggled an ancient roman sculpture? A luxury that many want  Music Billie Eilish: Her Vogue cover and opening up about abuse Shocking and relevant as always  Culture Is print journalism dead? Nope the trends say it’s not. Off to a great start  Interviews Elliot Page talks about his transition surgery  Load More  [/vc_column][/vc_row]   About Media Kit Contact E-shop FacebookTwitterInstagramPinterest   © 2020						  TopFASHIONFashion NewsTrendsHistoryFashion WeekOzon Fashion StoriesINTERVIEWSFashionArt &amp; DesignFilm &amp; TheatreOZON NEWSEventsWorkshopsCULTUREArt &amp; DesignFilm &amp; TheatreMusicLIFESTYLECelebsNewsWell BeingEnvironment            Generic selectors  Exact matches only Exact matches only  Search in title Search in title  Search in content Search in content  Search in excerptPost Type Selectors  Hidden</t>
  </si>
  <si>
    <t>en.ozonweb.com</t>
  </si>
  <si>
    <t>Озон. Надсезонье - Результат из Google Книги</t>
  </si>
  <si>
    <t>https://books.google.com/books?id=qwkrDwAAQBAJ&amp;pg=PT5&amp;lpg=PT5&amp;dq=%D0%BE%D0%B7%D0%BE%D0%BD&amp;source=bl&amp;ots=fxyKF3l9pL&amp;sig=ACfU3U3LTLTaBV3-GFMasVR_VwBMxOK_6w&amp;hl=ru&amp;sa=X&amp;ved=2ahUKEwiB4KDNjruCAxUPtokEHcKvAHsQ6AF6BAg0EAM</t>
  </si>
  <si>
    <t>https://books.google.com/books?id=4TYyp30DcGEC&amp;pg=PA149&amp;lpg=PA149&amp;dq=%D0%BE%D0%B7%D0%BE%D0%BD&amp;source=bl&amp;ots=sXCP25tQBl&amp;sig=ACfU3U080l1fZ4jsLgR_U0SXHca3D7xmYA&amp;hl=ru&amp;sa=X&amp;ved=2ahUKEwiB4KDNjruCAxUPtokEHcKvAHsQ6AF6BAg2EAM</t>
  </si>
  <si>
    <t>Великая книга пророков. 2 кн. Заглянувшие в будущее. Озон</t>
  </si>
  <si>
    <t>https://books.google.com/books?id=A8qjgBCgPSgC&amp;pg=PA157&amp;lpg=PA157&amp;dq=%D0%BE%D0%B7%D0%BE%D0%BD&amp;source=bl&amp;ots=8L7Grlriaz&amp;sig=ACfU3U0T4l14v25jX6qmNWjPMggOaJQAOQ&amp;hl=ru&amp;sa=X&amp;ved=2ahUKEwiB4KDNjruCAxUPtokEHcKvAHsQ6AF6BAg1EAM</t>
  </si>
  <si>
    <t>OZON.ru</t>
  </si>
  <si>
    <t>1 мая 2020 г. —</t>
  </si>
  <si>
    <t>https://www.linkedin.com/company/llc-internet-solutions-ozon-ru-</t>
  </si>
  <si>
    <t>пасха 2023</t>
  </si>
  <si>
    <t>Пасха 2023: что за праздник 16 апреля, что нельзя делать</t>
  </si>
  <si>
    <t>11 апр. 2023 г. —</t>
  </si>
  <si>
    <t>https://iz.ru/1496595/2023-04-11/paskha-2023-chto-za-prazdnik-16-aprelia-chto-nelzia-delat</t>
  </si>
  <si>
    <t>Пасха 2023: когда будем праздновать по православному ...</t>
  </si>
  <si>
    <t>23 сент. 2022 г. —</t>
  </si>
  <si>
    <t>https://www.rbc.ua/ukr/styler/velikden-2023-koli-svyatkuvatimemo-pravoslavnim-1663816465.html</t>
  </si>
  <si>
    <t>Новини - Останні новини України сьогодні | РБК-Україна   uaenruНд 12 листопадаNewsDailyStylerTravelВійна Росії з УкраїноюКонтрнаступ ЗСУЗеленський заявиПереговори Росії та УкраїниБіженцямОбличчя ВійниNewsНовини УкраїниВійна Росії з УкраїноюСвітПолітикаНадзвичайні подіїСуспільствоЕкономікаФінансиЕнергетикаІнфраструктураHi-techСпортПрес-релізиDailyСтаттіІнтерв'юТочка зоруЛонгрідиLiteAutoRealtyStylerЖиттяПерсониПодіїНовини наукиКурйозиНовости спортаТелешоуФільми і серіалиВійнаПотрібна допомогаНаші авториTravelБіженцямНовини авіаціїВідпочинок в УкраїніВідпочинок за кордономПутівникиОсобистий досвідВікендТочки зоруЗнайтиВійна в Україні: орієнтовні втрати окупантів на 12.11.2023 В особовому складі~ 310650 +1130Літаків322Гелікоптерів324 Танків5342 +25ББМ10041 +24Артилерії7527 +38Засоби ППО579 +1РСЗВ879 +2Цистерн з ПММ1069 +9БПЛА5620 +25Кораблі22 +2Вантажівок9925 +49Ракет1559 +1 Новини05:22Данія продовжить дозволи на проживання для біженців з України до 2025 року 04:54КНДР заявила про зміцнення відносин з Росією незважаючи на попередження 04:26Міністри оборони США та Ізраїлю обгооворювали способи недопущення ескалації на Близькому Сході Читайте нас в Telegram. Підписуйтесь на наш канал03:57ГУР може бути причетним до ударів по території РФ за останні два дні - ISW 03:28Росіяни "з новою силою" відновили наступ на Бахмутському напрямку - Сухопутні війська 03:00Ізраїль оточив Газу і знищив "тисячі" бойовиків ХАМАС - Нетаньяху 02:31Українські війська просунулися на Мелітопольському напрямку: карти боїв ISW 02:03Військовий літак США розбився над Середземним морем під час тренувань 01:35Джонсон запропонував проєкт для уникнення шатдауну уряду США: туди не увійшла допомога Україні та Ізраїлю 01:07Японія переймається польотами бомбардувальників Китаю та РФ біля своїх кордонів 00:38Взимку Україні вистачить енергоресурсів - Міненерго 00:10Чекав на перетин кордону. У Польщі перед пунктом пропуску помер водій фури 11 листопада23:41ЗСУ за добу ліквідували 8 танків РФ на Лимано-Куп’янському напрямку 23:14Не дешево але без реклами. Meta пропонує підписку на Facebook та Instagram 22:59У Києві на Караваєвих дачах BMW протаранив пʼять автомобілів 22:44Вогонь коригували ССО. Військові знищили ворожі РЕБи під Авдіївкою (відео) 22:29Захопити Куп'янськ і не тільки. У Сухопутних військах розповіли про плани росіян до кінця року 22:14При планових відключеннях світла понад половина українців будуть з інтернетом - Мінцифри 22:01Евакуйовані із Сектора Гази українці вже прибули до Молдови 21:46Довбик і Циганков гарантували "Жироні" лідерство в чемпіонаті Іспанії 21:32Умєров розповів главі Пентагону про актуальні потреби України 21:16Обганяв комбайн і наїхав на міну. У Харківській області підірвався автомобіль 21:01У Чорному морі на території Криму і будь-де ще ЗСУ дістануть окупанта - Зеленський 20:48Федоров розповів по яким російським кораблям завдали ударів морські дрони 20:33Грузія Україна і Молдова вступлять до ЄС одночасно - президент Грузії 20:18Росіяни обстріляли автодорогу в Сумській області є загиблі 20:03"Це було б справедливо". В Україні не виключили атаки на нафтогазову систему РФ 19:48Прем'єр Хорватії звільнив міністра оборони через смертельну ДТП 19:33Росіяни через невдачі на фронті тероризують мешканців Херсонської області - ЦНС 19:19Прикордонники підняли український прапор в Тополях Харківської області 19:18В окупованому Мелітополі пролунав вибух 19:04Ситуація на фронті сьогодні 11 листопада 18:49Окупанти обстріляли будинок депутата Херсонської облради 18:35Politico дізналося що заважає ЄС поставити мільйон снарядів Україні 18:21Горами та на мотоциклах. Прикордонники затримали 8 ухилянтів які намагались виїхати з України 18:08Заявка на успіх. Що таке гранти та як вони допомагають відкрити власну справу Styler 18:06Українців закликають не ходити в гори через погіршення погоди 17:52Військові РФ обстріляли Торецьк: є жертви 17:37Німеччина вдвічі збільшить військову допомогу Україні - Bild 17:22ЗСУ показали знищення "Шахеда" в Одеській області (відео) 17:07Міністр оборони Хорватії потрапив у ДТП 16:52Росіяни обстріляли Херсон: є поранені 16:37Ще одна група українців вийшла з Сектору Газа. Посол назвав загальну кількість евакуйованих 16:24Україна і Польща проведуть переговори щодо розблокування пунктів пропуску: названа дата 16:10Макрон вважає що грудень буде вирішальним для України але для переговорів ще не час 16:05Зеленський нагадав про важливість єдності України і Польщі: разом ми вдвічі сильніші 16:00Дощі майже по усій території України місцями пориви вітру: погода на завтра 15:46ЄС має бути готовий підтримувати Україну якщо допомога США знизиться - Боррель 15:39Новий поїзд до Варшави. Чому пасажири скаржаться на комфорт 15:32Росіяни змушують українських дітей повідомляти про "мінування" - омбудсмен 15:17Ізраїль знищив командира роти ХАМАСа який утримував в заручниках жителів Сектора Газа 15:02У Міноборони вигадали як зменшити крадіжки пального призначеного для ЗСУ 14:46У Львові працівників ТЦК які заштовхали чоловіка в авто притягнуть до відповідальності 14:31Прикордонники "приземлили" дрон під Бахмутом тепер він знищуватиме окупантів 14:16Чому ЗСУ ймовірно не вдасться повторити успіх Херсонської операції: думка експертів 14:01У ГУР відреагували на вибухи на російських заводах 13:46Знищені ворожі танки ББМ й піхотинці. Бійці СБУ показали роботу у найгарячіших точках 13:32"Надзвичайно вдала операція". Розвідка розкрила деталі знищення кораблів у Криму 13:18У Сумській області підлітки розтрощили вагон потяга їх затримали 13:03Росія посилює мілітаризацію історії - розвідка Британії 12:50Як проходили штурми у Херсонській області восени 2022 року: розповідь 128 бригади 12:35МВФ підтримав початок переговорів про вступ України до ЄС 12:22Чи може корупція в Україні стати перешкодою для переговорів про вступ до ЄС: думка посла 12:12В Україні оголосили масштабну повітряну тривогу росіяни підняли МіГ-31К (відбій) 12:04Росія ніколи не приходить "назавжди". Зеленський привітав з днем визволення Херсона 11:50ЗСУ на Таврійському напрямку знищили більше 600 окупантів 9 росіян здались у полон 11:44Українські студенти можуть повернути частину суми за "контракт": як це зробити Styler 11:35МВФ оцінив перехід до гнучкого курсу гривні до долара: пройшов успішно 11:29Patriot збив балістичну ракету у районі столиці 11:17Буданов звернувся до херсонців у річницю визволення міста 11:02В Київській області внаслідок ранкової атаки є руйнування МВС показало фото 10:50Частина Києва залишилась без опалення й гарячої води розпочались технічні роботи 10:48Економіка України відновлюється швидше за очікування МВФ: фонд покращив прогноз 10:38ГУР влаштувало "бавовну" на заводах в Росії - джерела 10:21Експерти назвали головні етапи операції зі звільнення Херсону 10:06Росія запустила "Іскандер" по Києву ракету збили на підльоті до столиці 09:48Як удари по Чорнобаївці та мостах наближали визволення Херсона: думку експертів 09:33Формула миру Близький Схід та інше. Єрмак провів телефонні переговори із Салліваном 09:18У "Дії" створюють новий сервіс для бізнесу: хто зможе скористатися 09:03Вибухи у Києві. Ігнат підтвердив що окупанти випустили балістику спрацювала ППО 09:00На залізниці Рязанської області РФ пролунав "хлопок" 7 вагонів перекинулись 08:49Нічна атака дронів. В Одеській області є влучання 08:49Життя без паспорта. Чим загрожує відсутність документів під час війни 08:35Окупанти атакували Дніпропетровську область дронами: є влучання 08:28У Литві анонсували обмін посвідок на проживання для українських біженців 08:15Україна отримала ЗРК NASAMS а ГУР атакували кораблі РФ в Чорному морі: новини за 10 листопада 08:08Чому падає курс долара та чого очікувати найближчим часом: прогноз експерта 08:06В Києві пролунали сильні вибухи: що відомо 08:00Росія готується до нової хвилі ударів по українській енергетиці взимку - ISW 07:51ЗСУ знищили ще 1130 окупантів й більше 20 танків: Генштаб оновив втрати РФ 07:35Росіяни вночі били дронами та ракетами: ППО збила 19 "шахедів" 07:27Ситуація на фронті сьогодні 11 листопада 07:00Дощі та навіть грози. Синоптик дала прогноз на сьогодні в Україні 06:30ППО збила всі ворожі цілі під час останньої атаки на Київ 06:00Два Різдва? Чи зможе Україна швидко перейти на нові дати й звідки взялося 7 січня 05:42ЗСУ контратакували і відбили позиції на Авдіївському напрямку: карти боїв ISW 05:18Понад 100 тисяч жителів Гази перейшли на південь - ЦАХАЛ 04:49Понад 60 підприємств Латвії імпортують продукти з РФ та Білорусі 04:20Трамп припустив що у разі обрання президентом він викорисав би ФБР для розправи над опонентами 03:53Ідея надання Україні 20 млрд євро від ЄС зустріла спротив серед країн-членів - Reuters 03:24Блінкен розкритикував військову кампанію Ізраїлю в Газі через велику кількість жертв 02:55Світовий порядок в небезпеці - Шольц заявив про збільшення інвестицій в оборону 02:27Китай розгортає ВМС на Близькому Сході для посилення впливу в регіоні - ISW 01:59Ізраїль оновив дані про втрати через вторгнення ХАМАС: кількість загиблих зменшилась 01:31Посилення присутності сил НАТО: до Латвії прибули 15 танків Leopard 2 01:02Уряд Канади запросив у парламенту 385 млн доларів на військову підтримку України 00:33На пороховому заводі в Тамбовській області сталася пожежа: напередодні повідомляли про вибухи 00:20СБУ оголосила підозру окупанту який струмом катував людей під Харковом 10 листопада23:52В Московській області біля заводу-виробника "Кинджалів" пролунали вибухи 23:43Влаштували феєричний салют. СБУ знищила склад боєприпасів росіян на півдні країни (відео) 23:14Харлан виборола "срібло" на першому етапі Кубку світу з фехтування 23:08В Одеській області пролунали вибухи 22:56ППО працює по ударних дронах РФ на підступах до Києва 22:54Данілов: повний перехід економіки України на воєнні рейки неможливий 22:47Глава Мінфіну США пригрозила Китаю серйозними наслідками в разі надання допомоги РФ 22:36Литва запропонувала відправити в Україну радників для реформ та боротьби з корупцією 22:32Заради вступу в ЄС Україна готова йти на компроміси - Данілов 22:17Польські прикордонники затримали ще одного українця який допомогав нелегальним мігрантам 22:03Зеленський на форумі миру: немає кількох "великих" які можуть вирішувати за всіх у світі 22:01Благодійний фонд MK Foundation заявив про інформаційну атаку  - всі новиниНаші авториУляна Безпалькокореспондент РБК-УкраїнаРостислав Шаправськийголовний редактор РБК-УкраїнаЮлія Акимовакоресподент РБК-УкраїнаМілан Лєлічполітичний оглядач РБК-УкраїнаСьогодні12 листопада 02:31 Українські війська просунулися на Мелітопольському напрямку: карти боїв ISWРосіяни "з новою силою" відновили наступ на Бахмутському напрямку - Сухопутні війська Нд 12.11.2023 03:28 Взимку Україні вистачить енергоресурсів - Міненерго Нд 12.11.2023 00:38 Ізраїль оточив Газу і знищив "тисячі" бойовиків ХАМАС - Нетаньяху Нд 12.11.2023 03:00 ГУР може бути причетним до ударів по території РФ за останні два дні - ISW Нд 12.11.2023 03:57 DailyАнастасія Рокитнакореспондент РБК-Україна "До 30 поранених за день". Як медики 80-ї бригади рятують військових під БахмутомДанило Крамаренкооглядач РБК-Україна На зустрічних курсах. Чим важливі переговори Байдена з Сі Цзіньпіном і на що чекати УкраїніЮлія Акимовакоресподент РБК-Україна Ризик оточення Авдіївки та дефіцит ресурсів. Що відбувається на фронті напередодні зимиДмитро Левицький Мілан Лєліч Коли Україна вступить в ЄС і як пройдуть переговори про членствоКурси валютКупівляПродажМіжбанкUSD37.34 37.71 36.14 EUR40.13 40.32 38.56  Новини компаній10.11.2023Комплімент на мільйон: ролик мережі АЗК UPG у TikTok б'є рекорди з переглядів 10.11.2023Чорна П'ятниця 2023 — гряде щось грандіозне! 10.11.2023Виграно найбільший джекпот в історії мобільних пристроїв 09.11.202310 років Moneyveo: святкуємо подарунками та добром Точки зоруВ інвесторів відроджується надія на нижчі ставки Олександр Мартиненкоголова департаменту корпоративного аналізу групи ICUЯк Росія готується до обстрілів української енергетики: аналіз ГУР Вадим Скібіцькийпредставник ГУРШлях ветерана у розбудові української "оборонки" Руслана ВеличкоВ.о. виконавчої директорки Українського ветеранського фондуУроки Ізраїлю і чому варто повчитися Україні Богдан ДанилишинекономістВсі точки зоруСпецпроекти Спецпроект "Я такий як ти". Як волонтери FRIDA Ukraine за підтримки Програми розвитку ООН допомагають постраждалим від мін та обстрілів Головні новини"Це було б справедливо". В Україні не виключили атаки на нафтогазову систему РФ Прикордонники підняли український прапор в Тополях Харківської області Заявка на успіх. Що таке гранти та як вони допомагають відкрити власну справу Українців закликають не ходити в гори через погіршення погоди Styler22:32Витягли прямо з басейну. Скандальну блогерку яка каталася Львовом під російську музику виселили з готелю Styler 22:11Чорна п'ятниця: маркетологи зізнались як їхні схеми змушують вас тратити більше грошей Styler 21:53Злата Огнєвіч у відвертому комбінезоні пристрасно станцювала на столі (відео) Styler 21:43Що відбудеться з вашим тілом у космосі без скафандру: шокуючі наукові подробиці Styler 21:01Новий тиждень боляче вдарить по гаманцю та самолюбству цих знаків Зодіаку Styler 20:34Alyona Alyona згадала як у дитинстві її булили батьки через зайву вагу: "Ну може не їж ти вже га?" Styler 20:00Щедрість чи скромність? Скільки грошей дарувати на весілля щоб бути ідеальним гостем Styler 19:30"Саме вас я назвала рабами й холопами". Пугачова гнівно звернулась до хейтерів з Росії Styler Ще новиниЩедрість чи скромність? Скільки грошей дарувати на весілля щоб бути ідеальним гостемЩо відбудеться з вашим тілом у космосі без скафандру: шокуючі наукові подробиціНовий тиждень боляче вдарить по гаманцю та самолюбству цих знаків ЗодіакуЩо таке послуга раннього втручання та чому батькам потрібно про неї знатиТаке вже більше ніхто не носить! Стилісти показали які светри не варто купувати на зиму (фото)"Саме вас я назвала рабами й холопами". Пугачова гнівно звернулась до хейтерів з РосіїNEWSНовини УкраїниВійна Росії з УкраїноюКоронавірусСвітПолітикаНадзвичайні подіїСуспільствоЕкономікаФінансиЕнергетикаІнфраструктураHi-techСпортПрес-релізиDailyСтаттіІнтерв'юТочка зоруЛонгрідиLiteAutoRealtyStylerЖиттяПерсониПодіїНовини наукиКурйозиНовости спортаТелешоуФільми і серіалиВійнаПотрібна допомогаНаші авториTravelБіженцямНовини авіаціїВідпочинок в УкраїніВідпочинок за кордономПутівникиОсобистий досвідВікендТочки зоруuaenruПро компаніюРедакційна політика і стандартиЯк стати нашим авторомПравила користуванняПравова інформаціяПолітика конфіденційностіКонтактиКомандаРозмістити рекламуЗамовити спецпроектІнформаційний портал «РБК-Україна» має тримовну версію (українську російську та англійську) головна сторінка порталу - https://www.rbc.ua.Фотографії зображення належать їх правовласникам. Всі фотографії на цьому сайті авторами яких є співробітники «РБК-Україна» розміщені на умовах ліцензії Creative Commons Attribution 4.0 International.Редакція «РБК-Україна» може не розділяти точку зору авторів. Оціночні судження не підлягають спростуванню та доведенню їх правдивості. За достовірність та зміст реклами відповідальність несе рекламодавець. Матеріали помічені плашкою «Прес-релізи» «Спецпроект» «Новини компанії» «Партнерський матеріал» «Promo» «Благодійність» розміщуються на правах реклами і переважно призначені для осіб віком від 21-річного віку.© ТОВ «УБТ» 2006-2023.Продовжуючи переглядати RBC.UA Ви підтверджуєте що ознайомилися зПолітикою конфіденційності Правилами користування сайтом ізгодні з використанням файлів cookie. Ознайомитися  Погоджуюся</t>
  </si>
  <si>
    <t>www.rbc.ua</t>
  </si>
  <si>
    <t>Пасха 2023 - дата, традиции, будет ли выходной</t>
  </si>
  <si>
    <t>15 апр. 2023 г. —</t>
  </si>
  <si>
    <t>https://www.unian.net/lite/holidays/kogda-pasha-2023-tochnaya-data-budet-li-vyhodnoy-12098343.html</t>
  </si>
  <si>
    <t xml:space="preserve"> Новости Украины - последние новости Украины сегодня - УНИАНИнформационное агентство++ГлавнаяВойнаУкраинаПолитикаЭкономикаМирСпецпроекты ЭкологияСтрахованиеКоронавирусОружиеРегионы КиевЛьвовДнепрХарьковОдессаСпортНаукаТехно и связьЛайтИгрыПроисшествияЗдоровьеТуризмИнтересностиПогодаВидео с YouTubeВидеоМненияСтатьиИнтервьюЛонгридыПресс-центрУслугиРеклама на сайтеПресс-центрФотобанкМониторинг СМИПодписка на новостиАрхивКонтактыПотери врага на 11.11.2023310650+1130Личный состав5342+25Танки10041+24Бронированные машины322 / 324Самолеты / Вертолеты5620+25БПЛА7527 / 879+38 / 2Арт. системы / РСЗО9925+49Автотехника / цистерны22+2Корабли / катера579+1Средства ПВО1069+9Специальная техникаВ ВСУ рассказали о ситуации под Бахмутом: враг больше не в глухой обороне03:09 12.11.2023Новости дняВ ВСУ рассказали о ситуации под Бахмутом: враг больше не в глухой обороне03:09 12.11.2023Война01:50 12.11.2023Массированные атаки по Украине: министр энергетики предположил чего ждет РоссияВойна00:43 12.11.2023ВСУ нанесли серьезные потери оккупантам на одном из направлений: деталиВойна22:28 11.11.2023РФ заплатит за удары по Херсону: Зеленский пообещал ответ Сил обороныМир21:33 11.11.2023Washington Post нашел кому Залужный "поручил" подорвать "Северные потоки"Война19:36 11.11.2023Авиация Украины нанесла десяток ударов по армии РФ: что уничтожилаПолитика19:18 11.11.2023Экс-генсек НАТО: Украину надо взять в Альянс но без оккупированных территорийМненияВладимир Фесенко"Увольнение" Залужного и выборы-2024: политическое паскудство во время войныИлия КусаВойна Израиля против ХАМАС: промежуточные выводыВиталий ШапранНаказание деньгами: Украина может получить замороженные за рубежом активы РФЯрослав КонощукЗачем Украину снова "пытаются" усадить с РФ за стол переговоровОлег Катков"Космическая" ПРО: чем Израиль уничтожил йеменскую баллистическую ракету вне атмосферыМубариз АслановДень Победы и Надежды: почему Азербайджан не сомневается в победе УкраиныСтатьиВойна"У нас нет супероружия. Однако война очень ускоряет процесс разработок касающихся вооружения" - военный эксперт Александр МусиенкоРуководитель Центра военно-правовых исследований Александр Мусиенко рассказал УНИАН о рисках перехода войны между Украиной и РФ к позиционной и что нужно чтобы этого избежать (укр.).Украина"Люди поняли что может прилететь ракета и тебя больше не будет. Поэтому зачем быть рядом с человеком которого не любишь?" - сексолог Виктория МельничукСексолог-консультант Виктория Мельничук в интервью УНИАН рассказала о главной проблеме в отношениях во время войны сексуальной жизни пар в разлуке и как решать вопросы со снижением или исчезновением либидо.ФинансыШкура чужого медведя: ВР приняла госбюджет который должны наполнять страны-партнерыВерховная Рада приняла бюджет на 2024 год. Он похож на нынешний но есть неприятное отличие – неуверенность в достаточном объеме международной помощи которая должна его наполнять. (укр.)Популярное видео на YouTubeВалька-красные трусы чокнулась. Матвиенко накатила и "решила" проблему нищеты в РоссииВ РФ переполох: Путин собрался на пенсию? Названы фамилии преемниковПутин распродает Россию. Китаю предложили оттяпать Сибирь. Новый документРекордные убытки "Газпрома". Москва бьет тревогу! В казне финансовая дыраПутин в ярости! Украинские "Шахеды" — на Москву. Взрывная ответка для россиянИнтервьюАлександр МусиенкоУ нас нет супероружия. Однако война очень ускоряет процесс разработок касающихся вооружениясексолог Виктория МельничукЛюди поняли что может прилететь ракета и тебя больше не будет. Поэтому зачем быть рядом с человеком которого не любишьрелигиовед Виктор МолочкоОдним из факторов почему армия РФ уверенно заходила в Украину было доминирование здесь Московского патриархатаЭкономикаМассированные атаки по Украине: министр энергетики предположил чего ждет РоссияВойна01:50 12.11.2023Около 40% получателей финпомощи для ВПЛ живут только на эти средства - ВерещукФинансы21:14 11.11.2023США во второй раз за два месяца на грани шатдауна: крайний срок на следующей неделеМир20:43 11.11.2023Екатерина ЖирийШкура чужого медведя: ВР приняла госбюджет который должны наполнять страны-партнеры Татьяна Стежар"Укрзализныця держит украинский бизнес в заложниках своей неэффективной политики" - президент "Укрметаллургпрома" Александр Каленков ИнтервьюАндрей ПоповИждивенцам – на выход трудолюбивых – забирают "с концами". Как меняется миграционная политика Запада в отношении украинцев Дмитрий Петровский"Надеемся блэкауты будут не слишком длинными и масштабными. Иначе мы останемся без связи" - телеком-эксперт Роман Химич ИнтервьюЛонгриды От «братских народов» до «войны с нацистами»:эволюция российской лжиЛайтКакая зарплата в ВСУ и как отстреливался от россиян: экс-участник "Дизель Шоу" рассказал о службеЗвезды16:42 11.11.2023Кого номинировали на "Грэмми"-2024: есть ли среди претендентов украинцыМузыка15:10 11.11.2023"Совесть их сгрызает": экс-участник "Дизель Шоу" высказался о бегстве в РФ Писаренко и НикишинаЗвезды11:32 11.11.2023Блогер выдал детали позорного побега внука Софии Ротару из Украины: где живет сейчасЗвезды10:32 11.11.2023Церковный праздник 11 ноября: о чем просят преподобного и что нужно выбросить из домаПраздники07:00 11.11.2023МирВ сети рассказали о "франкенштейне" из танков Leclerc и Leopard 204:40 12.11.2023На Гавайях озеро окрасилось в ярко-розовый цвет: ученые назвали причину (видео)22:10 11.11.2023Япония отменит бесплатные авиаперелеты для украинских беженцев18:33 11.11.2023Илон Маск призвал к переговорам с Путиным и посочувствовал российским солдатам17:21 11.11.2023СпортМиколенко и Зинченко отметились голами в матчах АПЛФутбол19:16 11.11.2023Гол Довбика и ассист Цыганкова помогли Жироне победить в матче Ла Лиги (видео)Футбол17:21 11.11.2023Луганская Заря неожиданно уволила главного тренераФутбол14:12 11.11.2023ТуризмНа Гавайях озеро окрасилось в ярко-розовый цвет: ученые назвали причину (видео)22:10 11.11.2023Рекорд переносится: аirBaltic отложила установку Starlink на свои самолеты20:21 11.11.2023Техно и связьApple заплатит $25 миллионов чтобы замять скандал о дискриминацииРазное18:41 11.11.2023Названы лучшие внешние SSD и HDD которые можно купить в 2023 годуТехно и связь19:59 10.11.2023Стало известно когда выйдут первые iPad и MacBook с OLED-дисплеямиТехно и связь18:04 10.11.2023ИнтересностиНа Гавайях озеро окрасилось в ярко-розовый цвет: ученые назвали причину (видео)22:10 11.11.2023Что происходит с вашим телом когда вы пьете огуречную воду каждый день21:15 11.11.2023ИгрыNvidia выпустит новые видеокарты GeForce RTX 40-й серии: известны цены и характеристикиТехно и связь16:07 10.11.2023Обновленная консоль PlayStation 5 поступила в продажу: в чем ее особенностьИгры12:58 10.11.2023GTA 6: все что известно про одну из самых ожидаемых игр современностиИгры19:46 09.11.2023Оберіть мовну версію сайтуУкраїнськаРусскийМи використовуємо файли cookie. Продовжуючи перегляд сайту ви приймаєте нашу політикуконфіденційності таумови використанняУслугиРекламаПресс-центрФотобанкМониторингПодпискаUA+23Поддержите насПоследние новости04:40В сети рассказали о "франкенштейне" из танков Leclerc и Leopard 203:35Десятки звезд бегут из нашей галактики – ученые03:09В ВСУ рассказали о ситуации под Бахмутом: враг больше не в глухой обороне02:25В Крыму растет дефицит лекарств больницы забиты ранеными оккупантами - ЦНС01:50Массированные атаки по Украине: министр энергетики предположил чего ждет РоссияРеклама01:15Россияне спрятали свои ракетоносители: в Силах обороны назвали причину00:43ВСУ нанесли серьезные потери оккупантам на одном из направлений: детали00:02В Якутии силовики "отпраздновали" День полиции дракой: руководитель райотдела в коме (видео)УНИАН в Телеграм - новости Украины в режиме онлайн11 ноября суббота23:49Зеленский пообещал месть: На Херсонщине "истерично" работает ПВО - журналист (фото)23:31Из-за утренней атаки на Киев упала и не может подняться тигрица (видео)23:22На Киевщине ухудшаются погодные условия: объявлен І уровень опасности22:52обновленоВ Киеве водитель BMW совершил ДТП с пятью автомобилями: на месте завязалась драка22:46У Зеленского назвали что необходимо Украине для победы в войне22:28РФ заплатит за удары по Херсону: Зеленский пообещал ответ Сил обороны22:21В Кишинев прибыли 145 украинцев эвакуированных из Газы (фото)22:10На Гавайях озеро окрасилось в ярко-розовый цвет: ученые назвали причину (видео)22:03Взлеты МиГ-31 создают для Украины две проблемы - экс-сотрудник СБУ21:33Washington Post нашел кому Залужный "поручил" подорвать "Северные потоки"21:29Майор запаса НГУ объяснил повлияет ли выход войск из Авдеевки на обстановку на фронте21:14Около 40% получателей финпомощи для ВПЛ живут только на эти средства - ВерещукНет новостей в блоке "special_topic"21:06Приказал стрелять в мирных демонстрантов: комендант Новой Каховки получил тюремный срок20:51Россия обстреляла автомобильную дорогу на Сумщине: есть погибшие (фото)20:43США во второй раз за два месяца на грани шатдауна: крайний срок на следующей неделе20:27Десятки атак и безуспешные штурмовые действия: как "воевала" Россия сегодня20:21Рекорд переносится: аirBaltic отложила установку Starlink на свои самолетыРеклама19:58В Мелитополе взрыв: силовики РФ мчатся на бешеной скорости через город19:53"Мир захлебнется кровью": в ОП отреагировали на предложение пойти на уступки РФ19:50Ризотто от "Адской кухни" Гордона Рамзи: как приготовить19:36Авиация Украины нанесла десяток ударов по армии РФ: что уничтожила19:21Вспышка и взрывы: Воздушные силы показали как защищали Одессу ночью (видео)19:18Экс-генсек НАТО: Украину надо взять в Альянс но без оккупированных территорий19:17Впервые в истории: Украина вошла в зиму без импорта газа19:16Миколенко и Зинченко отметились голами в матчах АПЛ18:58Враг атаковал Херсон: есть погибший и раненые18:41Apple заплатит $25 миллионов чтобы замять скандал о дискриминацииНет новостей в блоке "announcements"18:38Удар по Киевщине: в ОВА уточнили последствия утреннего взрыва18:33Япония отменит бесплатные авиаперелеты для украинских беженцев18:12"Минусовался" скандальный "шишка"-коммунист из РФ: воевал против Украины обвинен в изнасиловании иностранца17:44РФ нанесла очередной мощный удар по Торецку: двое погибших17:30На АЗС растут цены на автогаз17:29Германия удваивает военную помощь Украине - Bild17:21Илон Маск призвал к переговорам с Путиным и посочувствовал российским солдатам17:21Гол Довбика и ассист Цыганкова помогли Жироне победить в матче Ла Лиги (видео)17:01Ледники Гренландии тают с беспрецедентной скоростью: ученые встревожены16:54МВФ изменил прогноз роста украинской экономикиРеклама16:47Россияне массово вербуют украинских детей для телефонного терроризма - омбудсмен16:42Какая зарплата в ВСУ и как отстреливался от россиян: экс-участник "Дизель Шоу" рассказал о службе16:27Враг бьет по энергосистеме: шесть областей Украины частично обесточены16:23РФ ударила по Киеву баллистикой: в разведке заявили считать ли это началом террора16:19В Украине выросли налоговые поступления от туристической отрасли: кто принес больше всего15:52От Милана до Парижа: "Новая почта" открывает отделения в других странах (список)15:39В Минобороны придумали как защитить топливо для фронта от хищения15:23США сократят помощь Украине поэтому ЕС должен сохранить поставки - Боррель15:20Количество производителей оружия в Украине выросло в четыре раза15:19У омбудсмена рассказали об украинских пленных которых РФ хочет бросить на фронт15:10Кого номинировали на "Грэмми"-2024: есть ли среди претендентов украинцы14:56"Не согласен что это Первая мировая": эксперт объяснил суть слов Залужного о позиционной войне14:52Ненастье усиливается: синоптики повысили уровень опасности в Украине до оранжевого14:51Чехия показала "странный" список оружия переданного Украине14:42В ГУР раскрыли подробности операции по уничтожению российских кораблей в Крыму14:35План ЕС по военной помощи Украине на 20 миллиардов евро встретил сопротивление - Reuters14:17Часть Киева проведет выходные без отопления и горячей воды (список районов)14:12Луганская Заря неожиданно уволила главного тренера14:10В Киеве и области объявили повышенный уровень опасности13:47РФ использует историю для зомбирования населения и запугивания соседей - разведка БританииРеклама13:43Китайские компании помогают армии РФ - Минфин США13:40Украинские защитники уничтожили ценного российского "Жителя"13:26Лунин может покинуть Реал ради топ-клуба Бундеслиги - СМИ13:18Moody's снизило прогноз по госдолгу США до "негативного": причины и последствия13:12Ситуация на Авдеевском направлении обострилась: в ВСУ рассказали как это "вышло боком" россиянам12:58Добавляют сантиметры в талии: диетолог назвал два продукта которые нельзя есть на завтрак12:35Зеленский в годовщину деоккупации Херсона вспомнил о Крыме и призвал благодарить защитников12:32РФ нашла "спасательный круг": обозреватель объяснил почему у ВСУ нет стремительных прорывов12:02Град дожди мокрый снег и мощный ветер: синоптик предупреждает о непогоде в Украине11:32"Совесть их сгрызает": экс-участник "Дизель Шоу" высказался о бегстве в РФ Писаренко и НикишинаВойна в УкраинеМобилизация в УкраинеКак получить белый билетКто не подлежит призывуКак наказывают уклонистовВыплаты при демобилизацииНовости УкраиныНовости ЛьвоваЧто изменится с 1 ноябряНовости КиеваНовости ОдессыНовости ДнепраНовости ХарьковаНовости экономикиКурс доллараБиткоин – курсТарифы на электроэнергиюТарифы на газУкрзализныцяКак поменять "старые" доллары в обменникахПрогноз погодыПогода на завтраПогода на неделюПогода на месяцСиноптикПогода КиевГороскопГороскоп на сегодняГороскоп на завтраГороскоп на неделюЛунный календарь стрижек на октябрьБлагоприятные дни для свадьбы 2023Лунный календарь на ноябрь 2023Гороскоп карт Таро на октябрь 2023Какой сегодня праздникПокрова 2023: новая датаКалендарь православных праздников ПЦУ 2023Новый календарь праздников 2024Новый церковный календарь 2023Праздники и выходные в ноябре 2023Именины в ноябре 2023Православный календарь на ноябрь 2023ЛайфхакиКак убрать запах ногКак подготовить авто к зимеЛучшее средство от пищевой молиКогда лучше консервировать огурцы и помидорыКак проверить свежесть яиц в магазинеКак вырастить укроп домаLiteРецептыАстрологияПраздникиЛайфхакиМодаМагнитные буриЛунный календарьЗвездыКиноЗдоровьеЧто делать если человек подавилсяПрогноз магнитных бурь на ноябрь 2023Как понизить давлениеСад-огородЛунный посевной календарь на ноябрь 2023Чем обработать яблоню на зимуКак вырастить розу в картошкеПочему желтеют листья у помидоровКак хранить картофель дома Правила пользования сайтом  Политика конфиденциальности О нас  Редакционная политика  Мы в соцсетях Мы используем cookiesСоглашаюсь</t>
  </si>
  <si>
    <t>www.unian.net</t>
  </si>
  <si>
    <t>Пасха 2023: дата, суть, традиции, что можно и нельзя</t>
  </si>
  <si>
    <t>16 апр. 2023 г. —</t>
  </si>
  <si>
    <t>https://iz.ru/1498098/2023-04-16/paskha-2023-kak-pravoslavnye-otmechaiut-svetloe-voskresenie-chto-mozhno-i-nelzia-delat</t>
  </si>
  <si>
    <t>Пасха в 2023 году</t>
  </si>
  <si>
    <t>Как вычислить дату Пасхи? рассмотрим, на примере 2023 года. Правило Пасхи имеет следующую формулировку: Пасха празднуется в первый воскресный день после первого ...</t>
  </si>
  <si>
    <t>https://only.bible/tools/calendar/resurrection/</t>
  </si>
  <si>
    <t>Библия ОнлайнПерейти к содержимомуБиблия ОнлайнБиблия  Читать Библию Планы чтения Все переводы Аудиобиблия Видеобиблия Детская БиблияИзучение  Ответы на вопросы БиблиотекаИнструменты  Все инструментыМедиа  Видео Библиотека Обои Скачать / И слово Господне распространялось по всей стране.(Библия Деяния святых апостолов)Читать Библию ОнлайнСтарая версия сайтаБиблия ОнлайнИ слово Господне распространялось по всей стране. (Деяния св. aпостолов)Наши сайтыНаш БлогБиблейское древоАвтономная БиблияСокращатель ссылокПожертвоватьО насВеруемО проектеАвторские праваОбратная связьЦентр поддержкиБаза знанийПочтаФорумСоциальные сетиПриложенияБиблия Онлайн 2003-2023. Пожертвовать Библия Онлайн 2003-2023.https://bibleonline.ru/</t>
  </si>
  <si>
    <t>only.bible</t>
  </si>
  <si>
    <t>Пасха: когда будет в 2023 году, суть и традиции ...</t>
  </si>
  <si>
    <t>27 мар. 2023 г. —</t>
  </si>
  <si>
    <t>https://ria.ru/20230327/paskha-1784063287.html</t>
  </si>
  <si>
    <t>Пасха в 2024 году: какого числа отмечается ...</t>
  </si>
  <si>
    <t>Светлое Христово Воскресение, Пасха — величайший христианский праздник. Посмотрите, когда отмечается православная и католическая Пасха в 2024 году.</t>
  </si>
  <si>
    <t>https://www.kp.ru/family/prazdniki/paskha/</t>
  </si>
  <si>
    <t>Когда Пасха в 2023 году по православному и ... - Vikna.tv</t>
  </si>
  <si>
    <t>9 апр. 2023 г. —</t>
  </si>
  <si>
    <t>https://vikna.tv/ru/styl-zhyttya/podorozhi/kogda-pasha-v-2023-godu-po-pravoslavnomu-i-katolicheskomu-kalendaryu/</t>
  </si>
  <si>
    <t>Пасха 2023: традиции и символы главного христианского ...</t>
  </si>
  <si>
    <t>https://news.vtomske.ru/news/197268-pasha-2023-tradicii-i-simvoly-glavnogo-hristianskogo-prazdnika</t>
  </si>
  <si>
    <t>vtomske.ru - новости Томска России и мира сегодняВойтиЕще vvtomske.ruПогодаОбъявленияНедвижимостьРабота33 купонаГороскопыФинансыВход Запомнить меняЗабыли пароль?илиВойти через ВконтактеВойти через TwitterВойти через FacebookВойти через GoogleРегистрация на vtomske.ruАвторизуясь Вы принимаете условия Пользовательского соглашения и Политики конфиденциальности.10:45 Воскресенье12 ноября 2023Архив12ноябряянваряфевралямартаапрелямаяиюняиюляавгустасентябряоктябряноябрядекабря20232023202220212020201920182017201620152014201320122011201020092008ПнВтСрЧтПтСбВсПерейтиКамерыТомск онлайнНовостиПодробностиУгол зренияИнтервьюФотоСюжеты и проектыСтатьиКоронавирусКамерыПрислать новостьТомскМирРоссияАвтоСпортПолитикаЭкономикаПроисшествияТехнологииОтдыхЗамечено в СетиГлавное за суткиПопулярноеОбсуждаемоеГлавное за сутки12:53 Двое жителей Томской области погибли при пожаре на алтайской турбазе 114:40 Маршрутки №4 начали возить томичей до Соснового Бора 1409:00 Холодной воды не будет в части Октябрьского района Томска 110:00 Жители Томской области построили более половины от всего введенного жилья в 2023г 1Полулярное12:53 Двое жителей Томской области погибли при пожаре на алтайской турбазе476214:40 Маршрутки №4 начали возить томичей до Соснового Бора281109:00 Холодной воды не будет в части Октябрьского района Томска97110:00 Жители Томской области построили более половины от всего введенного жилья в 2023г172Все материалыОбсуждаемое14:40 Маршрутки №4 начали возить томичей до Соснового Бора 1409:00 Холодной воды не будет в части Октябрьского района Томска 110:00 Жители Томской области построили более половины от всего введенного жилья в 2023г 112:53 Двое жителей Томской области погибли при пожаре на алтайской турбазе 1Все материалыСюжеты и спецпроектыНародные новостиПодборки фильмов и сериаловГраницы исторического поселения 10:00 Жители Томской области построили более половины от всего введенного жилья в 2023г 109:00 Холодной воды не будет в части Октябрьского района Томска 114:40 Маршрутки №4 начали возить томичей до Соснового Бора 1412:53 Двое жителей Томской области погибли при пожаре на алтайской турбазе 110:30 Соревнования по спортивной аэробике пройдут в Томске09:00 Всемирный день шоппинга и Черная пятница 2023: история даты скидки как сэкономить 318:30 Народные новости: ржавая вода из крана 418:05 Многокилометровые пробки скопились на въезде в Томск 1217:25 Махиня решил расформировать санитарную милицию Томска 1616:56 В Томске два человека разбились насмерть упав с высоты 1816:25 Пожарные вытащили пострадавших из «горящего» здания Дворца спорта в Томске 516:00 Какая погода будет в Томской области в середине ноября? Плюс прогноз на выходныеВсе новостиПОДРОБНОПодробность9 ноября 2188Эмме Стоун — 35: пять фильмов и один сериал со звездой «Круэллы»«Прислуга» «Магия лунного света» и другие проекты с Эммой Стоун + новые фильмы и сериалы неделиПодробность3 ноября  52045Дотянуться до небес: как в Томске изучают атмосферу и при чем тут «Звездные войны»?Работа томского Института оптики атмосферы в наши дни. Про лазеры самолет-лабораторию «лесные пожары» в аэрозольной камере и проблемы российской наукиПодробность30 октября  323523Умер Мэттью Перри — пять фильмов и один сериал со звездой «Друзей»«Поспешишь — людей насмешишь» «Странная парочка» «Девять ярдов» и другие проекты с Мэттью Перри. Расскажем и про новинки кинопрокатаПодробность27 октября  251319По следам «Падения дома Ашеров»: 5 мистических сериалов которые стоит увидетьМистические проекты + новые фильмы и сериалыПодробность26 октября  11713Детский сахарС какими проблемами борются родители инсулинозависимых детей? История томской семьиПодробность20 октября  16503Сбежал из Шоушенка: 6 хороших фильмов с Тимом Роббинсом к юбилею актера«Дорога на Арлингтон» «Нечего терять» и другие проекты с актером Тимом Роббинсом. Плюс расскажем про новые фильмы и сериалы неделиПодробность19 октября  46602По старой памяти: приезд Столыпина грабеж через подкоп и путешествие на волкахОсенняя хроника событий дореволюционного ТомскаСтатья18 октября 15553Ипотека стала неподъемной?Эксперты от застройщика и банков о трендах и перспективах льготных ипотечных программ с господдержкойПодробность12 октября  134580Ценовая нестабильностьЧто происходит сегодня с ценами в магазинах и почему так сильно подорожала курицаСтатья12 октября 5508Почему в Томской области копятся долги за газ и как это можно решитьНеплатежи за газ со стороны теплоснабжающих организаций — серьезная проблема для многих регионов. О возможных путях ее решения в Томской области рассказали в «Газпром межрегионгаз Новосибирск»Подробность11 октября  1010073Скрытая от глаз красота: фотопутешествие по тайге и болотам Томской областиБольшой фоторепортаж с Васюганских болот и томской тайгиПодробность11 октября 2112Не только Росомаха: 7 фильмов с Хью Джекманом которые вы могли пропуститьПроекты с Хью Джекманом + новые сериалы и фильмы этой неделиВ РОССИИ И МИРЕВчера 09:00Всемирный день шоппинга и Черная пятница 2023: история даты скидки как сэкономить 39 ноября 15:58ЦБ не исключает еще одного повышения ключевой ставки до конца года 179 ноября 11:15Пошлину за выдачу загранпаспорта хотят повысить на 20% 178 ноября 10:23Исследование: интерес к новостройкам в РФ упал на 12%. В Томске спрос немного вырос 127 ноября 15:38МТС отменит плату за раздачу интернет-трафика 16 ноября 10:45Сильная магнитная буря накрыла Землю. В небе наблюдалось полярное сияние 54 ноября 21:28Стенд Томской области открылся на выставке «Россия» в Москве. Вот как он выглядит 114 ноября 09:00День народного единства 2023: что за праздник история как будут отмечать в Томске 282 ноября 10:25В России хотят повысить рождаемость с помощью «отцовского» капитала 47Все новостиФОТОРЕПОРТАЖИПожарные вытащили пострадавших из «горящего» здания Дворца спорта в ТомскеДотянуться до небес: как в Томске изучают атмосферу и при чем тут «Звездные войны»?В Томске снова обострилась ситуация с вывозом мусора. Как будет решаться проблема?Продолжаем зависеть от импорта: Патрушев на совещании в Томске рассказал о проблемах технологического суверенитета РФСекретарь Совбеза Патрушев познакомился с разработками томских вузов и компаний«Будем удивлять!»: крышу и большой зал томского ТЮЗа восстановили после пожара Новости компанийСибирская продовольственная неделя состоится с 15 по 17 ноябряНовости СМИ 18+ Нашли опечатку — Ctrl+EnterРедакция новостей: (3822) 902-904 © 2007 — 2023ООО «Редвикс Медиа»Регистрационный номерЭл № ФС 77-72404зарегистрировано РоскомнадзоромМобильная версияО проекте КонтактыРазмещение рекламы Пользовательское соглашениеЗапрещено для детей. 18+vtomske.ruПогодаОбъявленияНедвижимостьРабота33 купонаГороскопыФинансыПубликации с пометкой «На правах рекламы» «Новость компании» «Источник: пресс-служба» «Партнерский материал» «Информационное сотрудничество» публикуются на коммерческих условиях и оплачены рекламодателями. Редакция сайта не несет ответственности за достоверность информации содержащейся в рекламных материалах.Использование материалов сайта разрешено только с письменного разрешения редакции. При использовании материалов необходимо указывать источник vtomske.ru. Гиперссылка обязательна.×Страница: Ошибка: Комментарий:Сообщение отправлено. Спасибо за участие!Отправить×</t>
  </si>
  <si>
    <t>news.vtomske.ru</t>
  </si>
  <si>
    <t>Православная пасха-2023: какого числа пройдет, как ...</t>
  </si>
  <si>
    <t>12 мар. 2023 г. —</t>
  </si>
  <si>
    <t>https://www.tvtomsk.ru/news/75645-pravoslavnaja-pasha-2023-kakogo-chisla-projdet-kak-podgotovitsja.html</t>
  </si>
  <si>
    <t>Вести-Томск - Новости Томска и областиГосударственная Телевизионная и Радиовещательная Компания «Томск»Информационный портал. Самые свежие новости Томска и области. Прямые трансляции. Фоторепортажи и видео с места событий. Интересные подкасты. Интервью и проекты.ул. Яковлева 5ТомскТомская область634050    Телефон:8 (382) 260-25-25×НовостиНовостиТелевидениеРадиоПроектыО компанииКонтактыВакансииПогода.Томск3°CЯндекс.Пробки1ГРАФИК ОТКЛЮЧЕНИЯ ГВС 2022 В ТОМСКЕ Сибирь 24  Экскурсии на телевидениеНовостиТелевидениеРадиоПроектыО компанииКонтактыПогода.Томск3°CЯндекс.Пробки1ГРАФИК ОТКЛЮЧЕНИЯ ГВС 2022 В ТОМСКЕ Сибирь 24  Экскурсии на телевидение«Государственный Интернет-Канал «Россия». 2001-2018.                  Свидетельство о регистрации Эл №ФС 77-59166 от 22.08.2014 выдано Федеральной службой по надзору в сфере связи информационных технологий и массовых коммуникаций.                  Учредитель Федеральное государственное унитарное предприятие                  «Всероссийская государственная телевизионная и радиовещательная компания».Главный редактор Панина Елена Валерьевна (г. Москва) старший редактор ГТРК «Томск» - Кошкарова Мария Николаевна.                  Email редакции: vesti.gtrktomsk@gmail.com Телефон редакции: 8 (3822) 60 24 40                  Для детей старше 16 летВсе права на материалы опубликованные на сайте защищены в соответствии с российским и международным законодательством об интеллектуальной собственности. Любое использование текстовых фото аудио и видеоматериалов возможно только с согласия правообладателя (ВГТРК).#ГЛАВНОЕПРЯМОЙ ЭФИРРАДИО РОССИИ  ►РАДИО МАЯК  ►ВЕСТИFM  ►синицыптицыпраздникисторияСиничкин день 2023: почему пернатые стучатся в окно и как их свист прогнозирует погодуСегодня09:30Вести. Томск выпуск 14:30 10 ноября ►все выпускиоружиеросгвардияКолпашевоАрсенал оружия сдал житель Томской областиоружиеросгвардияКолпашевоВчера13:57рыболовствопредприятиярыбадобычаТомским рыбопромышленникам в 2024 году разрешили выловить на 440 тонн большерыболовствопредприятиярыбадобычаВчера12:45ПРЕДЛОЖИТЬ НОВОСТЬЛента новостей{{ news[0][1][0].date2 }}{{ news[0][1][0].title }}{{ ( news[0][1][1] ) ? news[0][1][1].date2 : news[1][1][0].date2 }}{{ ( news[0][1][1] ) ? news[0][1][1].title : news[1][1][0].title }}{{ ( news[0][1][2] ) ? news[0][1][2].date2 : news[1][1][1].date2 }}{{ ( news[0][1][2] ) ? news[0][1][2].title : news[1][1][1].title }}{{ n[0] | datetitle }}{{ ln.date2 }}{{ ln.title }}Больше новостей#ЛЕНТА НОВОСТЕЙТОМСКАЯ ОБЛАСТЬРАЙОНЫТОМСКСЕВЕРСК - #ДТП#ДТП#ПОЖАР#ПОЖАР#МОШЕННИКИ#МОШЕННИКИ#КОРОНАВИРУС#КОРОНАВИРУС#ПРОИСШЕСТВИЕ#ПРОИСШЕСТВИЕ#ПОГОДА#ПОГОДА#ПРАЗДНИК#ПРАЗДНИК#ШКОЛА#ШКОЛА#ЛЕТО#ЛЕТО#ДЕТИ#ДЕТИ#СПОРТ#СПОРТ#{{ selectedtag }}{{ts}}{{ errorMessage }}здравоохранениепневмониядепздравМифы о пневмонии: томский врач развенчала домыслы о заболевании10 ноября20:55орвипневмониядепздравТомский врач рассказала в каких случаях простуда может перейти в пневмонию09 ноября16:50отключениеводыводаводоснабжениеХолодную воду отключат в некоторых домах Октябрьского района Томска в понедельникСегодня10:39синицыптицыпраздникисторияСиничкин день 2023: почему пернатые стучатся в окно и как их свист прогнозирует погодуСегодня09:30погодапогодавтомскепрогнозпогодыгидрометцентрНебольшой дождь и до +3°С ожидается в Томске в воскресеньеСегодня09:00сходснеганаледьпотеплениеТомичей предупреждают об опасности схода снега с крышВчера18:30навигацияречникисезонНа томских реках завершился сезон навигацииВчера17:25обыкновенноечудопомощьдетиреабилитацияТомичей просят помочь мальчику которому необходимы занятия в ресурсном центреВчера16:14маткапиталсемьисдетьмимногодетнаясемьяПочти 350 томских семей в этом году направили региональный маткапитал на погашение ипотекиВчера15:05оружиеросгвардияКолпашевоАрсенал оружия сдал житель Томской областиВчера13:57рыболовствопредприятиярыбадобычаТомским рыбопромышленникам в 2024 году разрешили выловить на 440 тонн большеВчера12:45погиблипожарпроисшествиетурбазаалтайДвое томичей погибли при пожаре на строящейся турбазе на АлтаеВчера11:38вакцинацияпрививкагриппСвыше 38% жителей Томской области привиты от гриппаВчера10:37раскопкиблагоустройствопрокуратураБолее 700 коммунальных раскопок еще не закрыты в ТомскеВчера09:30погодапогодавтомскепрогнозпогодыгидрометцентрПеременная облачность и до +2°С: погода в Томске в субботуВчера09:00выставкавднхтехнопредкиГости выставки "Россия" присоединились к томскому проекту "Технопредки" 10 ноября20:30{{ n.title }}{{ tag.tag }}{{ n.title }}{{ n.date1 }}{{ n.date2 }}орвипневмониядепздравТомский врач рассказала в каких случаях простуда может перейти в пневмонию09 ноября16:50казакигубернаторМазурГубернатор Владимир Мазур обсудил развитие казачества с сибирским атаманом08 ноября19:09егээкзаменыстрессконсультацияпсихологСдать ЕГЭ и не сойти с ума: советы для родителей от томского врача06 ноября12:00экспедициявыставкавднхГубернатор Владимир Мазур открыл томский стенд на выставке "Россия"04 ноября20:50ТПУполитехфорумТомский политех представил свои разработки на международном газовом форуме04 ноября11:34технолабшколацифровыхтехнологийпрофориентацияТомские школьники прошли профориентационный квест "ТехноЛаб"03 ноября16:27маршруткаавтобусмаршрутРабота автобусного маршрута №4 скорректирована для удобства томичей10 ноября20:00санитарнаямилициямэрблагоустройствоСанитарную милицию в Томске решено расформировать10 ноября19:25декадапогодапрогнозпрогнозпогодыНеобычно теплая погода для середины ноября ожидается в Томске10 ноября18:53туберкулезэврикаразвитиезаболеваемостьБолее 250 случаев заражения туберкулезом зафиксировано в Томской области10 ноября18:20покушениеударНожомпьяныйПьяный томич чуть не зарезал своего приятеля10 ноября17:45онлайншопингшопингпокупкиКаждый пятый томич предпочитает покупки онлайн10 ноября17:16мчсученияпожарпожарныеПожарные "потушили" огонь в томском Дворце зрелищ и спорта10 ноября16:50{{ tag.tag }}{{ n.title }}{{ n.date1 }}{{ n.date2 }}{{ tag.tag }}{{ n.title }}{{ n.date1 }}{{ n.date2 }}БОЛЬШЕ НОВОСТЕЙФОТОРЕПОРТАЖПожарные "потушили" огонь в томском Дворце зрелищ и спортаЯрмарка "Золотая осень-2023" прошла в заснеженном Томске: фоторепортажМастер-классы квесты и выставки: фоторепортаж с открытия фестиваля "Техопредки"Томских призывников проводили на службу в армию: фоторепортажНастрой на зимний ритм: Томск застелило первым снегом. Фоторепортаж"Таинственные маски Томска": как проект "Лики Сибири" превращает город в палитру искусства"Богатырские сражения и соревнования по велоспорту: как прошел День томича-2023Пес Рэм которого спасли на фронте прибыл в Томск и встретился с новым хозяином{{ errorMessage }}картофелькартошкаурожайосеньзимапогребдачасадогородКак правильно хранить картофель зимой: советы специалистов11 сентября09:38большаярыбапразднинародысеверакоренныемалочисленныенародысевераПраздник коренных народов Севера "Большая рыба" прошел на Белом озере в Томске: фоторепортаж26 августа17:13томскаяобластьпраздникденьрожденияприродадостопримечательностиС днем рождения Томская область: семь природных достопримечательностей региона13 августа11:00павелволксудуголовноеделоУголовное дело начальника департамента по культуре Томской области ушло в суд27 июля12:30прокуратуракаргасокскийрайонаптечныйпунктлекарстваВ четырех отдаленных населенных пунктах Томской области должны появиться аптечные пункты27 июля11:16выборымэраконкурснаякомиссиякандидатгордумаДмитрий Махиня подал в конкурсную комиссию документы для участия в выборах мэра Томска27 июля09:59веществавоздухвыбросырейтингВ Томской области на 72% уменьшились выбросы вредных веществ в атмосферу26 июля13:49коммунальныймостремонткоммунальногомостаасфальтированиеконтрольТомские власти планируют к 1 сентября открыть полноценное движение по Коммунальному мосту26 июля11:51законодательнаядумазимабюджеткоммунальноехозяйствоДля подготовки северных районов Томской области к зиме выделены дополнительные деньги26 июля10:55самокатывелосипедытравмылетоВ Томске участились случаи столкновения велосипедистов и самокатчиков с пешеходами25 июля13:25братинафестивальказакикультуратрадицииФестиваль казачьей культуры "Братина" пройдет в Томской области в субботу25 июля12:06{{ n.title }}{{ tag.tag }}{{ n.title }}{{ n.date1 }}{{ n.date2 }}БОЛЬШЕ НОВОСТЕЙНовостиТелевидениеРадиоПроектыО компанииКонтактыВакансии«Государственный Интернет-Канал «Россия». 2001-2023.Свидетельство о регистрации Эл №ФС 77-59166 от 22.08.2014 выдано Федеральной службой по надзору в сфере связи информационных технологий и массовых коммуникаций.Учредитель Федеральное государственное унитарное предприятие«Всероссийская государственная телевизионная и радиовещательная компания».Главный редактор - Панина Елена Валерьевна (г. Москва) Старший редактор ГТРК «Томск» - Воронцова Маргарита ВладимировнаEmail редакции: vesti.gtrk@tvtomsk.ru Телефон редакции: 8 (3822) 60 24 40Для детей старше 16 лет Все права на материалы опубликованные на сайте защищены в соответствии с российским и международным законодательством об интеллектуальной собственности. Любое использование текстовых фото аудио и видеоматериалов возможно только с согласия правообладателя (ВГТРК).©2019 ГТРК "Томск"Результаты проведения специальной оценки условий труда×Предложить новость:ОтправитьПредложить новость:Ваше сообщение принято благодарим за обращение!</t>
  </si>
  <si>
    <t>www.tvtomsk.ru</t>
  </si>
  <si>
    <t>Когда Православная Пасха 2023</t>
  </si>
  <si>
    <t>https://budilki.ru/timer/%D0%BF%D0%B0%D1%81%D1%85%D0%B0/2023/</t>
  </si>
  <si>
    <t>Будильник онлайн - Будилки.ру Будильник онлайн - Будилки.руПраздникиУтилитыБудильникТаймерСекундомерЧасыБудильникТаймерСекундомерТочное времяДля полной функциональности этого сайта необходимо включить JavaScript.Инструкция как включить JavaScript в вашем браузере6:45:21ТестИзменитьПоставить будильникБудильник  --:--:--Выключить будильник            Поставить будильник на определенное время        4:00 4:30 5:00 5:15 5:30 5:45 6:00 6:15 6:30 6:45 7:00 7:15 7:30 7:45 8:00 8:15 8:30 8:45 9:00 10:00 11:00 12:00 13:00 14:00           Последние использованные         Как пользоваться онлайн будильникомУстановите часы и минуты онлайн будильника и в назначенное время появится сообщение о будильнике и будет проигран выбранный ранее звуковой сигнал.При установке будильника вы можете нажать кнопку «Тест» чтобы увидеть как будет выглядеть оповещение о будильнике и с какой громкостью будет играть музыка.Вы можете настроить оформление будильника (цвет тип и размер надписей) и эти настройки сохранятся и будут использованы при следующем открытии вашего браузера.Онлайн будильник не сработает если закрыть браузер или выключить компьютер но может работать без подключения к сети Интернет.Вы можете добавить в избранное браузера ссылки на онлайн будильник с разными настройками времени. Когда вы откроете нужную ссылку будильник сразу установится на определенное ранее время.HTML-кодНастройкиЦифровой шрифт12-часовый (am/pm)Показать датуНочной режимЦветOKУстановка будильникаЧас.Мин.ЗвукПовторитьЗаголовокТестОтменаСтартБудильникOKHTML-код Показать кнопки РазмерНастраиваемыйКод HTMLПредварительный просмотрOKКонтакты  | Условия использования  | Конфиденциальность  | © 2023 Budilki.ru</t>
  </si>
  <si>
    <t>budilki.ru</t>
  </si>
  <si>
    <t>Пасха в 2024 году</t>
  </si>
  <si>
    <t>Если человек не постился, это не значит, что на Пасху в 2023 году ему запрещено войти в храм. Пасха — праздник и для постящихся, и для тех, кто пришел в храм ...</t>
  </si>
  <si>
    <t>https://www.pravmir.ru/pasha-v-2024-godu/</t>
  </si>
  <si>
    <t>Правмир Помочь «Правмиру»                        Фонд                        ВераБеседы о главномДорога к храмуМолитвыПостПравославные праздники в 2023 годуТаинства ЦерквиЖизнь ЦерквиЛюди ЦерквиОккультизм и мифыОбществоЧеловекБезопасностьБлаготворительностьЗаконодательствоВикториныМилосердиеПатриотизмПолитикаРаботаЭкологияСемьяВзаимоотношения в семьеБеременность и родыВоспитание детейДетямДо бракаИзмена. РазводМногодетные семьиПриемные детиУсыновлениеАборты. Планирование семьиЗдоровьеОбразованиеКультураАрхитектураИскусствоКинематографВеликая Отечественная ВойнаИстория ЦерквиЛитератураПоэзияПритчиПрозаЮморНравственное киноМузыкальная гостинаяСтраницы историиПодкастыENВераБеседы о главномДорога к храмуМолитвыПостПравославные праздники в 2023 годуТаинства ЦерквиЖизнь ЦерквиЛюди ЦерквиОккультизм и мифыОбществоЧеловекБезопасностьБлаготворительностьЗаконодательствоВикториныМилосердиеПатриотизмПолитикаРаботаЭкологияСемьяВзаимоотношения в семьеБеременность и родыВоспитание детейДетямДо бракаИзмена. РазводМногодетные семьиПриемные детиУсыновлениеАборты. Планирование семьиЗдоровьеОбразованиеКультураАрхитектураИскусствоКинематографВеликая Отечественная ВойнаИстория ЦерквиЛитератураПоэзияПритчиПрозаЮморНравственное киноМузыкальная гостинаяСтраницы историиПодкастыПомочь «Правмиру»                    Фонд                    ФотоВидеоАудиоОт автораОтвет специалистаНаукаНаши современникиЛитература история кинематографГерои среди насО смерти и болезниПодросткиСловарь ПравмираPravmir.comМатроны.руНеинвалид.руКоронавирус        Дополнительные настройки поиска    Фильтр по дате Сортировать поРелевантностиДате с новыхДате со старых                    Исключить новости Главное                        Пневмония у детей и взрослых: знания которые спасут жизнь                                                Врач - о том как не заболеть и чем лечить                                                А на что собирают в вашем классе? Родители — анонимно и честно о школьных сборах                                                Что будет если не оплачивать ремонт и дорогие подарки                                        «В 38 лет я узнала что у меня есть сестра-близнец»                            Ребенок получил травму в школе. Как взыскать компенсацию за лечение?                            «Для друга ничего не жалко!» Лучшие фото собак в 2023 году                    фото    Новости                                                10 ноября                                            Российские врачи спасли от паралича подростка поставив ему 3D-имплант17:14Пес по имени Кусь спас одинокого пенсионера в Твери16:25Новая схема аферистов: мошенники начали звонить россиянам через сервисы объявлений15:29«День борьбы с кибербуллингом»: травле в сети чаще подвергаются школьники15:02Пропавший на Чукотке самолет Ан-2 найден все живы13:44В Ставропольском крае погибла 3-летняя девочка попав под колеса маршрутки12:38Томские ученые предложили способ борьбы с глобальным потеплением с помощью искусственных болот11:08В подмосковной школе родственники ученицы устроили драку с учителем на глазах класса10:16Над Чукоткой совершил аварийную посадку самолет Ан-2 спасатели не могут найти его из-за непогоды09:16                                                9 ноября                                            В Крыму на соревнованиях умер школьник с болезнью сердца врача будут судить17:48Опрос hh.ru: почти у половины работающих россиян главная статья расходов – еда16:38Жительница Алтая выжила после того как над ней пронеслись 29 вагонов поезда14:53Российские ученые обнаружили антираковый механизм в организме женщин13:12Американец пытался вывезти из России детеныша краснокнижного сервала под видом котенка12:40Депутаты предлагают разрешить полиции вскрывать машины с запертыми животными11:48                                                10 ноября                                            Российские врачи спасли от паралича подростка поставив ему 3D-имплант17:14Пес по имени Кусь спас одинокого пенсионера в Твери16:25Новая схема аферистов: мошенники начали звонить россиянам через сервисы объявлений15:29«День борьбы с кибербуллингом»: травле в сети чаще подвергаются школьники15:02Пропавший на Чукотке самолет Ан-2 найден все живы13:44Все новости                            Ваш вопрос лучшим специалистамВаш вопрос лучшим специалистам об образовании и воспитании детей.  Ответы специалистов                                    Ребенок получил травму в школе. Как взыскать компенсацию за лечение?                                Читать ответ                                    Учусь на филфаке и мечтаю работать в школе. Можно ли начать уже сейчас?                                Читать ответ                                    «Дочь боится учителя так что не спит по ночам». 5 шагов чтобы решить проблему                                Читать ответ                                    Соседи жалуются что мои дети громко топают. Мы нарушаем закон?                                Читать ответ                                    У моего ребенка особенности здоровья. Может ли учитель менее строго оценивать его работы?                                Читать ответВсе вопросы и ответы                            Новое на сайте                «Сын потратил на онлайн-игру 10 тысяч долларов». Геймеры и их близкие — о зависимости                            «Секунда — и ребенок падает на раскаленные угли». Врач ожогового отделения — о родительской беспечности и тяжелом лечении                    фото    Помогаем                Даша потеряла слух в младенчестве                            Как поступить в вуз если ты не гений и не миллионер? Педагог Константин Поливанов — о ЕГЭ и нечитающих детях                    фото     Помогите «Правмиру»Самое читаемое«Сын потратил на онлайн-игру 10 тысяч долларов». Геймеры и их близкие — о зависимости1 896«Для друга ничего не жалко!» Лучшие фото собак в 2023 году1 713«Секунда — и ребенок падает на раскаленные угли». Врач ожогового отделения — о родительской беспечности и тяжелом лечении27 998В Крыму на соревнованиях умер школьник с болезнью сердца врача будут судить1 20001020304ТемаК доске! Лучшие видеоинтервью«К доске» — видеопроект «Правмира» о современном образовании. Анна Данилова берет интервью у лучших учителей психологов и врачей.«В школе математику превратили в гонку на скорость». Женя КацРабота мозга у школьника: что надо знать родителям? Вячеслав ДубынинУмный тот кто хорошо знает математику? Сложные вопросы декану матфака ВышкиКак не готовить детей к позавчерашнему дню. Людмила Петрановская«Ребенок был милый зайка но вдруг испортился». Инструкция к подростку от учителя Ирины ЛукьяновойРебенок опух от дат а историю не знает. Учитель Леонид Кацва — о том как учить ее по-другому«Не стой на сквозняке — простудишься!» Врач Владимир Коршок разбирает главные мифы о здоровье детейРебенок ненавидит математику — как это изменить? Преподаватель Лидия БычковаОт чего на самом деле портится зрение у детей. 20 вопросов офтальмологуЗдоровье подростка — какие тревожные звонки нельзя пропустить. Педиатр Наталия Белова«В школе математику превратили в гонку на скорость». Женя КацРабота мозга у школьника: что надо знать родителям? Вячеслав ДубынинУмный тот кто хорошо знает математику? Сложные вопросы декану матфака ВышкиКак не готовить детей к позавчерашнему дню. Людмила Петрановская«Ребенок был милый зайка но вдруг испортился». Инструкция к подростку от учителя Ирины ЛукьяновойРебенок опух от дат а историю не знает. Учитель Леонид Кацва — о том как учить ее по-другому«Не стой на сквозняке — простудишься!» Врач Владимир Коршок разбирает главные мифы о здоровье детейРебенок ненавидит математику — как это изменить? Преподаватель Лидия БычковаОт чего на самом деле портится зрение у детей. 20 вопросов офтальмологуЗдоровье подростка — какие тревожные звонки нельзя пропустить. Педиатр Наталия БеловаВсе материалы                                 Правмир объясняетДарья РощеняМожно ли перевести сына-первоклассника на семейное обучение если школа отказывает? Дарья РощеняКак правильно поощрять ребенка?  Дарья Рощеня Как вести себя с подростком чтобы не хамил а уважал и ценил?                          Нужна помощь                                        Что ждет российскую экономику. Наталья Зубаревич                                    За счет чего растут социальные выплаты                Читать                        Не пропустите материалы которые меняют жизньПравославная стенгазета                Православная стенгазета № 45 (725)                            (PDF)                                    157 МБ                            Что это?Все выпускиДругие материалы            Дэвид Холмс — парень который выжил. История дублера из фильмов о Гарри Поттере        О травме на съемках дружбе с актерами и будущемПомогаем            Даша заболела гриппом и перестала ходить        Врачи до сих пор не знают точный диагноз            Геометрия с конструктором и задача про котят. 5 математических игр от Жени Кац        Вы и сами не сможете от них оторваться            Нарушает границы грубит и не ходит к супервизору. 5 признаков что психолог вам не подходит        «Правмир» отвечает на вопросы читателей            «Покатай меня черепаха!» Смешные фото диких животных - 2023        Очаровательные медвежата танцующие пингвины и веселый кенгуру            «Мы все чаще изучаем кандидатов через соцсети». 5 фактов которые работодатель узнает из вашего профиля        Стоит ли удалять страницу перед собеседованием            Дети учат иностранные языки быстрее чем взрослые? 5 научных исследований о билингвизме        Что будет если говорить с младенцем по-китайскиПоказать ещеПомочь «Правмиру»Наши проекты                                        Благотворительный фонд «Правмир»                                                                            Помогаем всем миром                                                                            Матроны.ру                                                                            Консервативный женский журнал                                                                            Лекторий «Живое общение»                                                                            Интересные собеседники встречи дискуссии                                                                            Не инвалид.ру                                                                            Энциклопедия мужества                                                                            Стенгазета                                                                            Православная PDF-стенгазета для церковных приходов                                                                            Pravmir.com                                                                            Издание на английском языке                                                        Функционирует при финансовой поддержке Министерства цифрового развития связи и массовых коммуникаций                РассылкаО порталеКонтактыРекламаДрузья и партнёрыАрхив сервисовПолитика конфиденциальности                                RSS                            Помочь «Правмиру»                            Давайте дружить!Памяти основателя     © 2003—2023.                        Сетевое издание Правмир зарегистрировано в Федеральной службе по надзору в сфере связи информационных технологий                        и массовых коммуникаций (Роскомнадзор).                         Реестровая запись ЭЛ № ФС 77 – 85438 от 13.06.2023 г. (внесение изменений в свидетельство ЭЛ ФС 77-44847 от 03.05.2011 г.)                         Учредитель: Автономная некоммерческая организация информационно-познавательный центр «Правмир» (АНО «Правмир») (ОГРН 1107799036730)                        Главный редактор: Данилова А.А.                                                Адрес электронной почты редакции: info@pravmir.ru                         Телефон: +7 929 952 59 99                        Чтобы связаться с редакцией или сообщить обо всех замеченных ошибках воспользуйтесь формой обратной связи.                        Републикация материалов сайта в печатных изданиях (книгах прессе)                        возможна только с письменного разрешения редакции.                        Мнение авторов статей портала может не совпадать с позицией редакции.Дизайн сайта -</t>
  </si>
  <si>
    <t>www.pravmir.ru</t>
  </si>
  <si>
    <t>Когда в 2023 году Пасха у православных и католиков?</t>
  </si>
  <si>
    <t>9 мар. 2023 г. —</t>
  </si>
  <si>
    <t>https://1prof.by/news/stil-zhizni/kogda-v-2023-godu-hristiane-otprazdnuyut-pashu/</t>
  </si>
  <si>
    <t xml:space="preserve">Белорусский Портал 1Prof.by – Новости ФПБ Беларуси Мира                                Федерация профсоюзов Беларуси                                                                              Федерация профсоюзов Беларуси                                            ПрофгидБеларуски                                                    часЮридическая помощьВ странеВ миреОбщество и профсоюзыЭкономика и бизнесСтиль жизниСпортВидео                                                    Слушать радио                                                                                                        Новое радио                                                                                                            Народное радио                                                     Найти                                            Искать в категориях:В странеВ миреОбщество и профсоюзыЭкономика и бизнесСтиль жизниСпортМониторинг ценБеларусь VS санкцииПомог профсоюзVIII пленум Совета ФПБПрофгид                                        Юридическая помощьНаверх                                                                                Отработал год а отпуск не дают. Что делать?                                                                                                                    Минус 20% от зарплаты ежемесячно в качестве штрафа. Прав ли наниматель?                                                                                                                    Сколько придется заплатить тем кто не желает распределяться после учебы на бюджете                                                                                                                    Могут ли отстранить от работы если не прошел медосмотр? Советы юристов                                                                                                                    Съездил в командировку – не досчитался денег. В деле разбирался профсоюз                                                                    Выбор редакции                            Михаил Орда: «Главная сила белорусов – в созидательном труде» В странеИспользование средств семейного капитала для получения медпомощи: что изменилось в 2023 году В странеС 1 января 2024 г. базовая ставка вырастет на 64%. Как это отразится на зарплатах бюджетников? Экономика и бизнесМенее чем через два месяца в Беларуси изменится порядок выплат по больничным Общество и профсоюзыКонтроль над председателем и ликвидация «мертвых душ». Что изменится для товариществ собственников жилья? В странеТребуются трактористы и дорожные рабочие. Кому еще предложат работу во время Дня предприятия в Минске В стране                                                                                Отработал год а отпуск не дают. Что делать?                                                                                                                                                            Минус 20% от зарплаты ежемесячно в качестве штрафа. Прав ли наниматель?                                                                                                                                                            Сколько придется заплатить тем кто не желает распределяться после учебы на бюджете                                                                                                                                                            Могут ли отстранить от работы если не прошел медосмотр? Советы юристов                                                                                                                                                            Съездил в командировку – не досчитался денег. В деле разбирался профсоюз                                                                            «МИТСО» проведет День открытых дверей 11 ноября. Какие еще вузы приглашают абитуриентов в гости В странеМнение        Время такое когда надо работать локтями на внутреннем и внешних рынках. Олег Фёдоров газета "Беларускi Час"Некоторых бюджетников в Беларуси ждет оптимизация. Как она будет проходить? В странеКак восстановить утерянные права и что грозит за езду без водительского удостоверения В стране                                АКТУАЛЬНО                            Куда сходить субботним вечером и в единственный на этой неделе выходной Выходной без дивана  Стиль жизни В декабре белорусов ждут большие выходные. Сколько дополнительных дней отдыха будет в 2024 г.? Стиль жизни Обновились правила кредитования и международных переводов. Что еще нового у белорусских банков Экономика и бизнес Без экзаменов или после собеседования. Кто сможет таким образом поступить в вуз в 2024 г.? В странеМедиатека                            Еще                Благодарность за труд. Акция “Мы вместе – За Беларусь” – в Слуцком районе                                10 ноября 2023Секреты красоты. Выставка ” ИнтерСТИЛЬ-2023″                                09 ноября 2023Юридический консультант от 1prof.by. Как может уволиться молодой специалист                                08 ноября 2023Финансовая грамотность. Что может заинтересовать налоговую?                                06 ноября 2023“Мы вместе –”Мы вместе – За Беларусь!”. Новолукомль                                03 ноября 2023В Бобруйске чествовали лучших работников в рамках народной акции                                02 ноября 2023Юридический консультант от 1prof.by. В течении какого периода вы считаетесь молодым специалистом?                                31 октября 2023Соревновались в силе но не слова. Чемпионат по колке дров среди журналистов                                29 октября 2023                                        спецпроекты                                                                                     Еще                                                                                         За 7 верст                                                                                    Помог профсоюз                                                                                    Звездный путь                                                                                    Свой среди своих                                                                                            В стране                                                                                                            Еще                                                         Зафиксируйте разницу: две сети кофеен разбирались в суде путают ли их белорусы11 ноября 2023Фонд Президента по поддержке культуры и искусства будет помогать проектам по патриотическому воспитанию11 ноября 2023В квартирах отопление включили месяц назад. Когда станут теплыми батареи в подъезде?11 ноября 2023Езда по МКАД станет более быстрой и удобной? ГАИ предлагает увеличить количество переходно-скоростных полос11 ноября 2023                                                         Общество и профсоюзы                                                                                                                    Еще                                                             Белорусский банковский профсоюз расширяет сотрудничество с вьетнамскими коллегами11 ноября 2023Председатель профсоюза АПК чествовал работников сельхозорганизаций Слуцкого района11 ноября 2023Министерство жилищно-коммунального хозяйства и отраслевой профсоюз заключили тарифное соглашение11 ноября 2023Соцпартнеры профорганизаций Брестчины готовятся к предстоящей зиме10 ноября 2023                                                         В мире                                                                                                                    Еще                                                             Женщины Польши за равенство на рынке труда и в воспитании детей11 ноября 2023В Польше растет число заражений коронавирусом11 ноября 2023Турция стала третьей по популярности страной среди европейских туристов10 ноября 2023Воровство в польских магазинах становится социальной проблемой10 ноября 2023                                                         Стиль жизни                                                                                                                    Еще                                                             Что стоит за доставкой посылок к «черной пятнице»?11 ноября 2023От новых начинаний для Близнецов до глубокого самоанализа у Рыб. Гороскоп с 13 по 19 ноября11 ноября 2023Гибкий график работы может значительно улучшить здоровье11 ноября 2023В рабочую субботу конкурсанты проекта «Звездный путь» поборются за выход в полуфинал11 ноября 2023                                                     Экономика и бизнес                                                                                                            Еще                                                         К концу года красная икра может подешеветь – Росрыболовство10 ноября 2023Министр финансов поделился планами по увеличению зарплаты бюджетников в 2024 г.10 ноября 2023Как списать пеню за долги по оплате ЖКУ?09 ноября 2023Продажи новых авто заметно выросли. В лидерах «китайцы»09 ноября 2023                                                         Спорт                                                                                                                    Еще                                                             На финишной прямой. Как прошел 27-й тур чемпионата Беларуси по футболу в Высшей лиге06 ноября 2023Попасть на Олимпиаду никогда не поздно даже если тебе 6003 ноября 2023Летняя Олимпиада-2024 в Париже: белорусские спортсмены готовятся несмотря ни на что02 ноября 2023«Золотой мяч»-2023. Кто получил призы кроме Месси?31 октября 2023  Медиатека                            Еще                Благодарность за труд. Акция “Мы вместе – За Беларусь” – в Слуцком районе                                10 ноября 2023Секреты красоты. Выставка ” ИнтерСТИЛЬ-2023″                                09 ноября 2023Юридический консультант от 1prof.by. Как может уволиться молодой специалист                                08 ноября 2023Финансовая грамотность. Что может заинтересовать налоговую?                                06 ноября 2023“Мы вместе –”Мы вместе – За Беларусь!”. Новолукомль                                03 ноября 2023В Бобруйске чествовали лучших работников в рамках народной акции                                02 ноября 2023Юридический консультант от 1prof.by. В течении какого периода вы считаетесь молодым специалистом?                                31 октября 2023Соревновались в силе но не слова. Чемпионат по колке дров среди журналистов                                29 октября 2023Мнение        Время такое когда надо работать локтями на внутреннем и внешних рынках. Олег Фёдоров газета "Беларускi Час"КонтактыКонтакты Федерации профсоюзов БеларусиКонтакты редакции портала 1prof.byРекламодателямЗащита персональных данныхРубрикиВ странеВ миреЭкономика и бизнес  Общество и профсоюзыСтиль жизниСпорт ПроектыБесплатная юридическая помощьКурган Славы  Помог профсоюзProfГид                 © 2007-2023 Унитарное предприятие «ИД «Проф-Пресс»            Лента новостей                    Слушать радио                                        Новое радио                                            Народное радио                     Лента новостей11 ноября 202319:57В миреЖенщины Польши за равенство на рынке труда и в воспитании детей19:03Общество и профсоюзыБелорусский банковский профсоюз расширяет сотрудничество с вьетнамскими коллегами18:35В странеЗафиксируйте разницу: две сети кофеен разбирались в суде путают ли их белорусы18:02Стиль жизниЧто стоит за доставкой посылок к «черной пятнице»?17:11Общество и профсоюзыПредседатель профсоюза АПК чествовал работников сельхозорганизаций Слуцкого района16:34Общество и профсоюзыМинистерство жилищно-коммунального хозяйства и отраслевой профсоюз заключили тарифное соглашение16:19В странеФонд Президента по поддержке культуры и искусства будет помогать проектам по патриотическому воспитанию15:09Стиль жизниОт новых начинаний для Близнецов до глубокого самоанализа у Рыб. Гороскоп с 13 по 19 ноября14:26В странеВ квартирах отопление включили месяц назад. Когда станут теплыми батареи в подъезде?13:59Стиль жизниГибкий график работы может значительно улучшить здоровье13:26В странеИспользование средств семейного капитала для получения медпомощи: что изменилось в 2023 году12:52В странеЕзда по МКАД станет более быстрой и удобной? ГАИ предлагает увеличить количество переходно-скоростных полос12:02Экономика и бизнесС 1 января 2024 г. базовая ставка вырастет на 64%. Как это отразится на зарплатах бюджетников?11:03В странеБелорусов обеспечат зимой свежими отечественными огурцами. Что еще выращивают в стране в межсезонье?10:14Выходной без диванаКуда сходить субботним вечером и в единственный на этой неделе выходной09:20Звездный путь - 2023В рабочую субботу конкурсанты проекта «Звездный путь» поборются за выход в полуфинал08:51В странеВ Нацбанке рассказали сколько денег белорусы хранят на депозитах08:11В миреВ Польше растет число заражений коронавирусом10 ноября 202322:25Благодарность за труд. Акция “Мы вместе – За Беларусь” – в Слуцком районе20:01Стиль жизниЗеркальная дата 11.11.23 г. овеяна мистикой: как привлечь удачу и деньги19:19В странеРусский дом в Минске переехал18:02В странеКак будут строить жилье в городах-спутниках и почему акцент делают на Смолевичи17:49Стиль жизниКак и когда квасить капусту по лунному календарю в ноябре 2023. Лучшие дни и сорта секреты умелых хозяек17:33Общество и профсоюзыМенее чем через два месяца в Беларуси изменится порядок выплат по больничным17:04Общество и профсоюзыСоцпартнеры профорганизаций Брестчины готовятся к предстоящей зиме16:33В миреТурция стала третьей по популярности страной среди европейских туристов15:52Стиль жизниМеньше водки больше ликера: что пили белорусы в 2023 году15:50В странеКонтроль над председателем и ликвидация «мертвых душ». Что изменится для товариществ собственников жилья?15:46В странеМихаил Орда: «Главная сила белорусов – в созидательном труде»15:36Общество и профсоюзы«БЕЛПРОФМАШ» ведет диалог с нанимателями по вопросам соцпартнерства15:17В миреВоровство в польских магазинах становится социальной проблемой14:36В странеБелорусские вузы и колледжи увеличат набор абитуриентов в 2024 году14:11В странеКак восстановить утерянные права и что грозит за езду без водительского удостоверения13:18В странеДля оплаты имущественных налогов одним платежом появится специальное ПО13:04Экономика и бизнесК концу года красная икра может подешеветь – Росрыболовство12:03Экономика и бизнесМинистр финансов поделился планами по увеличению зарплаты бюджетников в 2024 г.11:48В странеУтвержден логотип единого дня голосования. Как идет подготовка к важному событию10:57Общество и профсоюзыБелпрофсоюзкурорт и Новгородская областная Федерация профсоюзов подписали соглашение о взаимном сотрудничестве10:07Стиль жизниВ соседнюю страну пришел гонконгский грипп. Что это такое и как не заболеть?09:35Стиль жизниКак сэкономить электричество и сберечь ресурсы? Полезные советы от Департамента по энергоэффективности08:57В миреКак в Швеции достигли баланса между работой и личной жизнью08:11Стиль жизниКак одеться на собеседование чтобы получить работу?9 ноября 202320:05Общество и профсоюзыМедучреждения готовятся к работе зимой19:07В миреГолливудские актеры прекращают забастовку18:33В странеСколько человек приехало из соседних стран в Беларусь с начала года рассказали в Госпогранкомитете17:55В миреПочему жители Мадрида живут дольше чем кто-либо в ЕС?17:37Секреты красоты. Выставка ” ИнтерСТИЛЬ-2023″17:33Общество и профсоюзыПрофсоюзы Могилевской области обещают внимательно следить за социально-экономическим развитием региона17:05Стиль жизниЗа брошенный на остановке хлам – штраф. А что грозит если выбросить мусор из окна автомобиля?16:50Экономика и бизнесКак списать пеню за долги по оплате ЖКУ?Все новости </t>
  </si>
  <si>
    <t>1prof.by</t>
  </si>
  <si>
    <t>Когда Пасха 2023 года: дата празднования в Украине</t>
  </si>
  <si>
    <t>https://novy.tv/ru/g-space/layfhaki/2023/04/16/kogda-pasha-2022-data-prazdnovanyya-v-ukrayne/</t>
  </si>
  <si>
    <t>Пасха 2023: дата, традиции, история праздника - ТСН</t>
  </si>
  <si>
    <t>Так, по юлианскому календарю, по которому празднует все святая православная Церковь, Пасха 2023 года приходится на 16 апреля. По григорианскому календарю ...</t>
  </si>
  <si>
    <t>https://tsn.ua/ru/ukrayina/kogda-pasha-2023-goda-istoriya-i-tradicii-narodnye-primety-i-silnaya-molitva-2245162.html</t>
  </si>
  <si>
    <t xml:space="preserve">Новини України і світу сьогодні • Головні і останні новини дня на ТСНУсі публікаціїКраще з YoutubeЕксклюзив ТСНУкрaїнaПолітикаВійнаГламурПроспортЛедіЗдоров’яАстрологіяВідеоРецептиЕкономікаКиївЛьвівЦікaвинкиПопулярні тегиВипуски ТСНСвітТуризмАвтоНаука та ITДопомогаРізнеРедакціяЩеНаживоМова сайтуUARUENОзброєння та арміяRussian invasion of UkraineАктуальні запитиМатеріали для ГаагиТСН у соціальних мережахFacebookYouTubeInstagramTelegramViberTwitterСьогодні:нд 12 листопадаКурс валют:$36.04€37.76НаживоУсі публікаціїКраще з YoutubeЕксклюзив ТСНУкрaїнaПолітикаВійнаГламурПроспортЛедіЗдоров’яАстрологіяВідеоРецептиЕкономікаКиївЛьвівЦікaвинкиПопулярні тегиВипуски ТСНСвітТуризмАвтоНаука та ITДопомогаРізнеРедакціяМова сайтуРусская версияМова сайтуIn EnglishОстанні новини дня в Україні та світі на сайтіТСНТільки в ТСН                            Українці повертаються із Сектору Гази — фото і відео з аеропорту Кишинева                                                    Дата публікації23:21 11.11.23                            "Шантажі заколоти і теракти": в ОП відповіли чим загрожує Україні та іншим країнам проблема "втоми від війни"                                                    Дата публікації21:24 11.11.23                            На дві проросійські країни чекає зміна режиму: західний політолог описав Європу після закінчення війни                                                    Дата публікації17:33 11.11.23                            Наслідки обстрілів РФ по Україні: у Міненерго розповіли де не буде світла                                                    Дата публікації16:02 11.11.23                    Українці повертаються із Сектору Гази — фото і відео з аеропорту Кишинева                                    Дата публікації23:21 11.11.23Укрaїнa"Шантажі заколоти і теракти": в ОП відповіли чим загрожує Україні та іншим країнам проблема "втоми від війни"Дата публікації21:24 11.11.23СвітНа дві проросійські країни чекає зміна режиму: західний політолог описав Європу після закінчення війниДата публікації17:33 11.11.23ВійнаНаслідки обстрілів РФ по Україні: у Міненерго розповіли де не буде світлаДата публікації16:02 11.11.23Військові втрати країни загарбника росії у війні з україноюОсобовий склад~ 308720Літаки322Гелікоптери324Танки5316Броньовані машини10014Системи артилерії7475Засоби ППО577РСЗВ875Автотехніка цистерни з ППМ9853Спецтехніка1059БпЛА ОТР5593Кораблі та катери20Стрічка новин                                На Запоріжжі загарбники створюють "адміністративні органи" щоб більше видавати російських паспортів                            Дата публікації05:28 12.11.23Перегляди        44                                    Вороги навчають колаборантів з тимчасово окупованих територій у Сибіру                            Дата публікації05:02 12.11.23Перегляди        152                                    Астрологічний прогноз на 12 листопада                            Дата публікації05:00 12.11.23Перегляди        159                                    На Прикарпатті очікують погіршення погоди: місцевих жителів та туристів закликають утриматися від походів в гори                             Дата публікації04:28 12.11.23Перегляди        89                                    Річниця звільнення Херсона: Зеленський нагородив українців які чинили спротив загарбникам та визволяли місто                            Дата публікації03:52 12.11.23Перегляди        71                                    В Україні погіршиться погода: у ДСНС нагадали правила поведінки                            Дата публікації03:26 12.11.23Перегляди        236                                    У вантажівці перед пунктом пропуску помер український водій який очікував на перетин кордону з Польщею                            Дата публікації02:57 12.11.23Перегляди        643                                    Стало відомо скільки в Україні переселенців                            Дата публікації02:27 12.11.23Перегляди        523                                    Нетаньягу заявляє що Ізраїль буде проти повернення палестинської влади в Секторі Газа після війни                            Дата публікації01:56 12.11.23Перегляди        345                                    Ракам варто знайти гармонію а у Левів можливі нові виклики: гороскоп за картами Таро на 12 листопада 2023 року                            Дата публікації01:28 12.11.23Перегляди        676                                    Експерт пояснив чому вибухи в Києві було чутно до початку тривоги                            Дата публікації00:58 12.11.23Перегляди        938                                    На Миколаївщині пролунали вибухи - моніторингові канали                            Дата публікації00:31 12.11.23Перегляди        941                                    Ла Ліга: розклад і результати матчів 13-го туру чемпіонату Іспанії з футболу таблиця                ОновленоДата публікації00:23 12.11.23Перегляди        1643                                    Україною шириться повітряна тривога: перебувайте в укриттях                            Дата публікації00:11 12.11.23Перегляди        2079                    "Реал" з Луніним знищив "Валенсію" Яремчука та наблизився до "Жирони" в таблиці Примери (відео)                            Дата публікації23:56 11.11.23Перегляди        351                                    Розтрощив п’ять авто і побився з водіями: у Києві масштабна ДТП перетворилася в бійку (фото)                            Дата публікації23:55 11.11.23Перегляди        1545                                    Серія А: розклад і результати матчів 12-го туру чемпіонату Італії з футболу таблиця                ОновленоДата публікації23:50 11.11.23Перегляди        1097                                    Що планує РФ на фронті до кінця року: у командуванні ЗСУ назвали напрямок на порядку денному у ворога                            Дата публікації23:46 11.11.23Перегляди        1092                                    “Те саме що в Газі ми можемо зробити в Бейруті”: міністр оборони Ізраїлю зробив грізну заяву                            Дата публікації23:26 11.11.23Перегляди        1585                                    Українці повертаються із Сектору Гази — фото і відео з аеропорту Кишинева                            Дата публікації23:21 11.11.23Перегляди        2628                    Все дуже серйозно: українців попередили про найважчу зиму в історії                            Дата публікації23:05 11.11.23Перегляди        16к                                    "Заберіть все ну його...": росіянин проситься додому і відмовляється брати участь у штурмі (перехоплення)                            Дата публікації22:49 11.11.23Перегляди        1627                                    Чи будуть блекаути взимку: міністр нагадав хто лякав українців “віяловими відключеннями”                            Дата публікації22:41 11.11.23Перегляди        1499                    Трагедія у 128-й бригаді обросла дивними подробицями: хто "щур" і що не так із командиром                            Дата публікації22:30 11.11.23Перегляди        109к                    Зупинилося серце: в Албанії під час матчу помер футболіст яким цікавилися "Шахтар" і "Зоря" (відео)                            Дата публікації22:21 11.11.23Перегляди        2645                                    Як РФ намагається атакувати енергосистему України і чого від неї очікувати: Галущенко - про тактику ворога                            Дата публікації22:11 11.11.23Перегляди        539                                    У сукні з ажурними рукавами і вбранні з квітковими аплікаціями: ніжні образи Олі Полякової на моновиставі                            Дата публікації22:07 11.11.23Перегляди        1426                                    У золотій білизні з ланцюжками: модель похизувалася ідеальною фігурою і сексуальними сідницями                            Дата публікації22:06 11.11.23Перегляди        2217                                    Гороскоп на 12 листопада для всіх знаків зодіаку: день коли потрібно уникати зіткнень із близькими                            Дата публікації21:59 11.11.23Перегляди        18к                                    “Дістанемо окупанта”: Зеленський пообіцяв відплату за удари по звільненому Херсону                            Дата публікації21:58 11.11.23Перегляди        872                                    Кохана футболіста збірної Англії у шоколадному купальнику похизувалася стрункою фігурою і браслетом за 174 тисячі гривень                            Дата публікації21:57 11.11.23Перегляди        1381                                    До Мережі потрапило відео зачистки бойовиків "Вагнера" в Судані: на кадрах імовірно спецпідрозділи ГУР                            Дата публікації21:55 11.11.23Перегляди        6752                                    АПЛ: розклад і результати матчів 12-го туру чемпіонату Англії з футболу таблиця                ОновленоДата публікації21:37 11.11.23Перегляди        1125                                    "Шантажі заколоти і теракти": в ОП відповіли чим загрожує Україні та іншим країнам проблема "втоми від війни"                            Дата публікації21:24 11.11.23Перегляди        1604                                    У твідовому костюмі і з червною помадою: Тільда Свінтон у стильному луку з'явилася на показі містичної драми                            Дата публікації21:22 11.11.23Перегляди        783                                    Пострах для російських кораблів: український флот морських дронів за рік атакував 7 ворожих суден (відео)                            Дата публікації21:21 11.11.23Перегляди        393                                    Бундесліга: розклад і результати матчів 11-го туру чемпіонату Німеччини з футболу таблиця                ОновленоДата публікації21:21 11.11.23Перегляди        644                    Зеленський розповів про втрати ЗСУ і назвав єдиний спосіб закінчення війни                            Дата публікації21:20 11.11.23Перегляди        18к                                    Чому без спорту не вилікувати депресивний розлад: пояснює лікарка                            Дата публікації21:16 11.11.23Перегляди        4154                                    Без бюстгальтера: американська модель у червоній сукні блиснула пишними грудьми                            Дата публікації21:14 11.11.23Перегляди        1588    Більше новинГоловні новиниПолітикаНа Запоріжжі загарбники створюють "адміністративні органи" щоб більше видавати російських паспортівДата публікації05:28 12.11.23Перегляди        44    ПолітикаВороги навчають колаборантів з тимчасово окупованих територій у СибіруДата публікації05:02 12.11.23Перегляди        152    УкрaїнaНа Прикарпатті очікують погіршення погоди: місцевих жителів та туристів закликають утриматися від походів в гори Дата публікації04:28 12.11.23Перегляди        89    ПолітикаРічниця звільнення Херсона: Зеленський нагородив українців які чинили спротив загарбникам та визволяли містоДата публікації03:52 12.11.23Перегляди        71    УкрaїнaВ Україні погіршиться погода: у ДСНС нагадали правила поведінкиДата публікації03:26 12.11.23Перегляди        236    Зеленський: памʼять про звільнення Херсона вітання для Польщі і евакуація з Сектору ГазиДата публікації21:12 11.11.23Перегляди        46    ОстанніПопулярніУкраїна - "червона". Росія вгатила по Одещині. Останні новини про повітряну атакуДата публікації22:51 10.11.23Перегляди        451    Кордони заблоковані - наслідки страйку перевізників відчули всіДата публікації19:37 10.11.23Перегляди        456    Шуфричу продовжили перебування у СІЗО - хто хотів узяти нардепа на порукиДата публікації20:04 10.11.23Перегляди        434    Коли закінчиться війна – вихід на кордони 1991 року і дипломатичний шлях звільнення УкраїниДата публікації00:32 26.03.23Перегляди        1103    Країни-терористки на Олімпійських іграх: Чи пустять РосіюДата публікації11:45 26.03.23Перегляди        229    Комендантська година у столиці від 26 березня: зміни графікуДата публікації12:42 26.03.23Перегляди        570    Більше відеоВ трендіЖінка показала лайфгак як опалює цілі кімнати всього двома речами із садового центру – фотоДата публікації07:30 11.11.23Перегляди        157к    Усик – Ф'юрі: букмекери назвали фаворита бою за звання абсолютного чемпіона світуДата публікації14:51 11.11.23Перегляди        92к    Ексучасник "Дизель Шоу" Іваниця різко висловився про Писаренка та Нікішина які втекли до РосіїДата публікації15:33 11.11.23Перегляди        103к    Алла Пугачова вперше публічно висловила свою позицію щодо війни в Україні і відповіла хейтерамДата публікації14:29 11.11.23Перегляди        106к    “Ти — на війні”: Ярош долучився до скандалу через російську мову на фронтіДата публікації08:23 11.11.23Перегляди        90к    Коханка короля та утриманка: історія прабабусі королеви Камілли – Аліси КеппелДата публікації16:05 11.11.23Перегляди        45к    ПублікаціїЕксклюзив ТСНМодель українського "залізного купола": що допоможе ефективно збивати дрони і чому не вийде як в ІзраїліДата публікації11:02 23.10.23Перегляди        54к    Ексклюзив ТСНГлобальне розселення українців після війни: шість метрополісів де вируватиме життяДата публікації16:29 16.10.23Перегляди        345к    Ексклюзив ТСНКоли закінчиться війна в Україні і до чого тут США: військовий експерт Жданов дав свій прогнозДата публікації10:15 25.09.23Перегляди        125к    СпецтемаРакетна атака на Київ: у ГУР прокоментувалиРакетна атака по Києву: в РФ заявили про нібито "влучання" у склад боєприпасів ЗСУРосія посилила атаки балістикою: у ЗСУ пояснили що це означає"Росія мститься за Херсон": Зеленський про нещадні обстріли окупантівСпецтемаРакетна атака на Київ: у ГУР прокоментувалиРакетна атака по Києву: в РФ заявили про нібито "влучання" у склад боєприпасів ЗСУДата публікації15:11 11.11.23Росія посилила атаки балістикою: у ЗСУ пояснили що це означаєДата публікації14:13 11.11.23"Росія мститься за Херсон": Зеленський про нещадні обстріли окупантівДата публікації12:43 11.11.23ЛедіАстрологічний прогноз на 12 листопадаДата публікації05:00 12.11.23Перегляди        159    У сукні з ажурними рукавами і вбранні з квітковими аплікаціями: ніжні образи Олі Полякової на моновиставіДата публікації22:07 11.11.23Перегляди        1426    У золотій білизні з ланцюжками: модель похизувалася ідеальною фігурою і сексуальними сідницямиДата публікації22:06 11.11.23Перегляди        2217    Гороскоп на 12 листопада для всіх знаків зодіаку: день коли потрібно уникати зіткнень із близькимиДата публікації21:59 11.11.23Перегляди        18к    Кохана футболіста збірної Англії у шоколадному купальнику похизувалася стрункою фігурою і браслетом за 174 тисячі гривеньДата публікації21:57 11.11.23Перегляди        1381    У твідовому костюмі і з червною помадою: Тільда Свінтон у стильному луку з'явилася на показі містичної драмиДата публікації21:22 11.11.23Перегляди        783    Астрологічний прогноз на 12 листопадаДата публікації05:00 12.11.23Перегляди        159    У сукні з ажурними рукавами і вбранні з квітковими аплікаціями: ніжні образи Олі Полякової на моновиставіДата публікації22:07 11.11.23Перегляди        1426    У золотій білизні з ланцюжками: модель похизувалася ідеальною фігурою і сексуальними сідницямиДата публікації22:06 11.11.23Перегляди        2217    Гороскоп на 12 листопада для всіх знаків зодіаку: день коли потрібно уникати зіткнень із близькимиДата публікації21:59 11.11.23Перегляди        18к    Кохана футболіста збірної Англії у шоколадному купальнику похизувалася стрункою фігурою і браслетом за 174 тисячі гривеньДата публікації21:57 11.11.23Перегляди        1381    У твідовому костюмі і з червною помадою: Тільда Свінтон у стильному луку з'явилася на показі містичної драмиДата публікації21:22 11.11.23Перегляди        783    Астрологічний прогноз на 12 листопадаДата публікації05:00 12.11.23Перегляди        159    У сукні з ажурними рукавами і вбранні з квітковими аплікаціями: ніжні образи Олі Полякової на моновиставіДата публікації22:07 11.11.23Перегляди        1426    У золотій білизні з ланцюжками: модель похизувалася ідеальною фігурою і сексуальними сідницямиДата публікації22:06 11.11.23Перегляди        2217    Гороскоп на 12 листопада для всіх знаків зодіаку: день коли потрібно уникати зіткнень із близькимиДата публікації21:59 11.11.23Перегляди        18к    Кохана футболіста збірної Англії у шоколадному купальнику похизувалася стрункою фігурою і браслетом за 174 тисячі гривеньДата публікації21:57 11.11.23Перегляди        1381    У твідовому костюмі і з червною помадою: Тільда Свінтон у стильному луку з'явилася на показі містичної драмиДата публікації21:22 11.11.23Перегляди        783    Новини партнерівВійна“Демілітаризація України”: як Росія виправдовує свою агресію постачанням західної зброїДата публікації19:52 03.11.23Перегляди        1159    УкрaїнaДезінформація про мобілізацію в Україні: чому і як Росія намагається зірвати рекрутинг до ЗСУДата публікації10:10 10.10.23Перегляди        4519    ЛедіСмачно цікаво інтерактивно! Бренд «Живчик» долучився до сімейного фестивалю «Мамазліт на набережній» Новини компанійДата публікації08:00 22.09.23Перегляди        1582    Новини КиєваЕксперт пояснив чому вибухи в Києві було чутно до початку тривогиДата публікації00:58 12.11.23Перегляди        938    Розтрощив п’ять авто і побився з водіями: у Києві масштабна ДТП перетворилася в бійку (фото)Дата публікації23:55 11.11.23Перегляди        1545    У Києві за 15 млн грн продають найменшу квартиру: який вона має вигляд (фото)Дата публікації21:05 11.11.23Перегляди        3433    Впала і досі не може підвестися: під час ракетного обстрілу Київщини сильно постраждала Тигрюля (відео)Дата публікації20:14 11.11.23Перегляди        4823    Наслідки ракетної атаки на Київщину: місцева влада озвучила збитки (фото)Дата публікації18:48 11.11.23Перегляди        3784    В Україні продовжують зростати ціни на автогаз: моніторинг мереж АЗСДата публікації18:25 11.11.23Перегляди        1308    Експерт пояснив чому вибухи в Києві було чутно до початку тривогиДата публікації00:58 12.11.23Перегляди        938    Розтрощив п’ять авто і побився з водіями: у Києві масштабна ДТП перетворилася в бійку (фото)Дата публікації23:55 11.11.23Перегляди        1545    У Києві за 15 млн грн продають найменшу квартиру: який вона має вигляд (фото)Дата публікації21:05 11.11.23Перегляди        3433    Впала і досі не може підвестися: під час ракетного обстрілу Київщини сильно постраждала Тигрюля (відео)Дата публікації20:14 11.11.23Перегляди        4823    Наслідки ракетної атаки на Київщину: місцева влада озвучила збитки (фото)Дата публікації18:48 11.11.23Перегляди        3784    В Україні продовжують зростати ціни на автогаз: моніторинг мереж АЗСДата публікації18:25 11.11.23Перегляди        1308    Експерт пояснив чому вибухи в Києві було чутно до початку тривогиДата публікації00:58 12.11.23Перегляди        938    Розтрощив п’ять авто і побився з водіями: у Києві масштабна ДТП перетворилася в бійку (фото)Дата публікації23:55 11.11.23Перегляди        1545    У Києві за 15 млн грн продають найменшу квартиру: який вона має вигляд (фото)Дата публікації21:05 11.11.23Перегляди        3433    Впала і досі не може підвестися: під час ракетного обстрілу Київщини сильно постраждала Тигрюля (відео)Дата публікації20:14 11.11.23Перегляди        4823    Наслідки ракетної атаки на Київщину: місцева влада озвучила збитки (фото)Дата публікації18:48 11.11.23Перегляди        3784    В Україні продовжують зростати ціни на автогаз: моніторинг мереж АЗСДата публікації18:25 11.11.23Перегляди        1308    Новини ЛьвоваВ Україні продовжують зростати ціни на автогаз: моніторинг мереж АЗСДата публікації18:25 11.11.23Перегляди        1308    Силою запхали чоловіка в бус: у ТЦК відреагували на відео із примусовою мобілізацією у ЛьвовіДата публікації15:17 11.11.23Перегляди        1603    На Львівщині мобілізована жінка майже рік не була на службі: як її покаралиДата публікації08:03 11.11.23Перегляди        19к    У Львові відновлюють будинок в який поцілила російська ракета: який він має виглядДата публікації19:35 10.11.23Перегляди        5323    В Україні продовжують зростати ціни на автогаз: моніторинг мереж АЗСДата публікації18:25 11.11.23Перегляди        1308    Силою запхали чоловіка в бус: у ТЦК відреагували на відео із примусовою мобілізацією у ЛьвовіДата публікації15:17 11.11.23Перегляди        1603    На Львівщині мобілізована жінка майже рік не була на службі: як її покаралиДата публікації08:03 11.11.23Перегляди        19к    У Львові відновлюють будинок в який поцілила російська ракета: який він має виглядДата публікації19:35 10.11.23Перегляди        5323    В Україні продовжують зростати ціни на автогаз: моніторинг мереж АЗСДата публікації18:25 11.11.23Перегляди        1308    Силою запхали чоловіка в бус: у ТЦК відреагували на відео із примусовою мобілізацією у ЛьвовіДата публікації15:17 11.11.23Перегляди        1603    На Львівщині мобілізована жінка майже рік не була на службі: як її покаралиДата публікації08:03 11.11.23Перегляди        19к    У Львові відновлюють будинок в який поцілила російська ракета: який він має виглядДата публікації19:35 10.11.23Перегляди        5323    ПресрелізиУ Києві відбудеться презентація Мобільного хірургічно-стабілізаційного пункту Keep Life: деталі Новини компанійДата публікації18:56 08.11.23Перегляди        286    Інтернет-магазин chime.com.ua розповів про Топ-5 трендів систем безпеки в Україні за 2023 рік Новини компанійДата публікації15:18 29.09.23Перегляди        473    Топ 3 причини розмістити статтюДата публікації11:58 27.09.23Перегляди        4588    Здорова атмосфера: Як озонування допомагає очистити повітря та дезінфікувати приміщення Новини компанійДата публікації10:49 27.09.23Перегляди        571    5 найпопулярніших кондиціонерів для обігріву взимку від компанії "Кондиціонери України"Дата публікації07:00 20.09.23Перегляди        1663    WhiteBIT та Visa підписали меморандум про наміри щоб співпрацювати задля підвищення зручності використання криптоактивів Новини компанійДата публікації17:30 15.08.23Перегляди        595    У Києві відбудеться презентація Мобільного хірургічно-стабілізаційного пункту Keep Life: деталі Новини компанійДата публікації18:56 08.11.23Перегляди        286    Інтернет-магазин chime.com.ua розповів про Топ-5 трендів систем безпеки в Україні за 2023 рік Новини компанійДата публікації15:18 29.09.23Перегляди        473    Топ 3 причини розмістити статтюДата публікації11:58 27.09.23Перегляди        4588    Здорова атмосфера: Як озонування допомагає очистити повітря та дезінфікувати приміщення Новини компанійДата публікації10:49 27.09.23Перегляди        571    5 найпопулярніших кондиціонерів для обігріву взимку від компанії "Кондиціонери України"Дата публікації07:00 20.09.23Перегляди        1663    WhiteBIT та Visa підписали меморандум про наміри щоб співпрацювати задля підвищення зручності використання криптоактивів Новини компанійДата публікації17:30 15.08.23Перегляди        595    У Києві відбудеться презентація Мобільного хірургічно-стабілізаційного пункту Keep Life: деталі Новини компанійДата публікації18:56 08.11.23Перегляди        286    Інтернет-магазин chime.com.ua розповів про Топ-5 трендів систем безпеки в Україні за 2023 рік Новини компанійДата публікації15:18 29.09.23Перегляди        473    Топ 3 причини розмістити статтюДата публікації11:58 27.09.23Перегляди        4588    Здорова атмосфера: Як озонування допомагає очистити повітря та дезінфікувати приміщення Новини компанійДата публікації10:49 27.09.23Перегляди        571    5 найпопулярніших кондиціонерів для обігріву взимку від компанії "Кондиціонери України"Дата публікації07:00 20.09.23Перегляди        1663    WhiteBIT та Visa підписали меморандум про наміри щоб співпрацювати задля підвищення зручності використання криптоактивів Новини компанійДата публікації17:30 15.08.23Перегляди        595    ПроспортЛа Ліга: розклад і результати матчів 13-го туру чемпіонату Іспанії з футболу таблицяДата публікації00:23 12.11.23Перегляди        1643    "Реал" з Луніним знищив "Валенсію" Яремчука та наблизився до "Жирони" в таблиці Примери (відео)Дата публікації23:56 11.11.23Перегляди        351    Серія А: розклад і результати матчів 12-го туру чемпіонату Італії з футболу таблицяДата публікації23:50 11.11.23Перегляди        1097    Зупинилося серце: в Албанії під час матчу помер футболіст яким цікавилися "Шахтар" і "Зоря" (відео)Дата публікації22:21 11.11.23Перегляди        2645    Ла Ліга: розклад і результати матчів 13-го туру чемпіонату Іспанії з футболу таблицяДата публікації00:23 12.11.23Перегляди        1643    "Реал" з Луніним знищив "Валенсію" Яремчука та наблизився до "Жирони" в таблиці Примери (відео)Дата публікації23:56 11.11.23Перегляди        351    Серія А: розклад і результати матчів 12-го туру чемпіонату Італії з футболу таблицяДата публікації23:50 11.11.23Перегляди        1097    Зупинилося серце: в Албанії під час матчу помер футболіст яким цікавилися "Шахтар" і "Зоря" (відео)Дата публікації22:21 11.11.23Перегляди        2645    Ла Ліга: розклад і результати матчів 13-го туру чемпіонату Іспанії з футболу таблицяДата публікації00:23 12.11.23Перегляди        1643    "Реал" з Луніним знищив "Валенсію" Яремчука та наблизився до "Жирони" в таблиці Примери (відео)Дата публікації23:56 11.11.23Перегляди        351    Серія А: розклад і результати матчів 12-го туру чемпіонату Італії з футболу таблицяДата публікації23:50 11.11.23Перегляди        1097    Зупинилося серце: в Албанії під час матчу помер футболіст яким цікавилися "Шахтар" і "Зоря" (відео)Дата публікації22:21 11.11.23Перегляди        2645    Я дозволяю TSN.UA використовувати файли cookieПогоджуюсь                                                        повітряна тривога                                                                                Валерій Залужний                                                                                цікавинки                                                                                сектор Газа                                                                                авдіївка                                                                                курс валют                                                                                володимир зеленський                                                                                поради                                                                                війна                                                                                ізраїль                        Усі публікаціїКраще з YoutubeЕксклюзив ТСНУкрaїнaПолітикаВійнаГламурПроспортЗдоров’яАстрологіяВідеоРецептиЕкономікаКиївЛьвівЦікaвинкиПопулярні тегиВипуски ТСНСвітТуризмАвтоРедакціяАрхівТегиЛедіМодаКрасаЗдоров’яЗіркиПсихологіяДім та дітиКухняПодорожіКоролівські сім’їАвтоТест-драйвиОглядиВідеоКонтактиПартнерамРеклама на ТСНFacebookYouTubeInstagramTelegramViberTwitterPush-сповіщенняRSS стрічкаАстрологіяГороскопТаропрогнозВійнаОзброєння та арміяЕкономікаКурс валютДоларЄвроГривняПроспортЛіга чемпіонів УЄФААПЛЧемпіонат ІспаніїСерія АЧемпіонат ФранціїБундеслігаУПЛУкраїнаПогодаЯкий сьогодні деньДень ангела сьогодніЦерковне свято сьогодні© 2023 ТСНМова сайтуУкраїнська версіяРусская версияIn EnglishПро насПравила користування сайтомПолітика конфіденційностіВикористання файлів cookieФінансова допомога сайтуПублічний договір-офертаРозробка та дизайн сайту —                            </t>
  </si>
  <si>
    <t>tsn.ua</t>
  </si>
  <si>
    <t>Пасха - 2023: когда и как отмечают главный ...</t>
  </si>
  <si>
    <t>5 апр. 2023 г. —</t>
  </si>
  <si>
    <t>https://almaty.tv/news/obschestvo/1504-paskha-2023-kogda-i-kak-otmechayut-glavnyy-khristianskiy-prazdnik</t>
  </si>
  <si>
    <t>Когда отмечается православная Пасха в 2023 году?</t>
  </si>
  <si>
    <t>12 апр. 2023 г. —</t>
  </si>
  <si>
    <t>https://spbvedomosti.ru/news/questions/kogda-otmechaetsya-pravoslavnaya-paskha-v-2021-godu6877/</t>
  </si>
  <si>
    <t>Пасха 2023: традиции и обычаи празднования</t>
  </si>
  <si>
    <t>Какого числа отмечается Пасха в 2023 году? Как мы уже упоминали выше, единой даты празднования у этого светлого торжества нет. Как же она определяется в каждом ...</t>
  </si>
  <si>
    <t>https://www.eli.ru/articles/352/</t>
  </si>
  <si>
    <t xml:space="preserve">Новогодние товары в Москве | Купить новогодние товары в интернет-магазине «Winter Story - Eli.ru»ГлавнаяКаталог товаровИскусственные елкиИзделия из хвоиПластиковые и стеклянные шарыЕлочные украшенияНовогодний декорЭлектрогирляндыСветовой декорНовогодние подаркиКарнавальные костюмы и аксессуарыСвечи и подсвечникиИнтерьерный декорСадовая мебель и декорУчетная записьВойтиРегистрацияКонтактыО насОптовикамДоставкаОплатаПравилаГарантии и условия возвратаСтатьи и обзорыКорзина пуста   														8 495 787-29-50   		                                          		                                                                        		    8 800 511-83-598 495 787-29-50 Корзина пуста 8 495 787-29-508 800 511-83-59г. Москва Электролитный пр-д 3с33 пн-пт 09:00-20:00 сб-вс 10:00-17:00Войти / Зарегистрироваться Главная О нас Гарантии Оптовикам Доставка Оплата Контакты  Интернет-магазин новогодних товаровВойти / Зарегистрироваться  Настольные до 0.8 мЕлки 90 см - 1 мЕлки 1.2 - 1.4 мЕлки 1.5 - 1.7 мЕлки 1.8 - 1.9 мЕлки 2.0 - 2.2 мЕлки 2.3 - 2.6 мЕлки 2.7 - 2.9 мЕлки 3.0 мЕлки 3.5 - 5.0 мЕлки выше 5.5 мУличные высотные елки100% литая хвояБелые елкиЗаснеженные елкиЕлки с лампочкамиОптоволоконные елкиПристенные угловые 2D настенные и потолочныеКомпактные елкиСувенирные елкиЦветные елкиПодставки корзины и покрывалаЕлки мировых брендовРаспродажа  Гирлянды и свагиВенкиХвойные композицииХвойные потолочные композицииВеткиАркиХвойный декор с лампочкамиРАСПРОДАЖА  Пластиковые шары однотонныеПластиковые шары с декоромСтеклянные шары однотонныеСтеклянные шары с рисункомСтеклянные шары с декоромPremium наборыШары-колбы с композициямиГрозди мини-шаров на проволокеГирлянды-подвески из шаровКрючки и аксессуарыШары Символ года 2024РАСПРОДАЖА  Елочные игрушкиЕлочные шарыВерхушкиУкрашения для уличных елокАксессуары для украшения елкиРАСПРОДАЖА  Игрушки под елкуВетки цветы ягоды и шишкиОформление стола и интерьераНовогодние носкиНаклейки на окнаТрафареты на окнаТкани для декорированияСнежные декорацииБусыПодвесные украшенияЛентыБантыМишура и дождикИскусственный снег и спреиДеды Морозы и Снегурочки под елкуНовогодние панно и растяжкиАксессуары для дизайнеров и флористовКоллекция "Кантри"Надувные фигурыРАСПРОДАЖА  Гирлянды на елкуГирлянды Занавес (штора дождь)Гирлянды Бахрома (сосульки)Гирлянды СеткиСветящиеся фигурыГирлянды на деревья Клип лайт (Спайдер)Тающие сосулькиГирлянды Роса на проволокеГирлянды ЛампочкиГирлянды на батарейкахСветодиодные лентыДюралайтБелт лайт стробоскопыМорозостойкие гирляндыАксессуары для гирляндСветодиодные деревьяНовогодние проекторыРаспродажаГирлянды и светильники на солнечной батарее  Декоративные светильникиГирлянды на окноСветильники ГоркиНовогодние домикиСветодиодные картиныНовогодние светильники на потолокСветящиеся фигурыДеревья букеты и веткиИнтерьерные гирляндыРетро гирляндыГирлянды Капельки РосыНовогодние проекторыРАСПРОДАЖА  Символ года 2024Светящиеся и анимационные композицииСнежные шарыНовогодние фигуркиРождественские горкиНовогодние светильникиНовогодние подушкиКерамическая коллекция LEMAXСветящиеся картиныСувениры Рождество ХристовоНовогодние сувенирыУпаковка для подарковПредметы интерьераПосуда и сервировкаДетские подаркиАксессуары для праздникаСимволы китайского гороскопаРАСПРОДАЖА  Детские костюмыВзрослые костюмыКостюмы Деда Мороза и СнегурочкиШапкиМаски ободки парикиНадувные костюмыКуклы для кукольного театраСерпантин конфетти пневмохлопушкиРАСПРОДАЖА  Свечи светодиодныеСвечи классическиеСвечи ароматическиеПодсвечники декоративныеПодсвечники из стеклаПодсвечники металлическиеПодсвечники "Фонарики"Фонарики со свечамиКанделябрыУкрашения для свечей и аксессуарыПодсвечники с хвойным оформлениемСветильники-горкиРАСПРОДАЖА  Искусственные растения и цветыВазыКашпо и подставки для растенийПосуда и сервировкаИнтерьерное освещениеПредметы интерьераФонариСтатуэтки и фигуры для интерьераБумажные звезды фонарики дискошарыФонтаны для домаУкрашения на Пасху14 февраля8 мартаДекор на Хэллоуин  Садовая мебельКашпо и подставки для цветовФонтаныСадовое освещениеСадовые украшенияПосуда и сервировкаВазы для цветовИскусственная флораИнтерьерные гирляндыИнтерьерные украшенияГриль барбекю и пикникВыращивание растений Искусственные елкиИзделия из хвоиПластиковые и стеклянные шарыЕлочные украшенияНовогодний декорЭлектрогирляндыСветовой декорНовогодние подаркиКарнавальные костюмы и аксессуарыСвечи и подсвечникиИнтерьерный декорСадовая мебель и декор  Новости31.10.2023График работы в праздничные дни и будниВ праздники наш магазин будет работать в следующем режиме: 4 ноября: с 10:00 до 17:005 ноября: Выходной6 ноября: с 10:00 до 17:00 А с 07.11.2023 мы продлеваем работу магазина в будни и начинаем работу без выходных - делать покупки станет еще удобней! Пн-пт: с 09:00 до 20:00Сб-Вс: с 10:00 до 17:00Все новости » Статьи обзорыМеню на новый год 2024Как сделать Джек-Фонарь: тыква на Хэллоуин своими рукамиУкрашения на Хэллоуин своими рукамиНовогодние тренды: как украсить елку в 2024 годуВсе статьи » Способы оплатыВсе брендыВыбор покупателейИскусственная елка Ванкувер заснеженная 150 см ЛЕСКА + ПВХАртикул: ID12812                                 Бренд: KaemingkЦена: 8 530 руб.Купить1 отзывИскусственная сосна Каролина с шишками 183 cм ЛИТАЯ + ЛЕСКА + ПВХАртикул: 31CAPC60/CAP3-401-60                                 Бренд: National Tree CompanyЦена: 24 610 руб.Купить4 отзываВерхушка Снежок 28 см красная стеклоАртикул: С2050-красная                                 Бренд: Фабрика ЕлочкаЦена: 520 руб.КупитьВенок Сказка заснеженный 30 см с шишками и ягодами ПВХАртикул: 31FRW12/FRB3-12W                                 Бренд: National Tree CompanyЦена: 1 990 руб.Купить1 отзывИскусственная елка Шервуд Премиум 185 см ЛИТАЯ + ПВХАртикул: 73370                                 Бренд: Triumph TreeЦена: 25 990 руб.Купить5 отзывов      НовинкиВенок заснеженный Женева 45 см ЛЕСКААртикул: 73104                                 Бренд: Triumph TreeЦена: 2 990 руб.КупитьЕлка настольная в мешочке Лесная красавица 60 см ЛЕСКААртикул: 73668                                 Бренд: Triumph TreeЦена: 2 990 руб.Купить1 отзывСветодиодная гирлянда Капельки на батарейках 20 разноцветных MINILED ламп 2 м серебряная проволока IP20Артикул: LDM020M-BO                                 Бренд: SnowhouseЦена: 380 руб.Купить1 отзывИскусственная елка Женева с шишками заснеженная 155 cм ЛЕСКААртикул: 73116                                 Бренд: Triumph TreeЦена: 14 990 руб.Купить5 отзывов      Вам может понравитьсяВенок Рождественский 35 см ПВХАртикул: ВН-2                                 Бренд: MOROZCOЦена: 608 руб.Купить4 отзываСветодиодная гирлянда Северное Сияние на батарейках 20 разноцветных LED ламп 2 м прозрачный ПВХ IP20Артикул: ID32738                                 Бренд: KoopmanЦена: 260 руб.КупитьФигура из фольги Колокольчик 20 см золотой-красный-розовыйАртикул: H81662M                                 Бренд: Holiday ClassicsЦена: 90 руб.КупитьНабор ароматических свечей Шоколад 4 см 6 штАртикул: 001827-свеча                                 Бренд: Омский СвечнойЦена: 190 руб.Купить1 отзывСветодиодная лента Ledstrip на батарейках 1 м 30 разноцветных LED ламп на липучке IP20Артикул: ID32896                                 Бренд: KoopmanЦена: 280 руб.Купить      Отзывы клиентов об интернет-магазине Winter Story Eli.ruЗаказ №1127642Комментарий: Большая благодарность курьеру Алексею Семину. По моей вине была задержка с оплатой и приемом заказаон подождал  11.11.2023Заказ №1126879Комментарий: Была неприятная ситуация с заказом №1126879но благодаря внимательному отношению к моей проблеме менеджера по работе с клиентами  Саиды Мустафаевой она успешно разрешилась. Спасибо! Радачто магазин держит марку и заботится о своей репутации. 09.11.2023 Читать всеWinter Story - Eli.ru - Новогодние товары на российском рынке:      Интернет-магазин «Winter Story - Eli.ru» обновил ассортимент в преддверии главного праздника и предлагает новогодние товары от                           европейских производителей. На наших виртуальных полках вы найдете нарядный декор маскарадные костюмы для новогоднего карнавала                           светодиодную продукцию и более 9000 наименований аксессуаров и сувениров.Елочные игрушки – главный атрибут праздника!Первое что необходимо сделать выбирая новогодние товары – купить подходящие украшения для                           «рождественского дерева». Выбор широк: любителям винтажного стиля приглянутся фарфоровые фигурки и                           стеклянные шары «родом из детства» ценители современного стиля отдадут предпочтение                           эксклюзивным авторским моделям елочных украшений. В нашем каталоге представлены шарики с рисунком и гладкие шары с композициями                           елочные игрушки – миниатюры в виде заснеженных домиков и старинных механических часов и даже портреты ангелочков в бронзовых рамках.Вязаные сапожки меховые зверюшки птички с настоящими перышками позолоченные скульптурки цветы звезды                           крошечные коньки с настоящей опушкой и другие новогодние товары из Голландии и Бельгии помогут создать                           новогоднее настроение и украсить дом в заданном стиле: ретро «шабби шик» ар-нуво и конечно же вечной классики.Больше света!Рассеять сумрак зимней ночи и расцветить праздник веселыми огоньками помогут электрогирлянды или                           декор со светодиодами. Светящиеся фигурки уютно прикорнувшие на подоконнике или непосредственно под елкой                           придадут интерьеру атмосферу таинственности и покажут прохожим что в этом доме уже готовы встречать Новый Год.Светодиодная продукция совершенно безопасна в эксплуатации: она не станет причиной пожара и об нее нельзя обжечься.                           Чего не скажешь о свечах – они требуют очень аккуратного обращения.                           Но для этого в нашем каталоге есть специальные закрытые керамические подсвечники: одомашненный                           огонь будет приносить только тепло и свет и всегда оставаться под контролем.Новогодняя гостьяНаконец – самое главное – великолепные искусственные елки выполненные настолько натуралистично что буквально с двух шагов                            невозможно распознать живая это елка или искусственная. Никакой опавшей хвои забившейся под ковер                            «лысых» веток и прочих неудобств – ваша зеленая красавица простоит до                            Рождества и встретит с вами Старый Новый Год такая же свежая и пышная как в день покупки.В нашем онлайн-магазине есть все чтобы подготовиться к Новому Году «под ключ» - елки и елочные игрушки гирлянды и светильники множество аксессуаров для декора подарки карнавальные костюмы и многое другое. Мы с любовью подбираем новые коллекции каждый год и предлагаем вам те товары которыми украшаем и свои жилища.ГлавноеДомой Партнеры Контакты Вы смотрели Статьи и обзоры Сертификаты КаталогИскусственные елкиИзделия из хвоиПластиковые и стеклянные шарыЕлочные украшенияНовогодний декорЭлектрогирляндыСветовой декорНовогодние подаркиКарнавальные костюмы и аксессуарыСвечи и подсвечникиИнтерьерный декорСадовая мебель и декор ПравилаОплата Доставка Правила (Оферта) Гарантии и возврат Пользовательское соглашение Политика в отношении обработки и защиты персональных данных Мы в сообществахАдресг. МоскваЭлектролитный проездд.3 стр.33Режим работы: пн-пт 09:00-20:00сб-вс 10:00-17:00 8 495 787-29-50                    © Winter Story - Eli.ru 2006-2023                    Наш сайт использует cookie данные о Ваших IP-адресе и местоположении.                    Продолжая работу с сайтом Вы выражаете согласие на обработку этих данных в соответствии с Политикой в отношении обработки и защиты персональных данных.                    В случае несогласия с этими условиями Вам следует воздержаться от использования интернет-ресурса www.eli.ru.                    Использование любой информации и материалов с сайта может быть возможным только с письменного разрешения администратора сайта.                 Наверх×Авторизация                        Новый пароль выслан на указанный Вами адрес и в смс-сообщении на ваш мобильный номер указанный при регистрации на сайте                    Имя(e-mail) ОбязательноАдрес электронной почты введен не корректноПароль ОбязательноЭто поле обязательно для заполнения                    Войти с помощью:                   ВходЗабыли пароль?РегистрацияВосстановление пароляИмя(e-mail) ОбязательноАдрес электронной почты введен некорректноВосстановитьДля входа через Face___book подтвердите что вы не робот×Заказать звонокОтправить вопросЗаполните поля и отправьте данные. Наш менеджер свяжется с вами в ближайшее время.Имя ОбязательноПредставьтесь пожалуйстаE-mail ОбязательноАдрес электронной почты введен не корректноТелефон ОбязательноТелефон введен не корректноКомментарий                                            Нажимая кнопку "Отправить" я принимаю условия Пользовательского соглашения и даю согласие на обработку моих персональных данных на условиях и для целей определенных Политикой конфиденциальностиДля продолжения вы должны принять условия Пользовательского соглашенияОтправитьЗаполните поля и отправьте данные. Наш менеджер свяжется с вами в ближайшее время.Имя ОбязательноЭто поле обязательно для заполненияE-mail ОбязательноЭто поле некорректно заполненоТелефон ОбязательноЭто поле некорректно заполненоТема ОбязательноЖалобаСотрудничествоЭто поле обязательно для заполненияНомер заказа                    Текст сообщения ОбязательноЭто поле обязательно для заполнения                        Нажимая кнопку "Отправить" я принимаю условия Пользовательского соглашения и даю согласие на обработку моих персональных данных на условиях и для целей определенных Политикой конфиденциальностиДля продолжения вы должны принять условия Пользовательского соглашенияОтправитьСпасибо за обращение наш менеджер в скором времени свяжется с Вами×Чтобы оформить заказ заполните форму. В течение пары часов с вами свяжется наш менеджер и уточнит детали заказа а также время доставки. Если Вы отправляете заявку в не рабочее время то наш менеджер свяжется с Вами в первой половине ближайшего рабочего дня. Режим работы см. в шапке сайта.Номер телефона *Ваше имяНомер телефона задан неправильно. Пример правильного номера телефона: 8-916-123-45-67 </t>
  </si>
  <si>
    <t>www.eli.ru</t>
  </si>
  <si>
    <t>Пасха в 2023 году (Католическая и Православная)</t>
  </si>
  <si>
    <t>Православная и Католическая Пасха в 2023 году. Дата Пасхи в 2023 году.</t>
  </si>
  <si>
    <t>https://kalendar.pp.ua/ru/easter-2023.html</t>
  </si>
  <si>
    <t>Error!</t>
  </si>
  <si>
    <t>kalendar.pp.ua</t>
  </si>
  <si>
    <t>Когда Пасха 2023 в Украине: дата, традиции, приметы</t>
  </si>
  <si>
    <t>4 февр. 2023 г. —</t>
  </si>
  <si>
    <t>https://1plus1.ua/ru/novyny/koli-velikden-2023-data-tradicii-i-prikmeti</t>
  </si>
  <si>
    <t xml:space="preserve">Офіційний сайт каналу 1+1         програми                       програми                           шоу                           серіали                           фільми                           ведучі                     Новини                       #"Люди задля життя" - інтервʼю                          #"Люди задля життя" - поради                          #"Люди задля життя" - герої                          #ексклюзив                          #Спортивний фронт                          #Плюсуй українську                          #ведучі 1+1                     відео               телепрограма          UA RU              пошук           Говорить вся країна Люди задля життя СеріалиДовга доба1+1 Марафон Говорить вся країна Люди задля життя СеріалиДовга доба1+1 Марафон            11:53 | 10.11.2023         Рік. Херсон             Рік після звільнення: у проєкті «Рік. Херсон» Дмитро Комаров покаже як живе Херсон сьогодні                     #РІк.Херсон                   13:25 | 22.12.2022                      Інструкція з налаштування прийому телеканалу 1+1 Україна в мережі Т2                      #новини 1+1                   15:20 | 23.08.2023         Говорить вся країна             Телеканал "1+1 Україна" продовжує збір історій для токшоу "Говорить вся країна"                      #Говорить вся країна                 Мосейчук+             18:11 | 09.11.2023           “В Україні будуть вибори якщо є готовність виконати 4 пункти Президента Зеленського”: Андрій Єрмак в “Мосейчук+”            #Мосейчук+          Сніданок з 1+1             10:41 | 10.11.2023           Хто володіє інформацією той краще розуміє світ: оновлений “Сніданок з 1+1” виходитиме у новий час           #Сніданок з 1+1     Топ новиниНайцікавішіОстанні       Люди задля життя             10:05 | 06.11.2023           Що таке вертебрологія та як турбуватися про здоров’я м’язів і суглобів: розповідає провідний лікар-ортопед Федір Олійник (ексклюзив)           #"Люди задля життя" - інтервʼю          Новий Вечірній Квартал             12:00 | 10.11.2023           Зірки “Кварталу” розповіли про фейли під час виступів улюблені номери нового концерту та як важливо допомагати (ексклюзив)           #квартал 95          Коло омани              10:49 | 10.11.2023           Булінг у школі та як йому протистояти: акторка серіалу "Коло омани" на "1+1 Україна" Фрося Мельник поділилась власним досвідом           #Коло омани              10:01 | 09.11.2023           “Думаю що цього року навчання я навряд чи пройду” - дружина Тімура Мірошниченка Інна ексклюзивно для сайту 1+1 розповіла про особливості процесу всиновлення другої дитини           #ексклюзив            Зараз на 1+1 Україна              00:00        Жіночий квартал          01:30               Зараз в ефірі       Єдині новини          06:00        Єдині новини          06:30        Світ навиворіт          07:00        Сніданок. Вихідний          09:30        Життя відомих людей   Повні випуски         10:35        Життя відомих людей   Повні випуски         11:40        Світ навиворіт          18:50        План втечі          21:00        План втечі 2          22:55        Реальна історія з Акімом Галімовим   Повні випуски         23:25        Реальна історія з Акімом Галімовим   Повні випуски      Вся телепрограма         новини             Сніданок з 1+1             14:50 | 10.11.2023           Які навички потрібні щоб стати баристою? Дослідили в «Сніданку з 1+1» спільно з Дія.Освіта           #соціум          Новий Вечірній Квартал             12:00 | 10.11.2023           Зірки “Кварталу” розповіли про фейли під час виступів улюблені номери нового концерту та як важливо допомагати (ексклюзив)           #квартал 95          Рік. Херсон             11:53 | 10.11.2023           Рік після звільнення: у проєкті «Рік. Херсон» Дмитро Комаров покаже як живе Херсон сьогодні           #РІк.Херсон             11:25 | 10.11.2023           Стало відомо як пройде НМТ та чи буде ДПА у 2024 році           #соціум          Коло омани              10:49 | 10.11.2023           Булінг у школі та як йому протистояти: акторка серіалу "Коло омани" на "1+1 Україна" Фрося Мельник поділилась власним досвідом           #Коло омани           Сніданок з 1+1             10:41 | 10.11.2023           Хто володіє інформацією той краще розуміє світ: оновлений “Сніданок з 1+1” виходитиме у новий час           #Сніданок з 1+1             09:50 | 10.11.2023           Чи загрожує Україні епідемія Гепатиту А: у МОЗ дали відповідь           #здоров'я          Сніданок. Вихідний             07:30 | 10.11.2023           Проблема переїдання під час холодів: як правильно харчуватися восени (поради дієтологині)           #здоров'я             06:22 | 10.11.2023           Астролог розповів чиє життя змінить Молодий місяць у листопаді: назвав три знаки           #астрологія             05:00 | 10.11.2023           Яке сьогодні свято — 10 листопада: що не можна робити           #яке сьогодні свято        Читати всі новини         Сніданок з 1+1           Сніданок з 1+1             08:00 | 11.11.2023           Найкращі аромасвічки для осені: створюємо затишок в оселі власноруч (поради експертки)           #корисні поради          Сніданок з 1+1             14:50 | 10.11.2023           Які навички потрібні щоб стати баристою? Дослідили в «Сніданку з 1+1» спільно з Дія.Освіта           #соціум          Сніданок з 1+1             10:41 | 10.11.2023           Хто володіє інформацією той краще розуміє світ: оновлений “Сніданок з 1+1” виходитиме у новий час           #Сніданок з 1+1       Перейти на сторінку проєкту        Новини рубрики #1+1 марафон          15:10 | 08.11.2023           Наталя Островська розповіла про ставлення американців до війни в Україні та наративи які поширює російська пропаганда за кордоном           #ведучі 1+1          ТСН             20:02 | 07.11.2023           Важливо знати: коли змінять тарифи на світло (відповідь Міністра енергетики)           #соціум             19:17 | 07.11.2023           Як українці дивилися телеканали серіали та новини у жовтні: аналітика від Київстар ТБ           #новини       Перейти до рубрики       Ми сильні коли ми разом                 Говорить вся країна               Говорить вся країна               1 із 20 відео         Сторінка проєкту   Новини проєкту Це історія про жіночку Яну з Донеччини в якої намагаються відібрати дітей. Начебто рідна сестра так званого чоловіка нашої героїні хоче забрати дітей до себе. Заради цього вона прилетіла з Африки. Яна ж запевняє що її використали як інкубатор. Вона вважає що все давно було сплановано її чоловіком який мав безплідну першу дружину. Чому ж батькові дітей вигідно віддати малюків бездітній жінці з Африки? Як його зупинити? І для кого насправді народжувалися ці діти?              Говорить вся країна           Це історія про жіночку Яну з Донеччини в якої намагаються відібрати дітей. Начебто рідна сестра так званого чоловіка нашої героїні хоче забрати дітей до себе. Заради цього вона прилетіла з Африки. Яна ж запевняє що її використали як інкубатор. Вона вважає що все давно було сплановано її чоловіком який мав безплідну першу дружину. Чому ж батькові дітей вигідно віддати малюків бездітній жінці з Африки? Як його зупинити? І для кого насправді народжувалися ці діти?   Сторінка проєкту   Новини проєкту   Повні випуски Обраний плейлист           1 із 20 відео                          Говорить вся країна                               2 сезон 20 випуск                               Говорить вся країна                               2 сезон 21 випуск                               Говорить вся країна                               2 сезон 22 випуск                               Говорить вся країна                               2 сезон 23 випуск                               Говорить вся країна                               2 сезон 24 випуск                               Говорить вся країна                               2 сезон 25 випуск                               Говорить вся країна                               2 сезон 26 випуск                               Говорить вся країна                               2 сезон 27 випуск                               Говорить вся країна                               2 сезон 28 випуск                               Говорить вся країна                               2 сезон 29 випуск                               Говорить вся країна                               2 сезон 30 випуск                               Говорить вся країна                               2 сезон 31 випуск                               Говорить вся країна                               2 сезон 32 випуск                               Говорить вся країна                               2 сезон 33 випуск                               Говорить вся країна                               2 сезон 34 випуск                               Говорить вся країна                               2 сезон 35 випуск                               Говорить вся країна                               2 сезон 36 випуск                               Говорить вся країна                               2 сезон 37 випуск                               Говорить вся країна                               2 сезон 38 випуск                               Говорить вся країна                               2 сезон 39 випуск                 Повні випуски        Більше новин              06:30 | 11.11.2023           Молодий місяць у листопаді 2023: гороскоп для всіх знаків зодіаку на Молодик від Анжели Перл           #гороскоп             06:03 | 11.11.2023           Значні пориви вітру та дощі: на вихідних в Україні погіршаться погодні умови           #прогноз погоди             05:30 | 11.11.2023           Очікуйте весілля у листопаді: астролог назвала три знаки зодіаку які одружаться наприкінці осені           #астрологія             05:00 | 11.11.2023           Яке сьогодні свято — 11 листопада: батьківська поминальна субота перед Різдвяним постом (що не можна робити)           #яке сьогодні свято        Читати всі новини        програми       Дивитись       Світ навиворіт. Україна             Програма       Дивитись       Право на владу             Програма       Дивитись       Життя відомих людей             Програма       Дивитись       Мосейчук+             Програма       Дивитись       Люди задля життя             Програма       Дивитись       Реальна історія              Програма        Дивитись всі програми             про канал                  кодування супутника                  реклама                  проблеми з прийомом каналу 1+1                  каталог програм                  кар’єра                  ведучі                  структура власності                  політика конфіденційності                  правила користування сайтом                  Редакційний статут                 Товариство з обмеженою відповідальністю "ТЕЛЕРАДІОКОМПАНІЯ "СТУДІЯ        1+1"       Україна 04080 м. Київ вул. Кирилівська 23  Телефон:   +38 044 490 01 01   е-mail:   media@1plus1.tv  Ідентифікатор медіа в Реєстрі суб’єктів у сфері медіа: телеканал «1+1» - L10-00081 L10-00878 L10-00909 R10-00904; телеканал «1+1 Україна» - R10-00907              Продовжуючи відвідування сайту ви погоджуєтесь на використання файлів cookie і                      Політикою конфіденційності                   Приймаю       </t>
  </si>
  <si>
    <t>1plus1.ua</t>
  </si>
  <si>
    <t>перевод</t>
  </si>
  <si>
    <t>Словарь и онлайн перевод на английский, русский ...</t>
  </si>
  <si>
    <t>Бесплатный онлайн перевод с английского и других языков на русский и обратно. Переводчик работает со словами, текстами, а также веб-страницами и надписями ...</t>
  </si>
  <si>
    <t>https://translate.yandex.ru/</t>
  </si>
  <si>
    <t>translate.yandex.ru</t>
  </si>
  <si>
    <t>DeepL Translate – Самый точный переводчик в мире</t>
  </si>
  <si>
    <t>Переводите тексты и целые документы мгновенно. Точный перевод для индивидуальных пользователей и команд. Каждый день миллионы людей выполняют переводы с ...</t>
  </si>
  <si>
    <t>https://www.deepl.com/ru/translator</t>
  </si>
  <si>
    <t>DeepL Translate: The world's most accurate translatorMillions translate with DeepL every day. Popular: Spanish to English French to English and Japanese to English.Translation modesTranslate text31 languagesTranslate files.pdf .docx .pptxDeepL WriteAI-powered editsTranslate textSelect source language. Currently selected:Detect languageSelect target language. Currently selected:English (US)Source textType to translate.Drag and drop to translate PDF Word (.docx) and PowerPoint (.pptx) files with our document translator.Translation resultsDictionaryThe dictionary is unavailable for this language pair.Perfect your writing with DeepL WritebetaFix grammar and punctuation mistakes rephrase sentences express nuances and find your perfect tone of voice.Start writingUnlock DeepL’s full potential – Try DeepL Pro for freeTry Pro for 30 days freeYou are using the free version of DeepLTranslate up to 3000 charactersTranslate 3 locked documents/month10 glossary entriesUnlock DeepL Pro featuresMaximum data securityUnlimited text translationTranslate and edit more documentsSee more featuresDeepL in the PressTech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tried.Tech giants Google Microsoft and Facebook are all applying the lessons of machine learning to translation but a small company called DeepL has outdone them all and raised the bar for the field.Its translation tool is just as quick as the outsized competition but more accurate and nuanced than any we’ve tried.TechCrunchUSADeepL has also outperformed other services thanks to more "French-sounding" expressions.DeepL has also outperformed other services thanks to more "French-sounding" expressions.Le MondeFranceEven though the translations from English by Google and Microsoft are quite good DeepL still surpasses them. We have translated a report from a French daily newspaper - the DeepL result was perfect.Even though the translations from English by Google and Microsoft are quite good DeepL still surpasses them. We have translated a report from a French daily newspaper - the DeepL result was perfect.Golem.deGermanyA quick test carried out for the combination English-Italian and vice versa even without any statistical pretensions allowed us to confirm that the quality of the translation is really good. Especially from Italian into English.A quick test carried out for the combination English-Italian and vice versa even without any statistical pretensions allowed us to confirm that the quality of the translation is really good. Especially from Italian into English.La StampaItalyThe system recognizes the language quickly and automatically converting the words into the language you want and trying to add the particular linguistic nuances and expressions.The system recognizes the language quickly and automatically converting the words into the language you want and trying to add the particular linguistic nuances and expressions.ABCSpainIndeed a few tests show that DeepL Translator offers better translations than Google Translate when it comes to Dutch to English and vice versa.Indeed a few tests show that DeepL Translator offers better translations than Google Translate when it comes to Dutch to English and vice versa.RTL ZNetherlandsIn the first test - from English into Italian - it proved to be very accurate especially good at grasping the meaning of the sentence rather than being derailed by a literal translation.In the first test - from English into Italian - it proved to be very accurate especially good at grasping the meaning of the sentence rather than being derailed by a literal translation.la RepubblicaItalyPersonally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possible.Mobile GeeksGermanyDeepL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from Germany could surpass Google TranslateWIRED's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connection.WIRED.deGermanyDeepL an online translator that outperforms Google Microsoft and FacebookDeepL an online translator that outperforms Google Microsoft and Facebookwwwhat's newLatin AmericaTech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tried.DeepL has also outperformed other services thanks to more "French-sounding" expressions.Even though the translations from English by Google and Microsoft are quite good DeepL still surpasses them. We have translated a report from a French daily newspaper - the DeepL result was perfect.A quick test carried out for the combination English-Italian and vice versa even without any statistical pretensions allowed us to confirm that the quality of the translation is really good. Especially from Italian into English.The system recognizes the language quickly and automatically converting the words into the language you want and trying to add the particular linguistic nuances and expressions.Indeed a few tests show that DeepL Translator offers better translations than Google Translate when it comes to Dutch to English and vice versa.In the first test - from English into Italian - it proved to be very accurate especially good at grasping the meaning of the sentence rather than being derailed by a literal translation.Personally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an online translator that outperforms Google Microsoft and FacebookDeepL is hiring! Join us in breaking down language barriersSee open jobsMillions translate with DeepL every day.Popular:  English to Chinese English to French and Chinese to English.Other languages:BulgarianCzechDanishGermanGreekSpanishEstonianFinnishFrenchHungarianIndonesianItalianJapaneseKoreanLithuanianLatvianNorwegianDutchPolishPortugueseRomanianRussianSlovakSlovenianSwedishTurkishUkrainianChineseLanguageEnglishDeutschEnglishEspañol日本語FrançaisItaliano한국어NederlandsPolskiPortuguês (Brasil)PortuguêsРусский简体中文ČeštinaSvenskaTürkçeBahasa IndonesiaУкраїнськаResourcesHelp CenterBlogAPI documentationAccessibilityData securityPrivacy policyTerms &amp; ConditionsProductFree translatorFeaturesDeepL ProTranslation APIDeepL WriteDownloadDeepL for AndroidDeepL for ChromeOSDeepL for iPhoneDeepL for iPadDeepL for MacDeepL for WindowsDeepL Chrome extensionDeepL Edge extensionCompanyContact SalesPressCareersPublisher</t>
  </si>
  <si>
    <t>www.deepl.com</t>
  </si>
  <si>
    <t>Reverso | Бесплатный перевод, словарь</t>
  </si>
  <si>
    <t>https://www.reverso.net/%D0%BF%D0%B5%D1%80%D0%B5%D0%B2%D0%BE%D0%B4-%D1%82%D0%B5%D0%BA%D1%81%D1%82%D0%B0</t>
  </si>
  <si>
    <t>Переводчик контекст с русский на английский</t>
  </si>
  <si>
    <t>Поиск перевод на английский в контексте для русский слов, выражений и идиом; бесплатный русский-английский словарь с миллионами Примеры перевода.</t>
  </si>
  <si>
    <t>https://context.reverso.net/%D0%BF%D0%B5%D1%80%D0%B5%D0%B2%D0%BE%D0%B4/%D1%80%D1%83%D1%81%D1%81%D0%BA%D0%B8%D0%B9-%D0%B0%D0%BD%D0%B3%D0%BB%D0%B8%D0%B9%D1%81%D0%BA%D0%B8%D0%B9/</t>
  </si>
  <si>
    <t>PROMT.One Переводчик - бесплатный онлайн словарь и ...</t>
  </si>
  <si>
    <t>PROMT.One - это облачное приложение – бесплатный онлайн-переводчик для перевода с языка на язык на основе нейронных сетей (Neural Machine Translation), словарь ...</t>
  </si>
  <si>
    <t>https://www.translate.ru/%D0%BF%D0%B5%D1%80%D0%B5%D0%B2%D0%BE%D0%B4</t>
  </si>
  <si>
    <t>PROMT.One Переводчик - бесплатный онлайн словарь и перевод текстов            PROMT.One Translate.RU Переводчик онлайн и словарьПереводКонтекстыСпряжение и склонениеГрамматикаПопробуй PREMIUM бесплатно!Войти Обратная связь                            Помощь                            Скачать приложение                            Реклама у нас                            Наш Блог                                Переводчик онлайн и словарь Определить языкАзербайджанскийАнглийскийАрабскийГреческийИвритИспанскийИтальянскийКазахскийКитайскийКорейскийНемецкийПортугальскийРусскийТатарскийТурецкийТуркменскийУзбекскийУкраинскийФинскийФранцузскийЭстонскийЯпонский 0 / 999АзербайджанскийАнглийскийАрабскийГреческийИвритИспанскийИтальянскийКазахскийКитайскийКорейскийНемецкийПортугальскийРусскийТатарскийТурецкийТуркменскийУзбекскийУкраинскийФинскийФранцузскийЭстонскийЯпонский                             Ваш текст переведен частично.                            Вы можете переводить не более 999 символов за один раз.Войдите или  зарегистрируйтесь бесплатно на PROMT.One и переводите еще больше!                            &lt;&gt;РекламаПримеры употребления слов в разных контекстах предоставляются исключительно в лингвистических целях т. е. для изучения употребления слов в одном языке и вариантов их перевода на другой. Все образцы собраны автоматически из открытых источников с помощью технологии поиска на основе двуязычных данных. Если вы обнаружили орфографическую пунктуационную или иную ошибку в оригинале или переводе используйте опцию "Сообщить о проблеме"  или  напишите намБот-переводчикПеревод в TelegramПерейтиPROMT Master NMTТочный переводчик документовСКАЧАТЬ Скачайте мобильное приложение PROMT.One      Откройте возможности нейронного машинного перевода PROMT            PROMT.One - это облачное приложение  – бесплатный онлайн-переводчик            для перевода с языка на язык на основе нейронных сетей (Neural Machine Translation)            словарь с транскрипцией разговорники и многое другое. Наслаждайтесь правильным и точным переводом на английский немецкий и еще 20+ языков.                    Смотрите  перевод слов и устойчивых выражений транскрипцию и произношение в онлайн  cловаре. Словари PROMT для            английского            немецкого            французского            русского            испанского            итальянского и            португальского языков  включают миллионы слов и словосочетаний самую современную разговорную            лексику  которая постоянно отслеживается и пополняется нашими лингвистами.                    Изучайте формы английских  глаголов            немецких  глаголов            испанских глаголов            французских  глаголов            португальских  глаголов            итальянских  глаголов            русских  глаголов            и падежные формы существительных и прилагательных в разделе                                Спряжение и                    склонение                .                    Учите употребление слов и выражений в  разных Контекстах.            Миллионы реальных примеров  на            английском            немецком            испанском            французском            помогут вам в изучении иностранных языков и  подготовке домашних заданий.                    Переводите в любом месте и в любое время  с помощью бесплатного мобильного  переводчика PROMT.One для iOS и            Android.  Попробуйте голосовой и фотоперевод.                    Установите языковые пакеты для  офлайн-перевода на мобильных устройствах и универсальный плагин PROMT АГЕНТ для Windows            с подпиской PREMIUM.        Поделиться переводом× идет загрузка...                        Прямая ссылка на перевод:×                Очень жаль                                    Но сейчас вы можете переводить только 999  символов за один раз.                                            Пожалуйста войдите или зарегистрируйтесь чтобы переводить до 5 000 символов единовременно.                    войти / зарегистрироватьсяО сервисе | Условия использования | Политика конфиденциальности                 | Реклама у нас | Помощь                 | Мобильная версия |                РусскийEnglishDeutschFrançaisEspañolPortuguês© ООО «ПРОМТ»  2010 - 2023Перевод  английский        перевод русский        перевод  немецкий        перевод  французский        перевод  испанский        перевод  итальянский        перевод  азербайджанский        перевод  арабский        перевод иврит        перевод  казахский        перевод  китайский        перевод  корейский        перевод  португальский        перевод  татарский        перевод  турецкий        перевод  туркменский        перевод  узбекский        перевод  украинский        перевод финский        перевод  эстонский        перевод  японскийВозможностиПеревод текстПримеры употребленияСклонение и спряжениеНаш блогБесплатные приложенияPROMT.One для iOSPROMT.One для AndroidPROMT.One для HuaweiБот-переводчик в TelegramПредложенияPremium  подпискаДля  разработчиковРекламаВесенний АПП-Фест: цифры и итогиЭтой весной мы приняли участие в проекте «Весенний АПП-Фест» который задумала и реализовала Ассоциация преподавателей перевода. Проект завершен и вот его результаты.   — На участие в олимпиаде «Язык30.06.2023Добавить в избранное×Для добавления в Избранное необходимо авторизоватьсяВойти или ЗарегистрироватьсяOKФайлы cookie обеспечивают работу наших сервисов. Используя наш сайт вы соглашаетесь с нашими правилами в отношении этих файлов. Подробнее</t>
  </si>
  <si>
    <t>www.translate.ru</t>
  </si>
  <si>
    <t>Приложения в Google Play – Google Переводчик</t>
  </si>
  <si>
    <t>Перевод введенного текста. В приложении добавлена поддержка 108 языков. • Быстрый перевод. Скопируйте текст в любом приложении и нажмите на значок Google ...</t>
  </si>
  <si>
    <t>https://play.google.com/store/apps/details?id=com.google.android.apps.translate&amp;hl=ru&amp;gl=US</t>
  </si>
  <si>
    <t>PONS переводчик | Улучшеный перевод текста</t>
  </si>
  <si>
    <t>Перевод текста PONS – с новыми удобными функциями. Пользователи PONS пользуются нашим переводом текста на протяжении 10 лет, уже на 38 языках.</t>
  </si>
  <si>
    <t>https://ru.pons.com/%D0%BF%D0%B5%D1%80%D0%B5%D0%B2%D0%BE%D0%B4-%D1%82%D0%B5%D0%BA%D1%81%D1%82%D0%B0</t>
  </si>
  <si>
    <t>PONS словарь | Определения перевод и словарь         Русский                 Deutsch              Български              Ελληνικά              English              Español              Français              Italiano              Polski              Português              Русский              Slovenščina              Srpski              Türkçe              中文      |      Помощь                       FAQ Technical Questions                  FAQ Text Translation                  FAQ Vocabulary Trainer                  FAQ Online Dictionary        |      Контакт          |      B2B                   Вход    Hallo Welt.      Онлайн-словарь          Интернет-магазин          Издательство          Словарь          Перевод текста          Спряжение          Словарный тренажёр          Приложения          API словаря                  Добавить в стартовое окно                          Словарь                          Перевод текста                          Спряжение                          Поиск в словарях                          Отзыв                        Помощь &amp; информа́ция                            Помощь                                  Пользовательское соглашение                                  Система поставок                                  Соглашение о конфиденциальности                                  Выходные данные                                  Настройки конфиденциальности                                  Контакт                            Выберите язык                              Deutsch                                      Български                                      Ελληνικά                                      English                                      Español                                      Français                                      Italiano                                      Polski                                      Português                                      Русский                                      Slovenščina                                      Srpski                                      Türkçe                                      中文                        Вход          Онлайн-словарь PONS          Это просто - задать в поиск и верно перевести              DE                  RU                н»р      немецкий                    английский                      арабский                      болгарский                      венгерский                      вьетнамский                      голландский                      греческий                      датский                      иврит                      индонезийский                      исландский                      испанский                      итальянский                      каталанский                      китайский                      корейский                      Креольский (Гаити)                      латы́нь                      латышский                      литовский                      немецкий                      норвежский                      персидский                      польский                      португальский                      румынский                      русский                      сербский                      словацкий                      словенский                      тайский                      турецкий                      украинский                      финский                      французский                      хорватский                      чешский                      шведский                      эстонский                      японский                      Немецкий язык как иностранный                      Правописание немецкого языка                      эльфийский                                    Искать в обоих языковых направлениях                                                                                     Сменить языковое направление          русский                        английский                          арабский                          болгарский                          венгерский                          вьетнамский                          голландский                          греческий                          датский                          иврит                          индонезийский                          исландский                          испанский                          итальянский                          каталанский                          китайский                          корейский                          Креольский (Гаити)                          латы́нь                          латышский                          литовский                          немецкий                          норвежский                          персидский                          польский                          португальский                          румынский                          русский                          сербский                          словацкий                          словенский                          тайский                          турецкий                          украинский                          финский                          французский                          хорватский                          чешский                          шведский                          эстонский                          японский                          эльфийский                      Моя история поиска              Добавить в стартовое окно    Словарный онлайн-тренажерВы уже знакомы с  бесплатным словарным онлайн-тренажером PONS? Он будет учить с Вами то что Вы хотите учить. Провести тестПеревод текста      Поиск в словарях              Популярное                    Популярное                      английский                      арабский                      болгарский                      венгерский                      голландский                      греческий                      датский                      испанский                      итальянский                      Китайский                       латы́нь                      немецкий                      норвежский                      персидский                      польский                      португальский                      румынский                      русский                      словацкий                      словенский                      турецкий                      финский                      французский                      хорватский                      чешский                      шведский                      эльфийский                      японский                Популярное              русско ⇄ немецкий                  русско ⇄ английский                  немецко ⇄ английский                  русско ⇄ польский                  англо ⇄ словенский                  немецко ⇄ польский              английский Словари              английско ⇄ испанский                  английско ⇄ китайский                  англо ⇄ арабский                  англо-болгарском                  англо ⇄ итальянский                  англо ⇄ немецкий                  англо ⇄ польский                  англо ⇄ португальский                  англо ⇄ русский                  англо → сербский                  англо ⇄ словенский                  англо ⇄французский              арабский Словари              арабско ⇄ английский                  арабско ⇄ немецкий              болгарский Словари              болгарско-английском                  болгарско-немецком              венгерский Словари              венгерско ⇄ немецкий              голландский Словари              нидерландско ⇄ немецкий              греческий Словари              греко ⇄ немецкий              датский Словари              датско ⇄ немецкий              испанский Словари              испанско ⇄ английский                  испанско ⇄ итальянский                  испанско ⇄ китайский                  испанско ⇄ немецкий                  испанско ⇄ польский                  испанско ⇄ португальский                  испанско ⇄ словенский                  испанско ⇄французский              итальянский Словари              итальянско ⇄ английский                  итальянско ⇄ испанский                  итальянско ⇄ немецкий                  итальянско ⇄ польский                  итальянско ⇄ словенский                  итальянско ⇄ французский              Китайский  Словари              китайско ⇄ английский                  китайско ⇄ испанский                  китайско ⇄ немецкий                  китайско ⇄ французский              латы́нь Словари              латинско ⇄ немецкий              немецкий Словари              немецко ⇄ английский                  немецко ⇄ арабский                  немецко-болгарском                  немецко ⇄ венгерский                  немецко ⇄ греческий                  немецко ⇄ датский                  немецко → исландский                  немецко ⇄ испанский                  немецко ⇄ итальянский                  немецко ⇄ китайский                  немецко ⇄ латинский                  немецко ⇄ нидерландский                  немецко ⇄ норвежский                  немецко ⇄ персидский                  немецко ⇄ польский                  немецко ⇄ португальский                  немецко ⇄ румынский                  немецко ⇄ русский                  немецко → сербский                  немецко ⇄ словацкий                  немецко ⇄ словенский                  немецко ⇄ турецкий                  немецко ⇄ финский                  немецко ⇄ французский                  немецко ⇄ хорватский                  немецко ⇄ чешский                  немецко ⇄ шведский                  немецко ⇄ эльфийский                  немецко ⇄ японский                  Правописание немецкого языка              норвежский Словари              норвежско ⇄ немецкий              персидский Словари              персидско ⇄ немецкий              польский Словари              польско ⇄ английский                  польско ⇄ испанский                  польско ⇄ итальянский                  польско ⇄ немецкий                  польско ⇄ русский                  польско ⇄ французский              португальский Словари              португальско ⇄ английский                  португальско ⇄ испанский                  португальско ⇄ немецкий              румынский Словари              румынско ⇄ немецкий              русский Словари              русско ⇄ английский                  русско ⇄ немецкий                  русско ⇄ польский              словацкий Словари              словацко ⇄ немецкий              словенский Словари              словенско ⇄ английский                  словенско ⇄ испанский                  словенско ⇄ итальянский                  словенско ⇄ немецкий                  словенско ⇄ французский              турецкий Словари              турецко ⇄ немецкий              финский Словари              финско ⇄ немецкий              французский Словари              французско ⇄ английский                  французско ⇄ испанский                  французско ⇄ итальянский                  французско ⇄ китайский                  французско ⇄ немецкий                  французско ⇄ польский                  французско ⇄ словенский              хорватский Словари              хорватско ⇄ немецкий              чешский Словари              чешско ⇄ немецкий              шведский Словари              шведско ⇄ немецкий              эльфийский Словари              эльфийско ⇄ немецкий              японский Словари              японско ⇄ немецкий        Онлайн-словарь              Словарь                          Перевод текста                          Словарный тренажёр                          Приложения            Издательство              О нас                          Контакт                          Выходные данные                          API словаря                          B2B            Подпишитесь на нас в ...                             Facebook                                         Instagram                                         LinkedIn                        Выходные данные          |            Помощь          |            Общие условия заключения сделки          |            Соглашение о конфиденциальности          |            Пользовательское соглашение          |            Система поставок          |            Настройки конфиденциальности          Copyright PONS Langenscheidt GmbH Штутгарт ©  2001 - 2023. С сохранением авторских прав.        Интерфейс    Deutsch    |    Български    |    Ελληνικά    |    English    |    Español    |    Français    |    Italiano    |    Polski    |    Português    |    Русский    |    Slovenščina    |    Srpski    |    Türkçe    |    中文        ×          Другие источники          закрыть          ×          Отзыв            Здесь Вы можете сообщить об ошибке в данной статье PONS  или внести поправку:                    Email                          Сообщение                          We are using the following form field to detect spammers. Please do leave them untouched. Otherwise your message will be regarded as spam. We are sorry for the inconvenience.                    Благодарим Вас! Ваше сообщение было отослано редакции PONS.              Произошла ошибка.Пожалуйста повторите попытку.            закрыть          Отослать отзыв          ×          Моя история поиска          закрыть</t>
  </si>
  <si>
    <t>ru.pons.com</t>
  </si>
  <si>
    <t>Google Переводчик 4+ - App Store - Apple</t>
  </si>
  <si>
    <t>Приложение позволяет выполнять переводы (доступно до 133 языков). Список поддерживаемых функций зависит от языка: • Текст. Перевод введенного текста.</t>
  </si>
  <si>
    <t>https://apps.apple.com/ru/app/google-%D0%BF%D0%B5%D1%80%D0%B5%D0%B2%D0%BE%D0%B4%D1%87%D0%B8%D0%BA/id414706506</t>
  </si>
  <si>
    <t>Перевод</t>
  </si>
  <si>
    <t>Перево́д — деятельность по интерпретации смысла текста на одном языке (исходном языке [ИЯ]) и созданию нового эквивалентного ему текста на другом языке ...</t>
  </si>
  <si>
    <t>https://ru.wikipedia.org/wiki/%D0%9F%D0%B5%D1%80%D0%B5%D0%B2%D0%BE%D0%B4</t>
  </si>
  <si>
    <t>ПЕРЕВОД - Перевод на английский</t>
  </si>
  <si>
    <t>«перевод» перевод на английский. volume_up. перевод {м.р.} ... автоматический перевод {м.р.} ... банковский перевод {м.р.} ... точный перевод {м.р.}.</t>
  </si>
  <si>
    <t>https://www.babla.ru/%D1%80%D1%83%D1%81%D1%81%D0%BA%D0%B8%D0%B9-%D0%B0%D0%BD%D0%B3%D0%BB%D0%B8%D0%B9%D1%81%D0%BA%D0%B8%D0%B9/%D0%BF%D0%B5%D1%80%D0%B5%D0%B2%D0%BE%D0%B4</t>
  </si>
  <si>
    <t>Noun edit · transfer, transference · translation. перево́д с ру́сского языка́ на англи́йский ― perevód s rússkovo jazyká na anglíjskij ― translation from Russian to ...</t>
  </si>
  <si>
    <t>https://en.wiktionary.org/wiki/%D0%BF%D0%B5%D1%80%D0%B5%D0%B2%D0%BE%D0%B4</t>
  </si>
  <si>
    <t>Wiktionary the free dictionaryWiktionary:Main PageFrom Wiktionary the free dictionaryJump to navigationJump to searchWiktionary the free dictionary7608706 entries with English definitions  from over 4300 languagesBrowse: All languages • List of topics • Random word • New entriesAppendices • Abbreviations • Thesaurus • Rhymes • Frequency lists • Phrasebooks  Welcome to the English-language Wiktionary a collaborative project to produce a free-content multilingual dictionary. It aims to describe all words of all languages using definitions and descriptions in English.Wiktionary has grown beyond a standard dictionary and now includes a thesaurus a rhyme guide phrase books language statistics and extensive appendices.  We aim to include not only the definition of a word but also enough information to really understand it. Thus etymologies pronunciations sample quotations synonyms antonyms and translations are included.Wiktionary is a wiki which means that you can edit it and all the content is dual-licensed under both the Creative Commons Attribution-ShareAlike 3.0 Unported License and the GNU Free Documentation License. Before you contribute you may wish to read through some of our help pages and bear in mind that we do things quite differently from other wikis. In particular we have strict layout conventions and inclusion criteria. Learn how to start a page how to edit entries experiment in the sandbox and visit our Community Portal to see how you can participate in the development of Wiktionary.edit · refresh · viewWord of the dayfor November 12open world n(video games also attributive) A gameworld that the player may traverse freely rather than being restricted to certain predefined areas and quests. Tim Berners-Lee and Robert Cailliau published their formal proposal for the World Wide Web on this day in 1990.← yesterday | About Word of the Day • Nominate a word • Leave feedback | tomorrow →Foreign word of the day  in GermanGrufti noun(colloquial derogatory) coffin dodger old fart (old person)(originally youth slang) goth (member of the goth subculture)About Foreign Word of the Day • Archive • Nominate a word • Leave feedbackBehind the scenesCommunity portalA page containing everything you wanted to know about Wiktionary.Discussion roomsA collection of pages for the discussion of Wiktionary and the words it contains.Things to do • Help • GuidelinesWiktionaries in other languagesThis is the English-language Wiktionary where words from all languages are defined in English. For example see the entry for the French word dictionnaire. To find a French definition of that word visit the equivalent page in the French Wiktionary. 1000000+ entries: 中文 (Chinese) • Français (French) • Deutsch (German) • Ελληνικά (Greek) •Malagasy • Русский (Russian)100000+: Հայերեն (Armenian) • Català (Catalan) • Čeština (Czech) • Nederlands (Dutch) • Suomi (Finnish) •  Español (Spanish) •  Esperanto • Eesti (Estonian) • हिन्दी (Hindi) • Magyar (Hungarian) • Ido • Bahasa Indonesia (Indonesian) • Italiano (Italian) • 日本語 (Japanese) • ಕನ್ನಡ (Kannada) • 한국어 (Korean) • Kurdî / كوردی (Kurdish) • Limburgs (Limburgish) •  Lietuvių (Lithuanian) • മലയാളം (Malayalam) • မြန်မာဘာသာ (Burmese) • Norsk Bokmål (Norwegian) • ଓଡ଼ିଆ (Odia) •  فارسى (Persian) • Polski (Polish) • Português (Portuguese) • Română (Romanian) • Srpskohrvatski (Serbo-Croatian) • Svenska (Swedish) • தமிழ் (Tamil) • తెలుగు (Telugu) • ไทย (Thai) • Türkçe (Turkish) • Tiếng Việt (Vietnamese) • Oʻzbekcha / Ўзбекча (Uzbek)10000+: Afrikaans • Shqip (Albanian) • العربية (Arabic) • Asturianu (Asturian) • Azərbaycan (Azeri) • Bahasa Melayu (Malay) • Euskara (Basque) • বাংলা (Bengali) • Brezhoneg (Breton) • Български (Bulgarian) • Hrvatski (Croatian) • Dansk (Danish) • Frysk (West Frisian) • Galego (Galician) • ქართული (Georgian) •עברית (Hebrew) • Íslenska (Icelandic) • Basa Jawa (Javanese) • Кыргызча (Kyrgyz) • ລາວ (Lao) • Latina (Latin) • Latviešu (Latvian) • Lombard • Bân-lâm-gú (Min Nan) • ဘာသာမန် (Mon) • Nynorsk (Norwegian) • Occitan • Oromoo (Oromo) • پښتو (Pashto) • ਪੰਜਾਬੀ (Punjabi) • Српски (Serbian) • လိၵ်ႈတႆ (Shan) • Sicilianu (Sicilian) • Simple English • Slovenčina (Slovak) • Kiswahili (Swahili) • Tagalog • Тоҷикӣ (Tajik) • Українська (Ukrainian) • اردو (Urdu) • Volapük • Walon (Walloon) • Cymraeg (Welsh)1000+: Armãneashce (Aromanian) • Aymara • Беларуская (Belarusian) • Bosanski (Bosnian) • Bikol • Corsu (Corsican) • Føroyskt (Faroese) • Fiji Hindi • Kalaallisut (Greenlandic) • Avañe'ẽ (Guaraní) • Interlingua • Interlingue • Gaeilge (Irish) • كٲشُر (Kashmiri) • Kaszëbsczi (Kashubian) • қазақша (Kazakh) • ភាសាខ្មែរ (Khmer) • Кыргызча (Kyrgyz) • Lëtzebuergesch (Luxembourgish) •Māori • Plattdüütsch (Low Saxon) • Македонски (Macedonian) • Malti (Maltese) • मराठी (Marathi) • Nahuatl • नेपाली (Nepali) • Li Niha (Nias) • Ænglisc (Old English) • Gàidhlig (Scottish Gaelic) • Tacawit (Shawiya) • سنڌي (Sindhi) • සිංහල (Sinhalese) • Slovenščina (Slovene) • Soomaaliga (Somali) • Hornjoserbsce (Upper Sorbian) • seSotho (Southern Sotho) • Basa Sunda (Sundanese) • Tatarça / Татарча (Tatar) • تركمن / Туркмен (Turkmen) • Uyghurche / ئۇيغۇرچە (Uyghur) • پنجابی (Western Punjabi) • Wollof (Wolof) • isiZulu (Zulu)100+: አማርኛ (Amharic) • Aragonés (Aragonese) • ᏣᎳᎩ (Cherokee) • Kernewek / Karnuack (Cornish) • ދިވެހިބަސް (Divehi) • ગુજરાતી (Gujarati) • Hausa / هَوُسَ (Hausa) • ʻŌlelo Hawaiʻi (Hawaiian) • ᐃᓄᒃᑎᑐᑦ (Inuktitut) • Ikinyarwanda (Kinyarwanda) • Lingala • Gaelg (Manx) • Монгол (Mongolian) • Runa Simi (Quechua) • Gagana Samoa (Samoan) • Sängö • Setswana • ትግርኛ (Tigrinya) • Tok Pisin • Xitsonga (Tsonga) • ייִדיש (Yiddish)Meta list + All WiktionariesOther Wikimedia projectsWiktionary is run by the Wikimedia Foundation a non-profit foundation headquartered in San Francisco California USA. Wikimedia operates several other multilingual and open-content sister wiki projects:WikipediaThe free encyclopediaWikibooksFree textbooks and manualsWikinewsFree-content newsWikisourceThe free libraryWikispeciesDirectory of speciesWikiquoteCollection of quotationsCommonsShared media repositoryMeta-WikiWikimedia project coordinationWikiversityFree learning resourcesWikivoyageTravel informationWikidataThe free knowledge baseRetrieved from "https://en.wiktionary.org/w/index.php?title=Wiktionary:Main_Page&amp;oldid=76595850"Navigation menuPersonal toolsNot logged inTalkContributionsCreate accountLog inNamespacesMain PageDiscussionEnglishViewsReadView sourceHistoryMoreSearchNavigationMain PageCommunity portalPreferencesRequested entriesRecent changesRandom entryHelpGlossaryDonationsContact usToolsWhat links hereRelated changesUpload fileSpecial pagesPermanent linkPage informationGet shortened URLWikidata itemPrint/exportCreate a bookDownload as PDFPrintable versionIn other projectsWikimedia CommonsWikimedia FoundationMediaWikiMeta-WikiWikimedia OutreachMultilingual WikisourceWikispeciesWikibooksWikidataWikifunctionsWikimaniaWikinewsWikipediaWikiquoteWikisourceWikiversityWikivoyageIn other languagesАдыгэбзэAfrikaansአማርኛÆngliscالعربيةAragonésArmãneashtiঅসমীয়াAsturianuAvañe'ẽAymar aruAzərbaycancaবাংলাBanjarBân-lâm-gúBân-lâm-gúБеларускаяBikol CentralБългарскиBosanskiBrezhonegCatalàČeštinaChiShonaCorsuCymraegDanskDeutschދިވެހިބަސްEbonEestiΕλληνικάEspañolEsperantoEuskaraفارسیFiji HindiFøroysktFrançaisFryskGaeilgeGaelgGàidhligGalegoગુજરાતીगोंयची कोंकणी / Gõychi KonknniGungbe한국어HausaՀայերենहिन्दीHornjoserbsceHrvatskiBahasa HulontaloIdoIgboBahasa IndonesiaInterlinguaInterlingueᐃᓄᒃᑎᑐᑦ / inuktitutIñupiatunIsiZuluÍslenskaItalianoעבריתJawaKalaallisutಕನ್ನಡქართულიकॉशुर / کٲشُرKaszëbscziҚазақшаKernowekIkinyarwandaKiswahiliKurdîКыргызчаລາວLatinaLatviešuLëtzebuergeschLietuviųLi NihaLimburgsLingálaLa .lojban.LombardMagyarМакедонскиMalagasyമലയാളംMaltiमराठीဘာသာ မန်Bahasa Melayuꯃꯤꯇꯩ ꯂꯣꯟMinangkabauМонголမြန်မာဘာသာNāhuatlDorerin NaoeroNa Vosa VakavitiNederlandsनेपाली日本語NorskNorsk nynorskOccitanଓଡ଼ିଆOromooOʻzbekcha / ўзбекчаਪੰਜਾਬੀپنجابیပအိုဝ်ႏဘာႏသာႏپښتوភាសាខ្មែរTok PisinPlattdüütschPolskiPortuguêsRomânăRuna SimiРусскийGagana Samoaसंस्कृतम्SängöسرائیکیSesothoSetswanaShqipSicilianuසිංහලSimple EnglishسنڌيSiSwatiSlovenčinaSlovenščinaSoomaaligaکوردیСрпски / srpskiSrpskohrvatski / српскохрватскиSundaSuomiSvenskaTacawitTagalogதமிழ்Татарча / tatarçaၽႃႇသႃႇတႆး తెలుగుไทยትግርኛТоҷикӣᏣᎳᎩTürkçeTürkmençeTyapУкраїнськаاردوئۇيغۇرچە / UyghurcheVahcuenghVènetoTiếng ViệtVolapükWalonWolofXitsongaייִדיש粵語中文Batak MandailingEdit links This page was last edited on 7 November 2023 at 14:51.Definitions and other text are available under the Creative Commons Attribution-ShareAlike License; additional terms may apply. By using this site you agree to the Terms of Use and Privacy Policy.Privacy policyAbout WiktionaryDisclaimersCode of ConductDevelopersStatisticsCookie statementMobile view</t>
  </si>
  <si>
    <t>en.wiktionary.org</t>
  </si>
  <si>
    <t>перевод - English translation</t>
  </si>
  <si>
    <t>https://www.linguee.com/russian-english/translation/%D0%BF%D0%B5%D1%80%D0%B5%D0%B2%D0%BE%D0%B4.html</t>
  </si>
  <si>
    <t xml:space="preserve">Linguee | Dictionary for German French Spanish and more Look up in LingueeSuggest as a translation of ""CopyDeepLTranslatorWriteDictionaryENOpen menuPlay Video English-German Dictionary. Search 1000000000 translations.Linguee[us] English &lt;-&gt; [de] German[us] English ---&gt; [de] German[de] German ---&gt; [us] English[us] English &lt;-&gt; [fr] French[us] English &lt;-&gt; [es] Spanish[us] English &lt;-&gt; [br] Portuguese[us] English &lt;-&gt; [it] Italian[us] English &lt;-&gt; [ru] Russian[us] English &lt;-&gt; [jp] Japanese[us] English &lt;-&gt; [cn] Chinese[us] English &lt;-&gt; [pl] Polish[us] English &lt;-&gt; [nl] Dutch[us] English &lt;-&gt; [se] Swedish[us] English &lt;-&gt; [dk] Danish[us] English &lt;-&gt; [fi] Finnish[us] English &lt;-&gt; [gr] Greek[us] English &lt;-&gt; [cz] Czech[us] English &lt;-&gt; [ro] Romanian[us] English &lt;-&gt; [hu] Hungarian[us] English &lt;-&gt; [sk] Slovak[us] English &lt;-&gt; [bg] Bulgarian[us] English &lt;-&gt; [si] Slovene[us] English &lt;-&gt; [lt] Lithuanian[us] English &lt;-&gt; [lv] Latvian[us] English &lt;-&gt; [ee] Estonian[us] English &lt;-&gt; [mt] MalteseMore languages����ENDETranslate textTranslate filesImprove your writing  Use DeepL Translator to instantly translate texts and documentsTry DeepL TranslatorTranslate as you typeWorld-leading qualityDrag and drop documentsTranslate nowLinguee auf DeutschLoginPublisherTerms and ConditionsPrivacy </t>
  </si>
  <si>
    <t>www.linguee.com</t>
  </si>
  <si>
    <t>Amazon Translate - Сервисы машинного перевода</t>
  </si>
  <si>
    <t>Как это работает. Amazon Translate – это сервис нейронного машинного перевода, обеспечивающий быстрый, высококачественный, доступный по стоимости перевод с ...</t>
  </si>
  <si>
    <t>https://aws.amazon.com/ru/translate/</t>
  </si>
  <si>
    <t>Nitro – служба профессионального перевода онлайн</t>
  </si>
  <si>
    <t>Nitro – служба профессионального перевода онлайн · Более 70 языков перевода · 60% заказов готово в течение 2 часов, 96% – менее чем за 24 часа · Нет ...</t>
  </si>
  <si>
    <t>https://alconost.com/ru/nitro</t>
  </si>
  <si>
    <t>Localization company multilingual videos and ads – Alconost info@alconost.comAlconost Inc. 901 N. Pitt Street  Suite 170 Alexandria VA 22314  USARequest a quoteEnglishEnglishDeutschEspañolFrançaisNederlandsРусскийУкраїнськаPortuguese日本語简体中文繁體中文한국어TürkçeالعربيةעבריתLocalization &amp; TranslationLocalization &amp; TranslationWhat we doEnterprise servicesContent localization servicesAppsGamesWebsitesSoftwareMarketingAudio and videoLocalization QATranslation servicesProofreadingPost-editing machine translation24/7 Online  translationQuality languages and pricingQualityCase studiesTools and solutionsContinuous localizationTranslation PlatformsLocalization of GitHub  projectsVideo ProductionVideo ProductionWhat we doCustom video productionFor appsFor gamesExplainersTutorialsLive action videosAdvertisingVoiceover servicesProcess pricingOur workflowPricing and termsExamplesCase studiesOur YouTube channelMultilingual MarketingMultilingual MarketingWhat we doMarketing servicesMultilingual SEOMultilingual SMMPPC managementContent promotionConsultingCase studiesToolsPikabanCompanyCompanyAbout UsAbout UsWe are hiringBlogOrder and paymentRequest a quotePayment methodsLegalTerms of servicePrivacy policyRequest a quoteinfo@alconost.comRequest a quoteEnglishEnglishDeutschEspañolFrançaisNederlandsРусскийУкраїнськаPortuguese日本語简体中文繁體中文한국어Türkçeالعربيةעבריתinfo@alconost.com info@alconost.comAlconost Inc. 901 N. Pitt Street  Suite 170 Alexandria VA 22314  USARequest a quoteQuality-first localization into 100+ languagesWe localize games apps websites software and other materials.We will help you implement better continuous localization workflows on frequently updated projects.Request a quote Learn moreVideos about apps games and companies Promotional trailers how-to’s YouTube pre-rolls Facebook or Instagram video ads trailers for App Store and Google Play ... Pick any. We will cover everything from idea and script to production and post-editing.Order a video Learn moreNitroType or paste your text select languages and receive translations to your email address. All translations are done by professional native-speaking linguists.Ideal for product descriptions letters messages and much more. Try Nitro More about NitroMultilingual promotion We will develop a global promotion strategy perform SEO and create a multilingual PPC advertising campaign for your website. Contact us Learn moreCase studiesWe have localized over 1500 projects and produced 1000+ videos. Let's make something special for you too!  Localization of the TikTok appClient:        TikTok      Services:        Localization and reviewing by the second linguist      Languages:        AR NL FI FR EL and 35 more      Volume:        more than 300 000 words      Learn more  CSATServices:        Localization      Developer / Publisher:        QS Solutions      Languages:        AR HE IT KO PL PT-BR PT TR ZH-CN      Volume:        200 000+ words      Learn more  DiscourseServices:        Localization Proofreading      Developer / Publisher:        Civilized Discourse Construction Kit Inc      Languages:        PT FR SP IT JA AR DE ZH-CN FI      Volume:        55 000 words      Learn more  InterSystemsServices:        Localization      Developer / Publisher:        InterSystems Corporation      Languages:        JA ZH-CN ES PT-BR FR      Volume:        500 000+ words      Learn more  JetBrainsServices:        Localization Proofreading Editing      Developer / Publisher:        JetBrains      Languages:        JA ES ZH-CN KO PT-BR FR TR CS RU      Volume:        100 000+ words      Learn more  Localization of Bandsintown appClient:                Bandsintown            Services:              localization            Languages:                FR DE IT JA PT PT-BR ES            Volume:                27 000 words            Learn more  Localization of JoobleClient:                Jooble            Services:              Localization            Languages:                ES PT KO JA and 11 more            Volume:                10 000 words            Learn more  Localization of Xsolla productsClient:        Xsolla      Services:        Localization      Languages:        FR ES JA KO and 14 more      Learn more  MovaviServices:        Localization Proofreading Editing      Developer / Publisher:        Movavi Software Limited      Languages:        ZH-CN ZH-TW JA KO TR PL DE IT ES-ES FR IN PT-BR NL SV DA EL NO RO HE HU TH AR CS PT-PT      Volume:        100 000+ words      Learn more  ParimatchServices:        Localization Proofreading      Developer / Publisher:        Parimatch      Languages:        FR-FR FR-CA DE HI IT JA PL PT-BR PT-PT ES-MX ES-ES TR      Volume:        200 000+ words      Learn more  Petcube site localizationClient:        Petcube      Services:        localization      Languages:        KO FR HE RO Pt NL      Learn more  Planner 5DServices:        Localization Proofreading      Developer / Publisher:        Planner 5D      Languages:        AR FR JA RU ZH-TW ZH-CN DE PT-BR PT-PT ES-ES ES-MX IT DA ID KO NO TR NL LT PL SV VI EL MS TH      Volume:        20 000 words      Learn more  PosterMyWallServices:        Localization      Developer / Publisher:        250 Mils LLC.      Languages:        ZH-CN DA NL FR DE ID IT PL PT RU ES TH      Volume:        25 000 words      Learn more  Sum &amp; SubstanceServices:        Localization      Developer/Publisher:        Sum &amp; Substance Ltd.      Languages:        AR BN MY ZH-TW ZH-CN CS FL FR DE HI HU ID IT JA KM KO LO MS PT-BR PT-PT RO RU SK ES-ES TH UK UR VI      Volume:        7 000 words      Learn more  SwooServices:        Localization Proofreading      Developer / Publisher:        CARDSMOBILE B.V.      Languages:        ES IT PT      Volume:        30 000 words      Learn more  Translation of GitHub guides and materialsClient:        GitHub      Services:        Translation proofreading      Languages:        Japanese      Volume:        80 000 words and counting        Transporeon Visibility HubServices:        Localization Proofreading      Developer / Publisher:        Transporeon GmbH      Languages:        TR UK BG HR CS NL FI FR DE HU IT PL PT RU SK RO SV ES      Volume:        50 000 words      Learn more  Ultimate GuitarServices:        Localization Linguistic QA      Developer / Publisher:        Muse Group      Languages:        ES      Volume:        4 000 words      Learn more  2SolarServices:        Localization Proofreading      Developer / Publisher:        2Solar software B.V.      Languages:        DE      Volume:        10 500 words      Learn more  AiraloServices:        Localization Proofreading      Developer / Publisher:        Airalo      Languages:        AR ZH-CN FR DE EL HE HI IT JA CS KO PL PT-BR RU ES TH TR UK FIL      Volume:        20 000 words      Learn more  AlvadiServices:        Localization      Developer / Publisher:        Alvadi      Languages:        UK SK SL BE MK ZH-CN NO AR JA NL FR KA EL BG TR TH MS VI HE IS HR IT ES-ES LT LV KO        DE HU CS PT-PT RO      Volume:        8 000 words      Learn more  ApptweakServices:        Localization      Developer / Publisher:        Apptweak      Languages:        JA KO ZH-CN FR      Volume:        100 000 words      Learn more  AwarefyServices:        Localization      Developer / Publisher:        Hakali      Languages:        Japanese –&gt; English      Volume:        30 000 characters        Days AfterServices:        Localization Proofreading      Developer / Publisher:        Reaction Games LTD.      Languages:        EN ES-ES FR DE PT-BR KO ZH-CN ZH-TW      Volume:        20 000+      Learn more  FoodbackServices:        Localization Proofreading      Developer / Publisher:        Foodback      Languages:        SV FR FR-CA DE IT ES ZH-CN DA NL FI PT PT-BR      Volume:        50 000 words      Learn more  Grand Hotel ManiaServices:        Localization Continuous localization Proofreading Editing      Developer / Publisher:        Deuscraft      Languages:        EN AR DA NL FI FR DE TH HI ID IT JA KO NO RU PL PT IS SV ZH-CN ZH-TW      Volume:        100 000  words      Learn more  Harvest Land Paris: City AdventureServices:        Localization Editing      Developer/Publisher:        MysteryTag      Languages:        EN FR ZH DE JA KO PT ES      Volume:        100 000+ words      Learn more  HUB ParkingServices:        Localization Proofreading      Developer / Publisher:        HUB Parking Technology      Languages:        RU      Volume:        62 000 words      Learn more  IQ Dungeon - Riddle Solving RPGServices:        Localization      Developer / Publisher:        Hirameku      Languages:        English –&gt; French German Italian Korean Russian Spanish Portuguese      Volume:        35 000 characters        KissflowServices:        Localization Proofreading      Developer / Publisher:        Kissflow Inc.      Languages:        IT TH      Volume:        140 000 words      Learn more  Localization of Charm Farm GameServices:        localization      Developer/Publisher:        Nevosoft      Languages:        PT-BR NL FR DE JA PL ES      Volume:        100 000 words      Learn more  Localization of Klondike: The Lost ExpeditionServices:        Continuous localization      Developer / Publisher:        Vizor Interactive      Languages:        FR ES ZH-CN JA and 7 more      Learn more  Localization of Microsoft MakeCodeClient:        Microsoft Corporation      Services:        Localization and linguistic QA      Languages:        FR JA PT-PT ZH-CN and 21 more      Volume:        48 000 words and counting        Localization of online courses for Harvard UniversityClient:                Harvard University            Services:              Translation of course materials and subtitles            Languages:                Arabic Spanish            Volume:                200 000 words and counting              Localization of Smarty CRM platformClient:        Clouds Technologies      Services:        localization      Languages:        ES PT-BR      Volume:        9 000 words      Learn more  Localization of the Goat Simulator gameServices:              Countinuous localization proofreading linguistic quality assurance            Developer/Publisher:                Coffee Stain Studios            Languages:                ZH-CN ZH-TW FR DE IT and 8 more            Volume:                35 000 words              Localization of the Mahjong Treasure Quest gameServices:        Countinuous localization linguistic quality assurance      Developer/Publisher:        Vizor Games      Languages:        ZH-CN ZH-TW FR DE IT and 5 more      Volume:        100 000 words        Localization of Viber messengerServices:        Product localization marketing translation      Developer/Publisher:        Viber      Languages:        RU      Learn more  Mini Mini FarmServices:        Localization      Developer / Publisher:        CoffeeBreak      Languages:        Japanese –&gt; English      Volume:        8 500 characters        Parasite DaysServices:        Localization      Developer / Publisher:        Zxima      Languages:        Japanese –&gt; English      Volume:        70 000 characters        PillowServices:        Localization Proofreading      Developer / Publisher:        Neybox      Languages:        ZH-CN ZH-TW CZ FR DE IT JA KO PT-BR RU ES TR PL      Volume:        100 000+ words      Learn more  Playwing projectsServices:        Localization      Developer / Publisher:        Playwing Ltd.      Languages:        AF AR BN MY HR CS NL ET FR KA DE EL HU ID MS PL PT RU SK ES SV TH      Volume:        40 000+ words      Learn more  Punch Club localizationServices:        localization      Developer/Publisher:        Tiny Build      Languages:        ZH-CN PL      Volume:        20 000 words      Learn more  Raymy's AI pest weedServices:        Localization      Developer / Publisher:        Nihon Nohyaku      Languages:        Japanese –&gt; English Chinese (traditional)Vietnamese Hindi      Volume:        80 000 characters        RICOH360 ToursServices:        Localization      Developer / Publisher:        RICOH      Languages:        Japanese –&gt; English German French Spanish Dutch      Volume:        18 000 characters        Ruins MagusServices:        Localization      Developer / Publisher:        Character Bank      Languages:        Japanese –&gt; English      Volume:        38 000 characters        Sana Commerce CloudServices:        Continuous localization      Developer / Publisher:        Sana Commerce      Languages:        AR ZH-CN DA NL ET FI FR DE EL HU ID IT JA KO NO PL PT-PT RU ES-ES SV-SE TH TR      Volume:        8 000 words      Learn more  Swappy DogServices:        Localization      Developer / Publisher:        Diesel Puppet      Languages:        EN ES PT-BR FR AR IN VI TH PL DE IT ZH-CN ZH-TW TR MY MS RO NL SV      Volume:        25 000 words      Learn more  The Hotel Project: Merge GameServices:        Localization      Developer/Publisher:        Next Epic      Languages:        PT-BR      Volume:        5 012 words      Learn more  Localization of Aviasales Jetradar and Hotellook's websitesClient:                Jetradar            Services:              localization LQA            Languages:                FR ES DE            Volume:                100 000 words            Learn more  Localization of Bitrix24 websiteClient:        Bitrix24      Services:        Localization      Languages:        ES PT-BR JA ZH-CN and 11 more      Volume:        100 000 words and counting        Have a project in mind?We’d like to learn more about it. In return we’ll get back to you with a solution and a quote. Fill the formBook a callHow can we help?*I need to localize my app into 40 languages (see full list below) and set up continuous localization for subsequent updates. Also I need a catchy trailer for the app and a series of YouTube pre-rollsThis field is requiredUpload filesYour name*This field is requiredYour e-mail*Please enter a valid email addressYour phone numberPlease enter a valid phone numberWhere did you learn about Alconost?*This field is requiredI agree to the Terms of Service and Privacy Policy. By submitting my contact information on this website I am consenting to receive calls SMS and emails from Alconost and its affiliates. I certify that I am the owner of the contact information provided.This field is requiredSubmitMeow!Thank you! We are processing your request and will get back to you as soon as possible!Meow!Oops! Something went wrong...CompanyAbout UsWe are hiringBlogRequest a quotePayment methodsTerms of servicePrivacy policyLocalization &amp; TranslationEnterprise servicesContent localization servicesAppsGamesWebsitesSoftwareMarketingAudio and videoLocalization QATranslation servicesProofreadingPost-editing machine translation24/7 Online  translationQualityLanguages and ratesCase studiesContinuous localizationTranslation PlatformsLocalization of GitHub  projectsVideo ProductionCustom video productionFor appsFor gamesExplainersTutorialsLive action videosAdvertisingVoiceover servicesOur workflowPricing and termsCase studiesOur YouTube channelMultilingual MarketingMarketing servicesMultilingual SEOMultilingual SMMPPC managementContent promotionConsultingCase studiesPikaban  Read our 133 reviews48 (12 Reviews)48 (12 Reviews)Trustpilot9001:201517100:201518587-2017Globalization and Localization AssociationAmerican Translators Association  ©2004-2023 Alconost Inc.USA | Poland | Japan | Portugal | China |   |  info@alconost.comTerms of service | Privacy policy</t>
  </si>
  <si>
    <t>alconost.com</t>
  </si>
  <si>
    <t>Как переводить веб-страницы и изменять языковые ...</t>
  </si>
  <si>
    <t>Как включить или отключить перевод · Откройте приложение Chrome Chrome на телефоне или планшете Android. · Справа от адресной строки нажмите на значок "Ещё" Ещё ...</t>
  </si>
  <si>
    <t>https://support.google.com/chrome/answer/173424?hl=ru&amp;co=GENIE.Platform%3DAndroid</t>
  </si>
  <si>
    <t>Письменный перевод | Департамент по делам ...</t>
  </si>
  <si>
    <t>Шесть служб письменного перевода Департамента по делам Генеральной Ассамблеи и конференционному управлению отвечают за подготовку документации для ...</t>
  </si>
  <si>
    <t>https://www.un.org/dgacm/ru/content/translation</t>
  </si>
  <si>
    <t>Welcome to the United Nations  الأمم المتحدة联合国视频© United NationsNations UniesООНNaciones Unidasمرحباً بكم في الأمم المتحدة欢迎来到联合国Welcome to the United NationsBienvenue aux Nations UniesДобро пожаловать в ООН!Bienvenidos a las Naciones Unidasالأمم المتحدة联合国视频© United NationsNations UniesООНNaciones Unidasمرحباً بكم في الأمم المتحدة欢迎来到联合国Welcome to the United NationsBienvenue aux Nations UniesДобро пожаловать в ООН!Bienvenidos a las Naciones Unidas      عربي  中文  English  Français  Русский  Español  </t>
  </si>
  <si>
    <t>www.un.org</t>
  </si>
  <si>
    <t>ПЕРЕВОДЧИК от Cambridge | английский русский</t>
  </si>
  <si>
    <t>https://dictionary.cambridge.org/ru/translate/</t>
  </si>
  <si>
    <t>Cambridge Dictionary | English Dictionary Translations &amp; Thesaurus   DictionaryTranslateGrammarThesaurus+PlusCambridge Dictionary +PlusCambridge Dictionary +PlusMy profile+Plus helpLog outCambridge Dictionary +PlusMy profile+Plus helpLog outLog in / Sign upEnglish (UK)Make your words meaningful                                                            English                                                Explore the Cambridge DictionaryEnglish dictionariesEnglishLearner’s DictionaryEssential British EnglishEssential American EnglishGrammarThesaurusPronunciationTranslation dictionaries                                    Click on the arrows to change the translation direction.                                English–Chinese (Simplified)Chinese (Simplified)–EnglishEnglish–Chinese (Traditional)Chinese (Traditional)–EnglishEnglish–DutchDutch–EnglishEnglish–FrenchFrench–EnglishEnglish–GermanGerman–EnglishSee moreSee lessEnglish–IndonesianIndonesian–EnglishEnglish–ItalianItalian–EnglishEnglish–JapaneseJapanese–EnglishEnglish–NorwegianNorwegian–EnglishEnglish–PolishPolish–EnglishEnglish–PortuguesePortuguese–EnglishEnglish–SpanishSpanish–EnglishEnglish–ArabicEnglish–BengaliEnglish–CatalanEnglish–CzechEnglish–DanishEnglish–HindiEnglish–KoreanEnglish–MalayEnglish–MarathiEnglish–RussianEnglish–TamilEnglish–TeluguEnglish–ThaiEnglish–TurkishEnglish–UkrainianEnglish–UrduEnglish–VietnameseWord ScrambleChallenge yourself with word games from Cambridge Dictionary.Read the definition. Can you beat the clock and spell the word?                Play            BlogReunions and housewarmings (Words for different parties)November 08 2023                Read More            Word of the Daypoker-facedUKYour browser doesn't support HTML5 audio/ˈpəʊ.kəˌfeɪst/USYour browser doesn't support HTML5 audio/ˈpoʊ.kɚˌfeɪst/not showing what you are thinking or feeling in your faceAbout thisNew WordsSeptember SurgeNovember 06 2023            More new words                            Browse the English Dictionary                        0-9abcdefghijklmnopqrstuvwxyzOr browse the Cambridge Dictionary indexCambridgeDictionary +PlusFree word lists and quizzes to create download and share!Go to + Plus                or                Log inYou’re logged in. Start creating a word list or do a quiz!Go to + PlusGo to word lists © Cambridge University Press &amp; Assessment 2023                         Learn                        LearnLearnNew WordsHelpIn PrintWord of the Year 2021Word of the Year 2022                        Develop                        DevelopDevelopDictionary APIDouble-Click LookupSearch WidgetsLicense Data                        About                        AboutAboutAccessibilityCambridge EnglishCambridge University Press &amp; AssessmentConsent ManagementCookies and PrivacyCorpusTerms of Use© Cambridge University Press &amp; Assessment 2023 Cambridge Dictionary +PlusMy profile+Plus helpLog out                        Dictionary                        DefinitionsClear explanations of natural written and spoken EnglishEnglishLearner’s DictionaryEssential British EnglishEssential American EnglishTranslations                                    Click on the arrows to change the translation direction.                                                                    Bilingual Dictionaries                                English–Chinese (Simplified)Chinese (Simplified)–EnglishEnglish–Chinese (Traditional)Chinese (Traditional)–EnglishEnglish–DutchDutch–EnglishEnglish–FrenchFrench–EnglishEnglish–GermanGerman–EnglishEnglish–IndonesianIndonesian–EnglishEnglish–ItalianItalian–EnglishEnglish–JapaneseJapanese–EnglishEnglish–NorwegianNorwegian–EnglishEnglish–PolishPolish–EnglishEnglish–PortuguesePortuguese–EnglishEnglish–SpanishSpanish–EnglishSemi-bilingual DictionariesEnglish–Arabic                                    English–Bengali                                    English–Catalan                                    English–Czech                                    English–Danish                                    English–Hindi                                    English–Korean                                    English–Malay                                    English–Marathi                                    English–Russian                                    English–Tamil                                    English–Telugu                                    English–Thai                                    English–Turkish                                    English–Ukrainian                                    English–Urdu                                    English–Vietnamese                                    TranslateGrammarThesaurusPronunciationCambridge Dictionary +PlusCambridge Dictionary +PlusMy profile+Plus helpLog out Log in                     /                     Sign upEnglish (UK)  ChangeEnglish (UK)English (US)EspañolEspañol (Latinoamérica)РусскийPortuguêsDeutschFrançaisItaliano中文 (简体)正體中文 (繁體)Polski한국어Türkçe日本語Tiếng ViệtNederlandsNorskहिंदीবাঙ্গালিमराठीதமிழ்తెలుగుFollow us                Choose a dictionary            Recent and RecommendedDefinitions                            Clear explanations of natural written and spoken English                        EnglishLearner’s DictionaryEssential British EnglishEssential American EnglishGrammar and thesaurus                            Usage explanations of natural written and spoken English                        GrammarThesaurusPronunciation                            British and American pronunciations with audio                        English PronunciationTranslation                                Click on the arrows to change the translation direction.                            Bilingual DictionariesEnglish–Chinese (Simplified)Chinese (Simplified)–EnglishEnglish–Chinese (Traditional)Chinese (Traditional)–EnglishEnglish–DutchDutch–EnglishEnglish–FrenchFrench–EnglishEnglish–GermanGerman–EnglishEnglish–IndonesianIndonesian–EnglishEnglish–ItalianItalian–EnglishEnglish–JapaneseJapanese–EnglishEnglish–NorwegianNorwegian–EnglishEnglish–PolishPolish–EnglishEnglish–PortuguesePortuguese–EnglishEnglish–SpanishSpanish–EnglishSemi-bilingual DictionariesEnglish–ArabicEnglish–BengaliEnglish–CatalanEnglish–CzechEnglish–DanishEnglish–HindiEnglish–KoreanEnglish–MalayEnglish–MarathiEnglish–RussianEnglish–TamilEnglish–TeluguEnglish–ThaiEnglish–TurkishEnglish–UkrainianEnglish–UrduEnglish–VietnameseDictionary +PlusWord Lists                Choose your language            English (UK)  English (US)EspañolEspañol (Latinoamérica)РусскийPortuguêsDeutschFrançaisItaliano中文 (简体)正體中文 (繁體)Polski한국어Türkçe日本語Tiếng ViệtNederlandsNorskहिंदीবাঙ্গালিमराठीதமிழ்తెలుగు</t>
  </si>
  <si>
    <t>dictionary.cambridge.org</t>
  </si>
  <si>
    <t>переводчик</t>
  </si>
  <si>
    <t>Переводчик - Яндекс</t>
  </si>
  <si>
    <t>Миллионы пользователей каждый день переводят с помощью DeepL. Переводчик с английского, немецкого, французского и других языков на русский. · Исходный текст ...</t>
  </si>
  <si>
    <t>Бесплатный онлайн-переводчик Reverso переводит ваши тексты с английского на французский, испанский, итальянский, немецкий, русский, португальский, иврит, ...</t>
  </si>
  <si>
    <t>И действительно, ряд тестов показал, что DeepL Переводчик справляется с переводами в паре нидерландский-английский намного лучше, чем Google Переводчик.</t>
  </si>
  <si>
    <t>https://www.deepl.com/ru/translator-mobile/pt-BR/Opa!/en</t>
  </si>
  <si>
    <t>Приложения в Google Play – Яндекс Переводчик</t>
  </si>
  <si>
    <t>https://play.google.com/store/apps/details?id=ru.yandex.translate&amp;hl=ru&amp;gl=US</t>
  </si>
  <si>
    <t>Переводчик</t>
  </si>
  <si>
    <t>Перево́дчик — специалист, занимающийся переводом, то есть созданием письменного или устного текста на определённом языке (называемом языком перевода), ...</t>
  </si>
  <si>
    <t>https://ru.wikipedia.org/wiki/%D0%9F%D0%B5%D1%80%D0%B5%D0%B2%D0%BE%D0%B4%D1%87%D0%B8%D0%BA</t>
  </si>
  <si>
    <t>App Store: Яндекс Переводчик - Apple</t>
  </si>
  <si>
    <t>https://apps.apple.com/ru/app/%D1%8F%D0%BD%D0%B4%D0%B5%D0%BA%D1%81-%D0%BF%D0%B5%D1%80%D0%B5%D0%B2%D0%BE%D0%B4%D1%87%D0%B8%D0%BA/id584291439</t>
  </si>
  <si>
    <t>22 мар. 2023 г. —</t>
  </si>
  <si>
    <t>https://chrome.google.com/webstore/detail/google-translate/aapbdbdomjkkjkaonfhkkikfgjllcleb?hl=ru</t>
  </si>
  <si>
    <t>Электронные переводчики и словари</t>
  </si>
  <si>
    <t>Электронные переводчики и словари купить в интернет-магазине OZON по выгодным ценам! ✓Характеристики ✓Стоимость ✓Фото ✓Огромный ассортимент каталога ...</t>
  </si>
  <si>
    <t>https://www.ozon.ru/category/elektronnye-perevodchiki-i-slovari-1646/</t>
  </si>
  <si>
    <t>Переводчик | Трейлер | В кино с 1 июня</t>
  </si>
  <si>
    <t>https://www.youtube.com/watch?v=HaFBmR7kT84</t>
  </si>
  <si>
    <t>Как переводить речь - Android - Cправка - Google Translate</t>
  </si>
  <si>
    <t>Откройте приложение "Google Переводчик" Приложение "Переводчик" на устройстве Android. Укажите нужную языковую пару. Язык исходного текста можно выбрать в ...</t>
  </si>
  <si>
    <t>https://support.google.com/translate/answer/6142468?hl=ru&amp;co=GENIE.Platform%3DAndroid</t>
  </si>
  <si>
    <t>Онлайн переводчик</t>
  </si>
  <si>
    <t>Воспользуйтесь бесплатным русско-английским онлайн переводчиком для перевода непонятного для вас слова, фразы или небольшого текста.</t>
  </si>
  <si>
    <t>https://www.native-english.ru/translate</t>
  </si>
  <si>
    <t>Английский язык онлайн - Native EnglishФорумГрамматикаТренировкиАудиокнигиСловарьТестыИгрыЕще...ФонетикаЛексикаМетодикиИдиомыГлаголыАнекдотыТопикиПесниПереводПословицыРепетиторыКурсывойтиАнглийский язык онлайн		Для всех кто хочет знать английский язык мы создали этот сайт полностью посвященный его изучению. Здесь есть все необходимое для того чтобы изучать английский язык онлайн бесплатно. Подробнее о проектеГрамматика и лексикаЕсть трудности с переводом грамматической конструкции? Задайте вопрос или поделитесь вашим знанием английского.ОбщайсяФорумArticlesТест на знание и употребление артиклей в английском языке.Проверь себяТестыПрослушкаОтгадайте написание скрытого английского слова по его звучанию.ИграйИгрыИзучай языкАнглийское произношениеОписание особенностей английского произношения по сравнению с русским.ФонетикаНеправильные глаголыТаблица форм самых употребляемых неправильных глаголов английского языка с произношением и переводом.ГрамматикаКак выбрать курсы английского языка?Статья о том как правильно выбрать компанию которая предлагает услуги по обучению английскому языку ...СтатьиРесурсыОнлайн переводчикБесплатный русско-английский онлайн переводчик поможет перевести непонятную фразу или небольшой текст.Аудиокниги на английском языкеСлушайте аудиокниги на английском с параллельным переводом и просмотром значений к каждому слову.Глаголы английского языкаСписок английских глаголов с просмотром значений временных форм примеров использования спряжения.Идиомы английского языкаОбъемный справочник устойчивых выражений английского языка с примерами использования и переводом.Топики по английскомуКороткие тематические рассказы и сочинения на английском языке.Читай с переводом            Читайте англоязычные тексты на сайте с просмотром перевода для каждого слова. Добавляйте слова в личный словарь для дальнейшего изучения.        Alice was beginning to get very tired of sitting by her sister on the bank and of having nothing to do: once or twice she had peeped into the book her sister was reading but it had no pictures or conversations in it "and what is the use of a book" thought Alice "without pictures or conversations?"So she was considering in her own mind (as well as she could for the hot day made her feel very sleepy and stupid) whether the pleasure of making a daisy-chain would be worth the trouble of getting up and picking the daisies when suddenly a White Rabbit with pink eyes ran close by her.Аудиокниги на английском языкеничегонискольконичтоДобавить в словарьЭто интересноТест уровня английского языкаУзнай насколько хорошо ты владеешь английским языком пройдя интерактивный тест. РекламаСвязатьсяО проектеРассылкаУсловия ФорумГрамматикаТренировкиАудиокнигиСловарьТестыИгрыФонетикаЛексикаМетодикиИдиомыГлаголыАнекдотыТопикиПесниПереводПословицыРепетиторыКурсыПодпишись на нас:Английский язык онлайн - Native English© Native English 2003-2023Сообщить об ошибке</t>
  </si>
  <si>
    <t>www.native-english.ru</t>
  </si>
  <si>
    <t>Как создать переводчик, который переводит лучше, чем ...</t>
  </si>
  <si>
    <t>22 сент. 2022 г. —</t>
  </si>
  <si>
    <t>https://habr.com/ru/articles/689580/</t>
  </si>
  <si>
    <t>Как переводится на английский слово «переводчик»?</t>
  </si>
  <si>
    <t>переводчик {мужской род} ... Я прихватил с собой переводчика и отправился в эту деревню, нашел эту бабушку, сел с ней поговорить. expand_more I took a translator ...</t>
  </si>
  <si>
    <t>https://www.babla.ru/%D1%80%D1%83%D1%81%D1%81%D0%BA%D0%B8%D0%B9-%D0%B0%D0%BD%D0%B3%D0%BB%D0%B8%D0%B9%D1%81%D0%BA%D0%B8%D0%B9/%D0%BF%D0%B5%D1%80%D0%B5%D0%B2%D0%BE%D0%B4%D1%87%D0%B8%D0%BA</t>
  </si>
  <si>
    <t>НОВЫЙ ПЕРЕВОДЧИК</t>
  </si>
  <si>
    <t>https://www.babla.ru/%D0%BF%D0%B5%D1%80%D0%B5%D0%B2%D0%BE%D0%B4%D1%87%D0%B8%D0%BA/</t>
  </si>
  <si>
    <t>Попробуйте Microsoft переводчик бесплатно</t>
  </si>
  <si>
    <t>Переводчик документов Microsoft позволяет быстро и легко перевести Word, PDF, PowerPoint, обычный текст или документы Excel. Вы также можете Настроить и тонкой ...</t>
  </si>
  <si>
    <t>https://www.microsoft.com/ru-ru/translator/business/trial/</t>
  </si>
  <si>
    <t>Microsoft – Cloud Computers Apps &amp; Gaming Skip to main contentMicrosoftMicrosoft 365TeamsWindowsSurfaceXboxDealsSmall BusinessSupportMore  All MicrosoftGlobalMicrosoft 365TeamsWindowsSurfaceXboxDealsSmall BusinessSupportSoftwareSoftwareWindows AppsAIOutlookOneDriveMicrosoft TeamsOneNoteMicrosoft EdgeSkypePCs &amp; Devices  PCs &amp; Devices  ComputersShop XboxAccessoriesVR &amp; mixed realityCertified RefurbishedTrade-in for cashEntertainmentEntertainmentXbox Game Pass UltimatePC Game PassXbox gamesPC and Windows gamesMovies &amp; TVBusinessBusinessMicrosoft CloudMicrosoft SecurityDynamics 365Microsoft 365 for businessMicrosoft Power PlatformWindows 365Microsoft IndustrySmall BusinessDeveloper &amp; IT  Developer &amp; IT  AzureDeveloper CenterDocumentationMicrosoft LearnMicrosoft Tech CommunityAzure MarketplaceAppSourceVisual StudioOtherOtherMicrosoft Rewards Free downloads &amp; securityEducationGift cardsHoliday giftsLicensingUnlocked storiesView SitemapSearchSearch Microsoft.com No resultsCancel0Cart0 items in shopping cartSign in        Merry reasons to shop now: Buy now pay later. As low as 0% APR + price protection        Slide %{start} of %{total}. %{slideTitle}						Skip featured products and announcements slideshow: navigate using the slide tabs 						PausePreviousNext                                        Up to $570 off Surface Pro 9                                                                    Laptop power tablet flexibility—save now on select devices and unwrap possibility all year long. Offer ends 11/12.                                                    Shop Surface Pro 9                                        Helping communities recover quickly                                                                    AI helps Team Rubicon a veteran-led humanitarian organization provide disaster response to people when they need it most.                                                    Find out moreEnd of featured products and announcements slideshow: navigate using the slide tabs section                Shop Surface devices                                    Buy Xbox games and consoles                                    Choose your Microsoft 365                                    Shop for accessories                                    Shop Business                                                    Get up to $600 cash back with a qualified trade-in                             For a limited time increase the value of your eligible trade-in device and get extra cash back when you buy a new Surface Laptop Studio 2.*                         Shop Surface Laptop Studio 2                                             Save up to $300 on select Surface Laptop 5                             Give the whole package with the perfect balance of sophisticated style speed and serious processing power. Offer ends 11/12.                         Shop Surface Laptop 5                                             Give the best value in gaming                             Experience next-gen speed and performance at a great price with Xbox Series S – 1TB (Carbon Black).                         Shop Xbox Series S                                             Call of Duty®: Modern Warfare® III is here                             In the direct sequel to the record-breaking Call of Duty®: Modern Warfare® II Captain Price and Task Force 141 face off against the ultimate threat.                         Get it now                                                     Buy Xbox Series X get a free game                                                                    Get your choice of select game when you purchase a new Xbox Series X console.                                                    Shop Xbox Series XFor business                                Surface Pro 9 for Business                             Get next-level security with Surface Pro 9 for Business and Windows 11 Pro to help ensure your information is protected.                         Surface Pro 9 for Business                                             Windows 11 for business                             Designed for hybrid work. Powerful for employees. Consistent for IT. Secure for all.                         Learn more                                             Join the era of AI                             Create communicate and code with the latest Microsoft AI solutions.                         Explore AI solutions                                             Register now for Microsoft Ignite                             Join us November 15-16 to explore the latest AI innovations connect with experts and partners and level up your skill set.                         Register now             Slide %{start} of %{total}. %{slideTitle}						Skip human-interest articles and stories slideshow: navigate using the slide tabs 						PausePreviousNext                                        Powering a better game                                                                    NFL's NY Jets first-round draft picks achieve more with Microsoft Surface.                                                    Find out how                                        Our approach to responsible innovation                                                                    Learn about the commitments and progress we’re making to ensure that Microsoft technology benefits everyone in this era of AI.                                                    Explore our progressEnd of human-interest articles and stories slideshow: navigate using the slide tabs section            Follow Microsoft                                        Back to top            What's newSurface Laptop Studio 2Surface Laptop Go 3Surface Pro 9Surface Laptop 5Surface Studio 2+Copilot in WindowsMicrosoft 365Windows 11 appsMicrosoft StoreAccount profileDownload CenterMicrosoft Store supportReturnsOrder trackingCertified RefurbishedMicrosoft Store PromiseFlexible PaymentsEducationMicrosoft in educationDevices for educationMicrosoft Teams for EducationMicrosoft 365 EducationHow to buy for your schoolEducator training and developmentDeals for students and parentsAzure for studentsBusinessMicrosoft CloudMicrosoft SecurityDynamics 365Microsoft 365Microsoft Power PlatformMicrosoft TeamsMicrosoft IndustrySmall BusinessDeveloper &amp; ITAzureDeveloper CenterDocumentationMicrosoft LearnMicrosoft Tech CommunityAzure MarketplaceAppSourceVisual StudioCompanyCareersAbout MicrosoftCompany newsPrivacy at MicrosoftInvestorsDiversity and inclusionAccessibilitySustainabilityEnglish (United States)California Consumer Privacy Act (CCPA) Opt-Out IconYour Privacy ChoicesCalifornia Consumer Privacy Act (CCPA) Opt-Out IconYour Privacy ChoicesSitemapContact MicrosoftPrivacy Manage cookiesTerms of useTrademarksSafety &amp; ecoRecyclingAbout our ads© Microsoft 2023</t>
  </si>
  <si>
    <t>www.microsoft.com</t>
  </si>
  <si>
    <t>Переводчик - Результат из Google Книги</t>
  </si>
  <si>
    <t>https://books.google.ru/books?id=5yQ0EAAAQBAJ&amp;pg=PT23&amp;lpg=PT23&amp;dq=%D0%BF%D0%B5%D1%80%D0%B5%D0%B2%D0%BE%D0%B4%D1%87%D0%B8%D0%BA&amp;source=bl&amp;ots=oPMCyVf0Rv&amp;sig=ACfU3U0beAAkFqdbWDplYGRWeV4-OWaqzg&amp;hl=ru&amp;sa=X&amp;ved=2ahUKEwjP9qymqL2CAxVAHTQIHfCWC88Q6AF6BAguEAM</t>
  </si>
  <si>
    <t>https://books.google.ru/books?id=exR9DwAAQBAJ&amp;pg=PT297&amp;lpg=PT297&amp;dq=%D0%BF%D0%B5%D1%80%D0%B5%D0%B2%D0%BE%D0%B4%D1%87%D0%B8%D0%BA&amp;source=bl&amp;ots=CAoeod5882&amp;sig=ACfU3U1dANzPnft0r0H48gM1YsTdA4ANBw&amp;hl=ru&amp;sa=X&amp;ved=2ahUKEwjP9qymqL2CAxVAHTQIHfCWC88Q6AF6BAhCEAM</t>
  </si>
  <si>
    <t>https://www.deepl.com/ru/translator-mobile</t>
  </si>
  <si>
    <t>Google Переводчик - App Store</t>
  </si>
  <si>
    <t>https://apps.apple.com/us/app/google-%D0%BF%D0%B5%D1%80%D0%B5%D0%B2%D0%BE%D0%B4%D1%87%D0%B8%D0%BA/id414706506?l=ru</t>
  </si>
  <si>
    <t>Онлайн переводчик текстов. Бесплатный перевод языков ...</t>
  </si>
  <si>
    <t>Бесплатный онлайн переводчик от META.ua позволяет переводить тексты с русского на английский, украинский, французский, немецкий, польский, латышский, ...</t>
  </si>
  <si>
    <t>https://translate.meta.ua/</t>
  </si>
  <si>
    <t>переводчик — Викисловарь</t>
  </si>
  <si>
    <t>https://ru.wikipedia.org/wiki/wikt:%D0%BF%D0%B5%D1%80%D0%B5%D0%B2%D0%BE%D0%B4%D1%87%D0%B8%D0%BA</t>
  </si>
  <si>
    <t>Bing Microsoft Translator</t>
  </si>
  <si>
    <t>https://www.bing.com/translator</t>
  </si>
  <si>
    <t>BingSign inRewards</t>
  </si>
  <si>
    <t>www.bing.com</t>
  </si>
  <si>
    <t>Иммиграционный переводчик США - Political Asylum USA</t>
  </si>
  <si>
    <t>Единственным требованием является идентификация личности лица, осуществляющего перевод: от него потребуется паспорт или водительское удостоверение. Переводчик ...</t>
  </si>
  <si>
    <t>https://www.politicalasylumusa.com/ru/%D0%BF%D0%BE%D0%BB%D1%83%D1%87%D0%B5%D0%BD%D0%B8%D0%B5-%D1%83%D0%B1%D0%B5%D0%B6%D0%B8%D1%89%D0%B0-%D0%B0%D0%BC%D0%B5%D1%80%D0%B8%D0%BA%D0%B0/%D0%BF%D0%B5%D1%80%D0%B5%D0%B2%D0%BE%D0%B4%D1%87%D0%B8%D0%BA/</t>
  </si>
  <si>
    <t>https://books.google.com/books?id=5yQ0EAAAQBAJ&amp;pg=PT32&amp;lpg=PT32&amp;dq=%D0%BF%D0%B5%D1%80%D0%B5%D0%B2%D0%BE%D0%B4%D1%87%D0%B8%D0%BA&amp;source=bl&amp;ots=oPMCxXi2Rq&amp;sig=ACfU3U2-C744uuEMKnOaS9FCXFcpmPOSZw&amp;hl=ru&amp;sa=X&amp;ved=2ahUKEwjZ0v6WiruCAxVakokEHVpXB38Q6AF6BAgbEAM</t>
  </si>
  <si>
    <t>Нужен устный переводчик? 2 Tip Sheet</t>
  </si>
  <si>
    <t>Суды предоставляют устных переводчиков для судебных разбирательств и услуг для людей с ограниченным владением английским языком. Эта услуга является.</t>
  </si>
  <si>
    <t>https://www.courts.state.md.us/sites/default/files/import/video/docs/tipsheetworkwithinterpreterrus.pdf</t>
  </si>
  <si>
    <t>Home | Maryland Courts      Skip to main content    ColorsCCCCSelect LanguageEnglishAfrikaansAlbanianArabicArmenianAzerbaijaniBasqueBelarusianBengaliBosnianBulgarianCatalanCebuanoChinese (Simplified)Chinese (Traditional)CroatianCzechDanishDutchEsperantoEstonianFilipinoFinnishFrenchGalicianGeorgianGermanGreekGujaratiHaitian CreoleHausaHebrewHindiHmongHungarianIcelandicIgboIndonesianIrishItalianJapaneseJavaneseKannadaKhmerKoreanLaoLatinLatvianLithuanianMacedonianMalayMalteseMaoriMarathiMongolianNepaliNorwegianPersianPolishPortuguesePunjabiRomanianRussianSerbianSlovakSlovenianSomaliSpanishSwahiliSwedishTamilTeluguThaiTurkishUkrainianUrduVietnameseWelshYiddishYorubaZuluText Size-A A +AMission &amp; VisionJobs﻿Site IndexAccessibility                                  Opinions Search   Search TipsCourtsSupreme Court of MarylandAppellate OpinionsCourt Records (Case Search)HolidaysAppellate Court of MarylandAppointed Attorneys ProgramCourt ReportingJudicial CouncilCircuit CourtsClosings/DelaysData DashboardJudicial Ethics CommitteeDistrict CourtCommission on Judicial DisabilitiesDirectory of CourtsJudicial SelectionOrphans' CourtCourt-Appointed GuardiansEqual JusticeJury ServiceAboutCourt FormsFee SchedulesMission &amp; VisionAccessibilityCourt Language ServicesGovernanceProblem-Solving CourtsAdministrative OrdersCourt OfficesGovernment Relations &amp; Public AffairsPublicationsCourt HelpAccess to Court RecordsCourt Help CentersFiling Fee WaiversMediation &amp; ADRAccommodationsCourt Help TopicsFinding Legal HelpMoney IssuesApp - Maryland Court HelpCourt Help VideosHousingPeople's Law LibraryAppeals - Appellate Court of MarylandCriminal CasesJuvenile DelinquencyRemote Hearing ToolkitChild Abuse and NeglectDomestic ViolenceLand RecordsThurgood Marshall State Law LibraryChildren &amp; FamilyEmploymentLanguage ServicesTrafficCourt FormsExpungementLife Planning &amp; Power of AttorneyWills &amp; EstatesE-ServicesActive and Former Judicial Officers IDsCase SearchPay a Traffic TicketAppellate OpinionsCONNECT (Internal)E-Recording for Land RecordsPeople's Law LibraryAsk a Law LibrarianCourt Help CentersEstate SearchProcurement &amp; SolicitationsBusiness Licenses - SearchCourt FormsGrantsRemote Hearings and ProceedingsBusiness &amp; Technology OpinionsData DashboardGuide &amp; FileRequest State Law Library MaterialsCareersDomestic Violence Monthly ReportsJuror Qualification FormState Law Library CatalogCase Management PlansE-filingMaryland Electronic Courts (MDEC)LawyersAmicus CuriarumAttorney Information SystemChange of AddressJudicial VacanciesAppointed Attorneys ProgramAttorney ListingCommission on Judicial DisabilitiesLegal ResourcesAttorney Change of Address/ContactBar AssociationsClient Protection FundPro BonoAttorney Compliance RequirementsBoard of Law ExaminersDisciplinary ActionsProposed Rules Changes/OrdersAttorney Grievance CommissionCertificate of Good StandingE-filingStatewide Uniform Subpoena FormMediaGovernment Relations &amp; Public AffairsMedia Resource CenterNews ReleasesPublicationsJudicial RecordsCommunityBill of Rights DayCourtroom ToursMock TrialSchools in the CourtsBookmark Art ContestEqual JusticeMore Sites to VisitSpeakers BureauConstitution Day Courts closed on Veterans DayMaryland’s courts court offices and court administrative offices will be closed on Friday November 10 in observance of Veterans Day. Court holidays. Maryland Judiciary launches E-rent program in Prince George’s CountyThe District Court in Prince George’s County began accepting failure to pay rent filings electronically into Maryland Electronic Courts (MDEC). Read more. Supreme Court of Maryland holds oral arguments at Dr. Henry A. Wise Jr. High School in Prince George’s CountyMaryland’s highest court hosts off-site oral arguments for the first time in recent history. Read more. Maryland Judiciary issues statement after suspect in the murder of  Hon. Andrew Wilkinson is locatedThe Maryland Judiciary appreciates the combined efforts of the local state and federal law enforcement agencies. Read more.Courts closed on Veterans DayMaryland Judiciary launches E-rent program in Prince George’s CountySupreme Court of Maryland holds oral arguments at Dr. Henry A. Wise Jr. High School in Prince George’s CountyMaryland Judiciary issues statement after suspect in the murder of  Hon. Andrew Wilkinson is locatedHow To...Learn About...Search Court Records (Case Search)Register to E-filePay a Traffic TicketFind a Court FormPrepare for Jury DutyFile a Complaint/Voice a ConcernComplete Attorney ComplianceRequest a Judicial RecordMaryland GuardianshipWaiving Filing FeesDomestic ViolenceAccess to Court RecordsSmall ClaimsMediation and ADRCourt Language ServicesMDECMDEC System Status &gt;&gt; | Register to E-file &gt;&gt;MDEC to expand to Baltimore City next The Maryland Electronic Courts (MDEC) case management system will be implemented in Baltimore City on May 6 2024. Read MoreLatest NewsNovember 9 2023Media Advisory: Baltimore City District Court Veterans Treatment Court celebrates its eighth anniversaryNovember 7 2023Amicus Curiarum November 2023 issue onlineNovember 7 2023Maryland Judiciary launches E-rent program in Prince George’s County November 6 2023Applicants to Frederick County Circuit Court November 3 2023Rules Committee November 17 2023 @ 9:30 a.m. meeting agenda moreResources &amp; InfoCourt FormsUse a Court Forms Finder to help identify search and print formsNotices Schedules &amp; UpdatesAdministrative orders Bar admissions orders regulations and appellate schedules.Job OpportunitiesLearn more about the many benefits of working for the Maryland Judiciary.Standing Committee on Rules of Practice and ProcedureNotices of open meeting on Rules proposed Rules changes and Rules Orders.Solicitations / BidsGoods and services valued over $25000. Visit our Procurement portal.Watch NowMy Laws My Courts My Maryland: A video library for the self-represented.People’s LawPeople’s Law is a legal information and self-help website maintained by the Thurgood Marshall State Law Library and supported by Maryland's non-profit legal services providers. Explore People's Law.Stop FraudReport Fraud Waste and Abuse to the Office of Legislative Audit Fraud HotlineMain navigationCourtsAboutAccessibilityAdministrative OrdersAppellate Court of MarylandAppellate OpinionsAppointed Attorneys ProgramCircuit CourtsClosings/DelaysCommission on Judicial DisabilitiesCourt FormsCourt Language ServicesCourt OfficesCourt Records (Case Search)Court ReportingCourt-Appointed GuardiansData DashboardDirectory of CourtsDistrict CourtEqual JusticeFee SchedulesGovernanceGovernment Relations &amp; Public AffairsHolidaysJudicial CouncilJudicial Ethics CommitteeJudicial SelectionJury ServiceMission &amp; VisionOrphans' CourtProblem-Solving CourtsPublicationsSupreme Court of MarylandCourt HelpAccess to Court RecordsAccommodationsApp - Maryland Court HelpAppeals - Appellate Court of MarylandChild Abuse and NeglectChildren &amp; FamilyCourt FormsCourt Help CentersCourt Help TopicsCourt Help VideosCriminal CasesDomestic ViolenceEmploymentExpungementFiling Fee WaiversFinding Legal HelpHousingJuvenile DelinquencyLand RecordsLanguage ServicesLife Planning &amp; Power of AttorneyMediation &amp; ADRMoney IssuesPeople's Law LibraryRemote Hearing ToolkitThurgood Marshall State Law LibraryTrafficWills &amp; EstatesE-ServicesActive and Former Judicial Officers IDsAppellate OpinionsAsk a Law LibrarianBusiness &amp; Technology OpinionsBusiness Licenses - SearchCONNECT (Internal)CareersCase Management PlansCase SearchCourt FormsCourt Help CentersData DashboardDomestic Violence Monthly ReportsE-Recording for Land RecordsE-filingEstate SearchGrantsGuide &amp; FileJuror Qualification FormMaryland Electronic Courts (MDEC)Pay a Traffic TicketPeople's Law LibraryProcurement &amp; SolicitationsRemote Hearings and ProceedingsRequest State Law Library MaterialsState Law Library CatalogLawyersAmicus CuriarumAppointed Attorneys ProgramAttorney Change of Address/ContactAttorney Compliance RequirementsAttorney Grievance CommissionAttorney Information SystemAttorney ListingBar AssociationsBoard of Law ExaminersCertificate of Good StandingChange of AddressClient Protection FundCommission on Judicial DisabilitiesDisciplinary ActionsE-filingJudicial VacanciesLegal ResourcesPro BonoProposed Rules Changes/OrdersStatewide Uniform Subpoena FormMediaGovernment Relations &amp; Public AffairsJudicial RecordsMedia Resource CenterNews ReleasesPublicationsCommunityBill of Rights DayBookmark Art ContestConstitution DayCourtroom ToursEqual JusticeMock TrialMore Sites to VisitSchools in the CourtsSpeakers BureauYouTubeRSSTwitterContact Us Copyright © 2023 Maryland Judiciary. All rights reserved. Terms of Use/Disclaimer</t>
  </si>
  <si>
    <t>www.courts.state.md.us</t>
  </si>
  <si>
    <t>https://books.google.com/books?id=exR9DwAAQBAJ&amp;pg=PT225&amp;lpg=PT225&amp;dq=%D0%BF%D0%B5%D1%80%D0%B5%D0%B2%D0%BE%D0%B4%D1%87%D0%B8%D0%BA&amp;source=bl&amp;ots=CAoenf8a8Z&amp;sig=ACfU3U3JNWt12kgPooK8I2R5DC-X7gt0SQ&amp;hl=ru&amp;sa=X&amp;ved=2ahUKEwjZ0v6WiruCAxVakokEHVpXB38Q6AF6BAgcEAM</t>
  </si>
  <si>
    <t>Перевод с Русского на Английский онлайн</t>
  </si>
  <si>
    <t>Мы применяем технологию машинного перевода и искусственный интеллект для бесплатного Английский переводчика на Русский язык. Перевод с Русского на Английский ...</t>
  </si>
  <si>
    <t>https://lingvanex.com/translation/russian-to-english</t>
  </si>
  <si>
    <t>Lingvanex | Machine Translation and Speech Recognition  Lingvanex TranslatorTranslate: Text Voice CameraNo ThanksInstall    Follow these steps to complete your Lingvanex installation:Note: If your download did not start automatically please click here.        1Run the Lingvanex installerSave the Lingvanex fileOpen the Lingvanex file to installClick the downloaded file on the bottom-left corner of your browser.Click Save File when prompted. Go to Downloads on the top-right corner to open the setup file.Choose Save File when prompted then click OK.Go to Downloads on the top-right corner and click on the downloaded file.Go to your Downloads folder and click on the downloaded file.2Confirm the installationOpen the Lingvanex file to installClick Allow on the system dialog window to approve the start of your Lingvanex installation.Go to Downloads on the top-right corner to open the setup file and approve the installation.Click Yes on the system dialog window to approve the start of your Lingvanex installation.3Follow setup instructionsClick the button in the installer window to begin installation.Click this file to start installing LingvanexClick this file to start installing Lingvanex TranslateCloud APIOn-premise ServerSDKApplicationsTranslate text voice text on picture files websites into 109 languagesTry it nowDesktopWindows TranslatorMacOS TranslatorMobileiPhone TranslatorAndroid TranslatorBrowser ExtensionsAll ExtensionsChrome ExtensionSafari ExtensionFirefox ExtensionOpera AddonEdge add-onPrivate MessengersAll ChatbotsSlackOther ApplicationsPhone Call TranslatorCONTACT USAccountMachine TranslationTranslate millions of texts audio files websites for fixed price with total privacy protection. Free 2-week trial.Request a Free TrialLearn more109 LanguagesTranslate european slavic asian afrikan and other languages. More than 10 000 translation pairs.Unlimited TranslationTranslate millions of text audio files websites in 1 month for fixed low price.Fixed PriceThe more you translate the more you save in comparison to cloud services.Total SecurityWe provide cloud sdk and on-premise translation solutions. All your private data stays with you.High QualityWe use artificial intelligence and latest scientific researches to deliver best-in-class translation quality.Easy IntegrationFast integration in your products on Linux Windows Mac OS Web and mobile platforms.Custom GlossariesSpecify translations for certain words and short phrases. More than 50 languages supported.Free 2-week TrialWrite us an email to test this fantastic product for free.Request a Free TrialProducts and ServicesOn-Premise ServerUnlimited and secure translation for fixed price. Translate billions of characters per dayLearn moreCloud APIFast and easy way to use machine translation. The price is $5 per million charactersLearn moreTranslation SDKIntegration into iOS Android Windows Mac apps to translate offline and onlineLearn moreApplicationsTranslate on mobile desktop web wearablesLearn moreSpeech Recognition (voice-to-text)Unlimited volumeswith a Fixed PriceRequest a Free TrialMore than 200 companies trust LingvanexRequest a free trial* Required fields✓ ValidWe respect your privacy and will use this information only for contact purposes.Machine Translation &amp; Speech RecognitionTranslate text audio files and websites in 109 languagesTranscribe voice in 91 languages converting audio to textEnjoy unlimited translation and transcription for a fixed priceExperience ultra-fast translation and transcription speedUtilize secure on-premise and offline optionsBenefit from best-in-class translation qualityScale effortlessly with unlimited user accessSeamlessly integrate with your businessReceive responsive technical supportStart with a free trial to test our servicesCompletedYour request has been sent successfully.×Products On-premise Machine TranslationVoice TranscriptionTranslation APIMobile SDKProductsWe are   •    (GMT+3)Business Hours:Monday — Friday09:00 AM — 5:00 PMApplications Translator for iOSTranslator for AndroidTranslator for MacOSTranslator for WindowsTranslator for FacebookTranslator for SlackTranslator for TelegramTranslator for ChromeTranslator for SafariTranslator for FirefoxTranslator for OperaTranslator for EdgeLegal Terms of ServiceTerms of Use of Api TranslationPrivacy PolicyCookies PolicyImprintCompany Contact SalesAbout LingvanexPress KitContactsPartnersSupported LanguagesDictionaryBlogSupport   '</t>
  </si>
  <si>
    <t>lingvanex.com</t>
  </si>
  <si>
    <t>https://books.google.com/books?id=oaYVEAAAQBAJ&amp;pg=PT220&amp;lpg=PT220&amp;dq=%D0%BF%D0%B5%D1%80%D0%B5%D0%B2%D0%BE%D0%B4%D1%87%D0%B8%D0%BA&amp;source=bl&amp;ots=esqyAik1MZ&amp;sig=ACfU3U0f-WufxzTrfgno_m-99xJPnMuPDw&amp;hl=ru&amp;sa=X&amp;ved=2ahUKEwijxYfZjbuCAxVFrokEHY2zC-gQ6AF6BAg2EAM</t>
  </si>
  <si>
    <t>https://books.google.com/books?id=exR9DwAAQBAJ&amp;pg=PT297&amp;lpg=PT297&amp;dq=%D0%BF%D0%B5%D1%80%D0%B5%D0%B2%D0%BE%D0%B4%D1%87%D0%B8%D0%BA&amp;source=bl&amp;ots=CAoenf99c1&amp;sig=ACfU3U3zBdv5IwAfcHHdQ3DH0hfDChGC4g&amp;hl=ru&amp;sa=X&amp;ved=2ahUKEwijxYfZjbuCAxVFrokEHY2zC-gQ6AF6BAg3EAM</t>
  </si>
  <si>
    <t>Вам необходим судебный переводчик?</t>
  </si>
  <si>
    <t>Суд обязан предоставить переводчика для любого судебного процесса с участием заинтересованного лица, основным языком которого является иностранный язык и ...</t>
  </si>
  <si>
    <t>https://www.nccourts.gov/languages/informaciya-na-russkom-yazyke/vam-neobkhodim-sudebnyy-perevodchik</t>
  </si>
  <si>
    <t>The North Carolina Judicial BranchSkip to main contentNorth Carolina Judicial BranchSearch  Menu  Search...Quick links                  Find a courthouse                                  Find my court date                                  Pay my citation online                                  Prepare for jury service                                  Find a form                Suggested searchesTop resultsView all search resultsMenuCourtsNorth Carolina Courts                                                      Overview of the Courts                                                                                        Court Hours and Locations                                                                      Supreme Court                                                                          Court of Appeals                                                                          Superior Court                                                                          District Court                                                                          Business Court                                                                          Recovery Courts                                      Related links                                                      Appellate Court Opinions                                                                                        Business Court Opinions                                                                                        Closings                                                                                        Holiday Schedule                                                                                        Commissions                                                                                        Programs                                                                                        Careers                                  Help TopicsCategories                                                      Court Records                                                                                        Criminal Law                                                                                        Disability and Language Access                                                                                        Divorce and Marriage                                                                                        Domestic Violence                                                                                        Family and Children                                                                                        Fees and Payments                                                                                        Find an Attorney                                                                                        Guardianship                                                                                        Housing                                                                                        Jury Service                                                                                        Lawsuits and Small Claims                                                                                        Traffic and Vehicles                                                                                        Wills and Estates                                                                                        See All Help Topics                                  ServiceseCourts                                                      Citation Tickets                                                                                        Court Collections                                                                                        Guide &amp; File                                                                                        Portal (Court Records / Payments)                                  eFiling                                                      eCourts eFiling (File &amp; Serve)                                                                                        Appellate Courts                                                                                        Business Court                                                                                        Legacy Civil eFiling                                  Requests                                                      Court Date Notifications                                                                                        Criminal Background Check                                                                                        Disability Accommodation                                                                                        Public Record                                                                                        Remote Public Access                                                                                        Spoken Language Interpreter                                                                                        See All Services                                  FormsCourt DatesContactGoing to CourteCourtseCourts is LIVE in Harnett Johnston Lee Mecklenburg and Wake Counties. Find info training and resources. Learn moreNewsJudicial Branch courts and offices are closed Friday November 10 for Veterans Day holiday. View holidaysDismiss alertDismiss alertAlert Cagertory PlaceholderLink Text PlaceholderMain ContentSearchQuick links                  Find a courthouse                                  Find my court date                                  Pay my citation online                                  Prepare for jury service                                  Find a form                Suggested searchesTop resultsView all search results Got a Ticket? LanguagesGeneral PublicJudicial CommunityLegal CommunityMedia Find my court dateBrowse our calendars to look up your case and find out when it happens.Browse court calendars Find my local courthouseBrowse our county directory to find a local courthouse to visit or contact.Browse county directoryFeatured storyTwelve N.C. Counties to Transition to eCourts on February 5 2024Read news story FormsQuickly find the exact judicial form you need to fill out for your legal purposes.Find a form ServicesExplore a variety of services we offer to the public including making online payments.Explore services Going to court?Get started and prepare for what to expect when arriving at your courthouse.Get startedFind common answers in Help TopicsCourt RecordsCriminal LawDisability and Language AccessDivorce and MarriageDomestic ViolenceFamily and ChildrenFees and PaymentsFind an AttorneyGoing to CourtGuardianshipHousingJury ServiceLawsuits and Small ClaimsTraffic and VehiclesWills and EstatesWe're Hiring!Career Opportunities Available! Find Judicial Branch job postings and vacancies for all counties statewide including legal assistants deputy clerks and more.All Things Judicial PodcastListen to the latest podcast about the important role of the North Carolina Judicial Branch in state government.Jury Service ScamsLearn about recent scams how to protect yourself and avoid falling victim to jury service scams.Speakers Bureau &amp; Civics EducationA free public service provided by the judicial community of North Carolina. Request a speaker for your civics education event.eCourtsNorth Carolina courts are transitioning from paper to digital. Find information FAQs training materials and learn more. Go to eCourts Services:eFiling (File &amp; Serve)Guide &amp; FilePortalLatest news        November 9 2023     General NewsN.C. Administrative Office of the Courts Hosts First Tech Fair to Showcase Court Technology            The Tech Fair showcased court technology currently being utilized in courthouses across North Carolina.       By North Carolina Judicial Branch        November 8 2023     Press ReleaseAll Things Judicial Features an Interview with Guilford County Attorney G. Stevenson Crihfield            Crihfield helped bring attention to mental health issues in his legal community.       By North Carolina Judicial Branch        November 6 2023     Press ReleaseHarnett County Veterans Treatment Court Celebrates 10 Years            Veterans Treatment Court helps veterans involved in the justice system due to mental health disorders trauma and substance use.      By North Carolina Judicial Branch        November 3 2023     General NewsGovernor Cooper Announces Three Judicial Appointments            Justin Green Lora T. Baker and M. Jason Williams have been appointed to serve in district courts.      By North Carolina Judicial Branch        November 3 2023     General NewsPortal Training Available for Attorneys and Judicial Partners in eCourts Track 3 Counties            NCAOC has scheduled virtual training sessions for attorneys and judicial partners in eCourts Track 3 counties. Register for a session.      By North Carolina Judicial BranchSee all news storiesConnect with usFacebookLinkedinTwitterYoutubePodcastUpcoming Judicial Branch holidayFriday November 10  Veterans Day Holiday	            View holiday schedule	        North Carolina Judicial Branch    Justice for all                      Additional Information                NewsProgramsCommissionsDocumentsAboutCareersJudicial DirectoryData and Statistics                    Community Support                General PublicLegal CommunityJudicial CommunityMedia                    Help and Support                Hours and LocationsOnline ServicesHelp TopicsContact                    Site Information                ClosingsHelpAccessibilityLegal Notices Disclaimers and Terms of UseSitemapConnect with usFacebookLinkedinTwitterYoutubePodcastLanguages:EspañolFrançaisPусскийTiếng Việt简体中文信息中國傳統信息عربى          Back to top</t>
  </si>
  <si>
    <t>www.nccourts.gov</t>
  </si>
  <si>
    <t>погода</t>
  </si>
  <si>
    <t>Прогноз погоды на 10 дней</t>
  </si>
  <si>
    <t>Погода на 10 дней ; ср. сегодня. +20° ; чт. 09. +19° ; пт. 10. +19° ; сб. 11. +20° ; вс. 12. +22° ...</t>
  </si>
  <si>
    <t>https://yandex.ru/pogoda</t>
  </si>
  <si>
    <t>Город Маунтин-Вью</t>
  </si>
  <si>
    <t>Погода на 10 дней ; чт. сегодня. +19° ; пт. 10. +20° ; сб. 11. +20° ; вс. 12. +22° ; пн. 13. +19° ...</t>
  </si>
  <si>
    <t>https://yandex.ru/pogoda/mountain-view</t>
  </si>
  <si>
    <t>GISMETEO: Погода в России, прогноз погоды на сегодня ...</t>
  </si>
  <si>
    <t>Текущая погода и точный прогноз по всем населенным пунктам России, а также по всему миру. Прогноз погоды на сегодня, завтра, 3 дня, выходные, неделю, ...</t>
  </si>
  <si>
    <t>https://www.gismeteo.ru/</t>
  </si>
  <si>
    <t>GISMETEO: Погода в России прогноз погоды на сегодня завтра 3 дня выходные неделю 10 дней месяц.Перейти на мобильную версиюПогодаНовости Карты Информеры Приложения    Энн-Арбор Изменить пунктСб 11 ноября 22:45+3 37Пасмурно без осадковПо ощущению+1 34Ветер2 м/c В 7 км/ч ВДавление749 мм рт. ст. 998 гПаВлажность69 %Г/м активность6 балловВода+6 432300000100200300+337+236+236+134+134Порывы ветра м/cкм/ч4 144 144 144 143 11Сегодня Завтра 3 дня 10 дней 2 недели Месяц РадарЕщё Сейчас Г/м активность Выходные Неделя ДневникБлижайшие метеостанцииЭнн-Арбор2 м/c7 км/ч+3 37Уиллоу Ран2 м/c7 км/ч+3 37Детройт Метрополитен Уэйн Каунти2 м/c7 км/ч+4 39Детройт2 м/c7 км/ч+4 39Окленд Каунти0 м/c0 км/ч+3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ивового экстракта выявлен неожиданный эффектИнопланетяне уже могут быть в курсе о землянахУченые обнаружили животное считавшееся давно вымершимМогут ли хищные растения съесть человека?На юге Европейской России сохраняется атмосферная чехардаНазван срок в который еще не поздно сделать прививку от гриппаПогода в Москве: метеорологическая зима откладываетсяУ берегов Колумбии нашли судно с сундуками с драгоценностями на 40 млрд долларов Погода на картеОсадкиТемператураВетерОблачностьАктуальноеАктуальноеMash: Пугачева планирует вернуться на сценуPolitico: Байден жестко поговорит с Си Цзиньпином о РФ и ИранеДети Кадырова получили очередные госнаградыЖулин похвалил главу USADA за слова о деле ВалиевойЛукашенко выразил надежду на дружбу с ПольшейБоррель: победы Украины над РФ в ближайшем будущем не будетЛидер Палестины анонсировал президентские выборыНовости мираНовости мираТайну картины XVI века художника Ганса Гольбейна раскрыли ученые«Краснодар» закончил первый круг РПЛ лидером сыграв вничью с «Зенитом»На протесты в поддержку Палестины вышли около полумиллиона человек в ЛондонеРекорд по домино из матрасов установили на ФилиппинахЧМ по самбо в Армении: как проходят поединки сильнейших борцов планеты?Мужчина поставил рекорд поймав ртом запущенный клюшкой для гольфа зефирТеннисист Александр Шевченко проиграл в финале турнира ATPНовости дняНовости дняПутин назвал Казахстан наиболее близким союзником РоссииДепутат предложила выдавать квартиру за рождение пятого ребенкаТутберидзе заявила об уменьшении притока юных фигуристовПод Угличем нашли древнеегипетскую бусинуВ Британии поддержали участие РФ в Играх в нейтральном статусеУкраинским министром спорта временно стал БедныйОбъясняем.рфОбъясняем.рфГде создадут новые морские курорты в России?Кому положены субсидии при подключении дома к газу?Что исследуют ученые в Азовском море?Как пенсионеру списать долги без обращения в суд?Как будут по-новому оповещать о ЧС?Как оформить уход за инвалидом?Социальная рекламаНовости партнёровНовости партнёровВнучка Соломина рассказала об улучшении состояния актераМинсельхоз заверил: цены на яйцо и мясо птицы стабилизируются"Краснодар" по-прежнему лидирует в РПЛМиллер заявил что европейские страны все еще получают российский газМакрон: для Украины "еще не пришло время" садиться за стол переговоровБоррель признал что не ожидает победы Украины в ближайшем будущемВ России и в миреВ России и в миреКазахстан ввел электронную очередь для автомобилей на границе с РоссиейПравительство России одобрило снижение административной нагрузки на предпринимателейКомитет Госдумы поддержал законопроект о праве силовых структур редактировать базы данныхВ Госдуме предложили ввести систему блокировки за кибербуллинг в соцсетяхРеджеп Эрдоган заявил о необходимости создать фонд восстановления ГазыКабмин выделил дополнительные 95 млрд рублей на поддержку льготных ипотечных программСоглашениеРазмещение рекламыО ГисметеоМобильный сайтОставить отзывПогода в России и мире предоставлена исключительно для личного некоммерческого использования.Прогноз погоды в городах России и мира подготовлен НПЦ «Мэп Мейкер».© Gismeteo</t>
  </si>
  <si>
    <t>www.gismeteo.ru</t>
  </si>
  <si>
    <t>Погода в Набережных Челнах</t>
  </si>
  <si>
    <t>https://www.gismeteo.ru/weather-naberezhnye-chelny-4534/</t>
  </si>
  <si>
    <t>Погода в Краснодаре</t>
  </si>
  <si>
    <t>Погода в Краснодаре на сегодня, точный прогноз погоды на сегодня для населенного пункта Краснодар, Краснодар (городской округ), Краснодарский край, Россия.</t>
  </si>
  <si>
    <t>https://www.gismeteo.ru/weather-krasnodar-5136/</t>
  </si>
  <si>
    <t>Погода в Ульяновске</t>
  </si>
  <si>
    <t>Вс 12 нояб 3:24Россия, Ульяновская область, Ульяновск (городской округ). в Ульяновске пасмурно, без осадков, туман, +1 °C. По ощущению +1 °C. Погода.</t>
  </si>
  <si>
    <t>https://www.gismeteo.ru/weather-ulyanovsk-4407/</t>
  </si>
  <si>
    <t>Погода в Тамбове</t>
  </si>
  <si>
    <t>Сб 11 нояб 21:03Россия, Тамбовская область, Тамбов (городской округ). в Тамбове пасмурно, без осадков, дымка, +3 °C. По ощущению +1 °C, Ветер 3 м/c. Погода.</t>
  </si>
  <si>
    <t>https://www.gismeteo.ru/weather-tambov-4440/</t>
  </si>
  <si>
    <t>Погода в Санкт-Петербурге</t>
  </si>
  <si>
    <t>Погода в Санкт-Петербурге на сегодня, точный прогноз погоды на сегодня для населенного пункта Санкт-Петербург, Санкт-Петербург (город федерального значения) ...</t>
  </si>
  <si>
    <t>https://www.gismeteo.ru/weather-sankt-peterburg-4079/</t>
  </si>
  <si>
    <t>Погода в Ростове-на-Дону</t>
  </si>
  <si>
    <t>https://www.gismeteo.ru/weather-rostov-na-donu-5110/</t>
  </si>
  <si>
    <t>Погода в Самаре</t>
  </si>
  <si>
    <t>Вс 12 нояб 2:40Россия, Самарская область, Самара (городской округ). в Самаре безоблачно, +1 °C. По ощущению −2 °C, Ветер 2 м/c. Погода.</t>
  </si>
  <si>
    <t>https://www.gismeteo.ru/weather-samara-4618/</t>
  </si>
  <si>
    <t>Погода в Москве сегодня, прогноз ...</t>
  </si>
  <si>
    <t>Погода в Москве на сегодня, точный прогноз погоды на сегодня для населенного пункта Москва, Москва (город федерального значения), Россия.</t>
  </si>
  <si>
    <t>https://www.gismeteo.ru/weather-moscow-4368/</t>
  </si>
  <si>
    <t>Погода в Новосибирске</t>
  </si>
  <si>
    <t>Погода в Новосибирске на сегодня, точный прогноз погоды на сегодня для населенного пункта Новосибирск, Новосибирск (городской округ), Новосибирская область, ...</t>
  </si>
  <si>
    <t>https://www.gismeteo.ru/weather-novosibirsk-4690/</t>
  </si>
  <si>
    <t>Погода в Томске</t>
  </si>
  <si>
    <t>Погода в Томске на сегодня, точный прогноз погоды на сегодня для населенного пункта Томск, Томск (городской округ), Томская область, Россия.</t>
  </si>
  <si>
    <t>https://www.gismeteo.ru/weather-tomsk-4652/</t>
  </si>
  <si>
    <t>Погода в Уфе</t>
  </si>
  <si>
    <t>Погода в Уфе на сегодня, точный прогноз погоды на сегодня для населенного пункта Уфа, Уфа (городской округ), Республика Башкортостан, Россия.</t>
  </si>
  <si>
    <t>https://www.gismeteo.ru/weather-ufa-4588/</t>
  </si>
  <si>
    <t>Погода в Красноярске сегодня, прогноз ...</t>
  </si>
  <si>
    <t>Погода в Красноярске на сегодня, точный прогноз погоды на сегодня для населенного пункта Красноярск, Красноярск (городской округ), Красноярский край, ...</t>
  </si>
  <si>
    <t>https://www.gismeteo.ru/weather-krasnoyarsk-4674/</t>
  </si>
  <si>
    <t>Погода в Иркутске</t>
  </si>
  <si>
    <t>Погода в Иркутске на сегодня, точный прогноз погоды на сегодня для населенного пункта Иркутск, Иркутск (городской округ), Иркутская область, Россия.</t>
  </si>
  <si>
    <t>https://www.gismeteo.ru/weather-irkutsk-4787/</t>
  </si>
  <si>
    <t>Погода в Нижнем Новгороде - Нижегородская область</t>
  </si>
  <si>
    <t>Погода в Нижнем Новгороде на сегодня, точный прогноз погоды на сегодня для населенного пункта Нижний Новгород, Нижний Новгород (городской округ), ...</t>
  </si>
  <si>
    <t>https://www.gismeteo.ru/weather-nizhny-novgorod-4355/</t>
  </si>
  <si>
    <t>Погода в Санкт-Петербурге на 3 дня</t>
  </si>
  <si>
    <t>Погода в Санкт-Петербурге на 3 дня, прогноз погоды на 3 дня для населенного пункта Санкт-Петербург, Санкт-Петербург (город федерального значения), Россия.</t>
  </si>
  <si>
    <t>https://www.gismeteo.ru/weather-sankt-peterburg-4079/3-days/</t>
  </si>
  <si>
    <t>Погода в Екатеринбурге на 10 дней</t>
  </si>
  <si>
    <t>Погода в Екатеринбурге на 10 дней, прогноз погоды на 10 дней для населенного пункта Екатеринбург, Екатеринбург (городской округ), Свердловская область, ...</t>
  </si>
  <si>
    <t>https://www.gismeteo.ru/weather-yekaterinburg-4517/10-days/</t>
  </si>
  <si>
    <t>Погода в Екатеринбурге</t>
  </si>
  <si>
    <t>Погода в Екатеринбурге на сегодня, точный прогноз погоды на сегодня для населенного пункта Екатеринбург, Екатеринбург (городской округ), ...</t>
  </si>
  <si>
    <t>https://www.gismeteo.ru/weather-yekaterinburg-4517/</t>
  </si>
  <si>
    <t>Погода в Улан-Удэ - Республика Бурятия</t>
  </si>
  <si>
    <t>Вс 12 нояб 2:46Россия, Республика Бурятия, Улан-Удэ (городской округ). в Улан-Удэ безоблачно, −12 °C. По ощущению −16 °C, Ветер 2 м/c. Погода.</t>
  </si>
  <si>
    <t>https://www.gismeteo.ru/weather-ulan-ude-4804/</t>
  </si>
  <si>
    <t>Погода в Иваново</t>
  </si>
  <si>
    <t>Вс 12 нояб 1:40Россия, Ивановская область, Иваново (городской округ). в Иваново пасмурно, без осадков, +2 °C. По ощущению −1 °C, Ветер 3 м/c. Погода.</t>
  </si>
  <si>
    <t>https://www.gismeteo.ru/weather-ivanovo-4318/</t>
  </si>
  <si>
    <t>Прогноз погоды в Москве на сегодня</t>
  </si>
  <si>
    <t>Подробно о погоде в Москве сегодня, сейчас, прогноз на завтра и на ближайшие дни. Мы покажем, как в Москве будут изменяться температура воздуха, облачность, ...</t>
  </si>
  <si>
    <t>https://pogoda.mail.ru/prognoz/moskva/</t>
  </si>
  <si>
    <t>Прогноз погоды в Энн-Арборе на сегодня (Мичиган) - погода в Энн-Арборе сейчас прогноз на завтра и на ближайшие дни - Погода Mail.ruMail.ruПочтаМой МирОдноклассникиВКонтактеИгрыЗнакомстваНовостиПоискОблакоVK ComboВсе проектыВсе проектывыходРегистрацияВходssПрогноз погоды в Энн-Арборе Мичиган																	сегодня суббота 11 ноября 2023 22:45					Прогноз погоды на:14 днейМесяцГод+2°							ощущается как 0°C																переменная облачность							+8°									температура почвы751 мм рт. ст.75%									влажность очень высокая2 м/с									легкий ветер0								ночью+2°751 мм										75%										2 м/с										0										7%										утром+5°751 мм										66%										3 м/с										3										14%										Завтра+10°											+2°ясно749 мм											49%											4 м/с											3											4%											Пн 13/11+14°											+5°ясно746 мм											42%											6 м/с											3											0%											Вт 14/11+11°											+3°облачно749 мм											37%											2 м/с											3											1%											Ср 15/11+14°											+4°облачно743 мм											30%											4 м/с											4											1%											Чт 16/11+16°											+6°облачно738 мм											64%											7 м/с											3											13%											Пт 17/11+11°											+11°облачно735 мм											47%											5 м/с											3											0%											Сб 18/11+10°											+1°ясно730 мм											43%											7 м/с											2											6%											Вс 19/11+7°											0°ясно738 мм											44%											3 м/с											3											3%											Пн 20/11+9°											+1°облачно743 мм											60%											2 м/с											3											5%											Вт 21/11+10°											+7°дождь741 мм											93%											4 м/с											3											77%											   Новости погодыЗемлетрясение магнитудой 54 произошло в ИндонезииСиноптики спрогнозировали в Москве дождь и до +7 градусов 12 ноябряВ Исландии ввели чрезвычайное положение из-за вулкана РейкьянесАстрономы рассказали как увидеть звездопад Северные Тауриды 11−12 ноябряЭксперты предупредили о магнитной буре 12 ноябряСиноптик раскрыл какой в этом году будет зима в РоссииМосквичей предупредили о пасмурной и дождливой погоде в ближайшие дниЗемлетрясение магнитудой 58 произошло у Южных Курил								Погода на курортах							Адлер											+18°											Белокуриха											+3°											Домбай											+7°											Ессентуки											+7°											Завьялиха											0°											Кировск											-11°											Красная Поляна											+15°											Пятигорск											+7°											Светлогорск											+8°											Сочи											+19°											Теберда											+9°											Терскол											+2°											Шерегеш											-1°											Эльбрус											+2°											Ялта											+17°											Яхрома											+3°																				Световой день																		07:20																					Восход																				17:17																					Заход																				09:56																					Долгота дня										МетеочувствительнымФаза Луны										новолуние									Геомагнитное поле										слабо возмущенное									Сад и огородКвасим тушим жарим. Готовим из свежих подмосковных продуктов			Погода в других городах России:							Волгоград 							Воронеж 							Донецк 							Екатеринбург 							Казань 							Красноярск 							Москва 							Нижний Новгород 							Новосибирск 							Омск 							Пермь 							Ростов-на-Дону 							Самара 							Санкт-Петербург 							Уфа 							ЧелябинскПрогноз погоды  на 3 дняПрогноз погоды  на 5 днейПрогноз погоды  на 7 днейПрогноз погоды  на 10 днейНовости погодыСад и огород						В этом разделе вы можете узнать погоду в Энн-Арборе на сегодня и завтра а именно: изменение температуры атмосферного давления влажности направление и скорость ветра вероятность осадков УФ-индекс и прочие погодные данные. Подробный прогноз погоды в Энн-Арборе на сегодня предоставлен ИА “Метеоновости”.					Mail.RuО компанииРекламаИнформация предоставлена: ИА «Метеоновости»О технологиях рекомендацийО проектеОбратная связь</t>
  </si>
  <si>
    <t>pogoda.mail.ru</t>
  </si>
  <si>
    <t>Погода в Новороссийске - Краснодарский край</t>
  </si>
  <si>
    <t>Погода в Новороссийске на сегодня, точный прогноз погоды на сегодня для населенного пункта Новороссийск, Новороссийск (городской округ), Краснодарский край, ...</t>
  </si>
  <si>
    <t>https://www.gismeteo.ru/weather-novorossysk-5214/</t>
  </si>
  <si>
    <t>Погода и подробный прогноз погоды от Гидрометцентра ...</t>
  </si>
  <si>
    <t>О погоде - из первых рук. Информация о фактической погоде и прогнозах от Гидрометцентра России.</t>
  </si>
  <si>
    <t>https://meteoinfo.ru/</t>
  </si>
  <si>
    <t>Погода и подробный прогноз погоды от Гидрометцентра России       Контакты ГлавнаяНовостиПрогнозыПрогноз погоды на неделю по городам мираПрогностические бюллетениГлобальные среднесрочные прогнозыРегиональные краткосрочные прогнозыПрогноз осадков на 2 часа (наукастинг)ВидеопрогнозыПриземные прогностические картыДругие виды прогнозовФактические данныеТекущая информация по России и мируТекущая погода в Москве и областиСиноптические картыКлиматические измененияКлиматические нормыМоря и океаныВокруг погодыДетские рисунки о погодеЗанимательная метеорологияДухоподъемноеО насСтруктура Гидрометцентра РоссииДиссертационный советАспирантураЖурнал "Гидрометеорологические исследования и прогнозы"Книги документыВакансииСтраницы историиПротиводействие коррупцииУсловия трудаНаучно-техническая библиотекаГлавнаяНовостиПрогнозыПрогноз погоды на неделю по городам мираПрогностические бюллетениГлобальные среднесрочные прогнозыРегиональные краткосрочные прогнозыПрогноз осадков на 2 часа (наукастинг)ВидеопрогнозыПриземные прогностические картыДругие виды прогнозовФактические данныеТекущая информация по России и мируТекущая погода в Москве и областиСиноптические картыКлиматические измененияКлиматические нормыМоря и океаныВокруг погодыДетские рисунки о погодеЗанимательная метеорологияДухоподъемноеО насСтруктура Гидрометцентра РоссииДиссертационный советАспирантураЖурнал "Гидрометеорологические исследования и прогнозы"Книги документыВакансииСтраницы историиПротиводействие коррупцииУсловия трудаНаучно-техническая библиотека Москва (ВДНХ)Другой городСанкт-Петербург6°Сочи (Адлер)24°Воскресенье 12 ноября05:00 (время местное)Воскресенье 12 ноябряДеньПонедельник 13 ноябряНочьПонедельник 13 ноябряДеньТемпература3.8 °CВлажность88 %ВетерВ 3 м/сДавление744 мм рт.ст.5..7°4..6°4..6°Облачно. Дождь по области местами сильный. Ветер юго-восточный  восточный 7-12 м/c местами порывы до 17 м/cОблачно. Дождь по области местами мокрый снег. Ветер южной четверти 6-11 м/c местами порывы до 17 м/cОблачно. Дождь по области местами мокрый снег. Ветер южной четверти 6-11 м/c местами порывы до 17 м/cПрогноз на 7 днейПрогноз осадков на 2 часаТемпература воды в моряхПогода за окном в МосквеПрогноз по округам Москвы3.8°ВетерВ 3 м/сДавление744 мм рт.ст.Влажность88 %Воскресенье 12 ноября 05:00 (время местное)Прогноз на 7 дней  Вс12 нояДень5..7°Ю-B  B 7-12 м/c местами порывы до 17 м/c  Пн13 нояНочь4..6°Ю  6-11 м/c местами порывы до 17 м/c День4..6°Ю  6-11 м/c местами порывы до 17 м/c Новости			Все последние новости 		11.11.23 12:54												Видеопрогноз. О погоде 11 - 12 ноября							  														Об особенностях погоды в регионах России в ближайшие дни рассказал Андрей Ушаков																	Подробнее									10.11.23 15:13												На западе Дальнего Востока управляет антициклон на востоке – циклоны...							  														Сибирский антициклон захвативший большую часть Дальнего Востока определяет погодные условия в регионе. Циклонам и их атмосферным фронтам достались восточные и северо-восточные области где наблюдается неустойчивая погода с осадками и ветрами.																	Подробнее									09.11.23 20:05												Гидрологический обзор 9 ноября 2023 г.							  														Продолжатся установление ледяного покрова на реках Сибири и Дальнего Востока.																	Подробнее									09.11.23 19:31												Обзор атмосферных процессов и наиболее важных явлений погоды ожидаемых с 10 по 13 ноября 2023 г. ...							  														10 ноября в юго-восточных районах европейской территории России (ЕТР) продолжатся дожди местами сильные с порывистым ветром до 15-20 м/с.																	Подробнее							  Центральный федеральный округ. 12 ноября в Калужской Брянской Липецкой Белгородской Курской областях сильный дождь.Приволжский федеральный округ. 13 ноября на севере округа сильные осадки (дождь мокрый снег снег).ДНР ЛНР Запорожская и Херсонская области. 11-ночью 12 ноября в Херсонской области сильный дождь гроза ветер до 23 м/с. Подробнее..&gt;&gt;Южный федеральный округ. 11-ночью 12 ноября в Крыму сильный дождь ветер до 25 м/с. Подробнее..&gt;&gt;Северо-Кавказский федеральный округ. 13 ноября в Карачаево-Черкесии сильный дождь ветер 15-20 м/с (в горных районах до 22 м/с). Подробнее..&gt;&gt;Сибирский федеральный округ. 11-13 ноября в Таймырском Долгано-Ненецком муниципального районе Красноярского края снег (13 ноября на юге сильный) метель ветер 15-20 м/с. Подробнее..&gt;&gt;Дальневосточный федеральный округ. В Камчатском крае 11-12 ноября сильный снег метель ветер 25-30 м/с 13 ноября на севере снег метель ветер 18-23 м/с. Подробнее..&gt;&gt;  Экстренная информация    В период 11.00 – 14.30 мск 12 ноября в городе Анадырь Чукотского автономного округа ожидается ветер 28-33 м/с порывами 38-43 м/с с сильной... Подробнее... Погода в мире			Новости в мире 										Ожидается что Эль-Ниньо продлится как минимум до апреля 2024 года...							Согласно новому бюллетеню Всемирной метеорологической организации продолжающееся явление Эль-Ниньо продлится как минимум до апреля 2024 года оказывая влияние										Защитить жизненно важные диапазоны радиочастот: ВМО							По словам Генерального секретаря ВМО профессора Петтери Тааласа радиочастотные диапазоны являются ключевым требованием для всех систем наблюдения Земли и										Сентябрь на планете стал самым теплым							  														ВМО сообщила что средняя глобальная температура стала самой высокой за весь период наблюдений.												    Им нужна ваша помощь Ваши дети любят рисовать? Их рисунки могут украсить этот сайт ..&gt;ПОПУЛЯРНЫЕ ССЫЛКИ:  Погода за окном в Москве  Погода в Московской области за последние сутки  Россия: Карты прогноза температуры на 1-5 суток  Температура воды в морях  ГлавнаяНовостиПрогнозыФактические данныеВокруг погодыО нас© 2023 Гидрометцентр РоссииСтарый сайтАдминистратор сайтаКонтакты </t>
  </si>
  <si>
    <t>meteoinfo.ru</t>
  </si>
  <si>
    <t>Погода в России. Точный прогноз на сегодня, завтра ...</t>
  </si>
  <si>
    <t>Погода в городах России и мира. Точный и подробный прогноз на сегодня, завтра, выходные, неделю, 14 дней или месяц.</t>
  </si>
  <si>
    <t>https://weather.rambler.ru/</t>
  </si>
  <si>
    <t>Погода в России. Точный прогноз на сегодня завтра неделю и месяц на Рамблер/погодаНовостиШоу-бизнесЖенскийСпортФинансыГороскопыЕщё  06:45 16:58СейчасСегодняЗавтра3 дняНеделя10 дней14 днейМесяцВыходныеДля садоводаПогода в ВашингтонеПоиск города или местаСуббота 11 ноябряСегодня на улице так же как вчера и переменная облачность8°Ощущается как 6°Спокойное магнитное полеНочью7°Утром8°Днём11°Ощущается как 6°Спокойное магнитное полеПодробный прогнозПогода на неделюДеньТемператураОсадкиВетерЗавтра12 ноября11°7°10%3 м/сПонедельник13 ноября13°3°10%4 м/сВторник14 ноября13°8°10%5 м/сСреда15 ноября14°4°10%3 м/сЧетверг16 ноября18°6°10%3 м/сПятница17 ноября18°10°10%4 м/сСуббота18 ноября15°11°10%4 м/сПогода в Вашингтоне сейчас8°Ветер 0 м/сДавление 769 ммСтарая лунаСпокойное магнитное полеПодробнееПопулярные запросыПогода в Вашингтоне сегодняПогода в Вашингтоне на завтраПогода в Вашингтоне в ноябре 2023Погода в Вашингтоне на выходныеПогода в Вашингтоне на неделюПогода по городамРоссияМоскваСанкт-ПетербургНовосибирскЕкатеринбургНижний НовгородКазаньЧелябинскОмскСамараРостов-на-ДонуУфаКрасноярскВсе городаМирЛондонПарижНью-ЙоркДубайКиевМинскКурортыСочиАнтальяСимферопольБарселонаРиминиРодосВсе страныТочный прогноз погоды на день в вашем городе где бы вы ни находились! На сайте «Рамблер/погода» вы узнаете прогноз на сегодня завтра неделю (ближайшие 7 дней) или другой интересующий период. Также здесь вы найдете информацию об изменениях температуры воздуха и воды в течение дня уровне атмосферного давления и осадков скорости ветра продолжительности светового дня и другие метеорологические данные. Подробный прогноз погоды составлен профессиональными синоптиками и обновляется каждые три часа.© Рамблер — главные новости России и мира гороскопы почта поиск и другие полезные сервисыМобильная версияРекламаПомощьВакансииПользовательское соглашение18+Источник данных</t>
  </si>
  <si>
    <t>weather.rambler.ru</t>
  </si>
  <si>
    <t>Погода - погода.com | Метеоред</t>
  </si>
  <si>
    <t>Погода в России на 14 дней, прогноз погоды по часам и в реальном времени. Прогноз погоды в более чем 200.000 городов мира.</t>
  </si>
  <si>
    <t>https://www.pogoda.com/</t>
  </si>
  <si>
    <t>Погода - погода.com | Метеоред                                                                                                 Москва Россия  6           Санкт-Петербург Федеральный город Санкт-Петербурга  6           Якутск Саха (Якутия)  -14           Омск Омская   0              Погода   видео   Предупреждения   Радар   Карты   Метеоспутники   Модели   Мир      °C                         Погода Artboard           cегодня 12 ноября     cегодня 12 ноября   завтра 13 ноября   вторник 14 ноября   среда 15 ноября   четверг 16 ноября   пятница 17 ноября   суббота 18 ноября   воскресенье 19 ноября   понедельник 20 ноября   вторник 21 ноября   среда 22 ноября   четверг 23 ноября   пятница 24 ноября   суббота 25 ноября       Весь день     Весь день  Ранним утром  Утром  Вечером  Ночью      символ    символ  ветер           Россия: прогноз погоды по областям        Адыгея   Алтай   Алтайский   Ямало-Ненецкий   Амурская   Архангельская   Ярославская    Астраханская   Башкортостан   Белгородская   Брянская   Бурятия   Чеченская республика   Челябинская   Чукотский   Чувашия   Дагестан   Еврейская автономная область   Федеральный   Хабаровский   Хакасия   Ханты-Мансийский   Ингушетия   Иркутская   Ивановская   Кабардино-Балкария   Калининградская   Калмыкия   Калужская   Камчатский   Карачаево-Черкессия   Карелия   Кемеровская   Кировская   Коми   Костромская   Красноярский   Краснодарский   Крым   Курганская   Курская   Ленинградская   Липецкая   Магаданская   Марий Эл   Мордовия   Московская   Мурманская   Ненецкий   Нижегородская   Новгородская   Новосибирская   Омская   Оренбургская   Орловская   Пензенская   Пермский   Приморский   Псковская   Рязанская   Ростовская   Саха (Якутия)   Сахалинская   Самарская   Санкт-Петербург   Саратовская   Северная Осетия-Алания   Ставропольский   Свердловская   Тамбовская   Татарстан   Томская   Тульская   Тюменская   Тверская   Тыва   Удмуртия   Ульяновская   Владимирская   Волгоградская    Вологодская   Воронежская    Забайкальский                             Следуйте за нами                                Крупные города          Барнаул +3° -1°         Волгоград +9° -1°         Воронеж +8° +1°         Екатеринбург +4° +1°         Иркутск -6° -16°         Калининград +9° +3°         Кемерово +3° -3°         Краснодар +14° +5°         Красноярск -2° -17°         Москва +7° +2°         Нижний Новгород +7° -1°         Новосибирск +5° 0°         Омск +2° -1°         Ростов-на-Дону +11° +1°         Санкт-Петербург +6° +4°         Челябинск +6° +4°        видео  Больше видео                 Сильное наводнение в Па-де-Кале Франция.  Artboard                                Скачивайте бесплатно приложение pogoda.com для Android Скачивайте бесплатно приложение pogoda.com для iOS Скачивайте бесплатно приложение pogoda.com для Huawei Скачивайте бесплатно приложение pogoda.com для Windows 10           Контакты  О нас FAQ Правовая информация Cookies Политикой конфиденциальности  2023 Meteored. Все права защищены</t>
  </si>
  <si>
    <t>www.pogoda.com</t>
  </si>
  <si>
    <t>Погода в Сочи сегодня - точный прогноз ...</t>
  </si>
  <si>
    <t>Точный ☀️ прогноз погоды в Сочи на сегодня, завтра, неделю. 🌡️ Информация о температуре воздуха, силе ветра, давлении и влажности воздуха в Сочи ...</t>
  </si>
  <si>
    <t>https://world-weather.ru/pogoda/russia/sochi/</t>
  </si>
  <si>
    <t>Погода в Москве сегодня - точный прогноз ...</t>
  </si>
  <si>
    <t>Точный ☀️ прогноз погоды в Москве на сегодня, завтра, неделю. 🌡️ Информация о температуре воздуха, силе ветра, давлении и влажности воздуха в Москве ...</t>
  </si>
  <si>
    <t>https://world-weather.ru/pogoda/russia/moscow/</t>
  </si>
  <si>
    <t>Погода в Энн-Арборе на неделю - Мичиган</t>
  </si>
  <si>
    <t>По ощущению +2 °C, Ветер 7 м/c. Погода. Карты Новости · США / Мичиган. Погода в Энн-Арборе на неделю. Сейчас Сегодня Завтра 3 дня 10 дней Месяц Ещё.</t>
  </si>
  <si>
    <t>https://www.gismeteo.ru/weather-ann-arbor-7343/weekly/</t>
  </si>
  <si>
    <t>Погода в Энн-Арборе</t>
  </si>
  <si>
    <t>Погода в Энн-Арборе на сегодня, точный прогноз погоды на сегодня для населенного пункта Энн-Арбор, Мичиган, США.</t>
  </si>
  <si>
    <t>https://www.gismeteo.ru/weather-ann-arbor-7343/</t>
  </si>
  <si>
    <t>Погода в Энн-Арборе на месяц</t>
  </si>
  <si>
    <t>Погода в Энн-Арборе на месяц, прогноз погоды на 30 дней для населенного пункта Энн-Арбор, Мичиган, США.</t>
  </si>
  <si>
    <t>https://www.gismeteo.ru/weather-ann-arbor-7343/month/</t>
  </si>
  <si>
    <t>Погода в Энн-Арборе, Мичиган на сегодня подробно, ...</t>
  </si>
  <si>
    <t>Подробный прогноз погоды в Энн-Арборе, Мичиган на сегодня: температура воздуха, ветер, осадки, давление, влажность, а также геомагнитная обстановка и UV ...</t>
  </si>
  <si>
    <t>https://weather.rambler.ru/v-enn-arbore/today/</t>
  </si>
  <si>
    <t>Погода: Анн-Арбор, MI, США - Прогноз</t>
  </si>
  <si>
    <t>https://weather.com/ru-RU/weather/today/l/Ann+Arbor+MI+United+States?canonicalCityId=3c1740550b2f113b86f9cd665770bcf3e3e1a34bf7ac0189a6e3d215540792e7</t>
  </si>
  <si>
    <t>National and Local Weather Radar Daily Forecast Hurricane and information from The Weather Channel and weather.comAdvertisementSkip to Main ContentAccessibility HelpThe Weather ChannelType at least three characters to start auto complete. Recently searched locations will be displayed if there is no search query. The first option will be automatically selected. Use up and down arrows to change selection. Use escape to clear.Search City or Zip CodeSearchrecentsClear AllYou have no recent locationsGlobeUS°FArrow down°F°CHybridImperial - F / mph / miles / inchesAmericasArrow DownAntigua and Barbuda | EnglishArgentina | EspañolBahamas | EnglishBarbados | EnglishBelize | EnglishBolivia | EspañolBrazil | PortuguêsCanada | EnglishCanada | FrançaisChile | EspañolColombia | EspañolCosta Rica | EspañolDominica | EnglishDominican Republic | EspañolEcuador | EspañolEl Salvador | EspañolGrenada | EnglishGuatemala | EspañolGuyana | EnglishHaiti | FrançaisHonduras | EspañolJamaica | EnglishMexico | EspañolNicaragua | EspañolPanama | EspañolPanama | EnglishParaguay | EspañolPeru | EspañolSt. Kitts and Nevis | EnglishSt. Lucia | EnglishSt. Vincent and the Grenadines | EnglishSuriname | NederlandsTrinidad and Tobago | EnglishUruguay | EspañolUnited States | EnglishUnited States | EspañolVenezuela | EspañolAfricaArrow DownAlgeria | العربيةAlgeria | FrançaisAngola | PortuguêsBenin | FrançaisBurkina Faso | FrançaisBurundi | FrançaisCameroon | FrançaisCameroon | EnglishCape Verde | PortuguêsCentral African Republic | FrançaisChad | FrançaisChad | العربيةComoros | FrançaisComoros | العربيةDemocratic Republic of the Congo | FrançaisRepublic of Congo | FrançaisCôte d'Ivoire | FrançaisDjibouti | FrançaisDjibouti | العربيةEgypt | العربيةEquatorial Guinea | EspañolEritrea | العربيةGabon | FrançaisGambia | EnglishGhana | EnglishGuinea | FrançaisGuinea-Bissau | PortuguêsKenya | EnglishLesotho | EnglishLiberia | EnglishLibya | العربيةMadagascar | FrançaisMali | FrançaisMauritania | العربيةMauritius | EnglishMauritius | FrançaisMorocco | العربيةMorocco | FrançaisMozambique | PortuguêsNamibia | EnglishNiger | FrançaisNigeria | EnglishRwanda | FrançaisRwanda | EnglishSao Tome and Principe | PortuguêsSenegal | FrançaisSierra Leone | EnglishSomalia | العربيةSouth Africa | EnglishSouth Sudan | EnglishSudan | العربيةSwaziland | EnglishTanzania | EnglishTogo | FrançaisTunisia | العربيةUganda | EnglishAsia PacificArrow DownAustralia | EnglishBangladesh | বাংলাBrunei | Bahasa MelayuChina | 中文Hong Kong SAR | 中文East Timor | PortuguêsFiji | EnglishIndia (English) | EnglishIndia (Hindi) | हिन्दीIndonesia | Bahasa IndonesiaJapan | 日本語Kiribati | EnglishSouth Korea | 한국어Kyrgyzstan | РусскийMalaysia | Bahasa MelayuMarshall Islands | EnglishMicronesia | EnglishNew Zealand | EnglishPalau | EnglishPhilippines | EnglishPhilippines | TagalogSamoa | EnglishSingapore | EnglishSingapore | 中文Solomon Islands | EnglishTaiwan | 中文Thailand | ไทยTonga | EnglishTuvalu | EnglishVanuatu | EnglishVanuatu | FrançaisVietnam | Tiếng ViệtEuropeArrow DownAndorra | CatalàAndorra | FrançaisAustria | DeutschBelarus | РусскийBelgium | DutchBelgium | FrançaisBosnia and Herzegovina | HrvatskiCroatia | HrvatskiCyprus | ΕλληνικάCzech Republic | ČeštinaDenmark | DanskEstonia | РусскийEstonia | EestiFinland | SuomiFrance | FrançaisGermany | DeutschGreece | ΕλληνικάHungary | MagyarIreland | EnglishItaly | ItalianoLiechtenstein | DeutschLuxembourg | FrançaisMalta | EnglishMonaco | FrançaisNetherlands | NederlandsNorway | NorskPoland | PolskiPortugal | PortuguêsRomania | RomânăRussia | РусскийSan Marino | ItalianoSlovakia | SlovenčinaSpain | EspañolSpain | CatalàSweden | SvenskaSwitzerland | DeutschTurkey | TurkçeUkraine | УкраїнськаUnited Kingdom | EnglishState of Vatican City (Holy See) | ItalianoMiddle EastArrow DownBahrain | العربيةIran |  فارسىIraq | العربيةIsrael | עִבְרִיתJordan | العربيةKuwait | العربيةLebanon | العربيةOman | العربيةPakistan |  اردوPakistan | EnglishQatar | العربيةSaudi Arabia | العربيةSyria | العربيةUnited Arab Emirates | العربيةWeather ForecastsTodayHourlyWeekendMonthly &amp; AlmanacYesterdayExternal LinkNews &amp; MediaTop Weather StoriesHurricane CentralScience &amp; EnvironmentSpace &amp; SkywatchingSafety &amp; PrepVideosHealth &amp; WellnessHealthAllergy TrackerAir Quality IndexCold &amp; Flu TrackerSkin HealthNEWLifestyleHome &amp; GardenTravel &amp; OutdoorsPets &amp; AnimalsRadar &amp; MapsInteractive Radar MapUS ForecastUS Satellite &amp; RadarWorld SatelliteUS Severe AlertsUS HealthUS TravelProductsGo PremiumSeasonal DealsAlexa SkillExternal LinkWeather UndergroundExternal LinkStorm RadarExternal LinkPrivacyPrivacy SettingsData RightsPrivacy PolicyAccountCreate An AccountLog InMorning Brief NewsletterWeb NotificationsNEWArrow LeftArrow RightTodayHourly10 DayMonthlyWeekendRadarVideoVideoMore ForecastsMoreArrow downSpecialty ForecastsYesterday's WeatherExternal LinkAllergy TrackerCold &amp; FluAir Quality ForecastAdvertisementAdvertisementTOP STORYLOS ANGELES FIREVideoFlames Close Major Freeway DowntownTaylor Swift Forced To Cancel Show Due To StormsVideoExpect A Blueberry Shortage... The Surprising Reason Why VideoWhole Lotta Rain Headed For The Golden State VideoEruption Concerns Rise In IcelandVideoUpdate: El Niño Has Officially Become StrongVideoExpert Look At Iceland's Recent Volcanic ActivityVideoWatching The Caribbean For Possible Tropical DevelopmentVideoRecord-Breaking Snow Blankets AnchorageVideoRoad Collapse Sends Cars Careening Into BuildingSee MoreTrending TodayVideoWeather NewsEarly-Week Rain For Gulf StatesSponsored Ad by MerckSPONSORED BY MERCK: Learn About The Cough That Just Won't QuitVideoForecastForecasts Grabbing The Attention Of Our MeteorologistsVideoPetsMassive Great Dane Awarded Hero Dog Of The YearMore NewsAdvertisementWeather Today Across the CountryRead MoreAdvertisementAdvertisementSafety First!Model Snow Forecast Maps On Social Media: What You Should KnowVideoWarm Your Home Safely With Space HeatersVideoHow To Prevent Frozen Pipes In Your HomeWinter Storms 101: How To Prepare For Snow IceSee MoreAdvertisementWhat You Need To KnowEl Niño's Impact On November Hurricane SeasonAdvertisementWinter Storms 101VideoWeather Tips As The Season Ramps UpAdvertisementStay SafeAdvertisementAdvertisementThe Weather CompanyWeather UndergroundFeedbackCareersPress RoomAdvertise With UsTVNewsletter Sign UpTerms of UsePrivacy PolicyAdChoicesAd ChoicesAccessibility StatementData VendorsGeorgiaeSSENTIAL AccessibilityWe recognize our responsibility to use data and technology for good. We may use or share your data with our data vendors. Take control of your data.Review All Privacy and Ad SettingsChoose how my information is sharedData Rights© Copyright TWC Product and Technology LLC 2014 2023Hidden Weather Icon MasksHidden Weather Icon Symbols</t>
  </si>
  <si>
    <t>weather.com</t>
  </si>
  <si>
    <t>Анн-Арбор, MI, США — прогноз погоды на 10 дней</t>
  </si>
  <si>
    <t>https://weather.com/ru-RU/weather/tenday/l/Ann+Arbor+MI+United+States?canonicalCityId=3c1740550b2f113b86f9cd665770bcf3e3e1a34bf7ac0189a6e3d215540792e7</t>
  </si>
  <si>
    <t>Прогноз погоды в Мичиган Сити на 10 дней</t>
  </si>
  <si>
    <t>Погода на 10 дней ; пн. сегодня. +20° ; вт. 07. +12° ; ср. 08. +15° ; чт. 09. +10° ; пт. 10. +9° ...</t>
  </si>
  <si>
    <t>https://yandex.ru/pogoda/michigan-city</t>
  </si>
  <si>
    <t>Приложения в Google Play – Погода</t>
  </si>
  <si>
    <t>9. Прогноз погоды. Значок приложения "погода - прогноз погоды". погода - прогноз погоды. 4,7star. Значок приложения "MyRadar Weather Radar". MyRadar Weather ...</t>
  </si>
  <si>
    <t>https://play.google.com/store/apps/category/WEATHER?hl=ru&amp;gl=US</t>
  </si>
  <si>
    <t>Погода в мире - точный и подробный прогноз погоды в ...</t>
  </si>
  <si>
    <t>MeteoTrend: Погода в мире на сегодня, завтра и неделю. Точный прогноз погоды по всему миру. Температура и влажность воздуха, давление, скорость и ...</t>
  </si>
  <si>
    <t>https://ru.meteotrend.com/</t>
  </si>
  <si>
    <t>Погода в мире - точный и подробный прогноз погоды в любом уголке мира на сегодня завтра и неделюПогода в мире - точный и подробный прогноз погоды в любом уголке мира на сегодня завтра и неделюВиджетыПараметрыРусскийAfrikaansAzərbaycancaBahasa IndonesiaDanskDeutschEestiEnglishEspañolFilipinoFrançaiseHrvatskiItalianoLatviešuLietuviųMagyarMelayuNederlandsNorsk bokmålOʻzbekchaPolskiPortuguêsRomânăShqipSlovenčinaSlovenščinaSuomiSvenskaTiếng ViệtTürkçeČeštinaΕλληνικάБеларускаяБългарскиКыргызчаМакедонскиМонголСрпскиТоҷикӣУкраїнськаҚазақшаՀայերենעבריתاردوالعربيةفارسیमराठीहिन्दीবাংলাગુજરાતીதமிழ்తెలుగుಕನ್ನಡമലയാളംසිංහලไทยქართული中國日本語한국어МилфордСоединённые Штаты Америки +3...+5 °CПасмурноВетер: северо-восточный 2 м/секВлажность: 66-76%Давление: 746-747 мм. рт. ст.подробнее...Нью-ЙоркСоединённые Штаты Америки +7...+10 °CНебольшая облачностьВетер: северный 4-6 м/секВлажность: 49-59%Давление: 771-772 мм. рт. ст.подробнее...Лос-АнджелесСоединённые Штаты Америки +16...+21 °CЯсноВетер: северо-восточный 1-2 м/секВлажность: 36-43%Давление: 755-756 мм. рт. ст.подробнее...ЧикагоСоединённые Штаты Америки +8...+9 °CОблачноВетер: юго-восточный 3-4 м/секВлажность: 68-75%Давление: 756 мм. рт. ст.подробнее...ТоронтоСоединённые Штаты Америки +4...+5 °CПасмурноВетер: северный 2 м/секВлажность: 67-73%Давление: 758 мм. рт. ст.подробнее...БруклинСоединённые Штаты Америки +8...+10 °CНебольшая облачностьВетер: северный 5-7 м/секВлажность: 49-57%Давление: 770-772 мм. рт. ст.подробнее...ХьюстонСоединённые Штаты Америки +16 °CПасмурноВетер: северный 3 м/секВлажность: 90-91%Давление: 764-766 мм. рт. ст.подробнее...ФиладельфияСоединённые Штаты Америки +8...+11 °CНебольшая облачностьВетер: северный 3-4 м/секВлажность: 55-61%Давление: 770-772 мм. рт. ст.подробнее...ФениксСоединённые Штаты Америки +21...+24 °CЯсноВетер: северный 1-2 м/секВлажность: 29-42%Давление: 733-734 мм. рт. ст.подробнее...Сан-АнтониоСоединённые Штаты Америки +16...+17 °CПасмурноВетер: северо-восточный 2-3 м/секВлажность: 83-89%Давление: 748-750 мм. рт. ст.подробнее...Сан-ДиегоСоединённые Штаты Америки +16...+20 °CЯсноВетер: северный 2 м/секВлажность: 60-67%Давление: 761 мм. рт. ст.подробнее...ДалласСоединённые Штаты Америки +14...+15 °CОблачноВетер: северо-восточный 2-3 м/секВлажность: 62-70%Давление: 756-757 мм. рт. ст.подробнее...Сан-ХосеСоединённые Штаты Америки +12...+17 °CЯсноВетер: северо-восточный 1 м/секВлажность: 53-74%Давление: 762 мм. рт. ст.подробнее...ОстинСоединённые Штаты Америки +15...+16 °CПасмурноВетер: северный 2-3 м/секВлажность: 83-86%Давление: 753-754 мм. рт. ст.подробнее...ДжэксонвиллСоединённые Штаты Америки +20...+22 °CПасмурноВетер: северо-восточный 5-6 м/секВлажность: 87-93%Давление: 765-766 мм. рт. ст.подробнее...Сан-ФранцискоСоединённые Штаты Америки +14...+16 °CЯсноВетер: северо-западный 1-2 м/секВлажность: 79-93%Давление: 763 мм. рт. ст.подробнее...КолумбусСоединённые Штаты Америки +5...+8 °CЯсноВетер: северный 2-3 м/секВлажность: 65-78%Давление: 751 мм. рт. ст.подробнее...Форт-УэртСоединённые Штаты Америки +14...+16 °CНебольшая облачностьВетер: северо-восточный 2-3 м/секВлажность: 63-71%Давление: 749-751 мм. рт. ст.подробнее...ИндианаполисСоединённые Штаты Америки +6...+9 °CОблачноВетер: восточный 3 м/секВлажность: 56-65%Давление: 752-753 мм. рт. ст.подробнее...ШарлоттСоединённые Штаты Америки +11...+12 °CПасмурноВетер: северо-восточный 2-3 м/секВлажность: 75-83%Давление: 749-750 мм. рт. ст.подробнее...ДенверСоединённые Штаты Америки +7...+11 °CЯсноВетер: южный 1-3 м/секВлажность: 27-54%Давление: 627-628 мм. рт. ст.подробнее...ЕльСоединённые Штаты Америки +13...+15 °CНебольшая облачностьВетер: северо-восточный 2-3 м/секВлажность: 60-73%Давление: 669-670 мм. рт. ст.подробнее...ДетройтСоединённые Штаты Америки +5...+8 °CПасмурноВетер: северо-восточный 2 м/секВлажность: 52-87%Давление: 756-757 мм. рт. ст.подробнее...БостонСоединённые Штаты Америки +2...+6 °CЯсноВетер: северный 3-4 м/секВлажность: 54-63%Давление: 770-772 мм. рт. ст.подробнее...МемфисСоединённые Штаты Америки +12...+15 °CОблачноВетер: северо-восточный 3-4 м/секВлажность: 48-52%Давление: 761-762 мм. рт. ст.подробнее...Прогноз погодыАвстралияПогода в АвстралииАвстрияПогода в АвстрииАзербайджанПогода в АзербайджанеАландские островаПогода в Аландских островахАлбанияПогода в АлбанииАлжирПогода в АлжиреАмериканские Виргинские о...Погода в Американских Виргинских ОстровахАмериканское СамоаПогода в Американском СамоаАнгильяПогода в АнгильеАнголаПогода в АнголеАндорраПогода в АндорреАнтарктидаПогода в АнтарктидеАнтигуа и БарбудаПогода в Антигуа и БарбудеАргентинаПогода в АргентинеАрменияПогода в АрменииАрубаПогода в АрубаАфганистанПогода в АфганистанеБагамыПогода в БагамахБангладешПогода в БангладешБарбадосПогода в БарбадосеБахрейнПогода в БахрейнеБеларусьПогода в БеларусиБелизПогода в БелизеБельгияПогода в БельгииБенинПогода в БенинеБермудыПогода в БермудахБолгарияПогода в БолгарииБоливияПогода в БоливииБонэйр Синт-Эстатиус и С...Погода в Бонэйре Синт-Эстатиусе и СабеБосния и ГерцеговинаПогода в Боснии и ГерцеговинеБотсванаПогода в БотсванеБразилияПогода в БразилииБританская территория в И...Погода в Британской территории в Индийском океанеБрунейПогода в БрунееБуркина-ФасоПогода в Буркине-ФасоБурундиПогода в БурундиБутанПогода в БутанеВануатуПогода в ВануатуВатиканПогода в ВатиканеВеликобританияПогода в ВеликобританииВенгрияПогода в ВенгрииВенесуэлаПогода в ВенесуэлеВиргинские о-ваПогода в Виргинских островахВнешние малые острова (СШ...Погода в Внешних малых островах (США)Восточный ТиморПогода в Восточном ТимореВьетнамПогода в ВьетнамеГабонПогода в ГабонеГаитиПогода в ГаитиГайанаПогода в ГайанеГамбияПогода в ГамбииГанаПогода в ГанеГваделупаПогода в ГваделупеГватемалаПогода в ГватемалеГвианаПогода в ГвианеГвинеяПогода в ГвинееГвинея-БисауПогода в Гвинее-БисауГерманияПогода в ГерманииГернсиПогода в ГернсиГибралтарПогода в ГибралтареГондурасПогода в ГондурасеГонконгПогода в ГонконгеГосударство ПалестинаПогода в Государство ПалестинеГренадаПогода в ГренадеГренландияПогода в ГренландииГрецияПогода в ГрецииГрузияПогода в ГрузииГуамПогода в ГуамеДанияПогода в ДанииДжерси (остров)Погода в Джерси (остров)ДжибутиПогода в ДжибутиДоминикаПогода в ДоминикеДоминиканаПогода в ДоминиканаЕгипетПогода в ЕгиптеЗамбияПогода в ЗамбииЗападная СахараПогода в Западной СахареЗимбабвеПогода в ЗимбабвеИзраильПогода в ИзраилеИндияПогода в ИндииИндонезияПогода в ИндонезииИорданияПогода в ИорданииИракПогода в ИракеИранПогода в ИранеИрландияПогода в ИрландииИсландияПогода в ИсландииИспанияПогода в ИспанииИталияПогода в ИталииЙеменПогода в ЙеменеКабо-ВердеПогода в Кабо-ВердеКазахстанПогода в КазахстанеКаймановы островаПогода в Каймановых ОстровахКамбоджаПогода в КамбоджеКамерунПогода в КамерунеКанадаПогода в КанадеКатарПогода в КатареКенияПогода в КенииКипрПогода в КипреКирибатиПогода в КирибатиКитайПогода в КитаеКНДРПогода в Корейской Народно-Демократической РеспубликеКокосовые островаПогода в Кокосовых островахКолумбияПогода в КолумбииКоморыПогода в КоморахКонгоПогода в КонгоКоста-РикаПогода в Косте-РикеКот-д'ИвуарПогода в Кот-д'ИвуареКубаПогода в КубеКувейтПогода в КувейтеКыргызстанПогода в КыргызстанеКюрасаоПогода в КюрасаоЛаосПогода в ЛаосеЛатвияПогода в ЛатвииЛесотоПогода в ЛесотоЛиберияПогода в ЛиберииЛиванПогода в ЛиванеЛивияПогода в ЛивииЛитваПогода в ЛитвеЛихтенштейнПогода в ЛихтенштейнеЛюксембургПогода в ЛюксембургеМаврикийПогода в МаврикииМавританияПогода в МавританииМадагаскарПогода в МадагаскареМайоттаПогода в МайоттаМакаоПогода в МакаоМакедонияПогода в МакедонииМалавиПогода в МалавиМалайзияПогода в МалайзииМалиПогода в МалиМальдивыПогода в МальдивахМальтаПогода в МальтеМароккоПогода в МароккоМартиникаПогода в МартиникеМаршалловы ОстроваПогода в Маршалловых ОстровахМексикаПогода в МексикеМикронезияПогода в МикронезииМозамбикПогода в МозамбикеМолдоваПогода в МолдовеМонакоПогода в МонакоМонголияПогода в МонголииМонтсерратПогода в МонтсерратеМьянмаПогода в МьянмеНамибияПогода в НамибииНауруПогода в НауруНепалПогода в НепалеНигерПогода в НигереНигерияПогода в НигерииНидерландыПогода в НидерландахНикарагуаПогода в НикарагуаНиуэПогода в НиуэНовая ЗеландияПогода в Новой ЗеландииНовая КаледонияПогода в Новой КаледонииНорвегияПогода в НорвегииОАЭПогода в Объединённых Арабских ЭмиратахОманПогода в ОманеОстров МэнПогода в Острове МэнеОстров НорфолкПогода в Острове НорфолкеОстров РождестваПогода в Острове РождестваОстрова КукаПогода в Островах КукаОстрова ПиткэрнПогода в Островах ПиткэрнОстрова Святой Елены Воз...Погода в Островах Святой Елены Вознесения и Тристан-да-КуньиПакистанПогода в ПакистанеПалауПогода в ПалауПанамаПогода в ПанамеПарагвайПогода в ПарагваеПеруПогода в ПеруПольшаПогода в ПольшеПортугалияПогода в ПортугалииПуэрто-РикоПогода в Пуэрто-РикоРеспублика КонгоПогода в Республике КонгоРоссияПогода в РоссииРуандаПогода в РуандеРумынияПогода в РумынииРэюньенПогода в РэюньенСальвадорПогода в СальвадореСамоаПогода в СамоаСан-МариноПогода в Сан-МариноСан-Томе и ПринсипиПогода в Сан-Томе и ПринсипиСаудовская АравияПогода в Саудовской АравииСвазилендПогода в СвазилендеСеверные Марианские остро...Погода в Северных Марианских ОстровахСейшельские ОстроваПогода в Сейшельских ОстровахСен-БартельмиПогода в Сен-БартельмиСен-МартенПогода в Сен-МартенеСен-Пьер и МикелонПогода в Сен-Пьере и МикелонеСенегалПогода в СенегалеСент-Винсент и ГренадиныПогода в Сент-Винсенте и ГренадинахСент-Китс и НевисПогода в Сент-Китсе и НевисеСент-ЛюсияПогода в Сент-ЛюсииСербияПогода в СербииСингапурПогода в СингапуреСинт-МартенПогода в Синт-МартенеСирияПогода в СирииСловакияПогода в СловакииСловенияПогода в СловенииСоединённые Штаты АмерикиПогода в Соединённых Штатах АмерикиСоломоновы ОстроваПогода в Соломоновых ОстровахСомалиПогода в СомалиСуданПогода в СуданеСуринамПогода в СуринамеСьерра ЛеонеПогода в Сьерра ЛеонеТаджикистанПогода в ТаджикистанеТайваньПогода в ТайванеТайландПогода в ТайландеТанзанияПогода в ТанзанииТёркс и КайкосПогода в Терксе и КайкосеТогоПогода в ТогоТокелауПогода в ТокелауТонгаПогода в ТонгеТринидад и ТобагоПогода в Тринидаде и ТобагоТувалуПогода в ТувалуТунисПогода в ТунисеТуркменистанПогода в ТуркменистанеТурцияПогода в ТурцииУгандаПогода в УгандеУзбекистанПогода в УзбекистанеУкраинаПогода в УкраинеУоллис и ФутунаПогода в Уоллисе и ФутунеУругвайПогода в УругваеФарерские островаПогода в Фарерских островахФиджиПогода в ФиджиФилиппиныПогода в ФилиппинахФинляндияПогода в ФинляндииФолклендские островаПогода в Фолклендских островахФранцияПогода в ФранцииФранцузская ПолинезияПогода в Французской ПолинезииФранцузские Южные и Антар...Погода в Французских Южных и Антарктических ТерриторияхХорватияПогода в ХорватииЦентральная Африканская Р...Погода в Центральной Африканской РеспубликеЧадПогода в ЧадеЧерногорияПогода в ЧерногорииЧехияПогода в ЧехииЧилиПогода в ЧилиШвейцарияПогода в ШвейцарииШвецияПогода в ШвецииШпицберген и Ян-МайенПогода в Шпицбергене и Ян-МайенеШри ЛанкаПогода в Шри ЛанкеЭквадорПогода в ЭквадореЭкваториальная ГвинеяПогода в Экваториальной ГвинееЭритреяПогода в ЭритрееЭстонияПогода в ЭстонииЭфиопияПогода в ЭфиопииЮАРПогода в Южно-Африканской РеспубликеЮжная Георгия и Южные Сан...Погода в Южной Георгии и Южных Сандвичевых ОстровахЮжная КореяПогода в Южной КорееЮжный СуданПогода в Южном СуданеЯмайкаПогода в ЯмайкеЯпонияПогода в ЯпонииПроект был создан и поддерживается компанией FDSTAR © 2009-2023Погода в мире - точный и подробный прогноз погоды в любом уголке мира на сегодня завтра и неделю© MeteoTrend.com - это прогноз погоды в Вашем городе Вашем регионе и в Вашей стране. Все права защищены 2009-2023Политика конфиденциальностиПараметры отображения прогноза погодыОтображать температуру:  в градусах Цельсия °C в градусах Фаренгейта °F Отображать давление:  в миллиметрах ртутного столба (мм.рт.ст) в гектопаскалях (гПа) / миллибарах Отображать скорость ветра:  в метрах в секунду (м/сек) в километрах в час (км/час) в милях в час (мили/час) сохранить настройкиотмена</t>
  </si>
  <si>
    <t>ru.meteotrend.com</t>
  </si>
  <si>
    <t>Pogoda.by | Главная</t>
  </si>
  <si>
    <t>Национальная метеослужба Республики Беларусь. Прогноз погоды в Минске, Беларусь на 3 дня. Карты погоды и метеограммы, штормпредупреждения и метеоновости.</t>
  </si>
  <si>
    <t>https://pogoda.by/</t>
  </si>
  <si>
    <t>Pogoda.by</t>
  </si>
  <si>
    <t>pogoda.by</t>
  </si>
  <si>
    <t>SINOPTIK: Погода в Украине, подробный прогноз погоды ...</t>
  </si>
  <si>
    <t>Погода в Украине (во всех 29 815 населенных пунктах) на неделю, прогноз погоды по 104 000+ городов Мира на 10 дней. Подробный прогноз погоды для Вашего ...</t>
  </si>
  <si>
    <t>https://sinoptik.ua/</t>
  </si>
  <si>
    <t>SINOPTIK: Погода в Украине подробный прогноз погоды на неделю. Погода сегодня завтра в Украине и Мире.                                           Прогноз погоды         Мобильная версия сайта  Sinoptik.ua українською       Погода в Вашингтоне  Столица США    7 дней   10 дней   погода на карте            Суббота 11 ноября    мин. +4° макс. +14°      Воскресенье 12 ноября    мин. +6° макс. +12°      Понедельник 13 ноября    мин. +4° макс. +14°      Вторник 14 ноября    мин. +7° макс. +15°      Среда 15 ноября    мин. +5° макс. +15°      Четверг 16 ноября    мин. +6° макс. +18°      Пятница 17 ноября    мин. +9° макс. +20°                 Погода сегодня в 21:52      +9°C   Восход 06:45 Закат 16:59   Температура °C чувствуется как  Давление мм Влажность % Ветер м/сек Вероятность осадков %       ночь утро день вечер     1 :00  4 :00  7 :00  10 :00  13 :00  16 :00  19 :00  22 :00                              +6° +4° +6° +12° +14° +13° +10° +6°   +4° +3° +4° +12° +14° +13° +10° +4°   769 770 770 771 770 771 772 771   92 93 85 66 46 42 66 73    2.1   1.5   2.1   4.6   2.1   3.6   1.5   2.7    - - - - - - - -             Облачная погода продержалась утром и днем а к вечеру небо прояснилось. Без осадков.         Киев 05:45    Местное 22:45  Сейчас в Вашингтоне Суббота       Народный прогноз погоды: Охотники верили: «Если волки стаями бродят по полям то жди больших несчастий: эпидемий голода или войны». Если 11 ноября «небо заплачет то следом за дождем и зима придет».                                           Погода в США       Погода в Вашингтон Гров   +4°     Погода в Вашингтон Парк   +26°     Погода в Вашингтон Парк   +8°     Погода в Вашингтон Парк   +11°     Погода в Вашингтон Парк   +11°       Погода в Вашингтон Террас   +6°     Погода в Вашингтон Хайтс   -2°     Погода в Вашоне   +9°     Погода в Уайандотте   +9°     Погода в Уайандотте   +4°       Погода в Уэабло   +8°     Погода в Веази   -1°     Погода в Уэббе   +13°     Погода в Уэббе   +11°     Погода в Уэббе   +6°                      Погода на дорогах     Погода в Украинских Карпатах     Погода на курортах Средиземного моря     Погода в Крыму и других курортах Черного моря     Погода в Вашингтоне ( США &gt; Округ Колумбия )    Обновлено 12.11.2023 в 05:43 (GMT+2) Погода во всех уголках Украины прогноз погоды от SINOPTIK    Все права принадлежат © 2010-2023 sinoptik.ua. Партнеры проекта: Украинский Гидрометцентр . Соглашение о конфиденциальности Пользовательское соглашение Написать нам Реклама</t>
  </si>
  <si>
    <t>sinoptik.ua</t>
  </si>
  <si>
    <t>Прогноз погоды Москва (ВДНХ)( ...</t>
  </si>
  <si>
    <t>Точный прогноз погоды для пункта Москва (ВДНХ) на сегодня, завтра, выходные, 7 дней и ближайшие месяцы. Карты опасных явлений, аномалий, осадков на ...</t>
  </si>
  <si>
    <t>https://meteoinfo.ru/forecasts/russia/moscow-area/moscow</t>
  </si>
  <si>
    <t>Погода Mail.ru: Прогноз погоды в Сакраменто на сегодня ...</t>
  </si>
  <si>
    <t>Подробно о погоде в Сакраменто сегодня, сейчас, прогноз на завтра и на ближайшие дни. Мы покажем, как в Сакраменто будут изменяться температура воздуха, ...</t>
  </si>
  <si>
    <t>https://pogoda.mail.ru/</t>
  </si>
  <si>
    <t>Ventusky - Wind, Rain and Temperature Maps</t>
  </si>
  <si>
    <t>https://www.ventusky.com/</t>
  </si>
  <si>
    <t>Ventusky - Wind Rain and Temperature MapsVentusky: Weather Forecast MapsAboutTemperaturePrecipitationWindGustCloudsAir pressureCAPESnow coverFreezing level          Wind animation      GFS ICON GEM    You can now display weather fronts</t>
  </si>
  <si>
    <t>www.ventusky.com</t>
  </si>
  <si>
    <t>Weather Underground: Local Weather Forecast, News and ...</t>
  </si>
  <si>
    <t>https://www.wunderground.com/</t>
  </si>
  <si>
    <t>Local Weather Forecast News and Conditions | Weather UndergroundSkip to Main Content_ Sensor Network Maps &amp; Radar Severe Weather News &amp; Blogs Mobile Apps MoreSearchclosegps_fixedgps_fixedFind Nearest Station Manage Favorite CitiesLog in | Joinsettingsaccount_box Log in person_add Join settings Settings Sensor NetworkMaps &amp; RadarSevere WeatherNews &amp; BlogsMobile AppsHistorical WeatherstarCurrent Weather for Popular Cities  San Francisco CA 60 °FClear Manhattan NY 43 °FClear Schiller Park IL (60176) warning45 °FPartly Cloudy Boston MA 36 °FClear Houston TX 59 °FCloudy St James's England United Kingdom 42 °FCloudy --Feels like -- ---- / --------------------12AM6AMNOON6PM12AMNov 12+0000Nov 13Full ForecastFlames Close Major Freeway DowntownA portion of the 10 Freeway in downtown Los Angeles has been shut down because of a major fire at nearby storage yards.Flames Close Major Freeway DowntownTaylor Swift Forced To Cancel Show Due To StormsSuperstar singer Taylor Swift postponed a show scheduled for Friday in Buenos Aires Argentina over concerns about weather.Taylor Swift Forced To Cancel Show Due To StormsExpect A Blueberry Shortage... The Surprising Reason Why El Niño is being partially blamed for reduced blueberry production in Peru late this year and that could impact the prices of the tiny blue fruit at your local supermarket.Expect A Blueberry Shortage... The Surprising Reason Why Whole Lotta Rain Headed For The Golden State We're about to see another key weather change take shape. Here's what we know right now.Whole Lotta Rain Headed For The Golden State Eruption Concerns Rise In IcelandResidents of a fishing town in southwestern Iceland left their homes Saturday after increasing concern about a potential volcanic eruption caused civil defense authorities to declare a state of emergency in the region.Eruption Concerns Rise In IcelandOur AppsAbout UsContactCareersPWS NetworkWunderMapFeedback &amp; SupportTerms of UsePrivacy PolicyAccessibility StatementAdChoicesData VendorsWe recognize our responsibility to use data and technology for good. We may use or share your data with our data vendors. Take control of your data.Review All Privacy and Ad SettingsChoose how my information is sharedData Rights© Copyright TWC Product and Technology LLC 2014 2023Please enable JavaScript to continue using this application.</t>
  </si>
  <si>
    <t>www.wunderground.com</t>
  </si>
  <si>
    <t>METEOFOR: Погода во Львове сегодня, прогноз ...</t>
  </si>
  <si>
    <t>Погода во Львове на сегодня, подробный прогноз погоды на сегодня для населенного пункта Львов, Львовский район, Львовская область, Украина.</t>
  </si>
  <si>
    <t>https://meteofor.com.ua/ru/weather-lviv-4949/</t>
  </si>
  <si>
    <t xml:space="preserve">METEOFOR: Погода в Україні прогноз погоди на сьогодні завтра 3 дні вихідні тиждень 10 днів 2 тижні місяцьПерейти на мобільну версіюПошук місця розташування                    UA                УкраїнськоюПо-русскиСША /                     Мічіган                        в Енн-Арборі сильна хмарність без опадів                                +3 °C37 FЗаразСьогодніЗавтра3 дніВихідніТиждень10 днів2 тижніМісяцьГ/м активністьСб 11 листопада 22:45+337                       Сильна хмарність без опадів                    Відчувається як+134Вітер2 м/c С7 км/год СТиск749 мм рт. ст.998 гПаВологість69 %Г/м активність6 балівВода+643Погодана найближчий час                2300                000                100                200                300+337+236+236+134+134Пориви вітру м/cкм/год                    4                                    14                                    4                                    14                                    4                                    14                                    4                                    14                                    3                                    11                            Найближчі метеостанції        Енн-Арбор2 м/c7 км/год+337Уіллоу Ран2 м/c7 км/год+337Детройт2 м/c7 км/год+439Детройт2 м/c7 км/год+439Окленд Каунті0 м/c0 км/год+337Ленаві Каунті2 м/c7 км/год+236Джексон Каунті - Рейнольдс Філд0 м/c0 км/год+236                    Популярні пункти                    України                        Вінниця                                            Дніпро                                            Донецьк                                            Житомир                                            Запоріжжя                                            Івано-Франківськ                                            Київ                                            Кривий Ріг                                            Луганськ                                            Луцьк                                            Львів                                            Миколаїв                                            Одеса                                            Полтава                                            Рівне                                            Суми                                            Тернопіль                                            Ужгород                                            Харків                                            Херсон                                            Хмельницький                                            Черкаси                                            Чернівці                                            Чернігів                                    Новини України та світу                            Новини України та світу            Трагедія у 128-й бригаді: хто "щур" і що не так із командиромВ Україні підвищать тарифи на газ та електроенергіюУкраїнців попередили: це буде найважча зима в історіїМобільний сайт                    Погода в Україні та світі: дані призначені лише для приватного некомерційного використання.                            © Meteofor    </t>
  </si>
  <si>
    <t>meteofor.com.ua</t>
  </si>
  <si>
    <t>Weather Forecasts | Maps | News</t>
  </si>
  <si>
    <t>https://www.yahoo.com/news/weather/</t>
  </si>
  <si>
    <t>www.yahoo.com</t>
  </si>
  <si>
    <t>Windy: Wind map &amp; weather forecast</t>
  </si>
  <si>
    <t>https://www.windy.com/</t>
  </si>
  <si>
    <t>Windy: Wind map &amp; weather forecast© OpenStreetMap contributors  !dFmkjwww.windy.com</t>
  </si>
  <si>
    <t>www.windy.com</t>
  </si>
  <si>
    <t>погода завтра</t>
  </si>
  <si>
    <t>Погода в Энн-Арборе. сегодня. Сейчас. Сегодня. Завтра 3 дня 10 дней Месяц Ещё. Сб, 11 нояб. завтра. Пт, 10 нояб сегодня.</t>
  </si>
  <si>
    <t>Погода в Бруклине на завтра - Нью-Йорк</t>
  </si>
  <si>
    <t>Погода в Бруклине на завтра, точный прогноз погоды на завтра для населенного пункта Бруклин, Нью-Йорк, США.</t>
  </si>
  <si>
    <t>https://www.gismeteo.ru/weather-brooklyn-7570/tomorrow/</t>
  </si>
  <si>
    <t>Погода в Нови на завтра</t>
  </si>
  <si>
    <t>Погода в Нови на завтра, точный прогноз погоды на завтра для населенного пункта Нови, Мичиган, США.</t>
  </si>
  <si>
    <t>https://www.gismeteo.ru/weather-novi-9132/tomorrow/</t>
  </si>
  <si>
    <t>Погода в Лансинге на завтра</t>
  </si>
  <si>
    <t>Погода в Лансинге на завтра, точный прогноз погоды на завтра для населенного пункта Лансинг, Мичиган, США.</t>
  </si>
  <si>
    <t>https://www.gismeteo.ru/weather-lansing-7215/tomorrow/</t>
  </si>
  <si>
    <t>Погода в Ист Лансинге на завтра</t>
  </si>
  <si>
    <t>Погода в Ист Лансинге на завтра, точный прогноз погоды на завтра для населенного пункта Ист Лансинг, Мичиган, США.</t>
  </si>
  <si>
    <t>https://www.gismeteo.ru/weather-east-lansing-7529/tomorrow/</t>
  </si>
  <si>
    <t>Погода в Чикаго на завтра</t>
  </si>
  <si>
    <t>Погода в Чикаго на завтра, точный прогноз погоды на завтра для населенного пункта Чикаго, Иллинойс, США.</t>
  </si>
  <si>
    <t>https://www.gismeteo.ru/weather-chicago-7208/tomorrow/</t>
  </si>
  <si>
    <t>Погода в Вашингтоне на завтра - США</t>
  </si>
  <si>
    <t>Погода в Вашингтоне на завтра, точный прогноз погоды на завтра для населенного пункта Вашингтон, Федеральный округ Колумбия, США.</t>
  </si>
  <si>
    <t>https://www.gismeteo.ru/weather-washington-7150/tomorrow/</t>
  </si>
  <si>
    <t>Облачная погода будет держаться в Киеве до самого вечера. Весь день будет идти сильный дождь, который днем может усилиться, но к вечеру начнет ослабевать ...</t>
  </si>
  <si>
    <t>Погода завтра</t>
  </si>
  <si>
    <t>https://yandex.ru/weather/details/tomorrow</t>
  </si>
  <si>
    <t>Погода в Киеве на завтра</t>
  </si>
  <si>
    <t>Погода в Киеве на завтра, подробный прогноз погоды на завтра для населенного пункта Киев, Киев, Украина.</t>
  </si>
  <si>
    <t>https://meteofor.com.ua/ru/weather-kyiv-4944/tomorrow/</t>
  </si>
  <si>
    <t>Погода на сегодня. , 17:17. в Энн-Арборе. Вторник, 7 ноября. Ночью. 13°. Утром. 11°. Днём. 10 ... Получайте уведомления с прогнозом погоды на завтра. Получать ...</t>
  </si>
  <si>
    <t>Погода завтра в Энгельсе, Саратовская область, Россия</t>
  </si>
  <si>
    <t>В прогнозе облачная погода, чуть холоднее, чем сегодня. Температурный фон в течение дня в пределах от +4 до +7, ночью от +6 до +8°. Ожидается маловетреная ...</t>
  </si>
  <si>
    <t>https://www.meteoservice.ru/weather/tomorrow/engels</t>
  </si>
  <si>
    <t xml:space="preserve">Accurate local weather forecasts worldwideAboutTerms of UsePrivacy PolicyWidgetsNotificationsContactEN       |       °C›close°F°CবাংলাEnglish (US)EspañolFrançaisҚазақша한국어日本語हिन्दीPortuguêsРусскийTürkçe中文 (SIM)Accurate local weather forecastsSearch locationmy_locationGet the weatherSearch through over 10000000 places worldwidesearch   Find this locationsearch   Search for '%q%'Ann Arbor weatherSummaryNowTodayTomorrow 7 days10 days14 daysMapsWhy Meteodays?Progressivity            Our weather forecasting solution combines advanced weather prediction models with artificial intelligence providing highly accurate weather forecasts.          Convenience            Are you planning a trip an event or going outside? Get all the weather data you need to make informed decisions in one place.          Clarity            Experience the diverse weather data in a clear and visually appealing way with an intuitive design.          Awareness            Sign up for push notifications and get alerted of any major changes in the weather.          Hybrid Forecasting Technology (HFT)By combining comprehensive weather observations with advanced numerical weather prediction models and sophisticated accuracy tuning methods we can significantly improve the accuracy and precision of weather forecasts.We refer to this as Hybrid Forecasting Technology (HFT) which is the result of years of scientific research development testing and refinement. This technology overview highlights the key steps of the data transformation pipeline which significantly improves the accuracy of weather forecasts.To ensure the highest level of accuracy we have established a pipeline for processing weather forecasting data that consists of multiple stages. Each stage builds on the results of the previous one to ultimately produce the most accurate and reliable forecast possible.public                            The pipeline starts by using global weather prediction models to create a broad overview of the expected weather patterns.                        travel_explore                            Then the results of these models are refined through regional weather prediction models which are specifically tuned for certain regions around the world to improve accuracy for that area.                        query_stats                            Next the first stage of post-processing involves the application of statistical methods which enhances the accuracy of the predictions.                        troubleshoot                            Lastly sophisticated Machine Learning methods are employed to produce precise forecasts for particular metrics including temperature wind velocity and precipitation.                        doneThe outcome of this process is a weather forecast of accuracy that is relied upon by millions of people worldwide.Weather forecasts for 219 countriesWe offer comprehensive weather observations and highly accurate forecasts for today tomorrow and up to two weeks for almost any place in the world.All countries Popular locationsEnglish speaking megacities                    New York City NY                                    London                                    Hong Kong                                    Singapore                                    Sydney                                    Melbourne                                    Los Angeles CA                                    Chicago IL                                    Toronto                                    Houston TX                The World's most significant cities                    Tokyo                                    New Delhi                                    Shanghai                                    Sao Paulo                                    Mexico City                                    Cairo                                    Dhaka                                    Mumbai                                    Beijing                                    Osaka                The World's most visited cities                    Bangkok                                    Paris                                    London                                    Dubai                                    Singapore                                    Kuala Lumpur                                    Antalya                                    İstanbul                                    Seoul                                    Rome                All locations AboutTerms of UsePrivacy PolicyWidgetsNotificationsContactবাংলাEnglish (US)EspañolFrançaisҚазақша한국어日本語हिन्दीPortuguêsРусскийTürkçe中文 (SIM)The weather tomorrow10-day weather forecast14-day weather forecast			© 2023 Meteoservice LLC"Meteodays" and "cloud icon" are registered trademarks of Meteoservice LLC. All Rights Reserved.			</t>
  </si>
  <si>
    <t>www.meteoservice.ru</t>
  </si>
  <si>
    <t>Погода в Манхэттене - Нью-Йорк</t>
  </si>
  <si>
    <t>MeteoTrend: Погода в Манхэттене на сегодня, завтра и неделю. Точный прогноз погоды в Манхэттене. Температура и влажность воздуха, давление, скорость и ...</t>
  </si>
  <si>
    <t>https://ru.meteotrend.com/forecast/us/manhattan_3/</t>
  </si>
  <si>
    <t>Погода в Запорожье на неделю</t>
  </si>
  <si>
    <t>Погода в Запорожье на неделю представлена сервисом METEO.UA™. ☀ Точный прогноз погоды в Запорожье на сегодня, завтра и 7 дней ✅️ Давление ✓ Влажность ...</t>
  </si>
  <si>
    <t>https://meteo.ua/172/zaporoje</t>
  </si>
  <si>
    <t>METEO.UA™: Погода на завтра в Украине прогноз погоды на неделю.Оберіть мовуУкраїнськаРусскийПрофессионально о погоде в Украине и во всем миреПогодные данные предоставленыУкраинским гидрометеорологическим центромMETEO.UA™: Погода на завтра в Украине прогноз погоды на неделю.ИнформерыМетеословарьОбратная связьRuUaДобавить в избранноеТекущая погодав Украине (12 ноября)Самая высокая температура:Кам'янське: +16 °Cамая низкая температура:Лопушне: +2 °Симферополь+15 °Винница+6 °Луцк+7 °Днепр+12 °Донецк+11 °Житомир+7 °Ужгород+7 °Запорожье+12 °Ивано-Франковск+6 °Киев+9 °Кропивницкий+11 °Луганск+10 °Львов+6 °Николаев+12 °Одесса+11 °Полтава+11 °Ровно+7 °Сумы+9 °Тернополь+5 °Харьков+11 °Херсон+13 °Хмельницкий+6 °Черкассы+10 °Чернигов+7 °Черновцы+9 °Показать все области УкраиныВетерМолнииДождьТемператураОблакаДавлениеПогода в УкраинеУкраина расположена в центре Восточной Европы и имеет умеренный континентальный климат с отличиями в разных регионах страны.Лето в Украине теплое и солнечное средняя температура воздуха в июле колеблется от +20 до +30 градусов Цельсия. Ночью может быть прохладнее особенно в горных районах Карпат и Крыма. Частые грозы и кратковременные ливни характерны для лета.Зимы в Украине прохладные средняя температура воздуха в январе составляет от -5 до -10 градусов Цельсия в большинстве регионов. В горах Карпат и Крыма зимы более холодные с сильными метелями и снежными бурями.Весна и осень в Украине прохладные но переменчивые. Весной может быть прохладно и дождливо а осенью - тепло и солнечно или холодно и дождливо. В некоторых регионах Украины осенью можно наблюдать яркую листву особенно в Карпатах и на юге страны.В общем климат Украины характеризуется сезонными изменениями температуры солнечной погодой летом переменчивостью весной и осенью а также холодной зимой с наличием снега.Погода в Украине зимойЗима в Украине - это сезон когда температура воздуха достаточно низкая и может быть очень холодно особенно в северных и восточных регионах страны. Зима начинается в середине декабря и продолжается до конца февраля или начала марта.Средняя температура зимой в Украине составляет около -5 градусов Цельсия но может достигать до -20 градусов в некоторых регионах. В таких условиях важно одеваться тепло и соблюдать меры предосторожности чтобы избежать обморожения.Зимой в Украине обычно бывает мало солнечных дней и небо часто покрыто облаками. В некоторых регионах страны часто бывают снежные бури особенно в степных районах. На юге Украины зимой может быть меньше снега и более сухо.В зимнее время в Украине можно заняться зимними видами спорта такими как лыжи сноубординг и катание на коньках. Многие города в Украине также украшаются огнями и украшениями к Новому году и Рождеству.Одним из преимуществ зимы в Украине является возможность попробовать различные традиционные блюда такие как грибной суп борщ вареники и голубцы которые обычно готовятся в этот сезон.В целом зима в Украине - это время когда температура может быть очень холодной и небо обычно покрыто облаками. Однако зима также предоставляет множество возможностей для зимних видов спорта и вкусной еды.Погода в Украине веснойВесна в Украине является сезоном переменчивой погоды когда температура начинает подниматься но еще может быть прохладно и дождливо. Весна начинается в конце февраля - начале марта в южных регионах Украины и в апреле в северных районах страны.В начале весны в Украине еще может быть холодно температура воздуха может колебаться от -5 до +5 градусов Цельсия особенно ночью. Однако по мере приближения к концу марта и апрелю температура начинает повышаться и дневные температуры могут достигать +10-15 градусов Цельсия.Весной в Украине часто бывают дожди и сильные ветры. Несмотря на это дни становятся длиннее и солнце начинает чаще светить что позволяет растениям начать прорастать и цвести. В западных частях Украины весной можно наблюдать яркую листву на деревьях особенно в Карпатах.Весной в Украине можно также наблюдать изменения в природе появление первых цветов а также миграцию птиц. В то же время весна может быть довольно переменчивой и температура может быстро меняться от прохладной до теплой и наоборот. Поэтому весной необходимо быть готовым к переменчивой погоде и смене температуры в течение дня.В общем весна в Украине - это сезон переменчивой погоды когда температура начинает повышаться и природа пробуждается после зимы. Тем не менее весна может быть довольно прохладной и дождливой поэтому необходимо быть готовым к переменчивой погоде.Погода в Украине летомЛето в Украине является теплым и солнечным временем года средняя температура воздуха в июле колеблется от +20 до +25 градусов Цельсия. Однако в некоторых регионах страны может быть и жарко особенно в Южной Украине где температура может достигать +35 градусов Цельсия.Дневные температуры летом в Украине часто достигают +25 градусов Цельсия иногда даже выше. Ночью температуры могут быть прохладными особенно в горных районах Карпат и Крыма где ночью температуры могут опускаться до +10 градусов Цельсия.Летом в Украине довольно часто бывают грозы и кратковременные ливни. В такие дни температура может быстро изменяться а ветер становится сильным. Во время гроз часто происходят сильные ветра и молнии поэтому необходимо быть осторожным на открытых пространствах.В восточной и центральной частях Украины летом может быть довольно жарко и сухо а также довольно пыльно. В то же время в западных частях страны особенно в Карпатах климат более умеренный и воздух более свежий и чистый благодаря наличию большого количества лесов.В общем лето в Украине - это теплое и солнечное время года однако может быть достаточно переменчивым в разных регионах страны. В целом это лучшее время года для путешествий и отдыха на открытом воздухе.Погода в Украине осеньюОсень в Украине является переходным сезоном между теплым летом и холодной зимой. Осень начинается в конце сентября и продолжается до середины декабря. В это время года температура постепенно понижается а дни становятся короче и прохладнее.В начале осени в сентябре температура воздуха еще может быть достаточно теплой и дневные температуры могут достигать +20-25 градусов Цельсия. Однако по мере приближения к ноябрю температура воздуха начинает понижаться и дневные температуры могут опускаться до +5-10 градусов Цельсия.В осенние месяцы в Украине часто бывают дожди особенно в начале осени. В некоторых регионах страны могут возникать сильные ветры и грозы. Однако в середине осени обычно бывает более сухо и ясно.Осень - это время когда листья на деревьях начинают менять цвет на яркие красные желтые и оранжевые оттенки что создает красивые виды и яркие пейзажи. В Украине также начинаются сбор урожая и подготовка к зиме.Одним из особенностей осени в Украине является снижение количества солнечных часов в сутки и увеличение продолжительности ночи. К концу осени дни становятся очень короткими и светло на улице только несколько часов в день.В общем осень в Украине - это переходный сезон когда температура начинает понижаться и дни становятся короче и прохладнее. Однако осень также является красивым сезоном когда листья на деревьях начинают менять цвет и природа готовится к зиме.Подробнее© 2023 Meteo.ua. Профессионально о погоде.Политика конфиденциальностиПользовательское соглашениеПогодные данные предоставленыУкраинским гидрометеорологическим центромMETEO.UA™: Погода в Украине прогноз погоды на неделю. Погода на сегодня завтра и неделю в Украине</t>
  </si>
  <si>
    <t>meteo.ua</t>
  </si>
  <si>
    <t>Анн-Арбор, MI, США — прогноз погоды на сегодняшний день и вечер, погодные условия и данные допплеровской РЛС в приложении The Weather Channel и на сайте ...</t>
  </si>
  <si>
    <t>Не дайте погоде застать вас врасплох благодаря точному прогнозу на 10 дней (Анн-Арбор, MI, США) с указанием вероятности осадков и температуры по данным ...</t>
  </si>
  <si>
    <t>Модернизация научных исследований - Результат из Google Книги</t>
  </si>
  <si>
    <t>https://books.google.com/books?id=pX45dwxD-vkC&amp;pg=PT36&amp;lpg=PT36&amp;dq=%D0%BF%D0%BE%D0%B3%D0%BE%D0%B4%D0%B0+%D0%B7%D0%B0%D0%B2%D1%82%D1%80%D0%B0&amp;source=bl&amp;ots=d48ygiOrBg&amp;sig=ACfU3U3U1zODcloPFXYxNKFcVvXCoqsowg&amp;hl=ru&amp;sa=X&amp;ved=2ahUKEwix0K7ZiruCAxV0vokEHZcPBQ8Q6AF6BAgZEAM</t>
  </si>
  <si>
    <t>Болгарский язык. Курс для начинающих (+MP3)</t>
  </si>
  <si>
    <t>https://books.google.com/books?id=ncqRBwAAQBAJ&amp;pg=PA216&amp;lpg=PA216&amp;dq=%D0%BF%D0%BE%D0%B3%D0%BE%D0%B4%D0%B0+%D0%B7%D0%B0%D0%B2%D1%82%D1%80%D0%B0&amp;source=bl&amp;ots=VJaLI7exrY&amp;sig=ACfU3U3ye4gF3PQ_MoCqTM5neF0ITQV4jA&amp;hl=ru&amp;sa=X&amp;ved=2ahUKEwix0K7ZiruCAxV0vokEHZcPBQ8Q6AF6BAgaEAM</t>
  </si>
  <si>
    <t>погода в Москве на завтра</t>
  </si>
  <si>
    <t>Погода в Москве на завтра, точный прогноз погоды на завтра для населенного пункта Москва, Москва (город федерального значения), Россия.</t>
  </si>
  <si>
    <t>https://www.gismeteo.ru/weather-moscow-4368/tomorrow/</t>
  </si>
  <si>
    <t>Погода в Алматы на завтра</t>
  </si>
  <si>
    <t>Сб 11 нояб 10:24Казахстан, Алматы (город республиканского значения). в Алматы малооблачно, без осадков, +5 °C. По ощущению +5 °C, Ветер 1 м/c. Погода.</t>
  </si>
  <si>
    <t>https://www.gismeteo.kz/weather-almaty-5205/tomorrow/</t>
  </si>
  <si>
    <t>GISMETEO: Погода в Казахстане прогноз погоды на сегодня завтра 3 дня выходные неделю 10 дней месяц.Перейти на мобильную версиюПогодаНовости Карты Информеры Приложения    Энн-Арбор Изменить пунктСб 11 ноября 22:45+3 37Пасмурно без осадковПо ощущению+1 34Ветер2 м/c В 7 км/ч ВДавление749 мм рт. ст. 998 гПаВлажность69 %Г/м активность6 балловВода+6 432300000100200300+337+236+236+134+134Порывы ветра м/cкм/ч4 144 144 144 143 11Сегодня Завтра 3 дня 10 дней 2 недели МесяцЕщё Сейчас Г/м активность Выходные НеделяБлижайшие метеостанцииЭнн-Арбор2 м/c7 км/ч+3 37Уиллоу Ран2 м/c7 км/ч+3 37Детройт Метрополитен Уэйн Каунти2 м/c7 км/ч+4 39Детройт2 м/c7 км/ч+4 39Окленд Каунти0 м/c0 км/ч+3 37Ленави Каунти2 м/c7 км/ч+2 36Джексон Каунти - Рейнольдс Филд0 м/c0 км/ч+2 36Просмотренные ОчиститьПопулярные пункты КазахстанаАктауАктобеАлматыАстанаАтырауЖезказганКарагандаКокшетауКостанайКызылордаЛисаковскПавлодарПетропавловскРиддерРудныйСемейТалдыкорганТаразТемиртауУральскУсть-КаменогорскШымкентЩучинскЭкибастузНовости Гисметео о погоде природе и космосеВ районе Доминиканской Республики произошло землетрясение магнитудой 53Погода в Казахстане 12 ноября: сохранятся осадкиСильные дожди вызвали потоп на севере ФранцииПогода в Казахстане 11 ноября: ожидаются осадки местами сильныеПогода на картеОсадкиТемператураВетерОблачностьНовости Казахстана и мираНовости Казахстана и мираЖенщину избили до смерти в Астане: задержан Куандык БишимбаевСколько дней казахстанцы отдохнут в декабре 2023 годаТасмагамбетов заявил о серьезных угрозах странам ОДКБ53-летняя Наоми Кэмпбелл снялась обнаженной с шипамиТокаев подписал новый законПочему три ТЭЦ в Казахстане будут строить российские инвесторыСемейная пара арестована за неоднократное подвешивание детейБывший министр проходит по делу об убийстве женщиныКазахстанцев по-новому обманывают в WhatsAppПенсионная система РК впервые включена в Глобальный ИндексНовое газовое месторождение запустили в Жамбылской областиСоглашениеКонфиденциальностьРазмещение рекламыПредоставление данныхКонтактыМобильный сайтОставить отзывПогода в Казахстане и мире предоставлена исключительно для личного некоммерческого использования.© Gismeteo</t>
  </si>
  <si>
    <t>www.gismeteo.kz</t>
  </si>
  <si>
    <t>Погода в Запорожье на завтра</t>
  </si>
  <si>
    <t>Погода в Запорожье на завтра, подробный прогноз погоды на завтра для населенного пункта Запорожье, Запорожский район, Запорожская область, Украина.</t>
  </si>
  <si>
    <t>https://meteofor.com.ua/ru/weather-zaporizhia-5093/tomorrow/</t>
  </si>
  <si>
    <t>Погода завтра во Владикавказе по часам, сравнение с ...</t>
  </si>
  <si>
    <t>Погода во Владикавказе по часам. Завтра существенных изменений погоды во Владикавказе не ожидается. Будет преобладать пасмурная погода, температура такая же, ...</t>
  </si>
  <si>
    <t>https://www.meteoservice.ru/weather/tomorrow/vladikavkaz</t>
  </si>
  <si>
    <t>Извѣстія Императорской академіи наукъ</t>
  </si>
  <si>
    <t>https://books.google.com/books?id=yekAAAAAYAAJ&amp;pg=PA140&amp;lpg=PA140&amp;dq=%D0%BF%D0%BE%D0%B3%D0%BE%D0%B4%D0%B0+%D0%B7%D0%B0%D0%B2%D1%82%D1%80%D0%B0&amp;source=bl&amp;ots=COO6YzVfsR&amp;sig=ACfU3U2S3_qKeldn-txWqwYkWZYuR7G5cQ&amp;hl=ru&amp;sa=X&amp;ved=2ahUKEwicuZzejruCAxXJj4kEHQtZAdIQ6AF6BAhBEAM</t>
  </si>
  <si>
    <t>Polnoe sobranie sochineniĭ</t>
  </si>
  <si>
    <t>https://books.google.com/books?id=CplHAQAAMAAJ&amp;pg=PA15&amp;lpg=PA15&amp;dq=%D0%BF%D0%BE%D0%B3%D0%BE%D0%B4%D0%B0+%D0%B7%D0%B0%D0%B2%D1%82%D1%80%D0%B0&amp;source=bl&amp;ots=NdGwwsTbmW&amp;sig=ACfU3U1UiHHjSMgmEXMaI8HZIh24BVLlSg&amp;hl=ru&amp;sa=X&amp;ved=2ahUKEwicuZzejruCAxXJj4kEHQtZAdIQ6AF6BAgwEAM</t>
  </si>
  <si>
    <t>Aviat︠s︡ii︠a︡ i kosmonavtika</t>
  </si>
  <si>
    <t>https://books.google.com/books?id=JAQkAQAAMAAJ&amp;pg=RA11-PA47&amp;lpg=RA11-PA47&amp;dq=%D0%BF%D0%BE%D0%B3%D0%BE%D0%B4%D0%B0+%D0%B7%D0%B0%D0%B2%D1%82%D1%80%D0%B0&amp;source=bl&amp;ots=m-_uIoNgXJ&amp;sig=ACfU3U0I6ghseaeCc4ivo1fz4cXVUyXhWw&amp;hl=ru&amp;sa=X&amp;ved=2ahUKEwicuZzejruCAxXJj4kEHQtZAdIQ6AF6BAgxEAM</t>
  </si>
  <si>
    <t>Записки охотника. Муму - Результат из Google Книги</t>
  </si>
  <si>
    <t>https://books.google.com/books?id=L9OtEAAAQBAJ&amp;pg=PT19&amp;lpg=PT19&amp;dq=%D0%BF%D0%BE%D0%B3%D0%BE%D0%B4%D0%B0+%D0%B7%D0%B0%D0%B2%D1%82%D1%80%D0%B0&amp;source=bl&amp;ots=JHoBQZZcV5&amp;sig=ACfU3U3AixNjgGSCWglnpxwVA2A6Bqtv1A&amp;hl=ru&amp;sa=X&amp;ved=2ahUKEwicuZzejruCAxXJj4kEHQtZAdIQ6AF6BAgvEAM</t>
  </si>
  <si>
    <t>программа передач</t>
  </si>
  <si>
    <t>Программа передач ТВ — Яндекс.Телепрограмма</t>
  </si>
  <si>
    <t>Программа передач в Москве. Фильмы, Сериалы, Спорт, Детям. Основные. Все каналы, Избранные, По тематикам, Основные, Фильмы и сериалы, Познавательные, Спорт ...</t>
  </si>
  <si>
    <t>https://tv.yandex.ru/</t>
  </si>
  <si>
    <t>tv.yandex.ru</t>
  </si>
  <si>
    <t>Телепрограмма на сегодня и на завтра, программа ...</t>
  </si>
  <si>
    <t>Телепрограмма: программа ТВ-передач на сегодня, на завтра, на неделю - все каналы и телепередачи по жанрам и по времени - город Москва.</t>
  </si>
  <si>
    <t>https://tv.mail.ru/</t>
  </si>
  <si>
    <t>Телепрограмма на сегодня и на завтра программа передач ТВ на неделю - все каналы - полная программа телепередач - Москва на ТВ Mail.ruТелепрограммаMail.ruПочтаМой МирОдноклассникиВКонтактеИгрыЗнакомстваНовостиПоискОблакоVK ComboВсе проектыВсе проектывыходРегистрацияВходssНаверхТелепрограмма на сегодня — Москва(Сменить регион)Пт 10Сб 11Сегодня СейчасСейчасУтромДнемВечеромВесь деньПн 13Вт 14Ср 15Чт 16Пт 17Сб 18Вс 192023-11-102023-11-112023-11-122023-11-132023-11-142023-11-152023-11-162023-11-172023-11-182023-11-19ЕщёПт 10Сб 11СегодняПн 13Вт 14Ср 15Чт 16Пт 17Сб 18Вс 19ФильмыСериалыСпортЭфир по московскому расписаниюСмотреть прямой эфирПодкаст.ЛабСмешанные единоборства. UFC. Иржи Прохазка против Алекса Перейры. Сергей Павлович против Тома Аспинэлла. Трансляция из США. Прямая трансляцияЦентральное телевидениеПрокурорская проверкаЕралашСамые шокирующие гипотезыКуриный забегУроки жизни и вожденияУлетное видеоМультфильмыПростоквашиноМаша и МедведьИх знали только в лицоРБК. РынкиТри котаМаша и МедведьБуду смотретьВесь списокНастройки  100 лучших российских комедийных сериаловСмотреть онлайн Смотри 40 каналов бесплатно онлайнПервый каналlive06:10Подкаст.Лаб (Легкие деньги)06:55Играй гармонь любимая!07:40Часовой08:10Здоровье09:20МечталлионРоссия 106:10Алла в поисках Аллы08:00Местное время. Воскресенье08:35"Когда все дома" с Тимуром Кизяковым09:25Утренняя почта с Николаем Басковым10:10Сто к одномуМАТЧ!live06:00Смешанные единоборства. UFC. Иржи Прохазка против Алекса Перейры. Сергей Павлович против Тома Аспинэлла. Трансляция из США. Прямая трансляция09:00Новости09:05Все на Матч! Прямая трансляция10:00Лига героев11:05Один вдохНТВlive06:35Центральное телевидение08:00Сегодня08:20У нас выигрывают!10:00Сегодня10:20Первая передача5 каналlive06:05Прокурорская проверка (Моя ужасная школа)06:55Настоящий (Возвращение)07:45Настоящий (Пробуждение)08:40Настоящий (Неприкаянный)09:30Настоящий (Афанасий)ТВ Центр06:05Заказ07:25Здоровый смысл07:50Дела житейские (1-я серия)08:40Дела житейские (2-я серия)09:30Дела житейские (3-я серия)Культура06:45Волк и семеро козлят на новый лад07:00Вот какой рассеянный07:15Птичий рынок07:30Порус (4-я серия)07:50Порус (5-я серия)СТСlive06:00Ералаш07:00Отель у овечек (7-я серия)07:15Отель у овечек (9-я серия)07:30Шоу "Уральских пельменей" (СмехBook)09:00Рогов в делеРЕН ТВlive05:00Самые шокирующие гипотезы07:00С бодрым утром!08:30Новости09:00Самая народная программа09:30Знаете ли вы что?ОТР06:00Близнецы07:20Диалоги без грима (Сцена. Актер. Жизнь)07:35От прав к возможностям07:50Большая страна08:45Цапля и журавльТНТlive05:45Куриный забег07:00Однажды в России (Спецдайджест)08:00Однажды в России (Спецдайджест)09:00Битва пикников (31-я серия)09:30Битва пикников (30-я серия)Dомашнийlive06:40Уроки жизни и вождения (1-я серия)07:33Уроки жизни и вождения (2-я серия)08:27Уроки жизни и вождения (3-я серия)09:21Уроки жизни и вождения (4-я серия)10:15Уют за 15 минут (10-я серия)Россия 2406:22Вести. Дежурная часть07:00Расследование Эдуарда Петрова08:06Мир на ладони. История день за днем08:24Специальный репортаж09:00НовостиЧеlive06:45Улетное видео (76-я серия)07:10Улетное видео (19-я серия)07:35Улетное видео (46-я серия)08:00Мастер меча10:00Утилизатор (8-я серия)ТВ-3live06:00Мультфильмы07:45Секреты здоровья (10-я серия)08:00Вкусно с Ляйсан (9-я серия)08:30Новый день (6-я серия)09:00Дороже денег (8-я серия)Пятница!live06:40Простоквашино (Матроскин в сахаре)06:50Чудо-Юдо08:20Гонка стартапов (2-я серия)09:00Тревел-баттл (Далат. Вьетнам)10:00Пробный переезд (Иркутск)Юlive06:45Маша и Медведь (Неуловимые мстители)06:55Маша и Медведь (До новых встреч)07:00Малышарики (Сладкоежки)07:05Малышарики (35-я серия)07:10Малышарики (Загадка)Звездаlive05:30Их знали только в лицо07:10Ожидание полковника Шалыгина09:00"Новости недели" с Юрием Подкопаевым09:25Служу России09:55Военная приемкаРБКlive06:45Суть дела06:55Главные новости07:05ЧЭЗ08:00Главные новости08:05ЧЭЗСуббота!06:30Маша и Медведь (Медовый день)06:55Машкины страшилки (Ледянящая кровь эпопея о радостном событии)07:00Маша и Медведь (День хороших манер)07:25Машкины страшилки (Чудовищные россказни о высоком и низком)07:30Маша и Медведь (Кто за старшего?)Карусель06:00Улетная доставка07:00С добрым утром малыши!07:30Вип Петс08:05Дракошия09:00Еда на ура!2x206:00Мультфильмы07:35Как устроена Вселенная (Загадка темной материи)08:35Новости 2Х208:40Спортсмемы (34-я серия)09:05Разрушители мифов (Голливудский хаос)СТС Lovelive06:40Три кота (Аттракционы)06:46Три кота (Ресторан)06:51Три кота (Прогулка с папой)06:57Три кота (Хоккей)07:03Три кота (Музыкальные инструменты)СОЛНЦЕlive05:00Маша и Медведь06:55Кругляши07:25Буба09:00Супер Пес и Турбо Кот10:45ЕгиптусПоказать ещёНайтиДругие каналыВсе539ИзбранныеОсновные41Центральные25Фильмы и Сериалы135Спортивные33Новостные31Местные16Образовательные26Музыкальные44Увлечения105Детские21HD58Для взрослых25Другое20&lt;div class=" js-module" data-module="SlotModel" data-view="SlotView.1331601" data-id="1331601"&gt;&lt;div class="margin_top_20 js-slot__content"&gt;&lt;/div&gt;&lt;/div&gt;&lt;div class=" js-module" data-module="SlotModel" data-view="SlotView.mimic.1327588" data-id="1327588"&gt;&lt;div class="margin_top_20 js-slot__content"&gt;&lt;/div&gt;&lt;/div&gt;Больше рекомендацийРекомендуем посмотретьРекомендуем посмотретьФильмыСериалы«Кино Mail.ru» предлагает вам ознакомиться с подробной программой телепередач на сегодня завтра и на неделю для всех популярных российских и международных телеканалов. ТВ-программа доступна как для центральных (Первый НТВ Россия 1 ТНТ СТС и многих других) так и для местных и тематических каналов — музыкальных спортивных новостных образовательных. Вы можете отфильтровать передачи по жанрам (фильмы сериалы спортивные передачи и т.д.) а также настроить список интересных лично вам телепрограмм. Кроме того вам доступна настройка напоминаний о начале любимых телепрограмм. Вы можете настроить уведомления по почте.Телепрограмма в других городах России: Санкт-Петербург Новосибирск Екатеринбург Нижний Новгород Казань Челябинск Омск Самара Ростов-на-Дону.Mail.RuО компанииРеклама ОтменитьРедакцияО технологиях рекомендацийУсловия использования материаловПомощь&lt;div class=" js-module" data-module="SlotModel" data-view="SlotView.674812" data-id="674812" data-brandsafety=""&gt;&lt;/div&gt;</t>
  </si>
  <si>
    <t>tv.mail.ru</t>
  </si>
  <si>
    <t>Телепрограмма на сегодня, программа передач на все ...</t>
  </si>
  <si>
    <t>Программа передач на сегодня и ближайшую неделю на все каналы эфирного, спутникового и цифрового телевидения.</t>
  </si>
  <si>
    <t>https://ntvplus.ru/tv/</t>
  </si>
  <si>
    <t>Спутниковое телевидение НТВ-ПЛЮС: купить цифровое HD ТВ ценыЧастным лицамКорпоративным клиентамПодключитьсяКонтактыОбслуживаниеЗапросить счетПартнерамУстановщикамСамозанятым партнерамПравообладателям телеканаловО компанииНовости компанииПресс-релизыНаши координатыКонтактыРабота в НТВ-ПЛЮСБанковские реквизитыИстория компанииИнформация для СМИЧастным лицамЧастным лицамКорпоративным клиентамПартнерамО компанииЧастным лицамВаш регион:МоскваКорпоративным клиентамПартнерамО компанииНТВ-ПЛЮС ЗападААдыгеяАрхангельская областьАстраханская областьББашкортостанБелгородская областьБрянская областьВВладимирская областьВолгоградская областьВологодская областьВоронежская областьДДагестанИИвановская областьИнгушетияККабардино-БалкарияКалининградская областьКалмыкияКалужская областьКарачаево-ЧеркесияКарелияКировская областьКомиКостромская областьКраснодарский крайКрымКурганская областьКурская областьЛЛенинградская областьЛипецкая областьММарий ЭлМордовияМоскваМосковская областьМурманская областьННенецкий АОНижегородская областьНовгородская областьООренбургская областьОрловская областьППензенская областьПермский крайПсковская областьРРостовская областьРязанская областьССамарская областьСанкт-ПетербургСаратовская областьСвердловская областьСевастопольСеверная ОсетияСмоленская областьСтавропольский крайТТамбовская областьТатарстанТверская областьТульская областьТюменская областьУУдмуртияУльяновская областьХХанты-Мансийский АОЧЧелябинская областьЧечняЧувашская РеспубликаЯЯмало-Ненецкий АОЯрославская областьНТВ-ПЛЮС Восток ААлтайАлтайский крайББурятияЗЗабайкальский крайИИркутская областьККемеровская областьКрасноярский крайННенецкий АОНовосибирская областьООмская областьТТомская областьТываТюменская областьХХакасияХанты-Мансийский АОЯЯмало-Ненецкий АОНТВ-ПЛЮС Дальний Восток ААмурская областьЕЕврейская АОККамчатский крайММагаданская областьППриморский крайССахалинская областьХХабаровский крайЧЧукотский автономный округЯЯкутияНичего не найдено. Попробуйте изменить условия поискаМосква8 495 755 67 89Россия8 800 555 67 89Москва8 495 755 67 89Россия8 800 555 67 89ОнлайнЕсть вопрос?Найти ответ                    Интернет                                        магазин                    Личный кабинетКупитьИнтернет-магазинТочки продажЗона охватаАкции и спецпредложенияБонусная программаКаналы и тарифыАктуальные пакеты и тарифыРассчитать стоимость подпискиОнлайн ТВ («Мультискрин»)Архивные пакетыТелепрограммаТрансляцииАбонентамЛичный кабинетЗарегистрировать договорПополнить счетПроверить балансИзменить подпискуОбещаный платежВыписка по счетуАкции и спецпредложенияБонусная программаБланки и документыЦентры продаж и обслуживанияОборудование и инструкцииГарантийное обслуживаниеВопросы и ответыКак настроить каналыГде заменить карту доступаСМС-УслугиРекомендации по устранению неисправностейВсе вопросы и ответыИнтернет-магазинСмотреть онлайнЛичный кабинетВойтиЗарегистрироватьсяWhatsapp+7 (916) 571 02 79Только в режиме чатаSkypentv-plus.comТольчо звонкиViber+7 (916) 571 02 79Только в режиме чатаTelegramntvplus_comТолько в режиме чатаАбонентамДобро пожаловать в новый удобный Личный кабинет. Проверить баланс и расходы за предыдущий месяц пополнить счет изменить подписку теперь стало очень легко.Перейти в личный кабинетПроверкабалансаОплатитькартойИзменитьподпискуОбещанныйплатёжЗарегистрировать новый договорОсторожномошенники!НАШИ ПРЕИМУЩЕСТВАВысокое качество изображенияКрасота в деталях: яркая цветопередача и четкость картинки без помех и пауз!НАШИ ПРЕИМУЩЕСТВАПополняйте счет любым подходящим вам способом!Оплачивайте услуги со счета мобильного телефона операторов МТС Мегафон и Теле2 без комиссииНАШИ ПРЕИМУЩЕСТВАУверенный сигнал по всей РоссииВ любом месте: и в загородном доме и в квартиреНаши телеканалыМы собрали для  вас сотни лучших каналов со всего мира! Убедитесь в этом сами!Все каналыВыберите пакетБазовый ОнлайнЭкономныйviju+Amedia Premium HDКино ПлюсСпорт ПлюсСуперспортПознавательныйДетскийРазвлекательныйМузыкальныйНочнойviju TVНастрой Кино!МАТЧ ПРЕМЬЕРВ гостях у сказкиLEOMAX24НТВ СтильНТВ ПравоТНТ HDПродвижениеРоссия 1 (+2)ДокторTravel+AdventureМультимузыкаИзвестияСуббота!ДикийНТВ‑ХИТУсадьба‑ТВВести ФММаякРадио РоссииМир БаскетболаДетско‑юношеский телеканал «Карусель» (+2)ШАЯН ТВПОБЕДАМосфильм. Золотая коллекцияDigital MediaМоторспорт ТВЗВЕЗДА ПлюсСТАРТRT DESTART AirBig PlanetWomen’s MagazineМультиландияТелеканал «Общественное телевидение России» HDCuriosityStreamMAGNATBOLTStar CinemaКино без границКИНЕКОПервый каналРоссия 1Телеканал «Матч ТВ»НТВПетербург — 5 каналРоссия КРоссия‑24Детско‑юношеский телеканал «Карусель»Телеканал «Общественное телевидение России»ТВ ЦЕНТР — МоскваРЕН ТВСПАССТСДомашнийТВ‑3ПятницаЗвездаМирТНТМУЗПервый канал HDРоссия 1 HDТелеканал «Матч ТВ» (HD)Телекомпания НТВ HDЧе!Первый канал (+2)НТВ (+2)Пятый канал (+2)ТВ ЦЕНТР — Москва (+2)РЕН ТВ (+2)Звезда (+2)ТНТ (+2)КИНОМИКСРОДНОЕ КИНОМир сериала HDA2Hollywood.blackKHLKHL Prime HDКонный мир (HD)БОКС ТВМАТЧ! СТРАНАМАТЧ! СТРАНА HDТелеканал 360Армения ТВСанкт‑ПетербургТНВ‑ПланетаБелРосГрозныйRT (английский)МИР 24Москва 24РБК‑ТВСОЛНЦЕTERRAМоя стихияRTG HDАВТО 24viju NatureОхота и рыбалка365 дней ТВHDLАвто ПлюсМАТЧ! АРЕНАМАТЧ! АРЕНА  (HD)МАТЧ! ИГРАМАТЧ! ИГРА (HD)МАТЧ! БОЕЦ HDМАТЧ! БОЕЦДОМ КИНОКИНОКОМЕДИЯИНДИЙСКОЕ КИНОКИНОСЕРИЯHollywood HDA1САПФИРНАШЕ НОВОЕ КИНО2Х2BRIDGE8 каналFashion TV  NetworkWORLD FASHION CHANNELShopping LiveБОБЁРВремя: далекое и близкоеЖИВИ!КухняМамаМосква ДовериеСТС LoveТНТ4НостальгияЮвелирочкаЮRU.TVДетское радиоRelax FMЮмор FMРадио для двоихРомантикаАвторадиоРадио ВаняENERGYDFMРусское РадиоHIT FMMaximumBusiness FMМилицейская волнаComedy RadioКомсомольская правдаЕвропа Плюс ТВЛя‑минор ТВAniРадость мояРусский романBollywood HDКВН ТВЛюбимое Кино HDКИНОТВShop&amp;ShowРадио МИРLove RadioТНТ MUSICLEOMAX24Россия 1 (+2)ТНТ HDИзвестияДетско‑юношеский телеканал «Карусель» (+2)ПродвижениеСуббота!ШАЯН ТВDigital MediaRT DEТелеканал «Общественное телевидение России» HDMAGNATПервый каналРоссия 1Телеканал «Матч ТВ»НТВПетербург — 5 каналРоссия КРоссия‑24Детско‑юношеский телеканал «Карусель»Телеканал «Общественное телевидение России»ТВ ЦЕНТР — МоскваРЕН ТВСПАССТСДомашнийТВ‑3ПятницаЗвездаМирТНТМУЗПервый канал HDТелекомпания НТВ HDЧе!Первый канал (+2)НТВ (+2)Пятый канал (+2)ТВ ЦЕНТР — Москва (+2)РЕН ТВ (+2)Звезда (+2)ТНТ (+2)КИНОМИКСМир сериала HD.blackТелеканал 360Армения ТВСанкт‑ПетербургТНВ‑ПланетаБелРосГрозныйRT (английский)Москва 24СОЛНЦЕ2Х2BRIDGE8 каналWORLD FASHION CHANNELShopping LiveБОБЁРЖИВИ!КухняМамаМосква ДовериеНостальгияЮвелирочкаЮRU.TVЕвропа Плюс ТВAniРадость мояShop&amp;ShowТНТ MUSICviju+ Sportviju+ Comedyviju+ Megahitviju+ Premiereviju+ PlanetAmedia Premium HDAmedia PremiumAmedia HitНТВ СериалИндияDoramaТелеканал FANКИНОУЖАСFlixSnipРусский детективKINOLIVINGSTART WorldStar FamilyСАПФИР HDРусский ИллюзионМУЖСКОЕ КИНО.redИллюзион+.sci‑fiКИНЕКО HDЕвроКиноAmedia HitРусский бестселлерКомедияНастоящее страшное телевидение (НСТВ)Дом Кино Премиум HDТочка отрываMMA‑TV.comTrace Sport StarsСТАРТ ТРИУМФМАТЧ! Футбол 1МАТЧ! Футбол 1 (HD)МАТЧ! Футбол 2МАТЧ! Футбол 2 (HD)МАТЧ! Футбол 3МАТЧ! Футбол 3 (HD)Extreme SportsТочка отрываMMA‑TV.comTrace Sport StarsСТАРТ ТРИУМФМАТЧ ПРЕМЬЕРМАТЧ! Футбол 1МАТЧ! Футбол 1 (HD)МАТЧ! Футбол 2МАТЧ! Футбол 2 (HD)МАТЧ! Футбол 3МАТЧ! Футбол 3 (HD)МАТЧ ПРЕМЬЕР HDExtreme SportsТайны ГалактикиTERRA HDМоя ПланетаНаукаИсторияКТО ЕСТЬ КТОДомашние животныеО!DucktvСуперГероиДетский мир HDСТС Kids HDBABY TIMEKids TVЛёваВ гостях у сказки HDTiJiGulli GirlМультУникумПОЕХАЛИ!Диалоги о рыбалкеТанцуй!Центральное телевидениеThe ExplorersМоя стихия HDЖАРАТелекафеСарафанSHOT TVE TVBRIDGE ROCKClassic MusicBRIDGE CLASSICMCM TopMezzoMezzo LiveBRIDGE Русский ХитМузыка ПервогоBRIDGE  DELUXEBarely legalО‑ля‑ляRed lipsBrazzersРусская ночьPlayboy TVBlue Hustlerviju TV1000viju TV1000 actionviju TV1000 русскоеviju Historyviju ExploreDa VinciКИНОСЕМЬЯКИНОХИТКИНОСВИДАНИЕКИНОПРЕМЬЕРА HDМАТЧ ПРЕМЬЕРМАТЧ ПРЕМЬЕР HDНТВ-ПЛЮС ТВ Смотри онлайнНовый способ смотреть ваши любимые передачи фильмы сериалы и спортивные трансляции в любом месте и в удобное время! Вам не нужна спутниковая тарелка или ресивер - только интернет. Более 150 лучших каналов всегда с вами!ПодключитьсяКиноНе знаете какое кино посмотреть сегодня вечером? Воспользуйтесь новой удобной телепрограммой где представлены описания каждого фильма и оценки от популярных сервисов КиноПоиск и IMDB.Все фильмыСмотрите сейчас07:50ПОБЕДАВремя первых07:55Дом Кино Премиум HDНапарник08:25УникумЛовушка для привидения08:35viju TV1000 actionВолна09:25КИНОМИКСРэмбо III09:50HollywoodЛегенда10:15.sci‑fiРазлом времени10:15КИНОСЕМЬЯДивергент глава 3: За стеной11:15Иллюзион+Вечность между намиЛучшие спортивные событияВесь спортНаши новостиОставайтесь в курсе наших новостей и специальных предложений.Все новостиПоследние новостиВСТРЕЧАЙТЕ НОВЫЙ КАНАЛ!На спутниковой платформе НТВ ПЛЮС начал вещание телеканал «BRIDGE CLASSIC».9 ноября ВСТРЕЧАЙТЕ НОВЫЕ КАНАЛЫНа спутниковой платформе НТВ ПЛЮС начали вещание телеканалы «В гостях у сказки» и «Моя стихия» в HD‑формате.7 ноября Изменения в бонусной программеC 1 декабря 2023 года бонусные баллы будут активны в течение 12 месяцев23 октября На цифровой платформе НТВ‑ПЛЮС лучшие фильмы киностудии «Ленфильм»Теперь абоненты онлайн‑телевидения НТВ‑ПЛЮС могут смотреть лучшие фильмы киностудии «Ленфильм»19 октября Плановые профилактические работы18 октября 2023 года с 02:00 до 10:00 по московскому времени на телеканалах НТВ ПЛЮС будут проводиться плановые профилактические работы.13 октября ОБНОВЛЕНИЕ АБОНЕНТСКОГО ДОГОВОРА28 сентября 2023 года вступят в силу изменения в Абонентском договоре.18 сентября Изменения в пакетировании1 сентября 2023 года произойдут изменения в пакетировании на спутниковой платформе НТВ‑ПЛЮС.1 сентября ВСТРЕЧАЙТЕ START! ВСТРЕЧАЙТЕ АКЦИЮ!В сервисе НТВ‑ПЛЮС ТВ теперь доступен кинотеатр популярных фильмов и сериалов START. Акция:  смотрите START первые 30 дней за 0 рублей!16 августа Изменение вещания каналовС 14 августа 2023 года изменятся параметры вещания каналов: «Уникум» «Че» Classic Music.14 августа КАНАЛ START WORLD1 августа 2023 года произойдут изменения в пакетировании на платформе НТВ‑ПЛЮС.28 июля ООО «НТВ‑ПЛЮС» © 2023Все права сохранены.Использование материалов сайта без согласования запрещено.Юридический адрес: 117587 г. Москва Варшавское шоссе д. 125 строение 1 секция 10. ОГРН 1177746005667КупитьИнтернет-магазинТочки продажЗона охватаАкции и спецпредложенияБонусная программаДоставка и оплатаОферта интернет-магазинаСогласие на обработку персональных данныхКаналы и тарифыАктуальные пакеты и тарифыРассчитать стоимость подпискиОнлайн ТВ («Мультискрин»)Архивные пакетыАбонентамЗарегистрировать договорПополнить счетПроверить балансИзменить подпискуОбещаный платежВыписка по счетуАкции и спецпредложенияБонусная программаБланки и документыЦентры продаж и обслуживанияОборудование и инструкцииГарантийное обслуживаниеВопросы и ответыКак настроить каналыГде заменить карту доступаСМС-УслугиРекомендации по устранению неисправностейВсе вопросы и ответыСвязаться с нами:Время работы службы поддержки с 9:00 до 21:00 ежедневноМосква8 495 755 67 89Россия8 800 555 67 89Россия8 800 555 67 89ОнлайнМы в социальных сетяхУзнавай новости первымПриложение НТВ-ПЛЮС ТВЛюбимые каналы всегда с тобойПриложение личный кабинетУправляй услугами с телефонаЗакрыть Приложение для IOS                         К сожалению по независящим от нас причинам приложение для iOS было удалено из Apple Store поэтому установить его на iOS-устройства больше не получится. Но вы можете управлять услугами на сайте service.ntvplus.ru или скачать приложение для Android.Закрыть Приложение для IOS                         К сожалению по независящим от нас причинам приложение для iOS было удалено из Apple Store поэтому установить его на iOS-устройства больше не получится. Но вы можете смотреть видео на сайте ntvplus.tv или в приложениях для Android и Smart TV используя единый пользовательский аккаунт.					Я являюсь абонентом НТВ-Плюс					Перейти в личный кабинет					Стать абонентом НТВ-Плюс					Перейти к оформлению</t>
  </si>
  <si>
    <t>ntvplus.ru</t>
  </si>
  <si>
    <t>Программа передач на сегодня и неделю</t>
  </si>
  <si>
    <t>Свежая программа передач на сегодня и неделю. Первый, Россия, ТНТ, СТС и другие телеканалы. Изучай и смотри тв онлайн!</t>
  </si>
  <si>
    <t>https://federal.tv/program</t>
  </si>
  <si>
    <t>ТВ онлайн – Смотреть бесплатно прямой эфир – ФЕДЕРАЛ.ТВ!        Смотри ТВ в приложенииСкачатьТВ ОНЛАЙНПрограмма передачТВ онлайн - Смотреть прямой эфир бесплатноСмотрите прямой эфир бесплатноФЕДЕРАЛ.ТВ - ТВ онлайнТНТКуриный забегОсталось 38 минут05:4507:00Первый каналПодкаст.Лаб. Лёгкие деньгиОсталось 33 минуты06:1006:55СТСЕралашОсталось 38 минут06:0007:00Матч!Смешанные единоборства. UFC. Иржи Прохазка против Алекса Перейры. Сергей Павлович против Тома Аспинэлла. Трансляция из СШАОсталось 2 часа 38 минут06:0009:00НТВУлицы разбитых фонарей. Щелкунчик и Маугли. Сезон 13. Серия 34Осталось 13 минут05:4206:35РЕН-ТВСамые шокирующие гипотезыОсталось 38 минут05:0007:00Пятый каналПрокурорская проверка. Моя ужасная школа. Сезон 1. Серия 244Осталось 33 минуты06:0506:55ТВ3МультфильмыОсталось 1 час 23 минуты06:0007:45Муз-ТВКараокингОсталось 38 минут05:0007:00Пятница!Простоквашино. Кусь. Сезон 4. Серия 2Осталось 3 минуты06:2006:25Суббота (бывш. Супер)Машины сказки. Снегурочка. Сезон 1. Серия 9Осталось 8 минут06:2006:30ТНТ4Comedy Классика. Сезон 10. Серия 14Осталось 18 минут06:0006:40ЧеУлётное видео. Сезон 2019. Серия 68Осталось 23 минуты06:2006:452x2МультфильмыОсталось 1 час 13 минут06:0007:35ДомашнийЭффект Матроны. История Нины Зуевой. Сезон 1. Серия 21Осталось 8 минут05:4306:30СТС LOVEТри кота. Маленькие гонки. Сезон 2. Серия 13Осталось 1 минута06:1706:23ИзвестияНовостиОсталось 7 минут06:1606:29МирМультфильмыОсталось 13 минут05:0006:35СпасВоскрешение святой обителиОсталось 28 минут06:1506:50КарусельУлётная доставкаОсталось 38 минут06:0007:00СолнцеМаша и МедведьОсталось 33 минуты05:0006:55Советские мультфильмыЗолушкаОсталось 56 минут05:5907:18ОТРБлизнецыОсталось 58 минут06:0007:20ЗвездаИх знали только в лицоОсталось 48 минут05:3007:10ТВ ЦентрЗаказОсталось 1 час 3 минуты06:0507:25ЮМаша и Медведь. Крик победы. Сезон 2. Серия 21Осталось 3 минуты06:1506:25Советское киноНаш бронепоездОсталось 8 минут03:4306:30Классика КиноНовые похождения ШвейкаОсталось 1 час 3 минуты06:1407:25КиноСезонХранитель времениОсталось 1 час 4 минуты05:5407:26Москва 24The city. Едим. Твист на ФранциюОсталось 17 часов 38 минут05:3500:00360ИнтервьюОсталось 8 минут06:0006:30Bridge TV русский хитЛучшие ПесниОсталось 2 часа 38 минут06:0009:00Bridge TV HitsГорячие хиты!Осталось 4 часа 38 минут06:0011:00Bridge TVMusic HitsОсталось 38 минут01:0007:00Bridge TV ClassicЗолотая коллекция клиповОсталось 1 час 38 минут06:0008:00ТНТ MusicПлей-листОсталось 1 час 38 минут06:1008:00Смотрите онлайн ТВ в прямом эфире бесплатно    На сайте Федерал.тв вы можете легально смотреть любимые  онлайн ТВ в прямом эфире без регистрации и совершенно бесплатно!О сайтеКонтактыВакансииПолитика конфиденциальностиПользовательское соглашение</t>
  </si>
  <si>
    <t>federal.tv</t>
  </si>
  <si>
    <t>Программа передач в Новосибирске: на сегодня, на ...</t>
  </si>
  <si>
    <t>https://tv.starhit.ru/novosibirsk</t>
  </si>
  <si>
    <t xml:space="preserve">Программа передач в Москве: на сегодня на завтра на неделю - тв-программа StarHitВаш браузер устарел поэтому сайт может отображаться некорректно. Обновите ваш браузер для повышения      уровня безопасности скорости и комфорта использования этого сайта.              Обновить браузер      ТелепрограммаНовости звездТелепрограммаНовости звездПоискТелепрограмма на сегодня - МоскваСейчасСегодняПн 13Вт 14Ср 15Чт 16Пт 17Сб 18СериалыНовостиФильмыСпортДругоеДетям Loading... Первый05:10ПОДКАСТ.ЛАБ 16+06:00Новости 06:10ПОДКАСТ.ЛАБ 16+06:55Играй гармонь любимая! 12+07:40Часовой 12+08:10Здоровье 16+09:20"Мечталлион". Национальная Лотерея 12+09:40"Непутевые заметки" с Дмитрием Крыловым 12+10:00Новости (с субтитрами) 10:15Премьера. "Жизнь своих" 12+11:05Премьера. "Повара на колесах" 12+12:00Новости (с субтитрами) 12:15Видели видео? 0+13:45Старший сын 12+16:25"Горячий лед". Фигурное катание. Гран-при России-2023. Произвольная п... 18:00Вечерние новости (с субтитрами) 19:00Премьера. "Перепой звезду" 12+21:00Время 23:00Жанна 16+00:50ПОДКАСТ.ЛАБ 16+01:35ПОДКАСТ.ЛАБ 16+02:20ПОДКАСТ.ЛАБ 16+03:10ПОДКАСТ.ЛАБ 16+04:00ПОДКАСТ.ЛАБ 16+04:57Перерыв в вещании Вся программа Россия 106:09Перерыв в вещании 06:10Алла в поисках Аллы 12+08:00Местное время. Воскресенье 08:35Когда все дома с Тимуром Кизяковым 09:25Утренняя почта с Николаем Басковым 10:10Сто к одному 11:00Вести 12:00Большие перемены 13:00Хрустальное счастье 12+17:00Вести 17:50Песни от всей души 12+20:00Вести недели 22:00Москва. Кремль. Путин 22:40Воскресный вечер с Владимиром Соловьёвым 12+01:30Алла в поисках Аллы 12+03:13Перерыв в вещании Вся программа МАТЧ!06:00Смешанные единоборства. UFC. Прямая трансляция из США 09:00Новости 09:05Все на Матч! 10:00Лига героев 12+11:05Один вдох 12+13:15Все на Матч! 13:50Новости 13:55Волейбол на снегу. Чемпионат России. Финал. Прямая трансляция из Ново... 16:00Все на Матч! 16:25Баскетбол. Единая лига ВТБ. Прямая трансляция 18:30Все на Матч! 19:00Футбол. МИР Российская Премьер-Лига. Прямая трансляция 21:30"После футбола" с Георгием Черданцевым 22:40Футбол. Чемпионат Италии. Прямая трансляция 00:45Футбол. Чемпионат Бразилии. Прямая трансляция 02:30Смешанные единоборства. UFC. Трансляция из США 16+04:00Новости 0+04:05Футбол. Чемпионат Германии 6+Вся программа НТВ05:40Улицы разбитых фонарей-13 16+06:35Центральное телевидение 16+08:00Сегодня 08:20У нас выигрывают! 12+10:00Сегодня 10:20Первая передача 16+11:00Чудо техники 12+11:55Дачный ответ 0+13:00НашПотребНадзор 16+14:05Однажды... 16+15:00Своя игра 0+16:00Сегодня 16:20Человек в праве с Андреем Куницыным 16+17:00Следствие вели... 16+19:00"Итоги недели" с Ирадой Зейналовой 20:20Оригинальное музыкальное "Шоу Аватар" 12+23:20Звезды сошлись 16+00:55Квартирник НТВ у Маргулиса 16+02:50Свет и тень маяка 16+03:25Свет и тень маяка 16+04:00Свет и тень маяка 16+04:49Перерыв в вещании 04:50Улицы разбитых фонарей-13 16+Вся программа Пятый канал05:00Маша и Медведь 0+05:10Прокурорская проверка 16+06:05Прокурорская проверка 16+06:55Настоящий 16+07:45Настоящий 16+08:40Настоящий 16+09:30Настоящий 16+10:25Настоящий 16+11:20Настоящий 16+12:15Настоящий 16+13:10Настоящий 16+14:10Настоящий 16+15:05Настоящий 16+15:55Настоящий 16+16:45Настоящий 16+17:40Наш спецназ 12+18:40Наш спецназ 12+19:35Наш спецназ 12+20:25Наш спецназ 12+21:20Наш спецназ 12+22:15Наш спецназ 12+23:10Филин 16+00:05Филин 16+00:55Тихая охота 16+01:45Тихая охота 16+02:30Тихая охота 16+03:15Тихая охота 16+03:55Поселенцы 16+04:40Поселенцы 16+Вся программа Домашний06:30Эффект Матроны 16+06:40Уроки жизни и вождения 16+10:15Уют за 15 минут 16+10:30Невозможное прощение 16+14:45Ты в моём сердце 16+19:00Яркое пламя 16+22:45Твой Dомашний доктор 16+23:00Семейный портрет 16+02:25Эффект Матроны 16+ТНТ05:30Импровизация 16+05:45Куриный забег 6+07:00Однажды в России. Спецдайджесты 2023 16+08:00Однажды в России. Спецдайджесты 2023 16+09:00Битва пикников 16+09:30Битва пикников 16+10:00Экстрасенсы. Битва сильнейших 16+10:30Экстрасенсы. Битва сильнейших 16+11:00Экстрасенсы. Битва сильнейших 16+13:30Экстрасенсы. Битва сильнейших 16+16:00Экстрасенсы. Битва сильнейших 16+18:30Новые Звёзды в Африке 16+21:00Лига городов 16+23:00Шоу Воли 16+00:10Ярче Звёзд 16+01:40Я тебе не верю 16+02:30Я тебе не верю 16+03:15Импровизация. Команды. Дайджест 16+04:00Импровизация. Команды. Дайджест 16+04:50"Студия "Союз" 16+Вся программа МИР05:00Мультфильмы 6+06:35Время возможностей 12+07:00Сказ про то как царь Пётр арапа женил 16+09:00Рождённые в СССР 16+09:30ФазендаЛайф 6+10:00Новости 10:10Вий 16+11:40Легенды о Круге 16+15:20Любопытная Варвара-3 16+16:00Новости 16:15Любопытная Варвара-3 16+18:30Вместе 16+19:30Любопытная Варвара-3 16+00:00Вместе 16+01:00Сказ про то как царь Пётр арапа женил 16+02:40Закон жизни 16+04:20Мультфильмы 6+Вся программа СТС05:056 кадров 16+05:10Мультфильмы 0+05:50Ералаш 16+06:00Ералаш 0+07:00"Отель "У овечек" 0+07:30Уральские пельмени 16+09:00Рогов в деле 16+10:00Уральские пельмени 16+10:30Уральские умельцы 16+10:55Уральские пельмени 16+11:20Мама будет против 16+14:00Ледниковый период 0+15:35Ледниковый период-2. Глобальное потепление 0+17:20Ледниковый период-3. Эра динозавров 0+19:15Ледниковый период-4. Континентальный дрейф 0+21:00Титаник 16+01:00Шеф Адам Джонс 18+02:45Сеня-Федя 16+Вся программа ТВ Центр05:20Назад в СССР 16+06:05Заказ 16+07:25Здоровый смысл 16+07:50Дела житейские-4 12+08:40Дела житейские-4 12+09:30Дела житейские-4 12+10:20Дела житейские-4 12+11:30События 6+11:45Золотая мина 0+13:05Золотая мина 0+14:30Московская неделя 12+15:00Дорогие товарищи. Зять генсека 16+15:55Русские тайны. В постели со шпионом 16+16:40Найденыш 16+17:35Найденыш 16+18:50Шахматная королева 16+19:40Шахматная королева 16+20:40Шахматная королева 16+21:35Шахматная королева 16+22:40Миллионерша 12+23:25Миллионерша 12+00:25События 6+00:40Миллионерша 12+01:25Миллионерша 12+02:20Петровка 38. Специальный субботний выпуск 16+02:30Из Сибири с любовью! 12+03:10Из Сибири с любовью! 12+03:50Из Сибири с любовью! 12+04:30Из Сибири с любовью! 12+Вся программа Общественное телевидение России06:00Близнецы 12+07:20Диалоги без грима 12+07:35От прав к возможностям 12+07:50Большая страна 12+08:45Цапля и журавль 0+09:00Всё по-взрослому 09:45Календарь 12+10:10На приёме у главного врача с Марьяной Лысенко 12+11:05Моя история 12+11:50Новости 11:55Кино на все времена 12+12:50Золотая коллекция неигрового кино. Россия XX век 16+13:00Взгляните на лицо 12+13:15Специальный проект ОТР "Конструкторы будущего" 12+13:30Большая страна 12+14:30Календарь 12+15:00Новости 15:05Северный морской путь 12+15:35Гала-концерт фестиваля "Во имя жизни" посвященного творчеству Алекса... 12+16:30Свет и тени 16+17:00Наукограды 12+17:25Выстрел в спину 12+19:00Новости 19:05Клуб главных редакторов с Павлом Гусевым 12+19:45Ночь длиною в жизнь 16+21:20Такси-блюз 16+23:05Гунда 6+00:35Отцы и деды 12+01:55Франц 16+03:45Ты да я да мы с тобой 16+04:15Барышня-крестьянка 12+Вся программа Культура06:30Мультфильмы 07:30Порус 07:50Порус 08:10Порус 08:30Порус 08:50Порус 09:10Порус 09:30Диалоги о животных 10:15Усадьба Марфино. Советский Голливуд 10:55Легенды мирового кино 11:20Прощальные гастроли 12:30Неизвестные маршруты России 13:10Невский ковчег. Теория невозможного 13:40"Игра в бисер" с Игорем Волгиным 14:25Коллекция 14:55Чудо в Милане 16:30Картина мира с Михаилом Ковальчуком 17:10Первые в мире 17:30Линия жизни 18:20Динара Алиева. Романсы Н. Римского-Корсакова П. Чайковского и С. Рах... 19:30Новости культуры 19:45Новости культуры с Владиславом Флярковским 20:25Кин-дза-дза! 22:35Фильм-балет "Двенадцатая ночь или Что угодно" 23:55Прощальные гастроли 01:05Диалоги о животных 01:45Искатели 02:30"Ограбление по...2". "Великолепный Гоша" 03:00Перерыв в вещании Вся программа ТВ-305:15Мультфильмы 0+06:00Мультфильмы 0+07:45Секреты здоровья 16+08:00Вкусно с Ляйсан 16+08:30Новый день 12+09:00Дороже денег 16+10:00Хорошие новости с Василисой Володиной 16+10:30Последний герой 16+11:45Лесник 16+12:45Лесник 16+13:45Лесник 16+14:45Лесник 16+15:45Лесник 16+16:45Лесник 16+17:45Лесник 16+18:45Лесник 16+20:00Лесник 16+21:00Лесник 16+22:00Лесник 16+23:00Лесник 16+00:00"Координаты "Цитадель" 16+01:30Преследование 18+03:00Места Силы 16+03:30Места Силы 16+04:15Места Силы 16+Вся программа РЕН ТВ05:00Самые шокирующие гипотезы 16+07:00С бодрым утром! 16+08:30Новости 16+09:00Самая народная программа 16+09:30Знаете ли вы что? 16+10:30Наука и техника 16+11:30Неизвестная история 16+12:30Новости 16+13:00Поцелуй дракона 16+14:55Бесстрашный 16+17:00Сердце из стали 16+19:05Апгрейд 16+21:00Охотник на монстров 16+23:00Итоговая программа с Петром Марченко 16+23:55Самые шокирующие гипотезы 16+Вся программа Звезда05:30Их знали только в лицо 12+07:10Ожидание полковника Шалыгина 12+09:00"Новости недели" с Юрием Подкопаевым 16+09:25Служу России 12+09:55Военная приемка 12+10:40"Скрытые угрозы" с Николаем Чиндяйкиным 16+11:30Код доступа 12+12:20"Легенды армии" с Александром Маршалом 12+13:10Специальный репортаж 16+13:50Неслужебное задание 16+16:05Взрыв на рассвете 16+18:00"Главное" с Ольгой Беловой 16+19:45Легенды советского сыска 16+23:00Фетисов 12+23:50Люди Донбасса 16+00:10Сержант милиции 12+03:50Неслужебное задание 16+Вся программа Спас ТВ05:00Евангелие вслух 0+06:15Воскрешение святой обители 0+06:50В поисках Бога 6+07:20Профессор Осипов 0+07:55Святыни России 6+09:00Простые чудеса 12+10:00Божественная литургия 0+12:45Завет 6+13:50Русский мир 12+15:00Девочка ищет отца 0+16:55Двенадцать 16+17:25Щипков 12+18:00"Главное" с Анной Шафран 16+20:05Перед рассветом 16+21:50Биология предательства 12+23:00Бесогон 18+00:10Спас-стрим 16+01:30День Патриарха 0+01:45"Главное" с Анной Шафран 16+03:30"Следы империи" с Аркадием Мамонтовым" 12+Вся программа Пятница05:00Пятница News 16+05:25Тайны Медовой долины 12+05:30Тайны Медовой долины 12+05:35Тайны Медовой долины 12+05:45Простоквашино 12+05:50Простоквашино 12+06:00Пятница News 16+06:20Простоквашино 0+06:25Простоквашино 0+06:35Простоквашино 0+06:40Простоквашино 0+06:50Чудо-Юдо 6+08:20Гонка стартапов 16+09:00Тревел-баттл 16+10:00Пробный переезд 16+11:00Погнали! 16+13:00Битва шефов 16+15:00Битва шефов 16+17:20Битва шефов 16+19:30Битва шефов 16+21:50Адский шеф 16+00:30Во имя короля: История осады подземелья 16+02:30Черный список 16+03:30Черный список 16+04:20Пятница News 16+04:50Тревел-баттл 16+Вся программа Карусель05:00Ранние пташки 0+07:00С добрым утром малыши! 0+07:30Вип Петс 6+08:05Дракошия 0+09:00Еда на ура! 0+09:25Петроникс 0+10:00Барбоскины 0+11:00Студия красоты 0+11:20Царевны 0+13:05Мир Винкс 6+14:00"Час "Союзмультфильма" 6+15:00Фиксики. Дай пять! 0+17:00Лунтик 0+18:40Кошечки-собачки 0+20:30Спокойной ночи малыши! 0+20:45Отель у овечек 0+22:30Герои Гуджитсу 6+22:40Флип Чейнджер 6+23:15Фьюжн Макс 6+23:40Ералаш 6+00:30Буба 6+01:30Гризли и лемминги 6+02:30Давайте рисовать! 0+02:55Деревяшки 0+03:20Лабораториум 0+03:50Енотки 0+04:10Зелёный проект 0+04:30Ник-изобретатель 0+Вся программа Ю05:00Маша и Медведь 0+07:00Малышарики 0+08:00Маша и Медведь 0+10:00Голодным не смотреть 16+11:00Беременна в 16 16+14:45Жизнь после шоу.Б16 16+15:50Чадо из ада 12+22:00Дом-2. Новая жизнь 16+00:00Невеста с того света 16+01:55Измены 16+03:35Супермама 16+Вся программа 2x205:05Бессмертное кино 16+05:25Живой среди чужих 16+05:35Бурдашев 16+06:00Русские мультфильмы 12+07:35Как устроена Вселенная 16+08:35Новости 2х2 16+08:40Спортсмемы 2х2 16+09:05Разрушители мифов 16+09:55Сделано в Японии. Нереалити шоу 16+10:25Стрим 16+10:55Стрим 16+11:20Стрим 16+11:55Стрим 16+12:20Стрим 16+12:50StopGame ТВ 16+13:50Слабейший монстр 16+14:15Слабейший монстр 16+14:40Слабейший монстр 16+15:15Слабейший монстр 16+15:40Новости 2х2 16+15:45Слабейший монстр 16+16:05Топлес ТВ 16+17:10Семейный полюс 16+17:35Семейный полюс 16+18:10Санджей и Крейг 12+18:35Новости 2х2 16+18:40Короли контента 16+19:05Инспектор 2х2 16+19:25Эпик файлы 16+19:35Курс выживания с Беаром Гриллсом 16+20:30Симпсоны 16+21:00Симпсоны 16+21:25Новости 2х2 16+21:30Топлес ТВ 16+22:00Губка Боб Квадратные Штаны 16+22:30Губка Боб Квадратные Штаны 16+23:00Новости 2х2 16+23:05Паразит: Учение о жизни 18+23:35Чёрная пятница 18+01:20ДП 16+01:45Эон Флакс 16+02:05Игра на выживание 18+02:50Южный парк 18+03:10Джефф и инопланетяне 18+03:35Атака титанов 16+03:55Атака титанов 16+04:20Как устроена Вселенная 16+Вся программа СОЛНЦЕ05:00Маша и Медведь 0+06:55Кругляши 0+07:25Буба 0+09:00Супер Пёс и Турбо Кот 6+10:45Египтус 6+12:00Простоквашино 0+14:40Союзмультфильм 6+16:40Манюня 6+18:25Родители. Так и живем 12+22:00Няньки 16+23:40Дублер 16+01:10Ералаш 6+Вся программа Суббота!05:00Маша и Медведь 0+05:50Машины сказки 0+06:00Маша и Медведь 0+06:20Машины сказки 0+06:30Маша и Медведь 0+06:55Машкины страшилки 0+07:00Маша и Медведь 0+07:25Машкины страшилки 0+07:30Маша и Медведь 0+07:45Машины сказки 0+07:50Маша и Медведь 0+08:20Машкины страшилки 0+08:25Машины сказки 0+08:40Маша и Медведь 0+09:00Машины сказки 0+09:10Маша и Медведь 0+09:40Машкины страшилки 0+09:50Маша и Медведь 0+10:30Машины сказки 0+10:40Маша и Медведь 0+10:55Машкины страшилки 0+11:00Маша и Медведь 0+11:30Маша и Медведь 0+11:55Машкины страшилки 0+12:10Маша и Медведь 0+12:30Машины сказки 0+12:40Маша и Медведь 0+13:00Машкины страшилки 0+13:10Маша и Медведь 0+13:35Машины сказки 0+13:40Маша и Медведь 0+14:05Машкины страшилки 0+14:10Маша и Медведь 0+14:35Машины сказки 0+14:50Маша и Медведь 0+15:10Машкины страшилки 0+15:20Маша и Медведь 0+15:40Машины сказки 0+15:50Маша и Медведь 0+16:15Машкины страшилки 0+16:20Маша и Медведь 0+17:30Ми-ми-мишки 0+17:40Ми-ми-мишки 0+17:45Ми-ми-мишки 0+17:55Ми-ми-мишки 0+18:00Ми-ми-мишки 0+18:05Ми-ми-мишки 0+18:15Ми-ми-мишки 0+18:20Ми-ми-мишки 0+18:30Ми-ми-мишки 0+18:35Ми-ми-мишки 0+18:45Ми-ми-мишки 0+18:50Ми-ми-мишки 0+19:00Ми-ми-мишки 0+19:10Теперь я Босс! 16+20:20Теперь я Босс. Под прикрытием 16+21:30Богиня 16+22:20Богиня 16+23:30Гонка стартапов 16+00:10Богиня шопинга 16+01:00Моя жена рулит 16+02:10Как назвать эту любовь 16+02:30Принцесса и дракон 6+03:40Маша и Медведь 0+04:45Машкины страшилки 0+04:50Машкины страшилки 0+Вся программа Россия 2405:04Горизонты атома 05:22Опасная связь 06:00Новости 06:22Вести. Дежурная часть 07:00Новости 07:08Расследование Эдуарда Петрова 08:00Новости 08:14Мир на ладони. История день за днем 08:32Формула власти 09:07Интервью 09:27Специальный репортаж 10:05Стопфейк 10:27Новости 11:22Вести. Дежурная часть 12:09Взгляд из Петербурга с Владимиром Бортко 12:37Специальный репортаж 13:00Новости 13:10Парламентский час 14:01Дворцовый переворот. Как Франция теряла свое влияние в Африке? 15:27Новости 16:24Молодое вино 17:00Новости 17:23За лентой. 87-я неделя СВО 18:00Новости 18:31Деловое путешествие 20:00Новости 20:17Специальный репортаж 20:44Городские технологии 21:00Новости 21:32Деловое путешествие 22:00Новости 22:17Взгляд из Петербурга с Владимиром Бортко 22:45Городские технологии 23:00Вести недели 01:00Новости 01:36Москва. Кремль. Путин 02:36Вечер с Владимиром Соловьёвым Вся программа Че!06:00Улётное видео. Самое смешное 16+06:20Улётное видео 16+08:00Мастер меча 16+10:00Утилизатор 16+10:30Солдаты-15 16+20:40+100500 16+23:00+100500 18+23:30+100500 18+03:00"Утилизатор" с Настей Туман 16+03:45Утилизатор 16+АбаканАнадырьАрхангельскАстраханьБарнаулБелгородБиробиджанБлаговещенскБрянскВеликий НовгородВладивостокВладикавказВладимирВолгоградВолжскийВологдаВоронежГорно-АлтайскГрозныйЕкатеринбургИвановоИжевскИркутскЙошкар-ОлаКазаньКалининградКалугаКемеровоКировКомсомольск-на-АмуреКостромаКраснодарКрасноярскКурганКурскКызылЛипецкМагаданМагасМагнитогорскМайкопМахачкалаМоскваМурманскНазраньНальчикНарьян-МарНижневартовскНижний НовгородНовосибирскОбнинскОмскОрелОренбургПензаПермьПетрозаводскПетропавловск-КамчатскийПсковРостов-на-ДонуРязаньСалехардСамараСанкт-ПетербургСаранскСаратовСевастопольСмоленскСочиСтавропольСтерлитамакСургутСыктывкарТамбовТверьТольяттиТомскТулаТюменьУлан-УдэУльяновскУссурийскУфаХабаровскХанты-МансийскЧебоксарыЧелябинскЧеркесскЧитаЭлистаЮжно-СахалинскЯкутскЯрославльВсе городаВсе городаО проектеРекламаПравила участия в конкурсахПользовательское соглашениеПолитика использования cookiesКонтактыТехподдержка        Сетевое издание «Онлайн журнал StarHit (СтарХит)»              Любое воспроизведение материалов сайта без разрешения редакции воспрещается.              Copyright (с) ООО «Шкулёв Медиа Холдинг» 2023.              Поставщик программы передач - «Сервис-ТВ»                Рекомендательные технологии        </t>
  </si>
  <si>
    <t>tv.starhit.ru</t>
  </si>
  <si>
    <t>Программа передач на сегодня, на неделю: все каналы</t>
  </si>
  <si>
    <t>Простая и удобная телепрограмма всех телеканалов. Описание передач, фильмов и сериалов. Удобная навигация и актуальная информация по ТВ-вещанию.</t>
  </si>
  <si>
    <t>https://programma-peredach.com/</t>
  </si>
  <si>
    <t>﻿Программа передач на сегодня на неделю: все каналы							Программа Передач													простая и удобная						Москва 06:45									ТВ-оператор: не выбран								МенюТелеканалыОсновныеКино и сериалыСпортивныеПознавательныеДетскиеТематическиеРазвлекательныеМузыкальныеРегиональныеМеждународныеМужскиеЖенскиеНовостныеРелигиозныеHDСтраныБеларусь Казахстан УкраинаАрмения Литва Латвия Молдова Что посмотретьПопулярное ФильмыСериалыПередачиСпорт Наш ТелеграмТВ онлайнВойти							Ср 8 ноя													Чт 9 ноя													Пт 10 ноя													Вчера													Сегодня													Завтра													Вт 14 ноя													Ср 15 ноя													Чт 16 ноя													Пт 17 ноя													Сб 18 ноя													Вс 19 ноя						Сейчас (по 1)Сейчас (по 2)Сейчас (по 3)Сейчас (по 4)Сейчас (по 5)Весь деньУтромДнемВечеромПопулярноеФильмыСериалыПередачиСпорт							Выбрать ТВ-оператора													Первый канал						06:10ПОДКАСТ.ЛАБ: Легкие деньги										06:55Играй гармонь любимая!										07:40Часовой										08:10Здоровье																	Россия 1						06:10Алла в поисках Аллы										 х/ф08:00Местное время. Воскресенье										08:35Когда все дома с Тимуром Кизяковым										09:25Утренняя почта с Николаем Басковым: Выпуск от 12 ноября																	НТВ						06:35Центральное телевидение										08:00Сегодня										08:20У нас выигрывают!										10:00Сегодня																	СТС						06:00Ералаш										07:00"Отель "У овечек": 59 61 серии										 м/с07:30Уральские пельмени: Смехbook										09:00Рогов в деле																	ТНТ						05:45Куриный забег										 м/ф07:00Однажды в России. Спецдайджесты 2023: 15 серия										08:00Однажды в России. Спецдайджесты 2023: 16 серия										09:00Битва пикников: 31 серия																	Пятый канал						06:05Прокурорская проверка: Моя ужасная школа										 т/с06:55Настоящий: Возвращение										 т/с07:45Настоящий: Пробуждение										 т/с08:40Настоящий: Неприкаянный										 т/с							Рен-ТВ						05:00Самые шокирующие гипотезы										07:00С бодрым утром!										08:30Новости										09:00Самая народная программа																	Домашний						06:40Уроки жизни и вождения: 1–4 серии										 х/ф10:15Уют за 15 минут										10:30Невозможное прощение: 1–4 серии										 х/ф14:45Ты в моём сердце: 1–4 серии										 х/ф							ТВ Центр						06:05Заказ										 х/ф07:25Здоровый смысл										07:50Дела житейские-4: 1 серия										 х/ф08:40Дела житейские-4: 2 серия										 х/ф							Москва Доверие						06:45Мой район. Навигатор										06:55Мой район. Энциклопедия: Тасс уполномочен заявить										07:15Мой район. Энциклопедия: Самые старые деревья Москвы										07:25Мой район. Энциклопедия: Москва. Акустика																	Москва 24						06:00Новости										06:55Атмосфера										07:00Новости										08:00Новости																	ТЕО-ТВ						05:50Художественный фильм										 х/ф07:50Концерт										09:35Православная азбука										09:45Плюх-парад																	Культура						06:30Мультфильмы: "В яранге горит огонь". "Волк и семеро козлят на новый лад". "Вот какой рассеянный". "Птичий рынок"										 м/ф07:30Порус: 4 серия										 т/с07:50Порус: 5 серия										 т/с08:10Порус: 6 серия										 т/с							ТВ-3						06:00Мультфильмы										 м/ф07:45Секреты здоровья: 10 серия										08:00Вкусно с Ляйсан: 9 серия										08:30Новый день: 6 серия																	Мир						05:00Мультфильмы										 м/ф07:25Вий										 х/ф08:55Рождённые в СССР: Советский кинопрокат										09:30ФазендаЛайф																	Звезда						05:30Их знали только в лицо										 х/ф07:10Ожидание полковника Шалыгина										 х/ф09:00"Новости недели" с Юрием Подкопаевым										09:25Служу России																	ОТР						06:00Близнецы										 х/ф07:20Диалоги без грима: Сцена. Актер. Жизнь										 д/с07:35От прав к возможностям										07:50Большая страна																	Матч ТВ						06:00Смешанные единоборства. UFC. Прямая трансляция из США: И. Прохазка — А. Перейра. С. Павлович — Т. Аспинэлл										09:00Новости										09:05Все на Матч!										10:00Лига героев																	Спас						06:15Воскрешение святой обители										 д/ф06:50В поисках Бога										07:20Профессор Осипов										07:55Святыни России																	Карусель						05:00Ранние пташки: "Бодо Бородо. БОкварь" "Улётная доставка"										07:00С добрым утром малыши!										07:30Вип Петс										 м/с08:05Дракошия										 м/с							Пятница						06:40Простоквашино: 85 серия										 м/с06:50Чудо-Юдо										 м/ф08:20Гонка стартапов: 2 серия										09:00Тревел-баттл: 8 серия — "Далат. Вьетнам"																	Суббота!						06:30Маша и Медведь: 6 серия										 м/с06:55Машкины страшилки: 23 серия										 м/с07:00Маша и Медведь: 10 серия										 м/с07:25Машкины страшилки: 24 серия										 м/с							Че						06:20Улётное видео										08:00Мастер меча										 х/ф10:00Утилизатор										10:30Солдаты-15										 т/с							Ю						05:00Маша и Медведь										 м/с07:00Малышарики										 м/с08:00Маша и Медведь										 м/с10:00Голодным не смотреть																	Муз-ТВ						05:00Караокинг										07:00Pro-новости. Лучшее										07:35У-Дачный чарт										08:35Teen чарт																	Россия 24						06:20Вести: Дежурная часть. Итоги										07:00Вести										07:05Расследование Эдуарда Петрова										 д/с08:00Вести										Загрузить ещеПопулярное06:10Россия 1: Алла в поисках Аллы																 х/ф																																 2015																								 мелодрама																 59/1006:40Домашний: Уроки жизни и вождения: 1–4 серии																 х/ф																																 2021																								 мелодрама																 65/1006:55Пятый канал: Настоящий: Возвращение																 т/с																																 202307:30Культура: Порус: 4 серия																 т/с																 Индия																 2018																								 военный07:50ТВ Центр: Дела житейские-4: 1 серия																 х/ф																																 2023																								 мелодрама08:25Русский Роман: Из Сибири с любовью																 х/ф																																 2016																								 комедия																 7/10Полный список популярного Телеканалы по тематикамОсновныеКино и сериалыСпортивныеПознавательныеДетскиеТематическиеРазвлекательныеМузыкальныеРегиональныеМеждународныеМужскиеЖенскиеНовостныеРелигиозныеHDЧто посмотреть сегодня по ТВПопулярное ФильмыСериалыПередачиСпорт Телеканалы других странБелорусские Казахстанские Украинские Кыргызские Армянские Литовские Латвийские Молдавские Германские Телепрограмма онлайн			На этом сайте представлена простая и удобная программа ТВ-передач — на сегодня на завтра на неделю. В интернете много сайтов на которых можно посмотреть телепрограмму нужного вам канала. Но большинство из них... не так удобны как наш. У нас все очень просто легко удобно и самое главное — информативно и понятно. Более пятиста российских украинских белорусских казахстанских литовских латвийских центральных спутниковых и кабельных телеканалов подробно расписанных по дням и неделям с изображениями трейлерами и т.п. Регистрируйтесь составляйте свои списки каналов свой список передач для просмотра и оставайтесь в курсе всего интересного по ТВ!									Кстати теперь у нас можно посмотреть список песен звучавших на радио.						политика конфиденциальности о нас программа на вашем сайте наш телеграм‑канал			© 2017-2023 programma-peredach.com: телепрограмма онлайн		+Загрузка...+Загрузка...</t>
  </si>
  <si>
    <t>programma-peredach.com</t>
  </si>
  <si>
    <t>Программа передач ТВ каналов на сегодня</t>
  </si>
  <si>
    <t>ТВ программа на сегодня - все каналы · 1 канал 18:20 Я люблю мою страну 19:20 Эксклюзив · 5 канал 17:45 Условный мент (Дело на Якорной) · СТС 17:35 Ледниковый ...</t>
  </si>
  <si>
    <t>https://telik.top/program/</t>
  </si>
  <si>
    <t>ТВ каналы онлайн | смотрите прямой эфир бесплатноТВ онлайн1 канал5 каналСТСПятница!ДомашнийКарусельМатч ТВНТВРен ТВРоссия 1ТНТТВ3ТематическиеСпасКанал ЮКанал ЧеТВ центрСоюзМуз-ТВЗвездаТНТ4МИРПрограммаШоуРадиоТВ каналы онлайн - прямой эфирСмотрите прямой эфир российских ТВ каналов. Видео трансляции телевидения России организованы в online режиме в хорошем качестве. Все ТВ каналы можно посмотреть бесплатно через интернет на компьютере или телефоне по местному времени. Telik.top - это цифровой онлайн телевизор с программой передач телеканалов на всю неделю.Выберите ваш город:АстраханьВолгоградИжевскКалининградСамараСаратовСанк-ПетербургТольяттиУльяновскЕкатеринбургМагнитогорскНижний ТагилОмскОренбургПермьТюменьУфаЧелябинскАбаканБарнаулИркутскКемеровоКрасноярскНовокузнецкНовосибирскТомскУлан-УдэБлаговещенскВладивостокХабаровскЧитаЮжно-СахалинскЯкутскВыберите онлайн вещание телеканала Все ТВ каналы доступны онлайн по местному времени в формате IPTV OTT.telik.top - телевизор online:iptv сервис с трансляциями цифровых телеканалов и программой передач;официальные плееры от лицензированных правообладателей Витрина ТВ и ГПМ РТВ;онлайн просмотр эфира по интернет на всех устройствах без установки плагинов;отличное качество телевещания без ограничения по устройствам (мультискрин);бесплатный цифровой эфир телекомпаний доступен без регистрации и подписки;прямой эфир телепередач идет в реальном времени без изменений.Записи последних выпусков передач смотреть все передачи в ленте дняВ прямом эфире на ТВ    Подкаст.Лаб (Легкие деньг...    Прокурорская проверка (Мо...    Ералаш    Артур и минипуты...    Уроки жизни и вождения (1...    Улетная доставка (Сборник...    Смешанные единоборства. U...    Центральное телевидение...    Самые шокирующие гипотезы...    Алла в поисках Аллы...    Куриный забег    Мультфильмыпрограмма всех каналов на сегодня Тематические каналы Канал Че Муз-ТВ Звезда Канал Ю ТНТ4 Спас МИР ТВ центрFM радио онлайн Авторадио Бизнес ФМ Comedy Nrj Европа+ Детское Комс.правда Маяк Монте-Карло Новое радио Юмор FM Ретро ФМ Шансон Record Дорожное Русское Радио 7 Наше Радио Вести ФМ2023 ЧТО ПО ТЕЛИКУ? РОССИЯРеклама и партнерствоПользовательское соглашение / Политика конфиденциальности / Правообладателям</t>
  </si>
  <si>
    <t>telik.top</t>
  </si>
  <si>
    <t>ТВ-программа передач на сегодня и завтра , ...</t>
  </si>
  <si>
    <t>Программа передач ТВ на неделю, на сегодня, телепрограмма сейчас. Местные и спутниковые телеканалы - все каналы. Архив телепередач.</t>
  </si>
  <si>
    <t>https://www.dvhab.ru/tv/</t>
  </si>
  <si>
    <t>Программа передач на сегодня: все ТВ каналы</t>
  </si>
  <si>
    <t>Программа передач на сегодня весь день и ночь, с утра и до вечера — все основные ТВ каналы. Телепрограмма ближайшей недели по городам.</t>
  </si>
  <si>
    <t>https://segodnya.tv/</t>
  </si>
  <si>
    <t>Программа передач на сегодня: все ТВ каналы Программа передач Телепрограмма Ваш регион: МоскваВаш город Москва? Поделиться:ПоделитьсяПрограмма передач на сегодня — все каналыПонедельник 30 октябряВторник 31 октябряСреда 1 ноябряЧетверг 2 ноябряПятница 3 ноябряСуббота 4 ноябряВоскресенье 5 ноябряПонедельник 6 ноябряВторник 7 ноябряСреда 8 ноябряЧетверг 9 ноябряПятница 10 ноябряВчера 11 ноябряСегодня 12 ноябряЗавтра 13 ноябряВторник 14 ноябряСреда 15 ноябряЧетверг 16 ноябряПятница 17 ноябряСуббота 18 ноябряВоскресенье 19 ноября Первый06:10ПОДКАСТ.ЛАБ (Легкие деньги)06:55Играй гармонь любимая!07:40Часовой08:10Здоровье09:20"Мечталлион". Национальная Лотерея09:40"Непутевые заметки" с Дмитрием Крыловым10:00Новости (с субтитрами) Весь деньРоссия 106:10Х/ф Алла в поисках Аллы08:00Местное время. Воскресенье08:35Когда все дома с Тимуром Кизяковым09:25Утренняя почта с Николаем Басковым10:10Сто к одному11:00Вести12:00Большие перемены (Выпуск от 12 ноября) Весь деньМАТЧ!06:00Смешанные единоборства. UFC. Прямая трансляция из США (И. Прохазка - А. Перейра. С. Павлович - Т. Аспинэлл)09:00Новости09:05Все на Матч!10:00Лига героев11:05Х/ф Один вдох13:15Все на Матч!13:50Новости Весь деньНТВ06:35Центральное телевидение08:00Сегодня08:20У нас выигрывают!10:00Сегодня10:20Первая передача11:00Чудо техники (Выпуск от 12 ноября)11:55Дачный ответ Весь деньПятый канал Россия06:05Сериал Прокурорская проверка (Моя ужасная школа)06:55Сериал Настоящий (Возвращение)07:45Сериал Настоящий (Пробуждение)08:40Сериал Настоящий (Неприкаянный)09:30Сериал Настоящий (Афанасий)10:25Сериал Настоящий (Нажива)11:20Сериал Настоящий (Тарантул) Весь деньКультура06:30Мультфильмы ("В яранге горит огонь". "Волк и семеро козлят на новый лад". "Во)07:30Сериал Порус (4-я серия)07:50Сериал Порус (5-я серия)08:10Сериал Порус (6-я серия)08:30Сериал Порус (7-я серия)08:50Сериал Порус (8-я серия)09:10Сериал Порус (9-я серия) Весь деньМосква-2406:00Новости06:55Атмосфера07:00Новости08:00Новости08:30Новости08:55Атмосфера09:00Новости Весь деньСТС06:00Ералаш07:00"Отель "У овечек" (59-я и 61-я серии)07:30Уральские пельмени (Смехbook)09:00Рогов в деле10:00Уральские пельмени (Смехbook)10:30Уральские умельцы (4-я серия)10:55Уральские пельмени (Смехbook) Весь деньКарусель05:00Ранние пташки ("Бодо Бородо. БОкварь" "Улётная доставка")07:00С добрым утром малыши!07:30Вип Петс08:05Дракошия09:00Еда на ура!09:25Петроникс10:00Барбоскины Весь деньРЕН ТВ05:00Самые шокирующие гипотезы07:00С бодрым утром!08:30Новости09:00Самая народная программа09:30Знаете ли вы что?10:30Наука и техника11:30Неизвестная история Весь деньМосква.Доверие06:20Мой район. Энциклопедия (Метро)06:45Мой район. Навигатор06:55Мой район. Энциклопедия (Тасс уполномочен заявить)07:15Мой район. Энциклопедия (Самые старые деревья Москвы)07:25Мой район. Энциклопедия (Москва. Акустика)07:55Мой район. Навигатор08:05Мой район. Энциклопедия (Самые старые вывески) Весь деньТНТ07:00Однажды в России. Спецдайджесты 2023 (15-я серия)08:00Однажды в России. Спецдайджесты 2023 (16-я серия)09:00Битва пикников (31-я серия)09:30Битва пикников (30-я серия)10:00Экстрасенсы. Битва сильнейших (12-я серия)10:30Экстрасенсы. Битва сильнейших (8-я серия)11:00Экстрасенсы. Битва сильнейших (53-я серия) Весь деньСолнце05:00Маша и Медведь06:55Кругляши07:25Буба09:00Супер Пёс и Турбо Кот10:45Египтус12:00Простоквашино14:40Союзмультфильм Весь деньОТР06:00Х/ф Близнецы07:20Диалоги без грима (Сцена. Актер. Жизнь)07:35От прав к возможностям07:50Большая страна08:45Цапля и журавль09:00Всё по-взрослому09:45Календарь Весь деньТВ-306:00Мультфильмы07:45Секреты здоровья (10-я серия)08:00Вкусно с Ляйсан (9-я серия)08:30Новый день (6-я серия)09:00Дороже денег (8-я серия)10:00Хорошие новости с Василисой Володиной (46-я серия)10:30Последний герой (3-я серия) Весь деньТВ Центр06:05Х/ф Заказ07:25Здоровый смысл07:50Х/ф Дела житейские-4 (1-я серия)08:40Х/ф Дела житейские-4 (2-я серия)09:30Х/ф Дела житейские-4 (3-я серия)10:20Х/ф Дела житейские-4 (4-я серия)11:30События Весь деньДомашний06:40Х/ф Уроки жизни и вождения (1-я - 4-я серии)10:15Уют за 15 минут10:30Х/ф Невозможное прощение (1-я - 4-я серии)14:45Х/ф Ты в моём сердце (1-я - 4-я серии)19:00Сериал Яркое пламя (77-я - 80-я серии)22:45Твой Dомашний доктор23:00Х/ф Семейный портрет (1-я - 4-я серии) Весь деньСпас06:15Воскрешение святой обители06:50В поисках Бога07:20Профессор Осипов07:55Святыни России09:00Простые чудеса10:00Божественная литургия12:45Завет Весь деньМИР06:35Время возможностей07:00Х/ф Сказ про то как царь Пётр арапа женил09:00Рождённые в СССР (Советский кинопрокат)09:30ФазендаЛайф10:00Новости10:10Х/ф Вий11:40Сериал Легенды о Круге (1-я - 4-я серии) Весь деньЧе06:20Улётное видео08:00Х/ф Мастер меча10:00Утилизатор10:30Сериал Солдаты-1520:40+10050023:00+10050023:30+100500 Весь деньЮ05:00Маша и Медведь07:00Малышарики08:00Маша и Медведь10:00Голодным не смотреть11:00Беременна в 1614:45Жизнь после шоу.Б1615:50Чадо из ада Весь деньДом Кино06:10Кощей. Похититель невест07:25Иван Царевич и Серый Волк09:05Иван Царевич и Серый Волк-210:30Иван Царевич и Серый Волк-311:55Иван Царевич и Серый Волк-413:30Иван Царевич и Серый Волк-515:00Х/ф Каникулы строгого режима Весь деньМАТЧ! Футбол 106:05Чемпионат Италии ("Монца" - "Торино")08:05Новости футбола08:10Чемпионат Италии ("Лечче" - "Милан")10:10Новости футбола10:15Чемпионат Италии ("Ювентус" - "Кальяри")12:15Новости футбола12:20Чемпионат Италии ("Монца" - "Торино") Весь деньМАТЧ! Футбол 206:00Чемпионат Бразилии ("Коритиба" - "Крузейро")08:05Чемпионат Бразилии ("Фламенго" - "Флуминенсе")10:10Чемпионат Бразилии ("Палмейрас" - "Интернасьонал")12:15Чемпионат Бразилии ("Коритиба" - "Крузейро")14:20Чемпионат Бразилии ("Фламенго" - "Флуминенсе")16:25Журнал Лиги чемпионов16:55Чемпионат Италии. Прямая трансляция ("Фиорентина" - "Болонья") Весь день365 дней ТВ06:20Освободители (2-я серия - "Гетто. От первого дня до последнего")07:00Обыкновенная история (226-я серия - "Муфта")07:10История оружия (2-я серия - "Атака с воздуха")08:05Историада (155-я серия - "Балканские войны 1912-1913 гг")08:55Сыны России (2-я серия - "Завещание Владимира Бехтерева")09:25Во имя человечества. История российской медицины (5-я серия)09:45Трудовой фронт Великой Отечественной (5-я серия - "Танкоград. Челябинский тракторный завод") Весь день360° 06:30Вкусно как в кино07:00Погода 36007:05Внимание! Еда!08:00Вкусно 36009:00Внимание! Еда!10:00Погода 36010:05Вкусно 360 Весь деньПятница06:35Простоквашино (84-я серия)06:50Чудо-Юдо08:10Гонка стартапов (2-я серия)09:00Тревел-баттл (8-я серия - "Далат. Вьетнам")10:00Пробный переезд (2-я серия)11:00Погнали! (В Южную Корею. Путь нелегала)13:00Погнали! (В Мумбаи. По следам Шантарама) Весь деньДом Кино Премиум06:30Щелкунчик и волшебная флейта07:55Х/ф Напарник09:30Х/ф Папы11:20Сериал Мажор-301:00Х/ф Девятая02:30Х/ф Приворот. Чёрное венчание03:55Х/ф Вдова Весь день123...8910»                                Описание Создатели Кадры Ближайшие выпуски placeПользовательское соглашениеПолитика CookiesКонтакты© «Сегодня ТВ»</t>
  </si>
  <si>
    <t>segodnya.tv</t>
  </si>
  <si>
    <t>Телепрограмма - каналов онлайн-телевидения</t>
  </si>
  <si>
    <t>Программа ТВ-передач на все каналы эфирного, спутникового и цифрового телевидения на сегодня и ближайшую неделю. Онлайн-ТВ НТВ-ПЛЮС – просмотр телеканалов ...</t>
  </si>
  <si>
    <t>https://ntvplus.tv/tv/</t>
  </si>
  <si>
    <t>НТВ-ПЛЮС Онлайн ТВОнлайн ТВСпутниковое ТВВойтиТелеканалыЭфир телеканаловТелепрограммаАрхив телепередачФильмыСериалыСпортГлавнаяТрансляцииАрхив и лучшие моментыКнигиКниги и аудиокнигиPREMIERПодпискиПодпискиАмедиатекаКинотеатр «START»Фильмы и сериалы ИвиБиблиотека «viju»Библиотека «Ленфильм»РадиоФильмы для взрослыхСпутниковым абонентамО сайтеВойтиПоискТелеканалыЭфир телеканаловТелепрограммаАрхив телепередачФильмыСериалыСпортГлавнаяТрансляцииАрхив и лучшие моментыКнигиКниги и аудиокнигиPREMIERПодпискиПодпискиАмедиатекаКинотеатр «START»Фильмы и сериалы ИвиБиблиотека «viju»Библиотека «Ленфильм»РадиоФильмы для взрослыхСпутниковым абонентамО сайте                        Подписки                    ВыгодноСемейныйКиноканалы + Познавательный + Евро Спорт + Детский = всего за 299 рублей! Вместе дешевле!161 телеканалПОДРОБНЕЕПервая неделя бесплатно далее 299 руб/мес                                Попробовать бесплатно                            PREMIER236 фильмов507 сериаловБиблиотека PREMIERПОДРОБНЕЕДве недели бесплатно далее 299 руб/мес                                Попробовать бесплатно                            Познавательный80 Познавательных и развлекательных каналовПОДРОБНЕЕПервая неделя бесплатно далее 199 руб/мес                                Попробовать бесплатно                            START644 фильма358 сериаловБиблиотека STARTПОДРОБНЕЕПервая неделя бесплатно далее 399 руб/мес                                Попробовать бесплатно                            viju13 телеканалов348 фильмов63 сериалаБиблиотека vijuПОДРОБНЕЕДве недели бесплатно далее 299 руб/мес                                Попробовать бесплатно                            Евро Спорт15 Спортивных каналов2 Познавательных и развлекательных каналаПОДРОБНЕЕПервая неделя бесплатно далее 199 руб/мес                                Попробовать бесплатно                            Суперспорт10 Спортивных каналовВсе трансляцииПОДРОБНЕЕПервая неделя бесплатно далее 599 руб/мес                                Попробовать бесплатно                            Киноканалы47 КиноканаловПОДРОБНЕЕПервая неделя бесплатно далее 299 руб/мес                                Попробовать бесплатно                            Кино Премиум47 Киноканалов236 фильмов791 сериалБиблиотека АмедиатекаБиблиотека PREMIERПОДРОБНЕЕПервая неделя бесплатно далее 699 руб/мес                                Попробовать бесплатно                            Детский17 Детских каналовПОДРОБНЕЕПервая неделя бесплатно далее 99 руб/мес                                Попробовать бесплатно                            Настрой Кино!4 КиноканалаПОДРОБНЕЕПервая неделя бесплатно далее 299 руб/мес                                Попробовать бесплатно                            Амедиатека4 Киноканала284 сериалаБиблиотека АмедиатекаПОДРОБНЕЕПервая неделя бесплатно далее 599 руб/мес                                Попробовать бесплатно                            Ночной8 Каналов для взрослыхПОДРОБНЕЕПервая неделя бесплатно далее 199 руб/мес                                Попробовать бесплатно                            Ночной премиум8 Каналов для взрослых460 фильмовБиблиотека Ночной ПремиумПОДРОБНЕЕПервая неделя бесплатно далее 399 руб/мес                                Попробовать бесплатно                            Радиоканалы31 Познавательный и развлекательный каналПОДРОБНЕЕБесплатноСейчас смотрятСмотреть онлайн Игра престоловДрама                        Подписка                        АмедиатекаСмотреть онлайн КонтейнерДрама                        Подписка                        STARTСмотреть онлайн СодержанкиТриллеры                        Подписка                        STARTСмотреть онлайн Против всех                        Подписка                        STARTСмотреть онлайн Реальные пацаныКомедии                        Подписка                        PREMIERСмотреть онлайн НевскийДетективы                        Подписка                        PREMIERСмотреть онлайн ПёсДетективы                        Подписка                        PREMIERСмотреть онлайн ИнтерныКомедии                        Подписка                        PREMIERСмотреть онлайн ИванькоКомедии                        Подписка                        PREMIERСмотреть онлайн Убить РитуДрама                        Подписка                        PREMIERСмотреть онлайн ПраздникиКомедии                        Подписка                        PREMIERСмотреть онлайн Универ. Новая общагаКомедии                        Подписка                        PREMIERСмотреть онлайн Полицейский с РублёвкиКомедии                        Подписка                        PREMIERСмотреть онлайн Стой! Не то мама будет гадатьДетективы                        Подписка                        PREMIER                        Показать все                        НовинкиСмотреть онлайн Контейнер 3. Фильм о фильме                        Подписка                        STARTСмотреть онлайн Абсолютное злоДрама                        Подписка                        АмедиатекаСмотреть онлайн ПраздникиКомедии                        Подписка                        PREMIERСмотреть онлайн Романовы. Последнее словоДокументальные                        Подписка                        PREMIERСмотреть онлайн АбрекДрама                        Подписка                        STARTСмотреть онлайн ЛунаФантастика                        Подписка                        PREMIERСмотреть онлайн Саша против!Драма                        Подписка                        PREMIERСмотреть онлайн Дом отдыха «Ягодка»Реалити                        Подписка                        PREMIERСмотреть онлайн У людей так бываетМелодрама                        Подписка                        PREMIERСмотреть онлайн Богиня свиданийРеалити                        Подписка                        PREMIERСмотреть онлайн Путешественница во времениДрама                        Подписка                        STARTСмотреть онлайн Стой! Не то мама будет гадатьДетективы                        Подписка                        PREMIERСмотреть онлайн ИсчезнувшиеДетективы                        Подписка                        АмедиатекаСмотреть онлайн Эверест. Пик страстиДокументальные                        Подписка                        PREMIER                        Показать все                        Топ-25 на PREMIERСмотреть онлайн Убить РитуДрама                        Подписка                        PREMIERСмотреть онлайн Реальные пацаныКомедии                        Подписка                        PREMIERСмотреть онлайн ИванькоКомедии                        Подписка                        PREMIERСмотреть онлайн КонтактДрама                        Подписка                        PREMIERСмотреть онлайн Новые ПацанкиРеалити                        Подписка                        PREMIERСмотреть онлайн ТрепачиКомедии                        Подписка                        PREMIERСмотреть онлайн МендельсонКомедии                        Подписка                        PREMIERСмотреть онлайн ПервокурсницыКомедии                        Подписка                        PREMIERСмотреть онлайн Бедный олигархКомедии                        Подписка                        PREMIERСмотреть онлайн Адский шефРеалити                        Подписка                        PREMIERСмотреть онлайн ТелохранителиКомедии                        Подписка                        PREMIERСмотреть онлайн ЖЕНСКИЙ СТЕНДАПЮмор                        Подписка                        PREMIERСмотреть онлайн СуперИвановыКомедии                        Подписка                        PREMIERСмотреть онлайн Сердце КлавыРеалити                        Подписка                        PREMIER                        Показать все                        Премьеры на STARTСмотреть онлайн Два холмаФантастика                        Подписка                        STARTСмотреть онлайн КошкаДрама                        Подписка                        STARTСмотреть онлайн Как я стал ребенком                        Подписка                        STARTСмотреть онлайн Жить жизньТриллеры                        Подписка                        STARTСмотреть онлайн Бей первой!Спорт                        Подписка                        STARTСмотреть онлайн 14+Мелодрама                        Подписка                        STARTСмотреть онлайн СодержанкиТриллеры                        Подписка                        STARTСмотреть онлайн На выдохеДрама                        Подписка                        STARTСмотреть онлайн СчастьеДрама                        Подписка                        STARTСмотреть онлайн 7 часов на соблазнениеМелодрама                        Подписка                        STARTСмотреть онлайн Против всех                        Подписка                        STARTСмотреть онлайн О чем говорят мужчины. Сериал                        Подписка                        STARTСмотреть онлайн Дети сексу не помехаДрама                        Подписка                        STARTСмотреть онлайн Любить нельзя расстатьсяМелодрама                        Подписка                        START                        Показать все                        РекомендуемСмотреть онлайн БывшиеДрама                        Подписка                        STARTСмотреть онлайн АльфаРомеоДрама                        Подписка                        STARTСмотреть онлайн Без правилДрама                        Подписка                        PREMIERСмотреть онлайн Немодельное агентствоДрама                        Подписка                        PREMIERСмотреть онлайн С нуляДрама                        Подписка                        PREMIERСмотреть онлайн ПоследователиТриллеры                        Подписка                        PREMIERСмотреть онлайн ЗверобойДрама                        Подписка                        PREMIERСмотреть онлайн На солнце вдоль рядов кукурузыДрама                        Подписка                        PREMIERСмотреть онлайн Универ. 10 лет спустяКомедии                        Подписка                        PREMIERСмотреть онлайн Сердце пармыДрама                        Подписка                        PREMIERСмотреть онлайн ЖУКИКомедии                        Подписка                        PREMIERСмотреть онлайн ИдентификацияТриллеры                        Подписка                        PREMIERСмотреть онлайн ТерриторияДрама                        Подписка                        PREMIERСмотреть онлайн Чернобыль: Зона отчуждения. ФиналТриллеры                        Подписка                        PREMIER                        Показать все                        ТОП-15 2022 годаСмотреть онлайн Вавилон-БерлинКриминал                        Подписка                        vijuСмотреть онлайн Миссия невыполнима: ПоследствияБоевики                        Подписка                        vijuСмотреть онлайн Молодой СкалаКомедии                        Подписка                        vijuСмотреть онлайн Пушки АкимбоБоевики                        Подписка                        vijuСмотреть онлайн Криминальные боссыБоевики                        Подписка                        vijuСмотреть онлайн Марафон ЖеланийКомедии                        Подписка                        vijuСмотреть онлайн Призрачный докторДрама                        Подписка                        vijuСмотреть онлайн АпгрейдФантастика                        Подписка                        vijuСмотреть онлайн Рядовой ЧээринВоенные                        Подписка                        vijuPREMIER юморСмотреть онлайн Comedy ClubЮмор                        Подписка                        PREMIERСмотреть онлайн Stand UpЮмор                        Подписка                        PREMIERСмотреть онлайн Однажды в РоссииРазвлекательные                        Подписка                        PREMIERСмотреть онлайн ЖЕНСКИЙ СТЕНДАПЮмор                        Подписка                        PREMIERСмотреть онлайн Почувствуй нашу любовь дистанционноЮмор                        Подписка                        PREMIERСмотреть онлайн КонцертыЮмор                        Подписка                        PREMIERСмотреть онлайн Галустян +Юмор                        Подписка                        PREMIERСмотреть онлайн ВПИСКА У МАРГУЛИСАМузыкальный                        Подписка                        PREMIERСмотреть онлайн ИмпровизацияЮмор                        Подписка                        PREMIERСмотреть онлайн Открытый микрофонЮмор                        Подписка                        PREMIERСмотреть онлайн Это миниатюрыЮмор                        Подписка                        PREMIERСмотреть онлайн ПРОЖАРКАЮмор                        Подписка                        PREMIERСмотреть онлайн «Хочу и буду!». Психологический стендап Михаила ЛабковскогоЮмор                        Подписка                        PREMIERСмотреть онлайн Comedy БаттлЮмор                        Подписка                        PREMIER                        Показать все                        Мультфильмы vijuСмотреть онлайн Маша и МедведьМультфильм                        Подписка                        vijuСмотреть онлайн Говорящий Том: МинимультыМультфильм                        Подписка                        vijuСмотреть онлайн Говорящий Том и друзья: МиниМультфильм                        Подписка                        vijuСмотреть онлайн Говорящий Том: ГероиМультфильм                        Подписка                        vijuСмотреть онлайн Тру и Радужное королевствоМультфильм                        Подписка                        vijuСмотреть онлайн Говорящий Том и друзьяМультфильм                        Подписка                        vijuСмотреть онлайн Роботы-поездаМультфильм                        Подписка                        vijuСмотреть онлайн Моя говорящая АнджелаМультфильм                        Подписка                        vijuСмотреть онлайн Кот в сапогахМультфильм                        Подписка                        vijuСмотреть онлайн Хранители сновПриключения                        Подписка                        vijuСмотреть онлайн МадагаскарМультфильм                        Подписка                        vijuСмотреть онлайн Шрэк 2Мультфильм                        Подписка                        vijuСмотреть онлайн ШрэкМультфильм                        Подписка                        vijuАнимацияСмотреть онлайн Семейный полюсМультфильм                        Подписка                        PREMIERСмотреть онлайн БурдашевМультфильм                        Подписка                        PREMIERСмотреть онлайн ВалераМультфильм                        Подписка                        PREMIERСмотреть онлайн Входит мороженоеМультфильм                        Подписка                        PREMIERСмотреть онлайн Доктор ПСИМультфильм                        Подписка                        PREMIERСмотреть онлайн МУЛЬТЕРНЫМультфильм                        Подписка                        PREMIERСмотреть онлайн НигдегородМультфильм                        Подписка                        PREMIERСмотреть онлайн Бандитский ПетербургерМультфильм                        Подписка                        PREMIERСмотреть онлайн Живой среди чужихМультфильм                        Подписка                        PREMIERСмотреть онлайн Кит stupid showМультфильм                        Подписка                        PREMIERСмотреть онлайн Клубника и МоржМультфильм                        Подписка                        PREMIERСмотреть онлайн МУЛЬ ТВМультфильм                        Подписка                        PREMIERСмотреть онлайн Осторожно земляне!Мультфильм                        Подписка                        PREMIERСмотреть онлайн Подозрительная соваМультфильм                        Подписка                        PREMIER                        Показать все                        Книги и аудиокнигиДоступно для скачиванияДем МихайловТемновольеAnne DarРодная кровьЕлена МихалковаМертвый кролик живой кроликБорис АкунинЯмаДмитрий ПетровЖилой комплекс «Курицын»Мария ВороноваПрибавление семействаМарина СуржевскаяСовершенныеСергей ЛукьяненкоПрыжокНика ЁршТемная сторона. УченицаАлександра МарининаТьма после рассветаБорис АкунинСобачья смертьАлексей ГубаревПиромант. Ступень 4. ПреорТатьяна НовиковаБывший. Злой. ЗеленыйАлександра МарининаДебютная постановка. Том 1Хайдарали УсмановНужная профессия. Затаившиеся врагиФредрик БакманТревожные людиТатьяна УстиноваРоковой подарокШарлотта БрандишМюзик-холл на Гроув-ЛейнОльга ПримаченкоК себе нежно. Книга о том как ценить и беречь себяВиктор ПелевинKGBT+ (КГБТ+)                                Показать все                                Сейчас в эфиреСмотреть телепрограммуSTART WorldСмотреть онлайнTrace Sport Stars (HD)Смотреть онлайнDucktvСмотреть онлайнTERRA HDСмотреть онлайнviju+ Serial HDСмотреть онлайнМАТЧ ПРЕМЬЕР HDСмотреть онлайнКИНОХИТСмотреть онлайнAmedia Premium HDСмотреть онлайнBlue HustlerСмотреть онлайнВести ФМСмотреть онлайнSTART AirСмотреть онлайнKHL Prime HDСмотреть онлайнTiJiСмотреть онлайнHDLСмотреть онлайнviju TV1000 HDСмотреть онлайнМАТЧ! Футбол 1 (HD)Смотреть онлайнКИНОПРЕМЬЕРА HDСмотреть онлайнAmedia HitСмотреть онлайнРусская ночьСмотреть онлайнМаякСмотреть онлайнСмотреть телепрограммуМобильное приложение НТВ‑ПЛЮСВ сезон путешествий и дачного отдыха скачайте приложение НТВ‑ПЛЮС ТВ и вы не пропустите ни одной игры вашей любимой команды. Мобильность и доступность НТВ‑ПЛЮС ТВ - это возможность смотреть онлайн лучшие спортивные каналы на любых цифровых устройствах.Спецпредложение для спутниковых абонентовДля тех кто уже является спутниковым абонентом НТВ‑ПЛЮС мы предлагаем подключить Онлайн-тв по супер-выгодной цене. Чтобы мы могли понимать что подходит именно вам авторизуйтесь.АвторизоватьсяПодробнее149Каналов онлайн-тв для спутниковых абонентов                                    199                                Рублей в месяц за онлайн-доступ к своим спутниковым каналам0Рублейдо конца месяцаАвторизоватьсяПодробнее© ООО "НТВ-ПЛЮС"Все права сохранены.Использование материалов сайта без согласования запрещено.О проекте  Обратная связьТелеканалыФильмыСериалыСпортКниги и аудиокнигиТелеканалыФильмыСериалыСпортКниги и аудиокнигиДоступ к общероссийским обязательным общедоступным телеканалам и радиоканалам предоставляется круглосуточно и безвозмездно онлайнЗакрыть Приложение для IOS                         К сожалению по независящим от нас причинам приложение для iOS было удалено из Apple Store поэтому установить его на iOS-устройства больше не получится. Но вы можете смотреть видео на сайте ntvplus.tv или в приложениях для Android и Smart TV используя единый пользовательский аккаунт.</t>
  </si>
  <si>
    <t>ntvplus.tv</t>
  </si>
  <si>
    <t>Программа ТВ-передач на сегодня: все каналы</t>
  </si>
  <si>
    <t>Актуальная телепрограмма на сегодня на все каналы. Полная ТВ-программа с расписанием, временем, каналами и названиями телевизионных передач на сегодня.</t>
  </si>
  <si>
    <t>https://www.comboplayer.ru/tv-guide/today</t>
  </si>
  <si>
    <t>ComboPlayer: медиаплеер для Windows | Скачать КомбоПлеер                                ТВ-программа                            Что смотреть по ТВ                                    Всегда актуальная ТВ программа на сайте ComboPlayer                                Свежая программа передачПожалуйста включите JavaScript в настройках браузера                            Программа передач на ТВ каналы                                                         Сегодня                                                            Сейчас на ТВ                            05:05Великая войнаВеликая война07:35Как устроена ВселеннаяКак устроена Вселенная07:00МалышарикиМалышарики04:40Неизвестная война. Великая ОтечественнаяНеизвестная война. Великая Отечественная03:45Детство РатибораДетство Ратибора06:00Ментовские войны-9Ментовские войны-910:10ДубравкаДубравка05:20Снежная королеваСнежная королева08:45Жила-была девочкаЖила-была девочка05:50Ты естьТы есть07:50Осенние сныОсенние сны05:00ЩелкунчикЩелкунчик04:40Отцы и дедыОтцы и деды09:00АпостолАпостол03:05МементоМементо10:10ВийВий07:35Сказка о рыбаке и рыбкеСказка о рыбаке и рыбке11:15Небесный судНебесный суд08:50Дело гастронома №1Дело гастронома №104:15Странствия СиндбадаСтранствия Синдбада 06:00Ментовские войны-9Ментовские войны-905:50Ты естьТы есть06:10Под прикрытиемПод прикрытием04:55Из адаИз ада06:00БлизнецыБлизнецы05:3072 метра72 метра06:00Григорий Р.Григорий Р.05:00Маша и МедведьМаша и Медведь04:20ФарцаФарца06:30МажорМажор05:30Их знали только в лицоИх знали только в лицо06:25Свадебный переполохСвадебный переполох05:25Девушка в туманеДевушка в тумане06:30Настоятель-2Настоятель-206:05ЗаказЗаказ06:00Три котаТри кота06:40Бой с тенью-3: Последний раундБой с тенью-3: Последний раунд06:00Грехи нашиГрехи наши05:10СомнияСомния05:30СмешарикиСмешарики ПлеерСмотрите видео в  приложении                         Cистемные требования:                                            ОС Windows Vista и выше 1024 Мб ОЗУ 350 Мб свободного пространства HDD                    Преимущества плеераСлушать музыкуВоспроизведение видеофайловВиджет просмотра поверх всех окон                    Скачать КомбоПлеер                                    Версия: 3.0.7Продукты                                            Бесплатный медиаплеер                                                                                    Программа передач                                        Партнерство                                            Партнерская программа                                                                                    Наши партнеры                                                                                    Правообладателям                                        Мы в соцсетях© ComboPlayer                            2016                                                            - 2023                                                    Лицензионное соглашениеПравила пользованияПолитики конфиденциальностиПолитика обработки персональных данных</t>
  </si>
  <si>
    <t>www.comboplayer.ru</t>
  </si>
  <si>
    <t>Программа передач на сегодня для всех ТВ каналов</t>
  </si>
  <si>
    <t>Программа передач на сегодня ; Ю. 02:10. Измены, 16+. 03:00 ; САПФИР. 02:20. Искупление, 16+. Серия 45. 03:05 ; КИНЕКО. 01:45. Юность, 16+. Серия 13. 02:35.</t>
  </si>
  <si>
    <t>https://www.ivi.ru/tvplus/tv-schedule-today</t>
  </si>
  <si>
    <t>ТВ-программа передач на сегодня и ... - Сайт Владивостока</t>
  </si>
  <si>
    <t>https://www.vl.ru/tv/</t>
  </si>
  <si>
    <t>Программа передач и прямой эфир</t>
  </si>
  <si>
    <t>Программа передач и прямой эфир телеканала "ТВ Центр"</t>
  </si>
  <si>
    <t>https://www.tvc.ru/tvp</t>
  </si>
  <si>
    <t>Программа передач в Екатеринбурге: на сегодня, на ...</t>
  </si>
  <si>
    <t>https://tv.starhit.ru/ekaterinburg</t>
  </si>
  <si>
    <t>Телепрограмма на 11.11.2023</t>
  </si>
  <si>
    <t>В программе передач возможны изменения. Канал. Выбранные, Все, Sony Turbo, Sony ... Программа передач | База анонсов · Rambler's Top100. © 2006—2023 Камелот ...</t>
  </si>
  <si>
    <t>https://tv.cmlt.tv/</t>
  </si>
  <si>
    <t>������������� �� 12.11.2023 &lt;&gt;����������������������� ���������Sony TurboSony ��Sony Sci-Fi2�25 �����Amedia 1Amedia 2Amedia Premium HDHD LifeHollywoodParamount Comedy RussiaTV-��������ViP ComedyViP MegahitViP PremiereViasat ActionViasat ExplorerViasat HistoryViasat Nature�������������������� ������������ ����������������������������������+������������������������������������������������������������� ���� ��������������� �������������� �������� ������������������ ����� ������������������������������ HD����� � ������������� ���������������� HD������������������!���-������������������ ���������� 1������� ������������� �������-1000��-1000 ������� ������-21��-3���4������ + ���������������������������������������������121123  ������������� ������&lt;��������������&gt;���������� � 06.11�� 12.11����������������������������������  � ��������� �����  �����  ����  �������  �����  ���� ����   ������ �����06.10������ ������. ��-��� 16+06.55����� ������� �������! 12+07.40�������. �������.-��������. ��������� 12+08.10�������� 16+09.20���������� 12+09.40��������� ������� 12+  ������ 106.10���� � ������� ����. ��� 12+08.00�����-������. ����������� 16+08.35����� ��� ���� � ������� ���������. (��������) 16+09.25�������� ����� � �������� ��������. (��������) 16+  ���06.35����������� �����������. ������. ��� 16+08.00������� 16+08.20������� "� ��� ����������!" 12+  ��������06.30� ������ ����� �����; ���� � ������ ������ �� ����� ���; ��� ����� ����������; ������ �����. �����������07.30�����. ������07.50�����. ������08.10�����. ������08.30�����. ������08.50�����. ������09.10�����. ������09.30������� � ��������. ��������������� ������������� ���� ��������  �� �����06.05�����. �������� 16+07.25�������� ����� 16+07.55���� ���������-4. ���. ����� 12+  ���05.50������ 16+07.00����� "� ������". ����������� 0+07.30�������� ������. ����������� 0+08.00��� "��������� ��������" 16+09.00����� � ����. ������ 16+  ��06.30������� 14. ������ 16+  ��-306.00������������� ����������� 0+07.45������� ��������. ���. ������� 16+08.00������ � ������. ���. �����. 9 �. 16+08.30����� ����. ����. ��� 12+09.00������ �����. ���. �����. 8 �. 16+  ������� ��������06.40��� � ����� 3: ��������� �����. ���. ����� 16+08.45B�����. ���. ����� 16+  ��-2106.05�����. �������� 16+07.25�������� �����. ���. ����� 16+07.55���� ���������-4. ���. ����� 12+  ��-100005.35�������. �������. ������� 12+07.15Angry Birds � ����. ���. ����� 6+09.05����� � ��������. �����-������ 12+  ��������06.40����� ����� � �������� 16+  ������05.30�� ����� ������ � ����. �������-�������. ����� 12+07.10�������� ���������� ��������. ������-�������. ����� 12+09.00������� ������ 16+09.25����� ������ 12+  �������!06.30����� � ��������. ���������� 16+08.30����� ���������. ����� ��������� 16+09.00������-����� 16+  ���� ��06.00��������� ������������. Ufc. ���� �������� ������ ������ �������. ������ �������� ������ ���� ���������. ������ ���������� �� ��� 12+09.00������� 16+09.05��� �� ����! ������ ���� 16+  ������ ����05.20������������ �����. ����������� 16+07.00�� �� ����. ����.-�������. ������� 16+08.55������� "�����". �����. ������ 16+  ����������05.55�� � �����... 16+07.00������ �� �������. ������. ������� 16+08.20��� �������� � ��������� 16+09.00��������� ����� 12+09.40����������� "����������" 12+  �����06.00���� ������������ � �������. ����������� ������� 12+07.40������� ���. ����� 6+09.10����� �� �������. ����� 12+  Viasat Explorer06.10��������� ��������� 12+06.55������� ������� 12+08.05������� ���� 6+  Viasat History06.05��������� ������� ������� ��������� 16+07.55��������� ������ 12+  ��-1000 ������� ����05.30���������. ������. ����������� 6+06.50���-���. ����������� 6+08.45�������. ����������� 6+  5 �����06.05������������ ��������. ��� ������� �����. ������ 16+06.55���������. ����������� 16+07.45���������. ����������� 16+08.40���������. ������������ 16+09.30���������. �������� 16+  ����� � �������06.05���-�������� 16+06.55������ ���� 16+07.45����� � ������ ���������� 12+08.00����� ���������! 12+  ������� ���06.00����� ������� � ������� ����. ���������� 12+07.20������� ������� � ���� �������. ���������� 12+08.30���� ������� � �������-���������. ���������� 12+  Sony Sci-Fi06.25�������� �����: ���������. ������ 16+08.40����� 3: ��������� ���������. ���. ����� 16+  ��� ����06.10�����. ���������� ������. ���������� 6+07.25���� ������� � ����� ����. ���������� 6+09.05���� ������� � ����� ���� - 2. ���������� 6+  �����06.30����� ��� � ���� 12+07.00������� ����. ������ 16+  �������06.25����. ������� 16+08.15����. ������ 16+  ������������05.15������ ������: ����� ������. ������� 12+07.402:22. ���. ����� 16+09.30�������� �� ����. ������� 16+  ���� ����� ����05.45�����������. ����� 16+07.50��� ��� � ������. �������-�������. ����� 12+  ������������06.00������ � �����. ���. ����� 18+07.40� ������� � �����������. ���. ����� 18+09.10����. ���. ����� 18+  2�206.00������� ����������� 12+07.35��� �������� ���������. �����. ������ 16+08.35������� 2�2 16+08.40���������� 2�2. ����������� 16+09.05"����������� �����". ��������. ������.-�������. ��������� 16+  Viasat Nature06.2512 ������ � �� 12+07.15���-��� ��� 12+08.05��������� ���� - � ������ �������� 6+09.05������� 12+  ��������05.35�������� ������: ��������� �����. ���������� 16+07.10�������: ����� �� �����. ���. ����� 12+09.25�����-3. ���. ����� 16+  ��������05.00���� ������. ������� 0+07.00� ������ ����� ������! 0+07.30��� ����. ����������� 6+08.05��������. ����������� 0+09.00��� �� ���! 0+09.25���������. ����������� 0+  ��������+05.50������� �� �����. ������������ 16+07.35������ � �����. ����� 16+09.25����� ������. ��������� 16+  Sony ��06.00���� �����. ���. ����� 16+07.25���. ���. ����� 16+09.25��������� ������������. ������ 16+  ��������06.45�������� ������. �����. ��������� 16+08.10������������. ���. ����� 16+09.35�������: ������ ��� �����. ����� 16+  �����������06.30� - �������! / ������ ��������� 12+07.00������� ������  ������ 15 / ���� ��� - ��� ��� 2022 � 12+08.00����� ������. � 140-����� �. �. �������� 12+08.30�������-���  ������ 5 12+08.40������ �� ������  / ��������� ��������� ������� ������ ������ 3 / ������ 12+09.30����� � ������. ����������� ������� 12+  ������ + ����06.00�������� �. ������ 18+07.00����� �����. ������ 18+08.00��� ����� ����� �� ���������� 2. ������ 16+09.00��� ����� ����� �� ���������� 2. ������ 16+  Amedia 205.40������ �����. ������ 16+08.15��������. ������ 16+  �05.00���� � �������. ����������� 0+07.00����������. ���������� 0+08.00���� � �������. ����������� 0+  Sony Turbo06.25��� � ���������� ������. ������ 16+07.15�������� ������. ���. ����� 16+09.10������� �����. ���. ����� 16+  ViP Premiere06.10�� �������. ����. ����� 18+08.05���� ������. ���. ����� 16+09.45�� ����. ����� 18+  ViP Megahit05.45������: ����� ������ ����. ����� 12+07.15���������� ����. ����. ����� 18+09.15��������� ���� �������. ���. ����� 18+  ViP Comedy05.30������� ������� � ������ �������. ��������� ������� 16+06.55����������� �������� ��������. ��������� ������� 16+08.10��������. ���. ����� 18+09.40��� ���������� ������� ��-���������. ������. ������� 18+  HD Life06.35�������� ����� �������. 003 ������� 2022 12+07.05������� ����� �����. ������ 2018 12+08.15�������� ����� �������. 004 ������� 2022 12+08.45����. ��������� ����� ������ ������ 6+  ���06.00��������. ���. ����� 12+07.20������� ��� ����� 12+07.35�� ���� � ������������ 12+07.50������� ������ 12+08.45����� � �������. ���������� 0+09.00��� ��-��������� 16+09.45��������� 12+  Amedia 105.25���������� ��-�������������. ������ 16+07.00���� ���������. ������ 16+07.50���� ���������. ������ 16+08.40���� ���������. ������ 16+09.35���� ���������. ������ 16+  Amedia Premium HD05.45���� ������������. ������ 16+08.05������ �������. ������ 16+09.15���� ��������������� �� �������. ������ 16+  TV-��������05.00���� ������ 12+  ������������� HD06.35������������� ��������. ����. ������� 18+08.15�� ����� ����. ������ 18+09.45���� �������. ����� 18+  ����������� HD06.20���� ��������. ���������� 12+07.50�������. �������� �������. ���������� 12+09.05������� 51. ���������� 16+  ��������� �������� �����������06.45�������� ������. �����. ����� ������ 18+08.10������ ���������. ����� ������ 18+09.35������������� �����. ����� ������ 18+  ��� ���� ���06.30����� ������ ����. ������� 12+06.55�����. ����� ������������ ��������� 16+07.45���������� ��������� ����� 12+08.20������ ���� ����� 12+09.00����� ������ ����. ��������� ���� 12+09.30����� ������ ����. ��������� ����� 12+  ������06.30���� � ������! ������ ������ 12+06.55�����������. ���� 12+07.25���. ��� � ���� 12+07.50������ ��������: ����� �� ������� 12+08.40������������. ����� �����! 12+09.30����� ��������. ������ ������ 12+ ������� ������ ������...�������������: �������  ������  �������������� � ��������� ������� �������� ���������  �����������������Sony TurboSony ��Sony Sci-Fi2�25 �����Amedia 1Amedia 2Amedia Premium HDHD LifeHollywoodParamount Comedy RussiaTV-��������ViP ComedyViP MegahitViP PremiereViasat ActionViasat ExplorerViasat HistoryViasat Nature�������������������� ������������ ����������������������������������+������������������������������������������������������������� ���� ��������������� �������������� �������� ������������������ ����� ������������������������������ HD����� � ������������� ���������������� HD������������������!���-������������������ ���������� 1������� ������������� �������-1000��-1000 ������� ������-21��-3���4������ + �������  ��� ������������������������������� ������ �   ��   �������� �����������-����������������� ������� |���� �������© 2006—2023 ��������������� ���</t>
  </si>
  <si>
    <t>tv.cmlt.tv</t>
  </si>
  <si>
    <t>Программа передач телеканала СТС на сегодня</t>
  </si>
  <si>
    <t>Полная программа передач канала СТС на сегодня и неделю вперед. Не пропусти ничего интересного! Будь в курсе!</t>
  </si>
  <si>
    <t>https://ctc.ru/programm/</t>
  </si>
  <si>
    <t>СТС – официальный сайт телеканалаYou need to enable JavaScript to run this app.</t>
  </si>
  <si>
    <t>ctc.ru</t>
  </si>
  <si>
    <t>Программа передач на сегодня на все тв каналы.</t>
  </si>
  <si>
    <t>Всегда свежая программа передач на популярные тв каналы на сегодня и завтра. Полная телепрограмма на неделю.</t>
  </si>
  <si>
    <t>https://www.glaz.tv/program/</t>
  </si>
  <si>
    <t>Глаз.ТВ онлайн - смотреть тв и слушать радио в прямом эфире бесплатно! +Веб-камеры.  ТВ(44+)Камеры(250+)Радио(500+)  Топ каналов онлайнВсе онлайн ТВ (44+)Телепрограмма Топ вебкамер онлайнВсе онлайн веб-камеры (250+)Веб-камеры на карте мираТоп радио онлайнВсе онлайн радио (500+)Cмотрите онлайн ТВ в прямом эфире бесплатноНа сайте Глаз.ТВ вы можете смотреть онлайн ТВ и веб-камеры мира слушать радио – всё в прямом эфире без регистрации и совершенно бесплатно!В Интернете есть много источников трансляций которые ведут вещание онлайн. Мы собрали их на одном сайте и регулярно следим за работоспособностью каждого. Вы имеете возможность выбирать из множества бесплатных ТВ-каналов и радиостанций – от центральных и популярных до малоизвестных которые ведут вещание исключительно через Интернет.Мы основательно подошли к делу и постарались учесть недостатки похожих интернет-ресурсов. У нас нет и не будет страниц сильно залепленных рекламой а также огромного количества "мертвых" источников онлайн трансляций.На Глаз.ТВ вы можете искать телеканалы в прямом эфире веб-камеры радио по любым параметрам – как по отдельности так и сразу по всему сайту. У нас вы легко найдете что посмотреть и послушать. При этом вы можете составить свой избранный список онлайн каналов и легко переключаться между ними (для этого уже необходимо зарегистрироваться что легко сделать в пару кликов).Команда Глаз.ТВ желает вам приятного просмотра и прослушивания!О проектеПомощьКонтактыПолная версия↑ Вверх&amp;ТВ онлайн            /            О проекте            /                        Помощь            /            Контакты/Полная версияПравообладателям            /            Условия использования</t>
  </si>
  <si>
    <t>www.glaz.tv</t>
  </si>
  <si>
    <t>Программа ТВ-передач в Новосибирске</t>
  </si>
  <si>
    <t>Телепрограмма — онлайн расписание телепередач на сегодня, на завтра, на неделю в Новосибирске. Все каналы и телепередачи по времени и дате.</t>
  </si>
  <si>
    <t>https://2090000.ru/programma-peredach/</t>
  </si>
  <si>
    <t>Телепрограмма ТВ-3</t>
  </si>
  <si>
    <t>https://tv3.ru/schedule</t>
  </si>
  <si>
    <t xml:space="preserve">Официальный сайт канала ТВ-3ЭфирТелепрограммаПроектыСобытияКастингиПоследний герой. Остаться семьёйПоследний герой. Остаться семьёйПоследний герой. Остаться семьёйсуббота 17:00 • 16+СмотретьТрейлерСтой! Не то мама будет гадатьпн-чт 19:30 • 16+СмотретьДва пути к успехус 13 ноября 22:45 • 16+ТрейлерСмотреть эфир03:00МультфильмыДалее04:45Секреты здоровья3 сезон 10 выпускДалее05:00Вкусно с Ляйсан3 сезон 9 выпускВся телепрограмма05:30Новый день10 сезон 6 выпускВся телепрограммаНовые серии01:13:18В новом сезоне шоу «Последний герой» две команды по 7 человек в каждой должны будут провести до 30 дней в первозданных джунглях островов Таиланда сражаясь со стихией голодом опасными животными насекомыми друг с другом — и со своим «внутренним дикарём».16+Последний герой. Остаться семьёй3 выпуск27:24Победитель «Битвы экстрасенсов» Влад Череватый сел за руль городского такси и подвозит случайных пассажиров. Во время короткой поездки экстрасенс рассказывает о людях сидящих на заднем сиденье вещи которые приводят их в шок. Откуда он знает их тайны мысли желания?16+ЭКСТРА Такси14 выпуск23:51В новом выпуске кулинарного шоу в гости к Ляйсан пришёл певец Денис Клявер. Вместе они приготовили фасолевый суп.16+Вкусно с Ляйсан3 сезон 9 выпуск44:26Слово за слово и Санем с Полен проходят внутрь чтобы подождать Джана. В непонимании что делать Санем набирает Османа. Джан крайне удивился увидев двух девушек у себя дома. Сможет ли Санем наконец признаться в своих чувствах?16+Ранняя пташка26 серия50:15Маше 31 год но по своему развитию она как 5-6-летний ребенок. Каждый день она выносила мусорные пакеты в контейнеры недалеко от дома. Но 6 сентября 2023 года девушка ушла с мусором и не вернулась. / 17 сентября 2023 года пенсионерка Ирина Фомина ушла в лес. Она планировала быстро набрать белых грибов и вернуться. Спустя несколько часов Ирина Борисовна позвонила мужу и сказала что заблудилась и не может выйти. А потом ее телефон перестал отвечать.16+Вернувшиеся5 сезон 9 выпуск57:57Быстров и Татьяна Васильевна случайно меняются телефонами. Гусев отправляет Полину расследовать дело близкой подруги. Быстров узнаёт что у Софы сложности в семье.16+Стой! Не то мама будет гадать8 серия. Двойной удар25:32Кристине Короткой 29 лет. В жизни Кристины не было человека который мог бы подсказать ей в каком направлении развиваться. Девушке пришлось рано повзрослеть. Ей удалось справиться с наркотической зависимостью но алкоголь она продолжает употреблять и сейчас. Кристина хочет понять для чего она родилась и в чем её предназначение.12+Новый день10 сезон 6 выпуск15:14Менопауза для многих звучит как приговор. В нашей программе акушер-гинеколог развеет все мифы о менопаузе и расскажет что нужно сделать чтобы этот процесс не повлиял на здоровье и качество жизни.16+Секреты здоровья3 сезон 10 выпуск40:58Санем вызывает восторг у заказчицы госпожи Ремеде. Эмре говорит Айлин о паузе в отношениях и девушка в ответ задумывает неладное. Тётя Ремеде закрывает Джана и Санем в одном пространстве. Смогут ли договориться влюбленные?16+Ранняя пташка25 серия59:34Быстров сдаётся и сам привозит маму на место нового убийства: кладбище. Татьяна Васильевна пытается заново влюбить Полину в Быстрова. Гусев приглашает Татьяну Васильевну на свидание.16+Стой! Не то мама будет гадать7 серия. Живой мертвец23:57СуперЖенщина — викторина на тему кулинарии обустройства дома и воспитания детей. Чтобы выиграть денежный приз и титул суперженщины домохозяйкам нужно пройти ряд испытаний.16+СуперЖенщина10 выпуск23:45Семейная пара страдает от бессонницы и кошмаров. Более того аномалии из мира сновидений стали одолевать супругов наяву. Нам удается подтвердить что супруги в обычной жизни подвергаются странному необъяснимому воздействию.16+Охотники за привидениямиБессонница01:24:52В новом сезоне шоу «Последний герой» две команды по 7 человек в каждой должны будут провести до 30 дней в первозданных джунглях островов Таиланда сражаясь со стихией голодом опасными животными насекомыми друг с другом — и со своим «внутренним дикарём».16+Последний герой. Остаться семьёй2 выпуск52:401972 год. Однажды услышав песни Робертино Лоретти 12-летний школьник из Люберец Юра тоже начинает петь. Сначала он стесняется этого. Но благодаря наставничеству молодой учительницы музыки Варвары Юра развивает свой талант и решается пройти прослушивание в хор.16+Хор12 серия43:15Мевкебе устраивает праздник на годовщину магазина. Санем винит себя за ложь и не решается все сказать Джану. Айлин приходит к дому Эмре встречает Джана и рассказывает ему о своих чувствах к его брату.16+Ранняя пташка24 серия57:32Быстров и Полина бьются над тайной гибели лучшей студентки журфака. Татьяна Васильевна проникает в молодёжную среду хотя врачи и Быстров требуют чтобы она занялась здоровьем.16+Стой! Не то мама будет гадать6 серия. Отличница16:01В новом выпуске программы Василиса Володина расскажет о нюансах астрологической совместимости. Приглашённый эксперт — репродуктолог Людмила Вовк.16+Хорошие новости с Василисой Володиной45 выпуск24:03На фотографиях мужчины сделанных во время празднования его сорокалетия проявилось странное изображение. Команде программы удалось подтвердить аномалию и получить на фото изображение призрака. Похоже это проекция покойной бабушки нашего героя.16+Охотники за привидениямиАналоговое привидение27:02Победитель «Битвы экстрасенсов» Влад Череватый сел за руль городского такси и подвозит случайных пассажиров. Во время короткой поездки экстрасенс рассказывает о людях сидящих на заднем сиденье вещи которые приводят их в шок. Откуда он знает их тайны мысли желания?16+ЭКСТРА Такси13 выпуск44:24Джейджей пришел домой за Санем а Дерен просит её перед уходом закончить начатое дело. Для этого девушке нужно пойти домой к Джану — забрать досье чтобы его доделать.16+Ранняя пташка23 серия42:59Викторина в которой участник пытается выиграть приз не для себя а для другого — своего близкого который этого достоин.16+Дороже денег7 выпуск59:29Быстров и Полина расследуют убийство в бизнес-центре но всё осложняется тем что мама постирала удостоверение Быстрова. Татьяна Васильевна берёт в помощники охранника бизнес-центра который начинает занимать в её жизни место сына.16+Стой! Не то мама будет гадать5 серия. Не срослось50:221972 год. Однажды услышав песни Робертино Лоретти 12-летний школьник из Люберец Юра тоже начинает петь. Сначала он стесняется этого. Но благодаря наставничеству молодой учительницы музыки Варвары Юра развивает свой талант и решается пройти прослушивание в хор.16+Хор11 серия48:103 сентября 2023 года 7-летняя Аврора Голендухина вместе с 3-летнем братом Матвеем пока их папа спал вышли из дома на улицу. А когда спустя два часа отец проснулся дети бесследно исчезли. Родственники в течение двух часов пытались найти детей самостоятельно но потом подали заявление в полицию и обратились в поисковый отряд «ЛизаАлерт».16+Вернувшиеся5 сезон 8 выпуск43:25Санем не выходит в офис. Вместо этого девушка решает быть в магазине родителей. Джан приходит за ней но она отказывается идти с ним. Тогда красавчик решает остаться ждать у магазина. В офисе переполох из-за того что Санем не пришла на совещание. Джан пытается с ней поговорить.16+Ранняя пташка22 серия57:41Быстров ищет убийцу гинеколога которого отравили прямо на рабочем месте. Гусев проговаривается Татьяне Васильевне что Быстров был женат. Расследуя дело Татьяна Васильевна и Вадик устраивают загул по ресторанам.16+Стой! Не то мама будет гадать4 серия. Цвет преступления — жёлтый24:1133 года своей жизни Елизавета Лысенко провела в постоянном страхе. Девушка все время боялась того что могут подумать и сказать окружающие. Но несколько лет назад произошла ситуация после которой Лиза поняла что так жить дальше нельзя и что она не сможет всю жизнь бегать от своих страхов. Она обратилась к экспертам программы «Новый день» чтобы они помогли ей побороть внутренние зажимы и полностью изменить жизнь.12+Новый день10 сезон 5 выпуск52:171972 год. Однажды услышав песни Робертино Лоретти 12-летний школьник из Люберец Юра тоже начинает петь. Сначала он стесняется этого. Но благодаря наставничеству молодой учительницы музыки Варвары Юра развивает свой талант и решается пройти прослушивание в хор.16+Хор10 серия24:05Две подружки решили подзаработать лёгких денег и открыли гадальный интернет-салон. Разводить клиентов через экран компьютера было легко и весело до тех пор пока среди обратившихся к девушкам за «пророчествами» не появилась настоящая гадалка-колдунья.16+Охотники за привидениямиИнтернет-ведьма42:11Санем участвует в креативном собрании компании. Лейла с Эмре летят на семинар в Анкару. Музафер открывает магазин нижнего белья а Мевкебе продолжает попытки похудеть.16+Ранняя пташка21 серия01:38:19Герои нового сезона легендарного проекта прибывают на остров. Их ждут первые испытания первое прощание и первые скандалы. Кто покинет проект?16+Последний герой. Остаться семьёй1 выпуск24:16Видеорегистратор автомобиля зафиксировал странное «поведение» впереди идущей машины. Опасное маневрирование и остановка на пустой дороге. Водитель и его супруга ехавшие в автомобиле утверждают что навстречу несся другой автомобиль.16+Охотники за привидениямиГиблое место24:10СуперЖенщина — викторина на тему кулинарии обустройства дома и воспитания детей. Чтобы выиграть денежный приз и титул суперженщины домохозяйкам нужно пройти ряд испытаний.16+СуперЖенщина9 выпуск54:55СК расследует убийство молодого курьера который подрабатывал на стороне и к Быстрову и Полине прикрепляют коллегу из другого подразделения. К ужасу Быстрова весь отдел знакомится с его мамой. Татьяна Васильевна по настоянию сына пытается найти работу.16+Стой! Не то мама будет гадать3 серия. Доставлено50:471972 год. Однажды услышав песни Робертино Лоретти 12-летний школьник из Люберец Юра тоже начинает петь. Сначала он стесняется этого. Но благодаря наставничеству молодой учительницы музыки Варвары Юра развивает свой талант и решается пройти прослушивание в хор.16+Хор9 серия23:47Старинный оберег выкопанный из древнего захоронения сводит с ума профессионального «расхитителя гробниц». Только сам «черный копатель» не понимает этого и надеясь выгодно продать скрывает свою находку. Экстрасенс Денис Холодницкий сумеет остановить паранормальные проявления и убедить мужчину вернуть древний амулет на место.16+Охотники за привидениямиЧёрный Копатель15:19В этом выпуске мы поговорим о таком редком и пугающем явлении как стремительные или внезапные роды. Героиня которая родила в машине по дороге в роддом поделится своим опытом и расскажет что ей помогло в этой ситуации. А доктор Юрьева даст советы как себя вести если у вас или у кого-то в вашем присутствии начались роды.16+Секреты здоровья3 сезон 9 выпуск49:04Быстров и Полина расследуют убийство молодого адвоката которое пытались выдать за несчастный случай. Татьяна Васильевна присоединяется к расследованию втайне от сына чтобы доказать что её дар — реальность.16+Стой! Не то мама будет гадать2 серия. Килька43:31Москвичка Наталия всегда панически боялась Хэллоуина. Но она мать двоих детей которые учатся в школе с английским уклоном. Ежегодно детям нужно приносить в школу тыкву и наряжаться в костюмы. Однажды чтобы побороть страх она согласилась на фотосессию в нарядах на Хэллоуин...16+Кадони шоу5 выпуск23:53В семье москвичей непонятные происшествия. У женщины вдруг открылся дар предвидения и направлен он исключительно на то чтобы оберегать а точнее спасать своего мужа от всевозможных несчастий. Причем как выявляет наше наблюдение присутствует целенаправленное негативное воздействие с реальной угрозой для жизни мужчины.16+Охотники за привидениямиКвест51:191972 год. Однажды услышав песни Робертино Лоретти 12-летний школьник из Люберец Юра тоже начинает петь. Сначала он стесняется этого. Но благодаря наставничеству молодой учительницы музыки Варвары Юра развивает свой талант и решается пройти прослушивание в хор.16+Хор8 серия24:08Победитель «Битвы экстрасенсов» Влад Череватый сел за руль городского такси и подвозит случайных пассажиров. Во время короткой поездки экстрасенс рассказывает о людях сидящих на заднем сиденье вещи которые приводят их в шок. Откуда он знает их тайны мысли желания?16+ЭКСТРА Такси12 выпуск44:28Героиня шестого выпуска Лилия Котяш — мать пятерых детей и бабушка двоих внуков. Когда женщина была беременна пятым ребенком от нее ушел муж который содержал семью. Несмотря на непростую судьбу Лилия никогда не унывала и всю жизнь во всем старалась помогать друзьям и знакомым. Старшая дочь Лилии Елизавета старается справиться с непростыми вопросами игры чтобы заработать для мамы максимальную сумму.16+Дороже денег6 выпуск23:36В новом выпуске кулинарного шоу в гости к Ляйсан пришёл актёр Михаил Полицеймако. Вместе они приготовили сладкую и солёную гречневую кашу.16+Вкусно с Ляйсан3 сезон 7 выпуск50:471972 год. Однажды услышав песни Робертино Лоретти 12-летний школьник из Люберец Юра тоже начинает петь. Сначала он стесняется этого. Но благодаря наставничеству молодой учительницы музыки Варвары Юра развивает свой талант и решается пройти прослушивание в хор.16+Хор7 серия15:47В новом выпуске еженедельной программы Василиса Володина расскажет о том когда лучше воплощать важные дела в ноябре и о секретах астрологической совместимости.16+Хорошие новости с Василисой Володиной44 выпуск51:40В августе 2021 года родители привезли 6-летнего Серёжу Шугаипова на охотничью заимку где жили и работали его бабушка и дедушка. Каждый день мальчик играл с собакой возле бабушкиного дома. Но в один из дней Сережа бесследно исчез. / 28-летняя Ольга Кислова узнала что беременна снова. В один из дней муж обеспокоенный странным состоянием Оли вызвал скорую. Но когда он предупредил жену что ждет врача девушка неожиданно выскочила из квартиры.16+Вернувшиеся5 сезон 7 выпуск24:44Год назад в жизни 48-летней Евгении Давиденко произошла беда — у ее мамы случился инсульт. Евгении пришлось оставить работу и посвятить всё своё время уходу за мамой. Любимый мужчина такого режима не выдержал и ушел к другой. Сейчас Евгения мечтает вновь обрести себя. Она хочет вспомнить какой она была до всех травмирующих событий и понять куда ей двигаться дальше.12+Новый день10 сезон 4 выпуск23:50Муж с женой ведут спортивный видео блог. Для этого у них в квартире оборудована небольшая студия. Ночью видеоаппаратура сама по себе включилась и зафиксировала как женщина в бессознательном состоянии приступила к тренировке. Команда «охотников» подключилась к расследованию.16+Охотники за привидениямиМёртвая вода50:241972 год. Однажды услышав песни Робертино Лоретти 12-летний школьник из Люберец Юра тоже начинает петь. Сначала он стесняется этого. Но благодаря наставничеству молодой учительницы музыки Варвары Юра развивает свой талант и решается пройти прослушивание в хор.16+Хор6 серия15:54Все знают о витаминах но мало кто понимает сколько их нужно и где их взять. Действительно ли можно набраться витаминами за лето? Можно ли получать необходимое количество витаминов только благодаря правильному питанию? На эти и много других актуальных вопросов ответит врач-нутрициолог.16+Секреты здоровья3 сезон 8 выпуск23:59СуперЖенщина — викторина на тему кулинарии обустройства дома и воспитания детей. Чтобы выиграть денежный приз и титул суперженщины домохозяйкам нужно пройти ряд испытаний.16+СуперЖенщина8 выпуск51:56К следователю Артёму Быстрову которого начальник за вечный бардак с бумагами грозится перевести в архив неожиданно приезжает мама из Екатеринбурга — Татьяна Васильевна. На месте преступления куда она увязалась за Быстровым у мамы неожиданно открывается дар. Быстров в дар не верит. И пока не знает по какой причине на самом деле мама срочно приехала в Москву.16+Стой! Не то мама будет гадать1 серия. Святой человек23:51В семье москвичей происходят чудеса с холодильником точнее с продуктами в нём. Там появляется то чего туда никто не помещал а хозяева в состоянии транса употребляют эту инфернальную еду. Экстрасенс Денис Холодницкий проведет обряд и устранит аномальные проявления.16+Охотники за привидениямиХудеющий43:09Компания друзей из сибирского городка Ангарск смеясь вызывали домового шутя говорили с демонами и понарошку продавали душу дьяволу. Они снимали пародии на «спиритические сеансы» и высмеивали людей одержимых дьяволом. Игры кончились когда однажды эти самые ролики стали их кошмаром наяву.16+Кадони шоу4 выпуск51:151972 год. Однажды услышав песни Робертино Лоретти 12-летний школьник из Люберец Юра тоже начинает петь. Сначала он стесняется этого. Но благодаря наставничеству молодой учительницы музыки Варвары Юра развивает свой талант и решается пройти прослушивание в хор.16+Хор5 серияСмотрите в эфире00:35В новой серии «Последнего героя» Виолетта Чиковани ворвалась в проект со скандалом. Как это изменит расклад сил на острове? «Последний герой. Остаться семьёй» в субботу в 17:00.16+Последний герой. Остаться семьёйЧто изменится с появлением джокеров? | суббота 17:0000:40Бизнес-коуч с 25-летним стажем разложит по полочкам бизнес-стратегию. Астролог и энергопрактик составит натальные карты. «Два пути к успеху» с 13 ноября в 22:45.16+Два пути к успехуШоу о простых людях и их заветной мечте | с 13 ноября 22:4500:55Новое народное караоке-шоу. Смогут ли звёзды угадать кто споёт на 100 баллов? И смогут ли сами доказать что поют великолепно? «Вы поёте великолепно» скоро на ТВ-3.16+Вы поёте великолепноПремьера | скоро00:35Ваше любимое шоу снова на ТВ-3. Новые эксперты новые звёзды и новый сезон. Не пропустите!16+Человек-невидимкаЛегендарное шоу возвращается | скоро00:35Премьера! В новом сезоне у Ляйсан Утяшевой очень вкусно и очень звёздно. «Вкусно с Ляйсан» новый сезон в субботу в 9:30.16+Вкусно с ЛяйсанНовые звёзды новые истории | суббота 9:3000:35Просто позови — и мама сделает все. И даже больше! «Стой! Не то мама будет гадать» с понедельника по четверг в 19:30.16+Стой! Не то мама будет гадатьПремьера | пн-чт 19:3000:35Главная премьера этой осени. Звёздные семьи сойдутся в битве поколений. Смогут ли они пройти испытания и остаться семьёй? «Последний герой. Остаться семьёй» в субботу в 17:00.16+Последний герой. Остаться семьёйНовый сезон | суббота 17:0000:30Настоящее удивление настоящий шок настоящие слезы. Чем закончится встреча с настоящим экстрасенсом? «ЭКСТРА Такси» с Владом Череватым в пятницу в 16:45.16+ЭКСТРА ТаксиПремьера | пятница 16:4500:35Премьера! Это не нормально это — паранормально. Это — «Кадони шоу»! В понедельник в 14:30 на ТВ-3.16+Кадони шоуЭто паранормально | понедельник 14:3000:35Скажи-ка зритель ведь недаром в Таиланде остров пышет жаром и смотрит вся страна? Здесь испытания не простые да говорят ещё какие! Сезон запомнит вся Россия. Идёт Бородина. «Последний герой. Остаться семьёй» суббота в 17:00.16+Последний герой. Остаться семьёйПремьера | суббота 17:0000:30Премьера! В новом сезоне любимого проекта не пропустите свой лучший новый день! «Новый день» в пятницу в 11:15.12+Новый деньПришло время меняться | пятница 11:1500:20Экстрасенс Влад Череватый готов прочесть каждого вытянуть самое сокровенное наружу. Будьте готовы к встрече с неизведанным. Смотрите новое шоу «ЭКСТРА Такси» в пятницу в 16:45.16+ЭКСТРА ТаксиПрисоединяйтесь к поездке | пятница в 16:4500:20Птаха уже участвовал в проекте и как никто другой знает насколько тяжело выживать на острове. Рэпер снова поборется за звание последнего героя и готов к любым испытаниям. «Последний герой. Остаться семьёй» в субботу в 17:00.16+Последний герой. Остаться семьёйЗачем Птаха приехал на остров? | суббота 17:0000:25Вы выиграли один миллион рублей и решили его отдать своему другу родственнику или человеку которому эти деньги нужнее. Невероятно но именно так поступят участники нового шоу на ТВ-3 с ведущей Анной Хилькевич. «Дороже денег» в воскресенье в 9:00.16+Дороже денегЧто может быть дороже денег? | воскресенье 9:0000:30Новые невероятные истории. Новые паранормальные дела. «Охотники за привидениями» с понедельника по четверг в 14:00.16+Охотники за привидениямиНовый сезон | пн-чт 14:0000:25Легендарный проект возвращается! Новые участники новые испытания новый остров. «Последний герой. Остаться семьёй» в субботу в 17:00.16+Последний герой. Остаться семьёйГлавная премьера осени | суббота 17:0000:40Даже у самого крутого копа есть мама. А у этой мамы есть суперсила! Инга Оболдина Михаил Кремер. «Стой! Не то мама будет гадать» с понедельника по четверг 19:30.16+Стой! Не то мама будет гадатьДетектив с Ингой Оболдиной и Михаилом Кремером | пн-чт 19:3000:15Защищать других — это в его природе. «Лесник» с понедельника по четверг в 20:45.16+ЛесникТеперь только на ТВ-3 | пн-чт 20:4500:35Таиланд — настоящий рай на земле. Но он таит множество опасностей: смертельно-ядовитые медузы и рыбы змеи-гиганты и растения-убийцы. Именно здесь участникам нового сезона предстоит выжить! «Последний герой. Остаться семьёй» в субботу в 17:00.16+Последний герой. Остаться семьёйЛегендарный проект возвращается | суббота 17:0000:30В чём секрет этого крутого копа? Гены? Интуиция? Или мама? «Стой! Не то мама будет гадать» с понедельника по четверг в 19:30.16+Стой! Не то мама будет гадатьВ чём его секрет? | пн-чт 19:3001:0064 часа которые вернут вам веру в людей. 128 невероятных историй спасения. Смотрите как в людях просыпаются герои:Врачи (новый сезон)Вернувшиеся (новый сезон)Герои16+История одного спасения00:20Сможет ли Иракли преодолеть все испытания и не потерять себя на острове? «Последний герой. Остаться семьёй» в субботу в 17:00.16+Последний герой. Остаться семьёйКак справится с испытаниями Иракли? | суббота 17:0000:35Если ты слышишь эти звуки значит скоро придёт он! Теперь только на ТВ-3. «Лесник» с понедельника по четверг в 20:45.16+ЛесникОн защитит всех | пн-чт 20:4500:35Победитель «Битвы экстрасенсов» обладатель уникального дара принимает новый вызов — вызов такси. «ЭКСТРА Такси» с Владом Череватым в пятницу в 16:45.16+ЭКСТРА ТаксиНастоящий шок | пятница 16:4520:00Певица Анна Седокова вступила в игру чтобы показать всем на что она способна. Но получится ли у нее заполучить звание последнего героя? «Последний герой. Остаться семьёй» в субботу в 17:00.16+Последний герой. Остаться семьёйПолучится ли у Анны Седоковой стать последним героем? | суббота 17:0000:35Обычные люди в обычном такси с необычным водителем. «ЭКСТРА Такси» с Владом Череватым в пятницу в 16:45.16+ЭКСТРА ТаксиОн вас удивит | пятница 16:45Успейте посмотретьБесплатно и без рекламы16+доступно до 18.11Приключенческая история о девушке с магическими способностямиЭбигейл18+доступно до 14.11Деймон вместе с дочерью Си в надежде разбогатеть заключают контракт на доставку драгоценных камней с одной из планет. Но на борту происходит поломка...Перспектива12+доступно до 15.11Человечество вынуждено спасаться от мутировавших растений-хищниковЗемля. Перезагрузка12+доступно до 11.11Известный охотник за сокровищами отправляется на поиски особенных статуэтокДоспехи Бога: Миссия Зодиак12+доступно до 11.11Фильм повествует о легендарном путешествии Тура Хейердала которому удалось добраться из Южной Америки в Полинезию на плотеКон-Тики16+доступно до 11.11Молодой и обаятельный вор Арсен Люпен ввязывается в очередную авантюруАрсен ЛюпенСобытияТВ-3 объявил дату премьеры необычного бизнес-шоуТВ-3 получил 5 наград XI конкурса «МедиаБренд»Участвуйте в конкурсеСемейный подряд: стали известны новые имена участников 10-го сезона шоу «Последний герой» на ТВ-3Выиграйте эксклюзивный призРэпер ST записал саундтрек для 10 сезона реалити-шоу «Последний герой»Получите особенный призТВ-3 раскрыл имена первых участников и дату премьеры нового семейного сезона шоу «Последний герой»Установите рамку на аватарку в ОдноклассникахПремьера нового проекта «Кадони шоу»Исполните мечту близкого человекаМатематика или эзотерика? На ТВ-3 начались съёмки необычного бизнес-шоу«Человек-невидимка» возвращается: стартовали съёмки нового сезонаНа ТВ-3 стартует 3-й сезон шоу «Вкусно с Ляйсан»Финансовый прогноз от Василисы ВолодинойЭксклюзивные кадры со съёмок сериала «СуперИвановы»Ух горячо! Новый сериал с Джаном Яманом в главной ролиВ гостях у СуперИвановых! Как создавался самый волшебный дом?Влад Череватый стал первым таксистом-экстрасенсомХотите узнать суперсилу своей семьи и получить семейный портрет от нейросети?Узнайте суперсилу своей семьиТВ-3 и NOFILTERS создали уникальные магические свечиТимур Батрутдинов и Ольга Серябкина стали ведущими караоке-шоуЗапуск нового сезона легендарного проекта «Последний герой» СуперхитыВыбор ТВ-3СуперИвановыИсторикДокументалист: Охотник за признакамиФантомЧернобыль: Зона отчуждения. Финал.Моими глазамиСтарецГадалкаСлепаяГоголь. ВийГоголь. НачалоГоголь. Страшная местьГоголь. КиносериалМертвое озероОбычная женщина. Нерассказанная историяЧернобыль 2. Зона отчужденияЭксклюзив с острова00:33Анна Седокова расскажет об особенностях жизни на необитаемом острове.16+Последний герой. Остаться семьёйЭкскурсия по острову от Анны Седоковой00:40Виолетта Чиковани проведёт экскурсию по острову Тигров. Отличается ли он от острова Слонов?16+Последний герой. Остаться семьёйКак живут на острове Тигров?00:34Как участники проекта используют банановые шкурки? Из чего едят? И что они хранят в ящике? Обо всём этом расскажет Птаха в эксклюзивной экскурсии по острову.16+Последний герой. Остаться семьёйЭкскурсия по острову СлоновКрасотаЧемпионка мира и Европы по академической гребле Елена Оборина рассказала как подтянуть тело всего за 2 недели! Смотрите эксклюзивную подборку упражнений только в программе «Женский журнал».16+Женский журналКомплекс упражнений для всего тела от чемпионки мира Елены Обориной07:12Чтобы иметь красивую подтянутую фигуру нужно проводить все свободное время в зале? Необязательно! Инна Маликова покажет эффективные упражнения которые не займут много времени.16+Женский журналЭффективная тренировка от Инны Маликовой05:11Наташа Гасанханова поделится рецептом бюджетной маски из ламинарии. Смотрите новые выпуски "Женского журнала" по субботам в 10:00.16+Женский журналКак выглядеть на миллион заплатив только 150 рублей?11:19Хотите выглядеть неотразимо? Катя Лель расскажет как это сделать и раскроет секреты настоящего звездного макияжа. Не пропустите новые выпуски шоу "Женский журнал" каждую субботу в 10:00.16+Женский журналЗвездный макияж от Кати Лель09:08Смотрите спортивную рубрику с Надеждой Ангарской. Не пропустите новые выпуски шоу "Женский журнал" каждую субботу в 10:00.16+Женский журналУпражнения от Надежды Ангарской10:10Готовите изысканное блюдо в которое нужно добавить вино но нет штопора? Эти лайфхаки для вас. Вместе с Татьяной Котовой вы узнаете несколько способов как открыть бутылку подручными средствами.16+Женский журналКак открыть бутылку без штопора?08:59Как самостоятельно и эффективно справиться с отёками на лице расскажет врач-косметолог Мария Польнер и Елена Ханга.16+Женский журналСамомассаж от отёковЗдоровье00:55При проведении процедуры ЭКО можно выбрать пол ребёнка? Дети рождённые при помощи ЭКО будут в будущем бесплодными? С первой попытки ЭКО забеременеть невозможно? Ведущие программы «Секреты здоровья» расскажут что из этого правда а что — миф.16+Правда или мифПри проведении ЭКО можно выбрать пол ребёнка?01:50Проблемы с аденоидами передаются по наследству? Частые ангины можно лечить мороженым? Удаление аденоид может ухудшить ситуацию? Ведущие программы «Секреты здоровья» ответят на эти вопросы в рубрике «Правда или миф».16+Правда или мифЧастые ангины можно лечить мороженым?01:31Близость между мужчиной и женщиной может спровоцировать роды? Эпидуральная анестезия опасна для ребёнка? Женщины могут рожать благодаря природному обезболивающему а мужчины бы лишились рассудка от такой боли? Ведущие программы «Секреты здоровья» расскажут что из этого является правдой а что — распространённый миф.16+Правда или мифЭпидуральная анестезия вредит ребёнку?01:14Вакцинация вызывает аутизм? У вакцинированных людей меняется ДНК? И действительно ли с помощью вакцины можно чипировать людей? Смотрите рубрику "Правда или миф" и все узнаете!16+Правда или мифВся правда о вакцинации02:29Чем старше родители — тем умнее их дети? Или каждый ребенок рождается гением? Ведущие программы «Секреты здоровья» расскажут что из этого — правда а что — миф.16+Правда или мифУ взрослых родителей рождаются гении?01:30Правда ли что после рождения ребенка интимная жизнь становится хуже? Или всё-таки лучше? Анна Демидович и Екатерина Юрьева развеют устоявшиеся мифы об этой теме.16+Правда или мифПравда и мифы об интимной жизни после родов01:56У тревожной матери вырастут тревожные дети? Повышенная тревога вызывает физические болезни? Екатерина Юрьева и Анна Демидович расскажут какие факты о тревоге правдивы а какие — нет.16+Правда или мифТревожность провоцирует заболевания?01:55Почему после родов опасно принимать ванну? Послеродовой бандаж помогает убрать живот? Ведущие программы «Секреты здоровья» ответят на эти и другие вопросы о периоде восстановления после родов.16+Правда или мифМифы о восстановлении после родов03:00Как вы думаете действительно ли дети всегда похожи на папу когда рождаются? Ученые даже проводили исследования чтобы узнать так ли это на самом деле. Смотрите нашу рубрику «Правда или миф» и все узнаете.16+Правда или мифВсе дети при рождении похожи на папу?01:13Нужно ли соблюдать строгую диету при грудном вскармливании? Нужно ли кормящим мамам пить чай с молоком? Влияет ли тип питания на иммунитет?16+Правда или мифКормление смесью снижает иммунитет?Вкусно с ЛяйсанОливье от Натальи МедведевойСладкая и солёная гречневая каша от Михаила ПолицеймакоБаклажанная икра от Веры СотниковойПирожки с капустой и яйцом от Влада КадониШарлотка с яблоками от Саши ШанкараРыба в маринаде от Анны ШатиловойСлоёные язычки от Павла АртемьеваСалат с брынзой от Дарьи ДонцовойДетское печенье от Юлии КовальТонкие блины с конфитюром из ягод от Павла ВолиВареники с вишней от победительницы конкурса ТВ-3 Ольги КарьевойОкрошка на квасе от Алёны АпинойСладкие и несладкие сырники от Екатерины ВолковойБаклажанная икра от Кати ЛельБорщ по рецепту бабушки Ксении от Василисы ВолодинойОмлет по-сходненски от Дмитрия ГуберниеваУральские шанежки от Светланы ПермяковойЩавелевый борщ от Татьяны КотовойКотлеты с картофельным пюре от Жени МедведевойКурица со свекольным салатом от Аллы ДуховойПасхальный кулич от Глюк'оZыОмлет с яблоками от Елены ХангиКараимские пирожки от Наташи ГасанхановойМанты с квашеной капустой от Надежды АнгарскойМакароны по-флотски от ДавыДомашние пельмени от МигеляКастингиУчаствуйте в кастинге в социальную викторину «Дороже денег» с Анной Хилькевич и получите шанс помочь близкому человеку.Выиграйте денежный призИзмените не только внешность но и судьбуРасскажите невероятную историю о большом подвигеПроекты в эфиреПроекты в эфиреПоследний герой. Остаться семьёйСтой! Не то мама будет гадатьЭКСТРА ТаксиКадони шоуДороже денегНовый деньОхотники за привидениямиВернувшиесяВкусно с ЛяйсанХорошие новости с Василисой ВолодинойСекреты здоровьяРанняя пташкаЛесникГадалкаСлепаяУтренние гаданияЗнаки судьбыМистические историиБыстрые ссылкиБыстрые ссылкиТелепрограммаПроектыЭфирКонтактыКонтактыФедеральная рекламаРеклама в Москве и городах РоссииСпонсорство и спонсорские проектыТВ-3 DigitalПресс-службаПрограммные праваЗащита авторских правОфис ТВ-3КонтактыФедеральная рекламаРеклама в Москве и городах РоссииСпонсорство и спонсорские проектыТВ-3 DigitalПресс-службаПрограммные праваЗащита авторских правОфис ТВ-3 Официальный сайт канала ТВ-3 (ООО «Телеканал ТВ3») 129090 Москва Олимпийский пр. 14 Телефон:  +7 (495) 937 40 39 E-mail: info@tv3.ru Политика конфиденциальности  Политика конфиденциальности </t>
  </si>
  <si>
    <t>tv3.ru</t>
  </si>
  <si>
    <t>Программа передач ТВ в Москве — Яндекс.Телепрограмма</t>
  </si>
  <si>
    <t>https://tv.yandex.ru/213</t>
  </si>
  <si>
    <t>ТВ-программа передач на сегодня и завтра ...</t>
  </si>
  <si>
    <t>Программа передач тв каналов на Сегодня</t>
  </si>
  <si>
    <t>Наиболее полная программа передач все каналы Беларуси на сегодня. Актуальная ТВ программа что посмотреть сегодня, расписанием и названиями телевизионных ...</t>
  </si>
  <si>
    <t>https://tv.sb.by/today/</t>
  </si>
  <si>
    <t xml:space="preserve">Программа передач на все каналы. ТВ программа Беларуси. ТелепрограммаИзданияБеларусь сегодняРэспублiкаНародная газетаСельская газетаЗнамя юностиЖурнал СПЕЦНАЗГазета СОЮЗСоюзное вечеThe Minsk TimesВести потребкооперацииСБ – Тенденции Издательский домРекламодателямМедиакитРеклама в газетеРеклама на сайтеРеклама на Альфа РадиоРекламные игрыАукционы ПроектыПартизаны БеларусиПроект 25.byНеобычайные деревниБеларусь помнитНа контроле ПрезидентаРазговор у ПрезидентаАверс и реверсМая краіна.byСапраўдныя каштоўнасціБеларусь единаяИзнанка мятежаГерои БеларусиЗемные ангелыФото СБНастоящий геноцидСвятые земли белорусскойВечные огни ПодпискаГороскопСБ ТВКонкурсы Авторы 18+Меню ×АвторыРубрикиПолитикаОбществоЭкономикаКультураСпортПроисшествияБлоги и колонкиВ миреТеленеделяШпильки#простокосмосЗдоровьеДрайвОкно в КитайМозаика жизниЖитейские вопросыСБ ТВАльфа РадиоТВ-программаИзданияБеларусь сегодняРэспублiкаНародная газетаСельская газетаЗнамя юностиЖурнал СПЕЦНАЗГазета СОЮЗСоюзное вечеThe Minsk TimesВести потребкооперацииСБ – ТенденцииИздательский домРекламодателямМедиакитРеклама в газетеРеклама на сайтеРеклама на Альфа РадиоРекламные игрыАукционыПроектыПартизаны БеларусиПроект 25.byНеобычайные деревниБеларусь помнитНа контроле ПрезидентаРазговор у ПрезидентаАверс и реверсМая краіна.byСапраўдныя каштоўнасціБеларусь единаяИзнанка мятежаГерои БеларусиЗемные ангелыФото СБНастоящий геноцидСвятые земли белорусскойВечные огниПроектыСБ ТВПартизаны БеларусиПроект 25.byНеобычайные деревниБеларусь помнитФотоконкурс "Мой родны кут"Доска почетаОтдел добрых делМилиция в фокусе СМИТесты SB.BYНа контроле ПрезидентаРазговор у ПрезидентаТемы«Будни» на Альфа РадиоУборочная кампания – 2023НейрокомиксПроект «Стратегия»Донбасс. Специальный репортажПослание Президента – 2023Экономика и предприятияСделал для РодиныВоенная операция в УкраинеПротиводействие экстремизмуИзданияБеларусь сегодняРэспублiкаНародная газетаСельская газетаЗнамя юностиЖурнал СПЕЦНАЗГазета СОЮЗСоюзное вечеThe Minsk TimesВести потребкооперацииСБ – Тенденции ТелепрограммаUSD: 3.18EUR: 3.4 Поиск На сегодняНа завтраНа неделюНа месяцИзбранные каналы                            Все каналыКино и сериалыСпортПознавательныеРазвлекательныеДетскиеМузыкаНовостныеОсновныеИнформационные Программа передач на 12 ноября30 Пн31 Вт01 Ср02 Чт03 Пт04 Сб05 Вс06 Пн07 Вт08 Ср09 Чт10 Пт11 СбСегодня Беларусь 1ОНТСТВ (Беларусь)МирРТР-БеларусьНТВ-БеларусьБеларусь 2Беларусь 3Беларусь 5Беларусь 24+ТВ365 дней ТВ8 канал (Беларусь)Amedia 2Animal PlanetBoomerangCartoon NetworkDa Vinci LearningDiscovery ChannelDiscovery ScienceEuropa Plus TVEurosport 1Eurosport 2Extreme sportsFoxFox LifeGulli GirlHistoryNat Geo WildNational Geographic ChannelNickelodeonParamount ComedySony Sci-FiSony ТВ HDTiJiTravel ChannelTravel+AdventureTV XXITV1000TV1000 ActionTV1000 РУССКОЕ КИНОViasat ExploreViasat HistoryViasat NatureVIASAT SPORTViP ComedyViP MegahitViP PremiereZee-TVАвто24Беларусь 4 (Брест)Беларусь 4 (Витебск)Беларусь 4 (Гомель)Беларусь 4 (Гродно)Беларусь 4 (Могилев)БелБизнесЧенелБелМузТВБелРосБУГ-ТВ БрестВТВДетскийДЕТСКИЙ МИРДом киноДомашнийДрайвЕврокиноЖараИллюзион +Индийское киноКарусельКинокомедияКинопремьера HDКиносвиданиеКиносемьяКинохитКомедияКультураКухня ТВМатч ТВМир сериалаМоя планетаМужское киноМужскойМультМультиманияНаукаНаш ФутболНаше любимое киноНаше новое киноНостальгияНСТОружиеОхота и рыбалкаПЕРВЫЙ ГОРОДСКОЙ ГомельПерец InternationalПсихология 21Пятница!Радость мояРетро ТВРодное киноРусский иллюзионРусский экстримСарафанСКИФ ВитебскСовершенно секретноСоюзТВ-3 (Беларусь)Телеканал 2х2Техно 24ТНТ-International (Беларусь)ТНТ-MusicУсадьбаЧеШансон-TBЭврика HDЯСНАе TV                                     Новости и статьи                                     © Беларусь Сегодня 1998- 2023.Все права принадлежат Издательскому дому «Беларусь сегодня» Издательский дом «Беларусь сегодня»Обращение граждан и юрлицУслуги реклама подпискаРеклама на сайтеСБ. ТенденцииПартизаны БеларусиНеобычайные деревниБеларусь помнитСапраўдныя каштоўнасціОбелиски великого подвигаГерои БеларусиВечные огниТесты sb.byЭлектронный музей сельской газетыПроект 25.byКонкурсы к Году народного единстваИзнанка мятежаЗемные ангелыСвятые земли белорусскойТВ-программаПроверка лотерейных билетовНовости компанийАукционыРекламные игрыКулинарные рецептыПодписка на рассылку: </t>
  </si>
  <si>
    <t>tv.sb.by</t>
  </si>
  <si>
    <t>Программа передач для ТНТ, Рен ТВ, Дождь</t>
  </si>
  <si>
    <t>Телепрограмма всех популярных телеканалов на сегодня и на завтра, программа на неделю. Фильмы, сериалы, спорт, новости.</t>
  </si>
  <si>
    <t>https://kartinacanada.com/tv</t>
  </si>
  <si>
    <t>Kartina TV Канада – лучший видеосервис стран СНГ и Израиля.Kartina TV 1-844-477-8788                                                                 ВойтиРеферальная программа РусскийEnglishKartina TVТелевидениеВозможностиПрограмма передачПодключениеО компанииПомощьКонтактыПоддержкаВопрос-ответПроверить скоростьФорумТочки продажиМагазиныДилеры Реферальная программа                                     Войти                                    Подписаться                        Более 280 каналов из России и стран СНГ                                            Повтор пропущенных программ в Архиве                                            Смотрите на разных устройствах                                            Более 30000 фильмов и сериалов                    Подключитесь сейчас!3 дня бесплатноБесплатный доступ!                                Хотите узнать как работает наш сервис? У вас есть возможность воспользоваться бесплатным доступом. При создании своего акаунта на Kartina.TV вы получаете 3 дня бесплатного просмотра.                            АктивироватьЭкономьте вместе с друзьямиДелитесь реферальным кодом с друзьями чтобы они получили скидку а вы – бонус до $50 на свой баланс. Чем больше друзей тем больше бонусов!Экономьте вместе с друзьямиОбзор сайтаПосмотрите краткий видео обзор нашего сервиса для лучшего восприятия и ознакомления с нашими услугами.В данном видео мы показываем как пользоваться сайтом приставкой и приложениями. Приятного просмотра.СмотретьПодарочная картаКартина ТВ — лучший подарок близкому человеку.Подарите 1 6 или 12 месяцев сервиса. Ваш подарок оценят.ПриобрестиKartina TV — оптимальный способ для просмотра телевиденияKartina TV идеально подходит для русскоговорящих телезрителей проживающих за рубежом. Нет необходимости устанавливать спутниковую тарелку или подключать кабельное телевидение — достаточно иметь дома выход в Интернет.Узнать подробнееИнтернет-ТВПрограмма передачБлогКлиентамTerms of Use AgreementPrivacy PolicyRefund PolicySubscription PolicyПартнерамРекламные услугиПартнёрыДилерыСвязьКонтактыВакансии Одноклассники Facebook Вконтакте Twitter Instagram Youtube                            ©                                                        RUSMEDIA CONSULTING INCТелевидение в любой точке мира</t>
  </si>
  <si>
    <t>kartinacanada.com</t>
  </si>
  <si>
    <t>Телепрограмма на сегодня - Екатеринбург Ваш город ...</t>
  </si>
  <si>
    <t>... программа 112 16+. 16:30Новости 16+. 17:00Главные тайны мира 16+. 18:00Главные тайны мира 16+. 19:00Информационная программа 112 16+. 19:30Новости 16+. 20: ...</t>
  </si>
  <si>
    <t>Телепрограмма. Программа ТВ. Программы передач тв ...</t>
  </si>
  <si>
    <t>https://tv.meta.ua/</t>
  </si>
  <si>
    <t>производственный календарь 2023</t>
  </si>
  <si>
    <t>В 2023 году в целом при пятидневной рабочей неделе с двумя выходными днями будет 247 рабочих дней, в том числе 3 сокращенных на один час рабочих дня, указанных ...</t>
  </si>
  <si>
    <t>Производственный календарь 2023</t>
  </si>
  <si>
    <t>Календарь составлен на основе Постановления Правительства РФ от 29 августа 2022 г. № 1505 "О переносе выходных дней в 2023 году". На одной страничке, ...</t>
  </si>
  <si>
    <t>https://www.garant.ru/calendar/buhpravo/</t>
  </si>
  <si>
    <t>Производственный календарь России для планирования отпуска, подсчета рабочих дней. Скачай и распечатай производственный календарь на 2023 год.</t>
  </si>
  <si>
    <t>https://www.superjob.ru/proizvodstvennyj_kalendar/2023/</t>
  </si>
  <si>
    <t>https://hh.ru/calendar</t>
  </si>
  <si>
    <t>Производственный календарь на 2023 год с ...</t>
  </si>
  <si>
    <t>Перенос выходных дней в 2023 году · с 31 декабря 2022 года по 8 января 2023 года; · с 23 по 26 февраля; · 8 марта; · с 29 апреля по 1 мая и с 6 по 9 мая; · с 10 ...</t>
  </si>
  <si>
    <t>https://buh.ru/calendar/</t>
  </si>
  <si>
    <t>Бухгалтерский учет налогообложение отчетность МСФО анализ бухгалтерской информации 1С:Бухгалтерия | БУХ.1С - сайт для современного бухгалтераНовости дняВсе новостиНовости бухучета и налогообложенияНовости автоматизацииВоинский учетЕНП и ЕНСОтчетность в СФРПрименение ФСБУАвтоматизация учетаЗаписки неадекватного главбухаБухгалтер в ответеПоддержка на фоне санкций                             Списание долгов сокращение рабочей недели повышение пенсий и освобождение от НДФЛ: самые хорошие новости недели                        10 ноября 2023                            ФНС разрешила не платить налоги с суммы выходного пособия                        10 ноября 2023                            Подготовлен законопроект о сокращении продолжительности рабочей недели                        10 ноября 2023                            Самое новое в «1С:Бухгалтерии 8»: обмен с СЭДО через оператора                        9 ноября 2023                            Правительство планирует ввести налог на сделки между взаимозависимыми компаниями                         9 ноября 2023                            Нужно ли платить НДФЛ владельцам электромобилей при бесплатном проезде по платным автодорогам                        11 ноября 2023236                             Минпромторг предложил ввести маркировку школьных учебников                        11 ноября 2023253                             Списание долгов сокращение рабочей недели повышение пенсий и освобождение от НДФЛ: самые хорошие новости недели                        10 ноября 2023576                             Полиция не сможет возбуждать административные дела против бизнеса                        10 ноября 2023348                             ФНС разрешила не платить налоги с суммы выходного пособия                        10 ноября 2023436                             Роструд объяснил может ли компания пригласить стороннего специалиста для проведения СОУТ                         10 ноября 2023458 Новости учета и налогообложенияUSDЦБ: 92.05  ₽EURЦБ: 98.32 ₽МРОТ: 16 242 ₽Ставка ЦБ: 15%Новые публикации                             Детские пособия в 2023 году: критерии нуждаемости доходы бывшего мужа и причины отмены одобренного пособия                        10 ноября 2023550                              Трудовые споры: как работник может доказать что выполнял работы сверхурочно                        10 ноября 2023324                              Как в 1С контролировать отражение УПД в системе маркировки                        09 ноября 2023563                              Изменения в налоге на имущество организаций с 2024 года                        09 ноября 2023985                              Налог на имущество физлиц за 2022 год: порядок расчета налоговые льготы и понижающие коэффициенты                        08 ноября 20231347                              Судебный вердикт: какие документы могут истребовать при камеральной налоговой проверке                        08 ноября 20231319 Все публикацииМероприятия1C:Лекторий Новое в программах 1С:ERP/1С:КА 2.5.15 и УТ 11.5.15: сверка с ФНС по имущественным налогам космический НДС сервер лояльности для 1С:РМК и многое другое                            15 ноября 2023 годаУзнать                                    больше1C:Лекторий Актуальные вопросы прослеживаемости на что обратить внимание                            16 ноября 2023 годаУзнать                                    больше1C:Лекторий Учет сомнительной (безнадежной к взысканию) задолженности в 1С:БГУ 8 ред. 2. Серия 1С:Консалтинг для госсектора                             21 ноября 2023 годаУзнать                                    больше1C:Лекторий Договоры в «1С:ERP» «1С:КА» «1С:УТ»: работа с шаблонами и оригиналами обмен в электронном виде                            23 ноября 2023 годаУзнать                                    большеВсе мероприятияПроизводственный календарьКалендарь бухгалтераЖурнал БУХ.1С№ 11 (ноябрь) за 2023 год№ 10 (октябрь) за 2023 год№ 9 (сентябрь) за 2023 год№ 8 (август) за 2023 год№ 7 (июль) за 2023 годОпрос Другие сайты 1СWWW.1С.ru1С:Линк1С-Онлайн1C:Игры1С:Предприятие 81С:Консалтинг1С Интерес1Софт1С Отраслевые решения1С:Дистрибьюция1С:ОбразованиеИТС.1C.ruОбразовательные программы1С для торговли1С:Торговая площадкаБух.1С21442 участникаПрисоединитьсяБух.1С41434 участникаУчаствоватьБух.1С12663 участникаВступитьБух.1С 8250 участниковПодписатьсяО проектеПользовательское соглашениеПравила использования материалов сайтаПравила форумаТехподдержка© ООО «1C»     (сайт)© ООО «1С-Паблишинг» (материалы)НовостиУчет и налогообложениеАвтоматизацияСтатьиФорумВидеоМероприятияПоддержка 1СПроизводственный календарьКалендарь бухгалтераКниги по программам 1СБухгалтерский ДЗЕНОставайтесь с нами</t>
  </si>
  <si>
    <t>buh.ru</t>
  </si>
  <si>
    <t>https://www.tinkoff.ru/career/blog/proivodstvennyj-kalendar-2023/</t>
  </si>
  <si>
    <t>Производственный календарь при пятидневной рабочей неделе на 2023 год: официальные выходные, праздники, помощь в расчете больничного, отпуска и заработной ...</t>
  </si>
  <si>
    <t>https://secrets.tinkoff.ru/calendar/2023/</t>
  </si>
  <si>
    <t>Бизнес-cекреты — медиа о бизнесе от банка ТинькоффМатериалыИнструкцииИдеи для бизнесаБизнес с нуляРазвитие бизнесаБезопасностьБухгалтерияЛичный опытЛюди в бизнесеОт первого лицаИсторииРеалити-шоуДневникиКейсыВсе статьиЖизнь вне работыЛичная эффективностьКниги для бизнесаВсе статьиОтраслиМаркетплейсыITРозницаСправкаВопросы-ответыШаблоны документовПроизводственный календарьСправочникКалькуляторыВажное о бизнесе раз в неделюПо субботам собираем для вас все самое важное о бизнесе и присылаем на почту. Это бесплатноПодписываясь на дайджест вы соглашаетесь с политикой конфиденциальностиШкола БизнесаМероприятияСообществоБлоги компанийСообщество в телеграмеНовостиМатериалыИнструкцииИдеи для бизнесаБизнес с нуляРазвитие бизнесаБезопасностьБухгалтерияЛичный опытЛюди в бизнесеОт первого лицаИсторииРеалити-шоуДневникиКейсыВсе статьиЖизнь вне работыЛичная эффективностьКниги для бизнесаВсе статьиОтраслиМаркетплейсыITРозницаСправкаВопросы-ответыШаблоны документовПроизводственный календарьСправочникКалькуляторыВажное о бизнесе раз в неделюПо субботам собираем для вас все самое важное о бизнесе и присылаем на почту. Это бесплатноПодписываясь на дайджест вы соглашаетесь с политикой конфиденциальностиБесплатно открыть ИП и счет для бизнесаШкола БизнесаМероприятияСообществоБлоги компанийСообщество в телеграмеНовостиОткрыть ИПОткрыть ИПИдеи для бизнесаБизнес с нуляРазвитие бизнесаЛичный опытЖизнь вне работыСправочникИдеи для бизнесаБизнес с нуляРазвитие бизнесаЛичный опытЖизнь вне работыСправочник«Пе­рек­лю­чение кон­тек­ста — од­на из са­мых до­рогих опе­раций в го­лове» — Гер­ман Гав­ри­лов об ос­но­вах уп­равле­ния#бизнес-процессы#ит#личный опыт#мненияВедем бизнес к ответамКак открыть бизнесЧто продавать на маркетплейсахКак ИП платить налогиКак стать самозанятым и платить налогиКак увеличить продажиЛичный опыт«За нашей посудой охотятся именитые шеф-повара»: как с нуля наладить производство керамикиЭкс-директор фабрики «Рот Фронт» занялась лепкой из глины и организовала керамическую мануфактуру 9 ноября#личный опыт#маркетплейсы#розницаБлиц: какие ниши популярны у начинающих предпринимателейСпросили владельцев бизнеса с какой сферы выгоднее начать8 ноября#истории#личный опытКак инженер из Санкт-Петербурга открыл швейный цех и перепробовал пять вариантов помещенийКогда он снял цокольный этаж в своем же доме начал практически жить на работе7 ноября#истории#личный опыт#розницаНовостиС 2024 года платить НДФЛ нужно будет дважды в месяцКомпаниям и ИП также придется подавать два уведомления об исчисленной сумме налога 10 ноября#законы#налогиЧистый отток капитала из России вырос вдвоеСреди причин — трудности с возвратом экспортной выручки и выплаты уходящим из России иностранным компаниям10 ноября#трендыOzon: семьи с детьми — основные покупатели на распродажахКаждый шестой россиянин часто совершает покупки в сезон скидок10 ноября#озон#розница#трендыВ нескольких регионах зафиксировали всплеск регистрации ИПСреди рекордсменов — Калмыкия Мордовия и Чечня10 ноября#ип#трендыЦентробанк решил создать единый QR-код для оплаты покупокИм можно будет пользоваться в том числе при оплате цифровым рублем10 ноября#платежи#цб15 ноябряУплатить взносы на травматизм с выплат работникам начисленных в октябреШкола Бизнеса13 уроков по 15 минутКак начать продавать на WildberriesАнализ рынка выбор ниши и регистрация бизнесаРабота с карточками товаров и оформление поставокВыход на стабильный заработок от продаж13 уроков по 15 минутКак начать продавать на OzonКак работают разные модели логистики и какую лучше выбратьКак управлять остатками ценами и продвижениемКак вести бухгалтерию платить налоги и получать прибыль7 модулей по 15 минутExcel для малого бизнесаВостребованные формулы и функцииИнструменты которые упростят жизньПримеры на задачах бизнесаПредложение ТинькоффОткройте ИП: бесплатно без очередей и привязки к пропискеУзнать большеОтраслиМаркетплейсыIT и СтартапыРозница«За нашей посудой охотятся именитые шеф-повара»: как с нуля наладить производство керамикиЭкс-директор фабрики «Рот Фронт» занялась лепкой из глины и организовала керамическую мануфактуру 9 ноября#личный опыт#маркетплейсы#розницаЧто выгоднее: открыть пункт выдачи заказов с нуля или купить готовыйРазбираем плюсы и минусы обоих способов8 ноября#маркетплейсыБизнес на пунктах выдачи заказов: «Полгода получал гарантированные 90 тысяч от Ozon»Герой вдохновился примером приятеля и вложил в открытие пункта выдачи 200 000 ₽ 2 ноября#истории#личный опыт#маркетплейсыЧто продавать на маркетплейсах новичку?Есть несколько рекомендаций по выбору товара для начала работы на маркетплейсе27 октября#маркетплейсыНужна ли маркировка на маркетплейсах?Да если товар по закону нужно маркировать25 октября#маркетплейсы#маркировкаДайджестПолучайте первыми приглашения на вебинары анонсы курсов и подборки статейПодписываясь на дайджест вы соглашаетесь с политикой конфиденциальностиВиджетКомпактное графическое приложение на экране1 ноября#ит«Переключение контекста — одна из самых дорогих операций в голове» — Герман Гаврилов об основах управленияКак начинающему предпринимателю разделять дела и стимулировать сотрудников работать на результат 30 октября#бизнес-процессы#ит#личный опыт#мненияМетодология разработки Waterfall: что это и как применить в бизнесеWaterfall — каскадная модель управления бизнес-процессами. Разбираем как она помогает завершать проекты в срок23 октября#бизнес-процессы#итНалоговый маневр для ИТ: что делать если не подходишь по условию о выручкеЧтобы ИТ-компании платить меньше налогов и взносов нужно получать 70% выручки от ИТ-деятельности. Разбираемся как подойти под условие16 октября#ит#налогиКак найти инвестиции стартапуС чего начать где найти первых инвесторов и как подготовиться к общению с ними13 октября#ит#стартапДайджестПолучайте первыми приглашения на вебинары анонсы курсов и подборки статейПодписываясь на дайджест вы соглашаетесь с политикой конфиденциальности«За нашей посудой охотятся именитые шеф-повара»: как с нуля наладить производство керамикиЭкс-директор фабрики «Рот Фронт» занялась лепкой из глины и организовала керамическую мануфактуру 9 ноября#личный опыт#маркетплейсы#розница11 способов продвигать кафе и другие заведенияПодборка инструментов которые помогут привлечь клиентов в кафе кофейни пиццерии и бистро 9 ноября#маркетинг#розницаКак инженер из Санкт-Петербурга открыл швейный цех и перепробовал пять вариантов помещенийКогда он снял цокольный этаж в своем же доме начал практически жить на работе7 ноября#истории#личный опыт#розницаКак открыть бизнес по упаковке подарковПошаговый план по запуску упаковочного бизнеса: как выбрать помещение какое оборудование закупить для работы и как привлекать клиентов27 октября#идеи для бизнеса#розницаЗаконно ли торговать репликами известных брендов?Торговать репликами нельзя — по закону это контрафакт и нарушение права владельца торгового знака. За это могут оштрафовать а в некоторых случаях даже посадить в тюрьму. Рассказываем когда товар считают контрафактом а когда — нет18 октября#розница#товарный знакДайджестПолучайте первыми приглашения на вебинары анонсы курсов и подборки статейПодписываясь на дайджест вы соглашаетесь с политикой конфиденциальностиПоследние статьиЧто такое партнерский маркетинг и как на нем заработатьПартнерский маркетинг — продвижение бизнеса с помощью других людей или компаний. Рассказываем для чего он нужен кому подходит и как начать его использовать10 ноября#маркетинг#рекламаЛичностный рост для предпринимателей: идеи для саморазвития и что они дадутВыяснили чем личностный рост руководителя бизнеса отличается от роста наемного сотрудника8 ноября#личная эффективность#полезные советыПатент для грузоперевозчиков: что учитывать в 2024 годуДля грузоперевозок по всей России можно купить один патент 8 ноября#ип#патентБлиц: какие ниши популярны у начинающих предпринимателейСпросили владельцев бизнеса с какой сферы выгоднее начать8 ноября#истории#личный опытАгентский договор: как составить с кем можно заключить и как по нему работатьЕсли компании или предпринимателю нужен посредник можно привлечь агента и заключить агентский договор. Например по такой схеме бизнес работает на маркетплейсах8 ноября#договоры#законы#разбор юристаТри книги которые помогли развивать онлайн-лекторий «Синхронизация»Подборка книг которые помогут строить корпоративную культуру развивать полезные привычки и масштабировать бизнес7 ноября#личная эффективностьTelegramYouTubeVKontakteДайджестПодписываясь на дайджест вы соглашаетесь с политикой конфиденциальностиШкола БизнесаКурсыВебинарыДайджест Школы бизнесаОтраслиМаркетплейсыIT и стартапыРозницаДайджест про маркетплейсыБизнес с нуляИдеиНалогиОсновыВопросы-ответыЧек-листыСпецпроектыБлоги компанийБизнес-книгиЖизнь вне работыЛичный опытЛюди в бизнесеОт первого лицаИсторииКейсыРеалити-шоуДневникиРазвитиеМаркетингАвтоматизацияГосзакупкиПродажиВалютаСотрудникиБезопасностьДоговоры115-ФЗЗаконыРазбор юристаБухгалтерияНалогиЛьготыПатентУСНПроизводственный календарьКалькуляторыЕщеНовостиДайджестКоманда проектаГлоссарийУслуги Тинькофф БизнесаВакансии© 2006—2023 АО «Тинькофф Банк» лицензия ЦБ РФ №2673. Почта для вопросов: secrets@tinkoff.ru. Политика конфиденциальности Тинькофф Бизнес защищает персональные данные пользователей и обрабатывает Cookies только для персонализации сервисов. Запретить обработку Cookies можно в настройках Вашего браузера. Пожалуйста ознакомьтесь с Условиями обработки персональных данных и Cookies.</t>
  </si>
  <si>
    <t>secrets.tinkoff.ru</t>
  </si>
  <si>
    <t>Утвержденный производственный календарь на 2023 год. Как рассчитать нормы рабочего времени на 2023 год. Официальные праздники и переносы выходных дней.</t>
  </si>
  <si>
    <t>https://school.kontur.ru/publications/2249</t>
  </si>
  <si>
    <t>Контур.Школа: обучение вебинары записи семинаров и онлайн-курсы                        Направления                    Версия сайта для слабовидящихБухучет и налогиКадры и HRЗакупки 44‑ФЗ 223‑ФЗОхрана трудаМаркетингПродажиПредпринимателюITОбразованиеЛекторийБизнес и управлениеВойтиЗарегистрироватьсяКонтролл основного менюВойтиЗарегистрироватьсяОбучение которое вдохновляетОбразовательные онлайн-программы для специалистов разного уровня подготовки чтобы расти и уверенно чувствовать себя в профессииПодобрать обучениеНаправленияБухучет и налогиКадры и HRМаркетингЗакупки 44-ФЗ 223-ФЗПредпринимателюПродажиОхрана трудаОбразованиеITЛекторийБизнес и управлениеПреподаватели — практики эксперты в своей отраслиСложный материал они поясняют на простых но запоминающихся примерах а их опыт выступлений позволяет говорить на профессиональные темы легко и понятно.Ольга БукинаПреподает бухгалтерский учет и налоги более 25 лет. Кандидат экономических наук. Автор более 50 статей в СМИ методических пособий и книгАндрей ЛюбимовЭксперт по технологии оценки профессиональных рисков системы мотивации и обучения персонала. Аудитор системы менеджмента качества. Опыт работы — более 19 летЮлия БусыгинаЭксперт по бухучету зарплате и кадрам. Научно-преподавательский стаж — более 20 лет. Разрабатывает учебные программы консультирует слушателейЕвгения КонюховаАвтор лекций и семинаров по трудовому праву и социальному страхованию. Опираясь на знания и многолетний опыт консультирует слушателей по сложным вопросамСветлана СафинаСтаж практической работы по юридическому сопровождению закупочной деятельности — свыше 10 лет. Работала третейским судьей при Торгово-промышленной палате Республики БашкортостанАлла ЖукуноваЭксперт по бухучету в бюджетной сфере. Опыт работы в том числе главным бухгалтером — более 10 лет. Участвует в подготовке учебных курсов и вебинаровМария СкобелеваГлавный редактор журнала «Я бухгалтер». Преподает копирайтинг и бизнес-коммуникации в магистратуре УрФУ. Ведет блог «Кавычки-ёлочки» и подкаст «Люди текста»Наталья НикитченкоСтаж в должности главного бухгалтера коммерческих предприятий — более 25 лет. Автор программ повышения квалификации и профпереподготовки для коммерческих организацийНаталья БоковаОсновная специализация — налоги и налогообложение. Эксперта отличают огромный объем знаний 20+ лет стажа профессиональный юмор и умение объяснить сложное простоЮлия СерединаОсновная специализация — контрактная система 44-ФЗ 223-ФЗ. Большой опыт работы со стороны поставщика заключала контракты со Сбербанком Аэрофлотом Мегафоном РЖД и пр.Антон ТелегинРуководитель управления методологии и развития продаж в Контуре. Основная специализация последних 10 лет — тактика и стратегия отделов продажЮлия МежниковаАдвокат в сфере госзакупок. Ведет вебинары и курсы помогает заказчикам и поставщикам подготовиться к участию в тендерных закупках для по 44-ФЗ и 223-ФЗМарина ШобохоноваСпециалист по техносферной безопасности эксперт по НОК в области охраны труда. Огромный практический опыт работы в т. ч. руководителем службы охраны трудаОлег БируляБолее 7 лет успешно создавал и возглавлял тендерные отделы. Профессиональный продавец и руководитель с навыками работы с госсекторомЕлена КравченкоЭксперт по бухгалтерскому учету в бюджетной сфере член методического совета по бюджетному учету и отчетности при Минфине УР. Опыт работы 30+ летПетр ВоронцовЭксперт в области антимонопольного права. В лекциях умело сочетает разбор законодательных норм с практическими советами и реальными примерамиНаталья ГерасименкоЮрист эксперт по охране и экономике труда. Помогает работодателям решать вопросы по независимой оценке квалификации и соответствию специалистов профстандартамЭффективные форматыпод ваши целиКурсыОбъемные образовательные программы повышения квалификации или профпереподготовки. По окончании обучения выдается документ о квалификации.ВебинарыВстройте обучение в свой рабочий график. Разберите интересную профессиональную тему в прямом эфире или в записи. Новая тема — каждую неделю.СтатьиОбзоры изменений шпаргалки и чек-листы для вашей работы. Все материалы написаны нашими экспертами подробно и понятно.Экспресс-курсы3-5 практических уроков на заданную тему чтобы быстро освоить новую область работы или освежить знания после длительного перерыва.Мобильное приложениеОбучайтесь дома на работе или в путешествии. В приложении можно смотреть уроки проходить тестирование и задавать вопросы. Все данные синхронизируются с веб-версиейО ШколеКонтур.Школа — лицензированный центр онлайн-образования. Помогаем получать поддерживать и развивать профессиональные знания уже более 11 лет. Программы обучения прошли проверку Департамента образования и науки города Москвы и соответствуют отраслевым профстандартам. Выписка из реестра лицензий1 274 026зарегистрированных учащихся30 765специалистов получили официальные документы48 из 5оценка обучения согласно анкетам обратной связиВсе курсы Контур.Школы в одной подпискеПланируйте обучение с максимальной выгодойдля себя и для бизнесаУзнать подробнее → Что говорят выпускникиГречко Наталья АлександровнаГлавный бухгалтерВсесторонний охват рассматриваемых тем всё рационально и содержательно. Своевременное информирование о выходящих онлайн-уроках времени и условиях прохождения итогового теста. Возможность в свободное время просматривать интернет-трансляции и получать необходимые знания умения навыки без отрыва от работы. Достаточно много интересного и доступного методического материала которым можно воспользоваться в дальнейшем и систематизировать свой опыт.Шевцова Светлана ВладимировнаКонтрактный управляющийДоступно объясняют преподаватели. Отдельно хочу выделить Сафину Светлану Дамировну и Конюхову Евгению Владимировну — интересно слушать их «живые» лица располагают.Мартьянова Людмила ВикторовнаЮрисконсультПонравился сам формат понятная разбивка на уроки. Самый компетентный и профессиональный лектор работающий только со свежим материалом — Шобохонова Марина Владимировна! Огромное ей спасибо восхищаюсь знаниями и умением так четко и с примерами донести материал.Березина Альбина СуфаровнаСпециалист по кадрамПозитивное настроение доброжелательность лекторов чувствовались через экран. Практические примеры которые рассказывали преподаватели были актуальны и понятны. Отмечу отдельно что преподавателей очень интересно слушать хотя и объём большой и совмещая работу и учёбу сил нужно было много. Большое спасибо!Оставьте заявку и мы поможем с выборомНаш консультант свяжется с вами в течение дня ответит на вопросы и поможет подобрать обучение под ваши интересы и цели                Для отображения формы необходимо включить JavaScript в вашем браузере и обновить                страницу.              Скачать с App StoreСкачать с Google PlayУправление видимостью подменю                    О Школе                                    Сведения об образовательной организации                                    Документы для клиентов                Управление видимостью подменю                    Направления                                    Бухучет и налоги                                    Кадры и HR                                    Закупки 44‑ФЗ 223‑ФЗ                                    Охрана труда                                    Маркетинг                                    Продажи                                    Предпринимателю                                    IT                                    Образование                                    Лекторий                                    Бизнес и управление                                    Центр поддержки                                    8 800 500-95-51                                    Заказать звонок                                    Написать в чат                                    Написать письмо                                    Помощь                                    Контакты                VKontakteYoutubeOdnoklassnikiTelegram                    Используем Cookies для корректной работы сайта персонализации                     пользователей и других целей предусмотренных Политикой.                                            Политика обработки персональных данных                            © 1988–2023 СКБ Контур</t>
  </si>
  <si>
    <t>school.kontur.ru</t>
  </si>
  <si>
    <t>ПРОИЗВОДСТВЕННЫЙ КАЛЕНДАРЬ НА 2023 ГОД (для ...</t>
  </si>
  <si>
    <t>23 мар. 2023 г. —</t>
  </si>
  <si>
    <t>https://spb.hse.ru/data/2023/03/23/2022849694/(%D0%BF%D1%8F%D1%82%D0%B8%D0%B4%D0%BD%D0%B5%D0%B2%D0%BD%D0%B0%D1%8F%20%D1%80%D0%B0%D0%B1%D0%BE%D1%87%D0%B0%D1%8F%20%D0%BD%D0%B5%D0%B4%D0%B5%D0%BB%D1%8F).pdf</t>
  </si>
  <si>
    <t>НИУ ВШЭ в Санкт-Петербурге – Национальный исследовательский университет «Высшая школа экономики»В старых версиях браузеров сайт может отображаться некорректно. Для оптимальной работы с сайтом рекомендуем воспользоваться современным браузером.Мы используем файлы cookies для улучшения работы сайта НИУ ВШЭ и большего удобства его использования. Более подробную информацию об использовании файлов cookies можно найти здесь наши правила обработки персональных данных – здесь. Продолжая пользоваться сайтом вы подтверждаете что были проинформированы об использовании файлов cookies сайтом НИУ ВШЭ и согласны с нашими правилами обработки персональных данных. Вы можете отключить файлы cookies в настройках Вашего браузера.✖AAAАБBАБBАБBАААААОбычная версия сайтаПреподаватели и сотрудникиФакультеты и институтыВыпускникиМеждународные связиПопечительский советКампус вСанкт-ПетербургеМоскваСанкт-ПетербургНижний НовгородПермьВышка ОнлайнВерсия для слабовидящихВерсия для слабовидящихЛичный кабинет сотрудника ВШЭRUENКампус вСанкт-ПетербургеМоскваСанкт-ПетербургНижний НовгородПермьВышка ОнлайнВерсия для слабовидящихВерсия для слабовидящихЛичный кабинет сотрудника ВШЭRUENПоступлениеПоступлениеАбитуриентамАбитуриентам бакалавриатаАбитуриентам магистратурыАбитуриентам аспирантурыДень открытых дверей для абитуриентов бакалавриатаКаталог образовательных программВыберите подходящую программу бакалавриата магистратуры дополнительного или бизнес-образованияШкольникамОбразовательный туризмОлимпиады и конкурсыПодготовительные курсыФакультет довузовского образованияДни открытых дверей/Мероприятия для абитуриентовОлимпиады«Высшая проба»Олимпиада студентов и выпускников «Высшая лига»«Я – профессионал»Международная олимпиада молодежиКаталог олимпиадУспей зарегистрироваться для участия в олимпиадах и конкурсах НИУ ВШЭИностранным абитуриентамПрием иностранных абитуриентовДополнительное образованиеДополнительное профессиональное образованиеКорпоративное обучениеДиплом +Дополнительные курсы иностранных языковОнлайн-курсыКаталог программ ДПОВыберите из нескольких сотен программ с актуальным наборомОбразованиеОбразованиеКаталог программБакалавриатМагистратураАспирантураСтандарты образованияУчебные планыУчебные курсыВышка: стандарт образованияВсе об образовательных стандартах и структуре образовательных программИндивидуальная траектория обученияВыбор траектории обученияОнлайн-курсыДиплом +Ярмарка проектовОсобенности учебного процессаГрафик учебного процессаРасписание учебных занятийЭлектронная зачетная книжкаПроектыПроверка письменных работ на плагиатРеестр дипломов НИУ ВШЭНаукаНаукаПодразделения и сотрудникиНаучные центры и лабораторииФакультеты и научные центрыЕдиный архив экономических и социологических данныхЦентр прикладных исследований и разработокБиблиотекаАкадемический кадровый резервПриглашение гостевых профессоров и исследователейПоиск по сотрудникамИнформация обо всех сотрудниках Высшей школы экономики на их персональных страницахРезультаты исследованийЖурналыПубликацииНаучные мероприятияhttps://spb.hse.ru/news/announcements/scientific_actions/О ВышкеО ВышкеОб университетеНИУ ВШЭ в рейтингахПрограмма развития до 2030 годаПрограмма «Приоритет 2030»Корпуса и общежитияЛицам с ограниченными возможностямиЦифры и фактыОргструктура и руководствоПодразделенияПопечительский советПреподаватели и сотрудникиОргструктураОфициальные документыДокументыУстав и лицензииАвторские права и патентыСведения об образовательной организацииКарьера и выпускникиВыпускникиЦентр развития карьерыПреподаватели и сотрудникиФакультеты и институтыВыпускникиМеждународные связиПопечительский советОбщий отдел190121 Санкт-Петербург Союза Печатников ул. д.16+7 (812) 644-59-11+7 (812) 644-59-10office-spb@hse.ruКарта зданийНИУ ВШЭ в Санкт-Петербурге 1993–2023ПоискПоискРасширенный поискДень открытых дверей Юридического факультета11 ноября в 13:00Всероссийский фестиваль уни­вер­ситетс­ких техно­ло­гичес­ких проектовФинал конкурса 29 ноябряПодробнееВсероссийская олимпиада студентов «Я — профессионал»Регистрация открыта до 14 ноябряЗарегистрироватьсяОткрыт прием иностранных абитуриентовprevnext     Вышка.ГлавноеВсе новостиСвободное общение«Здесь можно посмотреть на науку в действии»: студенты Питерской Вышки о стажировках в крупных компанияхВ Питерской Вышке преподаватели много внимания уделяют практической подготовке студентов. Благодаря этому ребята могут строить карьеру в компаниях мечты уже с первых лет учебы. Об этом не понаслышке знают наши сегодняшние герои которые стажировались в «Яндексе» «Газпром нефти» «Воздушных Воротах Северной Столицы» ANCOR и Selectel. Как проходил отбор в топовые компании какие задачи выполняли ребята во время стажировки и что особенно запомнили — в нашем новом материале.Университетская жизньВ полуфинал HSE FEST прошли стартапы из 21 университетаОпределен список полуфиналистов юбилейного Всероссийского фестиваля университетских технологических проектов HSE FEST 2023. ТОП-35 команд — участников фестиваля встретятся в Санкт-Петербурге в полуфинале и финале 29 ноября 2023 года.ОбразованиеШкола дизайна в Петербурге открывает новый образовательный профиль «Дизайн одежды»С 2024 года абитуриенты Школы дизайна НИУ ВШЭ — Санкт-Петербург смогут выбрать новый образовательный профиль«Дизайн одежды» уникальный для фэшн-индустрии Северной столицы.Свободное общение«Городские легенды»: Борислав Неупокоев о любимых местах в ПетербургеЗнакомьтесь — Борислав Неупокоев заместитель декана Юридического факультета. Он родился и вырос в Петербурге а школьные годы провел в Павловске. История семьи заместителя декана связана с самыми разными этапами в жизни города — от наводнения 1924 года до блокады Ленинграда. Что связывает родню Борислава Борисовича с Репиным и откуда лучше видны городские красоты — в интервью.ОбразованиеВышка запустила зеркальную лабораторию с ведущим технологическим вузом МалайзииНИУ ВШЭ — Санкт-Петербург и Технологический университет Малайзии (UTM) запустили зеркальную лабораторию в сфере социального предпринимательства. Договор об этом подписан 9 ноября в ходе заседания Совместной Российско-Малайзийской комиссии по экономическому научно-техническому и культурному сотрудничеству в г. Куала-Лумпур. ПоступающимПрограмма ПАН для олимпиадников: что это такое и зачем она нужнаПАН — это программа повышенной академической нагрузки. Она доступна студентам Школы экономики и менеджмента которые поступили в Питерскую Вышку по олимпиаде или хорошо сдали ЕГЭ. О впечатлениях от обучения на программе ПАН поговорили с Анастасией Михеевой — студенткой четвертого курса ОП «Экономика».Показать ещеВышка.КомьюнитиОнлайн-комьюнити Питерской Вышки насчитывает 37 тысяч подписчиков и это только общекампусные каналы и сообщества. Университет представляют официальные паблики и студенческие сообщества группы факультетов и каналы по интересам. Официальная Питерская Вышка активно присутствует во всех крупных соцсетях.ПерейтиМероприятияВсе мероприятия12ноябряКонцерт «Дружба через океан. Бразилия — Россия» в Кочубей-центреНачало в 17:0013ноябряHSE Career DayНачало в 12:00Кантемировская улица 3к1 Россия Санкт-Петербург14ноябряРегистрация на олимпиаду «Я — профессионал»Начало в 12:0018ноябряДень открытых дверей программы «Востоковедение»Начало в 16:1528ноябряСеминар "Learn from Others"Начало в 17:3005декабряСеминар "Genre features of a book review"Начало в 17:3019декабряСеминар "Organizing and Maintaining Peer-Writing Groups"Начало в 17:30Показать ещеМой путь — это Питерская ВышкаВысшая школа экономики — это отличный старт для карьеры в бизнесе на государственной службе и в науке. Здесь готовят высококлассных специалистов нужных стране.Вышка 360°Показать другоеСтуденческая жизньБолее 60 клубов и организацийПартнеры центра карьерыЦентр инновационного предпринимательстваДополнительное и бизнес-образованиеПрограммы повышения квалификации профессиональной переподготовки Попечительский советМассовые открыте онлайн-курсыКочубей-центрМеждународная деятельность Международная мобильность  летние школы IQ.hse.ruНаучный порталФундаментальная наукаНаучные лаборатории и центрыЦифры и факты15направлений обучения95 %уровень трудоустройства выпускников спустя полгода после окончания университета41образовательная программа100 +зарубежных университетов-партнеров1-еместо по качеству приема в Санкт-ПетербургеprevnextКонтактыОбщий отдел190121 Санкт-Петербург Союза Печатников ул. д.16+7 (812) 644-59-11+7 (812) 644-59-10office-spb@hse.ruКарта зданийКонтакт-центрСправочная служба+7 (812) 980-00-30callspb@hse.ruПри поддержке Tele2Приемная комиссия194100 Санкт-Петербургул. Кантемировская дом 3 корп.1 лит. А ком. 239+7 (812) 644-62-12abitur-spb@hse.ruОбщежития      Пресс-офисКонтакты для журналистов и представителей СМИКиселёв Павел Евгеньевичpkiselev@hse.ru+7-921-866-55-21О кампусеСведения об образовательной организацииРуководство и структураПодразделенияПреподаватели и сотрудникиПопечительский советКорпуса и общежитияЗакупкиВШЭ для студентов с ограниченными возможностями здоровья и инвалидностьюВерсия для слабовидящихЕдиная платежная страницаОбразованиеМероприятия для абитуриентовДовузовская подготовкаОлимпиадыПрием в бакалавриатПрием в магистратуруДиплом+Дополнительное образованиеВторое высшее образованиеАспирантураНаукаНаучные мероприятияНаучные центры и лабораторииНаучно-учебные группыКадровый резервРесурсыБиблиотекаПубликацииЕдиный архив экономических и социологических данных©  НИУ ВШЭ в Санкт-Петербурге 1993–2023   Условия использования материалов Политика конфиденциальности Правила применения рекомендательных технологий в НИУ ВШЭ Карта сайта Шрифты HSE Sans и HSE Slab разработаны в Школе дизайна НИУ ВШЭРедактору</t>
  </si>
  <si>
    <t>spb.hse.ru</t>
  </si>
  <si>
    <t>Производственный календарь на 2023</t>
  </si>
  <si>
    <t>30 авг. 2023 г. —</t>
  </si>
  <si>
    <t>https://www.rbc.ru/life/news/630dd2919a7947d1efb58320</t>
  </si>
  <si>
    <t>Не просто производственный календарь на 2023 год с праздниками, утвержденный постановлением правительства РФ. Это - калькулятор рабочих дней, нормы часов.</t>
  </si>
  <si>
    <t>https://fincalculator.ru/kalendar</t>
  </si>
  <si>
    <t>Производственный календарь - Управление персонала</t>
  </si>
  <si>
    <t>2023 · 2022 · 2021 · 2020 · 2019 · 2018 · 2017 · 2016.</t>
  </si>
  <si>
    <t>https://hr.hse.ru/calendar</t>
  </si>
  <si>
    <t>Управление персонала — Национальный исследовательский университет «Высшая школа экономики»				В старых версиях браузеров сайт может отображаться некорректно. Для оптимальной работы с сайтом рекомендуем воспользоваться современным браузером.			Мы используем файлы cookies для улучшения работы сайта НИУ ВШЭ и большего удобства его использования. Более подробную информацию об использовании файлов cookies можно найти здесь наши правила обработки персональных данных – здесь. Продолжая пользоваться сайтом вы подтверждаете что были проинформированы об использовании файлов cookies сайтом НИУ ВШЭ и согласны с нашими правилами обработки персональных данных. Вы можете отключить файлы cookies в настройках Вашего браузера.✖AAAАБВАБВАБВАААААОбычная версия сайтаНайтиРасширенный поиск по сайтуУправление персоналаРаботникиЦентр кадровой экспертизыЦентр по кадровому администрированиюНовостиОб управленииКонкурс на замещение должностей научных работников101 000 МоскваМясницкая д. 20 5-й этажпн.-пт. с 9.30 до 19.00тел: (495) 621-55-60Бланки заявленийПоложение об управлении Медицинская помощьЕдиная приемнаяВерсия для слабовидящихНайтиРасширенный поиск по сайтуМенюВысшая школа экономикиНациональный исследовательский университет «Высшая школа экономики»Административно-управленческие подразделенияУправление персоналаУправление персоналаРаботникиЦентр кадровой экспертизыЦентр по кадровому администрированиюНовостиОб управленииКонкурс на замещение должностей научных работников101 000 МоскваМясницкая д. 20 5-й этажпн.-пт. с 9.30 до 19.00тел: (495) 621-55-60Бланки заявленийПоложение об управлении Медицинская помощьЕдиная приемнаяУправление персоналаУправление развития персонала Единая приемная Москва Мясницкая 20 Пн.-пт. с 9.30 до 19.00 Телефон: (495) 621-55-60*12122/12123 Справочник сотрудника Бланки заявлений В помощь руководителю Производственный календарь КонтактыМосква ул. Мясницкая д. 20 5 этаж Кабинеты 501-516 РуководствоМолодых Елена Анатольевна Директор по персоналу Воропаев Сергей Владимирович Заместитель директора по персоналу Лесной Александр Георгиевич Заместитель директора по персоналу Малыхина Наталья Алексеевна Заместитель директора по персоналу Нижаловская Наталия Адамовна Заместитель начальника управления Мезенцева Юлия Юрьевна Руководитель центра кадровой экспертизы Зинкина Юлия Анатольевна Руководитель центра по кадровому администрированию Ялугина Анастасия Александровна Руководитель центра сервиса по работе с персоналом  				Нашли опечатку?				Выделите её нажмите Ctrl+Enter и отправьте нам уведомление. Спасибо за участие!				Сервис предназначен только для отправки сообщений об орфографических и пунктуационных ошибках.			             Прием на работу                     АУП                      НПР                      Повторный прием преподавателей-совместителей                      Тьюторы                         Договоры ГПХ                      Дистанционный характер работы                      For Foreign Specialists                      Выдача справок и копий документов                      Оформление отпуска                      Оформление больничного листа                      Оформление командировок                     Отчет о командировке                         Электронные трудовые книжки                     Формы заявлений                      Часто задаваемые вопросы                      Законы и нормативные правовые акты                         Должностные инструкции                      Награждения работников                     Порядок представления                      Награды НИУ ВШЭ                      Государственные награды РФ                      Премия имени Б.Л. Рудника                         Почетные статусы и звания                      Оформление в СЭД служебных записок по кадровым вопросам                       Вакцинация от COVID-19                     Памятка руководителям по вопросам отстранения от работы                         Рекомендации аттестационной комиссии                     Порядок действий и документы                         Воинский учет           Национальный исследовательский университет «Высшая школа экономики» → Административно-управленческие подразделения → Управление персоналаО ВЫШКЕ 				Цифры и фактыРуководство и структураПреподаватели и сотрудникиКорпуса и общежитияЗакупкиОбращения граждан в НИУ ВШЭФонд целевого капиталаПротиводействие коррупцииСведения о доходах расходах об имуществе и обязательствах имущественного характераСведения об образовательной организацииЛюдям с ограниченными возможностями здоровьяЕдиная платежная страницаРабота в ВышкеОБРАЗОВАНИЕ 				ЛицейДовузовская подготовкаОлимпиадыПрием в бакалавриатВышка+Прием в магистратуруАспирантураДополнительное образованиеЦентр развития карьерыБизнес-инкубатор ВШЭНАУКА 				Научные подразделенияИсследовательские проектыМониторингиДиссертационные советыЗащиты диссертацийАкадемическое развитиеКонкурсы и грантыНаучно-образовательный портал IQ.hse.ruXXIV Ясинская (Апрельская) международная научная конференция по проблемам развития экономики и обществаРЕСУРСЫ 				БиблиотекаИздательский дом ВШЭКнижный магазин «БукВышка»ТипографияМедиацентрЖурналы ВШЭПубликацииЕдиный архив экономических и социологических данныхПолезные ссылкиМинистерство науки и высшего образования РФМинистерство просвещения РФФедеральный портал «Российское образование»Массовые открытые онлайн-курсыРедактору© НИУ ВШЭ 1993–2023 					Адреса и контакты 					Условия использования материалов 					Политика конфиденциальности 					Карта сайта 												Шрифты HSE Sans и HSE Slab разработаны в Школе дизайна НИУ ВШЭ</t>
  </si>
  <si>
    <t>hr.hse.ru</t>
  </si>
  <si>
    <t>Производственный календарь на 2023 год - Справочная</t>
  </si>
  <si>
    <t>В следующем году будет восемь государственных праздников. Новогодние каникулы продлятся девять дней — с 31 декабря 2022 года по 8 января 2023 года. Последний ...</t>
  </si>
  <si>
    <t>https://allo.tochka.com/calendars/2023</t>
  </si>
  <si>
    <t>allo.tochka.com</t>
  </si>
  <si>
    <t>Производственный календарь и разъяснение о норме ...</t>
  </si>
  <si>
    <t>Производственный календарь и разъяснение о норме рабочего времени в 2023 году ... Продолжая использовать наш сайт, вы даете согласие на обработку файлов "cookie" ...</t>
  </si>
  <si>
    <t>https://mtsz.tatarstan.ru/proizvodstvenniy-kalendar-i-razyasnenie-o-norme-6287209.htm</t>
  </si>
  <si>
    <t>с 1 по 8 января 2023 г. (31 декабря 2022 года выпадает на субботу, поэтому новогодние каникулы продлятся 9 дней – с 31 декабря 2022 года по 8 января 2023 года); ...</t>
  </si>
  <si>
    <t>Производственный календарь на 2023 год · с воскресенья 1 января на пятницу 24 февраля; · с воскресенья 8 января на понедельник 8 мая.</t>
  </si>
  <si>
    <t>https://its.1c.ru/calendar/work2023</t>
  </si>
  <si>
    <t>Производственный календарь бухгалтера на 2023 год</t>
  </si>
  <si>
    <t>https://www.kontur-extern.ru/info/25567-proizvodstvennyj_kalendar_buxgaltera_na_2023_god</t>
  </si>
  <si>
    <t>Контур.Экстерн — отправка отчетности через интернет К началу страницыЭкосистема для бизнеса                Отчетность                                    Бухучет зарплата и кадры                                    Электронная подпись                                    Проверка контрагентов                                    Электронный документооборот                                    Торговля онлайн‑кассы                                    Торги и закупки                                    Ведение бизнеса                                    Новому бизнесу                                    Обучение                                    Недвижимость                                    Импортозамещение                                            Ещё вам может быть полезно                    БухгалтерияНДС+ШколаДиадокНорматив        Все продукты                Отчетность                                Малому и среднему бизнесу                                            Бухгалтерским фирмам                                            Крупным компаниям                            Учет            Журнал                Ещё                    Отчетность                    Малому и среднему бизнесу                    Бухгалтерским фирмам                    Крупным компаниям                    Учет                    Журнал                        Войти                            Подключиться                            Войти                            Подключиться            Надежная отчетность через интернет                    Формы отчетности всегда актуальны а встроенная проверка обеспечит сдачу отчета с первого раза                        Подключиться                              Попробовать бесплатно              ФНССФРРосстатФСРАРРПНЦБ                    Малому и среднему бизнесу                                    Актуальные и необходимые отчеты для каждой формы собственности и режима налогообложения                                    Бухгалтерским фирмам                                    Сводная таблица отчетности по всем организациям и многопользовательский режим                                    Крупным компаниям                                    Интеграция возможностей Экстерна в учетную систему через API для быстрой обработки отчетности                Удобная отчетностьОтслеживайте сроки отчетовОтчитывайтесь без ошибокПолучайте пояснения к отказам ФНСРаботайте с отчетами прямо из 1СУдобная отчетность                                    Отслеживайте сроки отчетов                                                                    Отчитывайтесь без ошибок                                                                    Получайте пояснения к отказам ФНС                                                                    Работайте с отчетами прямо из 1С                                Держим в курсе — даже если вы далекоЭкстерн своевременно информирует о требованиях и письмах                      из контролирующих органов. Получайте смс сообщения на email или push-уведомления                      в мобильном приложении.Безлимитная отчетность на любом тарифе                        Отправляйте неограниченное количество отчетов в любые подразделения госорганов всех регионов без доплат                    Подобрать тарифЭкстерн покажет и расскажетПолучайте дайджест для бухгалтеровОставьте свой email чтобы получать 2 раза в месяц обзоры новостей              анонсы мероприятий и узнавать о новом в Экстерне.              Сразу как вы подпишетесь мы пришлем вам памятку с ключевыми цифрами для расчета выплат налогов и взносов.                  Подписаться                НовостиПодписываясь вы соглашаетесь                 на обработку персональных данных                 и получение информационных сообщений от группы компаний СКБ Контур.Подписывайтесь на нас в социальных сетяхВ сообществах Экстерна эксперты делятся новостями законодательства              а бухгалтеры 一 своим опытом. А еще мы показываем              полезные видео проводим эфиры на горячие темы и немного шутим.Всё для работы с требованиямиСвязь писем и требованийФормирование платежкиРаспознавание скановОтветить на требование вы можете сразу не выходя из негоСервис заполнит всё сам а вам остается только уплатить удобным способомПросто загрузите скан в сервис все реквизиты заполнятся автоматическиЭкстерн — не только про отчетностьВстроенная правовая база                            Забудьте о дорогих справочно-правовых системах.                            В Экстерне есть необходимая правовая база c удобным поиском.                                                    Подробнее                        Онлайн-обучение                            Повышайте свою квалификацию в удобное время и в удобном месте.                            Задавайте вопросы и получайте ответы от экспертов.                                                    Подробнее                        Проверка контрагентов                            В один клик заказывайте выписку из ЕГРЮЛ и ЕГРИП и получайте всю открытую информацию о контрагенте.                                                    Подробнее                        Мы на связивсегда и вездеБез выходных и перерывов                Мы на связи каждый день 24 часа в сутки. И ночью                и в дождь и в Новый год.              Отвечаемна вопросы                Даем ответы на вопросы в день обращения и помогаем отправить отчетность если возникают                сложности.              Помогаем везде                  Консультируем там где вам удобно. Звоните или пишите нам                  в мессенджеры чат на сайте на почту.                                    Легко перейти и начать работу                1.                            Настроим рабочее место                            Техподдержка поможет настроить рабочее место и вам не придется ничего заполнять самим.                        2.                            Используйте вашу подпись                            Вы можете начать работу с любым сертификатом КЭП: руководителя сотрудника или физлица. Или мы бесплатно выдадим его.                        3.                            Перенесем данные из другой программы                                                    Реквизиты плательщика и доверенности архив отчетов ФНС и регистрационные данные СФР.                                    Оставить заявку        Нам доверяют сдачу отчетности2 млнклиентов — юрлиц и ИП по всей России168 млнотчетов доставили во все контролирующие органы22 годамы отправляем отчеты и ни один не потеряли        С Экстерном работаем почти 15 лет система устраивает полностью.        Нравится что Экстерн своевременно обновляется в связи с изменениями законодательства.        Пользуемся шифрованием отчетности на ключ администратора — очень нужная возможность        учитывая что отчетность сдается большим кругом лиц. Удобно что есть выгрузка списков отправленных        отчетов в Excel        также пользуемся в работе Таблицей отчетности.Использовали Экстерн с 2007 года отчитывались      за более чем 150 обособленных подразделений. По нашему мнению это      всесторонняя и очень комфортная для пользователя система среды ТКС которая своевременно      обновляется с учетом изменений      законодательства и постоянно совершенствуется. В процессе работы использовали сервис НДС+      в том числе для получения      информации по контрагентам.LisaAlisochka01.03.2022Несколько лет уже пользуюсь довольна!Уже несколько лет в этой программе. Удобная программа. Поначалу        настроила некоторое время разбиралась что к чему потом все стало легко и просто ну наверное        как к всему новому надо сначала в нем этом новом разобраться потом уже все становится ясным        и понятным.Читать весь отзывПреображенка20.07.2022Значительно облегчает работу с отчётностьюКонтур. Экстерн используем со 2-го квартала 2020 года        в небольшой производственной организации. Что это нам даёт: 1. Экономия времени и денег        на отчёты по сравнению с отправкой по почте или походом/поездкой лично        в контролирующие органы.Читать весь отзыв        Все отзывы                  Вы всё ещё думаете?        Просто попробуйте   Оставьте заявку и мы поможем вам подобрать подходящий тариф.Наш консультант свяжется с вами в течение трех рабочих часов и подберет подходящий тариф для вашей компании. Мы настроим рабочее место и поможем перенести документооборот из другого сервиса.Продукты и услуги                                        Подключиться                                            Офисы обслуживания                                            Малому и среднему бизнесу                                            Бухгалтерским фирмам                                            Крупным компаниям                                            Учет                                            API                                            Индивидуальные решения                                            Прайс‑листы                                            Акции                                            Лицензионный договор                                            Журнал                                            Календарь бухгалтера                                            Формы отчетности                                            Новости                                            Отзывы                    Центр поддержки8 800 500-70-75                Заказать звонокНаписать в чатНаписать письмоПомощь                        app-store            google-play    © 1988–2023 СКБ Контур    Используем cookies для корректной работы сайта персонализации пользователей и других целей предусмотренных            политикой обработки персональных данных.</t>
  </si>
  <si>
    <t>www.kontur-extern.ru</t>
  </si>
  <si>
    <t>Календарь 2023. Производственный календарь на 2023 год. I Квартал. Количество дней. Календарных: 90. Рабочих: 57. Нерабочих: 33. Рабочие часы: 40 ч. неделя: 454 ...</t>
  </si>
  <si>
    <t>https://trudvsem.ru/information-pages/calendar-2023</t>
  </si>
  <si>
    <t>Январь</t>
  </si>
  <si>
    <t>ПРОИЗВОДСТВЕННЫЙ КАЛЕНДАРЬ НА 2023 ГОД. (для шестидневной рабочей недели) ... В данном. Производственном календаре приводится количество календарных/рабочих ...</t>
  </si>
  <si>
    <t>https://hr.urfu.ru/fileadmin/user_upload/site_15130/Proizvodstvennyi_kalendar/2023/6-ti_dnevnaja_rabochaja_nedelja_Dokument_predostavlen_KonsultantPljus.pdf</t>
  </si>
  <si>
    <t>ruВсе разделыПортал УрФУО подразделенииОбращениеОб Управлении персоналаСтруктураРуководствоОтдел по работе с персоналомОбщий отделОтдел учёта и кадрового делопроизводстваОтдел статистики и информационно-аналитической работыСотрудникуБланкиДокументыАттестация научных работниковНормативно-правовое регулированиеФормы документовСроки трудовых договоровОформление листка нетрудоспособностиОтпускОбщая информация о представлении к награждениюНормативно-правовое регулированиеПорядок представления к награждениюОбщая информация об эффективном контракте высших достиженийКто может заключить ЭКВДПравила заключения ЭКВДПорядок действия ЭКВДПорядок учета и условия выплаты за выполнение ЭКВДЭлектронная трудовая книжкаЗаконодательство об электронных трудовых книжкахУведомление о переходе на электронную трудовую книжкуВопросы-ответыВыбор формы ведения трудовой книжкиПрямые выплатыНормативные документыИнформация для работникаПретендентуПорядок трудоустройстваЗаказ справки о наличии (отсутствии) судимостиВакансииПрофессорско-преподавательский составДиректора институтовНаучные работникиАдминистративно-управленческий персоналКонкурс на замещение должностейНаучные работникиПорядок замещения должностей научных работниковПеречень документов предоставляемых претендентами для участия в конкурсе научных работниковРезультаты работы Конкурсной комиссии научных работниковПрофессорско-преподавательский составПорядок замещения должностей ППСПеречень документов предъявляемых претендентами для участия в конкурсе ППС и/или выборах зав. кафедройВакансии 																									Личный кабинет																		АбитуриентуСтудентуСотрудникуПартнеруУчастнику ВЭДМенюЗаказ справки onlineБланкиДокументыКонтактыНовостиУправление персоналаВакансииПодробнееВаш вопрос специалистуЗадать вопросО справке о наличии (отсутствии) судимостиПодробнее				Все новости										Новости						      Больше новостей     Интересные факты в цифрахПроизводственный календарьПошаговые инструкции©            ФГАОУ ВО «УрФУ имени первого Президента России Б.Н. Ельцина»                                              Увидели ошибку?                    выделите фрагмент и нажмите:            Ctrl + Enter              Дизайн портала:  ArtsofteМониторинг доступности ИСАдрес:г. Екатеринбург ул. Мира 19 +7 (343) 375-44-29 пр. Ленина 51 +7 (343) 389-93-03  Часы работы                  Часы работыПн.-Чт. 08:30-17:15        Пт. 08:30-16:00 Приём посетителей:Пн.-Чт. 13:00-17:00        Пт. 13:00-16:00E-mail:uk@urfu.ru</t>
  </si>
  <si>
    <t>hr.urfu.ru</t>
  </si>
  <si>
    <t>Производственный календарь на 2023 год. 1. Для пятидневной рабочей недели. Месяцы и иные периоды года. Количество дней. Расчетная норма рабочего времени. (в ...</t>
  </si>
  <si>
    <t>https://www.mintrud.gov.by/uploads/files/Proizvodstvennyj-kalendar-2023.pdf</t>
  </si>
  <si>
    <t xml:space="preserve">   Министерство труда и социальной защиты Республики Беларусь. Официальный сайт                             МИНИСТЕРСТВО ТРУДА  И СОЦИАЛЬНОЙ ЗАЩИТЫ  РЕСПУБЛИКИ БЕЛАРУСЬ    ИНФОЛИНИЯ  8(017) 309-93-09  Пн-Пт 9.00-10.30    "ГОРЯЧАЯ ЛИНИЯ"  8(017) 222-49-42  Пн-Пт 14.00-16.00                              Рус Бел         Министерство        Руководство   Подчиненные организации   Геральдические символы Министерства    Положение о Министерстве   Вышестоящий государственный орган   Гимн Министерства труда и социальной защиты   Структура центрального аппарата Министерства труда и социальной защиты   Комитеты по труду занятости и социальной защите облисполкомов Мингорисполкома   Карьера          Деятельность        Труд   Социальная защита   Иные вопросы          Обращения граждан и юридических лиц        Порядок подачи обращений   Порядок рассмотрения обращений   Обжалование ответов на обращения   График личного приема руководством Министерства   График проведения «прямых телефонных линий»   Нормативные правовые акты   Административные процедуры   Статистика обращений          Электронные обращения        Порядок направления и рассмотрение электронных обращений          Вопрос-Ответ        Занятость населения трудоустройство граждан стран   Социальное обслуживание и социальная поддержка   Оплата труда   Охрана и государственная экспертиза условий труда   Пенсионное обеспечение   Альтернативная служба   Семейная политика   Трудовые отношения          Контакты     Мероприятия         Министерство   Руководство   Подчиненные организации   Геральдические символы Министерства   Положение о Министерстве   Вышестоящий государственный орган   Гимн Министерства труда и социальной защиты   Структура центрального аппарата Министерства труда и социальной защиты   Комитеты по труду занятости и социальной защите облисполкомов Мингорисполкома   Карьера     Деятельность   Труд   Социальная защита   Иные вопросы     Обращения граждан и юридических лиц   Порядок подачи обращений   Порядок рассмотрения обращений   Обжалование ответов на обращения   График личного приема руководством Министерства   График проведения «прямых телефонных линий»   Нормативные правовые акты   Административные процедуры   Статистика обращений     Электронные обращения   Порядок направления и рассмотрение электронных обращений     Вопрос-Ответ   Занятость населения трудоустройство граждан стран   Социальное обслуживание и социальная поддержка   Оплата труда   Охрана и государственная экспертиза условий труда   Пенсионное обеспечение   Альтернативная служба   Семейная политика   Трудовые отношения     Контакты   Мероприятия                                                                  Рус Бел                                                  Инфографика        Программные документы        Информационные системы содержащие персональные данные        Реестры Министерства         Направления деятельности    Труд   Социальная защита   Иные вопросы        Рынок труда. Занятость населения   Оплата труда организация и нормирование труда   Трудовые отношения   Охрана труда и государственная экспертиза условий труда   Служебные командировки   Национальная система квалификаций   Социальное партнерство   Альтернативная служба   Государственная инспекция труда          Социальное обслуживание и социальная поддержка   Пенсионное обеспечение   Государственная социальная поддержка инвалидов   Народонаселение гендерная и семейная политика   Государственное социальное страхование   Активное долголетие-2030         Цели устойчивого развития в Беларуси    Социальные нормативы. Индексация. Бронирование средств   Международное сотрудничество    Контрольная (надзорная) деятельность   Ведомственная отчетность   Декрет № 7 «О развитии предпринимательства»   Противодействие коррупции   О развитии Оршанского района Витебской области   Профилактика домашнего насилия   Общественно-консультативный совет при Министерстве труда и социальной защиты        Гуманитарное сотрудничество   Обсуждение НПА             Новости   В стране               11.11.2023  Пособие по уходу за ребенком в возрасте до 3 лет              11.11.2023  Из печати вышел октябрьский выпуск «Бюллетеня Министерства труда и социальной защиты Республики Беларусь»              10.11.2023  С 1 января 2024 г. вырастет заработная плата в бюджетных организациях              10.11.2023  В Барановичах прошел I Республиканский конкурс профессионального мастерства среди работников с нарушением слуха в номинации «Швейное дело»              08.11.2023  И.Костевич проведет выездной прием граждан 11 ноября в Воложине по вопросам социально-трудовой сферы              08.11.2023  Гродненская Витебская и Минская области получили от Минтруда и соцзащиты спецавтомобили ОАО «Брестмаш»       Все новости               01.10.2023  Поздравление Президента с Днем пожилых людей              08.02.2023  Александр Лукашенко подписал Закон "О Всебелорусском народном собрании"              25.12.2022  Поздравление Президента Республики Беларусь с Рождеством Христовым              01.12.2022  О повышении трудовых пенсий в декабре 2022 г.               01.11.2022  О переносе рабочих дней в 2023 году       Все новости               07.11.2023  Поздравление Президента с Днем Октябрьской революции              22.06.2023  Обращение Президента по случаю Дня всенародной памяти жертв Великой Отечественной войны и геноцида белорусского народа              16.06.2023  Лукашенко провел совещание по вопросам совершенствования кадровой политики              14.05.2023  И.Костевич: День Государственного флага Государственного герба и Государственного гимна еще крепче укрепит в нас чувство значимости личного вклада в процветание страны              14.05.2023  Поздравление Президента с Днем Государственного флага Государственного герба и Государственного гимна Республики Беларусь              09.05.2023  Поздравление Президента Республики Беларусь с Днем Победы       Все новости          Социально-экономические показатели           Государственная адресная социальная помощь   подробнее   Все социально-экономические показатели            Семейный капитал   подробнее   Все социально-экономические показатели            Содействие занятости   подробнее   Все социально-экономические показатели            Пособия на детей   подробнее   Все социально-экономические показатели       Карта Беларуси  Комитеты по труду занятости и социальной защите Республики Беларусь                                                                                   Комитет  по труду занятости и социальной защите Гомельского областного исполнительного комитета    Комитет  по труду занятости и социальной защите Брестского областного исполнительного комитета    Комитет  по труду занятости и социальной защите Могилевского областного исполнительного комитета    Комитет  по труду занятости и социальной защите Минского областного исполнительного комитета    Комитет  по труду занятости и социальной защите Гродненского областного исполнительного комитета    Комитет  по труду занятости и социальной защите Витебского областного исполнительного комитета    Комитет по труду занятости и социальной защите Минского городского исполнительного комитета                   Портал государственной службы занятости Республики Беларусь   Портал социальной защиты   Белорусское общественное объединение ветеранов               Фотогалерея      Фотогалерея ветеранов Великой Отечественной войны из числа бывших работников Министерства        Фотопроект "Папы"      Все фото    Видео      100 вопросов взрослому | Ирина Костевич | Карьера детство семья      Все видео          Социальная реклама      Папы        Занятость        Социальное страхование      Вся реклама        Полезные ресурсы      Национальный правовой Интернет-портал      Гендерная статистика      Правовой форум Беларуси      АИС «Мониторинг условий труда»      Социальный проект      Биометрические документы      Детский правовой сайт      Рейтинг организаций       Система поиска вакансий и резюме по странам ЕАЭС      Белорусский детский фонд       Административные ресурсы      Официальный сайт Президента Республики Беларусь      Правительство Республики Беларусь      Совет Республики Национального собрания      Палата представителей Национального собрания      Национальный правовой портал      Каталог официальных сайтов всех государственных органов      Единый портал электронных услуг      Официальный сайт Республики Беларусь            Министерство труда и социальной защитыРеспублики Беларусь 2012  © При использовании материалов с сайта  ссылка на источник обязательна                                             </t>
  </si>
  <si>
    <t>www.mintrud.gov.by</t>
  </si>
  <si>
    <t>Производственный календарь на 2023 год. Я1!ВАРЬ. ФЕВРАЛЬ. МАРТ. А]ПРЕЛ[Ь. Пн Вт Ср Чт Пт Сб Вс Пн Вт Ср Чт Пт Сб Вс Пн. Вт Ср Чт Пт Сб Вс Пн Вт Ср Чт. Пт Сб Вс.</t>
  </si>
  <si>
    <t>https://mlsp.gov.kg/wp-content/uploads/2022/10/kalendar-na-2023-god-1.pdf</t>
  </si>
  <si>
    <t xml:space="preserve">Кыргыз РеспубликасынынЭмгек социалдык камсыздоо жана миграция министрлиги                    +996 (312) 66 01 07                                    +996 (312) 66 57 24                                    1966                                    msd@mlsp.kg                                    Бишкек ул. Тыныстанова 215                                                                            Балдар учун ишеним телефон 111                                                     Версия для слабовидящих   КырРусБашкы БетМинистрликМинистрЖетекчиликБөлүмдөрдүн түзүлүшүВедомстволук бөлүмдөрКызмат көрсөтүүЖанылыктарЖанылыктарЖарнамаТалкуулооОтчетторНормативдик-укуктук базаМедиафайлдарГендердик саясатТуруктуу өнүгүүнүн максаттарыДолбоорлорДүйнөлүк БанкГерманиялык эл-аралык кызматташуунун коому (GIZ)БУУ ДАПЖарандардын кайрылуусуАвторизацияланбаган жарандар үчүнАвторизацияланган жарандар үчүн   Урматтуу мекендештерЖыл сайын 7-8-ноябрда өлкөбүздө Тарых жана ата-бабаларды эскерүү күндөрү белгиленет.Бул маанилүү даталар – Кыргыз мамлекеттүүлүгүнүн түптөлүшүнүн башатында турган патриоттор болобу же тарыхта көрүнүктүү из калтырган карапайым эл болобу өлкөбүздүн тарыхын жараткан жана башынан өткөргөн окуяларды эскерүү болуп саналат.Биз сыймыктанган бай тарыхты тартуулаган ата-бабаларыбыздын жаркын элесине таазим этебиз.Кыргызстан эркиндик жана көз карандысыздык жолунда көптөгөн сыноолорду башынан өткөрдү. Жана өз тарыхыбызды билүү менен гана биз туура сабактарды ала алабыз. Ошондуктан тарых жана ата-бабаларды эскерүү күндөрүндө биз өткөнгө көз чаптырып келечекке көз чаптырабыз. Биз үчүн ата-бабаларыбызга таазим кылуу-тарых алдындагы ыйык милдет.Урматтуу кыргызстандыктар ар бириңиздерди тарых жана ата-бабаларды эскерүү күнү менен чын дилимден куттуктайм! Кыргызстанда стабилдүүлүк бакубатчылык жана ар бир үй-бүлөдө тынчтык ынтымак болсун!Урматым мененМинистр Г.М.Баатырова                                                                    ЖАНЫЛЫКТАР/ЖАРНАМА                                                                                                                                ЛИЦЕВОЙ СЧЕТ                                                            Жанылыктар/ЖарнамаГүлнара Баатырова Жалал- Абад балдардын психоневрологиялык социалдык стационардык мекемесинде болдуМинистр Гүлнара Баатырова Жогорку Кеңештин депутаттары менен бирге Өзгөн районундагы жергиликтүү тургундардын көйгөйлөрүн уктуАраван районунда апасы сабаган эки жашар эгиздер атасына өткөрүлүп берилдиЭмгек министринин орун басары Улан Чаначев жаштардын стартап сынагынын жеңүүчүлөрүн сыйладыЭмгек министри Гүлнара Баатырова Өзбекстандын иш менен камсыз кылуу жана жакырчылыкты кыскартуу министри Бехзод Мусаев менен жолугушту«Балдар үчүн ишеним телефону» борборунун 2023 – жылдын октябрь айынын иши тууралуу маалыматПанфилов райондук эмгек социалдык камсыздоо жана миграция башкармалыгы  улук  жана кенже кызмат орундарын  элөөгө кадрдык резервке кабыл алуу үчүн ачык сынак  жарыялайт Лицевой счет Получатель: Министерство труда социального обеспечения и миграции Кыргызской Республики.ИНН: 00312202110175БИК: 440001Р/счет: 4402011103034541Банк: Центральное казначейство МФ КРКод платежа: 14511900Денежные средства поступившие от спонсоровhttps://youtu.be/PIqzO3uW3CU Денежные компенсацииУй булого комокЕжемесячное социальное пособияОба родителя которых неизвестны                                                                    МАМЛЕКЕТТИК ЖӨЛӨКПУЛДАРДЫН ТҮРЛӨРҮ                                                                                                                                МАМЛЕКЕТТИК ТӨЛӨМДӨРДҮН ТҮРЛӨРҮ                                                                                                                                ЭМГЕК ЖАНА ИШ МЕНЕН КАМСЫЗ КЫЛУУ                                                                                                                                СОЦИАЛДЫК КЫЗМАТ                                                            Бала төрөлгөндө "балага сүйүнчү" бир жолку төлөм"үй-бүлөгө көмөк" ар айлык жөлөкпулАй сайын берилүүчү социалдык жөлөкпул                                            Балага сүйүнчү                                                                                    Үй-бүлөгө көмөк                                        Жеңилдиктердин ордуна акчалай компенсацияРасымдык (сөөк коюуга) жөлөкпулКош бойлуулук жана төрөт боюнча жөлөкпулЖумушсуз катары каттооЖумушсуздук боюнча жөлөкпул төлөөнүн шарттарыАкы төлөнүүчү коомдук уюмдун алкагында убактылуу жумуш менен камсыз кылууЖумушсуз жарандарды кесиптик даярдооИшке орноштуруу мүмкүнчүлүктөрү жөнүндө маалымат берүү                                                                                    ЖЕКЕ АССИСТЕНТ                                                                                                                        Пайдалуу                                    Министрликтин 2024-жылга өндүрүштүк календары 2024-жылга өндүрүштүк календарыБуйрукМамлекеттик социалдык заказМамлекеттик социалдык заказЭлектрондук калькуляторДокументтерСоциалдык программалардын (долбоорлордун) конкурсуна Арыздын бланкыПрограммалык негизде 2023-2027-жылдарга КР ЭСКММнин бюджеттик чыгашаларынын орто мөөнөттүү стратегиясынын долбооруБалдар мекемелеринде мониторинг жүргүзүүМинистрликтин 2024-жылга өндүрүштүк календары ЖүктөөЖарнамаУрматтуу жарандар!Кыргыз Республикасынын Өкмөтүнүн Аппаратына коррупция схемалары жана көрүнүштөрү жөнүндөwww.anticorr.gov.kg сайтынабилдирсениз болотКР Өкмөтунүн аппаратынынишеним телефону:(0312)625-385 (9:00 18:00 чейин иш күндөрү)Кара-Көл шаарындагы балдардын жана жаштардын абалы Кара-Көл шаарындагы балдардын жана жаштардын абалы                                             Ссылккалар                                       Ведомстволук бөлүмдөрСоциалдык камсыз кылуу департаментиРеспубликалык протездик-ортопедиялык буюмдар мекемеси (РПОБМ)Майыптыгы бар адамдарды реабилитациялоо борборуМедициналык — социалдык экспертиза“Балдар үчүн ишеним телефону” борборуКөндүмдөрдү өнүктүрүү фондуЭмгек мыйзамдарын контролдоо жана көзөмөлдөө кызматыЖарандарды чет өлкөдө ишке орноштуруу борбору Кызмат көрсөтүүАкысыз тейлөөАкы төлөнөнүүчү кызматЭлектрондук кызматКепилдик кылынган социалдык кызмат көрсөтүүлөрдүн тизмеси Пайдалуу шилтемелерАдам сатууга каршы күрөшүү жана алдын алууКыргыз Республикасынын мамлекеттик органдарына жарандардын кайрылууларынын электрондук порталыКыргыз Республикасынын Өкмотүнүн жемкорлукка каршы саясатыКыргыз Республикасынын Мамлекеттик сатып алууларынын расмий ПорталыКыргыз Республикасынын Президентине караштуу Мамлекеттик тил боюнча улуттук коммисия ШилтемелерКыргыз Республикасынын ПрезидентиКыргыз Республикасынын Жогорку КеңещиКыргыз Республикасынын Министлер КабинетиКыргыз Республикасынын ачык маалыматтар порталыЭлектрондук кызмат көрсөтүүлөр мамлекеттик порталыКыргыз Республикасынын ченемдик укуктук актыларынын долбоорлорун коомдук талкуулоонун бирдиктүү порталы  </t>
  </si>
  <si>
    <t>mlsp.gov.kg</t>
  </si>
  <si>
    <t>с днем рождения</t>
  </si>
  <si>
    <t>Поздравления с днем рождения - Поздравок</t>
  </si>
  <si>
    <t>С днем рожденья поздравляю, Улыбок, радости желаю. Любви, семейного тепла, Уюта, счастья и добра! Достигай всегда успеха, Пусть будет в жизни море смеха. Пусть ...</t>
  </si>
  <si>
    <t>https://pozdravok.com/pozdravleniya/den-rozhdeniya/</t>
  </si>
  <si>
    <t xml:space="preserve">������������ �� �������� ��     �������� �������������� �� �������� �������������� � ��� �� ��� ���������� ��������� ������ �� ������� �������������� ���� �������! �� ��� � ������ ������� ��� ������� �������� �� ������� � �������� ���������� � ��������� � ������ ������. ������ �� ����� ���� ������� ���� ��������� ������������� 447 000 ������������ ���������� �������� ����� ����������� ���������� ��� ���. ������ ������� ����� ��������� ���������� ����� ���� ���������� ������� ������������ �� ����������� ��� ������ ������ �������� �� ��������� ������!� ���� ��������������� ������� ������� ������� ������ ����� ���� ����� �������� ���� ������� ���������� ���� ������� ���������� ���� ���� ������� ������� ����� …�� ������������� ��������� ������ ��������� ����� �������� ������� �������� ����� ����� ������� ������� ���� ����� ������ ������� ������ ����� ������ ������ …� �������������� 18 ��� ������� 50 ��� 30 ��� 35 ��� 60 ��� � ������� (�������������) …�� ��������������� ����������� ���������� �� ��������� …������������� ���� ��������� ���� ������� ������������� ��������� �������� …������� ���� �������� �� ������ �� ������� ���������� � ��������� …��������� �� ���� �������� �� �������� ��������� �� �Pozdravok�. ����� �� ������� ����� ������������ ������������ � ���� �������� ������� ���������� �������� ������� � ����-������ ������ ���������������� � ������ ����� ������� ��� ��������� ��������� ����������� ���������!��������� ������������ ������������ �������������� � ��� �������� �������� ����������� � ���������� ����� ���������� ��� 8 ����� 23 ������� ����� ��� ���� ������ ���� ������� ����� ���� ������ � ���������. �������� ���������� ������ ������� ������������ � ������ � ��������� ����� ����. ������ ����� ���� �������� ����� �������� � � ���� ������������ ��� ������� ���������� ������� ������ �� ���� ���� ���� ��� ����������. �������� ���� �� ������� ����� ��� ��������� ����� ������������� � ������ ������� � �������� �� ���� ��� ������ ������ �� ��� �� ��� ���� ��������� � ����� ������! �������� �������� ����� ���������� �������� � ��������������� ���������. �� ����� ����� ������������ �������� ���������� ��������� ������������ �������� � ��������� ���������� ��� ������� � �������� � �� ������ �� ������� ����������. �������� ��� � ����� ����������� ������� ����� ��� � ����� ������ ���������. ��������� ���������� ������ ���������� ��������� ������ ����� � ������ ���� �� ������������ � ������ ��� ���������� ����� � �� � ������������� ������� ��� � ������ ���� �������� ���������! �������� � ����������HTML-��� ��� ������� �� ���� ��� � ����:&lt;a href="https://pozdravok.com/"&gt;&lt;img src="https://pozdravok.com/cards/prazdniki/pozdravok_ru.gif" alt="������������" /&gt;&lt;/a&gt;BB-��� ��� ������� �� �����:[URL=https://pozdravok.com/][IMG]https://pozdravok.com/cards/prazdniki/pozdravok_ru.gif[/IMG][/URL]������������� ���� ��������� ��������� ���������������� ������������ �����������������...������� ���� ���������� �������� ��������������������...����������� ����������������������������������� � ����������� �����������������12.11 ���� ���������� ��������� ���������� ����������� �� ������������13.11 ��������� ���� �������������������� ���� ������14.11 ������������� ���� ������������ ������������������ ���� ������ � ��������15.11 ���� �������� ������������� �� ������ � �������������� �������������16.11 ���� ������������������ ������������� (����������)������������� ���� ������ �� ���������������� ���� ������������� ���������� ����� ����������� � ����� ����������� ����������� ���������� ...26.11 ���� ��������������� ���������� →�������12.11 ��������� ����� ��������� ������ ����� ����� ������ ����� ������ ���� ������ ������13.11 ����� ��������� ������� �������� ������� ������� �������� ������ ���� ������� ����� ����� ������ ��������� ������ �������� ������������ �� ������ →�������:pozdravokru@gmail.com������ "������������ �� �������� ��". © 2011-2023 2024. ��� ������������ � ������ � ����� �������� �������� � ����� �� ���������. ��������� ���������! ��� ������������� ���������� �������� ������ �� ���� �����������! ���������� ��������� �� ��������������� ����� - ���������! </t>
  </si>
  <si>
    <t>pozdravok.com</t>
  </si>
  <si>
    <t>С днем рождения своими словами</t>
  </si>
  <si>
    <t>https://www.rada.zp.ua/pozdravleniya/pozdravleniya-s-dnem-rozhdeniya/s-dnem-rozhdeniya-svoimi-slovami</t>
  </si>
  <si>
    <t xml:space="preserve">Корисний сайт для мешканців міста ЗапоріжжяПерейти к контентуГлавнаяНовости ЗапорожьяРегионыНовости БердянскаНовости МелитополяНовости ЭнергодараПогодаПогода в ЗапорожьеПогода в АкимовкеПогода в БердянскеПогода в ВасильевкеПогода в Великой БелозеркеПогода в ВеселомПогода в ВольнянскеПогода в ГуляйполеПогода в ДнепрорудномПогода в Каменке-ДнепровскойПогода в КуйбышевоПогода в МелитополеПогода в МихайловкеПогода в МолочанскеПогода в НовониколаевкеПогода в ОреховеПогода в ПологахПогода в ПриазовскомПогода в ПриморскеПогода в РозовкеПогода в ТокмакеПогода в ЧерниговкеПогода в ЭнергодареКартаКарта ЗапорожьяКарта АкимовкиКарта БердянскаКарта БильмакаКарта ВасильевкиКарта Великой БелозеркиКарта ВеселогоКарта ВольнянскаКарта ГуляйполяКарта ДнепрорудногоКарта Каменки-ДнепровскаКарта МелитополяКарта МихайловкиКарта МолочанскаКарта НовониколаевкиКарта ОреховаКарта ПологКарта ПриазовскогоКарта ПриморскаКарта РозовкиКарта ТокмакаКарта ЧерниговкиКарта ЭнергодараПоздравления  Німеччина вдвічі збільшить військову допомогу Україні — Bild             Німеччина подвоїть військову допомогу Україні наступного року. Замість чотирьох мільярдів євро тепер буде виділено        Новости Мелитополя Паливо для ЗСУ стане кольоровим             Дизель та бензин для армії будуть маркувати кольором. Це зроблять для того щоб зменшити        Новости Мелитополя Чому РФ марно сподівається на перемогу Трампа на майбутніх виборах президента США: експерт дав відповідь             Росія марно сподівається на перемогу Дональда Трампа на майбутніх виборах президента США. Про це        Новости Мелитополя «Вийшов з квартири у штанах пенсіонерки»: у Німеччині пакистанець зґвалтував 93-річну жінку             На сході Німеччини у містечку Райхенбах-ім-Фогтланд 49-річний мігрант з Пакистану зґвалтував 93-річну пенсіонерку. Згодом        Новости Мелитополя Прикордонники підняли український прапор в Тополях Харківської області             Військовослужбовці прикордонної служби підняли прапор України в селі Тополі яке розташоване в "сірій зоні"        Новости Мелитополя Що буде із заочною формою навчання у вишах: у Міносвіти дали відповідь             Заочна форма навчання прийшла до нас як рудимент із минулого вона вже дещо себе        Новости Мелитополя Преимущества покупки подержанных айфонов 13 Про Макс             Любая мобильная техника всемирно известной компании Apple не требует дополнительной рекламы пользователи давно и        Новости Запорожья У Запорізькій області зафіксований випадок смерті від ботулізму             У Запорізькій області зафіксований випадок смерті від ботулізму. Ілюстративне фото: pixabay.com На території Запорізької        Новости Запорожья У Запоріжжі перейменують площу Маяковського: яка нова назва             У Запоріжжі перейменують площу Маяковського: яку обрали нову назву. Фото: uk.wikipedia.org/Віктор Бабенко У Запоріжжі        Новости Запорожья Намагалася дістати з-під завалів загиблого брата: з Кам’янського евакуювали 85-річну жінку яка пережила обстріл та втратила дім — ВІДЕО | Новини Запоріжжя             Терор в окупації: у Токмаку росіяни затримали 15-річного підлітка нібито за «зберігання боєприпасів» Джерело        Новости Запорожья «Воювати мені не страшно»: історія бійця на Запорізькому напрямку | Новини Запоріжжя             Боєць бригади «Червона калина» який наразі воює на Запорізькому напрямку розповів про свій бойовий        Новости Запорожья «Ми повинні поспівчувати російським хлопцям»: Маск порадив Зеленському зустрітися із Путіним             Американський мільярдер Ілон Маск знову відзначився скандальною заявою. Цього разу відомий винахідник порадив Володимиру        Новости Мелитополя Подоляк різко відповів на скандальну заяву Маска: «Пропонує дозволити РФ вирізати населення»             В Офісі президента відреагували на скандальні заклики американського бізнесмена Ілона Маска сісти за стіл        Новости Мелитополя Міністр оборони Хорватії потрапив у ДТП             Міністр оборони Хорватії Маріо Банозич потрапив в автомобільну аварію. Унаслідок події він дістав серйозні        Новости Мелитополя Сили ППО знищили 19 «Шахедів: Вночі армія РФ атакувала Україну безпілотниками             Сили ППО знищили 19 "Шахедів: Вночі армія РФ атакувала Україну безпілотниками — фото: glavcom.ua        Новости Запорожья Удар по Зарічному: двоє постраждалих дівчат будуть лікуватись за кордоном             Удар по Зарічному: двоє постраждалих дівчат будуть лікуватись за кордоном. Фото: t.me/komish_gromada Двоє дівчат        Новости Запорожья Росія збільшила інтенсивність обстрілів Запорізької області з початку холодів             Росія збільшила інтенсивність обстрілів Запорізької області з початку холодів. Ілюстративне фото: reuters.com/Олександр Єрмоченко Російські        Новости Запорожья Окупанти збільшили інтенсивність обстрілів Запорізької області з початку холодів | Новини Запоріжжя             Кількість обстрілів Запорізької області останнім часом збільшилась ворог гатить по мирних містах та селах        Новости Запорожья У Запорізькій області зафіксували смерть від ботулізму | Новини Запоріжжя             Станом на 10 листопада на території Запорізької області зареєстровано чотири випадки захворювання на ботулізм        Новости Запорожья Терор в окупації: у Токмаку росіяни затримали 15-річного підлітка нібито за  «зберігання боєприпасів» | Новини Запоріжжя             На мешканців окупованої частини Запорізької області обвалилася чергова хвиля терору. В полон забирають за        Новости ЗапорожьяНавигация по записям12…352Далее   У Запоріжжі продовжують роботи в будинку на проспекті Соборному стіна якого може рухнути внаслідок ракетного удару — ФОТО | Новини ЗапоріжжяНовости Запорожья  Цепные пилы — на что обратить внимание при выбореНовости Запорожья  Фабрицио Романо: «Сделка завершена — Кейн переходит в «Баварию» (11 августа 2023 г.) — Новости футболаНовости Бердянска  В Україні змінили період виплат для переселенців: подробиціНовости Мелитополя  Бердянськ занадто український для росіян — військкор-рашистНовости Мелитополя  В Бердянську вибухи. Окупанти заявляють про роботу ПеВеО. — Новости БердянскаНовости Бердянска  Студенты страны могут принять участие в проекте Scholarship в УкраинеНовости Запорожья  Друга лінія оборони російських військ на Запоріжжі досить потужна-Олександр ШтупунНовости Мелитополя  ГУР вдарило дронами по «відділу паспортизації» і радіокомунікаційному пункту в ЕнергодаріНовости Запорожья  Путін не наважився вийти з Кремля щоб взяти участь у виборах: фотоНовости Мелитополя  Окупанти анонсували відкриття кадетських класів у Запорізькій області: чому навчатимуть дітей | Новини ЗапоріжжяНовости Запорожья  На Запорізькому напрямку ворог зазнав значних втрат: подробиці | Новини ЗапоріжжяНовости Запорожья  Какие есть раскладушки – виды и их характеристики?Новости компаний  Азербайджан розробив план щодо «реінтеграції» вірменів КарабахуНовости Мелитополя  ЗСУ просуваються під Авдіївкою: актуальна карта бойових дійНовости Мелитополя  Проблеми безсоння та хропіння зникнуть на раз: які кімнатні рослини потрібно ставити у спальніНовости Мелитополя  В Запоріжжі не буде працювати ЦНАП: колиНовости Мелитополя  Зеленський підписав закон про зарплати полонених військовихНовости Запорожья  Ворог збудував багатокілометрові фортифікаційні споруди якими поєднав два населені пункти Запорізької області | Новини ЗапоріжжяНовости Запорожья  Лікарі порадили людям після 60-ти забути про ці продукти та звички: що потрібно їсти в такому віціНовости Мелитополя                 © 2023 Корисний сайт для мешканців міста Запоріжжя                                            </t>
  </si>
  <si>
    <t>www.rada.zp.ua</t>
  </si>
  <si>
    <t>ТОП 100 поздравлений с Днём Рождения +Обсуждение</t>
  </si>
  <si>
    <t>https://sevimi.by/new/top-100-pozdravlenij-s-dnyom-rozhdeniya-obsuzhdeniya/</t>
  </si>
  <si>
    <t>ᐉ Магазин украшений SeViMi  Доставка по Минску и всей Беларуси ОтзывыНаш Viber    |    Instagram    |Скидки%Наш Viber    |    Instagram    |Скидки%      Парные украшения  Парные браслеты Парные кулоны Парные кольца Для женщин  Браслеты женские Кулоны и подвески Серьги женские Броши Кольца женские Цепочки женские Для мужчин  Браслеты мужские Кулоны и подвески Жетоны Кольца мужские Цепочки мужские Серьги мужские О НАС   0 шт.      Поиск 💏Парные украшенияПарные браслетыПарные кулоныПарные кольца🎀Женские украшенияКулоныБраслетыСерьгиБрошкиКольцаЦепочки⚔️Мужские украшенияБраслетыКулоныАрмейские жетоныСерьгиКольцаЦепочки🔥Украшения с гравировкойУпаковкаInstagramОтзывыБлогО магазинеВайберПочта         0 шт.   1000+ украшений неповторимых уникальных изысканных желанных Регулярное обновление ассортимент расширяется и пополняется новинками Бесплатная доставка в любой населенный пункт Беларуси за 2-4 дня Удобная оплата он-лайн или при получении заказа в отделении Белпочты  Украшения с гравировкойсмотреть  Парные украшениясмотреть  ЖЕНСКИЕ УКРАШЕНИЯ   Украшения для женщин Броши Кольца парам Серьги Браслеты Подвески Кольца Украшения Красная Пресня ТОП 10 украшений со скидкой  МУЖСКИЕ УКРАШЕНИЯ   Украшения для мужчинсмотреть Мужские серьгисмотреть Парные украшения   Кулоны и подвески (286) 286 изделий   Браслеты мужские (238) 238 изделий   Цепочки мужские (45) 45 изделий   Кольца мужские (38) 38 изделий  ПОПУЛЯРЫНЕ РАЗДЕЛЫ Парные браслетыПарные кулоныКольца для парПарные с магнитами🧲Парные с гравировкой🔥Нательные иконки и крестики🙏Именные браслетыАрмейские жетоны  НОВИНКИ УКРАШЕНИЙ Хит Золотистый браслет из ювелирной стали с гравировкой внутри Ты в моём сердце39 руб.   Браслет из ювелирной стали с гравировкой серебристый39 руб.-20%Хит Парные браслеты из ювелирной стали Моё сумасшествие с первого взгляда74 руб. 59 руб.Хит Армейский жетон Мужчине38 руб.Хит Парные кулоны Наше Фото45 руб.   Браслет из ювелирной стали с оригинальной гравировкой (Разные варианты)39 руб.  ИНТЕРЕСНОЕ В БЛОГЕ     СоветыПервый пирсинг – как ухаживать за проколотыми ушами?  02.11.2023  On 02.11.2023   0 comments      РазноеТОП поздравлений учителю. В прозе и стихах  31.10.2023  On 09.10.2023   0 comments      МодаВсё о мужском пирсинге: Виды пирсинга советы выбор украшений уход +Обсуждение  05.04.2023  On 01.02.2021   30 комментариев      МодаБраслет Пандора. История. Виды шармов. Как носить? +Обсуждение  02.06.2023  On 04.11.2020   32 комментария      РазноеВиды плетения цепочек на шею. Какое выбрать? +Обсуждение  10.02.2023  On 01.11.2020   32 комментария      МодаВиды мужских подвесок и кулонов. Советы по выбору +Обсуждение  28.06.2023  On 31.10.2020   13 комментариев      МодаТОП 10 знаменитых ювелирных брендов +Обсуждение  03.04.2023  On 04.09.2020   11 комментариев      РазноеСлавянские символы в украшениях и их значение +Обсуждение  18.03.2023  On 28.08.2020   11 комментариев  ПЕРЕЙТИ В БЛОГ  ОТЗЫВЫ ПОКУПАТЕЛЕЙ     Колечко очень хорошее. Идет точно по размеру. Тонкое изящное. Брала в комплект к серебряной подвеске которую привезла из Европы. В серебре подобного не нашла поэтому — сгодится и это. Смотрится достойно не дешевкой. Цена отличная						Тоня - Минск													    Прекрасные парные браслеты я в восторге. Всё как и хотела. Хорошо упакованы заказывайте не пожалеете😍👍						Кристина - Гомель													    Серьги нарядные очень эффектные не тяжелые совсем! Куда не приду в них — вызывают сплошь комплименты и интерес) Но долго носить не получается все-таки не золото от простого металла у меня начинают со временем побаливать мочки. Но в целом я очень-очень довольна! Сережки супер!						Аня - Брест													  ЧАСТЫЕ ВОПРОСЫ  Как заказать украшение в нашем магазине? Выберите понравившийся товар в каталоге нашего магазина стильной ювелирной бижутерии и нажмите кнопку «Хочу!». Перейдите в корзину проверьте стоимость введите свои контактные данные и подтвердите заказ. После получения заявки с Вами свяжется менеджер для уточнения деталей Нужно ли вносить предоплату? Вы можете оформить заказ как с предварительной оплатой он-лайн так и без предоплаты — с оплатой при получении товара в Вашем почтовом отделении (наличными или картой). Выбирайте любой удобный Вам способ Какие способы доставки предусмотрены в интернет-магазине? Мы доставляем украшения покупателям БелПочтой по Минску и всей Беларуси. Среднее время доставки заказов — 2-3 рабочих дня. При необходимости мы можем отправить заказ ускоренной почтой или Курьером Могу ли я вернуть или обменять украшение и на каких условиях? Мы осматриваем каждое украшение дважды: при сборе заказа и при его упаковке что исключает вероятность брака или поломки в заказе. Но если всё же возникнут вопросы мы обязательно решим их и пойдем на всё чтобы Вы остались довольны 🙂 Бывают ли скидки и акции на бижутерию? О всех актуальных акциях можно узнать в разделе «%Скидки%» а также в нашем Инстаграм подписывайтесь 😉 Темнеет ли наша бижутерия? Мы тщательно выбираем поставщиков бижутерии чтобы украшения купленные у нас радовали Вас как можно дольше. При выборе украшений рекомендуем обратить внимание на изделия с золочением и серебрением (к примеру бренда Красная Пресня который. можно отнести к категории дорогой бижутерии) а так же hand-made украшения из ювелирной стали нашего собственного изготовления. Чтобы продлить жизнь бижутерии соблюдайте простые правила при ношении о которых мы рассказали в отдельной статье.О магазине SeViMi - интернет-магазин стильных дизайнерских украшений бижутерии аксессуаровКонтакты магазинаТелефон: +375 29 817-27-68 Обработка заказов: Пн-Пт: 10:00-19:00; Сб Вс - выходной E-mail: shop@sevimi.byПолезная информация  О магазине Политика конфиденциальности Доставка оплата гарантии  В торговом реестре с 24.03.2021 № регистрации 505545 ИП Козак В.В. УНП 291690156 зарегистрирован Кобринским РИК 19.03.2021 юр.адрес: 225306 Брестская обл. Кобринский р-н. Островляны Колхозная 19       Instagram      Каталог        Viber        Поиск  Парные украшения  Парные браслеты Парные кулоны Парные кольца Женские украшения  Браслеты женские Кулоны и подвески Серьги женские Броши Кольца женские Цепочки женские Мужские украшения  Браслеты мужские Кулоны и подвески Жетоны Кольца мужские Цепочки мужские Серьги мужские Украшения с гравировкой  Браслеты с гравировкой Кулоны с гравировкой Армейские жетоны InstagramОтзывы на украшенияБлогО магазинеВайберПочта</t>
  </si>
  <si>
    <t>sevimi.by</t>
  </si>
  <si>
    <t>ТОП 100 поздравлений с днем рождения</t>
  </si>
  <si>
    <t>https://t-loves.narod.ru/pozdravlenie-den-rojdeniya-luchiye.htm</t>
  </si>
  <si>
    <t>Поздравления и стихи на TOP - LOVES 		   						СТИХИ							• 							СМС 							• 							ПОЗДРАВЛЕНИЯ 							• 							СТАТУСЫ 				ГЛАВНАЯ 							 						  														 							Источник романтики 							поздравлений и хорошего настроения 							;)							  									СТИХИ: 							Поздравления с Днем рождения							| Романтические  							| Стихи на Новый Год!							| 							Женщине 							| 							Мужчине							|							Девушке |							Парню							| 							Мужу							| 							Жене							| 							Маме							| 							Детские							| 							О любви							| 							Бывшей							| 							Бывшему							| 							Грустные							| 							О дружбе 							| О детстве							| О школе							| О Родине 							| 							О жизни 							| 							О родителях							| 							На расстоянии 							Стихи- это радость или 							переживания а может быть и то и другое. И не 							обязательно иметь поэтический дар чтобы красиво и 							точно выражать в них свои чувства. Главное быть 							искренним. Читайте стихи пишите стихи наполняйте 							свою жизнь духовным смыслом! 							 							 							 							 							 							 							 							 							 							 														 							С ДНЕМ РОЖДЕНИЯ: 							Лучшие 							| В прозе 							| Короткие 							| Прикольные 							|Мужчине 							|Женщине							| Маму 							| Папу 							| Сына 							| Дочь 							| Другу|Подруге|Племяннице							| Мужу 							|Жене 							|Зятю 							|							Брату 							| Сестре 							| Именные 							|Любимому 							|Любимой							|Тете 							|Дяде   | Свекрови   |Теще    | Коллеге    | 							Начальнику    | 		 С Юбилеем 							|							С новорожденным 							|Один годик мальчику							|Один годик девочке 							 ПОЗДРАВЛЕНИЯ: С Новым 2024 годом							| 							С Рождеством							|							С Крещением Господним							| 							С Татьяниным днём							| 							С Днём святого Валентина							| 							С 23 Февраля							| С Масленицей 							| С 8 Марта| С Благовещением							| 							С Вербным воскресеньем							| 							С Пасхой Христовой 							 | С Днем Победы 							| 							Со Святой Троицей 							| 							С 1 сентября| 							Курбан-байрам | 							На День семьи							| С Днём матери 							|Покров 							|С Днем народного единства | 							На свадьбу							| На выпускной 							| Видео поздравления от Деда Мороза 							Поздравления 							- приятные слова и пожелания которые мы говорим 							друг другу на праздник.  														Не забывайте красивое поздравление 							не только подчеркивает Вашу заботу но и оставляет 							хорошее впечатление! 							 							 							 														С ПРОФЕССИОНАЛЬНЫМИ ПРАЗДНИКАМИ: С Днем пожарной охраны| С Днем пограничника | 							Медсестре | 							С Днём нефтяника | 							Парикмахеру | С Днем секретаря | Программисту  							| Воспитателю							| Учителю							|Автомобилисту 							| Полицейскому 							| Бухгалтеру							| Юристу 							| Энергетику 							| День ФСБ 							| МЧС |  							Прочие  							ИМЕННЫЕ ПОЗДРАВЛЕНИЯ: 							Наталье							| 							Татьяне 							| 							Ольге 							| 							Елене 							| 							Кристине 							| 							Юлии 							| 							Валерию  							| 							Константину  							| 							Федору 							| 							Тамаре							| 							Юрию							| 							Анжелике							| 							Лилии							| 							Александре							| 							Ларисе							| 							Светлане							| 							Алле							| 							Роману							| 							Марии							| 							Ульяне							| 							Альбине							| 							Анне							| 							Ирине							| 							Вере							| 							Михаилу							| 							Кириллу							| 							Ярославу				 Тосты 				- это не только красивые слова это уже сложившаяся традиция. 				Говоря тост за праздничным столом мы вкладываем в него все свои 				чувства и в короткой форме произносим их окружающим. С помощью 				хорошего тоста Вы всегда сможете подчеркнуть свою 				эрудированность и оригинальность!				 ТОСТЫ: 				На именины 							| 				На свадьбу 							| 				Рождественские 							| 				На День защитника 							| 				На 8 Марта 							| 				На Новый год				 				 							КОНКУРСЫ: На Новый 				год 							|  Детские				 Конкурсы 				- 							неотъемлемая часть любого праздника. Они приносят 				массу положительных эмоций делая торжество интересным и 				незабываемым!				   														КОМПЛИМЕНТЫ: 				Для любимого парня							| 				Для любимой девушки 		Комплименты 							- лучший способ чтобы выразить свои чувства и 							отношение к человеку. Подчеркнуть все его качества: 		черты характера интеллектуальность внешние данные всё то чем он 		выделяется на фоне других! 		 				ПОЖЕЛАНИЯ 		: 							Спокойной ночи любимому							 | 							Спокойной ночи любимой 							| 							С добрым утром парню 									| 							С добрым утром девушке 							| 		Хорошего дня любимая 							| Хорошего дня любимый |		Выздоровления 							|		Новогодние  		 		 ПРИЗНАНИЯ 		В ЛЮБВИ: 		Своими словами 							| 		Парню 							| 		Девушке				 Признания 							в любви - способ рассказать о своих чувствах. 							Иногда наступают моменты когда мы понимаем что не 							можем жить без этого человека. Эмоции накапливаются 							внутри и их уже не возможно остановить!				 				 							ИЗВИНЕНИЯ: 				Перед парнем 							| 				Перед девушкой 							| 				Перед мужем 							| 				Перед женой				 Извинения 				- слова в которых мы просим прощения за недостойные поступки 				или поведение. Но главное не просто извиниться главное 				осознать что вы были не правы и впредь не допускать подобных 				ошибок!				 ИСТОРИИ: 		Романтические о любви							| 		Грустные				 				 							ПРИГЛАШЕНИЯ: 				На свидание 							| 				На день рождения				 Приглашения 				- просьба о том чтобы человек которому Вы собственно адресуете 				свое приглашение присутствовал на каком-либо мероприятии. Это 				может быть день рождения свадьба или долгожданное свидание!				 				 							СТАТУСЫ: 				Про любовь 							| 				О девушках 							|				Про парней 							| 				Про мужа о любви 							| 				Про работу 							| 				Со смыслом 							|				Про жизнь 							| 				Про счастье 							| 				Смешные 							| 				О виртуальном мире 							| 				Новогодние 							| 				Про день мужчин 							| 				Про женский день				 Статусы 				- это показатель нашего настроения. Прочитавшие Ваш статус в 				социальных сетях люди будут знать что вы сейчас чувствуете о 				чем думаете и просто ваши взгляды на жизнь. Статус наряду с 				фотографией являются визитными карточками вашей страницы!				 				 				 ОТКРЫТКИ: 		С днём рождения 							| 		Романтические 							| 		Любимому 							| 		Новогодние 							| 		На 23 Февраля 							| 		На 8 Марта 							| 		На 14 Февраля 							| 		Пасхальные 				 				 							НОВЫЙ ГОД: Трафареты на 				Новый год 2024							| Пожелания на Новый год Кролика				 							Новый 				год 2024 				- по Восточному календарю будет годом Зеленого Деревянного Дракона. Впереди нас ждет новогодняя суета! Ожидание чуда 				завораживает и манит. Предвкушение любимого праздника подгоняет 				и настраивает на позитивный лад!				 				 							НОВЫЕ							СТРАНИЦЫ: Трогательные поздравления женщине | Трогательные поздравления 				подруге | Трогательныепоздравления с 8 Марта| Поздравления с 8 Марта учительнице| С днем рождения своими словами| Поздравления с Днем рождения маме| Поздравления с Днем рождения женщине | Голосовые поздравления от Путина				  											   		 НАШИ СООБЩЕСТВА:  		   		   		  		   		   							 Copyright © 2011-2023 		Поздравления и стихи на TOP-LOVES-При копировании материалов 		активная ссылка на сайт обязательна!  		Вопросы по сотрудничеству и работе сайта отправляйте на e-mail: 		t-loves@yandex.ru </t>
  </si>
  <si>
    <t>t-loves.narod.ru</t>
  </si>
  <si>
    <t>C днем рождения своими словами - Новости Сумы</t>
  </si>
  <si>
    <t>https://sumy.cx.ua/c-dnem-rozhdenija-svoimi-slovami/</t>
  </si>
  <si>
    <t>Новости Сумы - Перейти к контентуПоиск: ГлавнаяНовостиНовости СумНовости ГлуховаНовости КонотопаНовости РомновНовости ШосткиНовости спортаНовости баскетболаНовости боксаНовости теннисаНовости футболаНовости хоккеяПогодаПогода в СумахПогода в АхтыркеПогода в БелопольеПогода в БурыниПогода в ВорожбеПогода в ГлуховеПогода в ДружбеПогода в КонотопеПогода в КраснопольеПогода в КролевцеПогода в ЛебединеПогода в ПутивлеПогода в РомнахПогода в Середине-БудеПогода в ТростянцеПогода в ШосткеПогода в ЯмполеКартаКарта СумКарта АхтыркиКарта БелопольяКарта БурыниКарта Великой ПисаревкиКарта ВорожбыКарта ГлуховаКарта ДружбыКарта КонотопаКарта КраснопольяКарта КролевцаКарта ЛебединаКарта Липовой ДолиныКарта НедригайловаКарта ПутивляКарта РоменКарта Середины-БудыКарта ТростянцаКарта ШосткиКарта ЯмполяПоздравленияЭкономикаАвтоновостиРаботаКурс валют в СумахЕщеКарта бойових дій Deep StateКарта повітряних тривог в УкраїніНовости компаний  “Спочатку перемога потім – краса в місті!”: У Глухові відбулася акція “Гроші на ЗСУ” 11 листопада у Глухові підтримали всеукраїнську акцію учасники якої виступають проти нераціонального розподілу бюджетних Новости Глухова Глухівчан безоплатно частують гарячим чаєм та млинцями В одній із центральних локацій міста охочі можуть безкоштовно скуштувати млинці та зігрітися гарячим Новости Глухова Про те як жителька С.- Буди рятує осиротілих тварин Війна….саме війна розкриває особливості характеру поведінки відношення до життя кожної людини. Одні захищають країну Новости Глухова Данілов пояснив чому повний перехід економіки України на воєнні «рейки» неможливий Дінілов: «Коли починають використовувати словосполучення «перехід економіки на воєнні «рейки» то варто усвідомити що Экономика МВФ та Україна узгодили транш на $900 млн Найближчими тижнями буде ухвалено рішення про надання фінансування Києву Міжнародний валютний фонд (МВФ) та Экономика Проблема боргів на енергоринку потребує рішень Уряду Міненерго та НКРЕКП – ЗМІ «Укренерго» має налагодити роботу з боржниками а Кабмін – переглянути тариф для населення» На Экономика Реал – Валенсія. Лунін вийде з перших хвилин Яремчук у резерві Андрей Лунин фото — Getty Images Стали відомі стартові склади Реала та Валенсії на очний Новости футбола Ворскла і Кривбас розіграють Кубок України серед жіночих команд scdnipro1.com.ua Сьогодні відбулися два півфінальні матчі Кубка України з футболу серед жіночих команд. Ворскла Новости футбола рашисти вбили двох цивільних на Сумщині За процесуального керівництва Сумської обласної прокуратури розпочато досудове розслідування за фактом порушення законів та Новости Сум Двоє загиблих: рашисти обстріляли 6 громад Сумщини Про ситуацію на прикордонні станом на 21.00 11 листопада повідомили в ОВА. Протягом дня Новости Сум Сумська офтальмологиня Валерія Березняк: «Кожен сам вирішує: хоче він бачити чи ні» У наш час коли уся важлива інформація чи робота знаходиться у наших пристроях – Новости Сум Рахман: Я завжди ставив на Усика в бою з Ф’юрі Олександр вміє тримати удар великих хлопців Александр Усик фото — Getty Images Екс-чемпіон світу в суперважкій вазі Хасім Рахман заявив Новости бокса Теренс Кроуфорд позбавлений титулу чемпіона IBF Теренс Кроуфорд. Фото — Getty Images Міжнародна боксерська федерація (IBF) офіційно позбавила титулу чемпіона Новости бокса Джошуа та Вайлдер ведуть переговори про роздільні бої в один вечір в Саудівській Аравії Энтони Джошуа фото — Getty Images Колишні чемпіони світу в суперважкій вазі британець Ентоні Новости бокса Збірна України з хокею драматично поступилася Словенії на Меморіалі Шаркозі Сборная Украины по хоккею. Фото — facebook.com/fhu.com.ua Збірна України з хокею у результативній перестрілці Новости хоккея НХЛ: Чикаго здолав Тампу перемоги Бостона Ванкувера та Сан-Хосе Фото: Getty Images Чикаго переміг Тампу У Національній хокейній лізі минулої ночі відбулись 11 Новости хоккея Бріггс назвав найкращого суперважковаговика усіх часів Фото: Getty Images Бріггс пригадав виступи Леннокса Льюїса Колишній чемпіон світу з боксу навіть Новости бокса Промоутер Ф’юрі відповів на звинувачення у «пограбуванні» Нганну Фото: Getty Images Ф’юрі виглядав невпевнено у бою проти Нганну Френк Воррен вважає що Новости бокса У Сумах під час пожежі врятували шістьох людей серед них було двоє дітей Фото: ГУ ДСНС України у Сумській області Вночі 11 листопада у Сумах в одній Новости Сум Збірна Італії відмовилася від передматчевого тренування в Леверкузені перед грою з Україною Збірна Італії не проводитиме регламентного передматчевого тренування в Леверкузені на стадіоні «БайАрена» за день до поєдинку відбіркового циклу Євро-2024 Новости футбола Ігор Циганик: «Динамо» має бути зручно грати проти «Кривбасу» Відомий український телеведучий Ігор Циганик розповів чого він чекає від центрального матчу 14-го туру Новости футбола Олег Кузнєцов про невиклик Кревсуна з «Боруссії» Д: «Не можемо за всіма стежити. Ще два тижні тому нічого не знали про нього» Головний тренер юнацької збірної України U-19 Олег Кузнєцов розповів чому не викликав до команди півзахисника дортмундської «Боруссії Новости футбола Коли граю з росіянками хочеться мати пістолет — Ястремська Фото: Getty Images Ястремська висловила невдоволення WTA Українська тенісистка розкритикувала WTA за відсутність реакції Новости тенниса Відбулось жеребкування матча Кубка Біллі Джин Кінг Україна — Нідерланди Фото: ФТУ Збірні України і Нідерландів У Вільнюсі на хардовому корті SEB Arena відбудеться Новости тенниса Тренер Зорі: У нас дуже молодий склад бракує досвіду Фото: ФК Зоря Луганськ Валерій Кривенцов Валерій Кривенцов розповів про причини поразки від Маккабі Новости футбола Довбик зацікавив Атлетико Фото: Getty Images Довбик зацікавив іспанський гранд Форвард каталонської Жирони та збірної України може Новости футбола Україна відправила шість кораблів з агропродукцією Фото: Мінвідновлення Рух українським коридором не припинявся попри систематичні атаки Росії З 8 серпня Экономика Україна найбільше імпортує товарів з Китаю експортує — до Польщі Фото: Метінвест Метали входять до трійки найбільш експортованих з України товарів За десять місяців Экономика У Ромнах вшанували пам’ять євреїв розстріляних 1941 року на схилах Зеленого Яру біля Пісок + ФОТО 10 листопада вшанували пам’ять євреїв розстріляних 1941 року на схилах Зеленого Яру поблизу села Новости Ромнов Правоохоронці попереджають про поширені схеми шахрайств За минулу добу 9 жителів обласного центру втрапили в сітки шахраїв та втратили свої Новости РомновНавигация по записям12…354ДалееПоискПоискСвежие записи“Спочатку перемога потім – краса в місті!”: У Глухові відбулася акція “Гроші на ЗСУ”Глухівчан безоплатно частують гарячим чаєм та млинцямиПро те як жителька С.- Буди рятує осиротілих тваринДанілов пояснив чому повний перехід економіки України на воєнні «рейки» неможливийМВФ та Україна узгодили транш на $900 млнНовости ЧерниговаНовости УкраиныНовости Херсона © 2023 Новости СумыРеклама: [email protected]Go to mobile version</t>
  </si>
  <si>
    <t>sumy.cx.ua</t>
  </si>
  <si>
    <t>Красивые поздравления с днем рождения</t>
  </si>
  <si>
    <t>https://datki.net/pozdravleniya-s-dnem-rozhdeniya/krasivie/</t>
  </si>
  <si>
    <t>Поздравления: стихи и проза – Datki.net Skip to contentГолосовые поздравления 📱С днем рожденияКартинкиКрасивыеЖенщинеМужчинеКоллегеПо именамПрикольныеПодругеДругуНачальникуС юбилеемОригинальныеДевочкеМальчикуРебенкуВ прозеОфициальныеДочериСынуУчителюВ стихахКороткиеСестреБратуВрачуМузыкальныеДлинныеМамеПапеЗнаки вниманияПожеланияС добрым утромСлова благодарностиСпокойной ночиИзвиненияСкучаю по тебеКомплиментыРомантические смсПризнания в любвиЭротические смсВыздоравливайПрикольные смсСтатусыГрустные смсВажные событияСвадьбаГодовщина свадьбыРождение ребенкаНовосельеКрестиныВыход на пенсиюПраздникиС праздниками ЯнваряС праздниками ИюляС праздниками ФевраляС праздниками АвгустаС праздниками МартаС праздниками СентябряС праздниками АпреляС праздниками ОктябряС праздниками МаяС праздниками НоябряС праздниками ИюняС праздниками Декабря📞 АудиоОткрытки на ДРКрасивыеЖенщинеМужчинеПрикольныеПодругеДругуОригинальныеДевочкеМальчикуСлужба поддержкиFAQ 13.11ПнДень войск радиационной химической и биологической защиты (День РХБЗ)Поздравления с Днем РХБЗ15.11СрВсероссийский день призывникаПоздравления с Днем призывника16.11ЧтВсероссийский день проектировщикаПоздравления с Днем проектировщика16.11ЧтМеждународный день отказа от курения17.11ПтМеждународный день студентовПоздравления с Днем студента17.11ПтДень участковых уполномоченных полицииПоздравления с Днем участкового18.11СбДень рождения Деда МорозаПоздравления с днем рождения Деда МорозаПожелания на праздникиЯнваряФевраляМартаАпреляМаяИюняИюляАвгустаСентябряОктябряНоябряДекабряПоздравления с Днем рожденияВ стихахВ прозеПо именамКороткиеДлинныеПрикольныеКрасивыеТрогательныеОригинальныеОфициальныеХристианскиеПошлыеС опозданиемМузыкальныеВыберите кого поздравлять ⇳ЖенщинеПодругеДевушкеЛюбимойЖенеМужчинеДругуПарнюЛюбимомуМужуМамеДочериСестреБабушкеВнучкеТётеПлемянницеТёщеСвекровиНевесткеКрёстнойКрестницеПрабабушкеЗоловкеСвояченицеПапеСынуБратуДедушкеВнукуДядеПлемянникуТестюСвёкруЗятюКрёстномуКрестникуПрадедушкеДеверюСвоякуШуринуСотрудницеОдноклассницеШкольницеУчительницеОдногруппницеСтуденткеСотрудникуОдноклассникуШкольникуУчителюОдногруппникуСтудентуПреподавателюУ нас собраны большие коллекции всевозможных поздравлений для друга или подруги. Нужны пожелания знакомым мужчинам или женщинам? Ваши родственники само собой не останутся без классного поздравления с днем рождения. Кликните чтоб показать весь список ⇳.Душевные пожелания на юбилей для близкихВ стихахВ прозеМужчинеЖенщинеДругуПодругеПапеМамеБратуСестреМужуЖенеДедушкеБабушкеТрогательные душевные и прикольные пожелания на свадьбуВсе поздравленияВ стихахВ прозеКороткиеДлинныеКрасивыеКороткие красивыеПрикольныеКороткие смешныеОригинальныеДушевныеХристианскиеПошлыеМузыкальныеОт друзейОт родителейОт мамыОт папыВыберите кому и от кого поздравление! ⇳ЖенихуДругуБратуОт родителей женихаОт мамы женихаОт папы женихаНевестеПодругеСестреОт родителей невестыОт мамы невестыОт папы невестыС годовщиной свадьбы вас!В стихахВ прозе1 год2 года3 года4 года5 лет10 лет15 лет20 лет25 лет30 лет40 лет50 летПолезные слова на все случаи: благодарности извинения и пожеланияСлова благодарности ⇳  За поздравления За работу За помощь Друзьям Родителям Учителю Воспитателю Коллегам Родителям учеников В прозе Все слова благодарности Извинения ⇳  Все извинения Извинения в прозе Извинения в стихах За неудобства Перед сестрой Перед мамой Перед бабушкой Перед подругой Перед женой Перед мужем Перед парнем Перед девушкой Пожелания на каждый день и не только ⇳  Хорошего дня Успехов Приятного аппетита Здоровья Счастья Удачи Любви Благополучия Хорошего отдыха Пожелания в прозе Все пожелания Дочери Сыну Родителям Подруге Другу Знаки внимания и просто прикольные словаС Добрым утром ⇳  Все В прозе В стихах Прикольные Короткие Женщине Мужчине Любимой Любимому Девушке Парню Спокойной ночи ⇳  Все В прозе В стихах Прикольные Короткие Женщине Мужчине Любимой Любимому Девушке Парню Выздоравливай скорее ⇳  Все В прозе В стихах Любимому Любимой  Признания в любви рождение ребенка и крестины Признания в любви ⇳  Все В прозе В стихах Короткие Женщине Мужчине С рождением ребенка ⇳  Все В прозе В стихах Короткие Прикольные Родителям Девочка Мальчик Внучка Внук С крестинами ⇳  Все В прозе В стихах Короткие Прикольные Крестим девочку Крестим мальчика Крестим внучку Крестим внука Комплименты романтические и эротические сообщенияКомплименты ⇳  Все В прозе В стихах Короткие Прикольные На французском На английском На испанском Глазам Губам Красоте Улыбке Блондинкам Брюнеткам Комплименты к фото Женщине Мужчине Подруге Жене Мужу Учителю Руководителю Фотографу Эротические смс ⇳  Все В прозе В стихах Парню Девушке Романтические смс ⇳  Все В прозе В стихах Любимой Любимому Прикольные пожелания на новоселье и при выходе на пенсиюС новосельем ⇳  Все В стихах В прозе Короткие Прикольные Друзьям С выходом на пенсию ⇳  Все В стихах В прозе Прикольные Мужчине Женщине Коллеге Начальнику Поздравления в стихах  Я желаю счастья море И успехов океан. Солнце пусть свой теплый лучик От души подарит вам. Радуют пускай улыбки Дней красивых череда. Мир добро и вдохновение С вами пусть идут всегда. Специально для Datki.net  Огонька задора в сердце Я хочу вам пожелать. И не будет пусть минуты Чтоб грустить хандрить скучать. Жизни вкус чтоб ощущали Искренним чтоб был восторг. Чтобы в счастье вы встречали Томный вечер и восход. Специально для Datki.netПоздравления в прозе  Желаю чтобы каждый день начинался с улыбки и с ожиданием невероятного жизненного эпизода пусть будет ради кого просыпаться пускай только привлекательные и радостные эмоции ожидают постоянно за поворотом. Специально для Datki.net  В твой день рождения хочу пожелать душевной гармонии решимости и надежного окружения которое поддержит тебя в любых начинаниях. Пусть жизнь будет полна насыщенными и яркими моментами а достигнутые цели пусть мотивируют на новые свершения! Специально для Datki.net  С днем твоего появления на свет! Ну что тебе пожелать чтоб это не звучало банально и скучно? Желаю тебе стать снежинкой. Быть легкой нежной и красивой; облететь весь белый свет посмотреть на все страны и растаять на губах у самого красивого принца в мире. Пусть твое сердце будет холодным настолько чтоб его не смогли сломить напасти и трудности. Но пусть оно растает от нежного и любящего прикосновения. Желаю тебе большой любви и огромного счастья!Нет подходящего? Посмотрите поздравления с Днем рождения.Популярные музыкальные поздравленияДень Рождения твой постучался в двери!Путин поздравляет с Днем рожденияДобрая и светлая песенка на День рождения PCEtLSBiZWdpbjogZ3JhdHRpcyBzaG93Y2FzZSBtZW51IC0tPg0KPGRpdiBjbGFzcz0iZ3NjbV81ZDBhNTE1NWIyYjRiNzI1ZjYwYWFkZmIiPjwvZGl2Pg0KPHNjcmlwdCB0eXBlPSJ0ZXh0L2phdmFzY3JpcHQiPg0KICAoZnVuY3Rpb24odywgZCwgbiwgcywgdCkgew0KICAgIHdbbl0gPSB3W25dIHx8IFtdOw0KICAgIHdbbl0ucHVzaCgiNWQwYTUxNTViMmI0YjcyNWY2MGFhZGZiIik7DQogICAgdCA9IGQuZ2V0RWxlbWVudHNCeVRhZ05hbWUoInNjcmlwdCIpWzBdOw0KICAgIHMgPSBkLmNyZWF0ZUVsZW1lbnQoInNjcmlwdCIpOw0KICAgIHMudHlwZSA9ICJ0ZXh0L2phdmFzY3JpcHQiOw0KICAgIHMuc3JjID0gIi8vY2RuLXNob3djYXNlLW1lbnUuZ3JhdHRpcy5ydS9jbC9zY20ubWluLmpzIjsNCiAgICBzLmFzeW5jID0gdHJ1ZTsNCiAgICB0LnBhcmVudE5vZGUuaW5zZXJ0QmVmb3JlKHMsIHQpOw0KICB9KSh0aGlzLCB0aGlzLmRvY3VtZW50LCAiZ3JhdHRpc1Nob3djYXNlTWVudSIpOw0KPC9zY3JpcHQ+DQo8IS0tIGVuZDogZ3JhdHRpcyBzaG93Y2FzZSBtZW51IC0tPg==  С Днем рождения В стихах В прозе По именам Прикольные Короткие Красивые Музыкальные Картинки С Юбилеем Пожелания Слова благодарности С добрым утром Спокойной ночи Комплименты Извинения Другие поводы Со свадьбой С годовщиной свадьбы С рождением ребенка С крестинами С выходом на пенсию С новосельем Признания в любви Романтические СМС Эротические СМСDatki.net в соц. сетях:  PGRpdiBjbGFzcz0ieWEtc2l0ZS1mb3JtIHlhLXNpdGUtZm9ybV9pbml0ZWRfbm8iIGRhdGEtYmVtPSJ7JnF1b3Q7YWN0aW9uJnF1b3Q7OiZxdW90O2h0dHBzOi8veWFuZGV4LnJ1L3NlYXJjaC9zaXRlLyZxdW90OywmcXVvdDthcnJvdyZxdW90Ozp0cnVlLCZxdW90O2JnJnF1b3Q7OiZxdW90OyNmZmNjMDAmcXVvdDssJnF1b3Q7Zm9udHNpemUmcXVvdDs6MTIsJnF1b3Q7ZmcmcXVvdDs6JnF1b3Q7IzAwMDAwMCZxdW90OywmcXVvdDtsYW5ndWFnZSZxdW90OzomcXVvdDtydSZxdW90OywmcXVvdDtsb2dvJnF1b3Q7OiZxdW90O3JiJnF1b3Q7LCZxdW90O3B1YmxpY25hbWUmcXVvdDs6JnF1b3Q70J/QvtC40YHQuiDQv9C+INGB0LDQudGC0YMmcXVvdDssJnF1b3Q7c3VnZ2VzdCZxdW90Ozp0cnVlLCZxdW90O3RhcmdldCZxdW90OzomcXVvdDtfc2VsZiZxdW90OywmcXVvdDt0bGQmcXVvdDs6JnF1b3Q7cnUmcXVvdDssJnF1b3Q7dHlwZSZxdW90OzoyLCZxdW90O3VzZWJpZ2RpY3Rpb25hcnkmcXVvdDs6ZmFsc2UsJnF1b3Q7c2VhcmNoaWQmcXVvdDs6MjM0MTM2MiwmcXVvdDtpbnB1dF9mZyZxdW90OzomcXVvdDsjMDAwMDAwJnF1b3Q7LCZxdW90O2lucHV0X2JnJnF1b3Q7OiZxdW90OyNmZmZmZmYmcXVvdDssJnF1b3Q7aW5wdXRfZm9udFN0eWxlJnF1b3Q7OiZxdW90O25vcm1hbCZxdW90OywmcXVvdDtpbnB1dF9mb250V2VpZ2h0JnF1b3Q7OiZxdW90O25vcm1hbCZxdW90OywmcXVvdDtpbnB1dF9wbGFjZWhvbGRlciZxdW90OzomcXVvdDvQndCw0LnRgtC4INC/0L7Qt9C00YDQsNCy0LvQtdC90LjQtSZxdW90OywmcXVvdDtpbnB1dF9wbGFjZWhvbGRlckNvbG9yJnF1b3Q7OiZxdW90OyMwMDAwMDAmcXVvdDssJnF1b3Q7aW5wdXRfYm9yZGVyQ29sb3ImcXVvdDs6JnF1b3Q7I2ZmOGMwMCZxdW90O30iPjxmb3JtIGFjdGlvbj0iaHR0cHM6Ly95YW5kZXgucnUvc2VhcmNoL3NpdGUvIiBtZXRob2Q9ImdldCIgdGFyZ2V0PSJfc2VsZiIgYWNjZXB0LWNoYXJzZXQ9InV0Zi04Ij48aW5wdXQgdHlwZT0iaGlkZGVuIiBuYW1lPSJzZWFyY2hpZCIgdmFsdWU9IjIzNDEzNjIiLz48aW5wdXQgdHlwZT0iaGlkZGVuIiBuYW1lPSJsMTBuIiB2YWx1ZT0icnUiLz48aW5wdXQgdHlwZT0iaGlkZGVuIiBuYW1lPSJyZXFlbmMiIHZhbHVlPSIiLz48aW5wdXQgdHlwZT0ic2VhcmNoIiBuYW1lPSJ0ZXh0IiB2YWx1ZT0iIi8+PGlucHV0IHR5cGU9InN1Ym1pdCIgdmFsdWU9ItCd0LDQudGC0LgiLz48L2Zvcm0+PC9kaXY+PHN0eWxlIHR5cGU9InRleHQvY3NzIj4ueWEtcGFnZV9qc195ZXMgLnlhLXNpdGUtZm9ybV9pbml0ZWRfbm8geyBkaXNwbGF5OiBub25lOyB9PC9zdHlsZT48c2NyaXB0IHR5cGU9InRleHQvamF2YXNjcmlwdCI+KGZ1bmN0aW9uKHcsZCxjKXt2YXIgcz1kLmNyZWF0ZUVsZW1lbnQoJ3NjcmlwdCcpLGg9ZC5nZXRFbGVtZW50c0J5VGFnTmFtZSgnc2NyaXB0JylbMF0sZT1kLmRvY3VtZW50RWxlbWVudDtpZigoJyAnK2UuY2xhc3NOYW1lKycgJykuaW5kZXhPZignIHlhLXBhZ2VfanNfeWVzICcpPT09LTEpe2UuY2xhc3NOYW1lKz0nIHlhLXBhZ2VfanNfeWVzJzt9cy50eXBlPSd0ZXh0L2phdmFzY3JpcHQnO3MuYXN5bmM9dHJ1ZTtzLmNoYXJzZXQ9J3V0Zi04JztzLnNyYz0oZC5sb2NhdGlvbi5wcm90b2NvbD09PSdodHRwczonPydodHRwczonOidodHRwOicpKycvL3NpdGUueWFuZGV4Lm5ldC92Mi4wL2pzL2FsbC5qcyc7aC5wYXJlbnROb2RlLmluc2VydEJlZm9yZShzLGgpOyh3W2NdfHwod1tjXT1bXSkpLnB1c2goZnVuY3Rpb24oKXtZYS5TaXRlLkZvcm0uaW5pdCgpfSl9KSh3aW5kb3csZG9jdW1lbnQsJ3lhbmRleF9zaXRlX2NhbGxiYWNrcycpOzwvc2NyaXB0Pg0KPHNjcmlwdCBzcmM9Imh0dHBzOi8vY29kZS5qcXVlcnkuY29tL2pxdWVyeS0yLjIuMS5taW4uanMiPjwvc2NyaXB0Pg0KPHNjcmlwdCBzcmM9Imh0dHBzOi8vcy52b2ljZWNhcmRzLnJ1L2pzL2NhdGVnb3J5L21lZGlhZWxlbWVudC1hbmQtcGxheWVyLmpzIj48L3NjcmlwdD4NCjxzY3JpcHQgc3JjPSJodHRwczovL3Mudm9pY2VjYXJkcy5ydS9qcy9jYXRlZ29yeS9tYWluLmpzP2xhc3Q9MTIiPjwvc2NyaXB0Pg0KPHNjcmlwdD4kKGZ1bmN0aW9uKCkgeyB3aW5kb3cuZ2V0Q29udGV4dFdpZGdldCgkKCcjdmNfY29udGV4dF9jb250ZW50LmRuX2xhenlfbG9hZC0zJyksMjM2ODgsNDE3Mik7fSk7PC9zY3JpcHQ+DQo8ZGl2IGlkPSJ2Y19jb250ZXh0X2NvbnRlbnQiIGNsYXNzPSdkbl9sYXp5X2xvYWQtMyc+PC9kaXY+Скопировано!Стихи и проза. Музыкальные и голосовые поздравления на телефон. Копирование материалов допускается только с активной ссылкой на сайт Datki.net © 2023Политика конфиденциальностиСлужба поддержкиFAQПомощь проектуПромокодыКулинарные рецептыВсе о праздникахО нас</t>
  </si>
  <si>
    <t>datki.net</t>
  </si>
  <si>
    <t>Поздравления с днем ​​рождения в прозе, стихах и ...</t>
  </si>
  <si>
    <t>https://vikna.tv/ru/styl-zhyttya/podorozhi/pozdravleniya-s-dnem-%E2%80%8B%E2%80%8Brozhdeniya-v-proze-stihah-i-kartinkah/</t>
  </si>
  <si>
    <t>Идеи на тему «С днем рождения» (560) в 2023 г</t>
  </si>
  <si>
    <t>https://ru.pinterest.com/nilovaelvira/%D1%81-%D0%B4%D0%BD%D0%B5%D0%BC-%D1%80%D0%BE%D0%B6%D0%B4%D0%B5%D0%BD%D0%B8%D1%8F/</t>
  </si>
  <si>
    <t>Поздравления с Днем рождения</t>
  </si>
  <si>
    <t>https://www.pozdravuha.ru/p/na-den-rozhdeniya</t>
  </si>
  <si>
    <t>������������ � ���� �������� ������������ �� ������ ������������ �� �������. ��� ����� ����� � �������������������� � ���� �������� �� ������� ��������!�������������������������������������������������Ҹ������������������������������������������������������������������������������������� � ������Ҹ�������������������������������������������������� ������� ����������� ����������������������������������� ������ ������������������ ������������������ ������������� �� ������������� �� ��������������������������������������������� ����� ��������� ����������� �������� ������������������������������������������ ������ ������������ ��������� ����������� �������������� �������� ����������� ������������������� ��������� ����������� ��������������� ����������� ������� ���������� ��������� ��������� ���������������������������� �� ������������������������������������������������������������������������������������������������������� ����� ���������� ����� ������������������� � �������30 ���45 ���50 ���55 ���60 ���70 ���75 ���80 ������������������� �� ��������� ���������������� ������������������������� ����������������������������������������� ������������� ����������������� ����������� ����������� ���� ���������� �������� ���������������������������������������������� �������� ��������� �������������� ���� ���������� �� �������!	���������10 ������ (���������) ���� ���������� ������� ���������� ��� �� (������ ���� �������)������������ ������������11 ������ (�����) ���� ������ �������� � ������ ������� �����12 ������ (�������) ���� ����������� �� ������������������������ � ���� �������� ����������� �� ������������13 ������ (������) ���� ����� ������������ ���������� � ������������� ������ ������������ ������� ��14 ������ (�����������) ��������� ���� ������ � ��������15 ������ (����� 3 ���) ������������� ���� ����������17 ������ (����� 5 ����) ���� ���������� �������������� ������� (���� �����������)19 ������ (����� 7 ����) ���� �������� ����� � ����������19 ������ (����� 7 ����) ������������� ������� ���������������� �� ������������� ���� ������21 ������ (����� 9 ����) ���� ��������� ��������� ������������������� � ���� ���������21 ������ (����� 9 ����) ���� ���������� � ������������������ ���������� � ���� ����������21 ������ (����� 9 ����) ��������� ���� ����������������������� � ���� �����������22 ������ (����� 10 ����) ���� ���������24 ������ (����� 12 ����) ���� �����26 ������ (����� 14 ����) ���� ������ ������ (���� �������)������������ � ���� ������������������ �� ���� ������26 ������ (����� 14 ����) ��������� ���� ����������27 ������ (����� 15 ����) ���� ������� ������27 ������ (����� 15 ����) ���� �������������������� �� ���� ��������27 ������ (����� 15 ����) ���� ���������� (������������ ���������)������������ �� ���� ����������30 ������ (����� 18 ����) ������������� ���� ������ ����������30 ������ (����� 18 ����) ��������� ���� �������� ��������1 ������� (����� 19 ����) ���� ������ ������� ������� ��� �������� �������� � ���� ����� (1853 ���)1 ������� (����� 19 ����) ������������� ���� ������1 ������� (����� 19 ����) ��������� ���� ������ �� ������1 ������� (����� 19 ����) ������ ���� ���������������� � ������ ���� ����2 ������� (����� 20 ����) ���� ����������� ��������� ������������������ � ���� ����������� ���������3 ������� (����� 21 ����) ���� ���������������� ������������ ������ �� ���� ������3 ������� (����� 21 ����) ���� �������� � ������3 ������� (����� 21 ����) ���� ������������ �������4 ������� (����� 22 ���) ���� ����������������������� � ���� �����������4 ������� (����� 22 ���) �������� �� ���� ��������� ����������5 ������� (����� 23 ���) ���� ������ ���������������� ��������� ����� ������ �������-���������� ����� � ����� ��� ������� (1941 ���)8 ������� (����� 26 ����) ���� ����������� ����������� ������������8 ������� (����� 26 ����) ������������� ���� ���������9 ������� (����� 27 ����) ���� ������ ��������������������� � ���� ������ ���������10 ������� (����� 28 ����) ��������� ���� ������������������� � ���� �������10 ������� (����� 28 ����) ���� �������� ������ ����� ��� ������������������ � ���� ����������� ������ �����10 ������� (����� 28 ����) ������������������ �� ������10 ������� (����� 28 ����) ���� ���� �������������������� � ���� ���� ������������� ������������������� �� ���� �������� ������ 45 ��������������� �� ���� �������� ������ 40 ��������������� �� ���� �������� ���� 45 ��������������� �� ���� �������� ���� 40 ��������������� � ������������ �� ����������������� � ����� ����� 2023������������ � ����� ����� ����������������� � ����� ����� 2022������������ � ��������������������������� � ���� ����������� � ����������� �������������� ������������� ���� �������� �����!!!�� ����� ������ ���������� � ���� ������������� ����������� ������ ����� ��������� ����� ���������� � ����� ��� ����������� �� �������� ������� �� ��������� ����.������� ���� �������� ����� ����� ������� ������� � ������ �������� ���� ������� �� ����� ������ ������������ ������ ��� ����� � ����� � ����.������ �� 45 ���� ���� �������� �����!!!� ���� �������� ���� �������� ������������� ���� �������� ����������� ������ ������ �������� �������� ���������� ����� � ���� �����.�� ����� �������� ������������������ �� ����� ��� ��� ����� ���������� ������ ����� � ����� ��������� ����� ����� ���� �������� ���� �����.������ �� 45 ���� ���� �������� �����!!!��� ������� � ������� ���������� ���������� � ���� �������� ��������� ���� ���� ���������� ����� �������������� ���� ������ ����� ����.����� ����� ���� ���� ��� �� ������������ � ���� � ������ ��������� ���� �� ����� �� �� ��� �� ������� ���� ������� � ����� �� �������.������ �� 45 ���� ���� �������� �����!!!�� ����� ������ ���������� � ���� ������������ ����������� ������� ����� ��������� ����� ���������� � ����� ��� ����������� �� ��� ������ ���� � ����� �������.�� ���� ���������� ����� ����� � ���� ����� �������� ���� ����� ������� ���������� ����� ������ ��� �� ����� ������������� ����� � ����� ��� ����� �����.������ �� 45 ���� ���� �������� �����!!!���� ����������� ������� ����� ����� ���������� � ���� �������� ���� ���������� ����� � ������ ������� ����������� ����� ���� ����� ����� �������� �� ��������.����� �������� ���� ������ � �������������� ���� � ���� ������� �� �������������� �� ������� ������ �� ����� ����������� ��������� ���� ������ � ����.������ �� 45 ���� ���� �������� �����!!!����� ���� ���� ����������� ����������������� � ���� �������� ��������� ����� ��� ����� � ���� ���� ��������� ������ ������ �������� ����.� ���� ����� ����� ���� ������������������ ������ �������� ������������������ ����� ������ � �������������� �� ������ �� ����� ������.������ �� 45 ���� ���� �������� �����!!!����������� ������� ����� ����� ���� �������� ���� � ����������� ���� ���� � ����� ����������� ���� ���� �� �������� �������.�� ������ ����� ����� �� ���� ����� �� ������� ������ ��� ���������� �������� �� ��� �� ��������� ��������� ������ � ����� ������ ����� �����.������ �� 45 ���� ���� �������� ���!!!����� ������� ������������ ��� ��������� ������� ��� �������� ������������ ������ ������ ����� ��� ����� �������� ������ ������� ��� ������ ��� ���� ����.���� ������� ���������� � ���� ������������ ����������� ������� ����� ��������� ���� ������� ����� ����������� ����� ������ ������ ����� ����� ����.���� �� 40 ���� ���� �������� ���!!!� ���������� � ���� �������� ���� ������� ����� ���� ���������� � ����� ��������� ����� ������ � ����� ��� ������� ������� � ����� ���� � ������ � � �������.����� �������� �������� ���� �������� ������ �� �������� ��������� ��� ���� ����������� ������������ ����� ������ �������� ����.���� �� 40 ���� ���� �������� ���!!!�� ����� ������ ���������� � ���� ������������ ����������� ������� ����� �������� ����� ������ �� ������ ������������ ����� ������ ������ ����� ����� ����.����� ����� ��������� ���� �������� ���� ������������ ���� ������� ����������� ����� ����� ������ � ��� ���������� ��������� � ����� ���� ������ ����.���� �� 40 ����� ���� �������������� ��������� ������ � ������� ����������� ����������������� �������������� � ������������� ���������������������� ����� � ��� �������������������������������������������������������� ��������� 10.11������������ ������������12.11������������ � ���� �������� ����������� �� ������������19.11������������ �� ������������� ���� ������21.11������������ � ���� ���������21.11������������ ���������� � ���� ����������21.11������������ � ���� �����������������  123456789101112131415161718192021222324252627282930   ← ������� | ������� →������ ������� ���� ������ ��� ���� ���� ������ �������� ������� ������ 			��������� 2023��� �������� �� ��������?					© ���������� ������: "������������ � ���� �������� ������������ �� ������ ������������ �� �������. ��� ����� ����� � ��������"					��������� ���������! ��� ������������� ���������� �������� ������ �� ���� �����������! ���������� ������������ �� ������ ������������ �� �����������.����� �����</t>
  </si>
  <si>
    <t>www.pozdravuha.ru</t>
  </si>
  <si>
    <t>С днём рождения | Семейные дни ...</t>
  </si>
  <si>
    <t>https://ru.pinterest.com/pin/393994667383605090/</t>
  </si>
  <si>
    <t>Поздравления и пожелания с днем рождения от себя ...</t>
  </si>
  <si>
    <t>https://dzen.ru/a/Y5OAjmSCNFNiTXZt</t>
  </si>
  <si>
    <t>dzen.ru</t>
  </si>
  <si>
    <t>Роскошное поздравление С ДНЕМ РОЖДЕНИЯ!</t>
  </si>
  <si>
    <t>24 янв. 2023 г. —</t>
  </si>
  <si>
    <t>https://www.youtube.com/watch?v=845dfRu9Y30</t>
  </si>
  <si>
    <t>Поздравления с Днем рождения в прозе</t>
  </si>
  <si>
    <t>С Днем рождения! Пусть счастье улыбнётся Вам, чтоб Вы были всегда счастливы, любимы, здоровы, прекрасны, успевающие! И все Ваши желания всегда сбываются!</t>
  </si>
  <si>
    <t>https://moonzori.com/pozdravlenyya-s-dnem-rozhdenyya-v-proze/</t>
  </si>
  <si>
    <t>Сайт привітань. Поздоровлення на День народження і свята Мунзорі - MoonzoriSkip to contentЗ Днем народженняЖінціМужчиніПодрузіДругуМаміТатовіСестріБабусі і дідусюДитиніЛистівкиЗ ювілеємКороткі привітанняЗ весіллямЗі святамипро moonzoriполітика конфіденційностіконтакти З Днем народженняКороткі привітання з Днем народження з🎉ЕмодзіВідеопривітання з Днем народження ﻿ Наші короткі поздоровлення з Днем народження з🥳Емодзі допоможуть вам надихнутися й підібрати потрібні слова щоб…1 min read05.11.2023TrendingRecommendedЗ Днем народженняПривітання з Днем народження1 min read05.06.2023Жінкам З Днем народження ЧоловікамПривітання з Днем народження в прозі1 min read05.06.2023С Днем рожденияПоздравления с Днем рождения в прозе1 min read01.06.2023Жінкам З Днем народженняПривітання з Днем народження сестрі:💐 картинки проза вірші1 min read27.09.2023З Днем народженняКороткі привітання з Днем народження з🎉Емодзі1 min read05.11.2023Жінкам З Днем народженняПривітання з Днем народження сестрі:💐 картинки проза вірші1 min read27.09.2023Зі святамиПривітання з Днем вчителя у прозі + картинки1 min read20.09.2023Жінкам З Днем народженняПривітання з Днем народження жінці💐1 min read08.09.2023Привітання з Днем Народження і СвятамиЖінкам З Днем народженняПривітання з Днем народження сестрі:💐 картинки проза віршіСестра – одна з найрідніших людей в житті. Команда Moonzori підготувала низку віршованих та прозових привітань для сестри серед яких…1 min read27.09.2023Зі святамиПривітання з Днем вчителя у прозі + картинкиДарувати віддавати любити підтримувати мотивувати надихати… – це про наших вчителів. Moonzori охоче ділиться з вами чудовими привітаннями до свята…1 min read20.09.2023Жінкам З Днем народженняПривітання з Днем народження жінці💐Музичне відеопривітання для жінки ﻿ Жінки – джерело найтепліших почуттів підтримки та кохання. Жінки відіграють важливу роль у сім’ї суспільстві…1 min read08.09.2023Жінкам З Днем народження ЧоловікамПривітання з Днем народження бабусі й дідусю🌻Відеопривітання  У кожній родині старше покоління заслуговує на повагу і тепле ставлення. Протягом життя вони отримали неоціненний досвід і мудрість…1 min read07.09.2023Жінкам З Днем народженняПривітання з Днем народження мамі🌼Музичне привітання для мами Мама – найбільший дарунок у нашому житті. Вона завжди поруч дарує свою ніжність любов і мудрість….1 min read25.08.2023Зі святами🇺🇦 З Днем Незалежності України 2023: привітання й листівки для сторіс32-ий рік Незалежності України є одним з найважчих років її існування. Та попри повномасштабну війну що триває другий рік в…1 min read21.08.2023Something went wrong with loading more postsпро moonzoriполітика конфіденційностіконтакти© 2023 moonzori - birthday and holidays wishes</t>
  </si>
  <si>
    <t>moonzori.com</t>
  </si>
  <si>
    <t>С Днем рождения в Genshin Impact: как начать и найти ...</t>
  </si>
  <si>
    <t>https://wotpack.ru/s-dnem-rozhdenija-v-genshin-impact-kak-nachat-i-najti-lanuar/</t>
  </si>
  <si>
    <t>Wotpack.ru - игры новости гайды прохождения    НовостиНовости Genshin ImpactНовости Honkai: Star RailИгрыGenshin ImpactHonkai: Star RailBaldur’s Gate 3Counter-Strike 2Marvel’s Spider-Man 2Cyberpunk 2077Diablo 4Atomic HeartHogwarts LegacyМир Танков (WOT)RobloxGod of WarКлуб РомантикиВсе игрыРейтингиИнтересноеФильмы и сериалыАниме        No Result     View All Result             НовостиНовости Genshin ImpactНовости Honkai: Star RailИгрыGenshin ImpactHonkai: Star RailBaldur’s Gate 3Counter-Strike 2Marvel’s Spider-Man 2Cyberpunk 2077Diablo 4Atomic HeartHogwarts LegacyМир Танков (WOT)RobloxGod of WarКлуб РомантикиВсе игрыРейтингиИнтересноеФильмы и сериалыАниме        No Result     View All Result                  No Result     View All Result       Genshin ImpactНа языке цветов ламповый колокольчик означает в Genshin Impact: как получить достижение 11.11.2023Genshin ImpactЗагадка с кристаллами разведки уровня воды в Лесу Эриний в Genshin Impact: как решить 11.11.2023Genshin ImpactПрокачка Шеврез в Genshin Impact: материалы возвышения и талантов 11.11.2023Genshin ImpactСкрытые телепорты в Лесу Эриний в Genshin Impact: как открыть 11.11.2023Honkai: Star RailХанья в Honkai: Star Rail [лучший билд]💪 11.11.2023Genshin ImpactРоскошный сундук под водой в Око Воды и Земли – Дворец в Genshin Impact: как открыть 11.11.2023Genshin ImpactДеянейра Снежневна в Genshin Impact: как найти и победить 11.11.2023Genshin ImpactЗагадка с гигантской ракушкой в Лесу Эриний в Genshin Impact: как решить головоломку 11.11.2023Genshin ImpactМагический меч Круж в Genshin Impact: как найти и победить 11.11.2023 Load MoreНовостиАнимеАнонсировано аниме по «Ведьмаку» с Геральтом — «Сирены глубин»by bottleofskuma 11.11.2023АнимеАнонсировали продолжение аниме «Аркейн»: первый тизер и дата выходаby Iseoka 10.11.2023Фильмы и сериалыВышел первый трейлер сериала «Аватар: Легенда об Аанге» от Netflixby Iseoka 10.11.2023АнимеАниме по «Джону Уику» уже запустили в производство и готовят еще проектby Iseoka 10.11.2023Honkai: Star RailСколько звездных нефритов можно получить за патч 1.5 в Honkai: Star Railby futsuri 09.11.2023Genshin ImpactОбновление Genshin Impact 4.3: дата выхода баннеры персонажи и событияby dairnin 07.11.2023 Load MoreИгрыAllDays GoneResident Evil VillageGenshin ImpactValheimCyberpunk 2077MinecraftOutridersRobloxSims 4Hitman 3The Elder Scrolls OnlineWoTAssassin’s Creed: ValhallaAmong UsGenshin ImpactНа языке цветов ламповый колокольчик означает в Genshin Impact: как получить достижениеby silveross 11.11.2023Genshin ImpactПрокачка Шеврез в Genshin Impact: материалы возвышения и талантовby Daria 11.11.2023Genshin ImpactСкрытые телепорты в Лесу Эриний в Genshin Impact: как открытьby Valery 11.11.2023Honkai: Star RailХанья в Honkai: Star Rail [лучший билд]💪by vickie 11.11.2023Genshin ImpactРоскошный сундук под водой в Око Воды и Земли – Дворец в Genshin Impact: как открытьby Ferskani 11.11.2023Genshin ImpactДеянейра Снежневна в Genshin Impact: как найти и победитьby silveross 11.11.2023Genshin ImpactЗагадка с гигантской ракушкой в Лесу Эриний в Genshin Impact: как решить головоломкуby Daria 11.11.2023Genshin ImpactМагический меч Круж в Genshin Impact: как найти и победитьby silveross 11.11.2023Genshin ImpactДрагоценный сундук под водой в Морт в Genshin Impact: как открытьby Ferskani 11.11.2023 Load MoreЧто посмотретьAllАнимеФильмы и сериалыАнимеАнонсировано аниме по «Ведьмаку» с Геральтом — «Сирены глубин» 11.11.2023АнимеАнонсировали продолжение аниме «Аркейн»: первый тизер и дата выхода 10.11.2023Фильмы и сериалыВышел первый трейлер сериала «Аватар: Легенда об Аанге» от Netflix 10.11.2023АнимеАниме по «Джону Уику» уже запустили в производство и готовят еще проект 10.11.2023АнимеВ России «Мальчик и птица» от Миядзаки получит две озвучки 02.11.2023АнимеТоп-10 аниме на церемонии NewType Anime Award 2023 30.10.2023 Load MoreРейтингиАнимеТоп-10 аниме на церемонии NewType Anime Award 2023by Iseoka 30.10.2023АнимеТоп-15 самых ожидаемых аниме осени 2023by Iseoka 18.09.2023АнимеТоп-10 лучших аниме первой половины лета 2023 по версии MALby Iseoka 13.08.2023НейросетиЛучшие аналоги ChatGPT: топ-25 нейросетей в 2023 годуby Ann 07.08.2023АнимеТоп-25 лучших аниме-персонажей всех времен по версии IGNby Iseoka 30.07.2023АнимеТоп-10 лучших аниме весеннего сезона 2023 по версии Anitrendzby Iseoka 20.07.2023 Load MoreИнвайт код 2023 для World of TanksИнвайт коды для WOT на ноябрь 2023 [Действующие] 30.10.2023Инвайт код 2023 для World of TanksИнвайт-коды WOT для новичков [ноябрь 2023] 30.10.2023Бонусы и Инвайт-коды World of TanksИнвайт код для Мира Кораблей 2023 30.10.2023   РекламодателямВакансииОбратная связьПользовательское соглашениеПолитика конфиденциальности © 2023                    No Result     View All Result    НовостиНовости Genshin ImpactНовости Honkai: Star RailИгрыGenshin ImpactHonkai: Star RailBaldur’s Gate 3Counter-Strike 2Marvel’s Spider-Man 2Cyberpunk 2077Diablo 4Atomic HeartHogwarts LegacyМир Танков (WOT)RobloxGod of WarКлуб РомантикиВсе игрыРейтингиИнтересноеФильмы и сериалыАниме    © 2023       </t>
  </si>
  <si>
    <t>wotpack.ru</t>
  </si>
  <si>
    <t>Поздравления с днём рождения</t>
  </si>
  <si>
    <t>6 мая 2023 г. —</t>
  </si>
  <si>
    <t>https://www.youtube.com/playlist?list=PLqVr6CBVHfRM0XKNY5ZvVQbVsK2oxL34z</t>
  </si>
  <si>
    <t>поздравление на день рождения: 2 тыс. видео найдено ...</t>
  </si>
  <si>
    <t>С Днем Рождения. Красивое поздравление на день рождение. YouTube. 12 мая 2017. 545 тыс. просмотров.</t>
  </si>
  <si>
    <t>https://yandex.ru/video/touch/%D0%B7%D0%B0%D0%BF%D1%80%D0%BE%D1%81/%D1%81%D0%B5%D1%80%D0%B8%D0%B0%D0%BB%D1%8B?top=0&amp;text=%D0%BF%D0%BE%D0%B7%D0%B4%D1%80%D0%B0%D0%B2%D0%BB%D0%B5%D0%BD%D0%B8%D0%B5+%D0%BD%D0%B0+%D0%B4%D0%B5%D0%BD%D1%8C+%D1%80%D0%BE%D0%B6%D0%B4%D0%B5%D0%BD%D0%B8%D1%8F&amp;letter=%D0%98&amp;letter_page=2&amp;redircnt=1518955007.1&amp;autoopen=1</t>
  </si>
  <si>
    <t>С днём рождения!</t>
  </si>
  <si>
    <t>https://www.facebook.com/groups/553041255073656/</t>
  </si>
  <si>
    <t>сбербанк</t>
  </si>
  <si>
    <t>СберБанк для физических лиц — банковские услуги</t>
  </si>
  <si>
    <t>СберБанк — банковские услуги для физических лиц. Кредиты и вклады, ипотека, дебетовые и кредитные карты и другие банковские услуги для частных клиентов.</t>
  </si>
  <si>
    <t>http://www.sberbank.ru/ru/person</t>
  </si>
  <si>
    <t>СберБанк</t>
  </si>
  <si>
    <t>Обновите браузер, чтобы войти в СберБанк Онлайн · СберБанк. Вход по номеру телефона. Логин.</t>
  </si>
  <si>
    <t>https://online.sberbank.ru/</t>
  </si>
  <si>
    <t>Нельзя войти в СберБанк Онлайн в этом браузере.Нельзя войти в СберБанк Онлайн в этом браузере. Пожалуйста попробуйте другой браузер. Если не получится позвоните нам по номеру 900 или +7 495 500-55-50 если вы за границей.Ваш support ID: &lt;18005308073735164417&gt;[Назад]</t>
  </si>
  <si>
    <t>online.sberbank.ru</t>
  </si>
  <si>
    <t>Сбербанк</t>
  </si>
  <si>
    <t>На Sberbank.com вы найдёте информацию о развитии и системе корпоративного управления СберБанка, регулирующие документы, пресс-релизы и информацию для акционеров ...</t>
  </si>
  <si>
    <t>https://www.sberbank.com/ru</t>
  </si>
  <si>
    <t>sberbank.ruВозникла проблема при открытии сайта Сбербанка в этом браузере.Возможно у Вас не установлены сертификаты Национального УЦ Минцифры России.Ознакомиться с инструкциями по установке можно на https://www.gosuslugi.ru/crtЛибо попробуйте войти на сайт в другом браузере по ссылке https://www.sberbank.com/ru/certificatesЕсли ошибка повторится позвоните нам по номеру 900 или + 7495 500-55-50 если Вы за границей и сообщите ваш Support IDSupport ID: &lt; 3708112367083881761&gt;[Назад]</t>
  </si>
  <si>
    <t>www.sberbank.com</t>
  </si>
  <si>
    <t>Sberbank</t>
  </si>
  <si>
    <t>Information about SberBank's development and corporate governance for shareholders and investors ✓ Annual shareholders' meeting ✓ Annual reports ✓ The ...</t>
  </si>
  <si>
    <t>https://www.sberbank.com/</t>
  </si>
  <si>
    <t>Сбербанк России</t>
  </si>
  <si>
    <t>https://ru.wikipedia.org/wiki/%D0%A1%D0%B1%D0%B5%D1%80%D0%B1%D0%B0%D0%BD%D0%BA_%D0%A0%D0%BE%D1%81%D1%81%D0%B8%D0%B8</t>
  </si>
  <si>
    <t>БПС-Сбербанк</t>
  </si>
  <si>
    <t>Сбер Банк работает в обычном режиме · Новая версия СберБанк Онлайн · Счет в вашу пользу · Потребительский кредит на ремонт «Комфорт со Сбер Банком» · СберКарта ...</t>
  </si>
  <si>
    <t>https://www.sber-bank.by/</t>
  </si>
  <si>
    <t>ОАО «Сбер Банк» - ГлавнаяОтделения и банкоматыСберБанк ОнлайнСбер Банк работает в обычном режимеОтвечаем на основные вопросы о текущей ситуации в банкеУзнать подробнееНовая версия СберБанк ОнлайнПодробнееСчет в вашу пользуВклады с доходом до 126% годовыхПодробнееПотребительский кредит на ремонт «Комфорт со Сбер Банком»Кредит для вашего уюта!ПодробнееСберКарта впечатляет каждый деньПолучайте удовольствие от покупок с бесплатной цифровой картойи по-настоящему большими манибэками до 100%ПодробнееИдентификация электронных кошельков ЮMoneyАкция по снижению тарифа за идентификацию до 10 BYN продлена до конца лета!ПодробнееПотребительский кредит «Просто в Online»Легко платить!Узнать подробнееМобильное приложение БЕЛКАРТ PAYБесконтактная оплата при помощи смартфонаПодробнееФинансовая безопасностьНаша главная задача – сохранность ваших финансов и личных данныхПодробнееСбер Банк работает в обычном режимеОтвечаем на основные вопросы о текущей ситуации в банкеУзнать подробнееНовая версия СберБанк ОнлайнПодробнееКурсы валютКарьера в нашем БанкеОнлайн СервисыВаше мнениеСберКарта помогает сберегать каждый деньПолучайте money-back совершая покупки в Яндекс.Еда Mark Formelle и Национальном художественном музееКомплексная подписка СберПраймРазвлекательные сервисы и выгодная карта для васЮридические услуги со скидкой 20%ООО «СБ-Глобал» предоставляет скидку для корпоративных клиентов по различным отраслям праваМобильный эквайринг SBPOSБесконтактный прием платежей в вашем смартфонеКурсы валютКурсы по карточкамНаличныеКонверсияБезналичныеНацбанкПокупкаПродажа1 USD31700319501 EUR3350034100100 RUB3400034700Курс на 11.11.2023 c 09:00Все курсыПолезные статьи Все статьиСоветы для экономии времени и денегКак разобраться в банковских сервисах? 100 советов от Сбера в 1 чек-листеПодробнееДипфейки – новый вид мошенничестваПодробнее Новая WEB-версия системы «СберБанк Онлайн»ПодробнееАлгоритм действий для обновления приложения «СберБанк Онлайн»ПодробнееНовостиТоп-новостьО режиме работы подразделений Банка в праздничные дниЧастным клиентамКак разобраться в банковских сервисах? 100 советов от Сбера в 1 чек-листеО начале размещения облигаций 121-го выпуска ОАО «Сбер Банк» для физических лицО внесении изменений в пакет услуг «Блэк»БизнесуКак разобраться в банковских сервисах? 100 советов от Сбера в 1 чек-листеО снятии с регистрации неработающих мобильных приложений SBPOSНовые условия проведения валютно-обменных операций на торгах ОАО «БВФБ» по поручению и за счет корпоративных клиентовУведомленияТехнологические работы 15 16 и 17 ноябряТехнологические работы с 7 на 8 ноябряТехнологические работы 3 ноябряВсе новости банкаЦифровой банк в вашем кармане!Отсканируйте QR-код камерой вашего смартфонаСтраница была вам полезна?ДаНетКартыПлатежные картыКредитыИнвестицииЗарплатные пакетыВкладыПлатежи и переводыОнлайн СервисыСтрахованиеСбербанк ПремьерСберПервый148Городской и мобильный номер5-148-148A1 MTC Life:)Раскрытие информацииКарьераЦентр клиентской поддержкиЗакупкиРеализация имуществаФинансовая грамотностьАкционерам и инвесторамПолитика обработки персональных данныхENGОАО «Сбер Банк» (далее — Банк) использует файлы «cookie» с целью повышения эффективности работы с веб-сайтом Банка персонализации возможностей веб-сайта Банка под Ваши потребности и упрощения Вашего взаимодействия с веб-сайтом Банка во время будущих сессий.Если Вы не хотите использовать файлы «cookie» рекомендуем Вам изменить настройки Вашего браузера или прекратить работу с веб-сайтом Банка.© 1993—2023 ОАО «Сбер Банк»Заказать звонокОтправить вопрос на EmailЧат с банкомНаписать в Telegram«ОАО «Сбер Банк» использует «cookie» для персонализации сервисов и удобства пользователей. Вы можете запретить сохранение «cookie» в настройках своего браузера или отказаться на сайте ОАО «Сбер Банк».ПринятьОтклонитьПодробнее</t>
  </si>
  <si>
    <t>www.sber-bank.by</t>
  </si>
  <si>
    <t>Сбер</t>
  </si>
  <si>
    <t>Сбербанк ошибочно забрал себе мои денежные средства и не возвращает их мне. В СМИ никакой информации по поводу сбоя нет, со слов специалистов Сбербанка такая ...</t>
  </si>
  <si>
    <t>https://vk.com/sber</t>
  </si>
  <si>
    <t>Sbrf.ru</t>
  </si>
  <si>
    <t>http://www.sbrf.ru/</t>
  </si>
  <si>
    <t>Приложение СберБанк Онлайн работает для вас уже 11 лет! Из простого приложения для денежных переводов оно стало супераппом, где доступны 70% всех сервисов и ...</t>
  </si>
  <si>
    <t>https://www.facebook.com/sberbank/?locale=ru_RU</t>
  </si>
  <si>
    <t>Sber / Сбер (@sberbank) • Instagram photos and videos</t>
  </si>
  <si>
    <t>Долгожданная фича уже доступна! Обновляй приложение СберБанк Онлайн, чтобы: — выбирать, какие.</t>
  </si>
  <si>
    <t>https://www.instagram.com/sberbank/</t>
  </si>
  <si>
    <t>sberbank-ast</t>
  </si>
  <si>
    <t>Error. &lt;Действия блокированы защитой ЭТП. Посторонее ПО. The Session ID is: N/A The event ID is: 7093436189073565431. HOST: www.sberbank-ast.ru.</t>
  </si>
  <si>
    <t>https://www.sberbank-ast.ru/</t>
  </si>
  <si>
    <t>СберМобайл — оператор связи от Сбербанка</t>
  </si>
  <si>
    <t>Бонусы начисляются только при пополнении баланса через мобильное приложение «СберМобайл» при оплате картой Сбербанка. Для получения скидок с использованием ...</t>
  </si>
  <si>
    <t>https://sbermobile.ru/</t>
  </si>
  <si>
    <t>СберМобайл — оператор связи от Сбербанка    Ваш браузер устарелДля корректной работы сайта перейдите на другой браузерТарифыeSIMСберПраймПеренести номерЧастным лицамIT-решенияПартнерамПригласи друга 						Личный кабинет											Скачать приложение					ТарифыeSIMУслугиWi-Fi звонкиПутешествия по мируПутешествия по РоссииМобильное приложениеСамостоятельная активация сим-картыСтрахование смартфонаАура — защита от мошенничестваУмный автоответчикСберПраймОплатаПополнить балансСберСпасибоОплатаПоддержкаКак настроить интернет?Вопросы и ответыВосстановить сим-картуДоступные USSD - командыФорма обратной связиПерейти в СберМобайлЗаказать SIM-картуСкачать приложение БЕЗЛИМИТНАЯ МУЗЫКА 			с HiFi-стримингом ЗвукНа тарифах "Лайт" "Оптимум" и "СберПрайм Хит" с подпиской СберПрайм УДВАИВАЕМ ГИГАБАЙТЫ на тарифах Лайт Оптимум Салют ПремиумПодробнее ИДЕАЛЬНО ДЛЯПУТЕШЕСТВИЙ Выгодные тарифы для роуминга. «Безлимитные мессенджеры» за 139 руб. в суткиПодробнее Салют eSIM скидка 40% на абонентскую плату по тарифу с безлимитными сервисамиОформить тарифПравовая информация выгоднее с подпиской СберПрайм     ПодробнееПравовая информаци ОГО! До 99% от платежа можно внести бонусами СберСпасибо при оплате связиПодробнееПодробнее Смотреть все тарифыПрочие условияСтоимость услуг зависит от выбранного тарифного плана. 				Абонентская плата взимается в полном объеме при подключении				услуги.			   				Последующие списания абонентской платы будут происходить в				то же число каждого календарного месяца.			   				Если услуга подключена 31 числа месяца то списание				абонентской платы в месяцах в которых нет 31 числа будет				происходить в последний день месяца.			   				Если в момент списания абонентской платы на счете недостаточно				средств то до пополнения счета и списания платы действие				услуги будет заблокировано.			   Услуги действуют в поездках по России. 				Услуги действуют только при использовании официальных				приложений и веб-сайтов.			   				Страницы содержащие контент других сайтов расходуют основной				пакет интернет трафика.			   				Услуги не действуют при использовании VPN прокси-сервера или				инструментов сжатия трафика.			   				При исчерпании основного и дополнительных пакетов трафика				доступ к сервисам не гарантируется.			   				При невозможности списания очередной абонентской платы по				тарифу действие услуг блокируется до пополнения счета и				списания абонентской платы. После пополнения счета				и списания абонентской платы по тарифу действие услуг				будет продлено на период блокировки.			  Переходите В СберМобайл со своим номеромТариф СберПрайм Хит1200 минут и 40 ГБИли скидки 40% на ежемесячную плату по другим тарифамПодробнееМобильное приложение					Настройка тарифа 					Пополнение баланса 					Контроль расхода минутЗагрузить:Карта покрытия и офисы продажКарта покрытия					Офисы продаж									Мы используем файлы cookie.				ПодробнееСкрыть				ООО «Сбербанк-Телеком» использует cookie (файл с данными о прошлых посещениях сайта) для персонализации сервисов и удобства посетителей сайта.				Сбербанк-Телеком серьёзно относится к защите персональных данных — ознакомьтесь с условиями и принципами их обработки.				Вы можете запретить сохранение cookie в настройках своего браузера.			Принять ТарифыДействующие тарифыАрхивные тарифыeSIMСберПраймПерейти в СберМобайлКарта покрытия ОплатаПополнить балансСберСпасибоПоддержкаКак настроить интернет?Вопросы и ответыВосстановить сим-картуДоступные USSD - командыФорма обратной связиУслугиWi-Fi звонкиПутешествия по мируПутешествия по РоссииМобильное приложениеСамостоятельная активация сим-картыУмный автоответчикЧитать всеО компанииНовостиВакансииАкцииПартнерам Загрузите вApp StoreЗагрузите вRuStoreСамостоятельнаяУстановкаЗагрузите вAppGallery© Сбербанк-Телеком 2017 — 2023. Я даю свое согласие ООО «Сбербанк-Телеком» с местом нахождения: г. Москва 117997 ул. Вавилова д. 19 (далее — Оператор) на сбор запись систематизацию накопление хранение уточнение (обновление изменение) извлечение использование обезличивание блокирование удаление и уничтожение в том числе автоматизированные своих персональных данных в специализированной электронной базе данных о моих контактных данных которые могут быть использованы Оператором при информировании меня о продуктах и услугах предложения мне продуктов и услуг Оператора и в целях участия в опросах/анкетировании проводимых Оператором для изучения и исследования мнения клиентов о качестве обслуживания и услугах Оператора при условии гарантии неразглашения данной информации третьим лицам.Я согласен на предоставление мне информации и предложение продуктов путем направления почтовой корреспонденции посредством электронной почты телефонных обращений SMS-сообщений.Данное согласие действует с момента подписания настоящего заявления в течение срока предоставления Оператором услуг и пяти лет после прекращения указанных услуг. По истечении указанного срока действие настоящего заявления считается продленным на каждые следующие пять лет при отсутствии у Оператора сведений о его отзыве.Вы можете в любой момент отозвать согласие на обработку персональных данных посредством письменного уведомления Оператора по адресу электронной почты privacy@sberbank-tele.com или на адрес: 117977 г. Москва ул. Вавилова д. 19 с пометкой «Отзыв согласия на обработку персональных данных» при этом вы осознаете что в случае отзыва согласия на обработку персональных данных Оператор вправе продолжить обработку персональных данных без согласия субъекта персональных данных при наличии оснований указанных в пунктах 2 — 11 части 1 статьи 6 части 2 статьи 10 и части 2 статьи 11 Закона о персональных данных.Подробнее об условиях обработки персональных данных можно узнать в Политике обработке персональных данных. ПонятноЯ даю свое согласие ООО «Сбербанк-Телеком» с местом нахождения: г. Москва 117997 ул. Вавилова д. 19 (далее — Оператор) на сбор запись систематизацию накопление хранение уточнение (обновление изменение) извлечение использование обезличивание блокирование удаление и уничтожение в том числе автоматизированные своих персональных данных с целью поиска кандидатов на вакантную должность.Я согласен на предоставление мне информации и предложение продуктов путем направления почтовой корреспонденции посредством электронной почты телефонных обращений SMS-сообщений.Данное согласие действует с момента подписания настоящего заявления до принятия решения по трудоустройству или отказу в трудоустройстве кандидату на вакантную должность.Вы можете в любой момент отозвать согласие на обработку персональных данных посредством письменного уведомления Оператора по адресу электронной почты privacy@sberbank-tele.com или на адрес: 117977 г. Москва ул. Вавилова д. 19 с пометкой «Отзыв согласия на обработку персональных данных» при этом вы осознаете что в случае отзыва согласия на обработку персональных данных Оператор вправе продолжить обработку персональных данных без согласия субъекта персональных данных при наличии оснований указанных в пунктах 2 — 11 части 1 статьи 6 части 2 статьи 10 и части 2 статьи 11 Закона о персональных данных.Подробнее об условиях обработки персональных данных можно узнать в Политике обработке персональных данных. ПонятноСогласие на обработку персональных данных для посетителей сайта.Продолжая работу на сайте я выражаю свое согласие ООО «Сбербанк-Телеком» (адрес: 117977 г. Москва ул. Вавилова д. 19) на автоматизированную обработку моих персональных данных (файлы cookie сведения о действиях пользователя на сайте сведения об оборудовании пользователя дата и время сессии) в том числе с использованием метрических программ Яндекс.Метрика Google Analytics Firebas Google с совершением действий: сбор запись систематизация накопление хранение уточнение (обновление изменение) извлечение использование обезличивание блокирование удаление уничтожение передача (предоставление доступ) в том числе трансграничная партнёрам ООО «Сбербанк-Телеком» предоставляющим сервис по указанным метрическим программам. Обработка персональных данных осуществляется в целях улучшения работы сайта совершенствования продуктов и услуг ООО «Сбербанк-Телеком» определения предпочтений посетителя сайта предоставления целевой информации по продуктам и услугам ООО «Сбербанк-Телеком» и его партнёров.Настоящее согласие действует с момента его предоставления и в течение всего периода использования сайта.В случае отказа от обработки персональных данных метрическими программами я проинформирован о необходимости прекратить использование сайта или отключить файлы cookie в настройках браузера. ПонятноЯ даю свое согласие ООО «Сбербанк-Телеком» с местом нахождения: 117997 г. Москва ул. Вавилова д. 19 (далее — Оператор) на обработку моих персональных данных в следующем составе: фамилия имя отчество; абонентский номер (номер мобильного телефона); адрес электронной почты; информация о моих действиях на сайте и (или) мобильном приложении Оператора в информационно-телекоммуникационной сети «Интернет»; информацию об идентификаторе клиента формируемом ПАО «Сбербанк» (Сбер ID) включая информацию о бонусном балансе «СберСпасибо»; информация об оплате товаров и продуктов заказанных на сайте; информация о наличии и сроке действия подписки «Сбер Прайм»; информация о наличии бонусов от компаний партнёров для предоставления мне скидок при покупке товаров и услуг для следующих целей:определение меня в качестве клиента Банка Компании группы Банка Партнера Банка;персонализация предложений по продуктам Банка продуктам Компаний группы Банка продуктам Партнеров Банка;формирование персональных предложений Оператора и третьих лиц а также предоставление информации о них способами предусмотренными п. 3 ст. 3 Федерального закона от 27.07.2006 N 152-ФЗ «О персональных данных» а именно: автоматизированная и неавтоматизированная (смешанная) обработка с совершением следующих действий: сбор запись систематизацию накопление хранение уточнение (обновление изменение) использование передачу (предоставление доступ) блокирование удаление и уничтожение.Настоящее согласие действует со дня его подписания и действительно в течение срока пользования услугами а также в течение 3 (трех) лет после прекращения.Вы можете в любой момент отозвать согласие на обработку персональных данных посредством письменного уведомления Оператора по адресу электронной почты privacy@sberbank-tele.com или на адрес: 117977 г. Москва ул. Вавилова д. 19 с пометкой «Отзыв согласия на обработку персональных данных» при этом вы осознаете что в случае отзыва согласия на обработку персональных данных Оператор вправе продолжить обработку персональных данных без согласия субъекта персональных данных при наличии оснований указанных в пунктах 2 — 11 части 1 статьи 6 части 2 статьи 10 и части 2 статьи 11 Закона о персональных данных.Подробнее об условиях обработки персональных данных можно узнать в Политике обработке персональных данных. ПонятноПредложение действительно с 20.08.19 по 30.09.19 г. для Участников Программы «Спасибо от Сбербанка» (действует с 12.11.11 г.						и не ограничена сроком). Организатор - ПАО Сбербанк (Генеральная лицензия Банка России на осуществление банковских операций № 1481 от 11.08.2015.						Подробнее: spasibosberbank.ru) и заключается в возможности обмена Накопленных в Программе Бонусов						на скидку услуг связи предоставляемых Партнером Программы: ООО «Сбербанк-Телеком ОГРН: 1167746305430 117997 г. Москва ул. Вавилова д.19.						Бонусы начисляются только при пополнении баланса через мобильное приложение «СберМобайл» при оплате картой Сбербанка. Для получения скидок с использованием						Бонусов Участник обязан совершить расходную операцию минимальная сумма которой составляет 1 (Один) рубль. Количество единовременно используемых Участником						Бонусов должно быть равным или превышать 300 (триста) Бонусов. Подробнее на: spasibosberbank.ru/partners/sbermobile.						Информация о 99% скидки приведена в						качестве примера. В случае если первоначальная стоимость услуги составляет 1000 руб. то для получения скидки Участнику необходимо Списать 990 Бонусов.						Термины с заглавной буквы употребляются в значении определенном в Правилах Программы.ПонятноСтоимость услуг зависит от выбранного тарифного плана.Абонентская плата взимается в полном объеме при подключении услуги.Последующие списания абонентской платы будут происходить в тоже число каждого календарного месяца.Если услуга подключена 31 числа месяца то списание абонентской платы в месяцах в которых нет 31 числа будет происходить в последний день месяца.Если в момент списания абонентской платы на счете недостаточно средств то до пополнения счета и списания платы действие услуги будет заблокировано.Услуги действуют в поездках по России.Услуги действуют только при использовании официальных приложений и веб-сайтов.Страницы содержащие контент других сайтов расходуют основной пакет интернет трафика.Услуги не действуют при использовании VPN прокси-сервера или инструментов сжатия трафика.При исчерпании основного и дополнительных пакетов трафика доступ к сервисам не гарантируется.При невозможности списания очередной абонентской платы по тарифу действие услуг блокируется до пополнения счета и списания абонентской платы. После пополнения счета и списания абонентской платы по тарифу действие услуг будет продлено на период блокировки.ПонятноПредложение действительно с 11.01.2019г. для Участников Программы «Спасибо от Сбербанка» (действует с 12.11.11 г. и не ограничена сроком).			Организатор - ПАО Сбербанк (Генеральная лицензия Банка России на осуществление банковских операций № 1481 от 11.08.2015.			Подробнее: spasibosberbank.ru) и заключается в возможности обмена Накопленных в Программе Бонусов на скидку услуг связи			предоставляемых Партнером Программы: ООО «Сбербанк-Телеком ОГРН: 1167746305430 117997 г. Москва ул. Вавилова д.19. Для получения скидок с использованием Бонусов			Участник обязан совершить расходную операцию минимальная сумма которой составляет 1 (Один) рубль. Количество единовременно используемых Участником Бонусов должно быть			равным или превышать 300 (триста) Бонусов. Подробнее на: spasibosberbank.ru/partners/sbermobile. Информация о 99% скидки приведена в качестве примера. В случае если			первоначальная стоимость услуги составляет 1000 руб. то для получения скидки Участнику необходимо Списать 990 Бонусов. Термины с заглавной буквы употребляются в значении определенном в Правилах Программы.Понятно					Ваша заявка принята!									Произошла ошибка. Попробуйте повторить позже.				*** Австралия Австрия Бельгия Болгария Великобритания Венгрия Гваделупа Германия Гибралтар Гонконг  Греция  Дания  Ирландия Исландия Испания Италия Казахстан  Канада   Кипр Китай  Латвия Литва Лихтенштейн  Люксембург Мальта Мартиника Реюньон  Нидерланды Новая Зеландия Норвегия Польша Португалия  Румыния Сингапур Словакия Словения США Таиланд Турция  Финляндия Франция Французская Гвиана  Хорватия Чехия Швейцария Швеция Эстония Южная Корея ЯпонияПонятноСписок стран в международном роуминге в которых действует предложение:АвстрияАвстрияБельгияБолгарияВеликобританияВенгрияГваделупаГерманияГибралтарГонконгГрецияДанияИрландияИсландияИспанияИталияКазахстанКанадаКипрКитайКореяЛатвияЛитваЛихтенштейнЛюксембургМальтаМартиникаНидерландыНовая ЗеландияНорвегияПольшаПортугалияРеюньонРумынияСингапурСловакияСловенияСШАТаиландТурцияФинляндияФранцияФранцузская ГвианаХорватияЧехияШвейцарияШвецияЭстонияЯпония</t>
  </si>
  <si>
    <t>sbermobile.ru</t>
  </si>
  <si>
    <t>Сбербанк телефон горячей линии для физических лиц. ...</t>
  </si>
  <si>
    <t>Все о Сбербанке - горячая линия для физических лиц, продукты и услуги банка, рейтинги, официальный сайт.</t>
  </si>
  <si>
    <t>https://www.banki.ru/banks/bank/sberbank/</t>
  </si>
  <si>
    <t>Приложение СберБанк Онлайн на Android</t>
  </si>
  <si>
    <t>23 окт. 2023 г. —</t>
  </si>
  <si>
    <t>https://apps.sber.ru/apps/sberbank-online/</t>
  </si>
  <si>
    <t>Каталог приложений СбераКаталог приложенийПровереноГлавнаяПриложения Сбера для AndroidЗагрузить APK на умные устройстваУстановите сертификаты МинцифрыОни необходимы для бесперебойного и безопасного доступа к сайтам СбераУстановитьПриложения Сбера для AndroidБизнес и финансыСберБанк Онлайн – с СалютомБизнес и финансыСберСпасибоПокупкиСберМегаМаркетПродуктивность и утилитыСалют JazzДля ассистентов СалютИгрыДля детейМузыка и видеоПродуктивность и утилитыПокупкиБизнес и финансыОбраз жизниЗдоровье и фитнесЕда и напиткиОбразование и культураИграйте прямо на сайте0+ИгрыЧисловой пазл 2048: топ брикс0+ИгрыМастер парковки: паркинг авто0+ИгрыГоловоломка сортировка шаров6+ИгрыХитрые загадки6+ИгрыДорога ярости6+ИгрыКвест Драгоценные блоки6+ИгрыСосиска VS Вилка и Нож6+ИгрыФерма МечтыТоп популярных6+Образование и культураПРОНАВЫКИ6+Музыка и видеоЗвуки природы6+Здоровье и фитнесСнять стресс6+Образ жизниГолосовая открытка6+ИгрыСтрастный театрал6+Образование и культураМир МИСиС18+ПокупкиSCP Foundation6+Продуктивность и утилитыГолосовой калькуляторПриложения Сбера для AndroidКак установитьРазработчикам© 1997—2023 ПАО Сбербанк. Генеральная лицензия на осуществление банковских операций от 11 августа 2015 года. Регистрационный номер — 1481</t>
  </si>
  <si>
    <t>apps.sber.ru</t>
  </si>
  <si>
    <t>Сбербанк России - последние новости сегодня</t>
  </si>
  <si>
    <t>Сбербанк России. Читайте последние новости на тему в ленте новостей на сайте РИА Новости. Госдума одобрила во втором и третьем чтении закон о продлении на ...</t>
  </si>
  <si>
    <t>https://ria.ru/organization_Sberbank_Rossii/</t>
  </si>
  <si>
    <t>sberbank - Сбер</t>
  </si>
  <si>
    <t>https://twitter.com/sberbank</t>
  </si>
  <si>
    <t>Слон на танцполе. Как Герман Греф и его команда учат ...</t>
  </si>
  <si>
    <t>https://books.google.com/books?id=Bea1AAAAQBAJ&amp;pg=PT177&amp;lpg=PT177&amp;dq=%D1%81%D0%B1%D0%B5%D1%80%D0%B1%D0%B0%D0%BD%D0%BA&amp;source=bl&amp;ots=vA7nsbgnnj&amp;sig=ACfU3U2MFNXNJ9ryCZ9GK_8MSfbZF_HsqQ&amp;hl=ru&amp;sa=X&amp;ved=2ahUKEwjM9q7GoryCAxX6mokEHTLEDkAQ6AF6BAhFEAM</t>
  </si>
  <si>
    <t>Эксперт Северо-Запад 07-2012</t>
  </si>
  <si>
    <t>https://books.google.com/books?id=xRfKCQAAQBAJ&amp;pg=PA15&amp;lpg=PA15&amp;dq=%D1%81%D0%B1%D0%B5%D1%80%D0%B1%D0%B0%D0%BD%D0%BA&amp;source=bl&amp;ots=9LAJf-Kemz&amp;sig=ACfU3U18yZzj_7r2n0OWgzJ2h-fU2mj4HQ&amp;hl=ru&amp;sa=X&amp;ved=2ahUKEwjM9q7GoryCAxX6mokEHTLEDkAQ6AF6BAhHEAM</t>
  </si>
  <si>
    <t>Сбербанк России - Википедия</t>
  </si>
  <si>
    <t>Сбербанк телефон горячей линии для физических лиц ...</t>
  </si>
  <si>
    <t>Сбер - ВКонтакте</t>
  </si>
  <si>
    <t>Работа в Сбере</t>
  </si>
  <si>
    <t>... обработки данных · Политика использования Cookies. © 2023 ПАО «Сбербанк». coolies. Мы применяем cookies, чтобы сделать наш сайт удобнее для вас. Подробнее.</t>
  </si>
  <si>
    <t>https://rabota.sber.ru/</t>
  </si>
  <si>
    <t>Работа в СбереВакансииКарьерные медиаВыпускникам и студентамНайти вакансиюИскатьНапример java или маркетингСегодня Сбер - этоНадежностьНадежностьСтабильный оклад и социальная поддержка сотрудниковЗабота  о сотрудникахЗабота  о сотрудникахДМС с первого дня и льготное страхование для близкихКоманда  профессионаловКоманда  профессионаловПрофессиональные и тематические комьюнити поддержка инициативРабота по agileРабота по agile3000 продуктовых команд и возможность внутренних перемещенийКомфортные условияКомфортные условияГибкие форматы работы онлайн сервисы для сотрудников и современные офисыТехнобрендТехнобрендIT-продукты для всей страны лучшие мировые практики и современный стек технологийРазвитиеРазвитиеВозможность обучения на внутренних и внешних программах участие в конференциях в качестве слушателя и спикера а ещё один из лучших Корпоративных университетов Лучший клиентский сервисЛучший клиентский сервисЕжедневно инициируем изменения для комфорта и достижения целей 98 миллионов клиентовНадежностьНадежностьСтабильный оклад и социальная поддержка сотрудниковЗабота  о сотрудникахЗабота  о сотрудникахДМС с первого дня и льготное страхование для близкихКоманда  профессионаловКоманда  профессионаловПрофессиональные и тематические комьюнити поддержка инициативРабота по agileРабота по agile3000 продуктовых команд и возможность внутренних перемещенийКомфортные условияКомфортные условияГибкие форматы работы онлайн сервисы для сотрудников и современные офисыТехнобрендТехнобрендIT-продукты для всей страны лучшие мировые практики и современный стек технологийРазвитиеРазвитиеВозможность обучения на внутренних и внешних программах участие в конференциях в качестве слушателя и спикера а ещё один из лучших Корпоративных университетов Лучший клиентский сервисЛучший клиентский сервисЕжедневно инициируем изменения для комфорта и достижения целей 98 миллионов клиентовНадежностьНадежностьСтабильный оклад и социальная поддержка сотрудниковЗабота  о сотрудникахЗабота  о сотрудникахДМС с первого дня и льготное страхование для близкихКоманда  профессионаловКоманда  профессионаловПрофессиональные и тематические комьюнити поддержка инициативРабота по agileРабота по agile3000 продуктовых команд и возможность внутренних перемещенийКомфортные условияКомфортные условияГибкие форматы работы онлайн сервисы для сотрудников и современные офисыТехнобрендТехнобрендIT-продукты для всей страны лучшие мировые практики и современный стек технологийРазвитиеРазвитиеВозможность обучения на внутренних и внешних программах участие в конференциях в качестве слушателя и спикера а ещё один из лучших Корпоративных университетов Лучший клиентский сервисЛучший клиентский сервисЕжедневно инициируем изменения для комфорта и достижения целей 98 миллионов клиентовНаправленияТехнологиии agileData-peopleКлиентская поддержкаи обслуживаниеотделенийПрофессионалыи руководителиКибер-безопасностьИнновациии исследованияПолитика обработки данныхПолитика использования Cookies© 2023 ПАО «Сбербанк» вакансиикарьерные медиавыпускникам и студентам</t>
  </si>
  <si>
    <t>rabota.sber.ru</t>
  </si>
  <si>
    <t>Сбербанк страхование</t>
  </si>
  <si>
    <t>Сбербанк Страхование предлагает широкий спектр страховых продуктов для частных и юридических лиц. Оформление страховок онлайн. Помощь и поддержка 24/7.</t>
  </si>
  <si>
    <t>https://sberbankins.ru/</t>
  </si>
  <si>
    <t>Сбербанк-АСТ</t>
  </si>
  <si>
    <t>https://sberbank-ast.ru/</t>
  </si>
  <si>
    <t>Spear's Russia. Private Banking &amp; Wealth Management ...</t>
  </si>
  <si>
    <t>https://books.google.com/books?id=F5cnCAAAQBAJ&amp;pg=PA37&amp;lpg=PA37&amp;dq=%D1%81%D0%B1%D0%B5%D1%80%D0%B1%D0%B0%D0%BD%D0%BA&amp;source=bl&amp;ots=v8rcTc_zAy&amp;sig=ACfU3U2q1gdEX9zumRNbA-QYiWST9aNCGg&amp;hl=ru&amp;sa=X&amp;ved=2ahUKEwiMwbbDpryCAxWWlIkEHWnwDAoQ6AF6BAhbEAM</t>
  </si>
  <si>
    <t>Сбер (@sberbank) / X</t>
  </si>
  <si>
    <t>сбербанк онлайн</t>
  </si>
  <si>
    <t>Сбербанк Онлайн</t>
  </si>
  <si>
    <t>Веб-версия СберБанк Онлайн</t>
  </si>
  <si>
    <t>Веб-версия СберБанк Онлайн ✓ Онлайн выгоднее, чем в офисе банка ✓ Мгновенно переводите деньги ✓ Оплачивайте услуги.</t>
  </si>
  <si>
    <t>http://www.sberbank.ru/ru/person/dist_services/inner_sbol</t>
  </si>
  <si>
    <t>Приложение СберБанк Онлайн для Андроид. Скачайте или обновите приложение и управляйте личными финансами онлайн · Поможем установить приложение на айфон.</t>
  </si>
  <si>
    <t>ОАО «Сбер Банк»</t>
  </si>
  <si>
    <t>ДЕНЕЖНЫЕ ПЕРЕВОДЫ МЕЖДУ КАРТАМИ СБЕРА РОССИИ И БЕЛАРУСИ. Переводите независимо от санкционных ограничений. В системе СберБанк Онлайн работает сервис ...</t>
  </si>
  <si>
    <t>https://www.sber-bank.by/loginsbol</t>
  </si>
  <si>
    <t>Система «Сбербанк Онлайн</t>
  </si>
  <si>
    <t>29 нояб. 2011 г. —</t>
  </si>
  <si>
    <t>https://www.banki.ru/wikibank/sberbank_onlayn/</t>
  </si>
  <si>
    <t>Сбербанк Онлайн - вход в личный кабинет ...</t>
  </si>
  <si>
    <t>Через интернет. Чтобы зарегистрироваться, вам нужно зайти на вот эту вот страницу: https://online.sberbank.ru/CSAFront/index.do#/registration. Для начала сайт ...</t>
  </si>
  <si>
    <t>https://www.sravni.ru/enciklopediya/info/sberbank-onlajn/</t>
  </si>
  <si>
    <t>Мобильное приложение СберБанк Онлайн для Android</t>
  </si>
  <si>
    <t>Способ 2. На сайте Sberbank.ru · 1. Скачайте файл для установки в формате APK. · 2. При необходимости подтвердите загрузку. Обратите внимание: на вашем телефоне ...</t>
  </si>
  <si>
    <t>https://www.sberbank.com/ru/person/dist_services/sberbank-online-android</t>
  </si>
  <si>
    <t>Онлайн-сервисы банка и партнёров</t>
  </si>
  <si>
    <t>СберБанк Онлайн, СМС-банк, СберБанк Инвестор и другие онлайн-сервисы СберБанка.</t>
  </si>
  <si>
    <t>http://www.sberbank.ru/ru/person/dist_services</t>
  </si>
  <si>
    <t>Мобильное приложение СберБанк Онлайн для iPhone</t>
  </si>
  <si>
    <t>На телефоне нет ранее установленного приложения? Вы можете пользоваться веб-версией СберБанк Онлайн ... Откройте сайт СберБанк Онлайн в мобильном браузере Safari.</t>
  </si>
  <si>
    <t>https://www.sberbank.com/ru/person/dist_services/sberbank-online-iphone</t>
  </si>
  <si>
    <t>https://ru.wikipedia.org/wiki/%D0%A1%D0%B1%D0%B5%D1%80%D0%B1%D0%B0%D0%BD%D0%BA_%D0%9E%D0%BD%D0%BB%D0%B0%D0%B9%D0%BD</t>
  </si>
  <si>
    <t>СберБанк Онлайн APK для Android — Скачать</t>
  </si>
  <si>
    <t>10 июл. 2023 г. —</t>
  </si>
  <si>
    <t>https://sberbank-onlayn.softonic.ru/android</t>
  </si>
  <si>
    <t>СберБанк Онлайн APK для Android — СкачатьПриложенияИгрыГлавное менюГлавная страница ИгрыЭкшенПриключенияАркадаНастольные игрыКарточные игрыКазиноОбучающие игрыСемейные игрыМузыкальные игрыПазлыГонкиРолевые игрыИмитационные игрыСпортивныеСтратегииВикториныУтилитыСловесные игрыИИГлавное менюГлавная страница ИИИИ чатИИ кодированиеГенератор и редактор изображений с ИИПроизводительность ИИГенератор и редактор видео с ИИБраузерыГлавное менюГлавная страница БраузерыНадстройки и инструментыВеб-браузерыБезопасность и конфиденциальностьГлавное менюГлавная страница Безопасность и конфиденциальностьКонтроль доступаБлокировщики рекламыЗащита от нежелательной почты и шпионских программАнтивирусыШифрованиеБрандмауэрыУправление паролямиVPNБизнес и производительностьГлавное менюГлавная страница Бизнес и производительностьПовестка дня и календариБанки и банкоматыКалькуляторы и конвертерыУправление документамиКлиенты электронной почтыФинансыОфисные пакетыВедение личных финансовУправление проектамиУдаленный ПКИнтернет и сетиГлавное менюГлавная страница Интернет и сетиМенеджеры загрузкиСовместный доступ к файлам и одноранговое взаимодействиеСредства поиска и просмотраWIFIМультимедиа  Главное менюГлавная страница Мультимедиа  АудиоЗапись дисковГрафика и дизайнФильмы и ТВМузыка и радиоФотографияПотоковое видеоВидеоРазработка и ИТГлавное менюГлавная страница Разработка и ИТРезервное копирование и облачное хранилище данныхБаза данныхКомплекты разработчикаИнтегрированные среды разработки/редакторы исходных программВычислительные сетиЯзыки программированияУдаленное управлениеВеб-разработкаОбразование и справочные данныеГлавное менюГлавная страница Образование и справочные данныеКнигиКаталогиСловариУстройства для чтения электронных книгЭнциклопедияЯзыки и переводЖурналы и газетыНаукаПедагогика и обучениеОбраз жизниГлавное менюГлавная страница Образ жизниКупоныМода и стильЕда и напиткиСписки продуктовЗдоровье и фитнесХоббиМедицинские обследованияОбзоры и сравнение продуктовШопингСпортивныеУслуги по продаже билетовПогодаЗанятия спортомПерсонализацияГлавное менюГлавная страница ПерсонализацияКурсоры и шрифтыМелодии и звукиБлокировщики экранаЭкранные заставкиТемыФоновые рисункиСоциальные сети и взаимодействиеГлавное менюГлавная страница Социальные сети и взаимодействиеБлогиЧат и мгновенные сообщенияЗнакомстваОбщий доступ к фото и видеоСоциальные сетиПутешествия и навигацияГлавное менюГлавная страница Путешествия и навигацияПутеводители по городамКарты и GPSОбщественный транспортАрендаУправление поездкамиСлужебные программы и средстваГлавное менюГлавная страница Служебные программы и средстваСканирование штрихкодаЧасы и будильникиВосстановление данныхСжатие файловДиспетчеры файловКлавиатурыИзмерениеСнимки экранаИгры RobloxРасширения Google ChromeИзменить операционную системуГлавное менюWindowsAndroidMaciPhonePWAWeb Appsизменить языкГлавное менюSoftonic на:عربيDeutschEnglishEspañolFrançaisBahasa IndonesiaItaliano日本語한국어/조선말NederlandsPolskiPortuguêsРусскийภาษาไทยTürkçeTiếng Việt中文SoftonicЧто бы вы хотели найти сегодня?ПриложенияИгрыРекламаРекламаAndroidБизнес и производительностьФинансыСберБанк ОнлайнСберБанк Онлайн APK для AndroidБесплатноНа языке РусскийV 14.8.04.5(145)APK статусСкачать бесплатно для AndroidОбзор SoftonicБесплатная программа для Android от Сбербанка России.СберБанк ОнлайнПриложение Сбербанка для Android - это очень полезное и удобное банковское приложение которое предоставляет пользователям широкий спектр функций и возможностей для управления своими финансами в любом месте и в любое время. Приложение легко навигируется и имеет простой и интуитивно понятный интерфейс что облегчает пользователям доступ к всем необходимым функциям и возможностям.Одной из самых впечатляющих особенностей приложения Сбербанка является его способность предоставлять пользователям доступ к широкому спектру финансовых продуктов и услуг. Это включает возможность осуществлять платежи переводить деньги проверять балансы счетов и многое другое. Приложение также предоставляет пользователям широкий выбор полезных инструментов и ресурсов включая калькуляторы конвертеры валют и другую полезную финансовую информацию.В целом я настоятельно рекомендую приложение Сбербанка для Android всем кто ищет простой и эффективный способ управления своими финансами в любом месте и в любое время. Приложение надежно легко в использовании и предоставляет пользователям широкий выбор полезных функций и возможностей которые делают его незаменимым инструментом для управления своими деньгами. Будь вы ищете возможность осуществлять платежи переводить деньги или просто отслеживать свои финансы приложение Сбербанка определенно стоит попробовать.1/8СберБанк Онлайн 2/8СберБанк Онлайн 3/8СберБанк Онлайн 4/8СберБанк Онлайн 5/8СберБанк Онлайн 6/8СберБанк Онлайн 7/8СберБанк Онлайн 8/8Характеристики приложенияЛицензияБесплатноВерсия14.8.0дата обновления10 июл. 2023 г.ПлатформаAndroidДругие платформы (1)ОСAndroid 9.0ЯзыкRussianЗагрузки495KЗагрузки за последний месяц53KРазработчикSberbank of Russia | Другие программы (11)параметры загрузкиAPK Google PlayИмя файлаSberbankOnline.apkОценить!Сообщить о ПОАльтернативные приложенияДоступно также на других платформахСберБанк Онлайн для iPhoneПрограмма доступна на других языкахücretsiz indir СберБанк Онлайн [TR]無料ダウンロードСберБанк Онлайн [JA]Kostenloser Download СберБанк Онлайн [DE]ดาวน์โหลดฟรี СберБанк Онлайн [TH]무료 다운로드  СберБанк Онлайн [KO]Téléchargement gratuit СберБанк Онлайн [FR]Download gratuito СберБанк Онлайн [IT]Pobierz bezpiecznie СберБанк Онлайн po polsku [PL]Download gratuito СберБанк Онлайн [PT]Tải xuống miễn phí СберБанк Онлайн [VI]免费下载СберБанк Онлайн [ZH]تحميل مجانيСберБанк Онлайн [AR]Gratis download СберБанк Онлайн [NL]Descarga gratuita de СберБанк Онлайн [ES]free download СберБанк Онлайн [EN]Unduh Gratis СберБанк Онлайн [ID]СберБанк Онлайн APK для AndroidБесплатноНа языке РусскийV 14.8.04.5(145)APK статусСкачать бесплатно APK для AndroidОтзывы пользователей о СберБанк ОнлайнВы пробовали СберБанк Онлайн? Будьте первым чтобы оставить свое мнение!Оценить!РекламаЛучшие загрузки Финансы  для AndroidTinkoffБесплатная программа для Android от Тинькофф Банка.СберБанк ОнлайнБесплатная программа для Android от Сбербанка России.Банк Открытие ОнлайнБанк Открытие Онлайн: Удобное мобильное приложение для банкинга.Халва  СовкомбанкБесплатное приложение для Android от ПАО «Совкомбанк».РОСБАНК ОнлайнНадёжное приложение от надёжного банкаЕщеРекламаРеклама5БесплатноSberbank Online UkraineБесплатная программа для Android от АО «СБЕРБАНК».0БесплатноБПС-СбербанкБесплатная программа для Android от БПС-Сбербанк.Альтернативные варианты для СберБанк ОнлайнTinkoff4.3БесплатноБесплатная программа для Android от Тинькофф Банка.СберБизнес3.6БесплатноБесплатное приложение для Android от Сбербанка России.РОСБАНК Онлайн4.1БесплатноНадёжное приложение от надёжного банкаХалва  Совкомбанк4.3БесплатноБесплатное приложение для Android от ПАО «Совкомбанк».СберKids2БесплатноБесплатное приложение для Android от Сбербанка России.FP Audit2БесплатноБесплатная программа для Android от Fix Price Россия.РекламаИсследовать ПрограммыThodex – Global Kripto Para Alım Satımı4.6БесплатноThodex - Глобальная платформа для торговли криптовалютамиЖитомир Енерго4.2БесплатноЖитомир Енерго: Лучшее онлайн-решение для оплаты электросервисовСпасение должника4.5БесплатноDebtor Rescue: Необходимое приложение для тех кто борется с долгами.SEC Check First4.5БесплатноSEC Проверьте сначала: Инвестиционное приложение для AndroidБанк Открытие Онлайн3.9БесплатноБанк Открытие Онлайн: Удобное мобильное приложение для банкинга.Солидарность Онлайн5БесплатноСолидарность Онлайн: Банковское приложение для удобных транзакцийVTB-Online3БесплатноБесплатное приложение для Android от ВТБ.РОСБАНК Онлайн4.1БесплатноНадёжное приложение от надёжного банкаTinkoff4.3БесплатноБесплатная программа для Android от Тинькофф Банка.Халва  Совкомбанк4.3БесплатноБесплатное приложение для Android от ПАО «Совкомбанк».РекламаЗаконы касающиеся использования этого программного обеспечения варьируются от страны к стране. Мы не поощряем и не одобряем использование этой программы если она нарушает эти законы. Сведения о насСведения о SoftonicСправка и поддержкаВакансииB2BMonetization solutions for PublishersОтправка вашего ПО и управление имПолитика ПОВозможности для рекламыЮридические уведомленияDMCAЮридическая информацияУсловия использованияPrivacy PolicyПолитика в отношении файлов cookieПараметры файлов cookieSocial mediaВступить в фан-клуб SoftonicСледите за нами @SoftonicСледите за нами @SoftonicLinkedInПодписка на RSS-рассылкуSoftonic на:عربيDeutschEnglishEspañolFrançaisBahasa IndonesiaItaliano日本語한국어/조선말NederlandsPolskiPortuguêsРусскийภาษาไทยTürkçeTiếng Việt中文Авторские права SOFTONIC INTERNATIONAL S.A. © 1997-2023 — все права защищеныВ Softonic мы сканируем все файлы размещенные на нашей платформе чтобы оценить любой потенциальный вред для вашего устройства и не допустить его нанесения. Наша команда выполняет проверки каждый раз когда загружается новый файл и периодически проверяет файлы для подтверждения или обновления их состояния. Этот комплексный процесс позволяет нам установить состояние для любого загружаемого файла следующим образом:ЧистоОчень высока вероятность того что эта программа является чистой.Что это значит?Мы просканировали файл и URL-адреса связанные с этой программой более чем в 50 ведущих мировых антивирусных программах. Возможная угроза не была выявлена.ПредупреждениеЭта программа является потенциально вредоносной или может содержать нежелательное связанное программное обеспечение.Почему эта программа все еще доступна?На основании результатов работы нашей системы сканирования мы определили вероятность того что эти флаги могут свидетельствовать о ложных положительных результатах.Что такое ложный положительный результат?Это означает что неопасная программа ошибочно помечается в качестве вредоносной поскольку в антивирусной программе используется алгоритм или сигнатура обнаружения с недостаточно строгими условиями.ЗаблокированоВысока вероятность того что эта программа является вредоносной или содержит нежелательное связанное программное обеспечение.Почему эта программа больше недоступна в нашем каталоге?На основании результатов работы нашей системы сканирования мы определили вероятность того что эти флаги свидетельствуют о достоверных положительных результатах.Мы бы хотели подчеркнуть что периодически потенциально вредоносная программа может не обнаруживаться. Чтобы и далее обеспечивать отсутствие вредоносных программ и приложений в каталоге наша команда интегрировала программную возможность составления отчетов на каждой странице каталога которая перенаправляет нам ваши отзывы. Помечайте любые проблемы с которыми вы можете столкнуться и Softonic устранит их в максимально короткие сроки. Ваш отзыв о СберБанк ОнлайнОтправить оценкуВаш отзыв о СберБанк ОнлайнБлагодарим за оценку! Что вы думаете о СберБанк Онлайн? Вы рекомендуете этот продукт? Почему?Написать рецензиюОЙ! Сожалеем...Что-то пошло не так.Попробуйте это</t>
  </si>
  <si>
    <t>sberbank-onlayn.softonic.ru</t>
  </si>
  <si>
    <t>СберБанк Онлайн – с Салютом</t>
  </si>
  <si>
    <t>СберБанк Онлайн – с Салютом от разработчика “ПАО Сбербанк” в каталоге RuStore. Скачать «СберБанк Онлайн – с Салютом» для Android, бесплатно — RuStore.</t>
  </si>
  <si>
    <t>https://apps.rustore.ru/app/ru.sberbankmobile</t>
  </si>
  <si>
    <t>Как пользоваться Сбербанк Онлайн - инструкция</t>
  </si>
  <si>
    <t>26 сент. 2023 г. —</t>
  </si>
  <si>
    <t>https://bankiros.ru/wiki/term/kak-polzovatsia-sberbank-online</t>
  </si>
  <si>
    <t>Сбер - Сбербанк Онлайн - СБОЛ - Сбербанк Онл@йн</t>
  </si>
  <si>
    <t>https://www.cnews.ru/book/%D0%A1%D0%B1%D0%B5%D1%80_-_%D0%A1%D0%B1%D0%B5%D1%80%D0%B1%D0%B0%D0%BD%D0%BA_%D0%9E%D0%BD%D0%BB%D0%B0%D0%B9%D0%BD_-_%D0%A1%D0%B1%D0%B5%D1%80%D0%B1%D0%B0%D0%BD%D0%BA_%D0%9E%D0%BD%D0%BB_%D0%B9%D0%BD_-_%D0%B8%D0%BD%D1%82%D0%B5%D1%80%D0%BD%D0%B5%D1%82-%D0%B1%D0%B0%D0%BD%D0%BA</t>
  </si>
  <si>
    <t>Интернет-издание о высоких технологиях - CNewsНовостиАналитикаКонференцииИТ-маркетплейсВыбрать провайдера...ТехникаНаукаТВОб изданииРекламаВакансииКонтактыЯндекс.ДзенFacebookVKTwitterYoutubeTelegramНОВОСТИАналитикаКОНФЕРЕНЦИИМАРКЕТИТ-маркетплейсВыбрать провайдера:IaaS                                                    IaaSIaaS ФЗ-152VPS/VDSDedicatedОбъектное хранилищеDRaaSVDIХостингGPU CloudBaaSSaaS                                                    ИТ-безопасностьCRMBPMRPAERPСЭДIBPCMSHRMLow-codeBIPaaS                                                    DBaaSKubernetesИнтернет-сервисы                                                    Конструктор сайтовVPNОнлайн-кассаОнлайн-бухгалтерияEmail-рассылкиАвтопостинг SMMКоммуникации                                                    IP-телефонияChat DeskВКСКорпоративные мессенджерыService DeskДругие ИТ-услуги                                                    ColocationITSMCDNОперационные системыТЕХНИКАНАУКАТВНайтиРазделы SberCRM для бизнесаЦифровизация со СберПроЭкосистема Orion softБизнес-коммуникацииИмпортозамещениеБезопасностьИТ в госсектореИТ в банкахИТ в торговлеЦифровизацияТелеком ИнтернетИТ-бизнесРейтинги×                        Российские связисты смогут пользоваться иностранными спутниками но только с разрешения армии и ФСБ                                                    В России выпущен первый программно-аппаратный комплекс для защиты информации полностью соответствующий требованиям ГосСОПКАРоссию заполонили «второсортные» ИТ-шники. Качественных специалистов разобрали в остальных из-за дефицита кадров работодатели бросаются деньгамиAmazon создала «убийцу» Android полностью независимого от технологий GoogleМегабит не хватило на всех. Мобильный интернет в регионах деградирует потому что хорошее «железо» увезли в МосквуАрестован экс-гендиректор «Авиатики» по делу о хищении в Минпромторге 240 млн руб. выделенных на судостроительное ПОYouTube загоняет пользователей в рекламное рабство. Все приложения вырезающие рекламу будут уничтоженыПСБ: ассистент в мессенджере позволил увеличить количество платежей бизнеса в сто разHP окончательно уходит из России. Начата ликвидация юрлицаГлавноеПопулярноеНовостиРоссийские связисты смогут пользоваться иностранными спутниками но только с разрешения армии и ФСБ                                                                                    В России выпущен первый программно-аппаратный комплекс для защиты информации полностью соответствующий требованиям ГосСОПКА                                    Россию заполонили «второсортные» ИТ-шники. Качественных специалистов разобрали в остальных из-за дефицита кадров работодатели бросаются деньгами                                    Amazon создала «убийцу» Android полностью независимого от технологий Google                                    Мегабит не хватило на всех. Мобильный интернет в регионах деградирует потому что хорошее «железо» увезли в Москву                                    Арестован экс-гендиректор «Авиатики» по делу о хищении в Минпромторге 240 млн руб. выделенных на судостроительное ПО                                    YouTube загоняет пользователей в рекламное рабство. Все приложения вырезающие рекламу будут уничтожены                                    ПСБ: ассистент в мессенджере позволил увеличить количество платежей бизнеса в сто раз                                    HP окончательно уходит из России. Начата ликвидация юрлица                                    Эпоха ультрадешевых SSD подошла к концу. Мир на пороге нового дефицита взлет цен неизбежен                                    Создан ультрадешевый литограф для 5-нанометровых чипов который стоит в 10 раз меньше знаменитых аналогов ASML                                    «Яндекс станции» с платной подпиской стали транслировать рекламу «которую невозможно отключить». Пользователи грозятся продать колонки                                    Эпоха ультрадешевых SSD подошла к концу. Мир на пороге нового дефицита взлет цен неизбеженСоздан ультрадешевый литограф для 5-нанометровых чипов который стоит в 10 раз меньше знаменитых аналогов ASML«Яндекс станции» с платной подпиской стали транслировать рекламу «которую невозможно отключить». Пользователи грозятся продать колонкиБизнес и интернет будущего: кто выиграет в эпоху нейронетаЗаказчики могут получить до 100 млн рублей на пилотное внедрение ИИИмпортозамещение дорожает. Цены на ПО «1C» подскочат на десятки тысяч рублейВТБ создал серверный комплекс для работы виртуальных машин в облаке на базе платформы VTB.CloudРоссийский инфраструктурный гигант покупает российскую электронную почту на замену Microsoft ExchangeZOOM: Лучшие устройства Dreame на распродаже 11.11ИТ-директор «Русагро» в интервью CNews: Наша нейросеть распознает более 150 видов сорняковДоставка по России за один день: как отечественная CRM ускорила обработку заказов на 30%Как выбрать удобную CRM: 6 критериевЦифровизация сельского хозяйства: как искусственный интеллект помогает сеять пшеницуНадежда Оберемок Сбер Бизнес Софт: Внедрять CRM-систему нужно с уровня самозанятогоКак не просто автоматизировать а трансформировать HR-функциюЧто лучше — ГЛОНАСС или GPS: главные различия систем навигацииКитайский завод Haval отзывает в России 55 тыс. автомобилей чтобы поставить на них «ЭРА-ГЛОНАСС»Арестована четверть пиратской группировки перепродававшей взломанные телеканалыКто и как сможет легально сбивать БПЛА в РоссииОснователь Apple и друг Стива Джобса в больнице с инсультомIsource подписал соглашение с Sitronics GroupРСХБ на Finopolis: импортозамещение ведет к сокращению расходов и ускорению развития отечественного программного рынкаКонференция CNews «Современные контакт-центры 2023» состоится 5 декабря«Аквариус» просит у государства 105 млрд руб. на захват рынкаРобот убил человека который его ремонтировалУченые разработчикам ИИ: «Прекратите нестись вперед сметая все на своем пути»В России аномально выросло число бот-атак на онлайн-магазины и аптекиСоздан ультрадешевый литограф для 5-нанометровых чипов который стоит в 10 раз меньше знаменитых аналогов ASMLРоссийский инфраструктурный гигант покупает российскую электронную почту на замену Microsoft ExchangeЭпоха ультрадешевых SSD подошла к концу. Мир на пороге нового дефицита взлет цен неизбеженОтечественные SSD изгоняют из реестра российского «железа». Чтобы остаться им нужны отечественные контроллеры но их не существует в природе«Яндекс станции» с платной подпиской стали транслировать рекламу «которую невозможно отключить». Пользователи грозятся продать колонкиРоссию заполонили «второсортные» ИТ-шники. Качественных специалистов разобрали в остальных из-за дефицита кадров работодатели бросаются деньгамиВ России начались розничные продажи устройств на российской ОС «Аврора». Пока недорого потом цены вырастутYouTube загоняет пользователей в рекламное рабство. Все приложения вырезающие рекламу будут уничтоженыИмпортозамещение дорожает. Цены на ПО «1C» подскочат на десятки тысяч рублейВ России появились супердоступные смартфоны Samsung A05 и A05s. Они стоят дешевле XiaomiHP окончательно уходит из России. Начата ликвидация юрлицаРоссийским ИТ-шникам платят почти миллион в месяц лишь бы не уехали. Зарплаты в отрасли рекордно вырослиРоссийский телеком предлагают отрегулировать по образцам СССРТелеком-оператор и ЦОД сломались надолго оставив пользователей без интернета и электронных платежей«Аквариус» просит у государства 105 млрд руб. на захват рынкаКак цифровизуются системы безопасности в промышленностиИТ-директор «Торговая сеть Технониколь» в интервью CNews: Бессмысленно ждать возвращения SAP и Microsoft когда есть уникальная возможность «слезть с иглы»Market.CNews опубликовал первый в России рейтинг российских решений ВКС 2023Как выбрать систему автоматизации бюджетированияMarket.CNews опубликовал новый рейтинг SLA IaaS 2023Как автоматизировать процесс обеспечения непрерывности бизнесаИлья Мамлеев «Импульс Телеком»: Одним параллельным импортом проблемы не решитьРоссия побеждает в гонке ИТ-вооруженийЗаказчики могут получить до 100 млн рублей на пилотное внедрение ИИСергей Голицын ВТБ: В ближайшем будущем  персональные советники станут трендом в развитии ИИВасилий Гурьев «Инферит ИТМен»: Исследование показало что в 2024 году бизнес купит именно инфраструктурное ПОСемь важных моментов которые должны быть закреплены в SLAМихаил Сартаков Х5 Group: Мы создали корпоративный университет по-другомуИсследование: контакт-центры держат курс на повышение автоматизации рутинных процессовРейтинг CRM-систем 2023. Карта рынкаCNEWS TVГлава Минцифры Максут Шадаев ответил на вопросы ИКТ-отрасли...Результативная кибербезопасность: ИБ-эксперты рассказали как...Видеообзор CNews FORUM: Ждет ли стагнация гражданские ИТ?Видеообзор CNews FORUM: Объявлена операция «Импортозамещение»Интервью месяцаБессмысленно ждать возвращения SAP и Microsoft когда есть уникальная возможность «слезть с иглы» Дмитрий Ванюшкиндиректор ИТ-департамента ритейлера«Торговая сеть Технониколь»Стратегия месяцаНаша нейросеть распознает более 150 видов сорняковАртем ПетровИТ-директор «Русагро» Компания месяцаНе надо заниматься автоматизацией по-старому — цифровая трансформация может принести значительно больше пользыАлександр Глазковуправляющий директор компании «Диасофт» Карты рынкаАтласИмпортозамещение•    Аппаратное обеспечение•    Корпоративное ПО•    Офисное ПО Интервью месяцаБессмысленно ждать возвращения SAP и Microsoft когда есть уникальная возможность «слезть с иглы» Дмитрий Ванюшкиндиректор ИТ-департамента ритейлера«Торговая сеть Технониколь» Арестован экс-гендиректор «Авиатики» по делу о хищении в Минпромторге 240 млн руб. выделенных на судостроительное ПОYouTube загоняет пользователей в рекламное рабство. Все приложения вырезающие рекламу будут уничтоженыПСБ: ассистент в мессенджере позволил увеличить количество платежей бизнеса в сто разHP окончательно уходит из России. Начата ликвидация юрлицаБизнес и интернет будущего: кто выиграет в эпоху нейронетаЗаказчики могут получить до 100 млн рублей на пилотное внедрение ИИЭпоха ультрадешевых SSD подошла к концу. Мир на пороге нового дефицита взлет цен неизбеженСоздан ультрадешевый литограф для 5-нанометровых чипов который стоит в 10 раз меньше знаменитых аналогов ASML«Яндекс станции» с платной подпиской стали транслировать рекламу «которую невозможно отключить». Пользователи грозятся продать колонкиПоказать ещеИмпортозамещение дорожает. Цены на ПО «1C» подскочат на десятки тысяч рублейВТБ создал серверный комплекс для работы виртуальных машин в облаке на базе платформы VTB.CloudРоссийский инфраструктурный гигант покупает российскую электронную почту на замену Microsoft ExchangeИТ-директор «Русагро» в интервью CNews: Наша нейросеть распознает более 150 видов сорняковДоставка по России за один день: как отечественная CRM ускорила обработку заказов на 30%Как выбрать удобную CRM: 6 критериевЦифровизация сельского хозяйства: как искусственный интеллект помогает сеять пшеницуZOOM: Лучшие устройства Dreame на распродаже 11.11Что лучше — ГЛОНАСС или GPS: главные различия систем навигацииНадежда Оберемок Сбер Бизнес Софт: Внедрять CRM-систему нужно с уровня самозанятогоКитайский завод Haval отзывает в России 55 тыс. автомобилей чтобы поставить на них «ЭРА-ГЛОНАСС»Арестована четверть пиратской группировки перепродававшей взломанные телеканалыКто и как сможет легально сбивать БПЛА в РоссииОснователь Apple и друг Стива Джобса в больнице с инсультомIsource подписал соглашение с Sitronics GroupРСХБ на Finopolis: импортозамещение ведет к сокращению расходов и ускорению развития отечественного программного рынкаКонференция CNews «Современные контакт-центры 2023» состоится 5 декабря«Аквариус» просит у государства 105 млрд руб. на захват рынкаРобот убил человека который его ремонтировалУченые разработчикам ИИ: «Прекратите нестись вперед сметая все на своем пути»В России аномально выросло число бот-атак на онлайн-магазины и аптекиZOOM: Лучшие устройства Dreame на распродаже 11.11Что лучше — ГЛОНАСС или GPS: главные различия систем навигацииВсе новостиАналитика БезопасностьАлександр Майтулин: DDoS-атаки сегодня являются одной из самых актуальных проблем современного ИТ БезопасностьКак автоматизировать процесс обеспечения непрерывности бизнеса КОНФЕРЕНЦИЯЭлектронный документооборот: итоги 2023 годаМосква  sberproНейросети и не только: куда движется российская ИТ-отрасль КОНФЕРЕНЦИЯБесшовная интеграция в новых условияхМосква  ИТ в банкахСергей Голицын ВТБ: В ближайшем будущем  персональные советники станут трендом в развитии ИИ Бизнес-коммуникацииКак организовать корпоративные коммуникации в банке БизнесВасилий Гурьев «Инферит ИТМен»: Исследование показало что в 2024 году бизнес купит именно инфраструктурное ПО БизнесПочему бизнесу выгодно автоматизировать обзоры кода БезопасностьМарина Громова Security Vision: Партнерский статус должен зависеть не от оборота а от экспертизы интегратора Бизнес-коммуникацииКак организовать гибридное обучение с помощью российских технологий КОНФЕРЕНЦИЯСовременный цифровой офис 2023Москва  ИТ в банкахКак наладить работу с данными и создать глобальную информационную экосистему? Кейс Россельхозбанка КОНФЕРЕНЦИЯЭлектроника РоссииМосква  Бизнес-коммуникацииМихаил Сартаков Х5 Group: Мы создали корпоративный университет по-другому Бизнес-коммуникацииРынок транспортной логистики меняется так быстро что без онлайн-коммуникации не обойтись БезопасностьАндрей Янкин «Инфосистемы Джет»: Чтобы выяснить насколько компания уязвима я бы рекомендовал провести киберучения с сюжетом «взлом подрядчика» ЦифровизацияИсследование: контакт-центры держат курс на повышение автоматизации рутинных процессов Поддержка ИТ-отраслиВывести ИТ-продукт на рынок и масштабировать бизнес: зачем участвовать в «Акселераторе Спринт» ТелекомИлья Мамлеев «Импульс Телеком»: Одним параллельным импортом проблемы не решить ДокументооборотГеннадий Попов WSS-Consulting: Современные СЭД должны уметь быстро решать самые сложные задачи требуя при этом минимальные доработки ИмпортонезависимостьВремя гиперконвергентных решений: как уйти от классической архитектуры ДокументооборотКак управлять цифровым контентом с применением ИИ — эволюция СЭД ЦифровизацияСамое северное внедрение: как SberCRM автоматизировал работу туроператора в Заполярье ТехникаВиктор Силкин «Супервэйв Групп»: Бережное отношение к ресурсам становится хорошим тоном ЦифровизацияСергей Тихомиров CUSTIS: Банки могут составить реальную конкуренцию ИТ-компаниям в создании конечных цифровых продуктов для других отраслей БезопасностьКак защитить платформы контейнеризации на всех стадиях жизненного цикла БезопасностьСергей Никитин «Газинформсервис»: Пришло время перейти от простой автоматизации процессов ИБ к осознанному стратегическому сотрудничеству ИмпортонезависимостьКак централизованно решать проблемы импортозамещения бизнес-систем БизнесНе просто картинки: производители DAM-платформ делят рынок в 8 млрд долларов ИмпортонезависимостьРаймонд Иссако Т1 EasyTax: Чтобы стать участником налогового мониторинга не нужны крупные инвестиции в ИТ-решения МаркетАндрей Врацкий eXpress: Выбирая ВКС нужно не забывать и про чаты ЦифровизацияЦифровизация страхования: какие новинки внедряют лидеры рынка ОблакаКонстантин Симонов DataSpace Cloud: Гибридное облако стало ключевым сервисом на сегодняшний день ИТ в госсектореКак оцифровать поступление в вуз? БезопасностьКакие вопросы топ-менеджер должен задать своему CISO о защищенности его компании ЦифровизацияНикита Кардашин Naumen: ИТ-стратегия — это не реагирование на инциденты а продолжение стратегии бизнеса ДокументооборотИлья Зайчиков «Тезис»: На рынке по пальцам можно пересчитать СЭД в которых реализован искусственный интеллект БизнесМаксим Пустовой Arenadata: Рынок дата-решений сегодня является одним из самых инвестиционно привлекательных в стране ТелекомПроблемы российского телекома: не хватает свободных частот и спутников связи БезопасностьКак SIEM интегрирует и анализирует сигналы от ИБ-компонентов инфраструктуры БизнесСервисы на опережение: ребята из «Сириуса» прошли стажировку в холдинге Т1 ИмпортонезависимостьКак убедиться что выбранная российская ОС санкционно безопасна? ИТ в банкахНиколай Ульянов Россельхозбанк: Распространение ИИ-решений стало мейнстримом в банковской отрасли ИмпортонезависимостьОсобенности национального импортозамещения: разбираем типичные проблемы (часть 3) МаркетТимур Порошин Т1CRM: Необходимость миграции — повод провести ИТ-ревизию БезопасностьThreat intelligence platform. Аналитическое сравнение решений Security Vision TIP и Anomaly ИмпортонезависимостьВалерий Баулин F.A.C.C.T.: Мы унаследовали экспертизу Group-IB по всем ключевым направлениям кибербезопасностиПоказать ещеMARKET.CNEWSПоставщикам облачных услугЛента новостей10.1117:10VK Cloud предоставил бесплатный доступ для своих пользователей к сервису аварийного восстановления данных «Хайстекс...10.1117:00Исследование «Контур.Толк»: 20% офисных сотрудников проводит более 5 онлайн-встреч каждый день10.1116:11«Нота» и «Почта банк» расширяют сотрудничество10.1116:02Сбербанк и Липецкая область совместно будут готовить ИТ-специалистов10.1115:51Петербургские сервисы для горожан «Я здесь живу» появятся еще в двух регионах России10.1115:27Кастомизация на максимум: обновленная механическая клавиатура Bloody S9810.1115:22Умные колонки VK теперь можно использовать как радионяню10.1114:18Екатерина Куцына назначена директором по развитию цифровых платформ сейлз-хауса «Газпром-медиа»10.1114:13QApp и «Ассоциация финтех» договорились о сотрудничестве в области квантово-устойчивой защиты информации и технологий...10.1114:12Для импортозамещения ключевого банковского ПО необходим новый индустриальный центр компетенций10.1114:10Исследование VK: 57% пользователей планируют покупать бытовую технику и электронику в офлайне10.1113:25X-Com масштабировала систему видеонаблюдения Академии ФСИН России10.1113:20Форматы NX и Solidworks добавлены в модуль C3D Converter10.1113:18«Т1 интеграция» и ГК «Солар» совместно займутся развитием ИБ-систем10.1113:15НСПК и QApp реализовали пилот по защите данных на основе постквантовых алгоритмов шифрования10.1113:05AML Crypto прошла независимый аудит информационной безопасности в ГК Softline10.1112:56билайн даст возможность присвоить свой номер умным часам или планшету10.1111:59«Мегафон» ускорил интернет в стране валдайских колокольчиков10.1111:57МТС разогнала мобильный интернет в старейшем городе Карелии10.1111:53Холдинг «Т1» и Банк России будут развивать образовательные программы «Финтех хаба»10.1111:48Университет «Синергия» и «Сбербизнес» займутся созданием образовательных программ по электронной торговле                Больше новостей            техникаСМАРТФОНЫКОМПЬЮТЕРНАЯ							ТЕХНИКАТВФОТО-							ВИДЕОТЕХНИКАУмные часыБытовая							ТЕХНИКАКухонная							ТЕХНИКАКЛИМАТИЧЕСКАЯ							ТЕХНИКААУДИОТЕХНИКАещеЛучшие устройства Dreame на распродаже 11.11: выбор ZOOMНаукаУгроза из бездны: в самой глубокой океанской впадине Земли обнаружен новый вирусЛучшие роутеры с поддержкой Wi-Fi 6: выбор ZOOMНаукаСтолкновение скопления галактик которого не должно было случиться — вызов космологическим теориямГде слушать музыку в 2023 году: стриминговые музыкальные сервисы в РоссииПриложения и сервисы для организации рабочего процесса: выбор ZOOMТехноблогКак устроены отчисления в стриминговых сервисах и почему молодых богатых рок-звезд больше не будетЛегкие и мощные: самые производительные ноутбуки весом до 13 кгПоказать ещеКалендарь событий15Ноября2023ELMA DAY’2316Ноября2023TeamTalk 202317Ноября2023ЯUSSIAN REALITY? ВИРТУАЛЬНОСТЬ!21Ноября2023Электронный документооборот: итоги 2023 года22Ноября2023Бесшовная интеграция в новых условиях22Ноября2023IT Elements22Ноября2023Как сопровождать СУБД на множестве серверов баз данных28Ноября2023Современный цифровой офис 2023ГлавноеНовостиАналитикаРейтингиОбзорыАрхивПопулярноеКонференцииСпециальные проектыМаркетТехникаТВПечатные изданияCNewsОб изданииРекламаВакансииКонтактыСоцсетиTelegramЯндекс.ДзенVKYoutubeХостинг-провайдер REG.RUБыстрая подписка на новостиRSSПолитика конфиденциальностиСообщить об ошибкеПравовая информацияМатериалы помеченные знаком ■ являются рекламойВсе права защищены © 1995 – 2023Сетевое издание «CNews» («СиНьюс») зарегистрировано Федеральной службой по надзору в сфере связи информационных технологий и массовых коммуникаций 09.11.2018 за номером Эл № ФС77 – 74283×Бесплатная подписка на новости CNews                            Нажимая кнопку «Подписаться» вы даете свое согласие на обработку и хранение                            персональных данных.                        ×Токен: 1Рекламодатель: 1ИНН/ОГРН: 1Сайт: 1Подписаться наРассылкаЯндекс.ДзенTelegramВконтакте</t>
  </si>
  <si>
    <t>www.cnews.ru</t>
  </si>
  <si>
    <t>Здесь мы рассказываем все наши новости, делимся лайфхаками и сообщаем об акциях. Сайт: sberbank.ru · Онлайн-банк.</t>
  </si>
  <si>
    <t>Сбербанк Онлайн. Читайте последние новости на тему в ленте новостей на сайте РИА Новости. Сложности со входом в мобильное приложение Сбербанка возникли ...</t>
  </si>
  <si>
    <t>https://ria.ru/product_Sberbank_Onlajjn/</t>
  </si>
  <si>
    <t>Сбербанк Онлайн» приложение вновь появилось в App ...</t>
  </si>
  <si>
    <t>10 окт. 2022 г. —</t>
  </si>
  <si>
    <t>https://www.forbes.ru/tekhnologii/479393-zamenausee-sberbank-onlajn-prilozenie-vnov-poavilos-v-app-store</t>
  </si>
  <si>
    <t>Оплата через приложение Сбербанк Онлайн на ...</t>
  </si>
  <si>
    <t>Оплата через приложение Сбербанк Онлайн на телефоне · 2. После выбора карты необхоимо выбрать пункт · 3. В меню "Платежи и переводы" необходимо выбрать пункт ...</t>
  </si>
  <si>
    <t>https://instagro.ru/instructions/kak-oplatit-zakaz-cherez-prilozhenie-sberbank-onlajn-na-telefone/</t>
  </si>
  <si>
    <t xml:space="preserve">Интернет магазин для фермеров дачников и садоводов. Официальный сайт компании "Институт агротехники".Интернет магазин для фермеров личных подсобных хозяйств дачников и садоводов. Доставка по России.8 (800) 222-60-74пн-пт с 07:00–16:00 МСКОплатаДоставкаСтатьиКонтакты Каталог товаровДоильные аппаратыИнкубаторыПереработка молокаСепараторыМаслобойкиЭлектросушилкиКоптильниСоковыжималкиКомплектующие запчастиКомплектующие и запчасти для зернодробилок INSTAGROКомплектующие и запчасти для доильных аппаратовКомплектующие и запчасти для измельчителей зерна и кормаБражные колонны Инструкции				 Корзина пуста					найти!Хиты продажПопулярноеМы рекомендуемНовинки										доступно в рассрочку									Доильный аппарат для коров «Молочная ферма» модель 2П25 700 Р28 700 РБесплатная доставка до терминала Транспортной Компании в Вашем городеСиликоновая сосковая резинаПроизводительность 8-10 коров в часПотребляемая мощность 550 ВаттОбъем бидона 226 лВес аппарата 47 кгГарантия 18 месяцев В корзинуСосковая резина силиконовая комплект 4 штуки950 РКомплект сосковой резины для доильных аппаратов  «Молочная ферма».  В корзину										доступно в рассрочку									Зернодробилка / Измельчитель кукурузы и стебельчатого корма - Instagro IZ-27 900 РЗерно: 180-200 кг/чКукуруза: 200-250 кг/чСтебельчатый корм: 200-250 кг/чНапряжение: 220 ВПотребляемая мощность: 25 кВт Частота вращения: 2850 об/минКомплект сит: 4 сита  (2345 мм)Масса: 193 кг В корзину										доступно в рассрочку									Умный инкубатор "Птичий двор" SMART-6013 700 РВместимость: 60 куриных яицЛоток для разных типов яицАвтоматический переворот яицРегулировка температурыКонтроль влажностиВстроенный овоскопПереключение на АКБ 12ВГарантия 12 месяцев В корзинуЭлектрокоптильня «Элвин» ЭКУ комбинированная6 890 РОбъем загрузки 20 литровНоминальное напряжение 220 ВПотребляемая мощность 800 ВтКоличество лотков 3 штВес 12 кг В корзинуНож для измельчителей зерна 175 мм.150 РИспользуется в зернодробилках линеек Уральские хрюшки Хрюша ТермМикс Бизон Гранд и Фермер. А так же в кормоизмельчителях КР-02 и КР-03.Длина ножа 175 мм.  В корзинуМоющее средство "СиПро" для доильного аппарата (Щелочное) Масса 6 кг.600 РПрофессиональное жидкое щелочное низкопенное моющее средство с дезинфицирущим эффектом на основе активного хлора. В корзину										доступно в рассрочку									Умный инкубатор "Птичий двор" SMART-6013 700 РВместимость: 60 куриных яицЛоток для разных типов яицАвтоматический переворот яицРегулировка температурыКонтроль влажностиВстроенный овоскопПереключение на АКБ 12ВГарантия 12 месяцев В корзину										доступно в рассрочку									Умный инкубатор "Птичий двор" SMART-12014 900 РВместимость: 120 куриных яицЛоток для разных типов яицАвтоматический переворот яицРегулировка температурыКонтроль влажностиВстроенный овоскопПереключение на АКБ 12ВГарантия 12 месяцев В корзину										доступно в рассрочку									Автоматический инкубатор "Птичий двор" STANDART-6011 500 РНЕТ В НАЛИЧИИ!Вместимость: 60 куриных яицЛоток для разных типов яицАвтоматический переворот яицРегулировка температурыКонтроль влажностиВстроенный овоскопПереключение на АКБ 12В В корзину										доступно в рассрочку									Автоматический инкубатор "Птичий двор" MAX-7012 500 РВместимость: 70 куриных яицЛоток для разных типов яицАвтоматический переворот яицРегулировка температурыКонтроль влажностиВстроенный овоскопПереключение на АКБ 12В В корзинуОбзор зернодробилки / кормоизмельчителя INSTAGRO IZKОбзор зернодробилки для домашнего хозяйства19 мартаОтзывы и обзоры о доильном аппарате "Молочная Ферма"Видеообзоры доильных аппаратов.8 февраляОбзор автоматического инкубатора для яиц «Птичий Двор» Модель А-6420 августаПолучение и сборка доильного аппарата от канала "Семья в деревне"Антон Хорошев ведущий youtube канала  «Семья в деревне» получает и собирает доильный аппарат  «Молочная Ферма» 2П.13 июняДоильный аппарат "Молочная ферма" эксплуатация на большой ферме (Видео)13 июняКомпания  «Инстагро»Реализует оптом и в розницу доильные аппараты автоматические инкубаторы для яиц зернодробилки сепараторы и другое сельскохозяйственное оборудование для фермерских хозяйств и скотоводческих ферм а так же бытовую технику для сельского хозяйства и дач. Купить крупным и мелким оптом оборудование можно из любого региона России и стран СНГ с гарантией.Для запроса оптового прайса пишите на opt@instagro.ruВсе товары сертифицированы и соответствуют нормам и стандартам РФ. Компания Институт Агротехники отвечает за качество предлагаемой продукции и своевременные сроки доставки.Почему мы?Выгодные ценыМы предлагаем выгодные цены на нашу продукцию. Постоянным и оптовым клиентам мы предоставляем гибкую систему скидок и бонусов.Удобство покупкиИспользуя наш сайт вы экономите время и можете совершить покупку в считанные минуты а так же проследить ход выполнения вашего заказа обратившись к менеджеру.Качественные товарыМы предлагаем только проверенные товары от лучших производителей России. Каждая единица проходит проверку перед отправкой покупателю.ГарантииКомпания Институт агротехники работает в соответствии с законодательством РФ. Если товар приобретенный у нас оказался ненадлежащего качества то мы заменим его.Индивидуальный подходМы находим индивидуальный подход к каждому клиенту. Личный менеджер будет вести Ваш заказ от оформления до получения Вами товара. ОплатаДля физических лиц• Оплата по квитанции в банке или по реквизитам через мобильный банк• Оплата через платежные терминалы по реквизитам организацииДля юридических лиц• Оплата по счету Юридическим лицам и индивидуальным предпринимателям необходимо оплатить счет который выставляет менеджер оформляющий заказ.Через 1-3 дня после поступления денег на расчетный счет заказ будет отгружен в транспортную компанию. По вопросам отгрузки товара вы можете связаться с нашими менеджерами. Как только заказ прибудет в Ваш город представитель транспортной компании свяжется с Вами и сообщит порядок и сроки получения заказа.Подробнее о доставке    Мы производим Доильные аппараты "Молочная Ферма"                        8 (800) 222-60-74                    sales@instagro.ruпн-пт с 07:00–16:00 МСККаталог товаровДоильные аппаратыИнкубаторыПереработка молокаЭлектросушилкиКоптильниСоковыжималкиКомплектующие запчастиБражные колонныИнформацияОплатаДоставкаСтатьиО компанииКонтактыОпт  ИП Христолюбова А.В.Офис: Челябинская область г. Миасс пр-т. Автозаводцев 65 оф. 403/2ИНН: 741511542909ОГРН: 317745600007724Р/сч 40802810938040003081ФИЛИАЛ "ЕКАТЕРИНБУРГСКИЙ"АО "АЛЬФА-БАНК" к/сч 30101810100000000964 БИК 046577964Отдел розничных продажsales@instagro.ru  8 (800) 222-60-74 (Звонок по РФ бесплатный)+7 (900) 025-60-74 (WhatsApp Viber Telegram)                                                                                                                                                   Отдел оптовых продажopt@instagro.ru  + 7 (343) 30-22-847 доб. 111  + 7 (900) 025-60-74График работы менеджеров:пн-пт с 07:00-16:00 МСК   </t>
  </si>
  <si>
    <t>instagro.ru</t>
  </si>
  <si>
    <t>Вход в Интернет-Банк ЗАО «Приднестровский Сбербанк»</t>
  </si>
  <si>
    <t>Подключиться бесплатно к системе “Сбербанк-онлайн” можно в любом отделении Приднестровского Сбербанка. Для подключения достаточно предъявить паспорт и ...</t>
  </si>
  <si>
    <t>https://online.prisbank.com/</t>
  </si>
  <si>
    <t>Вход в Интернет-Банк ЗАО «Приднестровский Сбербанк»ЛогинПароль                        Подключиться бесплатно к системе “Сбербанк-онлайн” можно в любом                        отделении                        Приднестровского Сбербанка.                                                Для подключения достаточно предъявить паспорт и подписать заявление                        о присоединении к                        договору                        дистанционного обслуживания.                                                Теперь Вы можете пользоваться услугами Банка с помощью сети                        Интернет и системы “Сбербанк-онлайн” круглосуточно дома на                        работе или на отдыхе - там где удобно Вам.                    ОСТОРОЖНО! МОШЕННИКИ1.                    Вводите логин и пароль от интернет-банка Сбербанка только на сайте https://online.prisbank.com. Внимательно проверьте написание                    каждого слова в адресной строке.                2.                    Никогда и никому не сообщайте данные карты: номер (16 цифр) и CVC код на обратной стороне. Помните сотрудники банка никогда                    не звонят и не спрашивают эти данные нам они и так известны.                3.                    Никогда и никому не говорите код из СМС даже если к Вам обращаются от имени Сбербанка. Это мошенники.</t>
  </si>
  <si>
    <t>online.prisbank.com</t>
  </si>
  <si>
    <t>СберCтрахование: оформить страховку онлайн для ...</t>
  </si>
  <si>
    <t>Как оплатить услуги в СберБанк Онлайн?</t>
  </si>
  <si>
    <t>Для оплаты услуг, в том числе ТО ВДГО, в СберБанк онлайн необходимо сделать следующее: · Установить приложение на телефон СберБанк онлайн; · Зайти в приложение ...</t>
  </si>
  <si>
    <t>https://34gaz.ru/one-stop-shop/manual_sber/</t>
  </si>
  <si>
    <t>Главная страницаАварийная служба газа 04 104Единый бесплатный федеральный номер   8 800 234 1795Личный кабинетОплата услугЛичный кабинетЗдесь будет форма входа и регистрацииО компанииРуководствоПрейскурантыФилиалы и МГП Волгоградской областиРеквизитыЗакупкиКонтактная информацияОбратная связьХарактеристика регионаПолитика обработки персональных данныхOбъявленияУчебно-методический центрПрофсоюзКлиентамИнформация о Клиентских центрахДокументы с ЭЦПКак оплатить услуги в СберБанк Онлайн?АО «Волгоградгоргаз»О компанииАкционерам и инвесторамКлиентамПрейскурантыКонкурсыРаскрытие информацииДокументыО договоре ТО ВДГОДокументыРаскрытие информацииИнформация согласно Постановлению Правительства от 29.10.2010г. № 872Информация согласно Федеральному закону РФ №426-ФЗ «О специальной оценке условий труда»ГРОВакансииРабота в ООО «Газпром газораспределение Волгоград»Работа в АО «Волгоградгоргаз»Интернет-магазинДогазификацияВопросы и ответыИнформация о Клиентских центрахИнтернет-приемнаяФилиалы и МГП Волгоградской областиФилиал в г. ВолжскийФилиал в р.п. ЕланьФилиал в г. КалачФилиал в г. КамышинФилиал в г. КотовоФилиал в г. МихайловкаФилиал в г. НиколаевскФилиал в г. НовоаннинскФилиал в г. ПалласовкаФилиал в г. СерафимовичФилиал в г. СуровикиноФилиал в г. УрюпинскФилиал в г. ФроловоМГП «Городищенское»МГП «Жирновское»МГП «Котельниковское»Аварийная служба газа 04 104Единый бесплатный федеральный номер   8 800 234 1795О компанииКлиентамАО «Волгоградгоргаз»ДокументыРаскрытие информацииВакансииИнтернет-магазинДогазификацияИнтернет-приемнаяСлайдер_1Слайдер_2Слайдер_3Слайдер_4Слайдер_5Слайдер_6Слайдер_7Газпром газораспределение ВолгоградДоговор ТО ВДГОГазификацияЗоны обслуживанияУстановка приборов учетаОбратная связьПравила безопасностиПрофсоюзНовости                        Пресс-центр                                                            Волгоградские газовики оказали помощь участникам СВО                                                                        09.11.2023                                                                        Количество подключений домов к газовым сетям в рамках догазификации в январе-октябре выросло в 15 раза                                                                        08.11.2023                                                                        На ПМГФ презентовали «умный счетчик» с возможностью дистанционной оплаты газа                                                                        02.11.2023                                                                        Волгоградские газовики подвели итоги программы капитального ремонта газораспределительных сетей                                                                        02.11.2023                                                                        Внимание. Технические работы на сайте.                                                                        02.11.2023                                                                        Доступ к сетевому газу получили новые потребители в регионах России                                                                        01.11.2023                                Уважаемыепотребители газа!С 1 сентября 2023 года вступили в силу поправки в Федеральный закон «О газоснабжении в РФ»						 Жилищный кодекс РФ и Правила пользования газом № 410 согласно которым проводить техническое						 обслуживание внутридомового и внутриквартирного газового оборудования могут только газораспределительные организации.До 31 декабря 2023 года вам необходимо перезаключить договор о техническом обслуживании газового оборудования				Подробнее✖© ООО «Газпром газораспределение Волгоград»400005 г. Волгоград ул. Коммунистическая 38Телефон: +7 (8442) 49-17-95 +7 (8442) 24-88-88Электронная почта: office@vlg-gaz.ru Поддержка сайта — Magwai			ООО «Газпром газораспределение Волгоград» использует файлы cookie. Продолжая работу с 34gaz.ru вы подтверждаете использование сайтом cookies вашего браузера которые помогают нам делать этот сайт удобнее для пользователей. Сбор и обработка информации о посетителях сайта осуществляется с использованием сервиса Яндекс метрика. Однако вы можете запретить сохранение определенных файлов cookie в настройках своего браузера.		Подробнее					Обработка данных пользователей осуществляется в соответствии с Политикой обработки персональных данных и Уведомлением об использовании файлов cookie.				ПонятноВнимание абонентов!Изменен порядок доступа в Личный кабинет! Необходимо пройти регистрацию! Если у Вас уже был вход в личный кабинет и внесена электронная почта воспользуйтесь функцией восстановления пароля.Авторизоваться</t>
  </si>
  <si>
    <t>34gaz.ru</t>
  </si>
  <si>
    <t>Сбербанк Бизнес Онлайн — интернет-банк</t>
  </si>
  <si>
    <t>https://sbbol.bps-sberbank.by/</t>
  </si>
  <si>
    <t>sbbol.bps-sberbank.by</t>
  </si>
  <si>
    <t>Как зарегистрироваться в Сбербанк Онлайн</t>
  </si>
  <si>
    <t>https://www.sravni.ru/enciklopediya/info/kak-zaregistrirovatsya-v-sberbank-onlajn/</t>
  </si>
  <si>
    <t>Сбербанк Онлайн» приложение исчезло из App Store</t>
  </si>
  <si>
    <t>https://www.forbes.ru/finansy/475069-zamenausee-sberbank-onlajn-prilozenie-iscezlo-iz-app-store</t>
  </si>
  <si>
    <t>Ипотека от 8%</t>
  </si>
  <si>
    <t>Чтобы изменить дату, зайдите в СберБанк Онлайн, откройте раздел «Кредиты» и выберите ипотечный кредит. Зайдите во вкладку «Операции», затем — в «Изменение ...</t>
  </si>
  <si>
    <t>https://domclick.ru/ipoteka</t>
  </si>
  <si>
    <t>сетевой город</t>
  </si>
  <si>
    <t>Сетевой Город. Образование</t>
  </si>
  <si>
    <t>https://sgo.cit73.ru/</t>
  </si>
  <si>
    <t>Сетевой Город. ОбразованиеСетевой Город. ОбразованиеВойти в ГИС "Образование Ульяновской области"Вход для родителейВход для учащихсяВход для сотрудников					Вы получаете государственные (муниципальные) услуги в сфереобразования Ульяновской области в электронной форме.				Для входа необходима подтвержденная учетная запись госуслуг.										Ее можно оформить в ближайшем центре обслуживания пользователей. 				Ученикам до 14 лет можно войти через логин и пароль выданные в школе.				                    Инструкция по входу 1246 кбСкачать файл Распечатать файлИнновационные решения и технологии для сферы образования</t>
  </si>
  <si>
    <t>sgo.cit73.ru</t>
  </si>
  <si>
    <t>https://region.zabedu.ru/about.html</t>
  </si>
  <si>
    <t>﻿Сетевой Город. Образование</t>
  </si>
  <si>
    <t>region.zabedu.ru</t>
  </si>
  <si>
    <t>ГОСУДАРСТВЕННАЯ ИНФОРМАЦИОННАЯ СИСТЕМА КАМЧАТСКОГО КРАЯ "СЕТЕВОЙ ГОРОД". Сведения об успеваемости учащегося*. *Предоставление информации о текущей ...</t>
  </si>
  <si>
    <t>https://www.sgo41.ru/</t>
  </si>
  <si>
    <t>﻿Сетевой Город. ОбразованиеГОСУДАРСТВЕННАЯ ИНФОРМАЦИОННАЯ СИСТЕМА КАМЧАТСКОГО КРАЯ "СЕТЕВОЙ ГОРОД"Сведения об успеваемостиучащегося**Предоставление информации о текущей успеваемости учащегося ведение электронного дневника и электронного журнала успеваемости				госуслугиПроще чем кажется!Для получения государственной услуги Вам потребуется войти в ЕСИА.Что такое ЕСИА?ЕСИА – это Единая система идентификации и авторизации граждан в государственных и муниципальных системах Российской Федерации.Как получить учетную запись в ЕСИА?Заполните анкету на сайте Электронного правительства.Подтвердите анкетные сведения в любом пункте МФЦ.Камчатский крайКамчатский крайКамчатский крайКамчатский крайКамчатский крайКамчатский крайКамчатский крайГОСУДАРСТВЕННАЯ ИНФОРМАЦИОННАЯ СИСТЕМА КАМЧАТСКОГО КРАЯ "СЕТЕВОЙ ГОРОД" (РЕГИОНАЛЬНЫЙ СЕГМЕНТ ГИС "КОНТИНГЕНТ")Сведения об успеваемости учащегося**Предоставление информации о текущей успеваемости учащегося ведение электронного дневника и электронного журнала успеваемостиВнимание!ПродолжитьОбщее образованиеДополнительное образованиеПрофессиональное образованиеВойти как: Родитель Учитель УченикПродолжитьОсуществляется автоматический переход на сервер дополнительного образования...Если по каким-то причинам страница долго не открывается попробуйте перейти по этой ссылкеОсуществляется автоматический переход на сервер профессионального образования...Если по каким-то причинам страница долго не открывается попробуйте перейти по этой ссылкеОсуществляется автоматический переход на школьный сервер...Если по каким-то причинам страница долго не открывается попробуйте перейти по этой ссылкеНазадЗакрытьЗакрытьПо возникающим вопросам можно обращаться по электронной почте support@kcioko.ru.© КГАУ «Камчатский центр информатизации и оценки качества образования»&lt;!--&lt;script src="js/browser_detect.js"&gt; -&gt;</t>
  </si>
  <si>
    <t>www.sgo41.ru</t>
  </si>
  <si>
    <t>https://net-school.cap.ru/</t>
  </si>
  <si>
    <t>net-school.cap.ru</t>
  </si>
  <si>
    <t>Электронное образование</t>
  </si>
  <si>
    <t>https://sgo.yanao.ru/</t>
  </si>
  <si>
    <t>https://sgo.rso23.ru/</t>
  </si>
  <si>
    <t>sgo.rso23.ru</t>
  </si>
  <si>
    <t>https://sgo.volganet.ru/</t>
  </si>
  <si>
    <t>https://sgo.tvobr.ru/</t>
  </si>
  <si>
    <t>sgo.tvobr.ru</t>
  </si>
  <si>
    <t>Сетевой город</t>
  </si>
  <si>
    <t>Государственная информационная система "Образование в Челябинской области" Модуль "Сетевой Город. Образование". Войти через госуслуги.</t>
  </si>
  <si>
    <t>https://sgo.edu-74.ru/</t>
  </si>
  <si>
    <t>Челябинская обл. | АИС "Сетевой регион. Образование" | РИС "Сетевой край. Образование"Государственная информационная система "Образование в Челябинской области"             Модуль "Сетевой Город. Образование"Войти через госуслугиУважаемые пользователи системы!Со 2 октября 2023 года в систему "Сетевой Город. Образование" для всех пользователей будет возможен                только                с помощью учетных записей ЕСИА (портала Госуслуг).                 С инструкцией можно ознакомиться нажав на баннер            Техническая поддержка пользователей: support@chiro74.ru</t>
  </si>
  <si>
    <t>sgo.edu-74.ru</t>
  </si>
  <si>
    <t>https://sgo.mari-el.gov.ru/</t>
  </si>
  <si>
    <t>sgo.mari-el.gov.ru</t>
  </si>
  <si>
    <t>https://netcity.admsakhalin.ru:11111/</t>
  </si>
  <si>
    <t>https://sgo.egov66.ru/</t>
  </si>
  <si>
    <t>Алтайский край | АИС "Сетевой регион. Образование ...</t>
  </si>
  <si>
    <t>У вас есть вопрос? Перейдите на сайт http://neteducation.edu22.info. Министерство образования и науки Алтайского края АИС "Сетевой регион. Образование".</t>
  </si>
  <si>
    <t>https://netschool.edu22.info/</t>
  </si>
  <si>
    <t xml:space="preserve">Алтайский край | АИС "Сетевой регион. Образование" | РИС "Сетевой край. Образование"У вас есть вопрос?Перейдите на сайт http://neteducation.edu22.infoМинистерство образования и науки Алтайского краяАИС "Сетевой регион. Образование"Вход для родителейВход для учащихся старше 14 летВход для учащихся младше 14 летВход для сотрудников        Для входа через портал Госулуг необходима подтвержденная учётная запись (ЕСИА).Ее можно оформить в  ближайшем  центре обслуживания пользователей.                 Инструкция по применению 840 кбСкачать файл Распечатать файлВход  через логин и пароль выданные в образовательной организации.  </t>
  </si>
  <si>
    <t>netschool.edu22.info</t>
  </si>
  <si>
    <t>Сетевой Город. Образование - Портал образовательных ...</t>
  </si>
  <si>
    <t>https://sgo.prim-edu.ru/</t>
  </si>
  <si>
    <t>https://sgo.e-mordovia.ru/</t>
  </si>
  <si>
    <t>sgo.e-mordovia.ru</t>
  </si>
  <si>
    <t>Войти в АИС "Сетевой город. Образование" Калужской области через портал Госуслуг. Вход для родителей Вход для учащихся Вход для сотрудников.</t>
  </si>
  <si>
    <t>https://edu.admoblkaluga.ru:444/</t>
  </si>
  <si>
    <t>Сетевой город - E-Yakutia</t>
  </si>
  <si>
    <t>https://sgo.e-yakutia.ru/</t>
  </si>
  <si>
    <t>sgo.e-yakutia.ru</t>
  </si>
  <si>
    <t>Электронное образование Тульской области ...</t>
  </si>
  <si>
    <t>https://sgo.edu71.ru/</t>
  </si>
  <si>
    <t>Сетевой Город - Электронный дневник - Республика Коми</t>
  </si>
  <si>
    <t>https://giseo.rkomi.ru/about.html</t>
  </si>
  <si>
    <t>http://schoolroo.ru/</t>
  </si>
  <si>
    <t>https://region.zabedu.ru/</t>
  </si>
  <si>
    <t>https://sgo.volganet.ru/about.html</t>
  </si>
  <si>
    <t>https://sgo.tomedu.ru/</t>
  </si>
  <si>
    <t>sgo.tomedu.ru</t>
  </si>
  <si>
    <t>https://edu.admoblkaluga.ru:444/about.html</t>
  </si>
  <si>
    <t>https://netcity.admsakhalin.ru:11111/about.html</t>
  </si>
  <si>
    <t>https://netschool.eduportal44.ru/about.html</t>
  </si>
  <si>
    <t>Электронное образованиеили войти через логин и пароль выданные в школе.В связи с рисками роста заболеваемости Covid-19 на территории региона необходимо строго соблюдать требования самоизоляции. 				Нарушая ограничительные меры Вы рискуете своим здоровьем и здоровьем окружающих. 				Уважаемые жители и гости Костромской области соблюдайте режим самоизоляции  и пользуйтесь средствами защиты при выходе из дома.									Для входа необходима подтвержденная учетная запись Госуслуг. Ее можно оформить в ближайшем центре обслуживания пользователей. 									Инструкция по применению 693 кбСкачать файл Распечатать файл</t>
  </si>
  <si>
    <t>netschool.eduportal44.ru</t>
  </si>
  <si>
    <t>https://region.obramur.ru/</t>
  </si>
  <si>
    <t>телеграм</t>
  </si>
  <si>
    <t>Telegram Web</t>
  </si>
  <si>
    <t>Telegram is a cloud-based mobile and desktop messaging app with a focus on security and speed.</t>
  </si>
  <si>
    <t>https://web.telegram.org/</t>
  </si>
  <si>
    <t>web.telegram.org</t>
  </si>
  <si>
    <t>Telegram - Apps on Google Play</t>
  </si>
  <si>
    <t>https://play.google.com/store/apps/details?id=org.telegram.messenger&amp;hl=en_US</t>
  </si>
  <si>
    <t>Telegram Messenger on the App Store</t>
  </si>
  <si>
    <t>FAST: Telegram is the fastest messaging app on the market, connecting people via a unique, distributed network of data centers around the globe.</t>
  </si>
  <si>
    <t>https://apps.apple.com/us/app/telegram-messenger/id686449807</t>
  </si>
  <si>
    <t>Telegram - Приложения в Google Play</t>
  </si>
  <si>
    <t>Telegram – простое, быстрое и безопасное приложение для обмена сообщениями. Telegram входит в десятку самых скачиваемых приложений в мире, им пользуются ...</t>
  </si>
  <si>
    <t>https://play.google.com/store/apps/details?id=org.telegram.messenger&amp;hl=ru&amp;gl=US</t>
  </si>
  <si>
    <t>Telegram</t>
  </si>
  <si>
    <t>Telegram (от др.-греч. τῆλε «далеко» + др.-греч. γράμμα «запись») — кроссплатформенная система мгновенного обмена сообщениями (мессенджер) с функциями ...</t>
  </si>
  <si>
    <t>https://ru.wikipedia.org/wiki/Telegram</t>
  </si>
  <si>
    <t>Телеграм Онлайн (неофициальная версия)</t>
  </si>
  <si>
    <t>Телеграм онлайн на русском языке неофициальная веб версия популярного мессенджера Telegram.</t>
  </si>
  <si>
    <t>https://xn--80affa3aj0al.xn--80asehdb/</t>
  </si>
  <si>
    <t>Телеграм Онлайн (неофициальная версия)    Телеграм Онлайн* неофициальная βерсия*Уведомление о неофициальной версии Телеграм</t>
  </si>
  <si>
    <t>xn--80affa3aj0al.xn--80asehdb</t>
  </si>
  <si>
    <t>Русскоязычная веб-версия мессенджера Telegram (неофициальная)</t>
  </si>
  <si>
    <t>https://web.tlgrm.app/</t>
  </si>
  <si>
    <t>TelegramTelegram WebPlease enable JavaScript to open the app.</t>
  </si>
  <si>
    <t>web.tlgrm.app</t>
  </si>
  <si>
    <t>Telegram Web is an online version of popular Telegram messenger - fast and secure. You can use Telegram Web on any browsers or devices. Get apps Start ...</t>
  </si>
  <si>
    <t>https://webogram.org/</t>
  </si>
  <si>
    <t>Telegram WebTelegram WebTelegram Web is an online version of popular Telegram messenger - fast and secure. You can use Telegram Web on any browsers or devices.Get apps Start messaging        Troubles with connection? Try VPN.</t>
  </si>
  <si>
    <t>webogram.org</t>
  </si>
  <si>
    <t>Worcester Telegram : Local News, Politics &amp; Sports in ...</t>
  </si>
  <si>
    <t>Get the latest breaking news, sports, entertainment and obituaries in Worcester, MA from Worcester Telegram .</t>
  </si>
  <si>
    <t>https://www.telegram.com/</t>
  </si>
  <si>
    <t>Worcester Telegram : Local News Politics &amp; Sports in Worcester MANews Sports Entertainment Lifestyle Opinion Advertise Obituaries eNewspaper Legals  Valor in step: City Veterans Day parade grows in marchers turnoutOne in custody after fatal stabbing at Great Brook Valley in WorcesterRecognizing veterans: Area events remembrances for Veterans Day SaturdayNew pitch from WooSox: Ownership looking to sell team Lucchino says Massachusetts officially hits shelter cap. What happens… Worcester State shooting suspect appears in court… A turning point or not? Key takeaways from Worcester… Heywood Hospital named as defendant in lawsuit - what's…  Building a legacy: R.H. White Companies celebrates 100th… Valor in step: City Veterans Day parade grows in marchers turnout  One in custody after fatal stabbing at Great Brook Valley in Worcester  Recognizing veterans: Area events remembrances for Veterans Day Saturday More in News Bouchard helps Uxbridge field hockey roll past Quabbin in D4 quarterfinal  Undefeated Uxbridge shows no letup in D7 quarterfinal win over Tyngsborough  Live: High school fall sports schedule results box scores and recaps More in Sports 'She starts to believe in magic': 'Nutcracker' returns to Hanover  Laurel: Sunny smile up  Worcester hip-hop producer Kas Kastal active on several fronts More in Entertainment How much did the new neighbors pay?  Table Hoppin': A little bit of Havana set for Worcester Public Market  Beyond Beer: Tree House Brewing Co. set for new Saratoga Springs site More in Life Veterans Day: What's open closed this weekend  Fallon Health to relocate headquarters within downtown Worcester  What's the latest business news in Central Mass.? More in Business Mariano: Biden needs a plan for the Southern border Raymond V. Mariano  First Person: The way in is by opting out Mark Wagner  Worcesteria: Inspections hit Steel &amp; Wire White Eagle with limits Victor D. Infante More in Opinion IKEA is recalling 25000 mirrors because they can fall and shatter  Patriots vs. Colts: How to watch NFL game in Germany  How to watch Joe Walsh Jeff Lynne's ELO headline VetsAid 2023 concert More in TrendingEnter today!       Enter Now!       ENTER TODAY!       More in ContestsWorcester eighth graders create donate art to Veterans Inc. City eyes bar sprinkler hassle; councilor Toomey calls for assistance Veterans Day: What's open closed this weekend Mariano: Biden needs a plan for the Southern borderRaymond V. Mariano 'She starts to believe in magic': 'Nutcracker' returns to HanoverCareers Accessibility Site Map Legals Our Ethical Principles Subscription Terms &amp; Conditions Terms of Service Privacy Policy Your California Privacy Rights / Privacy PolicyDo Not Sell / Share / Target My InfoCookie SettingsStaff DirectoryContact Us Support Local Business Advertise Your Business Advertising Terms and Conditions Buy and Sell Licensing &amp; Reprints Help Center Subscriber Guide My Account Give FeedbackSubscribe Today Newsletters Facebook Twitter Instagram eNewspaper ArchivesJobs Cars Homes Classifieds Sports Betting Reviewed.com 10Best LocaliQ Digital Marketing Solutions© 2023 www.telegram.com. All rights reserved.</t>
  </si>
  <si>
    <t>www.telegram.com</t>
  </si>
  <si>
    <t>Contact @telegram</t>
  </si>
  <si>
    <t>The official Telegram on Telegram. Much recursion. Very Telegram. Wow. View in Telegram · Preview channel. If you have Telegram, you can view and join. Telegram ...</t>
  </si>
  <si>
    <t>https://t.me/telegram</t>
  </si>
  <si>
    <t>telegramdesktop/tdesktop: Telegram Desktop messaging app</t>
  </si>
  <si>
    <t>Telegram Desktop messaging app. Contribute to telegramdesktop/tdesktop development by creating an account on GitHub.</t>
  </si>
  <si>
    <t>https://github.com/telegramdesktop/tdesktop</t>
  </si>
  <si>
    <t>GitHub: Let’s build from here · GitHubSkip to contentToggle navigation            Sign up                   Product        Actions        Automate any workflow      Packages        Host and manage packages      Security        Find and fix vulnerabilities      Codespaces        Instant dev environments      Copilot        Write better code with AI      Code review        Manage code changes      Issues        Plan and track work      Discussions        Collaborate outside of code      Explore      All features          Documentation          GitHub Skills          Blog            Solutions        For      Enterprise          Teams          Startups          Education    By Solution      CI/CD &amp; Automation          DevOps          DevSecOps    Resources      Learning Pathways          White papers Ebooks Webinars          Customer Stories          Partners            Open Source        GitHub Sponsors        Fund open source developers      The ReadME Project        GitHub community articles      Repositories      Topics          Trending          Collections    PricingSearch or jump to...Search code repositories users issues pull requests...         Search      Clear                Search syntax tips         Provide feedback       We read every piece of feedback and take your input very seriously.Include my email address so I can be contacted     Cancel    Submit feedback        Saved searches      Use saved searches to filter your results more quickly NameQuery            To see all available qualifiers see our documentation.                Cancel    Create saved search              Sign in                          Sign up            You signed in with another tab or window. Reload to refresh your session.You signed out in another tab or window. Reload to refresh your session.You switched accounts on another tab or window. Reload to refresh your session.  Dismiss alertGitHub Universe: AI. Security. DevExRegister for free and join us on Nov 8-9Let’s build from here          The world’s leading AI-powered developer platform.         Email address  Sign up for GitHub      Start a free enterprise trial    Trusted by the world’s leading organizations ↘︎ProductivityCollaborationSecurity  Start a free enterprise trial      Sign up for GitHub    ProductivityAccelerate innovation        Our AI-powered platform increases the pace of software development.      GitHub Copilot empowers developers to complete tasks 55% faster with contextualized AI coding assistance across workflows.    Explore GitHub Copilot Did you know?22% increasein developer productivity after three years with GitHub    Read the report GitHub Actions automates your build test and deployment workflow with simple and secure CI/CD.     Discover GitHub Actions  GitHub Codespaces offers a complete dev environment in seconds. Code build test and open pull requests from any repo.     Check out GitHub Codespaces  GitHub Mobile fits your projects in your pocket so you never miss a beat while on the go.     Download GitHub Mobile  Application securityEmpower developers With GitHub you can secure code in minutes.      cmake.ymlon: pushBuild1m 21s            Steps          Initialize CodeQL1m 42sAutobuild1m 24sPerform CodeQL Analyses1m 36sGitHub Advanced Security enables you to find and fix vulnerabilities with ease and ship secure code quickly.    Dive into GitHub Advanced Security Did you know?7x fastervulnerability fixes with GitHub1Code scanning is our code analysis tool that helps you remediate issues in your code.     Download the latest SAST ebook  Dependabot makes it easy to find and fix vulnerable dependencies in your supply chain.     Explore Dependabot  Secret scanning automatically looks for partner patterns and prevents fraudulent use of accidentally committed secrets.     Read about secret scanning  CollaborationSupercharge collaboration        GitHub helps your teams work more efficiently together.      GitHub Issues and GitHub Projects supply project management tools that adapt to your team alongside your code.    Get started with GitHub Issues Did you know?80%reduction in onboarding time with GitHub2GitHub Discussions creates space to ask questions and have open-ended conversations.     Jump into GitHub Discussions  Pull requests allow real-time communication and collaboration about code changes.     Check out pull requests  GitHub Sponsors lets you support your favorite open source maintainers and projects.     Invest with GitHub Sponsors sindresorhus Sponsor Samuel Sponsor Homebrew Sponsor Nick DeJesus Sponsor chaynHQ Sponsor kazuya kawaguchi Sponsor CommandPost Sponsor Directus Sponsor Evan You Sponsor  Over 100 million developers call GitHub home3Whether you’re scaling your startup or just learning how to code GitHub is your home. Join the world’s largest developer platform to build the innovations that empower humanity. Let’s build from here. Email address  Sign up for GitHub      Start a free enterprise trial    1 This 7X times factor is based on data from the industry’s longest running analysis of fix ratesVeracode State of Software Security 2023 which cites the average time to fix 50% of flaws as 198 days vs. GitHub’s fix rates of 72% of flaws with in 28 days which is at a minimum of 7X faster when compared.2 The Total Economic Impact™ Of GitHub Enterprise Cloud and Advanced Security a commissioned study conducted by Forrester Consulting 2022. Results are for a composite organization based on interviewed customers.3 There are now 100 million developers around the world using GitHub. Read the blog post.Subscribe to The GitHub InsiderDiscover tips technical guides and best practices in our monthly newsletter for developers.  Subscribe              Product        FeaturesEnterpriseCopilotSecurityPricingTeamResourcesRoadmapCompare GitHub          Platform        Developer APIPartnersElectronGitHub Desktop          Support        DocsCommunity ForumProfessional ServicesPremium SupportSkillsStatusContact GitHub          Company        AboutCustomer storiesBlogThe ReadME ProjectCareersPressInclusionSocial ImpactShopGitHub on XGitHub on FacebookGitHub on LinkedInGitHub on YouTubeGitHub on TwitchGitHub on TikTokGitHub’s organization on GitHub          © 2023 GitHub Inc.        TermsPrivacy          (Updated 08/2022)        SitemapWhat is Git?    You can’t perform that action at this time.</t>
  </si>
  <si>
    <t>github.com</t>
  </si>
  <si>
    <t>Telegram — мессенджер для iPhone, Android и Windows ...</t>
  </si>
  <si>
    <t>Удобный, быстрый и безопасный мессенджер Telegram. Шифрование сообщений, групповые чаты, поддержка YouTube, отправка любых файлов без ограничений.</t>
  </si>
  <si>
    <t>https://tlgrm.ru/</t>
  </si>
  <si>
    <t>Telegram — мессенджер для iPhone Android и Windows Phone                Лучшие стикеры из ВК у нас на канале    Меню                        Стикеры                                            Каналы                                                Скачать Telegram                                                    Часто задаваемые вопросы                                                    Новости                                                Игры                                                Telegram Web                        Telegram                    Webogram                                    Блог                                Стикеры                            Каналы                                FAQ                                    Скачать                                        Скачать для                         вашей ОС                                Telegram для Android                                                            Telegram для iOS                                                            Telegram для Windows                                                            Telegram для macOS                                                            Telegram для Linux                                                            Все приложения                                                Поддерживает Windows macOS и Linux                Встречайте Телеграм:                            Лучший мессенджер в мире. В комплект входят: стикеры каналы боты игры и многое другое.                            БыстрыйТелеграм доставляет сообщения быстрее чем другие приложения. БесплатныйТелеграмм бесплатен сейчас и навсегда. Никакой рекламы. Никаких платных подписок. МощныйВ Телеграме нет ограничений на количество сообщений вложений и чатов. БезопасныйТелеграм шифрует всю вашу переписку и защищает вас от хакерских атак. В облакахТелеграмм позволяет вам получать доступ к своей переписке с неограниченного числа устройств. Приватный                            Сообщения в Telegram зашифрованы и умеют самоуничтожаться.                        В облакахTelegram позволяет переписываться на различных устройствах (в том числе и онлайн).                        БыстрыйTelegram работает быстрее чем любое другое приложение.                        Распределенный                            Сервера Telegram распределены по всему миру для большей скорости и защищённости.                        ОткрытыйTelegram использует открытый протокол и API бесплатное для всех.                        БесплатныйTelegram всегда будет бесплатным. Без рекламы. Без платных подписок.                        БезопасныйTelegram сохраняет ваши сообщения в безопасности от хакеров.                        МощныйTelegram не ограничивает размер ваших сообщений и вложений.                        Сообщество                            Помогите вновь сделать общение безопасным – расскажите друзьям о Telegram.                        Сайт про Telegram на русском (неофициальный).Здесь собраны приложения на базе MTProto переведена некоторая документация с официального сайта а также работает Webogram.СтикерыКаналыИгрыFAQБлогДокументация для разработчиковПресса о TelegramРобот                    Задать вопрос                                        Реклама на сайте                                            Группа ВКонтакте</t>
  </si>
  <si>
    <t>tlgrm.ru</t>
  </si>
  <si>
    <t>Fort Worth Star-Telegram: Fort Worth Breaking News &amp; Sports</t>
  </si>
  <si>
    <t>https://www.star-telegram.com/</t>
  </si>
  <si>
    <t>Long Beach Press-Telegram: Local News, Sports, Things to Do</t>
  </si>
  <si>
    <t>The Press-Telegram is the local news source for Long Beach and the surrounding area providing breaking news, sports, business, entertainment, things to do, ...</t>
  </si>
  <si>
    <t>https://www.presstelegram.com/</t>
  </si>
  <si>
    <t>Long Beach Press-Telegram: Local News Sports Things to Do Skip to contentAll SectionsSubscribe Now 66°F 							Saturday November 11th 2023									e-Edition Home PageClose MenuNewsNewsCrime and Public SafetyInvestigative ReportingPoliticsHealthEnvironmentBusinessHousingJobsLocal NewsLocal NewsLong BeachLos AngelesLos Angeles CountySportsSportsHigh School SportsChargersRamsLakersClippersDodgersAngelsCollege SportsUCLA SportsUSC SportsLong Beach State sportsKingsDucksBoxing/MMASoccerThings To DoThings To DoRestaurants Food and DrinkMoviesMusic + ConcertsTheaterTV and StreamingHome + GardenTravelAmusement ParksComicsPuzzlesEventsObituariesObituariesPlace an ObituaryOpinionOpinionEditorialsOpinion ColumnsGuest CommentaryLetters to the EditorEditorial BoardThe GrunionThe GrunionNewsEducationSportsThings to DoOpinionE-EditionAdvertisingContact UsSCNG PremiumThe T.E.A.SubscribePress-Telegram StoreLog InLogoutClose Menu Get the latest news delivered daily!				Sign Up SubscribeLog In Account SettingsContact UsLog OutSpoof a userGet the latest news delivered daily!				Sign UpSubscribeLog In Search Press Telegram 66°F 							Saturday November 11th 2023									e-Edition   NewsLocal NewsSportsThings to DoObituariesOpinionThe T.E.A. 			Trending:		Motorsports |  			Dengue fever in Long beach		Motorsports |  			Guilty of ‘seaman’s manslaughter’		Motorsports |  			Safe parking for homeless		Motorsports |  			High School Football		Motorsports |  			Veterans Day events 🇺🇸		  FeaturedMotorsports |  			Photos: Long Beach hosts Veterans Day Celebration at Houghton Park		 			Long Beach honored four individuals and organizations who've dedicated themselves to serving the city's veteran population — which totals around 16000 individuals and their families — during the free event.		Related Motorsports |  			Long Beach veteran was homeless. Then she found US Vets — and wants to bring veterans hope		12 hours agoMotorsports |  			Veterans Day: LA County throngs turn out under sunny skies to honor those who served		3 hours agoMotorsports |  			Marine veterans find new mission as firefighters helping people “having the worst day”		7 hours ago   Motorsports |  			Remembering Bob Crow: Long Beach Pride community honor cofounder/LGBTQ icon at memorial procession		 Motorsports |  			Remaining George’s Greek Cafe in Belmont Shore celebrates remodel		 Motorsports |  			Long Beach Poly football loses heartbreaker to Servite in overtime in Division 2 quarterfinals		 Motorsports |  			Rich Archbold: Veteran at Long Beach VA remains optimistic despite quadriplegia		Latest HeadlinesMotorsports |  			2 women wounded in Long Beach shooting; 2 men sought		5 hours agoMotorsports |  			1 officer shot at stabbing suspect in North Long Beach		1 day agoMotorsports |  			Veterans Day: LA County throngs turn out under sunny skies to honor those who served		3 hours agoMotorsports |  			Photos: Whittier marks Veterans Day with annual celebrations		6 hours agoMotorsports |  			Hospitals have special protection under the rules of war. Why are they in the crosshairs in Gaza?		4 hours agoMotorsports |  			Trump joins media outlets in pushing for his federal election interference case to be televised		7 hours agoMotorsports |  			Jim Biden’s last name has helped open doors. It also has made him a target of House GOP		7 hours agoGet the latest news delivered daily!		Sign Up		 Most PopularTop Posts &amp; Pages14 injured when Long Beach Transit bus crashes into restaurant14 injured when Long Beach Transit bus crashes into restaurantSt. John Bosco football tested by San Clemente before rolling into Division 1 semifinalsSt. John Bosco football tested by San Clemente before rolling into Division 1 semifinalsHigh school football playoffs: All of Friday’s CIF-SS scores and schedule for the semifinalsHigh school football playoffs: All of Friday’s CIF-SS scores and schedule for the semifinalsLong Beach Poly football loses heartbreaker to Servite in overtime in Division 2 quarterfinalsLong Beach Poly football loses heartbreaker to Servite in overtime in Division 2 quarterfinals1 officer shot at stabbing suspect in North Long Beach1 officer shot at stabbing suspect in North Long BeachUSA Volleyball suspends beach icon Sinjin SmithUSA Volleyball suspends beach icon Sinjin SmithLong Beach rally march draws hundreds in support of Palestinians in GazaLong Beach rally march draws hundreds in support of Palestinians in GazaLong Beach celebrates opening of new Alamitos Beach concession standLong Beach celebrates opening of new Alamitos Beach concession standLong Beach confirms 1st human case of mosquito-borne St. Louis Encephalitis since 1984Long Beach confirms 1st human case of mosquito-borne St. Louis Encephalitis since 1984Long Beach Poly football has something to prove vs. Servite in CIF-SS D2 quarterfinalsLong Beach Poly football has something to prove vs. Servite in CIF-SS D2 quarterfinals  				Crime and Public Safety Motorsports |  			Major pallet fire shuts both sides of 10 Freeway in downtown LA					Firefighters from 26 companies worked this morning to extinguish the fire that started in one downtown pallet yard and spread consuming a fire engine.		SUBSCRIBER ONLYMotorsports |  			Green street markings have been around for years — do you know what they mean?		Motorsports |  			Driver charged with killing sheriff’s cadet injuring 24 in South Whittier		Motorsports |  			14 injured when Long Beach Transit bus crashes into restaurant						Local News Motorsports |  			Long Beach veteran was homeless. Then she found US Vets — and wants to bring veterans hope					U.S Army veteran Shanaide Robinson has faced many obstacles. But she still keeps a smile and shines as a beacon of hope for veterans.		Motorsports |  			More Crystal Cove cottages are about to be available — tips on how to score		Motorsports |  			Long Beach celebrates opening of new Alamitos Beach concession stand		Motorsports |  			Long Beach rally march draws hundreds in support of Palestinians in Gaza						high school football Motorsports |  			Mayfair football takes down No. 1 seed Chino advances to Division 7 semifinals					Mayfair's strong second half allowed it to take down No. 1 seed Chino in the CIF Southern Section Division 7 quarterfinals.		Motorsports |  			Warren football wins overtime thriller over Oak Hills in quarterfinals		Motorsports |  			St. Pius X-St. Matthias football dominates St. Anthony in CIF-SS quarterfinals		Motorsports |  			Press-Telegram football wrap-up: Stories scores and photos from Friday’s CIF-SS quarterfinal playoff games		Photos Motorsports |  			A chunk of the Berlin Wall displayed at Reagan Library gets cosmetic update					Why was one side of the Berlin Wall white? So East German soldiers could see someone trying to escape and shoot them		 Motorsports |  			Photos: Breeders’ Cup Day 2 at Santa Anita Park		 Motorsports |  			Hollywood Sign Day honors LA’s globally beloved promotion from 1923		 Motorsports |  			Tens of thousands take to the 110 Freeway for ArroyoFest event		 Motorsports |  			Rams collapse in fourth quarter of loss to Steelers		 Motorsports |  			Chargers’ inability to do ‘little things’ proves costly in loss to Cowboys		 Motorsports |  			Jason Yang beats defending champ to win 39th Long Beach Marathon		Show More Photos Motorsports |  			Kings can’t slow Avalanche’s top line in season opener		 Motorsports |  			Clayton Kershaw chased in 1st inning as Dodgers lose NLDS opener to Diamondbacks		 Motorsports |  			Kaiser strike begins sending tens of thousands to the picket lines		 Motorsports |  			Justin Herbert Chargers show their toughness in victory over Raiders		 Motorsports |  			Photos: Dianne Feinstein the oldest sitting U.S. Senator dies at 90						Things To Do Motorsports |  			Why that jar of canned tomatoes might not taste so good					Laura Simpson writes the Master Gardener column each week.		Motorsports |  			Why these drought-tolerant grasses can light up your winter garden		Motorsports |  			Home decor: A little bit of great beats a lot of mediocre		Motorsports |  			12 Disneyland Festival of Holidays foods ranked from best to worst						Sports Motorsports |  			Laiatu Latu UCLA football live updates vs. Arizona State					Follow along for updates before during and after the game for the latest news on...		Motorsports |  			Caleb Williams USC football live updates vs. Oregon		SUBSCRIBER ONLYMotorsports |  			Will Austin Reaves’ role ‘realignment’ for Lakers continue?		SUBSCRIBER ONLYMotorsports |  			Clippers and James Harden still trying to figure it out						Opinion Motorsports |  			Is reality finally catching up to Gov. Gavin Newsom?					In fact it seems like Newsom sinks in the polls whenever it becomes impossible to...		Motorsports |  			Hawaii takes on the rising seas around it		Motorsports |  			Los Angeles County supervisors ignore the jailed mentally ill		Motorsports |  			The many ways that California’s online age-verification law is unconstitutional						Israel-Hamas War SUBSCRIBER ONLYMotorsports |  			‘From the river to the sea’: Why these 6 words spark fury and passion over the Israel-Hamas war					“From the river to the sea” has become a battle cry with new power to...		Motorsports |  			Thousands sheltering at Gaza City’s hospitals flee as Israel-Hamas war closes in		Motorsports |  			Macron hosts Gaza aid conference urges Israel to protect civilians		Motorsports |  			Satellite photos show Israeli push this week into Gaza		 Trending NationallyWhat happens next with the burned-out blimp hangar?Elementary school custodian helps diffuse situation involving ‘distraught’ individual with stolen gunSon of Hollywood agent and producer arrested for murder after woman’s torso found in plastic bagAustralian cattleman attacked by crocodile bites back and livesWith the strike over here’s when to expect the return of your favorite TV stars and shows   SubscribeSign Up For Newsletterse-EditionBreaking NewsContact UsCorrectionsWork With UsNewspapers in EducationWorship DirectoryPress Telegram StoreAbout UsSouthern California News GroupMediaNews GroupPartnersCareersLive Traffic MapPrivacy PolicyAccessibilitySite MapMarketplaceClassifiedLegalsObituaryLB City GuidePlace an AdMedia KitsAdvertising Contact InformationReader RewardsPhoto ReprintsSponsored AccessSponsor a StudentSubscribe Now Terms of UseCookie PolicyCalifornia Notice at CollectionNotice of Financial IncentiveDo Not Sell/Share My Personal InformationArbitrationPowered by WordPress.com VIP Copyright © 2023 MediaNews Group  Close</t>
  </si>
  <si>
    <t>www.presstelegram.com</t>
  </si>
  <si>
    <t>Telegram Messenger</t>
  </si>
  <si>
    <t>18 авг. 2023 г. —</t>
  </si>
  <si>
    <t>https://www.linkedin.com/company/telegram-messenger</t>
  </si>
  <si>
    <t>Бизнес в Telegram: канал XXI века - Результат из Google Книги</t>
  </si>
  <si>
    <t>https://books.google.com/books?id=uS1YEAAAQBAJ&amp;pg=PT14&amp;lpg=PT14&amp;dq=%D1%82%D0%B5%D0%BB%D0%B5%D0%B3%D1%80%D0%B0%D0%BC&amp;source=bl&amp;ots=KxwM5UEgzN&amp;sig=ACfU3U1LiWCnOWWzptcqiYh3x84Q1xedrg&amp;hl=ru&amp;sa=X&amp;ved=2ahUKEwiHhOG3kLuCAxWCtokEHekzBQkQ6AF6BAhREAM</t>
  </si>
  <si>
    <t>George Kennan's "Long Telegram"</t>
  </si>
  <si>
    <t>https://nsarchive2.gwu.edu/coldwar/documents/episode-1/kennan.htm</t>
  </si>
  <si>
    <t>The National Security Archive   aboutdocumentsnewspublicationsFOIAresearchemploymentsearchdonatemailing listDNSAрусская страницаAttention!You have reached the National Security Archive�s legacy  site last updated in August  2017.	  All postings and publications prior to that date will be permanently available here.	  To reach the Archive�s new site click here.New PostingsAugust 8 20171953 Iran Coup: New U.S. Documents Confirm British Approached U.S. in Late 1952 About Ousting Mosaddeq            State Department Temporarily Declined in Part Because U.S. Was Still Hoping to Reach Oil Deal with Iranian Prime MinisterAugust 7 2017The Atomic Bomb and the End of World War II             Updated 7 August 2017 with two extra documents [Documents 91 and 96] on Truman and the atomic bombingsJuly 20 2017The Murrey Marder Papers at the National Security Archive             Legendary Washington Post Correspondent Faced Down Joe McCarthy Popularized the Term �Credibility Gap�July 17 2017Judge Orders Sep. 8 Deadline for Mar-a-Lago Visitor Records Release             White House Records Still at Issue in Doyle v. DHSJune 15 2017Iran 1953: State Department Finally Releases Updated Official History of Mosaddeq Coup Formerly Secret Documents from State CIA Provide New Information about Covert Operations Planning and Implementation Plus Contemporaneous AnalysesJune 8 2017Japan Plutonium Overhang Origins and Dangers Debated by U.S. Officials            Proliferation Risks of Japanese Plutonium Surpluses Troubled U.S. OfficialsJune 2 2017The White House the CIA and the Pike Committee 1975            Ford Administration Nearly Triggered Constitutional Crisis Over Congressional Access to Intelligence Community RecordsJune 1 2017How Do You Solve a Problem like (South) Korea?            U.S.-ROK Relations during the Carter Years Faltered over Troop Withdrawals Human Rights an Assassination and a CoupMay 25 2017Anatoly S. Chernyaev Diary 1977Inside the Central Committee during Brezhnev�s stagnationMay 23 2017#WeStandWithCEUThe New York Review of Books Features Full-Page Ad for National Security Archive Publications with CEU Press and ProQuestMay 18 2017Chiquita Papers Are Key Evidence in International Criminal Court FilingGroups Ask ICC to Investigate Banana Company Execs for Facilitating Crimes Against HumanityMay 11 2017Chiquita Papers Document over $800000 in Payments to Colombian GuerrillasInternal Security Reports Detail Negotiations with Subversive GroupsMay 10 2017Hungary 1956: Reviving the Debate over US (In)action during the RevolutionEisenhower�s Caution Broadly Justified Declassified Defense Department Study FindsMay 3 2017Cyber Vault Highlights40+ Primary Sources Every Cyber Student NeedsMay 2 2017Chiquita Papers: Uncertainty Fueled Staff Concerns about Payments of Guerrillas and ParamilitariesColombia Payments a �Leap of Faith�April 27 2017Trump Continues U.S. Declassified Diplomacy with ArgentinaOperation Condor Considered Expanding into United States and Europe New Records ShowApril 25 2017Agustin Edwards: A Declassified ObituaryDeclassified CIA White House Documents Reveal Collaboration between Chilean Media Mogul and Highest Level of Nixon AdministrationApril 24 2017The New Chiquita Papers: Secret Testimony and Internal Records Identify Banana Executives who Bankrolled Terror in ColombiaSEC Deposition Transcripts Detail Years of Payments to Colombian Paramilitary Guerrilla GroupsApril 14 2017Trump Hides White House Visitor LogsFalse Claims of National Security/Privacy Risk; 6 Million Obama Visitors Prove OtherwiseApril 12 2017Stopping Korea from Going Nuclear Part IICanada France U.S. Cooperated to Halt Seoul's AmbitionsApril 10 2017Trump Visitor Logs Subject to FOIA LawsuitArchive Knight Institute CREW File Doyle v. DHS in New York Federal Court More recent itemsThe National Security Archive is an independent non-governmental research institute and library located at The George Washington University in Washington D.C. The Archive collects and publishes declassified documents acquired through the Freedom of Information Act (FOIA). A tax-exempt public charity the Archive receives no U.S. government funding; its budget is supported by publication royalties and donations from foundations and individuals. On March 17 2000 Long Island University named the National Security Archive as winner of a Special George Polk Award for 1999 for "piercing self-serving veils of government secrecy" and "serving as an essential journalistic resource."National Security Archive Suite 701 Gelman Library The George Washington University 2130 H Street NW Washington D.C. 20037 Phone: 202/994-7000 Fax: 202/994-7005 nsarchiv@gwu.eduFollow Us Click here to Register for NSArchive Email UpdatesThe Latest From The UNREDACTED BlogIran-U.S. Relations project - completly updatedCyber Vault project (updates every Wednesday)Throwback Archive Postings AVAILABLE NOW"Carnegie Results: The National Security Archive"Explore declassified U.S. government documents photographs and more relating to Area 51 the Cuban Missile Crisis and more in this publication of the Carnegie Corporation of New York.Click to viewThe Able Archer 83 SourcebookGenocide Documentation ProjectDigital National Security ArchiveCIA Covert Operations: From Carter to Obama 1977-2010        Explore our newest collection at the Digital National Security Archive.FreedomInfo.org		News about freedom of information around the world.The Nuclear VaultThe U.S. Discovery of Israel's Secret Nuclear ProjectIsraeli Cover Stories about the Dimona Reactor Dismayed Top Level Officials Who Saw a "Clearly Apparent Lack of Candor."        The Torture ArchiveThe Senate Intelligence Committee Report on Torture Finally Released        Read the Top Ten Torture Documents.      Special ExhibitsThe September 11th Sourcebooks				Primary sources on the War on Terrorismрусская страница	            The National Security Archive's Russian Language PortalArt Before Power				Jenny Holzer Exhibition Showcases Archive's DocumentsThe Cuban Missile Crisis 1962				The 40th AnniversaryNixon Meets Elvis				Documents and photos from the extraordinary meetingLinksThe Parallel History Project on Cooperative Security (PHP)The Cold War International History ProjectArchive ProjectsAfghanistan/Taliban ProjectBrazil ProjectChile Documentation ProjectChina Documentation ProjectColombia ProjectCuba ProjectFreedom of Information ProjectGenocide Documentation ProjectGuatemala ProjectHuman Rights Evidence ProgramIntelligence Documentation ProjectIndonesia ProjectIran ProjectIraq War ProjectKorea Documentation ProjectMexico ProjectNuclear Documentation ProjectNunn-Lugar ProjectRussia and Former Soviet Union ProgramSouthern Cone Documentation ProjectTorture ArchiveVietnam Project   about * documents * news * publications * FOIA * research * employment * search * donate * mailing list * DNSA * русская страница * Contents of this website Copyright 1995-2017 National Security Archive. All rights reserved.Terms and conditions for use of materials found on this website.</t>
  </si>
  <si>
    <t>nsarchive2.gwu.edu</t>
  </si>
  <si>
    <t>чебурашка</t>
  </si>
  <si>
    <t>Чебурашка, 2022 - Кинопоиск</t>
  </si>
  <si>
    <t>https://www.kinopoisk.ru/film/4370148/</t>
  </si>
  <si>
    <t>Чебурашка - Википедия</t>
  </si>
  <si>
    <t>Чебура́шка — персонаж, придуманный писателем Эдуардом Успенским в 1966 году как один из главных героев книги «Крокодил Гена и его друзья» и её продолжений.</t>
  </si>
  <si>
    <t>https://ru.wikipedia.org/wiki/%D0%A7%D0%B5%D0%B1%D1%83%D1%80%D0%B0%D1%88%D0%BA%D0%B0</t>
  </si>
  <si>
    <t>Чебурашка (фильм) - Википедия</t>
  </si>
  <si>
    <t>«Чебура́шка» — российский семейный комедийный фильм 2022 года режиссёра Дмитрия Дьяченко об ушастом зверьке по имени Чебурашка. Фильм не является ...</t>
  </si>
  <si>
    <t>https://ru.wikipedia.org/wiki/%D0%A7%D0%B5%D0%B1%D1%83%D1%80%D0%B0%D1%88%D0%BA%D0%B0_(%D1%84%D0%B8%D0%BB%D1%8C%D0%BC)</t>
  </si>
  <si>
    <t>Чебурашка (фильм 2023) смотреть онлайн - Иви</t>
  </si>
  <si>
    <t>Фильм Чебурашка (2023) можно посмотреть в онлайн-кинотеатре Иви! Захватывающий фильм Чебурашка доступен в хорошем качестве для просмотра на всех платформах ...</t>
  </si>
  <si>
    <t>https://www.ivi.ru/watch/498269</t>
  </si>
  <si>
    <t>Фильм Чебурашка (Россия, 2022) смотреть онлайн - Afisha.ru</t>
  </si>
  <si>
    <t>По сюжету Чебурашка попадает в маленький городок у моря, где встречает Гену, мальчика, который не умеет говорить, странную женщину, которая хочет купить его для ...</t>
  </si>
  <si>
    <t>https://www.afisha.ru/movie/cheburashka-269634/</t>
  </si>
  <si>
    <t>Чебурашка смотреть онлайн - Окко</t>
  </si>
  <si>
    <t>Маленький ушастый зверёк по имени Чебурашка из-за сильной непогоды оказывается в небольшом приморском городке прямо во владениях Геннадия Петровича, ...</t>
  </si>
  <si>
    <t>https://okko.tv/movie/cheburashka-93168361</t>
  </si>
  <si>
    <t>Чебурашка (мультфильм, 2013) - Википедия</t>
  </si>
  <si>
    <t>Чебурашка (яп. チェブラーシカ Тебура:сика, рус. «Чебурашка») — полнометражный кукольный мультипликационный фильм режиссёра Макото Накамуры, в российском ...</t>
  </si>
  <si>
    <t>https://ru.wikipedia.org/wiki/%D0%A7%D0%B5%D0%B1%D1%83%D1%80%D0%B0%D1%88%D0%BA%D0%B0_(%D0%BC%D1%83%D0%BB%D1%8C%D1%82%D1%84%D0%B8%D0%BB%D1%8C%D0%BC,_2013)</t>
  </si>
  <si>
    <t>Чебурашка: история появления, создатели и цитаты героя</t>
  </si>
  <si>
    <t>https://www.culture.ru/s/cheburashka/</t>
  </si>
  <si>
    <t>Чебурашка, 2013 — смотреть мультфильм онлайн в ...</t>
  </si>
  <si>
    <t>Прологом служит история о появлении Чебурашки в ящике из-под апельсинов, его знакомстве с крокодилом Геной и обретении друзей. «Чебурашка и цирк» - история о ...</t>
  </si>
  <si>
    <t>https://www.kinopoisk.ru/film/839110/</t>
  </si>
  <si>
    <t>Секрет «Чебурашки»: почему фильм с Гармашем бьет ...</t>
  </si>
  <si>
    <t>25 янв. 2023 г. —</t>
  </si>
  <si>
    <t>https://www.forbes.ru/forbeslife/484124-sekret-ceburaski-pocemu-fil-m-s-garmasom-b-et-rekordy-prokata-v-rossii</t>
  </si>
  <si>
    <t>Где снимали фильм «Чебурашка». 6 мест с фото | РБК Life</t>
  </si>
  <si>
    <t>31 янв. 2023 г. —</t>
  </si>
  <si>
    <t>https://www.rbc.ru/life/news/63d89e6b9a7947514d98f34a</t>
  </si>
  <si>
    <t>Чебурашка | Союзмультфильм вики | Fandom</t>
  </si>
  <si>
    <t>Чебурашка — неведомый зверёк, который попал к людям из тропиков. Он герой серии мультфильмов «Союзмультфильма» и один из главных символов студии.</t>
  </si>
  <si>
    <t>https://soyuzmultfilm.fandom.com/ru/wiki/%D0%A7%D0%B5%D0%B1%D1%83%D1%80%D0%B0%D1%88%D0%BA%D0%B0</t>
  </si>
  <si>
    <t>Wiki Index |  | Fandom FANDOM				Fan Central								BETA								Games							Anime							Movies							TV							Video								Wikis												Explore Wikis															Community Central							 				Start a Wiki																We couldn't find an English wiki at this URL but here are related wikis in other languages																		This is the list of communities under this domain															русский									·									Союзмультфильм вики								Do you want to start the wiki under the domain?															Create it now								 							Start a Wiki													Check out fandom.com													Fandom University						 Explore properties													Fandom																								Muthead																								Fanatical											Follow Us     Overview													What is Fandom?																								About																								Careers																								Press																								Contact																								Terms of Use																								Privacy Policy																								Global Sitemap																								Local Sitemap											Community													Community Central																								Support																								Help																								Do Not Sell or Share My Personal Information											Advertise													Media Kit																								Contact											Fandom Apps				Take your favorite fandoms with you and never miss a beat.			 is a FANDOM Lifestyle Community.					View Mobile Site</t>
  </si>
  <si>
    <t>soyuzmultfilm.fandom.com</t>
  </si>
  <si>
    <t>Мультфильм Чебурашка (2013) - Иви</t>
  </si>
  <si>
    <t>https://www.ivi.ru/watch/121614</t>
  </si>
  <si>
    <t>Cheburashka - Shop our Wide Selection for 2023 - Amazon.com</t>
  </si>
  <si>
    <t>The Legendary Soviet brand of Russian Stuffed toy Cheburashka and his friend Crocodile Gena – Sojuzmultfilm ... Only 13 left in stock - order soon.</t>
  </si>
  <si>
    <t>https://www.amazon.com/cheburashka/s?k=cheburashka</t>
  </si>
  <si>
    <t>www.amazon.com</t>
  </si>
  <si>
    <t>Чебурашка - Викисловарь</t>
  </si>
  <si>
    <t>https://ru.wiktionary.org/wiki/%D0%A7%D0%B5%D0%B1%D1%83%D1%80%D0%B0%D1%88%D0%BA%D0%B0</t>
  </si>
  <si>
    <t>Смотреть «Чебурашка (2023) - Онлайн-кинотеатр PREMIER</t>
  </si>
  <si>
    <t>31 дек. 2022 г. —</t>
  </si>
  <si>
    <t>https://premier.one/show/cheburashka-2023</t>
  </si>
  <si>
    <t>Онлайн-кинотеатр PREMIER</t>
  </si>
  <si>
    <t>premier.one</t>
  </si>
  <si>
    <t>Chebi: My Fluffy Friend (2023) - IMDb</t>
  </si>
  <si>
    <t>Chebi: My Fluffy Friend: Directed by Dmitriy Dyachenko. With Sergey Garmash, Ekaterina Cherednik, Olga Kuzmina, Polina Maksimova. What if Cheburashka really ...</t>
  </si>
  <si>
    <t>https://www.imdb.com/title/tt16550628/</t>
  </si>
  <si>
    <t>Чебурашка</t>
  </si>
  <si>
    <t>Чебурашка, 2022 — описание, интересные факты</t>
  </si>
  <si>
    <t>Фильм Чебурашка (Россия, 2022) смотреть онлайн</t>
  </si>
  <si>
    <t>Чебурашка (фильм, 2022) смотреть онлайн в хорошем ...</t>
  </si>
  <si>
    <t>Чебурашка (мультфильм, 2013)</t>
  </si>
  <si>
    <t>Где снимали фильм «Чебурашка». 6 мест с фото</t>
  </si>
  <si>
    <t>Чебурашка | Союзмультфильм вики</t>
  </si>
  <si>
    <t>Мультфильм Чебурашка (2013) смотреть онлайн в ...</t>
  </si>
  <si>
    <t>Шоу Чебурашка. Купить билеты без наценки для всей семьи</t>
  </si>
  <si>
    <t>https://cheburashka.show/</t>
  </si>
  <si>
    <t xml:space="preserve"> Шоу Чебурашка. Купить билеты без наценки для всей семьи  действует   -500₽ на билеты в партер и амфитеатр. Промокод: CH500 Чебурашка      ЧебурашкаО ШОУОТЗЫВЫМЕСТОКОНТАКТЫПРАВИЛА ПОСЕЩЕНИЯдействует   -500₽ на билеты в партер и амфитеатр. Промокод: CH500 Чебурашка    О Пушкинской Карте У вас есть младший брат или сестра? Берите их с собой и устройте себе настоящий семейный выходной!Ведь шоу-мюзикл «Чебурашка» — это уникальное музыкально-цирковое представление для всей семьи! Вас ждут воздушные акробаты головокружительные трюки новые песни Сергея Жукова в исполнении звезд российских мюзиклов и самый настоящий Чебурашка на сцене. Он поет танцует летает ходит по потолку вниз головой и еще не раз удивит вас!Общие правила программы «Пушкинская карта» можно прочитать на сайте culture.ru. Билеты по «Пушкинской карте» можно приобрести на сайте cheburashka.show.На один спектакль можно приобрести не более одного билета. Убедитесь что на Вашей Пушкинской карте достаточно средств для оплаты выбранных билетов. Доплата банковской картой не предусмотрена.При возврате билета менее чем за 10 дней до спектакля на «Пушкинскую карту» из возвращаемой суммы удерживается штраф согласно Правилам возврата билетов. Билет приобретенный в рамках акций возврату не подлежит.При нарушении порядка приобретения билетов посетитель не допускается на мероприятие без возмещения понесенных расходов.Билет оплаченный «Пушкинской картой» является именным и не может передаваться третьим лицам. На входе зритель обязан показать контролеру билет и паспорт или свой профиль в приложении «Госуслуги.Культура».При посещении мероприятия при проходе в зрительный зал личность зрителя идентифицируется с помощью фотографии на его «Пушкинской карте» а также сверки фамилии и имени указанных на билете с паспортными данными. При несоответствии сведений о посетителе указанных в билете купленном по Пушкинской карте сведениям содержащимся в предъявляемом документе или при наличии исправлений в сведениях о посетителе указанных в билете купленном по Пушкинской карте посетитель не допускается в зрительный зал.    УШАСТЫЕЕЛКИ Новые приключения любимого героя!На сцене с 16 декабря купить билетДля посещения шоу входной билет в парк развлечений «Остров Мечты» не требуется   Чебурашка теперь не только в кино – любимый пушистик вышел на большую сцену и приводит в восторг зрителей Уникальные спецэффекты и конечно захватывающий сюжет по мотивам успешного фильма "На сцене мы придумали такие эффект﻿ы которые в кино и не снились даже" — прокомментировала режиссер-постановщик шоу Нина Чусова.  Масштабные декорации Масштаб шоу впечатляет: сложные многоуровневые декорации сменяют друг друга в такт сюжету. На фоне сцены огромные экраны повсюду апельсины – их более десяти тонн! Яркие танцы Невероятные трюки В постановке задействованы чемпионы мира и абсолютные чемпионы Европы по акробатике артисты Cirque du Soleil и Todes звезды проекта «Танцы на ТНТ» Постановщик шоу цирковой режиссер солист Cirque du Soleil автор уникальных трюков вошедших в энциклопедии циркового искусства Андрей Кольцов   Песни каждая из которых имеет все шансы стать хитом – ведь их написал один из главных авторов попмузыки страны Сергей Жуков! купить билет  Чебурашка возвращается с удивительными приключениями! Настоящая буря и град из апельсинов захватывающая коррида жаркая саванна с животными и большая шоколадная фабрика с самым вкусным на свете шоколадом  купить билетДушевная история для всей семьи Продолжительность спектакля:1 час 30 минут с антрактом   Билет на шоу «Чебурашка» станет прекрасным подарком на день рождения или любой другой праздник Больших и маленьких зрителей ждет продолжение истории маленького пушистого героя. Вместе с новыми друзьями Чебурашки зрителям предстоит противостоять неприятелям и сорвать коварный план вреднющей Шапокляк которая готовит… шапоклад превращающий детей в злых и непослушных Грандиозный спектакль с добрыми песнями искрометным юмором и захватывающим сюжетом — это результат вдохновенной работы специалистов высокого уровня. Представление со спецэффектами анимацией восхитительными акробатическими трюками и цирковыми номерами объединит несколько поколений зрителей Забавные шалости главного героя и его друзей подарят всем зрителям незабываемые эмоции. Дети будут в восторге от интерактивов а взрослые вспомнят свое детство и с улыбкой на лице насладятся яркими номерами и остроумными диалогами персонажей купить билетНезабываемые эмоции            Отзывы   Маша ШурочкинаДвукратная чемпионка по синхронному плаванию«Замечательное шоу очень теплое. В какой-то момент даже прослезилась. Моим двоюродным братьям конечно же понравилось. И самое важное - взрослым тоже все это очень близко сердцу. Хочу поблагодарить авторов мюзикла за этот прекрасный праздник за то что это напомнило о каких-то важных вещах и конечно настроило на позитивную волну. Сегодня дождь слякоть а сюда пришли и настроение поднялось. Это чудесное шоу!»Наталья ПодольскаяПевица«Потрясающее шоу мы все под большим впечатлением. Я как мама и как артистка очень рада что на нашей сцене стали появляться такие качественные и классные проекты для семейного зрителя: с декорациями которые передвигаются со спецэффектами с экранами. А какие потрясающие артисты! В общем-то давно сюда собирались и очень рада что наконец посетили шоу созданное по мотивам фильма «Чебурашка». У главного героя такой трогательный номер – он поет песню и перед глазами зрителей кадры из фильма»Женя МалаховаПевица «На самом деле полный восторг! Восторг детства – увидеть Чебурашку своими глазами. И знаете как чудеса существуют так мечты сбываются Чебурашка - он настоящий я проверяла» Зарина МенглиАктриса театра и кино чемпионка Европы по художественной гимнастике«Мы с сыночком в полном восторге. Я поздравляю от души всех создателей всех кто делал эту постановки прекрасных артистов которые выступают на сцене. Как же они классно поют! Очень доброе шоу. После просмотра у нас прекрасное настроение хочется летать прыгать бегать и делать что-то полезное нести добро в этот мир. Спасибо огромное! Я надеюсь что будет появляться побольше таких добрых замечательных шоу. Мы в восторге!»Светлана РомашинаСемикратная олимпийская чемпионка по синхронному плаванию «Это действительно семейное шоу на которое хочется приходить снова и снова»Александр и Алеся ЭнбертФигурист (Александр). Модель и блогер (Алеся). «Сегодня сбылась наша мечта – мы познакомились с Чебурашкой обняли его. Хочу чтобы такую мечту исполнил каждый ребенок! Наша Кристабель еще очень юный зритель но с большим удовольствием посмотрела все два отделения и ей было интересно. Здесь такая невероятная атмосфера праздника. Мы зарядились апельсиновым настроением!»Дмитрий ИсхаковИзвестный фотограф «Под большим впечатлением от мюзикла - совершенно очаровательный поставлен на хорошем современном уровне. Меня впечатлили акробатические номера а Миюша в восторге от робота Чебуратора. Классные костюмы музыкальные номера декорации. Все на высшем уровне! Очень хорошее послевкусие»Елена КулецкаяМодель и телеведущая«Это действительно шоу для всей семьи где интересно и детям и взрослым. Очень крутые костюмы прекрасные спецэффекты а какой интересный интерактив с залом! Даже не знаю сколько по времени длится шоу но время пролетело на одном дыхании. Мы с удовольствием еще раз вернемся»         купить билет   О ПЛОЩАДКЕ Новая современная площадкав крупнейшем в Европе парке развлечений 3600 Шаговая доступностьот станции метро «Технопарк» Доступность для лицс ограниченными возможностями мест – просторный зал г. Москва Проспект Андропова1 в 5 минутах от м. ТЕХНОПАРК попасть в Концертный зал "Москва"можно через главный входпарка развлечений "Остров Мечты"далее по указателям Приключения всенародного любимца на сцене концертного зала «Москва» парка развлечений «Остров Мечты» Бесплатная парковка   Правила посещения • Для посещения шоу входной билет в парк развлечений «Остров Мечты» не требуется.• Билет действителен на одно лицо. Дети до 3-х лет (не включительно) проходят по одному билету со взрослым при условии что ребенок занимает в зрительном зале одно место с родителем. Администрация имеет право на входе потребовать документ удостоверяющий возраст ребенка.• Допуск зрителей в концертный зал начинается за 1 час до времени начала мероприятия указанного на билете.• Для прохода на мероприятие необходимо предъявить билетеру на входе электронный билет с уникальным штрих-кодом.• Каждый штрихкод размещенный на билете индивидуален. Не копируйте не сканируйте не фотографируйте и не выкладывайте фото/скан Вашего билета в сети Интернет. Помните что мошенники могут воспользоваться Вашим штрихкодом! Риск непосещения в связи с копированием другим лицом штрихкода размещенного на билете лежит на посетителе.• Занимать место в зрительном зале согласно билету.• Сохранять билет до конца мероприятия и предъявлять по требованию администратора концертного зала.• После третьего звонка зритель вправе проходить в зрительный зал и занимать место по согласованию с администратором зала;• Средства мобильный связи и охранной сигнализации на время мероприятия необходимо отключить или перевести в беззвучный режим;• После окончания мероприятия гардероб работает в течение 45 минут;• В случае утери номерка возместить его стоимость в размере 1000 рублей;• В случае утери вещей необходимо связаться с администрацией по телефону: +7(495)664-50-12. Забытые вещи хранятся 7 дней.• Купленный билет обмену не подлежит.• Правила приобретения билета по Пушкинской Карте можно прочитать ЗДЕСЬ• А правила возврата билета — ЗДЕСЬ   В концертном зале неприемлемо • курить; • проходить с животными; • входить в верхней одежде или проносить ее в зрительный зал; • проносить крупногабаритные предметы; • входить с напитками и едой; • брать в руки открывать сдвигать с места подозрительные предметы. В случае их обнаружения необходимо немедленно сообщить об этом сотруднику охраны или администрации;• входить в состоянии алкогольного наркотического или токсического опьянения а также в грязной и пачкающей одежде; • проносить любые виды оружия (огнестрельное холодное газовое и т.п.) боеприпасов специальных средств (газовые баллончики электрошоковые устройства искровые разрядники и т.п.) легковоспламеняющихся веществ и пиротехники; ВНИМАНИЕ! На мероприятии может осуществляться фото- и видеосъемка. Обнародование и дальнейшее использование изображения зрителя правомерно на основании пп. 2 п. 1 ст. 152.1. Гражданского кодекса Российской Федерации за исключение случаев когда такое изображение является основным объектом использования. Зрители нарушающие вышеуказанные правила обязаны покинуть концертный зал при этом компенсация стоимости билета зрителю не производится.   Партнеры  Информационные партнеры Контакты Наталья Локтева Генеральный продюсерlokteva@nashe.show Корпоративные и групповые продажи info@nashe.show СМИ и партнеры pr@nashe.show   © Yellow black and white СОЮЗМУЛЬТФИЛЬМКопирование материалов сайта запрещено.     </t>
  </si>
  <si>
    <t>cheburashka.show</t>
  </si>
  <si>
    <t>Cheburashka</t>
  </si>
  <si>
    <t>The Legendary Soviet brand of Russian Stuffed toy Cheburashka and his friend Crocodile Gena – Sojuzmultfilm ... Only 14 left in stock - order soon.</t>
  </si>
  <si>
    <t>https://www.amazon.com/Cheburashka/s?k=Cheburashka</t>
  </si>
  <si>
    <t>Смотреть «Чебурашка (2023)» в хорошем качестве ...</t>
  </si>
  <si>
    <t>электронный дневник</t>
  </si>
  <si>
    <t>Вход - Электронный Дневник - Портал ... - Санкт ...</t>
  </si>
  <si>
    <t>Ведение Электронного дневника и электронного журнала является государственной услугой Санкт-Петербурга, обеспечивающей оперативное, надежное и безопасное ...</t>
  </si>
  <si>
    <t>https://dnevnik2.petersburgedu.ru/</t>
  </si>
  <si>
    <t>Электронный дневник</t>
  </si>
  <si>
    <t>Электронные дневники и журналы. Уважаемые участники дорожного движения! Помните, что даже на пешеходном переходе может быть опасно! Переходите через дорогу ...</t>
  </si>
  <si>
    <t>https://schools48.ru/</t>
  </si>
  <si>
    <t>Электронные дневники и журналы. Внимание родителей! Для получения учётной записи для доступа родителей и учеников в систему "Электронная школа" необходимо ...</t>
  </si>
  <si>
    <t>https://e-school.ryazangov.ru/</t>
  </si>
  <si>
    <t>Вы получаете государственные (муниципальные) услуги в сфере образования Волгоградской области в электронной форме. Для входа необходима подтвержденная ...</t>
  </si>
  <si>
    <t>Образование - Электронный дневник</t>
  </si>
  <si>
    <t>https://school.vip.edu35.ru/auth/login-page</t>
  </si>
  <si>
    <t>Личный кабинет граждан Кемеровской области, предоставляющий услуги в сфере образования: подача заявления в десткий сад, школу, просмотр электронного дневника,</t>
  </si>
  <si>
    <t>Электронный дневник - Республика Коми</t>
  </si>
  <si>
    <t>https://giseo.rkomi.ru/</t>
  </si>
  <si>
    <t>Электронный дневник - Псков - Псковский региональный ...</t>
  </si>
  <si>
    <t>http://one.pskovedu.ru/</t>
  </si>
  <si>
    <t>Электронное образование Республики Татарстан</t>
  </si>
  <si>
    <t>Популярные электронные услуги. Записаться в школу Записаться в детский сад Записаться в кружок или секцию Больше услуг на uslugi.tatarstan.ru. © 2009 – 2023 ...</t>
  </si>
  <si>
    <t>https://edu.tatar.ru/</t>
  </si>
  <si>
    <t>Электронный журнал - ЦОП ХМАО - Admhmao</t>
  </si>
  <si>
    <t>https://cop.admhmao.ru/elk</t>
  </si>
  <si>
    <t>ЦОП ХМАО — ЮГРЫ — Электронный журнал — ЦОП ХМАО – Югры — Цифровая платформаЦОП ХМАО — ЮГРЫЦифровая образовательная платформа Ханты⁠-⁠Мансийского автономного округа — Югры Служебный вход   ЦОП ХМАО — ЮГРЫЦифровая образовательная платформа Ханты⁠-⁠Мансийского автономного округа — ЮгрыСайт Департамент образования и науки Ханты⁠-⁠Мансийского автономного округа — Югры    Загрузка...© 2017–2023            Цифровая образовательная платформа Ханты-Мансийского автономного округа — Югры        8 800 100-58-67Служба поддержкиЗагрузка...</t>
  </si>
  <si>
    <t>cop.admhmao.ru</t>
  </si>
  <si>
    <t>Дневник · Поддержка · Сурская земля · Личный кабинет · Электронные услуги · Электронный дневник · Органы власти · Оплата · Новости · Поддержка · Сурская земля ...</t>
  </si>
  <si>
    <t>https://gosuslugi.pnzreg.ru/lk/</t>
  </si>
  <si>
    <t>Обращаем ваше внимание на то, что при регистрации электронные почты родителя и ребёнка должны быть разными. Код приглашения действует до назначения ...</t>
  </si>
  <si>
    <t>https://schooln169.edusite.ru/p168aa1.html</t>
  </si>
  <si>
    <t>Электронный дневник - Образование Приморского края</t>
  </si>
  <si>
    <t>Образование Приморского края. Электронный дневник.</t>
  </si>
  <si>
    <t>http://edupk.ru/dnevnik/</t>
  </si>
  <si>
    <t>образования Калужской области в электронной форме. Сервисы для дистанционного обучения. Обращение Министра Образования Александра Сергеевича Аникеева к ...</t>
  </si>
  <si>
    <t>образования Сахалинской области в электронной форме. Для входа необходима подтвержденная учетная запись госуслуг. Ее можно оформить в ближайшем центре ...</t>
  </si>
  <si>
    <t>Вход - Электронный Дневник - Портал "Петербургское ...</t>
  </si>
  <si>
    <t>Войти - dnevnik - Дневник.ру</t>
  </si>
  <si>
    <t>https://login.dnevnik.ru/login</t>
  </si>
  <si>
    <t>Дневник.ру | Войти в Дневник.руО компанииВозможностиПоддержка    Войти    Подключить ООВойти в Дневник.руНе зарегистрированы в системе?Логин        Укажите логин.    Пароль        Укажите пароль.    Введите символы с картинки                         Войти через                        Инструкция для входаВойти через ДневникЗабыли логин или пароль? Восстановите доступ.Забыли логин или пароль?Выберите свой регионВыберите свой регионАлтайский крайАмурская областьАрхангельская областьАстраханская областьБелгородская областьБрянская областьВладимирская областьВолгоградская областьВологодская областьВоронежская областьДонецкая Народная РеспубликаЕврейская автономная областьЗабайкальский крайЗапорожская областьИвановская областьИркутская областьКабардино-Балкарская РеспубликаКалининградская областьКалужская областьКамчатский крайКарачаево-Черкесская РеспубликаКемеровская областьКировская областьКостромская областьКраснодарский крайКрасноярский крайКурганская областьКурская областьЛенинградская областьЛипецкая областьЛуганская Народная РеспубликаМагаданская областьМоскваМосковская областьМурманская областьНенецкий автономный округНижегородская областьНовгородская областьНовосибирская областьОмская областьОренбургская областьОрловская областьПензенская областьПермский крайПриморский крайПсковская областьРеспублика АдыгеяРеспублика АлтайРеспублика БашкортостанРеспублика БурятияРеспублика ДагестанРеспублика ИнгушетияРеспублика КалмыкияРеспублика КарелияРеспублика КомиРеспублика КрымРеспублика Марий ЭлРеспублика МордовияРеспублика Саха (Якутия)Республика Северная Осетия - АланияРеспублика ТатарстанРеспублика ТываРеспублика ХакасияРостовская областьРязанская областьСамарская областьСанкт-ПетербургСаратовская областьСахалинская областьСвердловская областьСевастопольСмоленская областьСтавропольский крайТамбовская областьТверская областьТомская областьТульская областьТюменская областьУдмуртская РеспубликаУльяновская областьХабаровский крайХанты-Мансийский автономный округ - ЮграХерсонская областьЧелябинская областьЧеченская РеспубликаЧувашская Республика - ЧувашияЧукотский автономный округЯмало-Ненецкий автономный округЯрославская областьВыберите свой регионАлтайский крайАмурская областьАрхангельская областьАстраханская областьБелгородская областьБрянская областьВладимирская областьВолгоградская областьВологодская областьВоронежская областьДонецкая Народная РеспубликаЕврейская автономная областьЗабайкальский крайЗапорожская областьИвановская областьИркутская областьКабардино-Балкарская РеспубликаКалининградская областьКалужская областьКамчатский крайКарачаево-Черкесская РеспубликаКемеровская областьКировская областьКостромская областьКраснодарский крайКрасноярский крайКурганская областьКурская областьЛенинградская областьЛипецкая областьЛуганская Народная РеспубликаМагаданская областьМоскваМосковская областьМурманская областьНенецкий автономный округНижегородская областьНовгородская областьНовосибирская областьОмская областьОренбургская областьОрловская областьПензенская областьПермский крайПриморский крайПсковская областьРеспублика АдыгеяРеспублика АлтайРеспублика БашкортостанРеспублика БурятияРеспублика ДагестанРеспублика ИнгушетияРеспублика КалмыкияРеспублика КарелияРеспублика КомиРеспублика КрымРеспублика Марий ЭлРеспублика МордовияРеспублика Саха (Якутия)Республика Северная Осетия - АланияРеспублика ТатарстанРеспублика ТываРеспублика ХакасияРостовская областьРязанская областьСамарская областьСанкт-ПетербургСаратовская областьСахалинская областьСвердловская областьСевастопольСмоленская областьСтавропольский крайТамбовская областьТверская областьТомская областьТульская областьТюменская областьУдмуртская РеспубликаУльяновская областьХабаровский крайХанты-Мансийский автономный округ - ЮграХерсонская областьЧелябинская областьЧеченская РеспубликаЧувашская Республика - ЧувашияЧукотский автономный округЯмало-Ненецкий автономный округЯрославская область</t>
  </si>
  <si>
    <t>login.dnevnik.ru</t>
  </si>
  <si>
    <t>ELSCHOOL - это единый бесплатный проект электронной школы, который позволяет: вести электронный журнал; просматривать электронный дневник ...</t>
  </si>
  <si>
    <t>https://elschool.ru/</t>
  </si>
  <si>
    <t>Электронный дневник школьника (ЭЖД) - Москва</t>
  </si>
  <si>
    <t>Электронный дневник школьника позволяет контролировать успеваемость в школе, отслеживать выполнение школьной программы, а также обеспечивать своевременное ...</t>
  </si>
  <si>
    <t>https://www.mos.ru/pgu2/landing/target/7700000010000187206/</t>
  </si>
  <si>
    <t>Электронные дневники и журналы · 1. Выберите формат и курс обучения. · 2. Дождитесь получения ссылки на вступительное испытание, она придёт в личный кабинет ...</t>
  </si>
  <si>
    <t>https://sh-open.ris61edu.ru/</t>
  </si>
  <si>
    <t>Имя пользователяПарольПоказатьВойтиЗабыли пароль?Войти через портал госуслугиВойти Уважаемые Учителя!  Здесь Вы можете скачать мобильное приложение для учителей «Мой журнал» для платформы Android.Техническая поддержка    Телефон (пн-чт 8:00-17:00; пт. 8:00-16:00; перерыв 12:00-13:00): 88001009961Электронная почта (рекомендованный способ обращения): support@ris61edu.ruСайт организационной и технической поддержки: support.ris61edu.ruЭлектронные дневники и журналыСсылка на руководство по работе с обновленным дизайном:Руководство пользователяСсылки на материалы по персональным данным предоставлены Роскомнадзором для ознакомления:Портал "Персональные данные"Персональные данные – новая нефтьО проекте "Код будущего"С 26 июля 2023 г. в Федеральной государственной информационной системе «Единый портал государственных и муниципальных услуг (функций)» (далее – Госуслуги) стартовал прием заявлений на участие в проекте «Код будущего» по обучению современным языкам программирования в 2023-2024 учебном году.Принять участие в проекте могут обучающиеся 8-11 классов общеобразовательных организаций и обучающиеся по программам среднего профессионального образования.Записаться можно на один из курсов ведущих ИТ-компаний.В результате освоения курса будут получены знания таких языков программирования как Python Java C++ C# 1С Lua SQL JavaScript и других языков.Обучение проходит как в онлайн так и в офлайн формате.Как подать заявку на участие в программе:1. Выберите формат и курс обучения. Заявление может подать школьник/студент колледжа его родитель или законный представитель.2. Дождитесь получения ссылки на вступительное испытание она придёт в личный кабинет после проверки заявления.3. Пройдите вступительное испытание в течение 10 рабочих дней с момента получения ссылки.4. Заключите договор с образовательной организацией на бесплатное обучение.Успешно сдав итоговые экзамены прошедшие обучение получат сертификат об окончании курса. Подать заявление на обучение можно до 30 сентября 2023 года.</t>
  </si>
  <si>
    <t>sh-open.ris61edu.ru</t>
  </si>
  <si>
    <t>30 окт. 2023 г. —</t>
  </si>
  <si>
    <t>https://dnevnik-lms.ru/</t>
  </si>
  <si>
    <t>Электронный дневникНОВОСТИКОНТАКТЫВЕБИНАРЫБИБЛИОТЕКА         8 (495) 780-76-71регион*населённый пункт*ФИО заявителя*название учебного заведения*должность*ФИО директора*телефон для связи*телефон приёмной*электронная почта*Загрузить документыкакие документы нужны?Обязательны к загрузке:									1. Лицензии									2. Устав учебного заведенияВы можете загрузить и другие документы характеризующие ваше учебное заведение.						Вы загрузили файлы:					комментарииОтправить заявкурегионнаселённый пунктвведите название или номер школыфамилияимяотчествоэлектронная почтаЗарегистрироватьсяВсе поля обязательны для заполненияПользователь по указанной комбинации полей не найден!					На электронный адрес который Вы указали было отправлено письмо с данными для входа.						container	ВойтиУчебное заведениеЛогинПарольВойтиЗавести дневник 				Подключить школу				 30-10-2023				В Ивановской области завершен ремонт 9 спортивных залов			 18-10-2023				В Омске на базе двух школ открылись центры цифрового образования «IT-куб»			 17-10-2023				Для школьников Москвы пройдет фестиваль детско-юношеского туризма			 16-10-2023				В Архангельской области отремонтированы 7 спортзалов малых населенных пунктов			 13-10-2023				Педагоги центра «IT-куб. Иркутск» обучают основам кибергигиены школьников из Кировска ЛНР			Статистика подключений:Учащимся и родителямРасписание занятий на Вашем мобильном устройствеТемы и типы занятийДомашние заданияРодителям.В последней версии LMS Школа доступно видео урока в режиме online из класса.Родители теперь могут наблюдать за своими детьми из электронного дневника.IP камера в предметном кабинете.Руководителям и администрации образовательных учреждений.В программе:- опыт автоматизации образовательных учреждений России- исключение двойного ввода информации в электронный дневник- электронный документооборот в образовательных учрежденияхДневник-LMS (LMS Школа)Решение для учебных заведений созданное завучамипедагогами классными руководителями методистамипсихологами родителями и учениками.Дневник для iPad и iPhoneРасписание занятий оценки комментарии итоговаяуспеваемость меню столовой электроннаябиблиотека видеоуроки и пр.Будь современным!Пользуйся электронным дневникомОбщайся с одноклассниками друзьями и родителямиУважаемые родители и учащиеся образовательных организаций Министерства обороны Российской Федерации! Сообщаем вам что в связи с повышенной нагрузкой электронный дневник переехал на новый более мощный сервер по адресу dnevnik.edumil.ru.  Если вы не нашли своей образовательной организации в списке на авторизацию то попробуйте поискать ее на новом сайте dnevnik.edumil.ru  Что такое Дневник-LMSДневник-LMS - это интернет-среда для взаимодействия учителей администраторов школ родителей и учеников!Помимо информирования об успеваемости посещаемости домашних заданиях Дневник-LMS включает в себя публичные и специализированные библиотеки электронных материалов сервисы для общения  специальные и дополнительные сервисы возможности для создания своего контента - текстов фотографий мультимедиа документов. 			В Ивановской области завершен ремонт 9 спортивных залов 		30.10.2023 17:40	Обновленные спортивные пространства уже открыты для школьников			Подробнее... 12Ноябрь 2023ПнВтСрЧтПтСбВс  123456789101112131415161718192021222324252627282930   Партнеры проекта:Министерство обороны РФМинистерство образования РФНОВОСТИКОНТАКТЫВЕБИНАРЫБИБЛИОТЕКА© 2023 ООО Нинтегра; 107076 Москва Преображенская пл. д. 7а стр. 1 офис 217.   Телефон: 8 (495) 780-76-718 (495) 780-76-71</t>
  </si>
  <si>
    <t>dnevnik-lms.ru</t>
  </si>
  <si>
    <t>Электронный дневник - Электронная школа</t>
  </si>
  <si>
    <t>https://school.nso.ru/authorize</t>
  </si>
  <si>
    <t>Электронный дневник и журнал</t>
  </si>
  <si>
    <t>«Электронный дневник и журнал» — сервис, позволяющий участникам образовательного процесса получать информацию об учебных расписаниях, текущих и итоговых ...</t>
  </si>
  <si>
    <t>https://ru.wikipedia.org/wiki/%D0%AD%D0%BB%D0%B5%D0%BA%D1%82%D1%80%D0%BE%D0%BD%D0%BD%D1%8B%D0%B9_%D0%B4%D0%BD%D0%B5%D0%B2%D0%BD%D0%B8%D0%BA_%D0%B8_%D0%B6%D1%83%D1%80%D0%BD%D0%B0%D0%BB</t>
  </si>
  <si>
    <t>АИС образование - Дневник</t>
  </si>
  <si>
    <t>Авторизация. Логин. Пароль. Войти Войти через Госуслуги · Что такое электронный дневник и как им пользоваться. Госуслуги. Есть вопрос о работе электронного ...</t>
  </si>
  <si>
    <t>https://dnevnik.egov66.ru/</t>
  </si>
  <si>
    <t>АИС образование - Дневник      Ваш браузер должен поддерживать javascript для работы с ресурсом.</t>
  </si>
  <si>
    <t>dnevnik.egov66.ru</t>
  </si>
  <si>
    <t>Электронный журнал - Сетевой Город. Образование</t>
  </si>
  <si>
    <t>Электронная школа</t>
  </si>
  <si>
    <t>https://e-school.obr.lenreg.ru/</t>
  </si>
  <si>
    <t>﻿Электронная школа</t>
  </si>
  <si>
    <t>e-school.obr.lenreg.ru</t>
  </si>
  <si>
    <t>Электронный дневник - Вход в систему</t>
  </si>
  <si>
    <t>https://school.72to.ru/</t>
  </si>
  <si>
    <t>Электронный дневник и журнал: информация об услуге</t>
  </si>
  <si>
    <t>Электронный дневник и журнал: способы подачи заявки, порядок оплаты, сроки оказания услуги.</t>
  </si>
  <si>
    <t>http://www.gosuslugi.ru/30685/1/info</t>
  </si>
  <si>
    <t>«Сетевой Город. Образование» | Электронный дневник в ...</t>
  </si>
  <si>
    <t>https://sgo1.edu71.ru/</t>
  </si>
  <si>
    <t>Электронный дневник школьника: как ...</t>
  </si>
  <si>
    <t>29 сент. 2023 г. —</t>
  </si>
  <si>
    <t>https://xn--90aivcdt6dxbc.xn--p1ai/articles/useful/elektronnyy-dnevnik-shkolnika-kak-zaregistrirovatsya-i-polzovatsya/</t>
  </si>
  <si>
    <t>Объясняем.рф — официальный информационный портал Объясняем РФ   Экономика и финансыСоциальная защитаТранспорт и туризмЗдравоохранениеОбразованиеИнтернет мобильная связьНепродовольственные товарыКультураСпортПродовольственные товарыНовые регионы Служба по контрактуСлужба по мобилизации (призыв по мобилизации завершен)Служба в добровольческих формированияхСлужба по призывуГосударственный фонд поддержки участников СВО «Защитники Отечества»Общие вопросы ОбщиеСоциальныеНалогиФинансыРегулированиеВоеннослужащим   Получение гражданства и основных документов Банковские услуги и юридическая помощьМатериальная и социальная помощьЖильеМедицинская помощьПредпринимательствоТрудоустройствоОбразование (детсады школы колледжи вузы)Полезные контакты и другие услуги Если ребенка травят в Сети11 ноябряВ День борьбы с кибербуллингом рассказываем что можно сделать если вашего ребёнка травят в интернете или он сам обижает других Подробнее Пособия при рождении ребенка9 ноябряРассказываем о вариантах получения финансовой поддержки от государства в связи с появлением детей Подробнее Как получить медаль в школе?6 ноябряУчитесь в 11-м классе и идёте на медаль? Самое время подтянуть предметы. А если быть круглым отличником не получается в этом году можно претендовать на серебро Подробнее Выплаты на четвертого ребенка5 ноябряРассказываем о вариантах финансовой помощи от государства для многодетных семей Подробнее Берем отпуск за свой счет2 ноябряРассказываем по каким причинам можно отпроситься с работы на пару дней без сохранения заработной платы Подробнее «Арктическая ипотека»2 ноябряОбъясняем кто где и как может приобрести жилье с льготной ставкой Подробнее Вопрос — ответИнтернет мобильная связь | ИнтернетКак помочь ребенку справиться с травлей в интернете?Рассказываем как грамотно противостоять кибербуллингу11 ноября 2023Социальная защита | Социальные выплатыКакие пособия положены при рождении ребенка?Рассказываем о вариантах получения финансовой поддержки от государства в связи с появлением детей9 ноября 2023Образование | Организация образовательного процессаКак получить медаль за успехи в школе?При награждении учитывают не только оценки в аттестате но и результаты ЕГЭ6 ноября 2023Социальная защита | Социальные выплатыПоложено ли матери-одиночке единое пособие если она уже получает пенсию по уходу за ребенком-инвалидом?Рассказываем об условиях оформления выплаты22 октября 2023Социальная защита | Другие меры поддержкиКак использовать сертификат на покупку средств реабилитации?Товар можно заказать через интернет или получить в обычном магазине17 октября 2023Социальная защита | Другие меры поддержкиКак женщине на Крайнем Севере выйти на пенсию досрочно? Рассказываем при каких условиях можно уйти на заслуженный отдых раньше установленного срока14 октября 2023БизнесуРеструктуризация кредитов для крупного бизнесаНоваяБизнесуПоддержка инвестпроектов в Калининградской областиНоваяБизнесуУпрощение обжалования проверок во время мораторияНоваяБизнесуСокращены сроки заключения специальных инвестиционных контрактовОбновленаСистемныеПоддержка аэропортов в южных и центральных регионахОбновленаСистемныеУпрощение правил регистрации медизделийОбновленаБизнесуЛьготные займы промпредприятиямОбновленаСистемныеЗащита внутреннего рынка продовольствияОбновленаДля приема заявок на переобучение от ветеранов запустили специальную платформу11 ноября 2023Семь новых учебных центров «Воин» планируют открыть в регионах в следующем году11 ноября 2023Самарская область станет 21-м регионом где тестируют беспилотники11 ноября 2023Почти 23 млрд рублей выделены на денежные компенсации сотрудникам МВД11 ноября 2023Диспансеризацию и профосмотры в этом году прошли более 68 млн россиян11 ноября 2023В новых регионах будут созданы 28 физкультурных комплексов открытого типа11 ноября 2023С последними достижениями отечественной медицины можно ознакомиться на выставке-форуме «Россия»11 ноября 2023Региональный штаб студенческих отрядов появится в Херсонской области в 2024 году11 ноября 2023Культурный форум в Петербурге объединит 70 стран10 ноября 2023Полезные материалы                    Сделай правильный ход: какие секреты лучших шахматистов могут пригодиться в жизни                                    Утилизировали автомобиль: как восстановить документы                                    Осторожно дети! Как перевозить в автомобиле маленьких пассажиров?                                    ОГРНИП: что это такое как его получить и где посмотреть                                    Как узнать остаток маткапитала                                    Как грамотно взять кредит                                    От колбасы до авиамоторов: как возрождается и набирает мощь промышленность Луганщины                                    ВВП: зачем он нужен и как его рассчитывают                    Перейти в раздел    Официальный интернет-ресурс для информирования о социально-экономической ситуации в России.                © АНО «Национальные приоритеты» 2022-2023                                Политика конфиденциальности                                    Пользовательское соглашение</t>
  </si>
  <si>
    <t>xn--90aivcdt6dxbc.xn--p1ai</t>
  </si>
  <si>
    <t>https://schools.by/m/</t>
  </si>
  <si>
    <t>ютуб</t>
  </si>
  <si>
    <t>https://www.youtube.com/?hl=ru&amp;gl=RU</t>
  </si>
  <si>
    <t>YouTube Russia</t>
  </si>
  <si>
    <t>На официальном канале YouTube Russia мы публикуем анонсы проектов, плейлисты от наших партнеров, а также живые трансляции крупных международных музыкальных ...</t>
  </si>
  <si>
    <t>https://www.youtube.com/user/youtuberussia</t>
  </si>
  <si>
    <t>Приложения в Google Play – YouTube</t>
  </si>
  <si>
    <t>Установите официальное приложение YouTube для Android. Вы сможете смотреть видео, о которых говорят во всем мире, загружать свои ролики, подписываться на ...</t>
  </si>
  <si>
    <t>https://play.google.com/store/apps/details?id=com.google.android.youtube&amp;hl=ru&amp;gl=US</t>
  </si>
  <si>
    <t>YouTube - App Store</t>
  </si>
  <si>
    <t>Установите официальное приложение YouTube для устройств iOS. Вы сможете смотреть видео,. о которых говорят во всем мире, загружать свои ролики, ...</t>
  </si>
  <si>
    <t>https://apps.apple.com/ru/app/youtube/id544007664</t>
  </si>
  <si>
    <t>Правила сообщества YouTube - Cправка</t>
  </si>
  <si>
    <t>На YouTube запрещены дискриминационные высказывания, эксплуататорское поведение, преследования и сцены насилия, а также материалы, которые пропагандируют ...</t>
  </si>
  <si>
    <t>https://support.google.com/youtube/answer/9288567?hl=ru</t>
  </si>
  <si>
    <t>Cправка - YouTube</t>
  </si>
  <si>
    <t>Официальный справочный центр YouTube, где можно найти советы и руководства по использованию продукта, а также ответы на часто задаваемые вопросы.</t>
  </si>
  <si>
    <t>https://support.google.com/youtube/?hl=ru</t>
  </si>
  <si>
    <t>YouTube Детям</t>
  </si>
  <si>
    <t>Сервис "YouTube Детям" был специально создан так, чтобы юным зрителям было интересно на YouTube, а родители могли быть уверены, что их малышам доступны ...</t>
  </si>
  <si>
    <t>https://www.youtubekids.com/?hl=ru</t>
  </si>
  <si>
    <t>YouTube KidsTo use YouTube Kids please get a parent to update your browser.</t>
  </si>
  <si>
    <t>www.youtubekids.com</t>
  </si>
  <si>
    <t>Депутат Горелкин предложил операторам отменить ...</t>
  </si>
  <si>
    <t>https://www.iphones.ru/iNotes/deputat-gosdumy-predlozhil-operatoram-ubrat-bezlimitnyy-dostup-k-youtube-11-10-2023</t>
  </si>
  <si>
    <t xml:space="preserve">  iPhones.ru —  Новости высоких технологий обзоры смартфонов презентации Apple← Продать iPhone дорого 💰 ← Продать iPhone 💰Мы в Telegram﻿iPhones.ruios 17ios 16iPhone 15iPhone 15 PlusiPhone 15 ProiPhone 15 Pro MaxiOS 15ОбзорыСтатьиНовостиАксессуарыТусовкаКомпанииСоветыРедакцияРекламаПользовательское соглашение Добавить пост19.39Южнокорейские компании заняли 483% рынка батарей для электромобилей с января по сентябрь 2023 года. LG Energy Solutions производитель аккумуляторов а китайская BYD крупный производитель электромобилей в мире.                     13.44iFixit разобрали MacBook Pro M3 и объяснили почему новый чёрный корпус собирает меньше отпечатков.Компания сделала анодированную поверхность крышки более шероховатой на микроскопическом уровне. Благодаря этому отражается больше света создающего общий темный оттенок.                    11.26😳 PlayStation 5 снова продают дешевле всех в России Прямо сейчас на Яндекс Маркете продают консоль PS5 (регион Япония работает в РФ версия с дисководом) всего за 43 тысячи рублей. Это уже вторая партия первую раскупили в ночь начала распродажи.Чтобы вы понимали это дешевле чем подержанные PlayStation 5 на Авито.Судя по всему распродажа лимитированная. В наличии всего 1500 консолей из них треть уже раскупили за 20 минут. Если давно хотели взять «плойку» но цены в магазинах напрягали - вы знаете что делать.🛒 Купить можно тут (если они ещё есть).P.S. Яндекс вынес эти консоли прямо в «шапку» Маркета так что это похоже на организованную акцию.@iphonesru                    10.39Доброе утро сэр. Вот ваша утренняя пресса 🤌Здесь всё самое интересное что обсуждали пользователи в интернете на этой неделе и о чем мы писали на страницахПочитайте пока заваривается кофеёк. 1. Первые обзоры iMac с процессором М3. Западные техноресурсы нашли плюсы и минусы → Читать2. Первые обзоры MacBook Pro с процессором М3. Новый цвет результаты тестов → Читать3. Американский стартап показал будущую замену смартфону. Вся инфа проецируется прямо на ладонь → Читать4. Анонсировали GTA 6 трейлер покажут в начале декабря → Читать5. КАМАЗ показал новый беспилотный грузовик его уже назвали «робокопом» → Читать6. Лучшие рюкзаки по версии редакции Лучшие что сами ходим с такими → Читать7. 50 рублей вместо 899: отличная гонка на выживание Wreckfest продаётся в App Store почти задаром → ЧитатьТакой была эта неделя. Всем приятных выходных 👌                    10.34Apple готовится разрешить загрузку приложений на iPhone из сторонних магазинов. Первые намёки из iOS 17.2. В системе появился новый фреймворк с функциями загрузки установки и обновления приложений из внешних источников. Он может проверить совместимо ли приложение с конкретным устройством или версией iOS что уже делает App Store.                    09.57Китайский оператор China Telecom разрешил абонентам подключаться к собственной спутниковой связи. Для этого необходим смартфон с поддержкой спутниковой связи в Китае. Пока это такая функция есть только в Huawei Mate 60 Pro.                     Ещё...Ещё больше...15 горящих товаров с AliExpress на распродаже 11.11. Очень много Xiaomi /15 горящих товаров с AliExpress на распродаже 11.11. Очень много Xiaomi                На AliExpress можно найти массу любопытных и полезных штук на все случаи жизни которые сделают её более удобной и интересной.                                 Кирилл Морозов                                вчера в 18:30            12КОМПАНИИКак сбросить macOS до заводского состояния. Пригодится перед продажей или передачей MacКак сбросить macOS до заводского состояния. Пригодится перед продажей или передачей Mac        Многие пользователи после очередной презентации Apple решили обновить свои яблочные компьютеры. Старые Mac можно продать или передать родственникам. При этом ...       restore:вчера в 16:45 3 🍭 ОБЗОРПосмотрел «Убийца» Дэвида Финчера. Необычное кино от которого тошно📷Посмотрел «Убийца» Дэвида Финчера. Необычное кино от которого тошно                     Артём Баусов                                вчера в 14:48            14iFixit разобрали MacBook Pro M3 и объяснили почему новый чёрный корпус собирает меньше отпечатковiFixit разобрали MacBook Pro M3 и объяснили почему новый чёрный корпус собирает меньше отпечатков                     Артём Баусов                                вчера в 13:41            11#aliexpress#галерея#вопрос-ответ#обои iPhone#фильмы-сериалыКто пропустил. Прямо сейчас на Яндекс Маркете продают PlayStation 5 всего за 43 тысячи рублейКто пропустил. Прямо сейчас на Яндекс Маркете продают PlayStation 5 всего за 43 тысячи рублей                     Никита Горяинов                                вчера в 11:27            51iPhone ХriPhone ХsiPad Pro 2018MacBook Air 2019AW Series 4Apple готовится разрешить загрузку приложений на iPhone из сторонних магазинов. Первые намёки из iOS 17.2Apple готовится разрешить загрузку приложений на iPhone из сторонних магазинов. Первые намёки из iOS 17.2                     Артём Баусов                                вчера в 10:24            24Впечатления от iPhone 15 Pro спустя месяц. Есть вопросикиВпечатления от iPhone 15 Pro спустя месяц. Есть вопросики                     Артём Баусов                                вчера в 10:02            30DamProdam.ruВыкуп и обмен iPhone деньги сразуВыкуп и обмен MacBookникуда ехать не надоПродать Apple аксессуары быстровыезд бесплатноСубботний дайджест. Здесь всё самое интересное за неделю что вы могли пропуститьСубботний дайджест. Здесь всё самое интересное за неделю что вы могли пропустить                Кратко и по существу.                                 Микк Сид                                вчера в 9:52            Лучшие обои на iPhoneНажимайте и качайте на смартфонЕщёBinance прекратит поддержку рублёвых депозитов с 15 ноябряBinance прекратит поддержку рублёвых депозитов с 15 ноября                     Артём Баусов                                10 ноября в 20:22            15Полезная команда iOS. Как продуть iPhone после попадания влагиПолезная команда iOS. Как продуть iPhone после попадания влаги                Динамики не заржавеют.                                 Артём Суровцев                                10 ноября в 19:43            4iРеклама🔥 В тренде#iPhone 14#iPhone 14 Plus#iPhone 14 Pro#iPhone 14 Pro Max#iOS 14#Apple Watch Ultra#Apple Watch SE#AirPods Pro#Apple Watch 8#Apple Watch 7#iPad Pro 2021#iPhone 13#iPhone 13 mini#iPhone 13 Pro#iPhone 13 Pro Max#iPhone 12#iPhone 12 Pro#iPhone 12 Pro Max#Apple Watch 6#iOS 13#iPad Pro 2020#Apple Watch 5#iPhone Xs#app store#Apple Watch 4#iPhone XR#обзоры#iPhone 11#iPhone 11 Pro#iPhone 11 Pro Max#iPhone Xs Max#полезные фишки#спорт#очень интересное#macbook#iPhone#iphone x#iphone 8#apple watch#imac#смартфоны#конкурсы#наушники#чехлы для iPhone#рюкзаки#зарядки для iPhone#xiaomi...еще ↓🔴 Прямой эфир06:33EzdiUmno_ru: @FelizNavidad Silver - мудрое решение. Я тоже выбираю его. И классический цвет и...iFixit разобрали MacBook Pro M3 и объяснили почему новый чёрный корпус...06:31EzdiUmno_ru: @Epmak Если "там в глубине" у него алюминий то и цвет будет соответствующий.Конечно...iFixit разобрали MacBook Pro M3 и объяснили почему новый чёрный корпус...06:28EzdiUmno_ru: @Grenek Да уж серебряный - это классика. Вечная классика!iFixit разобрали MacBook Pro M3 и объяснили почему новый чёрный корпус...06:27EzdiUmno_ru: Народ больше интересует будет ли покрытие истираться и как быстро станут заметны пятна...iFixit разобрали MacBook Pro M3 и объяснили почему новый чёрный корпус...06:15MagicApple: Перчатки там много видов и расцветок попадают под акцию всё по 1.99 евро...15 горящих товаров с AliExpress на распродаже 11.11. Очень много Xiaomi...📬 ТусовкаСколько я плачу за мобильную связь в Канаде. Внимание iPhone 15 Pro Max тут стоит всего от $4454	Мы ищем автора в Москве. С опытом. Пишите сюдаng (at) iphones.ruНикита ГоряиновГлавный редакторms (at) iphones.ruМикк СидШеф-редакторДепутат Горелкин предложил операторам отменить безлимитный доступ к YouTube чтобы не изнашивать оборудованиеДепутат Горелкин предложил операторам отменить безлимитный доступ к YouTube чтобы не изнашивать оборудование                     Артём Баусов                                10 ноября в 19:15            3715 интересных штук на распродаже 11.11 на AliExpress. Например много всего Xiaomi и Baseus /15 интересных штук на распродаже 11.11 на AliExpress. Например много всего Xiaomi и Baseus                На AliExpress можно найти много полезных штук на все случаи жизни. Сегодня многие из них выйдет купить с большой скидкой.                                 Кирилл Морозов                                10 ноября в 18:30            65 новых сериалов. Такой захватывающий сюжет что даже многие фильмы отдыхают /5 новых сериалов. Такой захватывающий сюжет что даже многие фильмы отдыхают                     Микк Сид                                10 ноября в 16:11            16Apple добавит OLED-экран сначала в iPad Pro потом в MacBook Pro и затем в MacBook AirApple добавит OLED-экран сначала в iPad Pro потом в MacBook Pro и затем в MacBook Air                     Илья Сидоров                                10 ноября в 14:21            20КОМПАНИИбилайн разрешил использовать один номер телефона на смартфоне и часах с eSIMбилайн разрешил использовать один номер телефона на смартфоне и часах с eSIM        билайн запустил новый сервис «Один номер». Он позволяет использовать единый номер на всех устройствах с eSIM. Например на смартфоне и ...       билайн10 ноября в 13:14 26Мобильный интернет МегаФона признали самым быстрым в МосквеМобильный интернет МегаФона признали самым быстрым в Москве                     Артём Баусов                                10 ноября в 12:58            9Intel хочет производить процессоры для армии СШАIntel хочет производить процессоры для армии США                     Илья Сидоров                                10 ноября в 12:06            5Штука дня: неубиваемый кабель USB-C/Lightning которым можно буксировать машинуШтука дня: неубиваемый кабель USB-C/Lightning которым можно буксировать машину                Купил его в 2019 году не пожалел ни разу.                                 Микк Сид                                10 ноября в 11:30            12КОМПАНИИТрафик в мессенджерах на ВДНХ в Москве вырос в 6 раз в первые дни работы выставки-форума «Россия»Трафик в мессенджерах на ВДНХ в Москве вырос в 6 раз в первые дни работы выставки-форума «Россия»        Специалисты билайна зафиксировали рост мобильного трафика на территории ВДНХ. В первые выходные ноября абоненты оператора скачали больше 10 ТБ различного ...       билайн10 ноября в 10:00 5 Не нашли то что искали?✍ Задать вопросКак раздать интернет с iPhone на Mac по кабелю Артём Суровцев        26 марта в 10:40      Как раздать интернет с iPhone на Mac по кабелю                Проводной режим раздачи интернета может быть удобен когда нужно обеспечить хорошую скорость подключения. Другие гаджеты которые имеют доступ к мобильной точкеЧитать далее... Читать далее...iOS iPhoneКак добавить оперативную память в iMac? Какая память подойдет? Артём Суровцев        22 ноября 2016      Как добавить оперативную память в iMac? Какая память подойдет?                Здравствуйте Денис.На большинстве моделей iMac можно добавить или заменить оперативную память самостоятельно. Для этого потребуется найти разъем на задней чЧитать далее... Читать далее...MacГде узнать электронную почту розничного магазина Apple? Иван Петров        30 октябрь 2016      Где узнать электронную почту розничного магазина Apple?                Приветствую Виктор!Почтовые адреса конкретных магазинов Apple Store — конфиденциальная информация которую Apple не распространяет. ВпЧитать далее... Читать далее...iPhoneЕще вопрос7 гаджетов и аксессуаров которым будет рад настоящий фанат Apple. Проверьте и убедитесь7 гаджетов и аксессуаров которым будет рад настоящий фанат Apple. Проверьте и убедитесь                Нужно просто брать и дарить. Можно даже себе.                                 Микк Сид                                10 ноября в 9:30            14МегаФон дарит год бесплатной связи при покупке смартфона Honor 90 LiteМегаФон дарит год бесплатной связи при покупке смартфона Honor 90 Lite                     Артём Баусов                                10 ноября в 9:29            6iPhone SE 4 получит модифицированный корпус iPhone 14iPhone SE 4 получит модифицированный корпус iPhone 14                     Артём Баусов                                10 ноября в 9:28            1315 самых интересных товаров на распродаже 11.11 на Яндекс Маркете. Например гигантский телевизор с Алисой /15 самых интересных товаров на распродаже 11.11 на Яндекс Маркете. Например гигантский телевизор с Алисой                Благодаря крупнейшей распродаже в году можно обзавестись огромным количеством интересных гаджетов и аксессуаров по очень хорошей цене.                                 Кирилл Морозов                                10 ноября в 9:28            28Вышла прошивка 6B32 для AirPods Pro 2Вышла прошивка 6B32 для AirPods Pro 2                     Артём Баусов                                10 ноября в 9:11            4Apple обновила дизайн App Store в iOS 17.2Apple обновила дизайн App Store в iOS 17.2                     Илья Сидоров                                10 ноября в 8:40            4123456789...2555Кто кого? Выживает сильнейшийЧем отличаются процессоры Apple M3 от M2 и M1. Ради чего стоит обновляться5 ноябряСколько стоят MacBook Pro и iMac на M3 в США Европе ОАЭ и Японии. Где купить выгоднее всего2 ноябряЧем отличаются новые 14- и 16-дюймовые MacBook Pro на M3 от моделей предыдущего поколения31 октябрьЧем отличаются разные модели Apple Pencil. Сравнили 3 стилуса для iPad18 октябрьПоказать ещеiPhones.ruРедакцияРекламаПользовательское соглашение© iPhones.ru 2006—2023ios 17 ios 16 iPhone 15 iPhone 15 Plus iPhone 15 Pro iPhone 15 Pro Max iOS 15 Обзоры Наушники и колонки Аккумуляторы и зарядки Смартфоны Планшеты Часы и трекеры Чехлы Штуки Сумки и рюкзаки Кабели и переходники Подставки и держатели Статьи Новости Аксессуары Тусовка Компании Советы Сервис Инструкции Советы Dev Story Разработчики Узнай первымRSSВКонтактеТелеграмВайбер					При использовании любых материалов с сайта обязательно указание iphones.ru в качестве источника.					Все авторские и исключительные права в рамках проекта защищены					в соответствии с положениями 4 части Гражданского Кодекса Российской Федерации.				Задай вопрос - получи ответВаше имяВаш emailВведите ваш вопрос👈 капча обязательна						ОтправитьВопрос принятВ ближайшее время ожидайте ответ на нашем сайте :)Вопрос не принятРазрешите свои конфликты с google он вас не пускает :(</t>
  </si>
  <si>
    <t>www.iphones.ru</t>
  </si>
  <si>
    <t>YouTube — последние и свежие новости сегодня и ...</t>
  </si>
  <si>
    <t>YouTube откажется от формата сторис с 26 июня. Видеохостинг YouTube откажется от формата сторис с 26 июня. Об этом говорится в сообщении американской корпорации ...</t>
  </si>
  <si>
    <t>https://iz.ru/tag/youtube</t>
  </si>
  <si>
    <t>About YouTube - YouTube</t>
  </si>
  <si>
    <t>YouTube's mission is to give everyone a voice and show them the world. Learn about our brand, community, careers and more.</t>
  </si>
  <si>
    <t>https://about.youtube/</t>
  </si>
  <si>
    <t>About YouTube - YouTube          Jump to content                     How YouTube Works                          Creators                          Culture &amp; Trends                          Blog                          About YouTube                  Our mission is to give everyone a voice and show them the world.                  We believe that everyone deserves to have a voice and that the world is a better place when we listen share and build community through our stories.                  Connect                            About YouTube                                          About                                              Blog                                              How YouTube Works                                              Jobs                                              Press                                              YouTube Culture &amp; Trends                                              NFL Sunday Ticket                                          Products                                          YouTube Kids                                              YouTube Music                                              YouTube Originals                                              YouTube Podcasts                                              YouTube Premium                                              YouTube Select                                              YouTube Studio                                              YouTube TV                                          For Business                                          Developers                                              YouTube Advertising                                          For Creators                                          Creating for YouTube Kids                                              Creator Research                                              Creator Services Directory                                              YouTube Artists                                              YouTube Creators                                              YouTube NextUp                                              YouTube VR                                          Our Commitments                                          Creators for Change                                              CSAI Match                                              Social Impact                                    About YouTube                          Products                          For Business                          For Creators                          Our Commitments                                About                                      Blog                                      How YouTube Works                                      Jobs                                      Press                                      YouTube Culture &amp; Trends                                      NFL Sunday Ticket                                      YouTube Kids                                      YouTube Music                                      YouTube Originals                                      YouTube Podcasts                                      YouTube Premium                                      YouTube Select                                      YouTube Studio                                      YouTube TV                                      Developers                                      YouTube Advertising                                      Creating for YouTube Kids                                      Creator Research                                      Creator Services Directory                                      YouTube Artists                                      YouTube Creators                                      YouTube NextUp                                      YouTube VR                                      Creators for Change                                      CSAI Match                                      Social Impact                                Policies &amp; Safety                          Copyright                          Brand Guidelines                          Privacy                          Terms                        Help</t>
  </si>
  <si>
    <t>about.youtube</t>
  </si>
  <si>
    <t>Блокировка ютуб</t>
  </si>
  <si>
    <t>https://pikabu.ru/story/blokirovka_yutub_10811596</t>
  </si>
  <si>
    <t>YouTube Data API Overview</t>
  </si>
  <si>
    <t>https://developers.google.com/youtube/v3/getting-started</t>
  </si>
  <si>
    <t>Выпуск новостей в 18:00 11 ноября 2023 года. ...</t>
  </si>
  <si>
    <t>59 минут назад —</t>
  </si>
  <si>
    <t>https://www.1tv.ru/news/issue/2023-11-11/18:00</t>
  </si>
  <si>
    <t>YouTube откажется от сторис</t>
  </si>
  <si>
    <t>26 мая 2023 г. —</t>
  </si>
  <si>
    <t>https://incrussia.ru/news/youtube-stories/</t>
  </si>
  <si>
    <t>Inc. Russia — Журнал для предпринимателей  ВКонтактеTwitterTelegramНовостиПридуматьРазобратьсяВзлететьПереключитьсяПодкастыНовости14-летний подросток создал мыло «смывающее» раковые клетки с кожи и получил за это премию молодых ученых11 ноябряРоссияне потратили 13 млрд руб. в 2023 году чтобы стать психологами нутрициологами или народными лекарями11 ноябряИдея Илона Маска о колонизации людей на Марс травмировала работников SpaceX: от переломов до инвалидности11 ноябряКрупнейший в мире банк подвергся атаке хакеров. Торги пришлось проводить через USB-накопитель11 ноябряApple выплатит $25 млн из-за дискриминации при приеме на работу. Более $18 млн пойдет пострадавшим11 ноябряМногодетные семьи в России могут освободить от налогов. Это еще один метод стимулирования рождаемости11 ноябряМинпромторг предлагает обязать рестораторов выделять российские вина в винных картах11 ноябряТурецкие бренды одежды пересмотрели стратегию работы в России: проблема с возникла с маркетингом и популярностью11 ноябряСредние цены на подержанные автомобили в России достигли рекордных 2 млн рублей11 ноябряСуды стали чаще защищать сотрудников написавших заявление «по собственному желанию» под давлением работодателя11 ноябряКомпания WeWork все: компания не справилась c дорогостоящими договорами аренды и подала на банкротство11 ноябряМинтранс ужесточил требования к дорожным камерам: только на аварийно-опасных участках и не чаще чем раз в километр11 ноябряРоссияне стали в 15 раза чаще покупать продукты через интернет. 50% покупок — у «ВкусВилла» «Самоката» и «СберМаркета»11 ноябряФонд основателя «ВкусВилла» выкупил четверть доли ювелирной сети Poison Drop11 ноябряВ 2023 году россияне стали чаще выгорать и просить повышение зарплаты11 ноябряБизнес предупредил о том что мошенники могут проводить розыгрыши премимум-подписок в Telegram10 ноябряВ банке «Тинькофф» заявили о «жутком дефиците» айтишников на рынке10 ноябряТоп-4 российских направлений для семейного отдыха зимой10 ноября78% россиян готовы вернуться на первую работу если им повысят зарплату10 ноябряПродавцы вейпов предложили штрафовать родителей за курение их детей10 ноябряTchibo сменит название в России на Tibio10 ноябряВ России отзовут 55 тыс. китайских автомобилей Haval9 ноября«ВТБ» запретил европейской «дочке» работать под своим брендом9 ноябряПравительство предложило увеличить субсидии на экспорт до 1 млн руб. для поддержки малого бизнеса9 ноября14-летний подросток создал мыло «смывающее» раковые клетки с кожи и получил за это премию молодых ученых11 ноябряРоссияне потратили 13 млрд руб. в 2023 году чтобы стать психологами нутрициологами или народными лекарями11 ноябряИдея Илона Маска о колонизации людей на Марс травмировала работников SpaceX: от переломов до инвалидности11 ноябряКрупнейший в мире банк подвергся атаке хакеров. Торги пришлось проводить через USB-накопитель11 ноябряApple выплатит $25 млн из-за дискриминации при приеме на работу. Более $18 млн пойдет пострадавшим11 ноябряМногодетные семьи в России могут освободить от налогов. Это еще один метод стимулирования рождаемости11 ноябряМинпромторг предлагает обязать рестораторов выделять российские вина в винных картах11 ноябряТурецкие бренды одежды пересмотрели стратегию работы в России: проблема с возникла с маркетингом и популярностью11 ноябряСредние цены на подержанные автомобили в России достигли рекордных 2 млн рублей11 ноябряСуды стали чаще защищать сотрудников написавших заявление «по собственному желанию» под давлением работодателя11 ноябряКомпания WeWork все: компания не справилась c дорогостоящими договорами аренды и подала на банкротство11 ноябряМинтранс ужесточил требования к дорожным камерам: только на аварийно-опасных участках и не чаще чем раз в километр11 ноябряРоссияне стали в 15 раза чаще покупать продукты через интернет. 50% покупок — у «ВкусВилла» «Самоката» и «СберМаркета»11 ноябряФонд основателя «ВкусВилла» выкупил четверть доли ювелирной сети Poison Drop11 ноябряВ 2023 году россияне стали чаще выгорать и просить повышение зарплаты11 ноябряБизнес предупредил о том что мошенники могут проводить розыгрыши премимум-подписок в Telegram10 ноябряВ банке «Тинькофф» заявили о «жутком дефиците» айтишников на рынке10 ноябряТоп-4 российских направлений для семейного отдыха зимой10 ноября78% россиян готовы вернуться на первую работу если им повысят зарплату10 ноябряПродавцы вейпов предложили штрафовать родителей за курение их детей10 ноябряTchibo сменит название в России на Tibio10 ноябряВ России отзовут 55 тыс. китайских автомобилей Haval9 ноября«ВТБ» запретил европейской «дочке» работать под своим брендом9 ноябряПравительство предложило увеличить субсидии на экспорт до 1 млн руб. для поддержки малого бизнеса9 ноября14-летний подросток создал мыло «смывающее» раковые клетки с кожи и получил за это премию молодых ученых11 ноябряРоссияне потратили 13 млрд руб. в 2023 году чтобы стать психологами нутрициологами или народными лекарями11 ноябряИдея Илона Маска о колонизации людей на Марс травмировала работников SpaceX: от переломов до инвалидности11 ноябряКрупнейший в мире банк подвергся атаке хакеров. Торги пришлось проводить через USB-накопитель11 ноябряApple выплатит $25 млн из-за дискриминации при приеме на работу. Более $18 млн пойдет пострадавшим11 ноябряМногодетные семьи в России могут освободить от налогов. Это еще один метод стимулирования рождаемости11 ноябряМинпромторг предлагает обязать рестораторов выделять российские вина в винных картах11 ноябряТурецкие бренды одежды пересмотрели стратегию работы в России: проблема с возникла с маркетингом и популярностью11 ноябряСредние цены на подержанные автомобили в России достигли рекордных 2 млн рублей11 ноябряСуды стали чаще защищать сотрудников написавших заявление «по собственному желанию» под давлением работодателя11 ноябряКомпания WeWork все: компания не справилась c дорогостоящими договорами аренды и подала на банкротство11 ноябряМинтранс ужесточил требования к дорожным камерам: только на аварийно-опасных участках и не чаще чем раз в километр11 ноябряРоссияне стали в 15 раза чаще покупать продукты через интернет. 50% покупок — у «ВкусВилла» «Самоката» и «СберМаркета»11 ноябряФонд основателя «ВкусВилла» выкупил четверть доли ювелирной сети Poison Drop11 ноябряВ 2023 году россияне стали чаще выгорать и просить повышение зарплаты11 ноябряЖурналПридумать 30 сентябряПридумать 30 сентября                      Помощь другу: как сотрудник «‎ВкусВилла» открыл сервис доставки продуктов при поддержке сети Разместить рекламу в Inc. Russia							Реклама | Закрыть ×Inc. – это журнал для предпринимателей. Мы рассказываем о малом и среднем бизнесе передовых технологиях и людях которые за всем этим стоят.В США мы делаем это с 1979 в России — с 2016 годаЖурнал для предпринимателей                Карта сайта                                Рубрики                МегатрендыПридуматьРазобратьсяВзлететьНовостиПереключитьсяПодкасты                    О журнале                ВакансииРекламаКонтакты                    Соцсети                                        ВКонтакте                                            Twitter                                            Одноклассники                                            Telegram                                     © 2016 – 2023 Все права защищены                            18+                            Push-уведомления: Выключены Включены</t>
  </si>
  <si>
    <t>incrussia.ru</t>
  </si>
  <si>
    <t>YouTube Shorts или как быстро стартовать на Ютуб?</t>
  </si>
  <si>
    <t>2 способа увеличить охваты Shorts YouTube. Создание интересных и привлекательных видео. Первый и наиболее важный способ продвижения канала с помощью Shorts ...</t>
  </si>
  <si>
    <t>https://vc.ru/u/1706135-monstertube/715669-youtube-shorts-ili-kak-bystro-startovat-na-yutub</t>
  </si>
  <si>
    <t xml:space="preserve">vc.ru — бизнес технологии идеи модели роста стартапы            {"isRegardCpuComplete":false"hasAccess":false}                    {"enableNewsWidget":true}                                Приёмная                                        Антон                9 часов          Слушать          {"isShowSubscribedButtonLabels":true"subsiteId":199124"isShowNotificationsButton":false"isSubscribed":false"isNotificationsEnabled":false"type":"full""buttonType":"inline""size":"tiny""mobileSize":"""subscribeButtonIcon":"v_follow""isShortOnMobile":false"gtm":"Subscribe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Подозреваю OZON в мошенничестве                            Привет. Я тут не был раньше но часто читаю тут статьи и знаю что резонанс можно поднять хороший.. #претензияozon #жалобаозон12Kпоказов2Kоткрытий1репост        {"likeData":{"id":912071"type":1"typeStr":"content""state":0"withUsers":1"contentId":912071"subsite":{"id":199124"name":"u041fu0440u0438u0451u043cu043du0430u044f""avatar":"https://leonardo.osnova.io/08ff68ad-2175-51fb-8adc-a56f40ac6ffa/""url":"https://vc.ru/claim""type":2}"place":"feed""isHidden":false"count_likes":32"count_dislikes":null"gtm":"Popular u2014 Feed Item""action":"like""size":"default"}}             {"id":912071"type":"num""link":"https://vc.ru/claim/912071-podozrevayu-ozon-v-moshennichestve""gtm":"Popular u2014 Feed Item u2014 Comments u2014 Click""prevCount":null"count":110"isAuthorized":false}             {"contentId":912071"count":1"isReposted":false"gtm":"Popular u2014 Feed Item u2014 Repost u2014 Click"}             {"id":912071"type":1"typeStr":"content""showTitle":false"initialState":{"isActive":false}"gtm":"Popular u2014 Feed Item u2014 Add To Favorites u2014 Click"}             {"id":912071"gtm":"Popular u2014 Feed Item u2014 Share u2014 Click"}            {"likeData":{"id":912071"type":1"typeStr":"content""state":0"withUsers":1"contentId":912071"subsite":{"id":199124"name":"u041fu0440u0438u0451u043cu043du0430u044f""avatar":"https://leonardo.osnova.io/08ff68ad-2175-51fb-8adc-a56f40ac6ffa/""url":"https://vc.ru/claim""type":2}"place":"feed""isHidden":false"count_likes":32"count_dislikes":null"gtm":"Popular u2014 Feed Item""action":"dislike""size":"default"}}             {            "osnovaUnitId": null            "url": "https://booster.osnova.io/a/relevant?site=vc&amp;v=2"            "place": "index_feed"            "site": "vc"            "settings": {"modes":{"externalLink":{"buttonLabels":["u0423u0437u043du0430u0442u044c""u0427u0438u0442u0430u0442u044c""u041du0430u0447u0430u0442u044c""u0417u0430u043au0430u0437u0430u0442u044c""u041au0443u043fu0438u0442u044c""u041fu043eu043bu0443u0447u0438u0442u044c""u0421u043au0430u0447u0430u0442u044c""u041fu0435u0440u0435u0439u0442u0438"]}}"deviceList":{"desktop":"u0414u0435u0441u043au0442u043eu043f""smartphone":"u0421u043cu0430u0440u0442u0444u043eu043du044b""tablet":"u041fu043bu0430u043du0448u0435u0442u044b"}}        }                            Право                                        Недвижимость                вчера          Слушать          {"isShowSubscribedButtonLabels":true"subsiteId":199120"isShowNotificationsButton":false"isSubscribed":false"isNotificationsEnabled":false"type":"full""buttonType":"inline""size":"tiny""mobileSize":"""subscribeButtonIcon":"v_follow""isShortOnMobile":false"gtm":"Subscribe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Краткосрочная аренда квартир: запретить нельзя урегулировать                            В России хотят урегулировать краткосрочную аренду жилья вот только как-то криво. Одна из инициатив — дать собственникам подъезда право разрешать или запрещать ее. Если 75% голосов будут против сдавать квартиры посуточно там будет нельзя. 17Kпоказов4Kоткрытий1репост        {"likeData":{"id":911965"type":1"typeStr":"content""state":0"withUsers":1"contentId":911965"subsite":{"id":199120"name":"u041fu0440u0430u0432u043e""avatar":"https://leonardo.osnova.io/66a239d6-25ee-5e14-b060-aba72e356b5b/""url":"https://vc.ru/legal""type":2}"place":"feed""isHidden":false"count_likes":27"count_dislikes":null"gtm":"Popular u2014 Feed Item""action":"like""size":"default"}}             {"id":911965"type":"num""link":"https://vc.ru/legal/911965-kratkosrochnaya-arenda-kvartir-zapretit-nelzya-uregulirovat""gtm":"Popular u2014 Feed Item u2014 Comments u2014 Click""prevCount":null"count":203"isAuthorized":false}             {"contentId":911965"count":1"isReposted":false"gtm":"Popular u2014 Feed Item u2014 Repost u2014 Click"}             {"id":911965"type":1"typeStr":"content""showTitle":false"initialState":{"isActive":false}"gtm":"Popular u2014 Feed Item u2014 Add To Favorites u2014 Click"}             {"id":911965"gtm":"Popular u2014 Feed Item u2014 Share u2014 Click"}            {"likeData":{"id":911965"type":1"typeStr":"content""state":0"withUsers":1"contentId":911965"subsite":{"id":199120"name":"u041fu0440u0430u0432u043e""avatar":"https://leonardo.osnova.io/66a239d6-25ee-5e14-b060-aba72e356b5b/""url":"https://vc.ru/legal""type":2}"place":"feed""isHidden":false"count_likes":27"count_dislikes":null"gtm":"Popular u2014 Feed Item""action":"dislike""size":"default"}}                             ChatGPT                                        Neuromarket                вчера          Слушать          {"isShowSubscribedButtonLabels":true"subsiteId":1872372"isShowNotificationsButton":false"isSubscribed":false"isNotificationsEnabled":false"type":"full""buttonType":"inline""size":"tiny""mobileSize":"""subscribeButtonIcon":"v_follow""isShortOnMobile":false"gtm":"Subscribe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Openai выпустила GPT-4 Turbo с более дешевым API и контекстным окном на 128 тысяч токенов                            Всего через восемь месяцев после запуска GPT-4 компания OpenAI представила обновленную модель GPT-4 Turbo с контекстным окном в которое можно поместить 300-страничную книгу и более дешевым доступом к API.10Kпоказов1.9Kоткрытий        {"likeData":{"id":911997"type":1"typeStr":"content""state":0"withUsers":1"contentId":911997"subsite":{"id":1872372"name":"ChatGPT""avatar":"https://leonardo.osnova.io/fc56aaa4-cb0c-5f37-b6ba-94bc8f336926/""url":"https://vc.ru/chatgpt""type":2}"place":"feed""isHidden":false"count_likes":47"count_dislikes":null"gtm":"Popular u2014 Feed Item""action":"like""size":"default"}}             {"id":911997"type":"num""link":"https://vc.ru/chatgpt/911997-openai-vypustila-gpt-4-turbo-s-bolee-deshevym-api-i-kontekstnym-oknom-na-128-tysyach-tokenov""gtm":"Popular u2014 Feed Item u2014 Comments u2014 Click""prevCount":null"count":34"isAuthorized":false}             {"contentId":911997"count":0"isReposted":false"gtm":"Popular u2014 Feed Item u2014 Repost u2014 Click"}             {"id":911997"type":1"typeStr":"content""showTitle":false"initialState":{"isActive":false}"gtm":"Popular u2014 Feed Item u2014 Add To Favorites u2014 Click"}             {"id":911997"gtm":"Popular u2014 Feed Item u2014 Share u2014 Click"}            {"likeData":{"id":911997"type":1"typeStr":"content""state":0"withUsers":1"contentId":911997"subsite":{"id":1872372"name":"ChatGPT""avatar":"https://leonardo.osnova.io/fc56aaa4-cb0c-5f37-b6ba-94bc8f336926/""url":"https://vc.ru/chatgpt""type":2}"place":"feed""isHidden":false"count_likes":47"count_dislikes":null"gtm":"Popular u2014 Feed Item""action":"dislike""size":"default"}}                             Что почитать                                        Артем Кабанов                9 часов          Слушать          {"isShowSubscribedButtonLabels":true"subsiteId":345049"isShowNotificationsButton":false"isSubscribed":false"isNotificationsEnabled":false"type":"full""buttonType":"inline""size":"tiny""mobileSize":"""subscribeButtonIcon":"v_follow""isShortOnMobile":false"gtm":"Subscribe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В начале прошлого века был научпоп и он был качественным. Обзор книги 1913 года                            Пожалуй в чем-то даже качественнее чем современный. Смотрите какую книжку я недавно урвал. Почитал получил искренне удовольствие и теперь готов поделиться им на VC со всеми любителями научпопа. 4.4Kпоказов528открытий1репост        {"likeData":{"id":912096"type":1"typeStr":"content""state":0"withUsers":1"contentId":912096"subsite":{"id":345049"name":"u0427u0442u043e u043fu043eu0447u0438u0442u0430u0442u044c""avatar":"https://leonardo.osnova.io/ea031f0b-5e28-5955-bbd1-6c5c84ac496d/""url":"https://vc.ru/books""type":2}"place":"feed""isHidden":false"count_likes":17"count_dislikes":null"gtm":"Popular u2014 Feed Item""action":"like""size":"default"}}             {"id":912096"type":"num""link":"https://vc.ru/books/912096-v-nachale-proshlogo-veka-byl-nauchpop-i-on-byl-kachestvennym-obzor-knigi-1913-goda""gtm":"Popular u2014 Feed Item u2014 Comments u2014 Click""prevCount":null"count":5"isAuthorized":false}             {"contentId":912096"count":1"isReposted":false"gtm":"Popular u2014 Feed Item u2014 Repost u2014 Click"}             {"id":912096"type":1"typeStr":"content""showTitle":false"initialState":{"isActive":false}"gtm":"Popular u2014 Feed Item u2014 Add To Favorites u2014 Click"}             {"id":912096"gtm":"Popular u2014 Feed Item u2014 Share u2014 Click"}            {"likeData":{"id":912096"type":1"typeStr":"content""state":0"withUsers":1"contentId":912096"subsite":{"id":345049"name":"u0427u0442u043e u043fu043eu0447u0438u0442u0430u0442u044c""avatar":"https://leonardo.osnova.io/ea031f0b-5e28-5955-bbd1-6c5c84ac496d/""url":"https://vc.ru/books""type":2}"place":"feed""isHidden":false"count_likes":17"count_dislikes":null"gtm":"Popular u2014 Feed Item""action":"dislike""size":"default"}}                             Ольга Бондаренко                    4 часа       {"isShowSubscribedButtonLabels":true"subsiteId":2569457"isShowNotificationsButton":false"isSubscribed":false"isNotificationsEnabled":false"type":"full""buttonType":"inline""size":"tiny""mobileSize":"""subscribeButtonIcon":"v_follow""isShortOnMobile":false"gtm":"Subscribe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AUGUST BURO - мы разрабатываем дома и интерьеры для августейших особ! 326показов25открытий        {"likeData":{"id":912277"type":1"typeStr":"content""state":0"withUsers":1"contentId":912277"subsite":{"id":2569457"name":"u041eu043bu044cu0433u0430 u0411u043eu043du0434u0430u0440u0435u043du043au043e""avatar":"https://leonardo.osnova.io/199f9e86-cba7-5b80-a748-0eb18563d48f/""url":"https://vc.ru/u/2569457-olga-bondarenko""type":1}"place":"feed""isHidden":false"count_likes":3"count_dislikes":null"gtm":"Popular u2014 Feed Item""action":"like""size":"default"}}             {"id":912277"type":"num""link":"https://vc.ru/u/2569457-olga-bondarenko/912277""gtm":"Popular u2014 Feed Item u2014 Comments u2014 Click""prevCount":null"count":1"isAuthorized":false}             {"contentId":912277"count":0"isReposted":false"gtm":"Popular u2014 Feed Item u2014 Repost u2014 Click"}             {"id":912277"type":1"typeStr":"content""showTitle":false"initialState":{"isActive":false}"gtm":"Popular u2014 Feed Item u2014 Add To Favorites u2014 Click"}             {"id":912277"gtm":"Popular u2014 Feed Item u2014 Share u2014 Click"}            {"likeData":{"id":912277"type":1"typeStr":"content""state":0"withUsers":1"contentId":912277"subsite":{"id":2569457"name":"u041eu043bu044cu0433u0430 u0411u043eu043du0434u0430u0440u0435u043du043au043e""avatar":"https://leonardo.osnova.io/199f9e86-cba7-5b80-a748-0eb18563d48f/""url":"https://vc.ru/u/2569457-olga-bondarenko""type":1}"place":"feed""isHidden":false"count_likes":3"count_dislikes":null"gtm":"Popular u2014 Feed Item""action":"dislike""size":"default"}}     ВакансииРазместитьПоказать ещё Все вакансии                         Будущее                                        Подслушано Ai                7 часов       {"isShowSubscribedButtonLabels":true"subsiteId":199118"isShowNotificationsButton":false"isSubscribed":false"isNotificationsEnabled":false"type":"full""buttonType":"inline""size":"tiny""mobileSize":"""subscribeButtonIcon":"v_follow""isShortOnMobile":false"gtm":"Subscribe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Новинка космо-индустрии: Уборная и спа для космических туристов                            Космическая спа-уборая «три в одном» названный «Space Spa» расположен в космосе с одной стороны капсулы космического корабля «Нептун» рядом с зоной отдыха. Восемь пассажиров и капитан смогут насладиться роскошью в открытом космосе. 3.5Kпоказов317открытий        {"likeData":{"id":885746"type":1"typeStr":"content""state":0"withUsers":1"contentId":885746"subsite":{"id":199118"name":"u0411u0443u0434u0443u0449u0435u0435""avatar":"https://leonardo.osnova.io/64d1192b-d0a7-553e-b439-ed3b9eaf59b6/""url":"https://vc.ru/future""type":2}"place":"feed""isHidden":false"count_likes":6"count_dislikes":null"gtm":"Popular u2014 Feed Item""action":"like""size":"default"}}             {"id":885746"type":"num""link":"https://vc.ru/future/885746-novinka-kosmo-industrii-ubornaya-i-spa-dlya-kosmicheskih-turistov""gtm":"Popular u2014 Feed Item u2014 Comments u2014 Click""prevCount":null"count":4"isAuthorized":false}             {"contentId":885746"count":0"isReposted":false"gtm":"Popular u2014 Feed Item u2014 Repost u2014 Click"}             {"id":885746"type":1"typeStr":"content""showTitle":false"initialState":{"isActive":false}"gtm":"Popular u2014 Feed Item u2014 Add To Favorites u2014 Click"}             {"id":885746"gtm":"Popular u2014 Feed Item u2014 Share u2014 Click"}            {"likeData":{"id":885746"type":1"typeStr":"content""state":0"withUsers":1"contentId":885746"subsite":{"id":199118"name":"u0411u0443u0434u0443u0449u0435u0435""avatar":"https://leonardo.osnova.io/64d1192b-d0a7-553e-b439-ed3b9eaf59b6/""url":"https://vc.ru/future""type":2}"place":"feed""isHidden":false"count_likes":6"count_dislikes":null"gtm":"Popular u2014 Feed Item""action":"dislike""size":"default"}}             {            "osnovaUnitId": null            "url": "https://booster.osnova.io/a/relevant?site=vc&amp;v=2"            "place": "index_feed"            "site": "vc"            "settings": {"modes":{"externalLink":{"buttonLabels":["u0423u0437u043du0430u0442u044c""u0427u0438u0442u0430u0442u044c""u041du0430u0447u0430u0442u044c""u0417u0430u043au0430u0437u0430u0442u044c""u041au0443u043fu0438u0442u044c""u041fu043eu043bu0443u0447u0438u0442u044c""u0421u043au0430u0447u0430u0442u044c""u041fu0435u0440u0435u0439u0442u0438"]}}"deviceList":{"desktop":"u0414u0435u0441u043au0442u043eu043f""smartphone":"u0421u043cu0430u0440u0442u0444u043eu043du044b""tablet":"u041fu043bu0430u043du0448u0435u0442u044b"}}        }                            Приёмная                                        Алёна Альтергот                6 часов       {"isShowSubscribedButtonLabels":true"subsiteId":199124"isShowNotificationsButton":false"isSubscribed":false"isNotificationsEnabled":false"type":"full""buttonType":"inline""size":"tiny""mobileSize":"""subscribeButtonIcon":"v_follow""isShortOnMobile":false"gtm":"Subscribe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Авито заблокировал профиль из-за нарушений хотя при общении с менеджером авито нам сказали что нарушений нет                            Сегодня 11 ноября 2023 года в 22:58 авито заблокировал профиль нашей компании без права восстановления. 1Kпоказов77открытий        {"likeData":{"id":912210"type":1"typeStr":"content""state":0"withUsers":1"contentId":912210"subsite":{"id":199124"name":"u041fu0440u0438u0451u043cu043du0430u044f""avatar":"https://leonardo.osnova.io/08ff68ad-2175-51fb-8adc-a56f40ac6ffa/""url":"https://vc.ru/claim""type":2}"place":"feed""isHidden":false"count_likes":4"count_dislikes":null"gtm":"Popular u2014 Feed Item""action":"like""size":"default"}}             {"id":912210"type":"num""link":"https://vc.ru/claim/912210-avito-zablokiroval-profil-iz-za-narusheniy-hotya-pri-obshchenii-s-menedzherom-avito-nam-skazali-chto-narusheniy-net""gtm":"Popular u2014 Feed Item u2014 Comments u2014 Click""prevCount":null"count":3"isAuthorized":false}             {"contentId":912210"count":0"isReposted":false"gtm":"Popular u2014 Feed Item u2014 Repost u2014 Click"}             {"id":912210"type":1"typeStr":"content""showTitle":false"initialState":{"isActive":false}"gtm":"Popular u2014 Feed Item u2014 Add To Favorites u2014 Click"}             {"id":912210"gtm":"Popular u2014 Feed Item u2014 Share u2014 Click"}            {"likeData":{"id":912210"type":1"typeStr":"content""state":0"withUsers":1"contentId":912210"subsite":{"id":199124"name":"u041fu0440u0438u0451u043cu043du0430u044f""avatar":"https://leonardo.osnova.io/08ff68ad-2175-51fb-8adc-a56f40ac6ffa/""url":"https://vc.ru/claim""type":2}"place":"feed""isHidden":false"count_likes":4"count_dislikes":null"gtm":"Popular u2014 Feed Item""action":"dislike""size":"default"}}                             ChatGPT                                        Neuromarket                вчера          Слушать          {"isShowSubscribedButtonLabels":true"subsiteId":1872372"isShowNotificationsButton":false"isSubscribed":false"isNotificationsEnabled":false"type":"full""buttonType":"inline""size":"tiny""mobileSize":"""subscribeButtonIcon":"v_follow""isShortOnMobile":false"gtm":"Subscribe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7 лучших полезных плагинов для ChatGPT                            На сегодняшний день в магазине плагинов представлено около 84 плагинов. Я попробовал их все и в этой статье поделюсь с вами лучшими на мой взгляд плагинами.14Kпоказов2.4Kоткрытий        {"likeData":{"id":911707"type":1"typeStr":"content""state":0"withUsers":1"contentId":911707"subsite":{"id":1872372"name":"ChatGPT""avatar":"https://leonardo.osnova.io/fc56aaa4-cb0c-5f37-b6ba-94bc8f336926/""url":"https://vc.ru/chatgpt""type":2}"place":"feed""isHidden":false"count_likes":70"count_dislikes":null"gtm":"Popular u2014 Feed Item""action":"like""size":"default"}}             {"id":911707"type":"num""link":"https://vc.ru/chatgpt/911707-7-luchshih-poleznyh-plaginov-dlya-chatgpt""gtm":"Popular u2014 Feed Item u2014 Comments u2014 Click""prevCount":null"count":8"isAuthorized":false}             {"contentId":911707"count":0"isReposted":false"gtm":"Popular u2014 Feed Item u2014 Repost u2014 Click"}             {"id":911707"type":1"typeStr":"content""showTitle":false"initialState":{"isActive":false}"gtm":"Popular u2014 Feed Item u2014 Add To Favorites u2014 Click"}             {"id":911707"gtm":"Popular u2014 Feed Item u2014 Share u2014 Click"}            {"likeData":{"id":911707"type":1"typeStr":"content""state":0"withUsers":1"contentId":911707"subsite":{"id":1872372"name":"ChatGPT""avatar":"https://leonardo.osnova.io/fc56aaa4-cb0c-5f37-b6ba-94bc8f336926/""url":"https://vc.ru/chatgpt""type":2}"place":"feed""isHidden":false"count_likes":70"count_dislikes":null"gtm":"Popular u2014 Feed Item""action":"dislike""size":"default"}}                             Личный опыт                                    Обсуждаемое                     Слушать                                        Никогда не работайте за деньги                            На своём опыте расскажу как перезапустить карьеру в 30 лет. И попытаюсь доказать что деньги это самое бесполезное на что можно ориентироваться в работе.От 20 000 рублей в месяц до собственного интернет-агентства. Но ты так не сможешь т.к. продолжаешь бегать и искать оклад побольше и работы поменьше.                    Хорошо когда на работе выдают корпоративную одежду.                 19Kпоказов11Kоткрытий        {"likeData":{"id":909850"type":1"typeStr":"content""state":0"withUsers":1"contentId":909850"subsite":{"id":199123"name":"u041bu0438u0447u043du044bu0439 u043eu043fu044bu0442""avatar":"https://leonardo.osnova.io/68e0e807-2b43-55b9-9b76-b3f0f76f3d32/""url":"https://vc.ru/life""type":2}"place":"feed""isHidden":false"count_likes":115"count_dislikes":null"gtm":"Popular u2014 Feed Item""action":"like""size":"default"}}             {"id":909850"type":"num""link":"https://vc.ru/life/909850-nikogda-ne-rabotayte-za-dengi""gtm":"Popular u2014 Feed Item u2014 Comments u2014 Click""prevCount":null"count":354"isAuthorized":false}             {"contentId":909850"count":0"isReposted":false"gtm":"Popular u2014 Feed Item u2014 Repost u2014 Click"}             {"id":909850"type":1"typeStr":"content""showTitle":false"initialState":{"isActive":false}"gtm":"Popular u2014 Feed Item u2014 Add To Favorites u2014 Click"}             {"id":909850"gtm":"Popular u2014 Feed Item u2014 Share u2014 Click"}            {"likeData":{"id":909850"type":1"typeStr":"content""state":0"withUsers":1"contentId":909850"subsite":{"id":199123"name":"u041bu0438u0447u043du044bu0439 u043eu043fu044bu0442""avatar":"https://leonardo.osnova.io/68e0e807-2b43-55b9-9b76-b3f0f76f3d32/""url":"https://vc.ru/life""type":2}"place":"feed""isHidden":false"count_likes":115"count_dislikes":null"gtm":"Popular u2014 Feed Item""action":"dislike""size":"default"}}                             Маркетинг                                        Дмитрий Репин                11 часов       {"isShowSubscribedButtonLabels":true"subsiteId":199113"isShowNotificationsButton":false"isSubscribed":false"isNotificationsEnabled":false"type":"full""buttonType":"inline""size":"tiny""mobileSize":"""subscribeButtonIcon":"v_follow""isShortOnMobile":false"gtm":"Subscribe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Бесплатный инструмент продвижения для оффлайн бизнеса. Только горячий трафик                             10Kпоказов419открытий        {"likeData":{"id":911973"type":1"typeStr":"content""state":0"withUsers":1"contentId":911973"subsite":{"id":199113"name":"u041cu0430u0440u043au0435u0442u0438u043du0433""avatar":"https://leonardo.osnova.io/d66009fe-9bf0-52da-bdbf-4c758eba39e7/""url":"https://vc.ru/marketing""type":2}"place":"feed""isHidden":false"count_likes":14"count_dislikes":null"gtm":"Popular u2014 Feed Item""action":"like""size":"default"}}             {"id":911973"type":"num""link":"https://vc.ru/marketing/911973-besplatnyy-instrument-prodvizheniya-dlya-offlayn-biznesa-tolko-goryachiy-trafik""gtm":"Popular u2014 Feed Item u2014 Comments u2014 Click""prevCount":null"count":14"isAuthorized":false}             {"contentId":911973"count":0"isReposted":false"gtm":"Popular u2014 Feed Item u2014 Repost u2014 Click"}             {"id":911973"type":1"typeStr":"content""showTitle":false"initialState":{"isActive":false}"gtm":"Popular u2014 Feed Item u2014 Add To Favorites u2014 Click"}             {"id":911973"gtm":"Popular u2014 Feed Item u2014 Share u2014 Click"}            {"likeData":{"id":911973"type":1"typeStr":"content""state":0"withUsers":1"contentId":911973"subsite":{"id":199113"name":"u041cu0430u0440u043au0435u0442u0438u043du0433""avatar":"https://leonardo.osnova.io/d66009fe-9bf0-52da-bdbf-4c758eba39e7/""url":"https://vc.ru/marketing""type":2}"place":"feed""isHidden":false"count_likes":14"count_dislikes":null"gtm":"Popular u2014 Feed Item""action":"dislike""size":"default"}}                             Приёмная                                        Юлия                8 часов       {"isShowSubscribedButtonLabels":true"subsiteId":199124"isShowNotificationsButton":false"isSubscribed":false"isNotificationsEnabled":false"type":"full""buttonType":"inline""size":"tiny""mobileSize":"""subscribeButtonIcon":"v_follow""isShortOnMobile":false"gtm":"Subscribe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Необоснованная блокировка профиля Авито                            Мой профиль в Авито № 82 805 032 сегодня был заблокирован. В качестве причины было указано то что я якобы отсылаю людей на сторонние сайты где существует поддельная Авито-доставка. В действительности за все 7 лет моего сотрудничества с Авито этого никогда не было и нет в настоящем. 751показ50открытий        {"likeData":{"id":912163"type":1"typeStr":"content""state":0"withUsers":1"contentId":912163"subsite":{"id":199124"name":"u041fu0440u0438u0451u043cu043du0430u044f""avatar":"https://leonardo.osnova.io/08ff68ad-2175-51fb-8adc-a56f40ac6ffa/""url":"https://vc.ru/claim""type":2}"place":"feed""isHidden":false"count_likes":4"count_dislikes":null"gtm":"Popular u2014 Feed Item""action":"like""size":"default"}}             {"id":912163"type":"num""link":"https://vc.ru/claim/912163-neobosnovannaya-blokirovka-profilya-avito""gtm":"Popular u2014 Feed Item u2014 Comments u2014 Click""prevCount":null"count":3"isAuthorized":false}             {"contentId":912163"count":0"isReposted":false"gtm":"Popular u2014 Feed Item u2014 Repost u2014 Click"}             {"id":912163"type":1"typeStr":"content""showTitle":false"initialState":{"isActive":false}"gtm":"Popular u2014 Feed Item u2014 Add To Favorites u2014 Click"}             {"id":912163"gtm":"Popular u2014 Feed Item u2014 Share u2014 Click"}            {"likeData":{"id":912163"type":1"typeStr":"content""state":0"withUsers":1"contentId":912163"subsite":{"id":199124"name":"u041fu0440u0438u0451u043cu043du0430u044f""avatar":"https://leonardo.osnova.io/08ff68ad-2175-51fb-8adc-a56f40ac6ffa/""url":"https://vc.ru/claim""type":2}"place":"feed""isHidden":false"count_likes":4"count_dislikes":null"gtm":"Popular u2014 Feed Item""action":"dislike""size":"default"}}     ОбразованиеРазместитьПоказать ещё Все мероприятия                         ChatGPT                                        Neuromarket                вчера          Слушать          {"isShowSubscribedButtonLabels":true"subsiteId":1872372"isShowNotificationsButton":false"isSubscribed":false"isNotificationsEnabled":false"type":"full""buttonType":"inline""size":"tiny""mobileSize":"""subscribeButtonIcon":"v_follow""isShortOnMobile":false"gtm":"Subscribe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Я пользовался ChatGPT каждый день в течение 5 месяцев. Вот некоторые скрытые возможности которые изменят вашу жизнь                            По мере роста популярности ChatGPT многие привыкли к его стандартным функциям и используют его в различных целях. Однако многие не догадываются что этот ИИ обладает целым рядом дополнительных возможностей не ограничивающихся написанием текстов и кода.7.4Kпоказов4.5Kоткрытий        {"likeData":{"id":911300"type":1"typeStr":"content""state":0"withUsers":1"contentId":911300"subsite":{"id":1872372"name":"ChatGPT""avatar":"https://leonardo.osnova.io/fc56aaa4-cb0c-5f37-b6ba-94bc8f336926/""url":"https://vc.ru/chatgpt""type":2}"place":"feed""isHidden":false"count_likes":72"count_dislikes":null"gtm":"Popular u2014 Feed Item""action":"like""size":"default"}}             {"id":911300"type":"num""link":"https://vc.ru/chatgpt/911300-ya-polzovalsya-chatgpt-kazhdyy-den-v-techenie-5-mesyacev-vot-nekotorye-skrytye-vozmozhnosti-kotorye-izmenyat-vashu-zhizn""gtm":"Popular u2014 Feed Item u2014 Comments u2014 Click""prevCount":null"count":27"isAuthorized":false}             {"contentId":911300"count":0"isReposted":false"gtm":"Popular u2014 Feed Item u2014 Repost u2014 Click"}             {"id":911300"type":1"typeStr":"content""showTitle":false"initialState":{"isActive":false}"gtm":"Popular u2014 Feed Item u2014 Add To Favorites u2014 Click"}             {"id":911300"gtm":"Popular u2014 Feed Item u2014 Share u2014 Click"}            {"likeData":{"id":911300"type":1"typeStr":"content""state":0"withUsers":1"contentId":911300"subsite":{"id":1872372"name":"ChatGPT""avatar":"https://leonardo.osnova.io/fc56aaa4-cb0c-5f37-b6ba-94bc8f336926/""url":"https://vc.ru/chatgpt""type":2}"place":"feed""isHidden":false"count_likes":72"count_dislikes":null"gtm":"Popular u2014 Feed Item""action":"dislike""size":"default"}}             {            "osnovaUnitId": null            "url": "https://booster.osnova.io/a/relevant?site=vc&amp;v=2"            "place": "index_feed"            "site": "vc"            "settings": {"modes":{"externalLink":{"buttonLabels":["u0423u0437u043du0430u0442u044c""u0427u0438u0442u0430u0442u044c""u041du0430u0447u0430u0442u044c""u0417u0430u043au0430u0437u0430u0442u044c""u041au0443u043fu0438u0442u044c""u041fu043eu043bu0443u0447u0438u0442u044c""u0421u043au0430u0447u0430u0442u044c""u041fu0435u0440u0435u0439u0442u0438"]}}"deviceList":{"desktop":"u0414u0435u0441u043au0442u043eu043f""smartphone":"u0421u043cu0430u0440u0442u0444u043eu043du044b""tablet":"u041fu043bu0430u043du0448u0435u0442u044b"}}        }                            Трибуна                                        Дмитрий Беговатов                вчера       {"isShowSubscribedButtonLabels":true"subsiteId":199116"isShowNotificationsButton":false"isSubscribed":false"isNotificationsEnabled":false"type":"full""buttonType":"inline""size":"tiny""mobileSize":"""subscribeButtonIcon":"v_follow""isShortOnMobile":false"gtm":"Subscribe suggestion u2014 Anon feed item""subscribeGtmClicks":["Subscribe suggestion u2014 Anon feed item u2014 Clicked""Feed Item u2014 Subscribe Button u2014 Click"]}                                       Субботний самопиар на vc.ru                            Делимся в комментах ссылками на свои проекты и комментируем чужие! 👉 Новая площадка для продвижения онлайн-проектов Product Radar 14Kпоказов1.8Kоткрытий        {"likeData":{"id":911564"type":1"typeStr":"content""state":0"withUsers":1"contentId":911564"subsite":{"id":199116"name":"u0422u0440u0438u0431u0443u043du0430""avatar":"https://leonardo.osnova.io/04607ca7-338b-561e-9403-3f06a70ef789/""url":"https://vc.ru/tribuna""type":2}"place":"feed""isHidden":false"count_likes":69"count_dislikes":null"gtm":"Popular u2014 Feed Item""action":"like""size":"default"}}             {"id":911564"type":"num""link":"https://vc.ru/tribuna/911564-subbotniy-samopiar-na-vc-ru""gtm":"Popular u2014 Feed Item u2014 Comments u2014 Click""prevCount":null"count":157"isAuthorized":false}             {"contentId":911564"count":0"isReposted":false"gtm":"Popular u2014 Feed Item u2014 Repost u2014 Click"}             {"id":911564"type":1"typeStr":"content""showTitle":false"initialState":{"isActive":false}"gtm":"Popular u2014 Feed Item u2014 Add To Favorites u2014 Click"}             {"id":911564"gtm":"Popular u2014 Feed Item u2014 Share u2014 Click"}            {"likeData":{"id":911564"type":1"typeStr":"content""state":0"withUsers":1"contentId":911564"subsite":{"id":199116"name":"u0422u0440u0438u0431u0443u043du0430""avatar":"https://leonardo.osnova.io/04607ca7-338b-561e-9403-3f06a70ef789/""url":"https://vc.ru/tribuna""type":2}"place":"feed""isHidden":false"count_likes":69"count_dislikes":null"gtm":"Popular u2014 Feed Item""action":"dislike""size":"default"}}                     {"isRegardCpuComplete":false"hasAccess":false}                                [{"id":1"label":"Header 100%x250: D""provider":"adfox""adaptive":["desktop"]"adfox_method":"createAdaptive""auto_reload":true"adfox":{"ownerId":228129"params":{"pp":"g""ps":"bugf""p2":"ezfl"}}"distribution":"top-desktop"}{"id":2"label":"Header 1200x400/600: M""provider":"adfox""adaptive":["phone"]"adfox_method":"createAdaptive""auto_reload":true"adfox":{"ownerId":228129"params":{"pp":"g""ps":"bugf""p2":"ezfn"}}"distribution":"top-mobile"}{"id":4"label":"Article Branding top""provider":"adfox""adaptive":["desktop"]"adfox_method":"createAdaptive""adfox":{"ownerId":228129"params":{"p1":"cfovx""p2":"glug"}}}{"id":5"label":"300x600: D""provider":"adfox""adaptive":["desktop"]"adfox_method":"createAdaptive""adfox":{"ownerId":228129"params":{"pp":"g""ps":"bugf""p2":"ezfk"}}"distribution":"right-sidebar"}{"id":6"label":"Above the Comments: D""provider":"adfox""adaptive":["desktop"]"adfox_method":"createAdaptive""adfox":{"ownerId":228129"params":{"pp":"h""ps":"bugf""p2":"ffyh"}}"distribution":"before-comments-desktop""analytics":"AdfoxRecount u2014 1020 u2014 Show"}{"id":7"label":"Above the Comments: M""provider":"adfox""adaptive":["tablet""phone"]"adfox_method":"createAdaptive""adfox":{"ownerId":228129"params":{"p1":"bwkpg""p2":"fjxb"}}"distribution":"before-comments-mobile"}{"id":12"label":"Topbar button: D""provider":"adfox""adaptive":["desktop"]"adfox_method":"createAdaptive""adfox":{"ownerId":228129"params":{"p1":"bscsh""p2":"fdhx"}}}{"id":13"label":"In Article: M""provider":"adfox""adaptive":["phone"]"adfox_method":"createAdaptive""adfox":{"ownerId":228129"params":{"pp":"h""ps":"bugf""p2":"flvn"}}"analytics":"AdfoxRecount u2014 300 u2014 Show"}{"id":15"label":"In-Feed Teaser: DM""provider":"adfox""adaptive":["desktop""tablet""phone"]"adfox_method":"createAdaptive""adfox":{"ownerId":228129"params":{"p1":"byudx""p2":"ftjf"}}}{"id":16"label":"Topbar button: M""provider":"adfox""adaptive":["tablet""phone"]"adfox_method":"createAdaptive""adfox":{"ownerId":228129"params":{"p1":"byzqf""p2":"ftwx"}}}{"id":17"label":"Stratum: D""provider":"adfox""adaptive":["desktop"]"adfox_method":"createAdaptive""auto_reload":true"adfox":{"ownerId":228129"params":{"pp":"g""ps":"bugf""p2":"fzvb"}}}{"id":18"label":"Stratum: M""provider":"adfox""adaptive":["tablet""phone"]"adfox_method":"createAdaptive""auto_reload":true"adfox":{"ownerId":228129"params":{"pp":"g""ps":"bugf""p2":"fzvc"}}}{"id":19"label":"Under the News Teaser: DM""provider":"adfox""adaptive":["desktop""tablet""phone"]"adfox_method":"createAdaptive""auto_reload":true"adfox":{"ownerId":228129"params":{"p1":"cbltd""p2":"gazs"}}}{"id":20"label":"Leftbar button: D""provider":"adfox""adaptive":["desktop"]"adfox_method":"createAdaptive""adfox":{"ownerId":228129"params":{"p1":"cgxmr""p2":"gnwc"}}}{"id":21"label":"Header Microteaser: D""provider":"adfox""adaptive":["desktop"]"adfox_method":"createAdaptive""adfox":{"ownerId":228129"params":{"pp":"g""ps":"bugf""p2":"gtjk"}}}{"id":23"label":"In Article: D""provider":"adfox""adaptive":["desktop"]"adfox_method":"createAdaptive""adfox":{"ownerId":228129"params":{"pp":"g""ps":"bugf""p2":"hiig"}}}{"id":26"label":"For test: D""provider":"adfox""adaptive":["desktop"]"adfox_method":"createAdaptive""adfox":{"ownerId":228129"params":{"pp":"g""ps":"bugf""p2":"icbj"}}}{"id":27"label":"For test: M""provider":"adfox""adaptive":["tablet""phone"]"adfox_method":"createAdaptive""adfox":{"ownerId":228129"params":{"pp":"g""ps":"bugf""p2":"icbn"}}}{"id":28"label":"For test: DM""provider":"adfox""adaptive":["desktop""tablet""phone"]"adfox_method":"createAdaptive""adfox":{"ownerId":228129"params":{"pp":"g""ps":"bugf""p2":"icbo"}}}{"id":31"label":"300x600 screen 2: D""provider":"adfox""adaptive":["desktop"]"adfox_method":"createAdaptive""adfox":{"ownerId":228129"params":{"pp":"g""ps":"bugf""p2":"fizc"}}}]                                    {"token":"eyJpbnRlZ3JhdGlvbklkIjoiYmFmNjQ4MmUtMmY3ZS00Mzg4LWEyZGYtMDJkYjk2ZmIzOWQwIiwic2VjcmV0IjoiMTFjNDMxZTMtNjRjNS00MWUxLTlmNjgtNTkzMTk1OGQ1NTZiIn0=""release":"a1f39f4a"}                                null            </t>
  </si>
  <si>
    <t>vc.ru</t>
  </si>
  <si>
    <t>YouTube Help</t>
  </si>
  <si>
    <t>Official YouTube Help Center where you can find tips and tutorials on using YouTube and other answers to frequently asked questions.</t>
  </si>
  <si>
    <t>https://support.google.com/youtube/?hl=en</t>
  </si>
  <si>
    <t>YouTube: Путь к успеху. Часть 1. Как получать фуры лайков и ...</t>
  </si>
  <si>
    <t>https://books.google.com/books?id=_kFTDAAAQBAJ&amp;pg=PT134&amp;lpg=PT134&amp;dq=%D1%8E%D1%82%D1%83%D0%B1&amp;source=bl&amp;ots=bLvHBgAo0s&amp;sig=ACfU3U0Pyndc8hjaNRi15U3VE_0qEUUSYg&amp;hl=ru&amp;sa=X&amp;ved=2ahUKEwjCyrymiruCAxVFkIkEHQa0AN4Q6AF6BAgdEAM</t>
  </si>
  <si>
    <t>YouTube. Путь к успеху. Как получать фуры лайков и тонны денег</t>
  </si>
  <si>
    <t>https://books.google.com/books?id=znfMDQAAQBAJ&amp;pg=PT159&amp;lpg=PT159&amp;dq=%D1%8E%D1%82%D1%83%D0%B1&amp;source=bl&amp;ots=uxJh_a_XWd&amp;sig=ACfU3U0NyltHzAbHda6_8SpLyL38hs_L0Q&amp;hl=ru&amp;sa=X&amp;ved=2ahUKEwjCyrymiruCAxVFkIkEHQa0AN4Q6AF6BAgcEAM</t>
  </si>
  <si>
    <t>30 проблем Ютуб мастеров и пути их решения</t>
  </si>
  <si>
    <t>https://books.google.com/books?id=wqYUEAAAQBAJ&amp;pg=PT140&amp;lpg=PT140&amp;dq=%D1%8E%D1%82%D1%83%D0%B1&amp;source=bl&amp;ots=1qzbbNjv_c&amp;sig=ACfU3U3FDcBAO8P1px66izhIGeTHL3zO_w&amp;hl=ru&amp;sa=X&amp;ved=2ahUKEwjCyrymiruCAxVFkIkEHQa0AN4Q6AF6BAgbEAM</t>
  </si>
  <si>
    <t>YouTube | Google for Developers</t>
  </si>
  <si>
    <t>Let users search YouTube content, upload videos, create and manage playlists, and more. Overview Reference Code samples ...</t>
  </si>
  <si>
    <t>https://developers.google.com/youtube</t>
  </si>
  <si>
    <t>Новый YouTube. Путь к успеху. Как получать фуры лайков и ...</t>
  </si>
  <si>
    <t>https://books.google.com/books?id=SY6sDwAAQBAJ&amp;pg=PT145&amp;lpg=PT145&amp;dq=%D1%8E%D1%82%D1%83%D0%B1&amp;source=bl&amp;ots=GAVTuFdBAP&amp;sig=ACfU3U1BuzxDzrOA1Mr3uOPUPfo9qdNcLA&amp;hl=ru&amp;sa=X&amp;ved=2ahUKEwjCyrymiruCAxVFkIkEHQa0AN4Q6AF6BAgeEAM</t>
  </si>
  <si>
    <t>Set up YouTube Kids</t>
  </si>
  <si>
    <t>YouTube Kids provides a more contained environment for kids to explore YouTube and makes it easier for parents and caregivers to guide their journey.</t>
  </si>
  <si>
    <t>https://www.youtubekids.com/</t>
  </si>
  <si>
    <t>Sign in to continue to YouTube</t>
  </si>
  <si>
    <t>to continue to YouTube. Email or phone. Forgot email? CAPTCHA image of text used to distinguish humans from robots. Type the text you hear or see.</t>
  </si>
  <si>
    <t>https://accounts.google.com/ServiceLogin?service=youtube</t>
  </si>
  <si>
    <t>YouTube for Artists - Where Music Grows</t>
  </si>
  <si>
    <t>Top Songs on YouTube · 1. Lil Mabu x ChriseanR... Lil Mabu · 2. SZA - Snooze (Offici... SZA · 3. Toosii - Favorite So... Toosii2x · 4. Doja Cat - Paint The...</t>
  </si>
  <si>
    <t>https://artists.youtube/</t>
  </si>
  <si>
    <t>YouTube for Artists - Where Music Grows            Jump to content                            Features                                  News                                  Resources                                  Songwriters                                        Songwriters Home                                          Songwriters &amp; Producers                                          Publishers &amp; Societies                                          Content Strategies                                          Insider tips                                  Where Music Grows                            Promote your music. Find your fans. Learn how to turn your                passion into a career on YouTube.                              Discover Rauw Alejandro                              Go to Charts &amp; Insights                              Get started on YouTube                                Set up your Official Artist Channel                                  Start earning money                                  Make better decisions with Artist Analytics                                  Explore Shorts                                  Check out Artist Resources and FAQs                Unfiltered with...Tuma Basa                  Born in Zaire raised between Iowa and Zimbabwe and now based                  out of DC get to know YouTube’s Director of Black Music and                  Culture Tuma Basa and what’s on his mind in our inaugural                  edition of Unfiltered with…                Get to know Tuma Basa                  YouTube Charts                                  See which artists and songs are trending today on the world’s                  most expansive music platform.                                  Go to Charts                            Top Songs on YouTube                              See all charts                                      See all charts                              Check out Artist Resources                                      Multi-Format Release Checklist                                                    This resource highlights the steps artists can take                          throughout the release cycle to best set their release                          up for success.                                                    Multi-Format Release Strategy                                                    This resource highlights how artists can utilize a                          multi-format release strategy - leveraging Shorts                          video and live - throughout each phase of the release                          cycle.                                                    Trending Track Playbook                                                    Explore ways to identify if your track is starting to                          trend how to best amplify that song on YouTube and                          much more.                                                    Export Strategy Playbook                                                    Learn how to maximize the opportunity of YouTube to                          export your music globally                                                    Creator Music Guidebook for Artists &amp; Labels                                                    A new resource that covers what Creator Music is and                          how it works as well as the promotional aspect the                          product can potentially have on your music.                                                    Going Live on YouTube for Artists &amp; Labels                                                    A new resource that covers a technical step by step on                          how music labels and artists can go live on YouTube.                                      See tips for you and your team                        Stay in the know          Only on YouTube                          What is the biggest thing in music today?                          Participation. While YouTube has always been a two-way                          street engaging your audience with music has become                          mission critical.                                                    Have you seen my Short?                                                    Everybody knows that our mission at YouTube is to                          become the No. 1 contributor of revenue for the music                          industry by 2025. But what you might not know is how                          important fandom is to us.                                                    Introducing...The Home For Songwriters On YouTube!                                                    We are pleased to announce the launch of our brand new                          YouTube for Songwriters portal within our revamped                          YouTube for Artists site!                                                    Nobody does it like The BRITs                                                    From Elton to Amy to Skepta and now Little Simz my                          mission is to live and breathe UK Music.                                                    Artists doing it on their own terms.                                                    When YouTube was founded 16 years ago it was on the                          shoulders of do-it-yourself artists and creatives.                          This community understood that anyone can influence                          culture as long as they have the right music vision                          and team.                                                    YouTube #Shorts is here. Have you made yours yet?                                                    Last Friday BTS invited the world to dance with them                          on YouTube Shorts. Their new single Permission to                          Dance sparked the first-ever worldwide dance                          challenge on YouTube Shorts.                                      Read the latest news                            Need to claim your Official Artist Channel?                              Find out how</t>
  </si>
  <si>
    <t>artists.youtube</t>
  </si>
  <si>
    <t>https://books.google.com/books?id=SY6sDwAAQBAJ&amp;pg=PT137&amp;lpg=PT137&amp;dq=%D1%8E%D1%82%D1%83%D0%B1&amp;source=bl&amp;ots=GAVTuFeBFR&amp;sig=ACfU3U12QSH7pan_JXFixzoW36B6Go0uOg&amp;hl=ru&amp;sa=X&amp;ved=2ahUKEwivx6mcjruCAxWqv4kEHarZA2UQ6AF6BAghEAM</t>
  </si>
  <si>
    <t>Create a YouTube channel</t>
  </si>
  <si>
    <t>Create a personal channel · Sign in to YouTube on a computer or the mobile site. · Click your profile picture "" and then Create a channel. · You'll be asked to ...</t>
  </si>
  <si>
    <t>https://support.google.com/youtube/answer/1646861?hl=en</t>
  </si>
  <si>
    <t>https://books.google.com/books?id=wqYUEAAAQBAJ&amp;pg=PP1&amp;lpg=PP1&amp;dq=%D1%8E%D1%82%D1%83%D0%B1&amp;source=bl&amp;ots=1qzbbNkv3e&amp;sig=ACfU3U1Q2-i_fhgxR5wCfDGzc_d38cD4pg&amp;hl=ru&amp;sa=X&amp;ved=2ahUKEwivx6mcjruCAxWqv4kEHarZA2UQ6AF6BAggEAM</t>
  </si>
  <si>
    <t>https://books.google.com/books?id=_kFTDAAAQBAJ&amp;pg=PT40&amp;lpg=PT40&amp;dq=%D1%8E%D1%82%D1%83%D0%B1&amp;source=bl&amp;ots=bLvHBgBo5u&amp;sig=ACfU3U2m5GrJUmBnFJACFK_cqM8jK6Cp2Q&amp;hl=ru&amp;sa=X&amp;ved=2ahUKEwivx6mcjruCAxWqv4kEHarZA2UQ6AF6BAgfEAM</t>
  </si>
  <si>
    <t>YouTube Icon</t>
  </si>
  <si>
    <t>YouTube icon in the Solid style. Make a bold statement in small sizes.. Available now in Font Awesome 6.</t>
  </si>
  <si>
    <t>https://fontawesome.com/icons/youtube</t>
  </si>
  <si>
    <t>Font Awesome</t>
  </si>
  <si>
    <t>fontawesome.com</t>
  </si>
  <si>
    <t>яндекс</t>
  </si>
  <si>
    <t>Яндекс</t>
  </si>
  <si>
    <t>Яндекс — поисковая система и интернет-портал. Поиск по интернету, Алиса и другие сервисы: на ya.ru есть карты, транспорт, погода, музыка, такси, переводчик, ...</t>
  </si>
  <si>
    <t>https://ya.ru/</t>
  </si>
  <si>
    <t>ЯндексВойтиНайтиМаркетИгрыКартыКинопоискПе­ре­вод­чикАвто.руПу­те­шест­вияМузыкаПрактикумВсе0°Курсы ЦБ РФUSD 9205EUR 9832Энн-АрборВсе сервисыЗакрыть менюСервисыБизнесуМаркетИгрыКартыКинопоискПе­ре­вод­чикАвто.руПу­те­шест­вияВидеоКартинкиМузыкаТе­­ле­­прог­­рам­­маНе­дви­жи­мостьЯндекс АфишаМетроЕдадилПрактикумЯндекс ЗаданияБукмейтДискДоставкаДрайвЗаметкиЗдоровьеКалендарьМетрикаПлюсПогодаПо­иск по ар­хи­вамПоиск по товарамПомощь рядомПочтаРепетиторТелемостУслугиЯндекс УчебникYandex CloudПоказать всеБизнесуПоиск по товарам B2BВсе сервисы ЯндексаПриложения для телефона{"static":"2023-11-11-416.1""content":"big""domain":"ru"}</t>
  </si>
  <si>
    <t>ya.ru</t>
  </si>
  <si>
    <t>Завести почту на Яндексе: надёжная защита от спама и вирусов, сортировка входящих по категориям, выделение писем от людей, 5 ГБ на Яндекс Диске бесплатно, ...</t>
  </si>
  <si>
    <t>Yandex music</t>
  </si>
  <si>
    <t>https://music.yandex.ru/</t>
  </si>
  <si>
    <t>Компания Яндекс</t>
  </si>
  <si>
    <t>Официальный сайт компании «Яндекс». Последние новости о сервисах Яндекса: Алиса, поиск, умные устройства, карты, погода, такси, переводчик, браузер и другие ...</t>
  </si>
  <si>
    <t>https://yandex.ru/company/</t>
  </si>
  <si>
    <t>Скачать Яндекс Браузер</t>
  </si>
  <si>
    <t>https://browser.yandex.ru/</t>
  </si>
  <si>
    <t>browser.yandex.ru</t>
  </si>
  <si>
    <t>Игры онлайн бесплатно и без установки на любой вкус</t>
  </si>
  <si>
    <t>https://yandex.ru/games/</t>
  </si>
  <si>
    <t>Дзен</t>
  </si>
  <si>
    <t>https://dzen.ru/</t>
  </si>
  <si>
    <t>Яндекс - все новости и статьи</t>
  </si>
  <si>
    <t>Яндекс · 11:03. В правительстве раскрыли подробности финансирования льготных ипотек · 10:55. Источник сообщил о взрыве перед сходом вагонов с рельсов в ...</t>
  </si>
  <si>
    <t>https://www.gazeta.ru/tags/organization/yandeks.shtml</t>
  </si>
  <si>
    <t>«Я́ндекс» — российская транснациональная компания в отрасли информационных технологий, чьё головное юридическое лицо зарегистрировано в Нидерландах, ...</t>
  </si>
  <si>
    <t>https://ru.wikipedia.org/wiki/%D0%AF%D0%BD%D0%B4%D0%B5%D0%BA%D1%81</t>
  </si>
  <si>
    <t>Основная цель Яндекса — решать задачи людей. Любые задачи: в сети и в реальном мире, повседневные и редкие, бытовые и научные, за третий класс и за пятый курс.</t>
  </si>
  <si>
    <t>https://vk.com/yandex</t>
  </si>
  <si>
    <t>На этом канале мы показываем и рассказываем, как живёт и работает Яндекс. Каждый день наши технологии и сервисы решают множество задач людей.</t>
  </si>
  <si>
    <t>https://www.youtube.com/channel/UCixlrqz8w-oa4UzdKyHLMaA</t>
  </si>
  <si>
    <t>https://www.facebook.com/yandex/?locale=ru_RU</t>
  </si>
  <si>
    <t>Яндекс Старт - Приложения в Google Play</t>
  </si>
  <si>
    <t>Описание. arrow_forward. В приложении Яндекс Старт всё нужное на одном экране и любую страницу можно сделать главной. Всегда под рукой удобный поиск, погода и ...</t>
  </si>
  <si>
    <t>https://play.google.com/store/apps/details?id=ru.yandex.searchplugin&amp;hl=ru&amp;gl=US</t>
  </si>
  <si>
    <t>Яндекс (@yandex) • Instagram photos and videos</t>
  </si>
  <si>
    <t>155K Followers, 19 Following, 1612 Posts - See Instagram photos and videos from Яндекс (@yandex)</t>
  </si>
  <si>
    <t>https://www.instagram.com/yandex/</t>
  </si>
  <si>
    <t>Yandex — новости и информация о компании</t>
  </si>
  <si>
    <t>«Яндекс» и Сбербанк объявили о разделе активов. У них два совместных предприятия – «Яндекс.Деньги» и «Яндекс.Маркет» · «Яндекс» отказался от публикации ...</t>
  </si>
  <si>
    <t>https://www.vedomosti.ru/companies/yandex-n-v</t>
  </si>
  <si>
    <t>Яндекс, Москва - Как мы делаем Яндекс / Статьи / Хабр</t>
  </si>
  <si>
    <t>1 нояб. 2023 г. —</t>
  </si>
  <si>
    <t>https://habr.com/ru/companies/yandex/articles/</t>
  </si>
  <si>
    <t>«Яндекс» представил умную колонку «Станция Миди»</t>
  </si>
  <si>
    <t>https://3dnews.ru/1095711/yandeks-anonsiroval-umnuyu-kolonku-stantsiya-midi-s-moshchnim-zvukom-neyroprotsessorom-i-zigbee</t>
  </si>
  <si>
    <t>Купить акции Яндекс (YNDX)</t>
  </si>
  <si>
    <t>На 10.11.2023 стоимость одной акции компании Яндекс составляет 2592.4 рубля. Сделка по покупке актива производится на Московской бирже. Доступна торговля в лонг ...</t>
  </si>
  <si>
    <t>https://www.tinkoff.ru/invest/stocks/YNDX/</t>
  </si>
  <si>
    <t>Яндекс Go — заказ такси, доставки, товаров и еды, аренды ...</t>
  </si>
  <si>
    <t>Яндекс Go — приложение для заказа такси, еды, продуктов, товаров, доставки посылок, аренды машин и просмотра расписания транспорта.</t>
  </si>
  <si>
    <t>https://go.yandex/ru_ru/</t>
  </si>
  <si>
    <t>Яндекс Go — заказ такси доставки товаров и еды аренды машин в РоссииТаксиUltimaМаркетСамокатыДрайвДоставкаЕдаЛавкаСкачать приложениеРоссия (Русский)‎© 2011−2023 ООО «Яндекс.Такси»Ехать отправлять встречатьЗаказ такси еды продуктов товаров и доставки посылок а ещё каршеринг аренда самокатов и расписание транспорта.Скачать приложениетаксиБыстрый заказ таксиВы указываете куда ехать и сразу видите цену поездки и предполагаемое время в пути. Оплатить можно картой или наличными водителю.Заказать такси в Яндекс GoСервис премиум-классаUltima — это сервис заказа представительских автомобилей. Внимательные водители и высочайший уровень сервиса для вашего ежедневного комфорта в классах Business Premier Élite Cruise или Driver.Заказать автомобиль и насладиться поездкоймаркетМиллионы товаров с быстрой доставкойПокупайте со скидками электронику одежду и обувь товары для дома и многое другое. Сравнивайте товары по рейтингу и честным отзывам чтобы выбрать лучшее для вас.Заказать товары в Яндекс GoсамокатыАренда самокатовЯркие жёлтые — для прогулок и поездок по делам. Во время катания действует страховка но пожалуйста будьте аккуратны.Подробнее про самокатыдрайвКаршерингТысячи машин на выбор. Каждая застрахована и заправлена. Вы указываете конечный адрес мы показываем цену поездки. Работаем в Москве Санкт-Петербурге и Сочи.Забронировать машину в Яндекс GoдоставкаПеревозка ваших вещейЗаказывайте фургон с грузчиками для больших вещей. А маленькие посылки можно доверить курьеру.Заказать доставку через Яндекс GoедаБыстрая доставка любимых блюдТолько проверенные партнёры локальные заведения и разнообразный выбор блюд: от бургеров до суши от борща до мороженого.Заказать еду в Яндекс GoлавкаМагазин в который не нужно ходитьЗаказывайте молоко креветки булочки или шампунь а курьер доставит всё бесплатно через 10-15 минут. Работаем в Москве Санкт-Петербурге и Иркутске.Заказать продукты в Яндекс GoСкачайте приложениеНаведите камеру на QR-код для загрузки приложенияРоссия (Русский)‎ПоездкиЗаказать таксиСамокатыКомфортДетскийUltimaБезопасностьЗабота в деталяхПолезные советыНовости сервисаСлужба поддержкиВодителямСтать водителем в паркеСтать самозанятымСтать курьеромАрендовать автоСайт для водителейДругоеЯндекс ЕдаЯндекс ЛавкаЯндекс ДрайвЯндекс ДоставкаДля бизнесаТакси для бизнесаЕда для бизнесаЛавка для бизнесаЗаправки для бизнесаДрайв для бизнесаМаркет для бизнесаДоставка для бизнесаВсе сервисы для бизнесаПользовательское соглашениеЛицензионное соглашениеПолитика конфиденциальностиПоставщикамЯндекс Go — мобильное приложение для заказа услуг и товаров на условиях указанных на https://ya.cc/go. Услуги и товары реализуются партнёрами сервисов самостоятельно. 0+Проект компании Яндекс.Наведите камеру на QR-код для загрузки приложения Яндекс GoПользовательское соглашениеЛицензионное соглашениеПолитика конфиденциальностиПоставщикамЯндекс Go — мобильное приложение для заказа услуг и товаров на условиях указанных на https://ya.cc/go. Услуги и товары реализуются партнёрами сервисов самостоятельно. 0+Проект компании Яндекс.© 2011−2023 ООО «Яндекс.Такси»Яндекс Go — мобильное приложение для заказа услуг и товаров на условиях указанных на https://ya.cc/go. Услуги и товары реализуются партнёрами сервисов самостоятельно. 0+Проект компании Яндекс.</t>
  </si>
  <si>
    <t>go.yandex</t>
  </si>
  <si>
    <t>bow_translation</t>
  </si>
  <si>
    <t>translation error</t>
  </si>
  <si>
    <t>atomic heart      Atomic Heart on Steam      Nan</t>
  </si>
  <si>
    <t>atomic heart    Atomic Heart | Exclusively on VK Play         Atomic Heart | Exclusively on VK PlayGAME NOW AVAILABLEBuyAdd to VK Play wishlistAbout the gameUSSRFUTUREA large-scale system failure at Soviet Enterprise No. 3826 led to a rebellion of machines against humanity. You are Major P-3, your task is to eliminate the consequences of a global catastrophe and contain the leak of classified information that threatens destruction to the entire world. RUTHLESS BATTLES Study the behavior of your opponents and monitor their relationships. Use a large arsenal of weapons and the superpowers of your polymer glove. Turn everything into a weapon: objects around your body and even your enemies! Each battle is unique. FACE OF THE SOVIET DREAM Buy the game Study all game locations in detail. Huge research complexes, many testing sites and mortal threats at every turn. Explore all corners of the premises and you can find many interesting facts about the life and work of employees conducting research of varying degrees of secrecy. If, of course, you can survive. NEURAL NETWORK PERFORMING THE WORLD The global neural network “Collective” connects all flying and ground robots on the surface and in underground complexes into a single network. If you are noticed, reinforcements will quickly arrive from the nearest Auto Factory to eliminate you. Play in stealth mode and not raise the alarm or run ahead and destroy enemies - the choice is yours! Join the Atomic ClubGet access to exclusive content, special offers and be the first to know about upcoming updates and events!join VK© 2023 ASTRUM LLC. All rights reserved. All trademarks are the property of their respective owners.18+Atomic Heart Privacy PolicyGeneral License AgreementGeneral Privacy PolicySupport Center</t>
  </si>
  <si>
    <t>atomic heart      Atomic Heart      Nan</t>
  </si>
  <si>
    <t>atomic heart    Atomic Heart    Atomic Heart (from English - “Atomic Heart”) is a computer game in the genre of first-person shooter with role-playing game elements, developed by the Russian studio...</t>
  </si>
  <si>
    <t>atomic heart    Atomic Heart          VK.com | VKYour browser is out of dateThis may cause VK to work slowly or experience errors.Update your browser or install one of the following:ChromeOperaFirefox</t>
  </si>
  <si>
    <t>atomic heart    Atomic Heart    Welcome to the official channel of Mundfish studio and Atomic Heart game!Atomic Heart, the first-person action-RPG set in the mad utopia of fictional 1955, ...    YouTubeAboutPressCopyrightContact usCreatorsAdvertiseDevelopersTermsPrivacyPolicy &amp; SafetyHow YouTube worksTest new featuresNFL Sunday Ticket© 2023 Google LLC</t>
  </si>
  <si>
    <t>atomic heart    Atomic Heart    Welcome to the official channel of Mundfish studio and Atomic Heart game! mundfish.com/e d 5 more links. Subscribe. Home. Videos. Shorts. Playlists.    YouTubeAboutPressCopyrightContact usCreatorsAdvertiseDevelopersTermsPrivacyPolicy &amp; SafetyHow YouTube worksTest new featuresNFL Sunday Ticket© 2023 Google LLC</t>
  </si>
  <si>
    <t>atomic heart  Atomic Heart  Atomic Heart is a colorful title with a gripping story and powerful dialogue. Its universe between Bioshock and Wolfenstein absorbs you and takes you on a fast-...</t>
  </si>
  <si>
    <t>chatgpt    ChatGPT    ChatGPT is a free-to-use AI system. Use it for engaging conversations, gain insights, automate tasks, and witness the future of AI, all in one place.    ChatGPTChatGPT ●Help me picka gift for my dad who loves fishing●an outfit that will look good on camera●Summarize this articleinto three key points●as a table of pros and cons●Write a textthat goes with a kitten gif for a friend having a rough day●asking a friend to be my plus-one at a wedding●Plan a tripto experience Seoul like a local●to see the northern lights in Norway●Help me debuga Python script automating daily reports●why the linked list appears empty after I've reversed it●Suggest fun activitiesfor a team-building day with remote employees●for a family of 4 to do indoors on a rainy day●Give me ideas for a customer loyalty program in a small bookstore●for what to do with my kids' art●Write a thank-you note to my interviewer●to our babysitter for the last-minute help●Brainstorm namesfor my fantasy football team●for an orange cat we're adopting from the shelter●Recommend a dishto bring to a potluck●to impress a date who's a picky eater●Draft an emailto request a quote from local plumbers●requesting a deadline extension for my project●Improve my postfor selling a used vacuum in good condition●for hiring a store associate●ChatGPT ●Get startedLog inSign upTerms of use|Privacy policy</t>
  </si>
  <si>
    <t>chatgpt    ChatGPT in Russian    ChatGPT is an artificial intelligence capable of generating texts on various topics, answering questions and even maintaining conversations in different languages, including...</t>
  </si>
  <si>
    <t>chatgpt   Chad | ChatGPT in Russian</t>
  </si>
  <si>
    <t>chatgpt    ChatGPT</t>
  </si>
  <si>
    <t>chatgpt    Chat GPT: neural network in Russian. Online service ...         You need to enable js support in your browser to visit this site.</t>
  </si>
  <si>
    <t>chatgpt    ChatGPT in Russian: free and without registration    The ChatGPT neural network is available in Russia. Use the chatbot from OpenAI in Russian completely free of charge and without registration.    208.75.19.153 11/12/2023 06:45:11 Sorry your request has been denied.</t>
  </si>
  <si>
    <t>chatgpt     the creator of ChatGPT told us what future he is going to...    19 hours ago —</t>
  </si>
  <si>
    <t>CHATGPT      Start ChatGPT      Start ChatGPT from Russia without VPN and without SMS .     ChatGPT for Russian confirmation OK Addiction for Chatgpt from Russia Openai without VPN and without SMS format: Web website operates a telephone. rubles per month or 10,000 signs requests for free! Close  Go... Cancel  OK   To the registration page... Connecting to ChatGPT in Russia without VPN and without CMC.chatgptbot.ruChatGPT in Russia000    Home ChatGPT bot Personal account Contacts ContactsReport an error Documents AnnouncementTariffsData processing policyOffer agreement - terms of useClear chat LoginRegistration+8Start ChatGPTConnect to ChatGPT from Russia without VPN and without SMS. Possibly the smartest BOT in the world. Go to ChatGPTbotRegistration on chatgptbot.ruOnly 109 rubles per month or 25,000 charactersGo to registration</t>
  </si>
  <si>
    <t>chatgpt    ChatGPT: how to use a neural network and what it can do     Apr 7 2023 —</t>
  </si>
  <si>
    <t>chatgpt      ChatGPT - App Store      Sep 12 2023 —</t>
  </si>
  <si>
    <t xml:space="preserve">chatgpt    ChatGPT: what is it, features, how to use from ...     </t>
  </si>
  <si>
    <t>chatgpt      What is ChatGPT? — Guide      Nan</t>
  </si>
  <si>
    <t>chatgpt    neural network Chat GPT - online artificial intelligence    Neural network Chat GPT ... A powerful chat bot in Russian, developed by OpenAI, ChatGPT answers your questions. To start using the tool,...</t>
  </si>
  <si>
    <t>chatgpt     Microsoft has banned employees from using ChatGPT ...    1 day ago —</t>
  </si>
  <si>
    <t>chatgpt    ChatGPT - Apps on Google Play    With ChatGPT, find instant answers, professional input, and creative inspiration.</t>
  </si>
  <si>
    <t>chatgpt    What is the ChatGPT chatbot and how to use it from ...    15 Jul. 2023 —</t>
  </si>
  <si>
    <t>chatgpt    Free ChatGPT combines search engine...</t>
  </si>
  <si>
    <t>chatgpt who invented ChatGPT and where are they leading it</t>
  </si>
  <si>
    <t>chatgpt    Neural network Chat GPT    Chat GPT is a neural network chatbot that is capable of conducting a dialogue. GPT-4 Chat (GPT Chat) looks for errors in the code, writes a diploma. Register and Login to Chat GPT in...</t>
  </si>
  <si>
    <t>chatgpt    Introducing ChatGPT    Nov 30 2022 —     OpenAICloseSearch Submit Skip to main contentSite NavigationResearchOverviewIndexGPT-4DALL·E 3APIOverviewData privacyPricingDocsChatGPTOverviewEnterpriseTry ChatGPTSafetyCompanyAboutBlogCareersResidencyCharterSecurityCustomer storiesSearch Navigation quick links Log inTry ChatGPTMenu Mobile Nav igation CloseSite NavigationResearchOverviewIndexGPT-4DALL·E 3APIOverviewData privacyPricingDocsChatGPTOverviewEnterpriseTry ChatGPTSafetyCompanyAboutBlogCareersResidencyCharterSecurityCustomer stories Quick Links Log inTry ChatGPTSearch Submit Your browser does not support the video tag. Creating safe AGI that benefits all of humanityQuicklinksLearn about OpenAIPioneering research on the path to AGILearn about our researchTransforming work and creativity with AIExplore our productsJoin us in shaping the future of technologyView careersSafety &amp; responsibilityOur work to create safe and beneficial AI requires a deep understanding of the potential risks and benefits as well as careful consideration of the impact.Learn about safetyResearchWe research generative models and how to align them with human values.Learn about our researchDALL·E 3 system cardOct 3 2023October 3 2023GPT-4V(ision) system cardSep 25 2023September 25 2023Confidence-Building Measures for Artificial Intelligence: Workshop proceedingsAug 1 2023August 1 2023Frontier AI regulation: Managing emerging risks to public safetyJul 6 2023July 6 2023ProductsOur API platform offers our latest models and guides for safety best practices.Explore our productsCareers at OpenAIDeveloping and beneficial AI requires safe people from a wide range of disciplines and backgrounds.View careersI encourage my team to keep learning. Ideas in different topics or fields can often inspire new ideas and broaden the potential solution space.Lilian WengApplied AI at OpenAIResearchOverviewIndexGPT-4DALL·E 3APIOverviewData privacyPricingDocsChatGPTOverviewEnterpriseTry ChatGPTCompanyAboutBlogCareersCharterSecurityCustomer storiesSafetyOpenAI © 2015 – 2 023Terms &amp; policiesPrivacy policyBrand guidelinesSocialTwitterYouTubeGitHubSoundCloudLinkedInBack to top</t>
  </si>
  <si>
    <t>chatgpt    OpenAI    DALL·E 3 is now available in ChatGPT Plus and Enterprise. Oct 19, 2023October 19, 2023. ChatGPT Can Now See Hear And Speak. ChatGPT can now see, hear, and speak.    OpenAICloseSearch Submit Skip to main contentSite NavigationResearchOverviewIndexGPT-4DALL·E 3APIOverviewData privacyPricingDocsChatGPTOverviewEnterpriseTry ChatGPTSafetyCompanyAboutBlogCareersResidencyCharterSecurityCustomer storiesSearch Navigation quick links Log inTry ChatGP TMenu Mobile Navigation CloseSite NavigationResearchOverviewIndexGPT-4DALL·E 3APIOverviewData privacyPricingDocsChatGPTOverviewEnterpriseTry ChatGPTSafetyCompanyAboutBlogCareersResidencyCharterSecurityCustomer stories Quick Links Log inTry ChatGPTSearch Submit Your browser does not support the video tag. Creating safe AGI that benefits all of humanityQuicklinksLearn about OpenAIPioneering research on the path to AGILearn about our researchTransforming work and creativity with AIExplore our productsJoin us in shaping the future of technologyView careersSafety &amp; responsibilityOur work to create safe and beneficial AI requires a deep understanding of the potential risks and benefits as well as careful consideration of the impact.Learn about safetyResearchWe research generative models and how to align them with human values.Learn about our researchDALL·E 3 system cardOct 3 2023October 3 2023GPT-4V(ision) system cardSep 25 2023September 25 2023Confidence-Building Measures for Artificial Intelligence: Workshop proceedingsAug 1 2023August 1 2023Frontier AI regulation: Managing emerging risks to public safetyJul 6 2023July 6 2023ProductsOur API platform offers our latest models and guides for safety best practices.Explore our productsCareers at OpenAIDeveloping and beneficial AI requires safe people from a wide range of disciplines and backgrounds.View careersI encourage my team to keep learning. Ideas in different topics or fields can often inspire new ideas and broaden the potential solution space.Lilian WengApplied AI at OpenAIResearchOverviewIndexGPT-4DALL·E 3APIOverviewData privacyPricingDocsChatGPTOverviewEnterpriseTry ChatGPTCompanyAboutBlogCareersCharterSecurityCustomer storiesSafetyOpenAI © 2015 – 2 023Terms &amp; policiesPrivacy policyBrand guidelinesSocialTwitterYouTubeGitHubSoundCloudLinkedInBack to top</t>
  </si>
  <si>
    <t>chatgpt    ChatGPT    ChatGPT, which stands for Chat Generative Pre-trained Transformer, is a large language model-based chatbot developed by OpenAI and launched on November 30, ...</t>
  </si>
  <si>
    <t>chatgpt   ChatGPT on the App Store  3 days ago —</t>
  </si>
  <si>
    <t>chatgpt    What Is ChatGPT? Everything You Need to Know    ChatGPT is a form of generative AI -- a tool that lets users enter prompts to receive humanlike images, text or videos that are created by AI.</t>
  </si>
  <si>
    <t>chatgpt    What is ChatGPT and why does it matter? Here's what you...    15 Sep. 2023 —</t>
  </si>
  <si>
    <t xml:space="preserve">chatgpt    ChatGPT: the latest news, controversies, and helpful tips     </t>
  </si>
  <si>
    <t>chatgpt      What Is ChatGPT? Everything You Need to Know About ...</t>
  </si>
  <si>
    <t>chatgpt What Is ChatGPT Doing … and Why Does It Work?    Feb 14 2023 —</t>
  </si>
  <si>
    <t>chatgpt     OpenAI Wants Everyone to Build Their Own Version of ...    4 days ago —</t>
  </si>
  <si>
    <t>chatgpt    ChatGPT | Technology</t>
  </si>
  <si>
    <t>chatgpt    30 Best ChatGPT Alternatives for 2023 | Free &amp; Paid</t>
  </si>
  <si>
    <t>chatgpt   OpenAI is letting anyone create their own version of ChatGPT  4 days ago —</t>
  </si>
  <si>
    <t>chatgpt    OpenAI Lets Mom-and-Pop Shops Customize ChatGPT    4 days ago —</t>
  </si>
  <si>
    <t>chatgpt    ChatGPT: Everything you need to know about OpenAI's ...</t>
  </si>
  <si>
    <t>youtube    YouTube: Home         YouTubeAboutPressCopyrightContact usCreatorsAdvertiseDevelopersTermsPrivacyPolicy &amp;SafetyHow YouTube worksTest new featuresNFL Sunday Ticket© 2023 Google LLC</t>
  </si>
  <si>
    <t>youtube    YouTube    YouTube (IPA: [ˈjuːt(j)uːb], “youtube”, “youtube”, “youtube”) is a video hosting service that provides users with video storage, delivery and display services.</t>
  </si>
  <si>
    <t>youtube    YouTube - Apps on Google Play    Get the official YouTube app on Android phones and tablets. See what the world is watching -- from the hottest music videos to what's popular in gaming, ...</t>
  </si>
  <si>
    <t>youtube    What is YouTube Mix - Help    YouTube Mix is ​​a playlist with an unlimited number of songs. It is compiled taking into account your preferences. YouTube mixes can be found: in the results...</t>
  </si>
  <si>
    <t>youtube    YouTube blocked a video of a journalist from Hungary from ...    17 hours ago —</t>
  </si>
  <si>
    <t>YouTube blocked a program with a Russian diplomat, the presenter said</t>
  </si>
  <si>
    <t>youtube   YouTube. How the most popular video hosting conquered the world?         Google �����������������������PlayYouTube����������� ������� ����������������������� ���������������� �����Blogger���� ������������������� �������� »Account Options ����� ����� �� ���������� � ������� ������������������� � ���������� ����� �������������������? �����������</t>
  </si>
  <si>
    <t>youtube    YoutubinaPower. YouTube for business. How to sell products and ...         Google �����������������������PlayYouTube������������ ������ ����������������������� ���������������� �����Blogger���� ������������������� �������� »Account Options ����� ����� �� ���������� � ������� ������������������� � ���������� ����� ������������������������� ��������� �����������</t>
  </si>
  <si>
    <t>youtube    YouTube: The path to success. Part 2. How to get loads of likes and ...         Google �����������������������PlayYouTube���������� ���� ��������������������������� ������������� ���������Blogger �����������������f ��������� � ������ ���������� � ������� �������������� ����� ������ ��������� ������������������������� ����� ����������� ����</t>
  </si>
  <si>
    <t>youtube     The woman who led the line at the border ...    3 days ago —</t>
  </si>
  <si>
    <t>youtube    On YouTube channel pages there will be a section “for ...    1 day ago -</t>
  </si>
  <si>
    <t>youtube     Gorelkin suggested that mobile operators cancel ...    1 day ago —</t>
  </si>
  <si>
    <t>youtube    The New International Encyclopaedia         Google �����������������������PlayYouTube���������� ������������ ������������������� ��������������� �Blogger�������� ��������������� �������� » Account Options�������� � ������� �� �������� � ������� �������������������� ��� ����������� � ������������������������� ���������� �������</t>
  </si>
  <si>
    <t>youtube    International Catalog of Scientific Literature: Astronomy. E         Google �����������������������PlayYouTube�������������� ����������� ���������������� ���������� ������������ �������� » Account Options ����� ����� ����� � ������� �������������������� ����� ��������� �� ����������������������� ���������������� ���</t>
  </si>
  <si>
    <t>YouTube is testing new AI-powered features to better understand videos and comments</t>
  </si>
  <si>
    <t>youtube    Documents - Issues 1524-1899 - Result from Google Books         Google �����������������������PlayYouTube����� ���������� �������������������������� �������������� ��������Blogger� �������������������� � �������� �� ����� ���������� � ������� ��������������� ���� ������� �������� ������������������������� ������ ����������� ���</t>
  </si>
  <si>
    <t>youtube    The Chemical Trade Journal and Chemical Engineer         Google �����������������������PlayYouTube���������� ��������� ���������������������� ��������������� ����Blogger����� ������������������ �������� » Account Options ���� ������ � ���������� � ������� �������������������� ����������� ���� ������������������������� ���������� ����������</t>
  </si>
  <si>
    <t>youtube    YouTube    YouTube is an online video sharing and social media platform headquartered in San Bruno, California, United States. Accessible worldwide, it was launched on ...</t>
  </si>
  <si>
    <t>youtube    YouTube: Watch, Listen, Stream 12+ - App Store    Get the official YouTube app on iPhones and iPads. See what the world is watching -- from the hottest music videos to what's popular in gaming, fashion, ...</t>
  </si>
  <si>
    <t>youtube    YouTube Blog — Official Blog for Latest YouTube News ...    Explore our official blog for the latest news about YouTube, creator and artist profiles, culture and trends analyses, and behind-the-scenes insights.</t>
  </si>
  <si>
    <t>youtube    YouTube (@youtube) • Instagram photos and videos    31M Followers, 1752 Following, 4492 Posts - See Instagram photos and videos from YouTube (@youtube)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</si>
  <si>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youtube    YouTube: What is YouTube?    YouTube is a free video sharing website that makes it easy to watch online videos. You can even create and upload your own videos to share with others.</t>
  </si>
  <si>
    <t>youtube    How to earn money on YouTube    You can earn money on YouTube by applying for and being accepted to the YouTube Partner Program. Only channels that follow our YouTube channel monetization...</t>
  </si>
  <si>
    <t>youtube    YouTube         Sign in - Google AccountsSign inUse your Google AccountEmail or phoneForgot email?Not your computer? Use a private browsing window to sign in. Learn moreNextCreate accountAfrikaansazərbaycanbosanskicatalàČeštinaCymraegDanskDeutscheestiEnglish (United Kingdom)English (United States)Español (España)Español (Latinoamérica)euskaraFilipinoFrançais (Canada)Français (France) GaeilgegalegoHrvatskiIndonesiaisiZuluíslenskaItalianoKiswahililatviešulietuviųmagyarMelayuNederlandsnorsko'zbekpolskiPortuguês (Brasil)Português (Portugal)românăshqipSlovenčinaslovenščinasrpski (latinica)SuomiSvens kaTiếng ViệtTürkçeΕλληνικάBelarusianBulgarianKyrgyzKazakh TilimMacedonianMongolRussianSrpskiy (Cyrillic)Ukrainianქართულიհայերե ն About us​ ನ್ನಡമലയാളംසිංහලไทยລາວမြန်မာខ្មែរPORTAL HelpPrivacyTerms</t>
  </si>
  <si>
    <t>youtube    Supported YouTube file formats    Supported YouTube file formats ·.MOV ·.MPEG-1 ·.MPEG-2 ·.MPEG4 ·.MP4 ·.MPG ·.AVI ·.WMV .MPEGPS .FLV...</t>
  </si>
  <si>
    <t>youtube    Explained: What is YouTube?    YouTube is a video sharing service where users can create their own profile, upload videos, watch, like and comment on other videos.</t>
  </si>
  <si>
    <t>YouTube Video Maker | Free Online YouTube Editor How to make YouTube videos. Open Canva's YouTube video editor. Select a YouTube video template or start one from scratch. Upload your footage, music, audio ...</t>
  </si>
  <si>
    <t>youtube    Introduction to YouTube Premium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</si>
  <si>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youtube    YouTube 4 You - Page 7-14 -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</si>
  <si>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youtube      vidIQ Vision for YouTube      5 days ago —</t>
  </si>
  <si>
    <t>youtube    History of YouTube    YouTube is an American online video-sharing platform headquartered in San Bruno, California, founded by three former PayPal employees—Chad Hurley, ...</t>
  </si>
  <si>
    <t>youtube    Upload videos longer than 15 minutes - Android    Increase your video length limit · Open the YouTube mobile app. · Tap Create "" and then · Select a video longer than 15 minutes. · Choose your video's title,...</t>
  </si>
  <si>
    <t>youtube    Montezuma County P&amp;Z Meeting November 9, 2023    1 day ago —</t>
  </si>
  <si>
    <t>youtube    YouTube: An Insider's Guide to Climbing the Charts         Google BooksSearchImagesMapsPlayYouTubeNewsGmailDriveMoreCalendarTranslateMobileBooksShoppingBloggerFi cePhotosDocsEven more »Account OptionsSign inBooksSearch the world's most comprehensive index of full-text books.My libraryPublishersAboutPrivacyTermsHelp</t>
  </si>
  <si>
    <t>youtube    YouTube Marketing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</si>
  <si>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youtube    Account    Google services, from Chrome to YouTube, work better and help you do more when you're signed in. Your account gives you access to helpful features like ...    GoogleSearchImagesMapsPlayYouTubeNewsGmailDriveMoreCalendarTranslateMobileBooksShoppingBloggerFi cePhotosDocsEven more »Account OptionsSign inSearch settingsWeb History Advanced searchLearn how Google supports veteransAdvertisingBusiness SolutionsAbout Google© 2023 - Privacy - Terms</t>
  </si>
  <si>
    <t>youtube    Wikipedia will explain everything, YouTube will show everything         Google BooksSearchImagesMapsPlayYouTubeNewsGmailDriveMoreCalendarTranslateMobileBooksShoppingBloggerFi cePhotosDocsEven more »Account OptionsSign inBooksSearch the world's most comprehensive index of full-text books.My libraryPublishersAboutPrivacyTermsHelp</t>
  </si>
  <si>
    <t>avatar 2    Avatar: The Way of Water, 2022 - description, interesting facts    After adopting the image of the avatar soldier Jake Sully becomes the leader of the Na'vi people and takes on the mission of protecting new friends from selfish...    Oops! Confirm that you sent the requests and not a robot We are very sorry but the requests from your device seem to be automatic.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</si>
  <si>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Avatar 2    Avatar: The Way of Water    Avatar: The Way of Water is an American epic science fiction film directed and written by James Cameron, created by ...</t>
  </si>
  <si>
    <t>avatar 2    Film Avatar 2: The Way of Water (2022) description ...    Avatar 2: The Way of Water (2022) ... Continuation of James Cameron's spectacular sci-fi epic. Earthling Jake Sully is looking for his place among the alien...</t>
  </si>
  <si>
    <t>avatar 2    Avatar: The Way of Water (2022) - Film.ru    The third highest-grossing film in history ($2.3 billion). James Cameron is the only director to direct three films with such an achievement (see Titanic...</t>
  </si>
  <si>
    <t>avatar 2    Avatar 2: The Way of Water (film 2022)    Watch online video Avatar 2: The Way of Water (film 2022) of the Filmach channel in good quality without registration and completely free on RUTUBE.</t>
  </si>
  <si>
    <t>avatar 2    Avatar season 2 (2023): release date, participants, jury ...    The second season of the Avatar show starts on November 5, 2023. Here you will learn everything about the participants, jury members and presenters of the project.</t>
  </si>
  <si>
    <t>avatar 2    Film Avatar: The Way of Water (USA, 2022) – Afisha-Kino    Film Avatar: The Way of Water (Avatar: The Way of Water, USA, 2022) – actors, trailers, user reviews and critics’ reviews, similar films and footage from it.</t>
  </si>
  <si>
    <t>avatar 2      Avatar 2 (2022) – Movie About      Nan</t>
  </si>
  <si>
    <t>avatar 2    Avatar: The Way of Water    Avatar: The Way of Water is a 2022 American epic science fiction film co-produced and directed by James Cameron, who co-wrote the screenplay with Rick Jaffa...</t>
  </si>
  <si>
    <t>Avatar 2    Avatar: The Way of Water (2022)    Set more than a decade after the events of the first film, 'Avatar: Play trailer2:01.</t>
  </si>
  <si>
    <t>avatar 2    Avatar: The Way of Water    Narratively, it might be fairly standard stuff -- but visually speaking, Avatar: The Way of Water is a stunningly immersive experience. Read critic reviews.</t>
  </si>
  <si>
    <t>avatar 2    Avatar.com | The Official Avatar Website for Avatar News    Learn about James Cameron's Avatar including news about Avatar: The Way of Water, games, comics, Pandora - World of Avatar at Walt Disney World, and more!</t>
  </si>
  <si>
    <t>avatar 2  Avatar: The Way of Water     Dec 16 2022 —</t>
  </si>
  <si>
    <t>avatar 2    Avatar 2 ~ The Way of Water (@avatar2officialmovie)    43K Followers, 8 Following, 52 Posts - See Instagram photos and videos from Avatar 2 ~ The Way of Water (@avatar2officialmovie)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</si>
  <si>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avatar 2     Avatar: The Way of Water (2022)</t>
  </si>
  <si>
    <t>Avito    Avito: real estate, transport, work, services, things    On Avito you can inexpensively buy or profitably sell a used car or a new car, an apartment and other real estate, as well as new or used clothes,...</t>
  </si>
  <si>
    <t>Avito      Ads on the Avito website      Avito - Ads on the Avito website.</t>
  </si>
  <si>
    <t>Avito    real estate, transport, work, services, things    On Avito you can inexpensively buy or profitably sell a used car or a new car, an apartment and other real estate, as well as new or used clothes,...</t>
  </si>
  <si>
    <t>Avito    Avito: apartments, cars, work - Apps on Google Play    Avito has millions of advertisements all over Russia. What to sell or do, for how much and to whom - here the users themselves decide. Buy profitably.</t>
  </si>
  <si>
    <t>Avito    Avito 2023    On Avito you can buy an apartment, cars - new and used, electronics, household goods, furniture, clothes and much more. | 955733 subscribers. 50319 records.     VK.com | VKYour browser is out of dateThis may cause VK to work slowly or experience errors.Update your browser or install one of the following:ChromeOperaFirefox</t>
  </si>
  <si>
    <t>Avito    Avito    Avito is a Russian Internet service for posting advertisements about goods, real estate, vacancies and resumes on the labor market, as well as services from individuals and...</t>
  </si>
  <si>
    <t>Avito    Avito: ads on the App Store    Buy at a profit. On Avito you can find cars, electronics, furniture, clothes and pets. You can negotiate a discount with sellers, and new items often...</t>
  </si>
  <si>
    <t>avito    avito.tech    We'll tell you. what engineers do at Avito, how they manage to work for pleasure and what is needed for this. We invite you to read. Without advertising.</t>
  </si>
  <si>
    <t>Avito    Avito: apartments, cars, work    On Avito there are many advertisements for the sale of real estate, as well as for rent - houses and apartments for daily rent or for the long term. Here you can find a room...</t>
  </si>
  <si>
    <t>Avito    Avito | OK.RU    Avito Group. On Avito you can buy an apartment, cars - new and used, electronics, household goods, furniture, clothes and much more.    Social network Odnoklassniki. Chatting with friends in OK. Your meeting place with classmatesGo to the version for people with disabilities.Collapse searchSearch in OKServices VKMail.ruMailCloudCalendarTasksVideo callsVK MailTV programWeatherHoroscopesSportAnswersAutoLadyVKontakteMoreWe use cookies to improve our service for you. You can accept them or configure them yourself. More informationAccept everythingCustomizeMore emotions and vivid communication!Come to OK to meet your friends and find new ones, chat with loved ones and have an interesting time using our entertainment services.LoginRegisterLoginQR codePhone or email address. EmailPasswordLog in using QR codeCan't login?No Odnoklassniki profileRegister Another profileRussianMobile versionFor businessCallsGamesGiftsHelpMoreFor DevelopersAdvertisingAgreements and policiesSet cookiesVacanciesNewsAbout the company© 2006–2023 VK LLC / LLC VKWe use recommendation technologies Read more</t>
  </si>
  <si>
    <t>Avito    Avito (@avito) • Instagram photos and videos    23 Feb. 2023 —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</si>
  <si>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Avito Pickup Point</t>
  </si>
  <si>
    <t>Avito    Avito    Avito ... Avito is the most popular classifieds site in Russia and is the second biggest classifieds site in the world.    YouTubeAboutPressCopyrightContact usCreatorsAdvertiseDevelopersTermsPrivacyPolicy &amp; SafetyHow YouTube worksTest new featuresNFL Sunday Ticket© 2023 Google LLC</t>
  </si>
  <si>
    <t>Avito    Avito - Avito         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t>
  </si>
  <si>
    <t xml:space="preserve">Avito      Avito company vacancies - work in Moscow, St. ...      </t>
  </si>
  <si>
    <t>Avito    Avito, pick-up point, st. 9th Guards Division, 42, ...    Avito pick-up point at Moscow region, Istra, 9th Guards Division street, 42, ☎️ +7 800 600 00 01. Read 11 reviews, see 9 photos, .. .    Oops!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</si>
  <si>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avito    Contact @avito     We tell you how to sell and buy goods safely. We share tips on finding a job and choosing services. Other channels: Avito for business @avito b2b    Telegram Messenger EnglishBahasa IndonesiaBahasa MelayuDeutschEspañolFrançaisItalianoNederlandsO'zbekPolskiPortuguês (Brasil)TürkçeBelarusianRussianUkrainianالعربيةفارسی 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 …Oct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t>
  </si>
  <si>
    <t>Avito    one service for different business tasks    On Avito you will find buyers, suppliers, employees and contractors. 49% of small and medium-sized businesses in Russia are already working with us. Join us!</t>
  </si>
  <si>
    <t>Avito    Avito: apartments, cars, work - Apps on ...    Avito has millions of advertisements all over Russia. What to sell or do, for how much and to whom - here the users themselves decide. Buy profitably.</t>
  </si>
  <si>
    <t>Avito    Avito Career - About the company</t>
  </si>
  <si>
    <t>Avito    Kings Avito. How to increase your income by selling things through...         Google BooksSearchImagesMapsPlayYouTubeNewsGmailDriveMoreCalendarTranslateMobileBooksShoppingBloggerFi cePhotosDocsEven more »Account OptionsSign inBooksSearch the world's most comprehensive index of full-text books.My libraryPublishersAboutPrivacyTermsHelp</t>
  </si>
  <si>
    <t>avito    100 ways to increase website traffic         Google BooksSearchImagesMapsPlayYouTubeNewsGmailDriveMoreCalendarTranslateMobileBooksShoppingBloggerFi cePhotosDocsEven more »Account OptionsSign inBooksSearch the world's most comprehensive index of full-text books.My libraryPublishersAboutPrivacyTermsHelp</t>
  </si>
  <si>
    <t>Avito    Avito | Verified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</si>
  <si>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avito    Hack a flea market for 150k a month - Result from Google Books         Google BooksSearchImagesMapsPlayYouTubeNewsGmailDriveMoreCalendarTranslateMobileBooksShoppingBloggerFi cePhotosDocsEven more »Account OptionsSign inBooksSearch the world's most comprehensive index of full-text books.My libraryPublishersAboutPrivacyTermsH elp</t>
  </si>
  <si>
    <t>Avito    Avito.ru: applications for Android in ...</t>
  </si>
  <si>
    <t>avito    Kama Sutra for a tutor. 173 ways to find a student         Google BooksSearchImagesMapsPlayYouTubeNewsGmailDriveMoreCalendarTranslateMobileBooksShoppingBloggerFi cePhotosDocsEven more »Account OptionsSign inBooksSearch the world's most comprehensive index of full-text books.My libraryPublishersAboutPrivacyTermsHelp</t>
  </si>
  <si>
    <t>wildberries    WILDBERRIES          VK.com | VKYour browser is out of dateThis may cause VK to work slowly or experience errors.Update your browser or install one of the following:ChromeOperaFirefox</t>
  </si>
  <si>
    <t>wildberries Wildberries - Apps on Google Play</t>
  </si>
  <si>
    <t>wildberries    Wildberries - a fashionable online store of clothing, shoes and ...         Wildberries - a fashionable online store of clothing, shoes and accessories. Wildberries Wildberries - a fashionable online store of clothing, shoes and accessories is available in the following countries Russia Belarus Kazakhstan KazakhstanArmenia ՀայաստանAzerbaijan AzərbaycanKyrgyzstanKyrgyzstanUzbe Kistan O'zbekistonIsrael ישראל 2004 - © Wildberries. All rights reserved.</t>
  </si>
  <si>
    <t>wildberries      Wildberries - Wikipedia      Nan</t>
  </si>
  <si>
    <t>wildberries      WILDBERRIES - App Store      Nan</t>
  </si>
  <si>
    <t>wildberries    WILDBERRIES OFFICIAL (@wildberriesru)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</si>
  <si>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wildberries    wildberries         YouTubeAboutPressCopyrightContact usCreatorsAdvertiseDevelopersTermsPrivacyPolicy &amp; SafetyHow YouTube worksTest new featuresNFL Sunday Ticket© 2023 Google LLC</t>
  </si>
  <si>
    <t>wildberries    Wildberries - online store of fashionable clothes, shoes and ...         Wildberries - online store of fashionable clothes, shoes and accessoriesBalance:</t>
  </si>
  <si>
    <t>wildberries      Vacancies of the WILDBERRIES company - work in Moscow ...</t>
  </si>
  <si>
    <t>wildberry    Reviews of the Wildberry store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</si>
  <si>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wildberries    ✓ Wildberries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</si>
  <si>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 xml:space="preserve">wildberries    Wildberries: life stories, tips, news...     </t>
  </si>
  <si>
    <t>wildberries      Wildberries – retail chain</t>
  </si>
  <si>
    <t>wildberry    Contact @wildberriesru official         Telegram Messenger EnglishBahasa IndonesiaBahasa MelayuDeutschEspañolFrançaisItalianoNederlandsO'zbekPolskiPortuguês (Brasil)TürkçeBelarusianRussianUkrainianالعربيةفار 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 …Oct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t>
  </si>
  <si>
    <t>wildberries    Vsemrabota.ru: Job search throughout Russia, new ...          Job search throughout Russia new vacancies and a large resume database | Vsemrabota.ru Manager of the Wildberries order pick-up point More details Earn money in the Wildberries warehouse complex More details Deliver orders and earn money with WB Go More details Deliver from WB Drive using personal transport More details New job in a few minutes We need like-minded people who share the values ​​of Wildberries Work in Wildberries is a daily challenge and continuous development In Wild berries interesting tasks await you with leading specialists, continuous training opportunities to use modern technologies and benefit millions of people. Frontend developersVue jsReactAngularBackend developersPythonGolangData Science specialistsFace recognitionSmart searchRecommendation systemComputer visionDatabase developersPostgresqlTarantoolClickhouseSQLiteRedisDevOps developersGitlabK8s (Kubernetes)Unix/Linux RedisMobile application developmentSwift-IOSKotlin-Android2004 – 2023 © Wildberries.ru All rights reservedPerformers</t>
  </si>
  <si>
    <t>wildberries    Wildberries.ru - Online store of fashionable clothes and shoes</t>
  </si>
  <si>
    <t>wildberries    Wildberries</t>
  </si>
  <si>
    <t>valberis    Wildberries - a fashionable online store of clothing, shoes and ...         Wildberries - a fashionable online store of clothing, shoes and accessories. Wildberries Wildberries - a fashionable online store of clothing, shoes and accessories is available in the following countries Russia Belarus Kazakhstan Kazakhstan Armenia Stan O'zbekistonIsrael ישראל 2004 - © Wildberries. All rights reserved.</t>
  </si>
  <si>
    <t>valberis Wildberries - Apps on Google Play</t>
  </si>
  <si>
    <t>valberis      Wildberries - Wikipedia      Nan</t>
  </si>
  <si>
    <t>valberis    WILDBERRIES          VK.com | VKYour browser is out of dateThis may cause VK to work slowly or experience errors.Update your browser or install one of the following:ChromeOperaFirefox</t>
  </si>
  <si>
    <t>valberis    Best on Wildberries | Valberis          VK.com | VKYour browser is out of dateThis may cause VK to work slowly or experience errors.Update your browser or install one of the following:ChromeOperaFirefox</t>
  </si>
  <si>
    <t>valberis    Valberis in Samara on the map near me    Valberis in Samara, Yandex Maps: phone numbers, opening hours, photos, entrances, reviews, how to get there by transport or on foot.    Oops! Confirm that you sent the requests and not a robot We are very sorry, but the requests are from your device similar to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</si>
  <si>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valberis    Wildberries - online store of fashionable clothes, shoes and ...         Wildberries - online store of fashionable clothes, shoes and accessoriesBalance:</t>
  </si>
  <si>
    <t>valberis    Valberis online store website - buy at a low price ...    Buy Valberis online store website - 2 offers - low prices, fast delivery from 1-2 hours, possibility of payment in installments for some goods,...    Oh! Confirm that you sent the requests not a robot We're very sorry, but the requests from your device seem to be automatic.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</si>
  <si>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valberis    WILDBERRIES OFFICIAL (@wildberriesru)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</si>
  <si>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valberis   Download Wildberries 5.3.6001 for Android - Trashbox  3 days ago —</t>
  </si>
  <si>
    <t>valberis      Valberis-no. - Wildberries.ru    Sep 8 2023 —</t>
  </si>
  <si>
    <t>valberis      WILDBERRIES - App Store      Nan</t>
  </si>
  <si>
    <t>valberis WB Job - Apps on Google Play</t>
  </si>
  <si>
    <t>valberis    valberis    valberis |646.5M views Watch new videos on TikTok (tiktok) on the topic #valberis.    Skip to content feedTikTokUpload Log inFor YouFollowingExploreLIVELog in to follow creators like videos and view comments.Log inCreate effectsAboutNewsroomContactCareersTikTok for GoodAdvertiseDevelopersTransparencyTikTok RewardsTikTok EmbedsHelpSafetyTermsPrivacyCreator PortalCommunity GuidelinesSee more© 2023 TikTok</t>
  </si>
  <si>
    <t>valberis    Valberis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</si>
  <si>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valberis    wildberries         YouTubeAboutPressCopyrightContact usCreatorsAdvertiseDevelopersTermsPrivacyPolicy &amp; SafetyHow YouTube worksTest new featuresNFL Sunday Ticket© 2023 Google LLC</t>
  </si>
  <si>
    <t>valberis    Valberis online store buy a refrigerator    Buy Valberis online store buy a refrigerator - 717 offers - low prices, fast delivery from 1-2 hours, possibility of payment in installments for part...    Oh! Confirm that you sent the requests and not a robot We are very sorry, but the requests from your device are similar to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</si>
  <si>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valberis    Valberis Ideas (900+) in 2023    04/06/2023 - Explore Alexey's board "Valberis" on Pinterest. See more ideas about infographics design, infographics, design.    Pinterest - PinterestOh no! Pinterest doesn't work unless you turn on JavaScript.</t>
  </si>
  <si>
    <t>vk    VKontakte | Welcome    We want friends, classmates, classmates, neighbors and colleagues to always stay in touch... Login by phone or email · Register.     VK.com | VKYour browser is out of dateThis may cause VK to work slowly or experience errors.Update your browser or install one of the following:ChromeOperaFirefox</t>
  </si>
  <si>
    <t xml:space="preserve">VK      VKontakte: music, video, chat       </t>
  </si>
  <si>
    <t>vk    VKontakte     "VKontakte" (international name - VK) is a Russian social network with headquarters in St. Petersburg. The site is available in 82 languages; especially popular...</t>
  </si>
  <si>
    <t>VK    VK.com: Android applications on Google Play</t>
  </si>
  <si>
    <t>VK      VKontakte: messages, video chat - App Store      Nan</t>
  </si>
  <si>
    <t>vk    VK Messenger    VK Messenger. Use VK ID to start communicating. To come in. Login to Sferum.    VK Messenger</t>
  </si>
  <si>
    <t>VK    VK (meanings)    VK is the international name of the Russian social network VKontakte. VK is a Russian technology corporation, until October 12, 2021 - Mail.ru Group.</t>
  </si>
  <si>
    <t>vk    Buy VK (VKCO) shares 📈: price today, forecast ...    VK (VKCO) stock price for today. Price for buying and selling securities (VKCO) to individuals online. VK quotes on charts, their dynamics,...</t>
  </si>
  <si>
    <t>VK      VK Mail - Mail.ru      ann      Redirection</t>
  </si>
  <si>
    <t>vk    Push-button switches VK-30    Push-button switches DEKraft series VK-30 are designed for switching electrical circuits and indicating the status of electrical circuits.</t>
  </si>
  <si>
    <t>vk    VK Combo Subscription    VK Combo is a subscription to discounts and special offers in popular services. Music, online cinema, cloud storage, discounts on education and books and...</t>
  </si>
  <si>
    <t>vk    Career - VK / Company</t>
  </si>
  <si>
    <t>VK    VKontakte (@vkontakte) / X    Update feed has appeared in VK Music (it already works on the desktop and in the VKontakte and VK Music mobile applications). It shows what kind of music they add...    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t>
  </si>
  <si>
    <t>VK    VK Cloud | Business class IT platform from VK    Business class cloud services platform from VK for companies that choose to build IT solutions in the cloud.</t>
  </si>
  <si>
    <t>vk    Cloud gaming | VK Play    Play top games on any PC, macOS and Android device at maximum settings with VK Play Cloud. Large launchers available, Virtual PC ...    Cloud Gaming | VK PlayYou need to enable JavaScript to run this app.</t>
  </si>
  <si>
    <t>vk    VK Me    Keep in touch with friends from VK and the phone book; Call without restrictions with audio and video; Read transcripts of voice and video messages...    The Official VK�Messenger Web version Quick and�Easy Messaging Stay in touch with your VK�friends and�people from�your�phone�s contacts Call with no�limits on�audio or�video Read transcriptions of�voice and�video messages Share music photos videos files geotags and�even money Select colorful chat themes to�fit the�mood Available onAndroidDownload in Google�PlayDownload in RuStoreDownload in AppGalleryiOSDownload in App StoreWindows betaDownload EXEMacOS betaDownload DMG © 2023 VK Social Network Team Scan the QR codeto install the app on your phone</t>
  </si>
  <si>
    <t>vk    VK “Lokomotiv    ... BUY TICKETS. © VK Lokomotiv-Novosibirsk, 2008-2023. All rights reserved. Copying of materials is permitted only with a link to the source.</t>
  </si>
  <si>
    <t>VK    VK: music, video, messenger - Apps on Google Play    VK is an indispensable navigation tool. Its accurate real-time directions, comprehensive map data, and local business information make it a go-to for millions.</t>
  </si>
  <si>
    <t xml:space="preserve">VK VK: social network, messenger on the App Store    </t>
  </si>
  <si>
    <t>VK    VK (service)    VK is a Russian online social media and social networking service based in Saint Petersburg. VK is available in multiple languages ​​but it is predomi tly ...</t>
  </si>
  <si>
    <t>VK    https://m.vk.ru/          VK.com | VKYour browser is out of dateThis may cause VK to work slowly or experience errors.Update your browser or install one of the following:ChromeOperaFirefox</t>
  </si>
  <si>
    <t>vk    My group Vk. Book Nineteen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</si>
  <si>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vk    Figma (@vk) | Figma Community</t>
  </si>
  <si>
    <t>vk    Vacancies    Human Resources Management · Leading Compensation and Benefits Manager · Team Leader (TeamLead) in VK Advertising Support · Development Manager...</t>
  </si>
  <si>
    <t>vk    My group Vk. Speeches and captions for posts. Book Three         Google BooksSearchImagesMapsPlayYouTubeNewsGmailDriveMoreCalendarTranslateMobileBooksShoppingBloggerFi cePhotosDocsEven more »Account OptionsSign inBooksSearch the world's most comprehensive index of full-text books.My libraryPublishersAboutPrivacyTermsHelp</t>
  </si>
  <si>
    <t>vk    VK.cc          Sign in | VK    Install the VK mobile app Stay in touch on the go with VK mobile. Forgot password?First time here?Sign up for VKSign up for VKSign in with GoogleRussianall languages ​​»Desktop versionRecommendation technologies used</t>
  </si>
  <si>
    <t>vk    VK</t>
  </si>
  <si>
    <t>vk    My group Vk. Book twenty-five         Google BooksSearchImagesMapsPlayYouTubeNewsGmailDriveMoreCalendarTranslateMobileBooksShoppingBloggerFi cePhotosDocsEven more »Account OptionsSign inBooksSearch the world's most comprehensive index of full-text books.My libraryPublishersAboutPrivacyTermsHelp</t>
  </si>
  <si>
    <t>vk    My group Vk. Book twentieth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</si>
  <si>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vk    My VK group. Speeches and captions for posts. Book seventeen         Google BooksSearchImagesMapsPlayYouTubeNewsGmailDriveMoreCalendarTranslateMobileBooksShoppingBloggerFi cePhotosDocsEven more »Account OptionsSign inBooksSearch the world's most comprehensive index of full-text books.My libraryPublishersAboutPrivacyTermsHelp</t>
  </si>
  <si>
    <t>vk    VK (company)    VK (“ve-ka”; until October 12, 2021 - Mail.ru Group, until 2010 - Digital Sky Technologies) is a Russian investment technology corporation,...</t>
  </si>
  <si>
    <t>VK    VK Education    VK is more than 200 projects and services used by millions. You can join the team that creates them. Get to know our office and...</t>
  </si>
  <si>
    <t>VKontakte    VKontakte | Welcome    VKontakte is a universal tool for communicating and finding friends and classmates, which is used daily by tens of millions of people.     VK.com | VKYour browser is out of dateThis may cause VK to work slowly or experience errors.Update your browser or install one of the following:ChromeOperaFirefox</t>
  </si>
  <si>
    <t>VKontakte    VKontakte: music, video, chat    VKontakte is communication, free calls, messenger and chat, music and video, games and mini-applications for any task, tens of millions of people and limitless...</t>
  </si>
  <si>
    <t>VKontakte    VKontakte     "VKontakte" (international name - VK) is a Russian social network with headquarters in St. Petersburg. The site is available in 82 languages; especially popular...</t>
  </si>
  <si>
    <t>VKontakte    VKontakte: messages, video chat - App Store    VKontakte is communication, free calls, music and video, games and mini-applications for any task, tens of millions of people and limitless opportunities for...</t>
  </si>
  <si>
    <t>VKontakte    VKontakte (@vkontakte) / X    VKontakte messages in foreign languages ​​can now be immediately translated within the chat. To do this, in the VKontakte or VK Messenger applications you need to hold down the desired...    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t>
  </si>
  <si>
    <t>VKontakte    Messenger from VKontakte         The Official VK�Messenger Web version Quick and�Easy Messaging Stay in touch with your VK�friends and�people from�your�phone�s contacts Call with no�limits on�audio or�video Read transcriptions of�voice and �video messages Share music photos videos files geotags and�even money Select colorful chat themes to�fit the�mood Available onAndroidDownload in Google�PlayDownload in RuStoreDownload in AppGalleryiOSDownload in App StoreWindows betaDownload EXEMacOS betaDownload DMG © 2023 VK Social Network Team���� ������ VK ����������Scan the QR code�to�install the app on�your phone</t>
  </si>
  <si>
    <t>VKontakte    VKontakte Company. Contacts, description and reviews    VKontakte is a popular social network in Russia. More than 100 million people use the platform every month, exchanging 15 billion messages and...</t>
  </si>
  <si>
    <t>VKontakte    VK / Home    Favorite services on Odnoklassniki and VKontakte. Play, find what you need, make friends, look after your health and solve many other problems directly on the social network...</t>
  </si>
  <si>
    <t>VKontakte    VKontakte Group - a working tool for a teacher         Google �����������������������PlayYouTube�������� ������������ ��������������������� ����������������� ���Blogger������ ����������������� �������� »Account Options ��� ������� ���������� � ������� �������������������� � ����������� ��� ������������������������� ����������� ���������</t>
  </si>
  <si>
    <t>VKontakte    VKontakte - news and articles     “VKontakte” is a social network owned by Mail.Ru Group. According to SimilarWeb, VKontakte is the first most popular site in Russia and Ukraine,...</t>
  </si>
  <si>
    <t>VKontakte    How to hack VKontakte pages? - Result from Google Books         Google �����������������������PlayYouTube������������ ��������� �������������������� ����������������� ��Blogger������� ���������������� �������� »Account Options �� ������� � ��������� � ������� �������������������� �� ����������� �� ������������������������� ������������ ��������</t>
  </si>
  <si>
    <t>VKontakte    Women's business VKontakte without a million in your pocket         Google �����������������������PlayYouTube�������� ����������� ���������������������� ��������������� ����Blogger����� ������������������ �������� » Account Options ���� ������ � ���������� � ������� �������������������� ����������� ���� ������������������������� ���������� ����������</t>
  </si>
  <si>
    <t>VKontakte   Urgently go public! 5 communities about proper nutrition  2 days ago -</t>
  </si>
  <si>
    <t>VKontakte    VKontakte    Description: VKontakte unites millions of people, allowing them to communicate and exchange news from anywhere in the world. You can send messages, share...</t>
  </si>
  <si>
    <t>VKontakte    Promoting business on VKontakte. Systematic approach         Google BooksSearchImagesMapsPlayYouTubeNewsGmailDriveMoreCalendarTranslateMobileBooksShoppingBloggerFi cePhotosDocsEven more »Account OptionsSign inBooksSearch the world's most comprehensive index of full-text books.My libraryPublishersAboutPrivacyTermsHelp</t>
  </si>
  <si>
    <t>VKontakte    Social networks: VKontakte, Facebook and others...         Google BooksSearchImagesMapsPlayYouTubeNewsGmailDriveMoreCalendarTranslateMobileBooksShoppingBloggerFi cePhotosDocsEven more »Account OptionsSign inBooksSearch the world's most comprehensive index of full-text books.My libraryPublishersAboutPrivacyTermsHelp</t>
  </si>
  <si>
    <t>VKontakte    VKontakte Group - a working tool for a teacher         Google BooksSearchImagesMapsPlayYouTubeNewsGmailDriveMoreCalendarTranslateMobileBooksShoppingBloggerFi cePhotosDocsEven more »Account OptionsSign inBooksSearch the world's most comprehensive index of full-text books.My libraryPublishersAboutPrivacyTermsHelp</t>
  </si>
  <si>
    <t>VKontakte    Durov code. The real story of VKontakte and its creator         Google BooksSearchImagesMapsPlayYouTubeNewsGmailDriveMoreCalendarTranslateMobileBooksShoppingBloggerFi cePhotosDocsEven more »Account OptionsSign inBooksSearch the world's most comprehensive index of full-text books.My libraryPublishersAboutPrivacyTermsHelp</t>
  </si>
  <si>
    <t>VKontakte    Promotion in Telegram, VKontakte and more. 27 ...         Google BooksSearchImagesMapsPlayYouTubeNewsGmailDriveMoreCalendarTranslateMobileBooksShoppingBloggerFi cePhotosDocsEven more »Account OptionsSign inBooksSearch the world's most comprehensive index of full-text books.My libraryPublishersAboutPrivacyTermsHelp</t>
  </si>
  <si>
    <t>VKontakte    VK: music, video, messenger - Apps on Google Play    VKontakte units tens of millions of people by offering unlimited features for communication, entertainment, business and sharing news from anywhere around ...</t>
  </si>
  <si>
    <t>VKontakte    VK: social network, messenger on the App Store    VKontakte units tens of millions of people by offering unlimited features for communication, dating, entertainment, business and sharing news from anywhere...</t>
  </si>
  <si>
    <t>VKontakte    VK (service)    VK (short for its original name VKontakte; Russian: VKontakte, meaning InContact) is a Russian online social media and social networking service based in Saint ...</t>
  </si>
  <si>
    <t>VKontakte    VKontakte    VKontakte is the most popular social network in Russia and the CIS countries. We provide a limitless marketplace of content in all formats and an open platform for ...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</si>
  <si>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VKontakte    Your business on VKontakte. How to attract 100 clients a day         Google BooksSearchImagesMapsPlayYouTubeNewsGmailDriveMoreCalendarTranslateMobileBooksShoppingBloggerFi cePhotosDocsEven more »Account OptionsSign inBooksSearch the world's most comprehensive index of full-text books.My libraryPublishersAboutPrivacyTermsHelp</t>
  </si>
  <si>
    <t>VKontakte    13 secrets of high coverage VKontakte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</si>
  <si>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VKontakte   VKontakte does not work - November 8, 2023  3 days ago —</t>
  </si>
  <si>
    <t>gdz    GDZ - ready-made homework assignments | Answers without errors    Quality GDZ and solutions for school subjects. The answers contain step-by-step actions, translation of the text for new textbooks and notebooks.</t>
  </si>
  <si>
    <t>gdz    GDZ - ready-made homework and problem books    GDZ (ready-made homework assignments) for grades 1-11, online problem books for all school subjects, answers to workbooks and laboratory notebooks.</t>
  </si>
  <si>
    <t>GDZ    GDZ RF - ready-made homework assignments    GDZ RF - We have selected ready-made homework solutions. You will find answers to questions, short and complete solutions to problems, translations of texts from English,...</t>
  </si>
  <si>
    <t>gdz    GDZ without errors, workbook for school textbooks 1-11 ...    GDZ without errors for students in grades 1–11 in mathematics, Russian, English, algebra, geometry and physics. Detailed and step-by-step solutions from teachers...    GDZ - ready-made homework for grades 1-11 - Skysmart solutions</t>
  </si>
  <si>
    <t>gdz    OK GDZ – Photo search for solution books. Thousands of collections in ...    At their core, ready-made homework assignments represent competently, in accordance with the requirements of the Education Standards, formalized solutions to all...</t>
  </si>
  <si>
    <t>gdz    my solution book - Applications on Google Play – GDZ    The "GDZ: my solution book" application allows users to quickly find their textbook and check the correct answers to any school materials...</t>
  </si>
  <si>
    <t>gdz    GDZ.LTD: Ready-made homework for free!    An excellent site with GDZ (Ready-made homework), where you will find solutions to all school textbooks for free.</t>
  </si>
  <si>
    <t>GDZ    Skysmart Solutions: GDZ on easy    Description. arrow forward. Skysmart Solutions is a GDZ application for school, with which you can get a GDZ based on a photo in mathematics, English and a GDZ in...</t>
  </si>
  <si>
    <t>gdz    GDZ.ru - Reshebnik    GDZ (ready-made homework), problem books on basic school subjects for grades 1-4 and 5-11: gdz in mathematics, algebra, geometry, Russian language,...     VK.com | VKYour browser is out of dateThis may cause VK to work slowly or experience errors.Update your browser or install one of the following:ChromeOperaFirefox</t>
  </si>
  <si>
    <t>gdz      gdz - ready-made homework assignments and workbooks</t>
  </si>
  <si>
    <t>gdz      gdz for grades 1-11 - Reshebnik.com</t>
  </si>
  <si>
    <t>gdz    GDZ: Ready-made homework without any hassle    An excellent site with GDZ (Ready Homework), where you will find solutions to all school textbooks for free.</t>
  </si>
  <si>
    <t>gdz    GDZ: Ready homework assignments for free online at ...    An excellent site with GDZ (Ready homework assignments), where you will find solutions to all school textbooks for free.</t>
  </si>
  <si>
    <t>gdz    GDZ(duzh): Ready-made homework assignments and answers - KZGDZ ...    GDZ(duzh) for lessons for grades 1-11, solved tasks in mathematics, algebra, geometry, physics, chemistry.    GDZ(duzh): Ready-made homework assignments and answers - KZGDZ.COM KZGDZ.COM Didn't find the textbook? 2nd grade 3rd grade 4th grade 5th grade 6th grade 7th grade 8th grade 9th grade 10th grade 11th grade All textbooks SOCHELECTRONIC TEXTBOOKS KGDZ Ready homework (Daiyn uy zhumystary) classes 234567891011 Mathematics 23456×××××Algebra× ××××7891011Geometry××××× 7891011Informatics××××67××××Kazakh tіlі2345678910×Kazakh language and literature×××5678×××Kazakh literature×××56789××Russian language23456789×11Russian language and literature23456789×11Russian literature×××56×××× ×Literary reading××4×××××××English language××4567891011Self-knowledge×××567××××Geography×××××78×××Biology×××××789××Physics×××× ×7891011Chemistry×××××7891011Natural Science×××56×××××World History×××56789××History of Kazakhstan×××56×××××Didn’t find the textbook? Welcome to the site, you made the right choice!Rich The training program includes many disciplines. Each new lesson brings a stream of terms, theorems, examples. Lessons in the classroom, home preparation, additional classes and electives take a lot of energy and time from the modern student. Sometimes the information given by the teacher is difficult to perceive and is not absorbed in forty minutes. When a student comes home, he cannot complete his homework correctly, he feels stupid, and his interest in studying decreases. At such moments, the specialized literature that our team has carefully left for you will come in handy. All solutions and correct answers for the most complex sciences are collected here: mathematics, algebra and geometry, physics and chemistry. We note the useful functions of solution books: self-testing, analyzing your work for errors, identifying gaps in knowledge at the initial stage assistance in performing complex tasks the ability of parents to supervise the child’s educational process and also provide an explanation of this or that terminology increased self-esteem and self-confidence adaptation to the school course manifestation of competitive interest. Knowledge is power, be sure of it! "GDZ" is not about thoughtless Cheating is primarily a tool for increasing school performance and obtaining maximum benefit and pleasure from educational activities. The manual is also perfect for moms and dads, teachers and tutors.©kzgdz.com 2023 Astana KazakhstanFor copyright holders dytgdz@gmail.com</t>
  </si>
  <si>
    <t>gdz    GDZ ED Ready-made homework assignments - Solving books (GDZ) 1 ...     Solving books (GDZ) 1 - 11th grade. GDZ answers for all subjects and solving homework for 5✚❗ Any online solution book has been added to our GDZ website.</t>
  </si>
  <si>
    <t>GDZ    Resheba - textbooks and Belarusian GDZ 2023    On the Resheba website you will find solution books for school textbooks for all grades. High-quality GDZ in all subjects completely free of charge!    Resheba - solvers and Belarusian GDZ 2023 1st grade 2nd grade Mathematics Russian language Belarusian language 3rd grade Mathematics Russian language Belarusian language English language Man and the world 4th grade Mathematics Russian language Belarusian language English language 5th grade Mathematics Russian language Belarusian language English language German Key languageHistoryMan and the world 6th grade MathematicsRussian languageBelarusian languageEnglish languageGerman languageBiologyGeographyPhysics 7th grade AlgebraGeometryRussian languageBelarusian languageEnglish languagePhysicsChemistryBiology 8th grade AlgebraGeometryRussian languageBelarusian languageEnglish languagePhysicsChemistryBiologyGeography 9th grade AlgebraGeometryRussian languageBelarusian languageEnglish languagePhysicsChemistryBiology 10th grade Al gebraGeometryRussian languageBelarusian languageEnglish languagePhysicsChemistry 11th grade AlgebraGeometryRussian languageBelarusian languageEnglish languagePhysicsChemistryResheba. Solver books and GDZ 2023 Mathematics 2-6 grades 23456 Algebra 7-11 grades 7891011 Geometry 7-11 grades 7891011 Belarusian language 2-11 grades 234567891011 Russian language 2-11 grades 234567891011 English language 3-11 grades 34567891011 Physics 6-11 grades 67891011 Chemistry 7-11 grades 7891011 Biology 6-9 grades 6789 History 5th grade 5 Man and the world 3-5 grades 35 Geography 6-8 grades 68 German language 6th grade 56 All subjects 1-11 grades 1234567891011 Popular Mathematics 5 class Gerasimov V. D. Piryutko O. N. 2017 Mathematics 6th grade Gerasimov V. D. Piryutko O. N. 2018 Russian language 6th grade Murina L. A Ignatovich T. V. 2020 Russian language 7th grade Volynets T. N. Litvinko F. M. 2020 Belarusian language 6th grade Valochka G. M. Zelyanko V. U. 2020 Who are the GDs useful for? Ready-made homework will help students understand the difficult curriculum of Belarusian schools. With the help of our workbooks, a student can independently study a missed topic. The progress of the solution helps to understand the logic of the exercise, thanks to which the student begins to cope with the material. GDZs are also useful for parents who are trying to help their children but cannot completely remember the school curriculum. admin@resheba.top We are on VKontakte Copyright noticeContacts© Resheba 2023</t>
  </si>
  <si>
    <t>gdz      gdz: homework guide      Mar 15 2023 —</t>
  </si>
  <si>
    <t>GDZ    At school: GDZ, textbooks and handbooks online    On our portal you can find GDZ for any class. Just some clear guides and solvers. All ready-made homework is available on your...    GDZ, tutorials and handbooks online | At schoolUkrainian guidebooks (GDZ) onlineUkrainian guidebooks (GDZ) onlineSelect your class:1st grade2grade3grade4grade5grade6grade7grade8grade9grade10th grade11gradeGDZ available for every student Pick up Ibniki for 3rd 4th 5th 6th 7th 8th 9th 10th and 11- class - just click on the required class and pick up your item. Here are links from all school subjects: mathematics algebra geometry Ukrainian language English language and others. Virishenya be-any kind of order - no pardons! On our portal “At School” you will find ready-made home supplies that have been assembled and verified by qualified specialists. Data has the right to cancel with a minimum number of exceptions for typos and other inconveniences. Your skin will be labeled as “excellent”! All your homework is ready on your smartphone! It is advisable to quickly use the mobile version of the site and get rid of easy access to ready-made home tasks. Learn your skills online! Get it on your mobile phone practically mittevo! If your device runs on the Android platform, you have the opportunity to take advantage of our add-on. Current aids with free access The portal team is constantly updating and adding new GDZ following changes in the current school program. If you are in search of new rebels from 2021 to 2023, you can easily find them on our website “At School”. We have your phone number at School - this is your assistant who will help you quickly find the answer to your assignment or engage your assistant in school programs without any hassle. vshkole.com - this is a portal where you can find guides and friends (GDZ) from all subjects of the school program for different classes. The site is adapted for your smartphone. The team reported to the portal a lot of efforts so that you don’t have any problems finding the required information. Worry about your satisfaction!!!Contact us</t>
  </si>
  <si>
    <t>gdz      gdz: my worksheet - App Store      Nan</t>
  </si>
  <si>
    <t>gdz    GDZ    Das Göttinger Digitalisierungszentrum (GDZ) erfasst Druckwerke, Handschriften und Bildwerke elektronisch und stellt diese für Forschung, Lehre und Studium zur ...    GDZGöttinger DigitalisierungszentrumGDZ Ein Service der SUB Göttingen search Suchen searchSuchen DurchsucheMetadatenVolltextMetadaten und VolltextErweiterte SuchecloseSchließenDruckwerke und HandschriftenDas Göttinger Digitalisierungszentrum (GDZ) erfasst Druckwerke Handschriften und Dienstleistungen. Albrecht-Thaer-BibliothekAmericanaAntiquitates &amp; ArchaeologiaAschianaBibliotheksarchivBlumenbachianaBucherhaltungDigiWunschbuchFID MathematikGöttinger Universitätsgeschichte – Gedruckte WerkeItinerariaMathematicaMittelalterliche FragmenteMittelalterliche HandschriftenNachlässeOrientaliaRechtsgeschichteRezensionenRusDMLSibiricaVariaVD17 MainstreamVD17 NovaVD18 digitalWissenschaftsgeschichteZoologicaHilfe zur SucheKontaktImpressumDatenschutzFeedbackRSS-FeedMastodonJust scannedZVDD - Zentrales Verzeichni s digitalisierter DruckeIst Ihr gesuchtes Werk noch nicht in unserem digitalen Bestand? Dann probieren Sie es doch in unserem ZVDD Portal das mehr als 1.600.000 bundesweit digitalisierte Werke nachweist.DigiWunschbuchDie Niedersächsische Staats- und Universitätsbibliothek Göttingen (SUB) bietet mit dem Service „DigiWunschbuch” die Mögli chkeit Patenschaften für die Digitalisierung von Büchern zu übernehmen. Übernehmen Sie die Patenschaft für die Digitalisierung Ihres Wunschbuches.DigiZeitschriftenDigiZeitschriften ist ein Service für das wissenschaftliche Arbeiten. Über einen kontrollierten Nutzerzugang können Studierende und Wissenschaftler auf Kernzeitschriften der deutschen Forschung zugreifen. Der Zugang erfolgt über Bibliotheken und wissenschaftliche Einrichtungen die DigiZeitschriften subskribiert haben. Derzeit umfasst das Angebot über 135 Zeitschriften aus 18 Fachgebieten!Gutenberg DigitalBesuchen Sie das Faksimile der Göttinger Gutenberg Bibel.keyboard arrow upZurück zum Seite fang</t>
  </si>
  <si>
    <t>gypsophila    Gypsophila: description of the flower | Encyclopedia of flowers</t>
  </si>
  <si>
    <t>gypsophila    Buy bouquets of gypsophila at prices starting from 890₽ in Samara    The website offers a huge selection of bouquets of gypsophila at low prices. Flower delivery in Samara within 2 hours. Available before placing your order...</t>
  </si>
  <si>
    <t xml:space="preserve">gypsophila    Monobouquet of gypsophila (Sizes S, M, L)     </t>
  </si>
  <si>
    <t>gypsophila    Gypsophila buy a bouquet in Moscow with delivery ...    Gypsophila with delivery in Moscow from the Magic Flower online store at competitive prices. Order flowers right now: +7 (499) 490-10-90.</t>
  </si>
  <si>
    <t>gypsophila    Bouquets of gypsophila buy inexpensively in Moscow    Inexpensive buy Bouquets of gypsophila in the online store, prices from 990 ₽ in Moscow – order with free delivery. We work around the clock!</t>
  </si>
  <si>
    <t>gypsophila    Gypsophila | Delivery of gypsophila in Severodvinsk</t>
  </si>
  <si>
    <t>gypsophila      Delivery of gypsophila flowers - price</t>
  </si>
  <si>
    <t>gypsophila    Buy a bouquet of gypsophila with delivery in St. ...    Buy a bouquet of gypsophila in the online flower store “Tsvetovik”. Original bouquets from hyprofila with delivery throughout St. Petersburg. Quality assurance.</t>
  </si>
  <si>
    <t>gypsophila      Bouquet of pink gypsophila</t>
  </si>
  <si>
    <t>gypsophila    Bouquets of gypsophila with delivery in Moscow, buy ...    Bouquets of gypsophila with delivery · Large box with gypsophila · Bouquet of gypsophila · Giant box with gypsophila · Giant bouquet of gypsophila · Small...</t>
  </si>
  <si>
    <t>gypsophila Bouquets of 51 gypsophila buy in Moscow ✿ Delivery</t>
  </si>
  <si>
    <t>gypsophila    Order gypsophila with free delivery    We will deliver gypsophila in Moscow in 2 hours. Free note for the bouquet. Pickup available. Choose.</t>
  </si>
  <si>
    <t>gypsophila    Buy gypsophila in Moscow inexpensively, order a bouquet of ...    Gypsophila delivery in Moscow for free when ordering over 3,500 rubles. 100% fresh flowers. Order bouquets with gypsophila around the clock ☎ +7 (499) 322-74-86.</t>
  </si>
  <si>
    <t>gypsophila      Bouquet of 5 branches of pink gypsophila</t>
  </si>
  <si>
    <t>gypsophila      Gypsophila - how to care for it, when and to whom to give it      208.75.19.153 11/12/2023 09:45:22 Sorry your request has been denied.</t>
  </si>
  <si>
    <t>gypsophila    Buy bouquets of gypsophila from 990₽ in Moscow    The website offers a huge selection of bouquets of gypsophila at low prices. Flower delivery in Moscow within 2 hours. Available before placing your order...</t>
  </si>
  <si>
    <t xml:space="preserve">gypsophila      Gypsophila: types, planting, propagation and care       </t>
  </si>
  <si>
    <t>gypsophila    BOUQUETS FROM GYPSOPHILA - Minsk    Bouquets from gypsophila - delicate airy mono-bouquets that won hearts! In our catalog you can buy a bouquet of white or rainbow gypsophila with delivery.</t>
  </si>
  <si>
    <t>gypsophila    Advantages and disadvantages of gypsophila compositions          VK.com | VKYour browser is out of dateThis may cause VK to work slowly or experience errors.Update your browser or install one of the following:ChromeOperaFirefox</t>
  </si>
  <si>
    <t>gypsophila    Multi-colored gypsophila - buy a bouquet in Moscow at ...    Multi-colored gypsophila - home delivery of flower bouquets in Moscow from the Magic Flower online store at competitive prices. Order right now: +7 (499) ...</t>
  </si>
  <si>
    <t>gypsophila      Colored gypsophila. Trend 2021. - Flowers Valley      Nan</t>
  </si>
  <si>
    <t xml:space="preserve">gypsophila      Bouquet of gypsophila "At sunset"      </t>
  </si>
  <si>
    <t>gypsophila    Gypsophila bouquets with delivery - Minsk    Gypsophila with delivery. Our store delivers bouquets of flowers throughout Minsk and beyond. You can order a bouquet delivery from us to a specific date...</t>
  </si>
  <si>
    <t>gypsophila      Bouquet of gypsophila - bloom flowers.pl</t>
  </si>
  <si>
    <t>gypsophila    Gypsophila. Bouquet of Gypsophila - buy with delivery to ...    Gypsophila price from 55 UAH branch. Bouquet of gypsophila from 1375 UAH. White and pink Gypsophila. Individual and refined. Kvitna - extraordinary floristry.</t>
  </si>
  <si>
    <t>public services    Portal of public services of the Russian Federation         Portal of public services of the Russian FederationGovernment services will now open The portal is operating as before. Wait a couple of seconds</t>
  </si>
  <si>
    <t>public services    public services - Apps on Google Play</t>
  </si>
  <si>
    <t>government services    State services          VK.com | VKYour browser is out of dateThis may cause VK to work slowly or experience errors.Update your browser or install one of the following:ChromeOperaFirefox</t>
  </si>
  <si>
    <t>government services    App Store: State Services - Apple    In the State Services application, every person can receive government services easily and quickly: fill out the necessary documents, make an appointment,...</t>
  </si>
  <si>
    <t>public services    Contact @gosuslugi    Government services. 1,049,158 subscribers. The official channel of the government services portal of the Russian Federation. VK: vk.com/gosuslugi. OK: ok.ru ... Public services right away.    Telegram Messenger EnglishBahasa IndonesiaBahasa MelayuDeutschEspañolFrançaisItalianoNederlandsO'zbekPolskiPortuguês (Brasil)TürkçeBelarusianRussianUkrainianالعربيةفارسی 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 …Oct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t>
  </si>
  <si>
    <t>public services    Portal of public services of the Russian Federation    Federal state information system “Unified portal of state and municipal services (functions)” (Unified portal of public services, EPGU,...</t>
  </si>
  <si>
    <t>public services    Service portal of the Tyumen region - Home    Check tax debt online. Using government services is very easy! Login Register. Popular services. Information and reference service. 8...    Service portal of the Tyumen region - Home   All categories All categories Citizens Legal entities RUS ×ClearFind × Service catalogHelp and supportPaymentPersonal accountEntire catalogCloseThis site uses a web analytics service that uses “cookie” technology to analyze user activity. By visiting this site you agree to the processing of data for the purposes stated above.AcceptYou have unprocessed notifications× ×ClearGoing abroad? Find out about the rules for returning home safely Find out your Taxpayer Identification Number Check your tax debt online It’s very easy to use government services! IN TOGovernorLegislationLocal governmentGeoportalHealthcare© 2010 — 2023 Government Tyumen region Administrator of the State Public Institution TO "CIT TO". The portal is implemented on the "SiTex" platform</t>
  </si>
  <si>
    <t>public services  Public services portal of the Stavropol Territory      Public services portal of the Stavropol Territory</t>
  </si>
  <si>
    <t>public services      Regional service portal of the Kamchatka Territory</t>
  </si>
  <si>
    <t>public services    Rospatent. State services    State services: registration of intellectual property, familiarization with application documents, registration of orders and transfer of exclusive rights...</t>
  </si>
  <si>
    <t>public services    Personal account of citizens of the Kemerovo region    Login through the State Services account is available only to parents; the option for students will be added later. To come in. Login through government services · Registration. Problems ...</t>
  </si>
  <si>
    <t>government services    Gosuslugi - Applications on Google Play    Gosuslugi is a federal state information system developed by the Ministry of Digital Development, Communications and Mass Communications...</t>
  </si>
  <si>
    <t>public services    Gosuslugi.Dom - App Store    Gosuslugi.Dom is a multifunctional free application for solving housing and communal issues. The service is created on the basis of GIS housing and communal services and includes all...</t>
  </si>
  <si>
    <t>public services    public services    Use public services in any region, with any religion, with different views and preferences. Services are available to everyone. Because Russia is united!    Telegram Messenger EnglishBahasa IndonesiaBahasa MelayuDeutschEspañolFrançaisItalianoNederlandsO'zbekPolskiPortuguês (Brasil)TürkçeBelarusianRussianUkrainianالعربيةفارسی한국어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 …Oct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t>
  </si>
  <si>
    <t>government services    Gosuslugi    The Federal State Information System "Unified Portal of State and Municipal Services (Functions)", commonly referred to as Gosuslugi (Russian: State Services) is...</t>
  </si>
  <si>
    <t>Google    Google    Search the world's information, including webpages, images, videos and more. Google has many special features to help you find exactly what you're looking ...    GoogleSearchImagesMapsPlayYouTubeNewsGmailDriveMoreCalendarTranslateMobileBooksShoppingBloggerFi cePhotosDocsEven more »Account OptionsSign inSearch settingsWeb History Advanced searchLearn how Google supports veteransGoogle offered in: ������� Advertising Business SolutionsAbout GoogleGoogle.com© 2023 - Privacy - Terms</t>
  </si>
  <si>
    <t>Google    Google    Search the world's information, including webpages, images, videos and more. Google has many special features to help you find exactly what you're looking ...    GoogleSearchImagesMapsPlayYouTubeNewsGmailDriveMoreCalendarTranslateMobileBooksShoppingBloggerFi cePhotosDocsEven more »Account OptionsSign inSearch settingsWeb History Advanced searchLearn how Google supports veteransAdvertisingBusiness SolutionsAbout Google© 2023 - Privacy - Terms</t>
  </si>
  <si>
    <t>Google    Account    In your Google Account, you can see and manage your info, activity, security options, and privacy preferences to make Google work better for you.    GoogleSearchImagesMapsPlayYouTubeNewsGmailDriveMoreCalendarTranslateMobileBooksShoppingBloggerFi cePhotosDocsEven more »Account OptionsSign inSearch settingsWeb History Advanced searchLearn how Google supports veteransAdvertisingBusiness SolutionsA bout Google© 2023 - Privacy - Terms</t>
  </si>
  <si>
    <t>Google    Google Translate    Google's free service allows you to instantly translate words, phrases and web pages. More than 100 languages ​​are supported.</t>
  </si>
  <si>
    <t>Google    Google Accounts: Sign in    Sign in. Use your Google Account. Email or phone. Forgot email? CAPTCHA image of text used to distinguish humans from robots ... Sign in Use your Google Account.    Sign in - Google AccountsSign inUse your Google AccountEmail or phoneForgot email?Not your computer? Use a private browsing window to sign in. Learn moreNextCreate accountAfrikaansazərbaycanbosanskicatalàČeštinaCymraegDanskDeutscheestiEnglish (United Kingdom)English (United States)Español (España)Español (Latinoamérica)euskaraFilipinoFrançais (Canada)Français (France) GaeilgegalegoHrvatskiIndonesiaisiZuluíslenskaItalianoKiswahililatviešulietuviųmagyarMelayuNederlandsnorsko'zbekpolskiPortuguês (Brasil)Português (Portugal)românăshqipSlovenčinaslovenščinasrpski (latinica)SuomiSvens kaTiếng ViệtTürkçeΕλληνικάBelarusianBulgarianKyrgyzKazakh TilimMacedonianMongolRussianSrpskiy (Cyrillic)Ukrainianქართულიհայերե ն About us​ ನ್ನಡമലയാളംසිංහලไทยລາວမြန်မာខ្មែរPORTAL HelpPrivacyTerms</t>
  </si>
  <si>
    <t>Google    Explore Google Earth    Grab the helm and go on an adventure in Google Earth.    Google EarthAw snap! Google Earth isn't supported on your browser. You may need to update your browser or use a different browser. Please see our system requirements for more information. Chrome is a great choice and you can download it here.Or if you're feeling adventurous you can try Earth anyway by choosing an option below.Launch Wasm Multiple ThreadedLaunch Wasm Single ThreadedLearn more about Google Earth.</t>
  </si>
  <si>
    <t>Google    Google Ads - Get Customers and Sell More with Online ...    Discover how online advertising with Google Ads can help grow your business. Get customers and sell more with our digital advertising platform.</t>
  </si>
  <si>
    <t>Google     Google Meet - Online Video Calls, Meetings and Conferencing  Real-time meetings by Google. Using your browser, share your video, desktop, and presentations with teammates and customers.</t>
  </si>
  <si>
    <t>Google    Google Cloud: Cloud Computing Services    Meet your business challenges head on with cloud computing services from Google, including data management, hybrid &amp; multi-cloud, and AI &amp; ML.</t>
  </si>
  <si>
    <t>Google    Google Trends         Google TrendsTrendsHomeExploreTrending now mapsSign inTrendshomeHomesearchExploretrending upTrending nowcalendar monthYear in SearchnotificationsSubscriptionshelp outlineHelpsms failedSend feedbackExplore whatUnited Statesthe worldis searching for right nowSearch interest past 24 hoursExploreDive deeperExplore issues and events in detail. Curated by the Trends Data Team.NBAThe 2023-24 NBA season in Search.NFLThe 2023-24 NFL season in Search.Republican Primary 2024The Republican Party is selecting a Presidential candidate. See how America is searchingFormula 1See how the world is searching for Formula 1.World Teachers' Day 2023See how World Teachers' Day is being searched in the USMade with TrendsSee how Google Trends is being used across the world by newsrooms charities and moreGoogle FrightgeistCostumes so good it's scary. Check out Frightgeist a Google Trends experiment.arrow forwardVisitThe Shape of DreamsA visual exploration of Google searches for the interpretation of dreamsarrow forwardVisitWhat are we searching for?A visual essay of what we're searching for throughout the day night and in betweenarrow forwardVisitVisualizing Google data Welcome to our data visualization project: where the Trends Data Team works with the best designers around the world to tell stories with data — and make the results open sourcearrow forwardVisitOECD Weekly Tracker of Economic ActivityFrom the OECD: The Weekly Tracker provides an estimate of weekly GDP based on Google Trends search data and machine learning.arrow forwardVisitWNBA FirstsSee the stories behind some of the most searched WNBA "firsts" in Google Trends history.arrow forwardVisitMidterm elections 2022: The issues that matter to AmericansFrom Axios: See which issues people in your congressional district care about ahead of the 2022 midtermsarrow forwardVisitarrow backarrow forwardGet started with TrendsNew to Trends? Browse these resources to learn what it can do and how to use it.What is Google Trends?Basics of Google TrendsUnderstanding the dataAdvanced Google TrendsPrivacyTermsSend feedbackAbouthelpHelp languageSearchClear searchClose searchGoogle appsMain menu</t>
  </si>
  <si>
    <t>Google    Google    Google | 30676617 followers on LinkedIn. A problem isn't truly solved until it's solved for all. Googlers build products that help create opportunities for...</t>
  </si>
  <si>
    <t>Google    Google Scholar    Google Scholar provides a simple way to broadly search for scholarly literature. Search across a wide variety of disciplines and sources: articles, theses, ...    Google ScholarLoading...The system can't perform the operation now. Try again later.Advanced searchFind articleswith all of the wordswith the exact phrasewith at least one of the wordswithout the wordswhere my words occuranywhere in the articlein the title of the articleReturn articles authored bye.g. "PJ Hayes" or McCarthyReturn articles published ine.g. J Biol Chem or NatureReturn articles dated between - e.g. 1996Saved to My libraryDoneRemove articleMy profileMy libraryAlertsMetricsAdvanced searchSettingsSign inMy profileMy librarySign inArticles Case lawFederal courts Michigan courts Select courts...Stand on the shoulders of giantsSorry some features may not work when JavaScript is turned off.Please enable JavaScript in your browser for the best experience. ENLanguagesEnglishEspa�olCatal�ČeštinaDanskDeutschFilipinoFran�aisHrvatskiIndonesiaItalianoLatviešuLietuviųMagyarNederlandsNorskPolskiPortugu�s (Brasil)Portugu�s (Portugal)Rom�năSlovenčinaSloven ščinaSuomiSvenskaTiếng ViệtT�rk�eΕλληνικάBulgarianRussianSrpskiUkrainianעבריתﺎﻠﻋﺮﺒﻳﺓﻑﺍﺮﺳیहिन् PrivacyTermsHelpAbout ScholarSearch help</t>
  </si>
  <si>
    <t>Google    Google Assistant, your own personal Google    Meet your Google Assistant. Ask it questions. Tell it to do things. It's your own personal Google, always ready to help whenever you need it.</t>
  </si>
  <si>
    <t>Google    Google Sites: Sign-in    Access Google Sites with a personal Google account or Google Workspace account (for business use).    Google Sites: Sign-inSign into continue to Google SitesEmail or phoneForgot email?Not your computer? Use a private browsing window to sign in. Learn moreNextCreate accountAfrikaansazərbaycanbosanskicatalàČeštinaCymraegDanskDeutscheestiEnglish (United Kingdom)English (United States)Español (España)Español (Latinoamérica)euskaraFilipinoFrançais (Canada)Français (France) GaeilgegalegoHrvatskiIndonesiaisiZuluíslenskaItalianoKiswahililatviešulietuviųmagyarMelayuNederlandsnorsko'zbekpolskiPortuguês (Brasil)Português (Portugal)românăshqipSlovenčinaslovenščinasrpski (latinica)SuomiSvens kaTiếng ViệtTürkçeΕλληνικάBelarusianBulgarianKyrgyzKazakh TilimMacedonianMongolRussianSrpskiy (Cyrillic)Ukrainianქართულიհայերե ն About us​ ನ್ನಡമലയാളംසිංහලไทยລາວမြန်မာខ្មែរPORTAL HelpPrivacyTerms</t>
  </si>
  <si>
    <t>Google    Google Help    If you're having trouble accessing a Google product, there's a chance we're currently experiencing a temporary problem. You can check for outages and downtime...</t>
  </si>
  <si>
    <t xml:space="preserve">Google    Google - About Google, Our Culture &amp; Company News     </t>
  </si>
  <si>
    <t>Google    Google (company)</t>
  </si>
  <si>
    <t>Google    Google    Google was founded on September 4, 1998, by American computer scientists Larry Page and Sergey Brin while they were PhD students at Stanford University in...</t>
  </si>
  <si>
    <t>diary ru    Dnevnik.ru    Dnevnik.ru is a digital educational platform that makes education in Russia high-quality and accessible! ...communication with parents. ...Get closer to your...    Dnevnik.ruAbout the companyOpportunitiesSupport Login Connect OO Dnevnik.ru is a digital educational platform that makes education in Russia high-quality and affordable! For teachers Get access to advanced technologies for automating the educational process, online education tools and modern ways of communicating with parents. More details Parents Get closer to your child with Dnevnik.ru! Follow your child’s successes and hobbies and actively participate in the educational process together! Read more Students of Dnevnik.ru will like it! Everything you need for extracurricular activities, creative victories and self-expression is always at hand. More details For government agencies Dnevnik.ru for educational authorities is an online monitoring tool and an effective channel for prompt information to subordinate organizations. More detailsTeachersParentsStudentsGovernment agencies EVERY SECOND SCHOOL IN RUSSIA IS WITH US!925,873 teachers 8,980,324 students 4,997,995 parents. The most active schoolsAbout the companyAbout usManagementNewsContactsOpportunitiesTeachersParentsStudentsGovernment agencies Support Help desk portal Russian RussianEnglishEspañolPortuguêsFrançais Connect OO Information posted in the Unified Educational Network "Dnevnik.ru" refers to information products permitted for circulation for children over the age of six in accordance with Art. 8 Federal Law No. 436 dated December 29, 2010 User Agreement© 2007-2023 Dnevnik.ru LLC</t>
  </si>
  <si>
    <t>diary ru    Dnevnik.ru    Dnevnik.ru is a free digital educational platform for educational organizations, developed by the Dnevnik.ru company. | 148960 subscribers.     VK.com | VKYour browser is out of dateThis may cause VK to work slowly or experience errors.Update your browser or install one of the following:ChromeOperaFirefox</t>
  </si>
  <si>
    <t>diary ru    Dnevnik.ru - Applications on Google Play    Dnevnik.ru is a mobile application for parents, the basic version of which complements the use of the site, and the PRO version allows you to completely abandon the site...</t>
  </si>
  <si>
    <t>diary ru    Dnevnik.ru 4+ - App Store - Apple    Dnevnik.ru is a mobile application for students and their parents, the basic version of which complements the use of the site, and the PRO version allows you to fully...</t>
  </si>
  <si>
    <t>diary ru    Dnevnik.ru - Apps on Google Play    Dnevnik.ru is a mobile application for parents, the basic version of which complements the use of the site, and the PRO version allows you to completely abandon the site and...</t>
  </si>
  <si>
    <t>diary ru     Journal Dnevnik.ru 4+ - App Store - Apple</t>
  </si>
  <si>
    <t>diary ru    Diary ru - Student’s personal account: login to My ...    Dnevnik.ru allows teachers to organize distance learning and transfer “paper” aspects of their work into electronic form, parents - to monitor...</t>
  </si>
  <si>
    <t>diary ru    Dnevnik.ru    Dnevnik.ru is a Russian IT company in the field of educational technologies. According to its own statements, the company is developing a unified electronic...</t>
  </si>
  <si>
    <t>diary ru    Dnevnik.ru - encyclopedia "Knowledge.Wiki"    Oct 5 2023 —</t>
  </si>
  <si>
    <t>diary ru    Dnevnik.ru Company - Habr Career    Dnevnik.ru Company - employer profile on Habr Career: about the company, office photos, contacts.</t>
  </si>
  <si>
    <t>diary ru    Dnevnik.ru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</si>
  <si>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diary ru    dnevnik ru - Dnevnik.ru    Dnevnik.ru announced the ranking of leading regions in the use of electronic journals in schools. Details on the official website Dnevnik.ru.    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t>
  </si>
  <si>
    <t>diary ru    Dnevnik.ru | OK.RU    Group Dnevnik.ru. Dnevnik.ru is a free digital educational platform for educational organizations, developed by a resident of Skolkovo,...    Social network Odnoklassniki. Chatting with friends in OK. Your meeting place with classmatesGo to the version for people with disabilities.Collapse searchSearch in OKServices VKMail.ruMailCloudCalendarTasksVideo callsVK MailTV programWeatherHoroscopesSportAnswersAutoLadyVKontakteMoreWe use cookies to improve our service for you. You can accept them or configure them yourself. More informationAccept everythingCustomizeMore emotions and vivid communication!Come to OK to meet your friends and find new ones, chat with loved ones and have an interesting time using our entertainment services.LoginRegisterLoginQR codePhone or email address. EmailPasswordLog in using QR codeCan't login?No Odnoklassniki profileRegister Another profileRussianMobile versionFor businessCallsGamesGiftsHelpMoreFor DevelopersAdvertisingAgreements and policiesSet cookiesVacanciesNewsAbout the company© 2006–2023 VK LLC / LLC VKWe use recommendation technologies Read more</t>
  </si>
  <si>
    <t>diary ru    dnevnik.ru | reviews    Site for monitoring grades by parents, which is impossible to enter. When my daughter’s school introduced electronic diaries, many parents began to be indig t. I...</t>
  </si>
  <si>
    <t>diary ru      diary ru</t>
  </si>
  <si>
    <t>diary ru   Journal Dnevnik.ru - Apps on Google Play  5 Oct. 2023 —</t>
  </si>
  <si>
    <t>diary ru    Dnevnik.ru - VKontakte    Description: Dnevnik.ru is a free digital educational platform for educational organizations, developed by the company "Dnevnik.ru".     VK.com | VKYour browser is out of dateThis may cause VK to work slowly or experience errors.Update your browser or install one of the following:ChromeOperaFirefox</t>
  </si>
  <si>
    <t>diary ru    Dnevnik.ru - Wikipedia    Dnevnik.ru is a Russian IT company in the field of educational technologies. According to its own statements, the company is developing a unified electronic...</t>
  </si>
  <si>
    <t>diary ru    Dnevnik.ru (@dnevnik ru) / X    Dnevnik.ru announced the ranking of leading regions in the use of electronic journals in schools. Details on the official website Dnevnik.ru.    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t>
  </si>
  <si>
    <t>diary ru    Dnevnik.ru - Russian Society Knowledge    5 Oct. 2023 —</t>
  </si>
  <si>
    <t>diary ru    Vacancies of the company Dnevnik.ru - work in St. ... - HH.ru    Work in the company Dnevnik.ru. Information about the company and all open vacancies in St. Petersburg, Moscow.</t>
  </si>
  <si>
    <t>diary ru    Dnevnik.ru - Facebook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</si>
  <si>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diary ru    Dnevnik.ru - School No. 36 Veliky Novgorod    Dnevnik.ru · Dnevnik.ru - FOR STUDENTS · Student's diary - Diary. · Educational resources - The online library contains almost all the works that...</t>
  </si>
  <si>
    <t>diary ru      Diary ru - Student’s personal account - Compare.ru</t>
  </si>
  <si>
    <t>diary ru    Vacancies of the company Dnevnik.ru - work in St. ...    Work in the company Dnevnik.ru. Information about the company and all open vacancies in St. Petersburg, Moscow.</t>
  </si>
  <si>
    <t>diary ru    Dnevnik.ru    Dnevnik.ru · Dnevnik.ru - FOR STUDENTS · Student's diary - Diary. · Educational resources - The online library contains almost all the works that...</t>
  </si>
  <si>
    <t>dns    Chain of stores DNS 2023    Official page of the company. DNS is one of the leaders in digital retail in Russia. In 1998, the company opened its first computer store in the city...     VK.com | VKYour browser is out of dateThis may cause VK to work slowly or experience errors.Update your browser or install one of the following:ChromeOperaFirefox</t>
  </si>
  <si>
    <t>dns    DNS - Wikipedia    DNS (English Domain Name System “domain name system”) is a distributed computer system for obtaining information about domains. Most often used for...</t>
  </si>
  <si>
    <t>dns    Novosibirsk addresses of DNS stores in Novosibirsk on ...    Novosibirsk addresses of DNS stores in Novosibirsk, Yandex Maps: phone numbers, opening hours, photos, entrances, reviews, how to get there by transport or walk.    Oh! Confirm that you sent the requests and not a robot We are very Sorry, but the requests from your device seem to be automatic.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</si>
  <si>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dns    DNS GROUP - Group of companies DNS    DNS GROUP - we make goods and services more accessible, build modern housing and logistics complexes, develop production and training centers.    DNS GROUP - Group of companies DNS</t>
  </si>
  <si>
    <t>dns    DNS - Krasnodar    DNS is one of the market leaders in the sale of digital and household appliances in Russia. Today it is represented in more than 400 cities. The assortment of stores includes...</t>
  </si>
  <si>
    <t>dns    DNS - Novosibirsk - Zoon.ru    DNS in Novosibirsk: 61 establishments with addresses, reviews and photos. The most complete catalog of establishments with photos, ☎️ and reviews, easy search for places on the map.</t>
  </si>
  <si>
    <t>dns    DNS shop in St. Petersburg - addresses on the map and reviews    Addresses of DNS shop in St. Petersburg... Bad! The store has good sellers, delivery is very bad. Manager Translates to the courier, the courier mumbles nothing to say...</t>
  </si>
  <si>
    <t>dns    DNS settings for registrars - Tilda Help Center    For the domain that you need to configure, find the “DNS zone management” section. Click “+Add another record” and select record type A. Click on the icon with...</t>
  </si>
  <si>
    <t>dns    Program of profitable purchases ProZaPass    any product participating in the ProZaPass program, in stores or on websites of the DNS network. You can see the number of bonuses awarded for the product next to...</t>
  </si>
  <si>
    <t>dns    DNS Development         DNS DevelopmentAbout the companyProjectsPurchasesVacanciesMedia about usContactsAbout the companyVacanciesProjectsAviapolis YankovskyResidential complex FormatHouse-building plant PrimoryeDNS CityCountry villageKindergarten in the residential complex "Format"School in the residential complex "Format"PurchasesVacanciesMedia about usContactsRUS / ENGAviapolis Yankovsky is the largest industrial park in the Far East To the project pageHouse-building plant Primorye plant in the Nadezhdinskaya torus with a capacity up to 150,000 sq.m. To the project pageCountry village Finished house in a comfortable village To the project pageResidential complexes residential buildings - affordable housing modern construction technologies To the project pagePublic-private partnership projects School and kindergarten in the Format residential complex To the project page contact us 8 (423) 279-56 -53</t>
  </si>
  <si>
    <t>dns    Setting up resource records on hosting    Read about the purpose of resource records in the article: What are DNS resource records? This instruction will suit you if you have ordered Reg.ru hosting and for the domain...</t>
  </si>
  <si>
    <t>dns    Public DNS | Google for Developers    A free, global DNS resolution service that you can use as an alternative to your current DNS provider.</t>
  </si>
  <si>
    <t>dns  Get Started | Public DNS    Configure your network settings to use Google Public DNS. When you use Google Public DNS, you are changing your DNS "switchboard" operator from your ISP to ...</t>
  </si>
  <si>
    <t>dns    What is DNS? | How DNS works    DNS, or the domain name system, is the phonebook of the Internet, connecting web browsers with websites. Learn more about how DNS works and what DNS servers...</t>
  </si>
  <si>
    <t>dns    Cloud DNS    Cloud DNS. Reliable, resilient, low-latency DNS serving from Google's worldwide network with everything you need to register, manage, and serve your domains.</t>
  </si>
  <si>
    <t>dns    What is DNS? – Introduction to DNS    DNS, or the Domain Name System, translates human readable domain names (for example, www.amazon.com) to machine readable IP addresses (for example, 192.0.2.44).</t>
  </si>
  <si>
    <t>dns    Quad9 | A public and free DNS service for a better security ...    An open DNS recursive service for free security and high privacy. Quad9 is a free service that replaces your default ISP or enterprise Domain Name Server...</t>
  </si>
  <si>
    <t>dns    DNS Lookup Tool    The DNS lookup is done directly against the domain's authoritative name server, so changes to DNS Records should show up instantly. By default, the DNS...     MX Lookup Tool - Check your DNS MX Records online - MxToolbox Javascript is disabled. Javascript is required for this site. Fix the ProblemMX Lookup Domain Name Solve Email Delivery ProblemsABOUT MX LOOKUP This test will list MX records for a domain in priority order. The MX lookup is done directly against the domain's authoritative name server so changes to MX Records should show up instantly. You can click Diagnostics which will connect to the mail server verify reverse DNS records perform a simple Open Relay check and measure response time performance. You may also check each MX record (IP Address) against 105 DNS based blacklists. (Commonly called RBLs DNSBLs) Your IP is: | ContactTerms &amp; ConditionsSite MapSecurityAPIPrivacy Phone: (866)-MXTOOLBOX / (866)-698-6652 | © Copyright 2004-2021 MXToolBox Inc All rights reserved. US Patents 10839353 B2 &amp; 11461738 B2 burritos@ba a-pancakes.combraunstrowman@ba a-pancakes.comfinnbalor@ba a-pancakes.comricflair@ba a-pancakes.comrandysavage@ba a-pancakes.comMxToolBox has been UpdatedRefresh Page× Sign-InSign in insteadEmail Address: Do you have an MxToolbox.com password?No I am a new user:Your Name:Password:Telephone:Company:Title:ExecutiveSystem AdministratorEmail AdministratorIT ManagerMarketing ManagerSmall Business OwnerConsultantOther – Please SpecifyYes I have a password.Forgot your password?TermsWe respect your privacyAlready have an account?Sign Up insteadEmail:Password:TermsWe respect your privacy</t>
  </si>
  <si>
    <t>dns    DNS leak test    DNSleaktest.com offers a simple test to determine if you DNS requests are being leaked which may represent a critical privacy threat. The test takes only a...    DNS leak testWhat is a DNS leak?What are transparent DNS proxies?How to fix a DNS leakHello 208.75.19.153from Ann Arbor United StatesWhats the difference?Privacy policy | IVPN Limited</t>
  </si>
  <si>
    <t>dns    DNS Made Easy | Fast and Most Reliable Provider    DNS Made Easy is a top provider that offers best DNS management services and tools. Sign up for free and enjoy the fastest and most reliable managed DNS.</t>
  </si>
  <si>
    <t>dns    GRC's | DNS Nameserver Performance Benchmark    GRC's DNS Benchmark performs a detailed analysis and comparison of the operational performance and reliability of any set of up to 200 DNS nameservers (...      Home of Gibson Research Corporation  Purchasing Sales Support Technical Support Contact Us Blogs Twitter &amp; RSS Privacy Policy Steve's Projects Page Steve's Old Resume General information What SpinRite Does User testimonials S.M.A.R.T Monitor Purchase SpinRite FAQ Demo Videos Knowledgebase: B04E Knowledgebase: SATA Knowledgebase: BIOS SpinRite v5.0 pages ShieldsUP! Certificate Revocation Password Haystacks HTTPS Fingerprints Security Now! DNS Spoofability Test Perfect Passwords PPP Passwords Tech TV video clips Newsgroup DiscussionsSQRLSecurity" InSpectre Securable Leaktest Shoot the messenger Unplug n' Pray DCOMbobulator MouseTrap MouseTrapCmdUtilities" ValiDrive InControl ReadSpeed DNS Benchmark InitDisk Never 10 (no upgrade) Wizmo ID Serve "ClicKey Free &amp; Clear IDentity (ASPI)Obsolete" FIX- CIH TIP (trouble in paradise) OptOut XPdite NoShare LetShare PatchworkGeneral» Malware Repository SQRL Login Technology EV SSL/TLS Certificates Ultra-high entropy PRNG Pure CSS web menus NAT router security PDA max battery lifePending» GRC NetFilter TrustPuppyHistorical» Worm wars of 2001 File downloader spying Sub-pixel font rendering Earthlink browser tag ZIP &amp; JAZ click of deathDormant" OpenVPN The Assimilator ASPI MEHealth" Health Homepage The Low Carb Choice Vitamin D Healthy Sleep Formula Zeo Sleep Manager ProSQRL PDP-8 Computers TrueCrypt Repository Big Number Calculator The Quiet Canine Gibson Research Corporation Proudly AnnouncesThe industry's #1 hard drive data recoverysoftware is NOW COMPATIBLE with NTFSFAT Linux and ALL OTHER file systems!And the exclusive home of . . .More than 106852742 shields tested!To proceed click the logos or select from the menu above.</t>
  </si>
  <si>
    <t>dns    DNS Propagation Checker - Global DNS Testing Tool    whatsmydns.net is a free online tool that lets you quickly and easily perform a DNS lookup to check DNS propagation and see information of any domain from DNS ...</t>
  </si>
  <si>
    <t>dns    Cloud Delivered Enterprise Security by OpenDNS         Cloud Delivered Enterprise Security by OpenDNSSkip to contentSkip to footerOpenDNS is now part of Cisco Learn More About CiscoEnterprisePartnersConsumerAbout UsSearchSupportLoginDashboardEnterpriseMSP &amp; PartnersConsumerAbout UsSearchSupportLoginDashboardImprove YourInternetEnterprise SecurityCisco Umbrella provides protection against threats on the internet such as malware phishing and ransomware. Visit umbrella.cisco.comConsumerOpenDNS is a suite of consumer products aimed at making your internet faster safer and more reliable.Learn moreWhy users love OpenDNSDelivers faster more reliable home internetThanks to our global data centers and peering partnerships we shorten the routes between every network and our data centers–making your internet access even faster.Helps make the web a safer placeWith filtering or pre-configured protection you can safeguard your family against adult content and more. It’s the easiest way to add parental and content filtering controls to every device in your home.Easy to set upGet OpenDNS up and running in your home quickly and easily. PhD in Computer Science not required. Thanks to our helpful guides and knowledge base set up is a breeze.Who We AreData Center LocationsLearn MoreCommunitySpiceworksTwitterFacebookLinkedIn© OpenDNS 2023208.67.222.222 · 208.67.220.220Cisco Online Privacy StatementSitemap</t>
  </si>
  <si>
    <t>dns DNS SHOP - Apps on Google Play</t>
  </si>
  <si>
    <t>dns    DNS Performance - Compare the speed and uptime of ...    Compare the speed and uptime of enterprise and commercial DNS services.    DNS Performance - Compare the speed and uptime of enterprise and commercial DNS services | DNSPerfToggle navigationMENUCLOSEGet premiumDNS Performance &amp; UptimeAuthoritative DNS ProvidersPublic DNS ResolversDNS Root ServersDNS Providers All DNS ProvidersTools DNS Propagation checkerDNS Speed ​​BenchmarkNetworkGet premiumDNS Performance Analytics and ComparisonFind the fastest and most reliable most DNS for free based on millions of testsData powered by:How we measure DNS PerformanceAll DNS providers are tested every minute from 200+ locations globally. All tests are over IPv4 with a 1-second timeout. The public data is updated once per hour but contact us for real-time data.Authoritative DNS providersPublic DNS resolversDNS Root ServersDNS ProvidersLocation:WorldPeriod:Last 30 daysType:Raw Performance Resolver Simulation UptimeQualityFilters DNS ResolversLocation:WorldPeriod:Last 30 daysType:Raw Performance UptimeQualityFilters DNS Root ServersLocation:WorldPeriod:Last 30 daysType:Raw PerformanceUptimeQualityFilters Find out when DNSPerf and CDNPerf release new features and toolsWe rarely send messages only when we have important news to share. No spam or annoying emails.We rarely send messages only when we have important news to share. No spam or annoying emails.Our other projects:Get in touch will@perfops.netMedia© 2020 PerfOps Sp z.o.o. All rights reserved.</t>
  </si>
  <si>
    <t>Inna Churikova    Churikova, Inna Mikhailovna    Inna Mikhailovna Churikova (October 5, 1943, Belebey, Bashkir Autonomous Soviet Socialist Republic - January 14, 2023, Moscow) - Soviet and Russian theater and film actress; ...</t>
  </si>
  <si>
    <t>Inna Churikova    Inna Churikova: films, biography, family, ...    Inna Churikova. Date of birth: October 5, 1943. Actress, Dubbing Actress, Screenwriter. Best films: That Munchausen, The Idiot, Inception, Moscow Saga,...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</si>
  <si>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Inna Churikova    Inna Churikova - actress - biography</t>
  </si>
  <si>
    <t>Inna Churikova    Biography of Inna Churikova    14 Jan. 2023 —</t>
  </si>
  <si>
    <t>Inna Churikova    Inna Churikova</t>
  </si>
  <si>
    <t>Inna Churikova    Churikova Inna Mikhailovna - biography of the actress, ...    13 Jan. 2023 —</t>
  </si>
  <si>
    <t>Inna Churikova    Inna Churikova biography, photo, personal life, ...    Inna Churikova is, without exaggeration, a great Russian actress, wife and muse of the talented director Gleb Panfilov and prima of the legendary Lenkom Theater. This...</t>
  </si>
  <si>
    <t>Inna Churikova    Churikova, Inna Mikhailovna    11 Jul. 2023 —</t>
  </si>
  <si>
    <t>Inna Churikova    Inna Churikova: biography, photo    Inna Churikova graduated from the Higher Theater School named after M. S. Shchepkin. Since 1965 - actress of the Moscow Theater for Young Spectators, since 1968 she has worked under contracts...</t>
  </si>
  <si>
    <t xml:space="preserve">Inna Churikova    Inna Churikova - biography, personal life, photo, ...     </t>
  </si>
  <si>
    <t>Inna Churikova    Star of a changing era: like Inna Churikova all...    15 Jan. 2023 —</t>
  </si>
  <si>
    <t>Inna Churikova    Inna Churikova Inna Churikova    Inna Churikova Inna Churikova, Moscow. Likes: 25,408 · Discuss: 5. Inna Churikova, Russian actress, the “Tsarina of the stage”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</si>
  <si>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 xml:space="preserve">Inna Churikova    Inna Churikova (Inna Churikova) biography, films, ...     </t>
  </si>
  <si>
    <t>calculator    Online calculator    Simple, fast and easy to use online calculator.    OK CalculatorOK CalculatorSimple fast and easy to use online calculations.Simple Calculator- Fractions- Percentages- Exponentiation- Root of a number- LogarithmsScientific Calculator- Derivatives- Integrals- Equations- Matrices- TrigonometryUse the calculation Tiếng ViệtTürkçe © 2023 OK Calcmail@okcalc.comPrivacy Policy2022-07-22</t>
  </si>
  <si>
    <t>calculator    Algebraic calculator - Math Solver - Microsoft    Calculator.    Microsoft Math Solver - Math Problem Solver &amp; CalculatorSkip to main contentMicrosoft|Math SolverSolvePlayPracticeDownloadSolvePracticePlayTopicsPre-AlgebraMeanModeGreatest Common FactorLeast Common MultipleOrder of OperationsFractionsMixed FractionsP rime FactorizationExponentsRadicalsAlgebraCombine Like TermsSolve for a VariableFactorExpandEvaluate FractionsLinear EquationsQuadratic EquationsInequalitiesSystems of EquationsMatricesTrigonometrySimplifyEvaluateGraphsSolve EquationsCalculusDerivativesIntegralsLimitsAlgebra CalculatorTrigonometry CalculatorCalculus CalculatorMatrix CalculatorDownloadTopicsPre-AlgebraMeanModeGreatest Common FactorLeast Common MultipleOrder of OperationsFractionsMixed FractionsPrime FactorizationExponentsRadicalsAlgebraCombine Like TermsSolve for a VariableFactorExp andEvaluate FractionsLinear EquationsQuadratic EquationsInequalitiesSystems of EquationsMatricesTrigonometrySimplifyEvaluateGraphsSolve EquationsCalculusDerivativesIntegralsLimitsAlgebra CalculatorTrigonometry CalculatorCalculus CalculatorMatrix CalculatorType a math problemType a math problemSolve algebra trigonometry statistics calculus matrices variables listGet step-by-step explanationsSee how to solve problems and show your work—plus get definitions for mathematical conceptsGraph your math problemsInstantly graph any equation to visualize your function and understand the relationship between variablesPractice practiceSearch for additional learning materials such as related worksheets and video tutorialsGet math help in your languageWorks in Spanish Hindi German and moreBack to topEnglishEnglishDeutschEspañolFrançaisItalianoPortuguêsRussian简体中文繁體中文Bahasa MelayuBahasa Indonesiaالعربية日本語Türkçe PolskiעבריתČeštinaNederlandsMagyar Nyelv한국어SlovenčinaไทยελληνικάRomânăTiếng Việtहिन्दीঅসমীয়​ ੰਜਾਬੀதமிழ்తెలుగుAboutPopular ProblemsPrivacy PolicyTerms of serviceTrademarks© Microsoft 2023</t>
  </si>
  <si>
    <t>calculator    Percentage calculator    The calculator is designed specifically for calculating percentages. Allows you to perform a variety of calculations when working with percentages. Functionally it consists of 4 different...</t>
  </si>
  <si>
    <t>calculator    Scientific calculator    Beautiful and free online scientific calculator with advanced features for calculating percentages, fractions, exponential functions, logarithms,...    Desmos | Let's learn together.Loading...</t>
  </si>
  <si>
    <t>calculator    Calculator online - the best and free | Calculator888    Free online calculator with brackets for calculations at work, school or at home. The calculator works on computers, tablets and smartphones.</t>
  </si>
  <si>
    <t>calculator    Web 2.0 Scientific calculator    web2.0calc.ru online calculator provides basic and advanced mathematical functions useful for school or college. You can manage...</t>
  </si>
  <si>
    <t>calculator    Loan calculator    Convenient online loan calculator. Quick calculation of loan payment schedules.    Fi cial culture You need to enable JavaScript to run this app.</t>
  </si>
  <si>
    <t>calculator    Days calculator    Days calculator will determine the difference between dates, calculate the number of working days or which date will come after a given time.</t>
  </si>
  <si>
    <t>calculator    Calculator    Calculator (Latin calculātor “counter”) is an electronic computing device or software (for example, built into a mobile phone,...</t>
  </si>
  <si>
    <t>calculator    How to choose a calculator for office work? ...    What is the bit depth of a calculator and what does it affect? The display of a computing device is limited by the number of characters it can display. If you ...</t>
  </si>
  <si>
    <t>calculator    buy calculator prices and reviews, sales ...    Buy a calculator in the CITYLINK online store. Favorable prices, cashback and bonuses. Feedback and reviews from customers. Characteristics. Guarantee, purchase on credit...</t>
  </si>
  <si>
    <t>calculator      Apps on Google Play – Calculator  28 June. 2023 —</t>
  </si>
  <si>
    <t>calculator    Calculator app    Free calculator with percentage key, memory keys and scientific functions. Scientific calculator * Calculate percentages. * memory keys.</t>
  </si>
  <si>
    <t>calculator      Power calculator - find the best silent power supply ...</t>
  </si>
  <si>
    <t>calculator    Buy a calculator with delivery throughout Moscow and Russia in ...    It is lightweight, reliable and practical! Calculator Casio MS-20UC-LBThe desktop calculator Casio MS-20UC-LB is aimed at a wide range of specialists who...</t>
  </si>
  <si>
    <t>calculator    Pension calculator         Government services portal of the Russian FederationState services will now open The portal is operating as before. Wait a couple of seconds</t>
  </si>
  <si>
    <t>calculator    Online calculator    Online calculator allows you to estimate your budget without calling the company. It allows you to calculate almost any product, except options...</t>
  </si>
  <si>
    <t>calculator    Calculators online, reference-encyclopedia    Calculators online, reference-encyclopedia. Free online calculators for calculating, transferring, tracking rates and quotes. Hundreds of calculators, thousands...</t>
  </si>
  <si>
    <t>calculator      Online Calculator      Nan</t>
  </si>
  <si>
    <t>calculator      Calculator - App Store      Nan</t>
  </si>
  <si>
    <t>calculator    App Store: Calculator - Apple    Read reviews, compare customer ratings, see screenshots, and learn more about this content (Calculator).</t>
  </si>
  <si>
    <t>calculator     Deposit calculator      Fi cial culture You need to enable JavaScript to run this app.</t>
  </si>
  <si>
    <t>calculator    Online calculator for calculating vacation pay in 2023    ... Ordering documents · Accountant's calendar · Expert methods · Webinars. normativ.kontur.ru. Vacation pay calculator. since 1988.</t>
  </si>
  <si>
    <t>calculator    Super pair. Male-female relationship calculator         Google BooksSearchImagesMapsPlayYouTubeNewsGmailDriveMoreCalendarTranslateMobileBooksShoppingBloggerFi cePhotosDocsEven more »Account OptionsSign inBooksSearch the world's most comprehensive index of full-text books.My libraryPublishersAboutPrivacyTermsHelp</t>
  </si>
  <si>
    <t>calculator    Calculator for a young mother. How much money do you need to...         Google BooksSearchImagesMapsPlayYouTubeNewsGmailDriveMoreCalendarTranslateMobileBooksShoppingBloggerFi cePhotosDocsEven more »Account OptionsSign inBooksSearch the world's most comprehensive index of full-text books.My libraryPublishersAboutPrivacyTermsHelp</t>
  </si>
  <si>
    <t>calculator    Fi cial calculator portal    Deposit, loan, mortgage calculator with early repayments, variable rate and various commissions.</t>
  </si>
  <si>
    <t>calculator    Calculator.net: Free Online Calculators - Math, Fitness ...         Calculator.net: Free Online Calculators - Math Fitness Fi ce Science  0sincostanDegRadsin-1cos-1tan-1πexyx3x2ex10xy√x3√x√xlnlog()1/x%n!789+Back456 –Ans123×M+0.EXP/M-±RNDAC=MRFree Online CalculatorsSearchFi cial CalculatorsMortgage CalculatorLoan CalculatorAuto Loan CalculatorInterest CalculatorPayment CalculatorRetirement CalculatorAmortization CalculatorInvestment CalculatorInflation CalculatorFi ce CalculatorIncome Tax CalculatorCompound Interest CalculatorSalary CalculatorInterest Rate CalculatorSales Tax CalculatorFitness &amp; Health CalculatorsBMI CalculatorCalorie CalculatorBody Fat CalculatorBMR CalculatorIdeal Weight CalculatorPace CalculatorPreg cy CalculatorPreg cy Conception CalculatorDue Date CalculatorMath CalculatorsScientific CalculatorFraction CalculatorPercentage CalculatorRandom Number GeneratorTriangle CalculatorStandard Deviation CalculatorOther CalculatorsAge CalculatorDate CalculatorTime CalculatorHours CalculatorGPA CalculatorGrade CalculatorConcrete CalculatorSubnet CalculatorPassword GeneratorConversion CalculatorCalculator.net's sole focus is to provide fast convenient comprehensive free online calculators in a plethora of areas. Currently we have around 200 calculators to help you "do the math" quickly in areas such as fi ce fitness health math and others and we are still developing more. Our goal is to become the one-stop go-to site for people who need to make quick calculations. Additionally we believe the internet should be a source of free information. Therefore all of our tools and services are completely free with no registration required.We coded and developed each calculator individually and put each one through strict comprehensive testing. However please inform us if you notice even the slightest error – your input is extremely valuable to us. While most calculators on Calculator.net are designed to be universally applicable for worldwide usage some are for specific countries only. For example the Income Tax Calculator is for United States residents only.about us | sitemap | terms of use | privacy policy   © 2008 - 2023 calculator.net</t>
  </si>
  <si>
    <t>calculator      Mortgage calculator online - 🏠 Mortgage      Nan</t>
  </si>
  <si>
    <t>calculator      Calculator      Dec 9 2022 —</t>
  </si>
  <si>
    <t>dollar rate    Dollar to ruble exchange rate Exchange | Central Bank exchange rate for today, on ...    Archive of exchange rates of the Central Bank of the Russian Federation for the selected date; USD, 1, US Dollar, 92.0535 ; EUR, 1, Euro, 98.3155 ; INR, 10, Indian Rupees, 11.0552.</t>
  </si>
  <si>
    <t>dollar exchange rate    US dollar (USD) exchange rate for today - the Central Bank of the Russian Federation, dynamics ...    US dollar exchange rate according to the Central Bank for today, dynamics of the US dollar (USD) exchange rate to the ruble - online currency exchange rate.</t>
  </si>
  <si>
    <t>dollar rate    Central Bank dollar rate (USD)    Central Bank dollar rate. Profile. Central Bank dollar exchange rate USD. ₽92.054 (+0.14%). 1d. 1n. 1m. 3m. 1 year All the time. Created with Highcharts 7.2.2 85 90 95 100 105 Oct 10 Oct 17 24...</t>
  </si>
  <si>
    <t>dollar exchange rate     Official exchange rates for a given date ...    7 hours ago —</t>
  </si>
  <si>
    <t>dollar rate    Dollar/Ruble rate (USD/RUB quotes) - Quote.ru    The Central Bank of Russia set the official exchange rate of the US dollar as of November 10 at ₽91.9266, euro - ₽98.4076, yuan - ₽12.5998. This is reported on the website...</t>
  </si>
  <si>
    <t>dollar exchange rate    US dollar exchange rate for today in Russian banks    Dollar exchange rate for today in Russian banks and all exchangers. Favorable exchange rate for buying and selling the dollar in Russia, forecast and exchange rate dynamics for tomorrow.</t>
  </si>
  <si>
    <t>dollar exchange rate    Sberometer - dollar and euro exchange rate for tomorrow    Sberometer - a tool for measuring and saving savings: tips, current exchange rates, dollar and euro exchange rates for tomorrow, official exchange rates of the Central Bank of the Russian Federation.</t>
  </si>
  <si>
    <t>dollar rate    Buy US dollar (USDRUB) 💵 at the exchange rate    Purchase and sale of US dollars to individuals online. Real-time US dollar exchange rate, quote dynamics charts, news and discussion of currencies in...</t>
  </si>
  <si>
    <t>dollar exchange rate     The Central Bank increased the dollar exchange rate on November 11-13 to 92.05 rubles    15 hours ago —</t>
  </si>
  <si>
    <t>dollar exchange rate    Dollar exchange rate as of November 11, 2023 in Ukraine - Ministry of Fi ce    Here you can find out the average cash exchange rate of the dollar to the hryvnia, the commercial dollar exchange rate for all major banks in the country, the dollar exchange rate of the National Bank of Ukraine, as well as...</t>
  </si>
  <si>
    <t>dollar exchange rate    Average annual exchange rates    Convert foreign currencies into US dollars. You must report the amounts you report on your U.S. tax return in U.S. dollars.</t>
  </si>
  <si>
    <t>dollar exchange rate    Bank of Russia: Central Bank of the Russian Federation    11/08/2023 - 11/09/2023. Wed, 08.11, 98.7863 ₽, -0.2248 ₽. Thu, 09.11, 98.4403 ₽, -0.3460 ₽. Official exchange rate of the Bank of Russia. All indicators. Subscription. News ...</t>
  </si>
  <si>
    <t xml:space="preserve">mail    Mail.ru: mail, search, news, weather forecast, horoscope ...     </t>
  </si>
  <si>
    <t>mail    Email - Gmail - Google         GmailSign into continue to GmailEmail or phoneForgot email?Not your computer? Use a private browsing window to sign in. Learn moreNextCreate accountAfrikaansazərbaycanbosanskicatalàČeštinaCymraegDanskDeutscheestiEnglish (United Kingdom)English (United States)Español (España)Español (Latinoamérica)euskaraFilipinoFrançais (Canada)Français (France) GaeilgegalegoHrvatskiIndonesiaisiZuluíslenskaItalianoKiswahililatviešulietuviųmagyarMelayuNederlandsnorsko'zbekpolskiPortuguês (Brasil)Português (Portugal)românăshqipSlovenčinaslovenščinasrpski (latinica)SuomiSvens kaTiếng ViệtTürkçeΕλληνικάBelarusianBulgarianKyrgyzKazakh TilimMacedonianMongolRussianSrpskiy (Cyrillic)Ukrainianქართულიհայերե ն About us​ ನ್ನಡമലയാളംසිංහලไทยລາວမြန်မာខ្មែរPORTAL HelpPrivacyTerms</t>
  </si>
  <si>
    <t>mail    Free email accounts with mail.com | Log in here or register today</t>
  </si>
  <si>
    <t>mail    Yahoo Mail         Yahoo MailSign inAbout Yahoo MailUpgrade to Mail PlusSupportSign upGet StuffDoneSave time? Save money?Done and done with Yahoo Mail.Let's goGet the appAbout our AdsTermsPrivacyPrivacy Dashboard</t>
  </si>
  <si>
    <t>mail    Mail on the App Store - Apple</t>
  </si>
  <si>
    <t>mail    Proton Mail         Proton MailProton Mail requires Javascript. Enable Javascript and reload this page to continue.</t>
  </si>
  <si>
    <t>mail    Mail.ru - Email App</t>
  </si>
  <si>
    <t>mail    AOL Mail         AOL MailLoginAOL Mail is free and helps keep you safe.From security to personalization AOL Mail helps manage your digital lifeStart for freeAOL Mail FAQIs AOL Mail free?Absolutely! It's quick and easy to sign up for a free AOL account. With your AOL account you get features like AOL Mail news and weather for free!Is AOL Mail secure?AOL uses the latest in security and spam-blocking technology.Does AOL Mail have an app?Yes! You can take your email on the go with an iOS &amp; Android app.What languages ​​does AOL Mail support?We support over 70+ languages.Start for free© 2023 Yahoo Inc. All rights reserved.TermsPrivacyPrivacy DashboardContact Us</t>
  </si>
  <si>
    <t>mail    Pochta Mail.ru: mail client</t>
  </si>
  <si>
    <t xml:space="preserve">mail    Mailchimp: Marketing, Automation &amp; Email Platform     </t>
  </si>
  <si>
    <t>mail    Convenient Yandex Mail with anti-spam protection         AuthorizationYou must enable JavaScriptFor this site to work correctly, enable JavaScript.Login with Yandex ID to go to MailMailPhoneEnter your IDCreate IDLoginCreate IDLogin using QR codeMail.ruOdnoklassnikiTwitterYandex ID is the key to all services Find out moreUse the mode incognito on someone else's computerenHelp and support© 2001-2023 Yandex</t>
  </si>
  <si>
    <t>mail       Apple iCloud Mail      ann      iCloud</t>
  </si>
  <si>
    <t>mail   Secure Business Email Hosting for your Organization</t>
  </si>
  <si>
    <t>mail    Mail.ru - Wikipedia</t>
  </si>
  <si>
    <t>mail    Newsletters spam test by mail-tester.com          Newsletters spam test by mail-tester.comTest the Spammyness of your EmailsFirst send your email to:FAQGive FeedbackSPF GuidesSPF &amp; DKIM checkAPILog inBulgarianChineseCroatianCzechDutchEnglishEstonianFrenchGermanGreekHebrewHungarianItalianNorwegianPolishPort ugueseRomanianRussianSpanishSwedishTurkishUkrainian</t>
  </si>
  <si>
    <t>mail    UK Home | Daily Mail Online</t>
  </si>
  <si>
    <t>mail    Pochta Mail.ru          VK.com | VKYour browser is out of dateThis may cause VK to work slowly or experience errors.Update your browser or install one of the following:ChromeOperaFirefox</t>
  </si>
  <si>
    <t>May holidays 2023      How we relax in 2023: May holidays and others ...    Apr 20 2023 —</t>
  </si>
  <si>
    <t>May holidays 2023 Official May holidays in 2023  19 Apr. 2023 —</t>
  </si>
  <si>
    <t>May holidays 2023 How we relax during the May holidays 2023  April 21. 2023 —</t>
  </si>
  <si>
    <t>May holidays 2023     What awaits Russians in May 2023: May weekend, ...    27 Apr. 2023 —</t>
  </si>
  <si>
    <t>May holidays 2023    May holidays in 2023 in Russia - how we relax ...    The weekend of May 1, 2023, according to the new government decree, will last 3 days - from April 29 to May 1. Also, 9...</t>
  </si>
  <si>
    <t>May holidays 2023 How we relax during the May holidays 2023  28 Mar. 2023 —</t>
  </si>
  <si>
    <t>May holidays 2023   How we relax during the May holidays in 2023   March 10 2023 —</t>
  </si>
  <si>
    <t>May holidays 2023     Which days will be non-working days on May holidays 2023 ...    Apr 21 2023 —</t>
  </si>
  <si>
    <t>May holidays 2023     Long weekend: how to relax in May and June 2023    Apr 25 2023 —</t>
  </si>
  <si>
    <t>May holidays 2023    Production calendar for 2023    Production calendar 2023 (working days, holidays and weekends). Production calendar for 2023. 2024; 2023; 2022 · 2021 · 2020 · 2019 · 2018...</t>
  </si>
  <si>
    <t>May holidays 2023 May weekend in 2023 - how we relax  27 June. 2022 —</t>
  </si>
  <si>
    <t>May holidays 2023    Where to go for the May holidays 2023 in Russia    Sutochno.ru tells which cities in Russia and neighboring countries are best suited to spend the May holidays.</t>
  </si>
  <si>
    <t>May holidays 2023    Weekends and holidays in 2023: New Year's ...    Thus, in 2023 there will be the following rest days: from January 1 to January 8, 2023 (December 31, 2022 falls on a Saturday, so the New Year holidays will last...</t>
  </si>
  <si>
    <t>May holidays 2023 Production calendar for 2023  30 Aug. 2022 —</t>
  </si>
  <si>
    <t>May holidays 2023    May holidays in 2023 will be long or not    10 Apr. 2023 —</t>
  </si>
  <si>
    <t>news    Lenta.ru - News from Russia and the world today      4 hours ago —</t>
  </si>
  <si>
    <t>news     News Mail.ru: News from Russia and the world, latest ...    5 hours ago —</t>
  </si>
  <si>
    <t>news      Interfax: news      5 hours ago —</t>
  </si>
  <si>
    <t>news      Main news - Gazeta.Ru      1 hour ago —</t>
  </si>
  <si>
    <t>news      TASS: News in Russia and the world   16 hours ago —</t>
  </si>
  <si>
    <t>news    Latest news of the day for this hour    Feed of the latest news for today on rg.ru. We talk about everything that is happening right now.</t>
  </si>
  <si>
    <t>news    Kommersant: latest news from Russia and the world   13 hours ago —</t>
  </si>
  <si>
    <t>news    Google News    3 hours ago —     Google NewsNewsHelp HelpPrivacyTermsAbout GoogleGet the Android appGet the iOS appSend feedbackSettings SettingsLanguage &amp; regionEnglish (United States)Sign inHomeFor youFollowingNews ShowcaseU.S.WorldLocalBusinessTechnologyEntertainmentSportsScienceHealthMore NewsYourbriefingToday50°30°Sun51° 37°Mon58°31°Tue54°32°Ann Arbor36° FMore on weather.comTop storiesThe GuardianMoreIsraeli troops in key battle with Hamas gunmen near Gaza City hospital4 hours agoJason Burke &amp; Ruth MichaelsonBy Jason Burke &amp; Ruth MichaelsonCNNMoreGaza doctors say hospitals are failing. US medical groups are scrambling to help2 hours agoAlaa ElassarBy Alaa ElassarCBS New YorkMoreGaza hospital nearly at its breaking point as it operates without power4 hours agoAl Jazeera EnglishMoreIsrael is bombing hospitals in Gaza with Israeli doctors' approval16 hours agoOpinionFull CoverageABC NewsMoreSpeaker Mike Johnson pitches Republicans on plan to avert government shutdown3 hours agoJohn R Parkinson Rachel Scott &amp; Allison PecorinBy John R Parkinson Rachel Scott &amp; Allison PecorinCNNMoreHouse GOP pursuing two-step plan to avert government shutdown2 hours agoLauren Fox Manu Raju &amp; Annie GrayerBy Lauren Fox Manu Raju &amp; Annie GrayerRoll Call MoreSenate stopgap plan might extend to January jettison war funds11 hours agoPaul KrawzakBy Paul KrawzakMSNBCMoreMike Johnson has a secret plan to fight a government shutdown5 hours agoOpinionHayes BrownBy Hayes BrownFull CoverageThe Associated PressMorePope Francis removes Tyler Texas bishop Joseph Strickland4 hours agoNicole WinfieldBy Nicole WinfieldBBC.comMoreFagradalsfjall: Iceland declares emergency over volcano eruption concerns5 hours agoLocal newsPicks for youSign in for personalized stories in your briefing &amp; news feedSign inSearchClear searchClose searchGoogle appsMain menu</t>
  </si>
  <si>
    <t>news    News — Meduza    14 minutes ago —</t>
  </si>
  <si>
    <t>news      The main and latest news of the day on ...     6 hours ago —</t>
  </si>
  <si>
    <t>news    Izvestia - news of politics, economics, sports, culture ...    IZ.RU - information portal of the Izvestia newspaper, Ren TV, channel 5. Latest news of politics, economics, culture, news in the world and the country, sports news,...</t>
  </si>
  <si>
    <t>news    News    7 hours ago —     Channel One: News. Video. TV program. Live broadcastHomeWatch on First ChannelNewsShowsFilms and TV seriesSportTV programnews.1tv.ruWatch other TV channelsTV programCategories Watch on First News releasesAll news releases Title is loadingShow moreWatch without advertising TV projects of Channel One Special projects of Channel One CollapseOnline cinemaBroadcasting abroadYou can place it on your website or on social networks er of Channel One. To do this, click on the “Share” button in the upper right corner of the player and copy the embed code. No additional approval is required. Online broadcasting of the broadcast stream on the Internet without approval is strictly prohibited. Application for organizing a broadcast© 1996 - 2023 Channel One. All rights reserved. User AgreementChannel One. All rights reserved. Broadcasting of all-Russian mandatory public TV channels and TV channels that have received the right to carry out on-air digital terrestrial broadcasting using positions in multiplexes throughout the Russian Federation is carried out continuously around the clock without charging a fee on the TV Channels page.</t>
  </si>
  <si>
    <t>news    Channel One: News. Video. TV program. Direct ...    News, educational programs and entertainment shows, films and TV series - you can watch all this on the Channel One website.    Channel One: News. Video. TV program. Live broadcastHomeWatch on First ChannelNewsShowsFilms and TV seriesSportTV programnews.1tv.ruWatch other TV channelsTV programCategories Watch on First News releasesAll news releases Title is loadingShow moreWatch without advertising TV projects of Channel One Special projects of Channel One CollapseOnline cinemaBroadcasting abroadYou can place it on your website or on social networks er of Channel One. To do this, click on the “Share” button in the upper right corner of the player and copy the embed code. No additional approval is required. Online broadcasting of the broadcast stream on the Internet without approval is strictly prohibited. Application for organizing a broadcast© 1996 - 2023 Channel One. All rights reserved. User AgreementChannel One. All rights reserved. Broadcasting of all-Russian mandatory public TV channels and TV channels that have received the right to carry out on-air digital terrestrial broadcasting using positions in multiplexes throughout the Russian Federation is carried out continuously around the clock without charging a fee on the TV Channels page.</t>
  </si>
  <si>
    <t>news      News - REGNUM      4 hours ago —</t>
  </si>
  <si>
    <t>news      News from Russia and the world today   3 hours ago —</t>
  </si>
  <si>
    <t>news    News    News · The media reported the appointment of General Lapin as chief of staff of the Ground Forces · At least seven people were killed in an explosion in a five-story building on Sakhalin.</t>
  </si>
  <si>
    <t>news    Home - BBC News Russian Service    LIVE Live, Israel's war with Hamas: fighting is taking place around four main hospitals in Gaza. Latest news, comments and videos about the Hamas attack on Israel.</t>
  </si>
  <si>
    <t>news      News</t>
  </si>
  <si>
    <t>news    Russian newspaper: News today in Russia and the world    News today in Russia and the world. Rossiyskaya Gazeta is a publication of the Government of the Russian Federation, the official publisher of documents.</t>
  </si>
  <si>
    <t>news    News of the day | November 10 - Evening Edition    11 hours ago -     YouTubeAboutPressCopyrightContact usCreatorsAdvertiseDevelopersTermsPrivacyPolicy &amp; SafetyHow YouTube worksTest new featuresNFL Sunday Ticket© 2023 Google LLC</t>
  </si>
  <si>
    <t>news    Reuters | Breaking International News &amp; Views</t>
  </si>
  <si>
    <t>classmates    Social network Odnoklassniki. Chatting with friends on ...    Odnoklassniki.ru is a social network where you can find your old friends. Communication, online games, gifts and cards for friends. Come to OK, share...    Social network Odnoklassniki. Chatting with friends in OK. Your meeting place with classmatesGo to the version for people with disabilities.Collapse searchSearch in OKServices VKMail.ruMailCloudCalendarTasksVideo callsVK MailTV programWeatherHoroscopesSportAnswersAutoLadyVKontakteMoreWe use cookies to improve our service for you. You can accept them or configure them yourself. More informationAccept everythingCustomizeMore emotions and vivid communication!Come to OK to meet your friends and find new ones, chat with loved ones and have an interesting time using our entertainment services.LoginRegisterLoginQR codePhone or email address. EmailPasswordLog in using QR codeCan't login?No Odnoklassniki profileRegister Another profileRussianMobile versionFor businessCallsGamesGiftsHelpMoreFor DevelopersAdvertisingAgreements and policiesSet cookiesVacanciesNewsAbout the company© 2006–2023 VK LLC / LLC VKWe use recommendation technologies Read more</t>
  </si>
  <si>
    <t>classmates    Odnoklassniki: Social network    Odnoklassniki is a social network where you can take a break from worries, find friends and watch something interesting. MUSIC A huge collection of songs awaits you in OK!</t>
  </si>
  <si>
    <t>classmates    Odnoklassniki (social network)    Odnoklassniki (OK.ru) is a Russian social network owned by VK. As of May 2022, the 50th most popular site in the world. The project was launched on March 26, 2006...</t>
  </si>
  <si>
    <t>Odnoklassniki    Odnoklassniki: Social Network - App Store    Odnoklassniki is a social network with millions of users around the world, united by sincerity and openness. Call your friends, broadcast live,...</t>
  </si>
  <si>
    <t>classmates    Odnoklassniki         YouTubeAboutPressCopyrightContact usCreatorsAdvertiseDevelopersTermsPrivacyPolicy &amp; SafetyHow YouTube worksTest new featuresNFL Sunday Ticket© 2023 Google LLC</t>
  </si>
  <si>
    <t>classmates    Odnoklassniki social network blog - insideok.ru    Odnoklassniki social network blog, in which we publish news about launches, projects and useful materials for marketers and SMM specialists.</t>
  </si>
  <si>
    <t>classmates    Odnoklassniki    Odnoklassniki (in the feminine form - classmates) - people who study or have previously studied in the same class. In addition: Odnoklassniki is a social network...</t>
  </si>
  <si>
    <t>classmates    Website         Social network Odnoklassniki. Chatting with friends in OK. Your meeting place with classmatesGo to the version for people with disabilities.Collapse searchSearch in OKServices VKMail.ruMailCloudCalendarTasksVideo callsVK MailTV programWeatherHoroscopesSportAnswersAutoLadyVKontakteMoreWe use cookies to improve our service for you. You can accept them or configure them yourself. More informationAccept everythingCustomizeMore emotions and vivid communication!Come to OK to meet your friends and find new ones, chat with loved ones and have an interesting time using our entertainment services.LoginRegisterLoginQR codePhone or email address. EmailPasswordLog in using QR codeCan't login?No Odnoklassniki profileRegister Another profileRussianMobile versionFor businessCallsGamesGiftsHelpMoreFor DevelopersAdvertisingAgreements and policiesSet cookiesVacanciesNewsAbout the company© 2006–2023 VK LLC / LLC VKWe use recommendation technologies Read more</t>
  </si>
  <si>
    <t>classmates    Odnoklassniki          VK.com | VKYour browser is out of dateThis may cause VK to work slowly or experience errors.Update your browser or install one of the following:ChromeOperaFirefox</t>
  </si>
  <si>
    <t>classmates    Odnoklassniki.ru, RUSSIA - all information about the company    Odnoklassniki.ru is a social network in Russian and Ukrainian for communicating, finding classmates, former graduates and classmates, as well as your...</t>
  </si>
  <si>
    <t>classmates    odnoklassniki - Odnoklassniki    26K Followers, 3 Following, 1428 Posts - See Instagram photos and videos from Odnoklassniki (@odnoklassniki)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</si>
  <si>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classmates    Odnoklassniki, 2010 - description, interesting facts    Odnoklassniki ... 5 childhood friends meet after 30 years of separation in a summer house by the lake on Independence Day weekend. They came here with their families to...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</si>
  <si>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classmates    Odnoklassniki | Official Profile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</si>
  <si>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Odnoklassniki    Odnoklassniki API    Description of the processes and capabilities of developing applications, games and external sites for Odnoklassniki.    Odnoklassniki API Games Widgets API English Search results API OdnoklassnikiThe best API for integrating widgets into a website and professional developers in the field of creating mobile HTML5 games Application platform Creating games and applications Application parameters Custom applications Applications of VK Mini Apps groups Gaming platform Main information about the platform Mobile games Hyper-casual games Featured games Launching games on the platform SDK for games and applications Platform capabilities Hosting for games and applications Payments and subscriptions In-game advertising Messages to users News and updates Widgets for websites Button Class Publishing widget Widget groups User profile widget Content widget OAuth authorization Creating an application Requesting application rights Authorization for sites Authorization for playing applications Working with API List of methods Error handling Application examples Bot API List of Bot API methods Verification of services OK Official group Chat for game developers Support © Project Odnoklassniki</t>
  </si>
  <si>
    <t>Odnoklassniki    Odnoklassniki Products    Creating a product upload · 1. In inSales, in the "Sales Channels" block, click on the plus and connect the upload to Odnoklassniki: · 2. Click "Authorization" and give...</t>
  </si>
  <si>
    <t>classmates    Odnoklassniki Company - Habr Career    About the Odnoklassniki company. Odnoklassniki is a technological, content and service platform. The service's monthly audience is about 37 million people...</t>
  </si>
  <si>
    <t>classmates    OK.me         OdnoklassnikiOdnoklassnikiLogin email address or phone passwordForgot your password?Register</t>
  </si>
  <si>
    <t>classmates    Classmates - Moscow    20 years after graduation, former classmates decide to get together on the birthday of one of them - Vanechka. Who have they become during this time? Priest, oligarch...</t>
  </si>
  <si>
    <t>classmates     "Odnoklassniki" presented an update to the site - ...    September 25 2023 —</t>
  </si>
  <si>
    <t>classmates    OK.RU (@odnoklassniki) / X         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t>
  </si>
  <si>
    <t>classmates    Odnoklassniki (2010)    Odnoklassniki: Directed by Sergey Solovyov. With Alyona Bondarchuk, Mikhail Efremov, Sonya Karpunina, Konstantin Kryukov. 3 kids from rich families finish...</t>
  </si>
  <si>
    <t>classmates    Odnoklassniki - a social network from Mail ru    Odnoklassniki · To register a profile, open the website ok.ru and in the window on the right, click on the word “Registration”. Enter your mobile phone number with code...</t>
  </si>
  <si>
    <t>classmates    Odnoklassniki    Odnoklassniki (Russian: Odnoklassniki, lit. 'Classmates'), abbreviated as OK or OK.ru, is a social network service used mainly in Russia and former Soviet ...</t>
  </si>
  <si>
    <t>classmates    Official page classmates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</si>
  <si>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classmates      open access to the analytics and error detection service ...     3 days ago —</t>
  </si>
  <si>
    <t>classmates      Classmates</t>
  </si>
  <si>
    <t>ozone    OZON: goods, products, tickets - Apps on ...    Ozon is the most famous and largest marketplace in Russia. Everything you need can be ordered on Ozon: electronics and home appliances, baby products and...</t>
  </si>
  <si>
    <t>ozone    OZON    Official account of the Ozon marketplace. | 647333 subscribers. 10280 records. 39 photos.     VK.com | VKYour browser is out of dateThis may cause VK to work slowly or experience errors.Update your browser or install one of the following:ChromeOperaFirefox</t>
  </si>
  <si>
    <t>ozone    Ozone - Wikipedia    Ozone (from ancient Greek ὄζω - I smell) - consisting of triatomic O3 molecules, an allotropic modification of oxygen. Under normal conditions it is a blue gas.</t>
  </si>
  <si>
    <t>ozone    Ozon     “Ozon” (“Ozone”) is the oldest Russian universal online store; According to the research agency Data Insight, the second largest online store in terms of turnover...</t>
  </si>
  <si>
    <t>ozone      OZON: goods, products, tickets      4 days ago —</t>
  </si>
  <si>
    <t>ozone    OZON: goods, hotels, tickets - App Store    Ozon is the most famous and largest marketplace in Russia. On Ozon you can order everything you need: electronics and household appliances, baby products and children's...</t>
  </si>
  <si>
    <t>ozone    Product catalog of the OZON online store    Product catalog of the OZON online store. Official site. Millions of products. Delivery throughout Russia!    OZON is an online store. Millions of products at competitive pricesBYN Minsk • Enter your delivery address Become a seller Buy as a company Mobile application Help Pick-up points Catalog Everywhere 0Login 0Orders 0Favorites0CartClothes and shoesElectronicsHome and gardenChildren's goodsFoodHousehold appliances OMB online storeOffice for schoolBeauty and healthSports and recreation 2 days left Go to page promotions 11/12 11:00 Moscow time Remind 1 unit. in hand 44.82 BYN-61% Will cost 17.91 BYN 4500 pcs. 1 unit in hand 53.45 BYN-71% Will cost 15.84 BYN 5000 pcs. 1 unit in hand 172.50 BYN-65% Will cost 62.08 BYN 1300 pcs. New products every day View full terms and conditions of the promotion All Hot Sale products Catch the sales hours!</t>
  </si>
  <si>
    <t>ozon    OZON.ru (@ozonru) • Instagram photos and videos    The wait! Again, raking hands! The 11.11 sale on Ozon has begun! From November 1 to November 13, discounts up to 90% · This is the perfect time for those who love to read!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</si>
  <si>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ozone    Ozon is a retail chain    Ozon is a Russian online store that provides its customers with more than 100 million product items in 20 categories, including: electronics,...</t>
  </si>
  <si>
    <t>ozone    Reviews of the store OZON.ru    Reviews of the store OZON.ru ... After a week, the order was canceled due to a price increase? So prices are constantly rising, well, cancel further. And I'm waiting and didn't know about the cancellation...    Oh! Confirm that you sent the requests and not a robot. We're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</si>
  <si>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ozone      All about the Ozon development team      Nan</t>
  </si>
  <si>
    <t>ozone    HAPPY SHOPPING FOR YOUR HOME WITH OZON    3 days ago —     YouTubeAboutPressCopyrightContact usCreatorsAdvertiseDevelopersTermsPrivacyPolicy &amp; SafetyHow YouTube worksTest new featuresNFL Sunday Ticket© 2023 Google LLC</t>
  </si>
  <si>
    <t>ozone    Buy shares of Ozon Holdings PLC (OZON)    Share price of Ozon Holdings PLC (OZON) for today. Price for buying and selling securities (OZON) to individuals online. Ozon Holdings PLC quotes on...</t>
  </si>
  <si>
    <t>ozone    Ozon - about the company</t>
  </si>
  <si>
    <t>ozone    Ozone: online online store 17+ - App Store</t>
  </si>
  <si>
    <t>ozone    Ozon Holdings PLC (OZON) Stock Price, News, Quote &amp; ...    Find the latest Ozon Holdings PLC (OZON) stock quote, history, news and other vital information to help you with your stock trading and investing.</t>
  </si>
  <si>
    <t>ozone    Great Book of Prophets.1 book. Seen through time. Ozone         Google BooksSearchImagesMapsPlayYouTubeNewsGmailDriveMoreCalendarTranslateMobileBooksShoppingBloggerFi cePhotosDocsEven more »Account OptionsSign inBooksSearch the world's most comprehensive index of full-text books.My libraryPublishersAboutPrivacyTermsHelp</t>
  </si>
  <si>
    <t>ozone    Great Book of Prophets. 3 books Prophecies of the New Age. Ozone         Google BooksSearchImagesMapsPlayYouTubeNewsGmailDriveMoreCalendarTranslateMobileBooksShoppingBloggerFi cePhotosDocsEven more »Account OptionsSign inBooksSearch the world's most comprehensive index of full-text books.My libraryPublishersAboutPrivacyTermsHelp</t>
  </si>
  <si>
    <t>ozone    Ozon         YouTubeAboutPressCopyrightContact usCreatorsAdvertiseDevelopersTermsPrivacyPolicy &amp; SafetyHow YouTube worksTest new featuresNFL Sunday Ticket© 2023 Google LLC</t>
  </si>
  <si>
    <t>ozone    François Ozon</t>
  </si>
  <si>
    <t>ozone    Tropospheric ozone | Coalition for a Climate and Clean ...    In the stratosphere, ozone protects life on Earth from ultraviolet radiation from the Sun. In the troposphere, it is a potent greenhouse gas and air pollutant that causes harmful ...</t>
  </si>
  <si>
    <t>ozone    OZON    OZON · Two reasons to wake up in a great mood in the morning: coffee and cats · Here it is - the perfect time for those who love to read! · Attentiveness test. Who...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</si>
  <si>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ozone    March 4, 2022 – Ozon Holdings PLC (NASDAQ and MOEX    On February 28, 2022, trading of the Ozon's ADSs on the NASDAQ was suspended by the NASDAQ. It is currently unknown when trading in the ADSs will resume.</t>
  </si>
  <si>
    <t>ozone    OZONWeb by OZON Magazine</t>
  </si>
  <si>
    <t>ozone    Ozone. Overseason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</si>
  <si>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ozone    Great Book of Prophets. 2 books Looking into the future. Ozone         Google BooksSearchImagesMapsPlayYouTubeNewsGmailDriveMoreCalendarTranslateMobileBooksShoppingBloggerFi cePhotosDocsEven more »Account OptionsSign inBooksSearch the world's most comprehensive index of full-text books.My libraryPublishersAboutPrivacyTermsHelp</t>
  </si>
  <si>
    <t>ozone      OZON.ru      May 1, 2020 —</t>
  </si>
  <si>
    <t>Easter 2023      Easter 2023: what kind of holiday is April 16, what not to do    Apr 11 2023 —</t>
  </si>
  <si>
    <t>Easter 2023     Easter 2023: when will we celebrate according to the Orthodox ...    23 Sep. 2022 —</t>
  </si>
  <si>
    <t>Easter 2023      Easter 2023 - date, traditions, whether there will be a day off   April 15 2023 —</t>
  </si>
  <si>
    <t>Easter 2023      Easter 2023: date, essence, traditions, do’s and don’ts   Apr 16 2023 —</t>
  </si>
  <si>
    <t>Easter 2023    Easter in 2023    How to calculate the date of Easter? Let's look at the example of 2023. The rule of Easter is as follows: Easter is celebrated on the first Sunday after the first...    Bible OnlineSkip to contentBible OnlineBible Read the Bible Reading Plans All translations Audio Bible Video Bible Children's BibleStudy Answers to Questions LibraryTools All ToolsMedia Video Library Wallpaper Download / And the word of the Lord spread throughout the land .(Bible Acts of the Apostles)Read the Bible OnlineOld version of the siteBible OnlineAnd the word of the Lord spread throughout the whole country. (Acts of the Apostles)Our sitesOur BlogBible treeOffline BibleLink shortenerDonateAbout us We believeAbout the projectCopyrightFeedbackSupport centerKnowledge baseMailForumSocial networksApplicationsBible Online 2003-2023. Donate to Bible Online 2003-2023.https://bibleonline.ru/</t>
  </si>
  <si>
    <t>Easter 2023    Easter in 2024: what date is celebrated...    The Bright Resurrection of Christ, Easter is the greatest Christian holiday. Look when Orthodox and Catholic Easter is celebrated in 2024.</t>
  </si>
  <si>
    <t>Easter 2023     Easter 2023: traditions and symbols of the main Christian ...    Apr 16 2023 —</t>
  </si>
  <si>
    <t>Easter 2023     Orthodox Easter 2023: what date will it take place, how...    Mar 12 2023 —</t>
  </si>
  <si>
    <t>Easter 2023    When is Orthodox Easter 2023    Apr 16 2023 —     Alarm clock online - Budilki.ru Alarm clock online - Budilki.ruHolidaysUtilitiesAlarm clockTimerStopwatchClockAlarm clockTimerStopwatchExact timeFor full functionality of this site, you must enable JavaScript.Instructions on how to enable JavaScript in your browser6:45:21TestChangeSet an alarmAlarm clock --:--:--Turn off alarm alarm Set the alarm to specific time 4:00 4:30 5:00 5:15 5:30 5:45 6:00 6:15 6:30 6:45 7:00 7:15 7:30 7:45 8:00 8:15 8:30 8:45 9:00 10:00 11:00 12:00 13:00 14:00 Last used How to use the online alarm clock Set the hours and minutes of the online alarm clock and at the appointed time an alarm message will appear and the previously selected sound signal will be played .When setting an alarm, you can click the “Test” button to see how the alarm notification will look and at what volume the music will play. You can customize the design of the alarm clock (color, type and size of the inscriptions) and these settings will be saved and will be used the next time you open your browser. The online alarm clock will not work if you close the browser or turn off the computer, but it can work without connecting to the Internet. You can add links to an online alarm clock with different time settings to your browser favorites. When you open the desired link, the alarm will immediately be set to the previously determined time. HTML codeSettingsDigital font12-hour (am/pm)Show dateNight modeColorOKAlarm settingHour.Min.SoundRepeatTitleTestCancelStartAlarmOKHTML codeShow buttonsSizeCustomizable HTML codePreviewOKContacts | Terms of Use | Privacy | © 2023 Budilki.ru</t>
  </si>
  <si>
    <t>Easter 2023    Easter in 2024    If a person did not fast, this does not mean that he is forbidden to enter the temple on Easter in 2023. Easter is a holiday both for those who fast and for those who come to church...</t>
  </si>
  <si>
    <t>Easter 2023    When is Easter for Orthodox and Catholics in 2023?    Mar 9 2023 —</t>
  </si>
  <si>
    <t>Easter 2023    Easter 2023: date, traditions, history of the holiday - TSN    So, according to the Julian calendar, according to which all the holy Orthodox Church celebrates, Easter 2023 falls on April 16. According to the Gregorian calendar...</t>
  </si>
  <si>
    <t>Easter 2023    Easter 2023: traditions and customs of celebration    What date is Easter celebrated in 2023? As we mentioned above, there is no single date for celebrating this bright celebration. How is it determined in each...</t>
  </si>
  <si>
    <t>Easter 2023    Easter in 2023 (Catholic and Orthodox)    Orthodox and Catholic Easter in 2023. Easter date in 2023.    Error!</t>
  </si>
  <si>
    <t>Easter 2023    When is Easter 2023 in Ukraine: date, traditions, signs    4 Feb. 2023 —</t>
  </si>
  <si>
    <t>translation    Google Translate    Google's free service allows you to instantly translate words, phrases and web pages. More than 100 languages ​​are supported.</t>
  </si>
  <si>
    <t>translation    Dictionary and online translation into English, Russian ...    Free online translation from English and other languages ​​into Russian and back. The translator works with words, texts, as well as web pages and inscriptions...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</si>
  <si>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translation    DeepL Translate – The most accurate translator in the world    Translate texts and entire documents instantly. Accurate translation for individuals and teams. Every day, millions of people make transfers from...</t>
  </si>
  <si>
    <t>translation    PROMT.One Translator - a free online dictionary and ...    PROMT.One is a cloud application - a free online translator for translation from language to language based on neural networks (Neural Machine Translation), a dictionary...</t>
  </si>
  <si>
    <t>translation    Applications on Google Play – Google Translator    Translation of entered text. The application has added support for 108 languages. • Fast translation. Copy the text in any application and click on the Google icon...</t>
  </si>
  <si>
    <t>translation    PONS translator | Improved text translation    PONS text translation – with new convenient features. PONS users have been using our text translation for 10 years, already in 38 languages.</t>
  </si>
  <si>
    <t>translation    Google Translator 4+ - App Store - Apple    The application allows you to perform translations (up to 133 languages ​​available). The list of supported functions depends on the language: • Text. Translation of the entered text.</t>
  </si>
  <si>
    <t>translation    Translation    Translation is the activity of interpreting the meaning of a text in one language (source language [FL]) and creating a new equivalent text in another language...</t>
  </si>
  <si>
    <t>translation    translation    Noun edit · transfer, transference · translation. translation from Russian into English ― perevód s rússkovo jazyká na anglíjskij ― translation from Russian to...</t>
  </si>
  <si>
    <t>translation    translation - English translation         Linguee | Dictionary for German French Spanish and more Look up in LingueeSuggest as a translation of ""CopyDeepLTranslatorWriteDictionaryENOpen menuPlay Video English-German Dictionary. Search 1000000000 translations.Linguee[us] English &lt;-&gt; [de] German[us] English ---&gt; [de] German[de] German ---&gt; [us] English[us] English &lt;-&gt; [fr] French[us] English &lt;-&gt; [es] Spanish[us] English &lt;-&gt; [br] Portuguese[us] English &lt;-&gt; [it] Italian[us] English &lt;-&gt; [ru] Russian[us] English &lt; -&gt; [jp] Japanese[us] English &lt;-&gt; [cn] Chinese[us] English &lt;-&gt; [pl] Polish[us] English &lt;-&gt; [nl] Dutch[us] English &lt;-&gt; [se] Swedish [us] English &lt;-&gt; [dk] Danish[us] English &lt;-&gt; [fi] Finnish[us] English &lt;-&gt; [gr] Greek[us] English &lt;-&gt; [cz] Czech[us] English &lt;- &gt; [ro] Romanian[us] English &lt;-&gt; [hu] Hungarian[us] English &lt;-&gt; [sk] Slovak[us] English &lt;-&gt; [bg] Bulgarian[us] English &lt;-&gt; [si] Slovene[ us] English &lt;-&gt; [lt] Lithuanian[us] English &lt;-&gt; [lv] Latvian[us] English &lt;-&gt; [ee] Estonian[us] English &lt;-&gt; [mt] MalteseMore languages����ENDETranslate textTranslate filesImprove your writing  Use DeepL Translator to instantly translate texts and documentsTry DeepL TranslatorTranslate as you typeWorld-leading qualityDrag and drop documentsTranslate nowLinguee auf DeutschLoginPublisherTerms and ConditionsPrivacy</t>
  </si>
  <si>
    <t>translation    Amazon Translate - Machine translation services    How it works. Amazon Translate is a neural machine translation service that provides fast, high-quality, affordable translation from ...</t>
  </si>
  <si>
    <t>translation    Nitro – professional online translation service    Nitro – professional online translation service · More than 70 translation languages ​​· 60% of orders ready within 2 hours, 96% in less than 24 hours · No...</t>
  </si>
  <si>
    <t>translation    How to translate web pages and change languages...    How to enable or disable translation · Open the Google Chrome app on your Android phone or tablet. · To the right of the address bar, click on the "More" icon More...</t>
  </si>
  <si>
    <t>translation    Written translation | Department of ...    The six translation services of the Department of General Assembly and Conference Management are responsible for preparing documentation for ...    Welcome to the United Nations الأمم المتحدة联合国视频© United Nations Nations Unies Welcome to the United NationsBienvenue aux Nations UniesWelcome to the UN!Bienvenidos a las National Unidas مم المتحدة欢迎来到联合国Welcome to the United Nations Bienvenue aux Nations Unies Welcome to the UN! English Français Русский Español</t>
  </si>
  <si>
    <t>translation    TRANSLATOR from Cambridge | English Russian    4 days ago —</t>
  </si>
  <si>
    <t>translator    Google Translator</t>
  </si>
  <si>
    <t>translator    Translator - Yandex    Free online translation from English and other languages ​​into Russian and back. The translator works with words, texts, as well as web pages and inscriptions...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</si>
  <si>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translator    DeepL Translate – The most accurate translator in the world    Millions of users translate using DeepL every day. Translator from English, German, French and other languages ​​into Russian. · Original text ...</t>
  </si>
  <si>
    <t>translator    DeepL Translate – The most accurate translator in the world    And indeed, a series of tests have shown that DeepL Translate copes with translations in the Dutch-English pair much better than Google Translate.</t>
  </si>
  <si>
    <t>translator      Apps on Google Play - Yandex Translator      Nan</t>
  </si>
  <si>
    <t>translator    Translator    Translator is a specialist engaged in translation, that is, the creation of written or oral text in a specific language (called the target language),...</t>
  </si>
  <si>
    <t>translator    TRANSLATOR from Cambridge | English Russian    5 days ago —</t>
  </si>
  <si>
    <t>translator    PROMT.One Translator - a free online dictionary and ...    PROMT.One is a cloud application - a free online translator for translation from language to language based on neural networks (Neural Machine Translation), a dictionary...</t>
  </si>
  <si>
    <t>translator    App Store: Yandex Translator - Apple</t>
  </si>
  <si>
    <t>translator    Google Translator    Mar 22 2023 —</t>
  </si>
  <si>
    <t>translator    Translator | Trailer | In cinemas from June 1    Apr 21 2023 —     YouTubeAboutPressCopyrightContact usCreatorsAdvertiseDevelopersTermsPrivacyPolicy &amp; SafetyHow YouTube worksTest new featuresNFL Sunday Ticket© 2023 Google LLC</t>
  </si>
  <si>
    <t>translator    How to translate speech - Android - Help - Google Translate    Open the Google Translate app Translator app on your Android device. Specify the desired language pair. The source language can be selected in...</t>
  </si>
  <si>
    <t>translator    PONS translator | Improved text translation</t>
  </si>
  <si>
    <t>translator    Online translator    Use a free Russian-English online translator to translate a word, phrase or small text that you do not understand.</t>
  </si>
  <si>
    <t>translator      How to create a translator that translates better than ...     Sep 22 2022 —</t>
  </si>
  <si>
    <t>translator    Try Microsoft Translator for free    Microsoft Document Translator allows you to quickly and easily translate Word, PDF, PowerPoint, plain text or Excel documents. You can also customize and fine...</t>
  </si>
  <si>
    <t>translator    Translator - Result from Google Books         Google �����������������������PlayYouTube��������� ����������� ��������������������� ����������������� ���Blogger������ ����������������� �������� »Account Options ��� ������� ���������� � ������� �������������������� � ����������� ��� ������������������������� ����������� ���������</t>
  </si>
  <si>
    <t>translator      Apps on Google Play – Google Translator      Nan</t>
  </si>
  <si>
    <t>translator      Google Translate - App Store      Nan</t>
  </si>
  <si>
    <t>translator      translator - Wiktionary      Nan</t>
  </si>
  <si>
    <t>translator    Bing Microsoft Translator         BingSign inRewards</t>
  </si>
  <si>
    <t>translator    Translator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</si>
  <si>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translator    Need an interpreter? 2 Tip Sheet    Courts provide interpreters for court proceedings and services for people with limited English proficiency. This service is.</t>
  </si>
  <si>
    <t>translator    Translation from Russian to English online    We use machine translation technology and artificial intelligence to provide a free English to Russian translator. A translation from Russian to English ...</t>
  </si>
  <si>
    <t>interpreter    Do you need a court interpreter?    The court is required to provide an interpreter for any legal process involving an interested party whose primary language is a foreign language and...</t>
  </si>
  <si>
    <t>weather    Weather forecast for 10 days    Weather for 10 days; Wed Today. +20° ; Thurs. 09. +19°; Fri. 10. +19°; Sat. 11. +20° ; Sun. 12. +22°...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</si>
  <si>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weather    City of Mountain View    Weather for 10 days; Thurs. Today. +19° ; Fri. 10. +20° ; Sat. 11. +20° ; Sun. 12. +22°; Mon. 13. +19°...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</si>
  <si>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weather    GISMETEO: Weather in Russia, weather forecast for today ...    Current weather and accurate forecast for all settlements in Russia, as well as around the world. Weather forecast for today, tomorrow, 3 days, weekend, week,...</t>
  </si>
  <si>
    <t>weather      Weather in Naberezhnye Chelny      Nan</t>
  </si>
  <si>
    <t>weather    Weather in Krasnodar    Weather in Krasnodar for today, accurate weather forecast for today for the locality of Krasnodar, Krasnodar (urban district), Krasnodar region, Russia.</t>
  </si>
  <si>
    <t>weather    Weather in Ulyanovsk    Sun 12 Nov 3:24 Russia, Ulyanovsk region, Ulyanovsk (urban district). in Ulyanovsk cloudy, no precipitation, fog, +1 °C. Feels like +1 °C. Weather.</t>
  </si>
  <si>
    <t>weather    Weather in Tambov    Sat 11 Nov 21:03 Russia, Tambov region, Tambov (urban district). in Tambov cloudy, no precipitation, haze, +3 °C. Feels +1 °C, Wind 3 m/s. Weather.</t>
  </si>
  <si>
    <t>weather    Weather in St. Petersburg    Weather in St. Petersburg for today, accurate weather forecast for today for the locality of St. Petersburg, St. Petersburg (federal city) ...</t>
  </si>
  <si>
    <t>weather      Weather in Rostov-on-Don      Nan</t>
  </si>
  <si>
    <t>weather    Weather in Samara    Sun 12 Nov 2:40 Russia, Samara region, Samara (urban district). in Samara cloudless, +1 °C. Feels like −2 °C, Wind 2 m/s. Weather.</t>
  </si>
  <si>
    <t>weather    Weather in Moscow today, forecast ...    Weather in Moscow for today, accurate weather forecast for today for the locality of Moscow, Moscow (federal city), Russia.</t>
  </si>
  <si>
    <t>weather    Weather in Novosibirsk    Weather in Novosibirsk for today, accurate weather forecast for today for the settlement of Novosibirsk, Novosibirsk (urban district), Novosibirsk region, ...</t>
  </si>
  <si>
    <t>weather    Weather in Tomsk    Weather in Tomsk for today, accurate weather forecast for today for the settlement of Tomsk, Tomsk (urban district), Tomsk region, Russia.</t>
  </si>
  <si>
    <t>weather    Weather in Ufa    Weather in Ufa for today, accurate weather forecast for today for the settlement of Ufa, Ufa (urban district), Republic of Bashkortostan, Russia.</t>
  </si>
  <si>
    <t>weather    Weather in Krasnoyarsk today, forecast ...    Weather in Krasnoyarsk for today, accurate weather forecast for today for the settlement of Krasnoyarsk, Krasnoyarsk (urban district), Krasnoyarsk Territory,...</t>
  </si>
  <si>
    <t>weather    Weather in Irkutsk    Weather in Irkutsk for today, accurate weather forecast for today for the settlement of Irkutsk, Irkutsk (urban district), Irkutsk region, Russia.</t>
  </si>
  <si>
    <t>weather    Weather in Nizhny Novgorod - Nizhny Novgorod region    Weather in Nizhny Novgorod for today, accurate weather forecast for today for the settlement of Nizhny Novgorod, Nizhny Novgorod (city district),...</t>
  </si>
  <si>
    <t>weather    Weather in St. Petersburg for 3 days    Weather in St. Petersburg for 3 days, weather forecast for 3 days for the locality of St. Petersburg, St. Petersburg (federal city), Russia.</t>
  </si>
  <si>
    <t>weather    Weather in Yekaterinburg for 10 days    Weather in Yekaterinburg for 10 days, weather forecast for 10 days for the locality of Yekaterinburg, Yekaterinburg (urban district), Sverdlovsk region, ...</t>
  </si>
  <si>
    <t>weather    Weather in Yekaterinburg    Weather in Yekaterinburg for today, accurate weather forecast for today for the locality of Yekaterinburg, Yekaterinburg (urban district),...</t>
  </si>
  <si>
    <t>weather    Weather in Ulan-Ude - Republic of Buryatia    Sun 12 Nov 2:46 Russia, Republic of Buryatia, Ulan-Ude (urban district). in Ulan-Ude it is cloudless, −12 °C. Feels like −16 °C, Wind 2 m/s. Weather.</t>
  </si>
  <si>
    <t>weather    Weather in Ivanovo    Sun 12 Nov 1:40Russia, Ivanovo region, Ivanovo (urban district). in Ivanovo, cloudy, no precipitation, +2 °C. Feels like −1 °C, Wind 3 m/s. Weather.</t>
  </si>
  <si>
    <t>weather    Weather forecast in Moscow for today    Details about the weather in Moscow today, now, forecast for tomorrow and the coming days. We will show how air temperature, cloudiness,...</t>
  </si>
  <si>
    <t>weather    Weather in Novorossiysk - Krasnodar Territory    Weather in Novorossiysk for today, accurate weather forecast for today for the settlement of Novorossiysk, Novorossiysk (urban district), Krasnodar Territory,...</t>
  </si>
  <si>
    <t>weather    Weather and detailed weather forecast from the Hydrometeorological Center ...    About the weather - first-hand. Information about actual weather and forecasts from the Hydrometeorological Center of Russia.</t>
  </si>
  <si>
    <t>weather    Weather in Russia. Accurate forecast for today, tomorrow ...    Weather in cities of Russia and the world. Accurate and detailed forecast for today, tomorrow, weekend, week, 14 days or month.    Weather in Russia. Accurate forecast for today tomorrow week and month on Rambler/weatherNewsShow businessWomen's SportsFi ceHoroscopesMore 06:45 16:58NowTodayTomorrow3 daysWeek10 days14 daysMonthWeekendFor the gardenerWeather in WashingtonSearch for a city or placeSaturday November 11 Today it's the same as yesterday and partly cloudy8°Feels like 6°Calm magnetic field At night7°In the morning8 °Daytime11°Feels like 6°Calm magnetic fieldDetailed forecastWeather for the weekDayTemperaturePrecipitationWindTomorrow12 November11°7°10%3 m/sMonday13 November13°3°10%4 m/sTuesday14 November13°8°10%5 m/sWednesday15 November14°4°10%3 m/sThursday16 November18°6°10%3 m/sFriday17 November18°10°10%4 m/sSaturday18 November15°11°10%4 m/sWeather in Washington now8°Wind 0 m/sPressure 769 mmOld moonQuiet magnetic fieldMore Popular searchesWeather in Washington todayWeather in Washington for tomorrowWeather in Washington in November 2023Weather in Washington for the weekendWeather in Washington for a weekWeather by cityRussiaMoscowSt. PetersburgNovosibirskEkaterinburgNizhny NovgorodKazanChelyabinskOmskSamaraRostov-on-DonUfaKrasnoyarskAll citiesWorldLondonParisNew YorkDubaiKievMinskResortsSo ChiAntalyaSimferopolBarcelonaRiminiRhodesAll countriesAccurate weather forecast for the day in your city, wherever you are! On the Rambler/Weather website you will find out the forecast for today, tomorrow, a week (the next 7 days) or another period of interest. Also here you will find information about changes in air and water temperature during the day, level of atmospheric pressure and precipitation, wind speed, daylight hours and other meteorological data. A detailed weather forecast is compiled by professional weather forecasters and is updated every three hours.© Rambler - the main news of Russia and the world horoscopes mail search and other useful servicesMobile versionAdvertisingHelpVacanciesUser agreement18+Data source</t>
  </si>
  <si>
    <t>weather    Weather - weather.com | Meteored    Weather in Russia for 14 days, weather forecast hourly and in real time. Weather forecast for more than 200,000 cities around the world.</t>
  </si>
  <si>
    <t>weather    Weather in Ann Arbor for a week - Michigan    Feels like +2 °C, Wind 7 m/s. Weather. Maps News · USA / Michigan. Weather in Ann Arbor for a week. Now Today Tomorrow 3 days 10 days Month More.</t>
  </si>
  <si>
    <t>weather    Weather in Ann Arbor    Weather in Ann Arbor for today, accurate weather forecast for today for the locality of Ann Arbor, Michigan, USA.</t>
  </si>
  <si>
    <t>weather    Weather in Ann Arbor for a month    Weather in Ann Arbor for a month, weather forecast for 30 days for the locality of Ann Arbor, Michigan, USA.</t>
  </si>
  <si>
    <t>weather    Weather in Ann Arbor, Michigan for today in detail, ...    Detailed weather forecast in Ann Arbor, Michigan for today: air temperature, wind, precipitation, pressure, humidity, as well as geomagnetic conditions and UV...    Weather in Russia. Accurate forecast for today tomorrow week and month on Rambler/weatherNewsShow businessWomen's SportsFi ceHoroscopesMore 06:45 16:58NowTodayTomorrow3 daysWeek10 days14 daysMonthWeekendFor the gardenerWeather in WashingtonSearch for a city or placeSaturday November 11 Today it's the same as yesterday and partly cloudy8°Feels like 6°Calm magnetic field At night7°In the morning8 °Daytime11°Feels like 6°Calm magnetic fieldDetailed forecastWeather for the weekDayTemperaturePrecipitationWindTomorrow12 November11°7°10%3 m/sMonday13 November13°3°10%4 m/sTuesday14 November13°8°10%5 m/sWednesday15 November14°4°10%3 m/sThursday16 November18°6°10%3 m/sFriday17 November18°10°10%4 m/sSaturday18 November15°11°10%4 m/sWeather in Washington now8°Wind 0 m/sPressure 769 mmOld moonQuiet magnetic fieldMore Popular searchesWeather in Washington todayWeather in Washington for tomorrowWeather in Washington in November 2023Weather in Washington for the weekendWeather in Washington for a weekWeather by cityRussiaMoscowSt. PetersburgNovosibirskEkaterinburgNizhny NovgorodKazanChelyabinskOmskSamaraRostov-on-DonUfaKrasnoyarskAll citiesWorldLondonParisNew YorkDubaiKievMinskResortsSo ChiAntalyaSimferopolBarcelonaRiminiRhodesAll countriesAccurate weather forecast for the day in your city, wherever you are! On the Rambler/Weather website you will find out the forecast for today, tomorrow, a week (the next 7 days) or another period of interest. Also here you will find information about changes in air and water temperature during the day, level of atmospheric pressure and precipitation, wind speed, daylight hours and other meteorological data. A detailed weather forecast is compiled by professional weather forecasters and is updated every three hours.© Rambler - the main news of Russia and the world horoscopes mail search and other useful servicesMobile versionAdvertisingHelpVacanciesUser agreement18+Data source</t>
  </si>
  <si>
    <t xml:space="preserve">weather    Weather: Ann Arbor, MI, USA - Forecast     </t>
  </si>
  <si>
    <t xml:space="preserve">weather      Ann Arbor, MI, USA - 10 day weather forecast    </t>
  </si>
  <si>
    <t>weather    Weather forecast in Michigan City for 10 days    Weather for 10 days; Mon. Today. +20° ; Tue. 07. +12°; Wed 08. +15° ; Thurs. 09. +10° ; Fri. 10. +9°...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</si>
  <si>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weather    Applications on Google Play – Weather    9. Weather forecast. Weather application icon - weather forecast. weather - weather forecast. 4.7star. MyRadar Weather Radar application icon. MyRadar Weather...</t>
  </si>
  <si>
    <t>weather    Weather in the world - accurate and detailed weather forecast in ...    MeteoTrend: Weather in the world for today, tomorrow and week. Accurate weather forecast around the world. Air temperature and humidity, pressure, speed and...</t>
  </si>
  <si>
    <t>weather    Pogoda.by | Home    National Weather Service of the Republic of Belarus. Weather forecast for Minsk, Belarus for 3 days. Weather maps and meteograms, storm warnings and meteorological news.    Pogoda.by</t>
  </si>
  <si>
    <t>weather    SINOPTIK: Weather in Ukraine, detailed weather forecast ...    Weather in Ukraine (in all 29,815 settlements) for a week, weather forecast for 104,000+ cities of the World for 10 days. Detailed weather forecast for your...</t>
  </si>
  <si>
    <t>weather    Weather forecast Moscow (VDNH)( ...    Accurate weather forecast for Moscow (VDNH) for today, tomorrow, weekends, 7 days and the coming months. Maps of hazardous phenomena, anomalies, precipitation for...</t>
  </si>
  <si>
    <t>weather    Weather Mail.ru: Weather forecast in Sacramento for today ...    Details about the weather in Sacramento today, now, forecast for tomorrow and the coming days. We will show how the air temperature will change in Sacramento...</t>
  </si>
  <si>
    <t>weather    Ventusky - Wind, Rain and Temperature Maps         Ventusky - Wind Rain and Temperature MapsVentusky: Weather Forecast MapsAboutTemperaturePrecipitationWindGustCloudsAir pressureCAPESnow coverFreezing level Wind animation GFS ICON GEM You can now display weather fronts</t>
  </si>
  <si>
    <t>weather    Weather Underground: Local Weather Forecast, News and ...         Local Weather Forecast News and Conditions | Weather UndergroundSkip to Main Content  Sensor Network Maps &amp; Radar Severe Weather News &amp; Blogs Mobile Apps MoreSearchclosegps fixedgps fixedFind Nearest Station Manage Favorite CitiesLog in | Joinsettingsaccount box Log in person add Join settings Settings Sensor NetworkMaps &amp; RadarSevere WeatherNews &amp; BlogsMobile AppsHistorical WeatherstarCurrent Weather for Popular Cities San Francisco CA 60°FClear Manhattan NY 43°FClear Schiller Park IL (60176) warning45°FPartly Cloudy Boston MA 36°FClear Houston TX 59° FCloudy St James's England United Kingdom 42°FCloudy --Feels like -- ---- / --------------------12AM6AMNOON6PM12AMNov 12+0000Nov 13Full ForecastFlames Close Major Freeway DowntownA portion of the 10 Freeway in downtown Los Angeles has been shut down because of a major fire at nearby storage yards.Flames Close Major Freeway DowntownTaylor Swift Forced To Cancel Show Due To StormsSuperstar singer Taylor Swift postponed a show scheduled for Friday in Buenos Aires Argentina over concerns about weather.Taylor Swift Forced To Cancel Show Due To StormsExpect A Blueberry Shortage... The Surprising Reason Why El Niño is being partially blamed for reduced blueberry production in Peru late this year and that could impact the prices of the tiny blue fruit at your local supermarket.Expect A Blueberry Shortage... The Surprising Reason Why Whole Lotta Rain Headed For The Golden State We're about to see another key weather change take shape. Here's what we know right now.Whole Lotta Rain Headed For The Golden State Eruption Concerns Rise In IcelandResidents of a fishing town in southwestern Iceland left their homes Saturday after increasing concern about a potential volcanic eruption caused civil defense authorities to declare a state of emergency in the region.Eruption Concerns Rise In IcelandOur AppsAbout UsContactCareersPWS NetworkWunderMapFeedback &amp; SupportTerms of UsePrivacy PolicyAccessibility StatementAdChoicesData VendorsWe recognize our responsibility to use data and technology for good. We may use or share your data with our data vendors. Take control of your data.Review All Privacy and Ad SettingsChoose how my information is sharedData Rights© Copyright TWC Product and Technology LLC 2014 2023Please enable JavaScript to continue using this application.</t>
  </si>
  <si>
    <t>weather    METEOFOR: Weather in Lviv today, forecast ...    Weather in Lviv for today, detailed weather forecast for today for the settlement of Lviv, Lviv district, Lviv region, Ukraine.</t>
  </si>
  <si>
    <t>weather    Windy: Wind map &amp; weather forecast         Windy: Wind map &amp; weather forecast© OpenStreetMap contributors !dFmkjwww.windy.com</t>
  </si>
  <si>
    <t>weather tomorrow    Weather in Ann Arbor for a week - Michigan    Feels like +2 °C, Wind 7 m/s. Weather. Maps News · USA / Michigan. Weather in Ann Arbor for a week. Now Today Tomorrow 3 days 10 days Month More.</t>
  </si>
  <si>
    <t>tomorrow's weather    Ann Arbor weather    Ann Arbor weather. Today. Now. Today. Tomorrow 3 days 10 days Month More. Sat, 11 Nov Tomorrow. Fri, 10 Nov today.</t>
  </si>
  <si>
    <t>weather tomorrow    Weather in Brooklyn for tomorrow - New York    Weather in Brooklyn for tomorrow, accurate weather forecast for tomorrow for the locality of Brooklyn, New York, USA.</t>
  </si>
  <si>
    <t>weather tomorrow    Weather in Novi for tomorrow    Weather in Novi for tomorrow, accurate weather forecast for tomorrow for the locality of Novi, Michigan, USA.</t>
  </si>
  <si>
    <t>weather tomorrow    Weather in Lansing for tomorrow    Weather in Lansing for tomorrow, accurate weather forecast for tomorrow for the locality of Lansing, Michigan, USA.</t>
  </si>
  <si>
    <t>weather tomorrow    Weather in East Lansing for tomorrow    Weather in East Lansing for tomorrow, accurate weather forecast for tomorrow for the locality of East Lansing, Michigan, USA.</t>
  </si>
  <si>
    <t>weather tomorrow    Weather in Chicago for tomorrow    Weather in Chicago for tomorrow, accurate weather forecast for tomorrow for the locality of Chicago, Illinois, USA.</t>
  </si>
  <si>
    <t>weather tomorrow    Weather in Washington for tomorrow - USA    Weather in Washington for tomorrow, accurate weather forecast for tomorrow for the locality of Washington, DC, USA.</t>
  </si>
  <si>
    <t>weather tomorrow    SINOPTIK: Weather in Ukraine, detailed weather forecast ...    Cloudy weather will remain in Kyiv until the evening. There will be heavy rain all day, which may intensify during the day, but will begin to weaken in the evening...</t>
  </si>
  <si>
    <t>weather tomorrow    Weather tomorrow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</si>
  <si>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weather tomorrow    Weather in Kyiv for tomorrow    Weather in Kyiv for tomorrow, detailed weather forecast for tomorrow for the locality Kyiv, Kyiv, Ukraine.</t>
  </si>
  <si>
    <t>weather tomorrow    Weather in Ann Arbor, Michigan for today in detail, ...    Weather for today. , 17:17. in Ann Arbor. Tuesday, November 7th. At night. 13°. In the morning. 11°. During the day. 10 ... Receive notifications with the weather forecast for tomorrow. Receive...    Weather in Russia. Accurate forecast for today tomorrow week and month on Rambler/weatherNewsShow businessWomen's SportsFi ceHoroscopesMore 06:45 16:58NowTodayTomorrow3 daysWeek10 days14 daysMonthWeekendFor the gardenerWeather in WashingtonSearch for a city or placeSaturday November 11 Today it's the same as yesterday and partly cloudy8°Feels like 6°Calm magnetic field At night7°In the morning8 °Daytime11°Feels like 6°Calm magnetic fieldDetailed forecastWeather for the weekDayTemperaturePrecipitationWindTomorrow12 November11°7°10%3 m/sMonday13 November13°3°10%4 m/sTuesday14 November13°8°10%5 m/sWednesday15 November14°4°10%3 m/sThursday16 November18°6°10%3 m/sFriday17 November18°10°10%4 m/sSaturday18 November15°11°10%4 m/sWeather in Washington now8°Wind 0 m/sPressure 769 mmOld moonQuiet magnetic fieldMore Popular searchesWeather in Washington todayWeather in Washington for tomorrowWeather in Washington in November 2023Weather in Washington for the weekendWeather in Washington for a weekWeather by cityRussiaMoscowSt. PetersburgNovosibirskEkaterinburgNizhny NovgorodKazanChelyabinskOmskSamaraRostov-on-DonUfaKrasnoyarskAll citiesWorldLondonParisNew YorkDubaiKievMinskResortsSo ChiAntalyaSimferopolBarcelonaRiminiRhodesAll countriesAccurate weather forecast for the day in your city, wherever you are! On the Rambler/Weather website you will find out the forecast for today, tomorrow, a week (the next 7 days) or another period of interest. Also here you will find information about changes in air and water temperature during the day, level of atmospheric pressure and precipitation, wind speed, daylight hours and other meteorological data. A detailed weather forecast is compiled by professional weather forecasters and is updated every three hours.© Rambler - the main news of Russia and the world horoscopes mail search and other useful servicesMobile versionAdvertisingHelpVacanciesUser agreement18+Data source</t>
  </si>
  <si>
    <t>weather tomorrow    Weather tomorrow in Engels, Saratov region, Russia    The forecast is cloudy, a little colder than today. Temperatures during the day range from +4 to +7, at night from +6 to +8°. Low wind expected...</t>
  </si>
  <si>
    <t>weather tomorrow    Weather in Manhattan - New York    MeteoTrend: Weather in Manhattan for today, tomorrow and week. Accurate weather forecast in Manhattan. Air temperature and humidity, pressure, speed and...</t>
  </si>
  <si>
    <t>weather tomorrow    Weather in Zaporozhye for a week    Weather in Zaporozhye for a week is presented by the METEO.UA™ service. ☀ Accurate weather forecast in Zaporozhye for today, tomorrow and 7 days ✅️ Pressure ✓ Humidity...</t>
  </si>
  <si>
    <t>tomorrow's weather    Weather: Ann Arbor, MI, USA - Forecast    Ann Arbor, MI, USA - today and evening weather forecast, weather conditions and Doppler radar data on The Weather Channel app and website...</t>
  </si>
  <si>
    <t>tomorrow's weather    Ann Arbor, MI, USA - 10-day weather forecast    Don't let the weather catch you off guard with an accurate 10-day forecast (Ann Arbor, MI, USA) with precipitation chances and temperatures based on ...</t>
  </si>
  <si>
    <t>weather tomorrow    Modernization of scientific research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</si>
  <si>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weather tomorrow    Bulgarian language. Beginner Course (+MP3)         Google BooksSearchImagesMapsPlayYouTubeNewsGmailDriveMoreCalendarTranslateMobileBooksShoppingBloggerFi cePhotosDocsEven more »Account OptionsSign inBooksSearch the world's most comprehensive index of full-text books.My libraryPublishersAboutPrivacyTermsHelp</t>
  </si>
  <si>
    <t>weather tomorrow    weather in Moscow for tomorrow    Weather in Moscow for tomorrow, accurate weather forecast for tomorrow for the locality of Moscow, Moscow (federal city), Russia.</t>
  </si>
  <si>
    <t>weather tomorrow    Weather in Almaty for tomorrow    Sat 11 Nov 10:24 Kazakhstan, Almaty (city of republican significance). in Almaty partly cloudy, no precipitation, +5 °C. Feels +5 °C, Wind 1 m/s. Weather.    GISMETEO: Weather in Kazakhstan weather forecast for today tomorrow 3 days weekend week 10 days month.Go to mobile versionWeatherNews Maps Informers Applications Ann Arbor Change itemSat November 11 22:45+3 37Cloudy without precipitation Feels like+1 34Wind2 m/s W 7 km/h Pressure 749 mmHg Art. 998 hPaHumidity69%G/m activity6 pointsWater+6 432300000100200300+337+236+236+134+134Wind gusts m/skm/h4 144 144 144 143 11Today Tomorrow 3 days 10 days 2 weeks MonthMore Now Y/ m activity Weekend Nearby weather stations Ann Arbor2 m/s7 km/h+3 37Willow Run2 m/s7 km/h+3 37Detroit Metropolitan Wayne County2 m/s7 km/h+4 39Detroit2 m/s7 km/h+4 39Oakland County0 m/s0 km/h+3 37Lenawee County2 m/s7 km/h+2 36Jackson County - Reynolds Field0 m/s0 km/h+2 36Viewed ClearPopular points in KazakhstanAktauAktobeAlmatyAstanaAtyrauZhezkazganKaragandaKokshetauKostanayKyzylordaLisakovskPavlodarPetropavlovskRidderRudnySemeyTaldykorgan TarazTemirtauUralskUst-KamenogorskShymkentSchuchinskEkibastuzGismeteo news about weather, nature and spaceAn earthquake of magnitude 53 occurred in the Dominican Republic regionWeather in Kazakhstan on November 12: precipitation will continueHeavy rains caused flood in the north of FranceWeather in Kazakhstan on November 11: heavy precipitation expected in placesWeather on the mapPrecipitationTemperatureWindCloudsNews from Kazakhstan and the worldNews from Kazakhstan and the worldA woman was beaten to death in Astana: Kuandyk Bishimbayev was detainedHow many days will Kazakhstanis rest in December 2023Tasmagambetov announced serious threats to the CSTO countries53-year-old Naomi Campbell posed nude with with spikesTokayev signed a new law Why three thermal power plants in Kazakhstan will be built by Russian investors A married couple is arrested for repeatedly hanging children A former minister is being investigated for the murder of a woman Kazakhstanis are being deceived in a new way on WhatsApp The pension system of the Republic of Kazakhstan is included in the Global Index for the first time A new gas field was launched in the Zhambyl region Agreement Confidentiality Advertising Provision of data Contacts Mobile site Leave a review Weather in Kazakhstan and the world is provided exclusively for personal non-commercial use.© Gismeteo</t>
  </si>
  <si>
    <t>weather tomorrow    Weather in Zaporozhye for tomorrow    Weather in Zaporozhye for tomorrow, detailed weather forecast for tomorrow for the settlement of Zaporozhye, Zaporozhye district, Zaporozhye region, Ukraine.</t>
  </si>
  <si>
    <t>weather tomorrow    Weather tomorrow in Vladikavkaz hourly, comparison with ...    Weather in Vladikavkaz hourly. Tomorrow no significant weather changes are expected in Vladikavkaz. Cloudy weather will prevail, the temperature will be the same...</t>
  </si>
  <si>
    <t>Weather tomorrow      of the Imperial Academy of Academy of Science         google bookssearchimagesmapsplayoutubenewsgmorecalendartranslatemobilebooksshoppingbloggerfi citation Seven More »Account Optionssign InBookssearch The World's Most Comprehensive Index of Full-Teks.my Librarypublishereprivachelpelshelpelshelpels</t>
  </si>
  <si>
    <t>weather tomorrow    Polnoe sobranie sochineniĭ         Google BooksSearchImagesMapsPlayYouTubeNewsGmailDriveMoreCalendarTranslateMobileBooksShoppingBloggerFi cePhotosDocsEven more »Account OptionsSign inBooksSearch the world's most comprehensive index of full-text books.My libraryPublishersAboutPrivacyTermsHelp</t>
  </si>
  <si>
    <t>weather tomorrow    Aviat︠s︡ii︠a︡ i kosmonavtika         Google BooksSearchImagesMapsPlayYouTubeNewsGmailDriveMoreCalendarTranslateMobileBooksShoppingBloggerFi cePhotosDocsEven more »Account OptionsSign inBooksSearch the world's most comprehensive index of full-text books.My libraryPublishersAboutPriv acyTermsHelp</t>
  </si>
  <si>
    <t>weather tomorrow    Notes of a hunter. Mumu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</si>
  <si>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program guide    TV program guide - Yandex.TV program    Program guide in Moscow. Movies, TV series, Sports, Children. Basic. All channels, Favorites, By topic, Main, Movies and TV series, Educational, Sports...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</si>
  <si>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program schedule    TV program for today and tomorrow, program ...    TV program: TV program program for today, tomorrow, for the week - all channels and TV programs by genre and by time - Moscow city.</t>
  </si>
  <si>
    <t>program schedule    TV program for today, program schedule for everything ...    Program schedule for today and the next week on all channels of terrestrial, satellite and digital television.</t>
  </si>
  <si>
    <t>program schedule    Program guide for today and the week    Fresh program schedule for today and the week. First, Russia, TNT, STS and other TV channels. Study and watch TV online!</t>
  </si>
  <si>
    <t xml:space="preserve">program schedule      Program schedule in Novosibirsk: for today, on ...      </t>
  </si>
  <si>
    <t>program schedule    Program schedule for today, for the week: all channels    Simple and convenient TV program of all TV channels. Description of transfers, films and serials. Convenient navigation and up-to-date information on TV broadcasting.</t>
  </si>
  <si>
    <t>program schedule    Program schedule of TV channels for today    TV program for today - all channels · Channel 1 18:20 I love my country 19:20 Exclusive · Channel 5 17:45 Conditional cop (The case on Yakornaya) · STS 17:35 Glacier...    TV online channels | watch live broadcast for free TV online 1 channel 5 channel STSPyatnitsa! HomeCarouselMatch TVNTVRen TVRussia 1TNTTV3 Thematic SpasChannel YuChannel CheTV CenterSoyuzMuz-TVStarTNT4MIRProgram ShowRadioTV channels online - live broadcastWatch live broadcast of Russian TV channels. Video broadcasts of Russian television are organized online in good quality. All TV channels can be watched for free via the Internet on a computer or phone according to local time. Telik.top is a digital online TV with a program guide of TV channels for the whole week. Select your city: Astrakhan Volgograd Izhevsk Kaliningrad Samara Saratov St. Petersburg Togliatti Ulyanovsk Yekaterinburg Magnitogorsk Nizhny Tagil Omsk Orenburg Perm Tyumen Ufa Chelyabinsk Abakan Barnaul Irkutsk Kemerovo Krasnoyarsk Novokuznetsk No VosibirskTomskUlan-UdeBlagoveshchenskVladivostokKhabarovskChitaYuzhno-SakhalinskYakutskSelect online TV channel broadcast All TV channels are available online local time in IPTV format OTT.telik.top - TV online :iptv service with broadcasts of digital TV channels and program guides; official players from licensed copyright holders Showcase TV and GPM RTV; online viewing of broadcasts via the Internet on all devices without installing plugins; excellent quality of television broadcasting without restrictions on devices (multiscreen); free digital broadcasts of television companies are available without registration and subscription; live broadcast of television programs is carried out in real time without changes. Recordings of the latest episodes of programs watch all programs in the feed of the day Live on TV Podcast.Lab (Easy money... Prosecutor's check (Mo... Yeralash Arthur and the minimoys. .. Life and driving lessons (1... Awesome delivery (Collection... Mixed martial arts. U... Central television... The most shocking hypotheses... Alla in search of Alla... Chicken race Cartoonsprogram of all channels for today Thematic channels Channel Che Muz-TV Star Channel Yu TNT4 Spas MIR TV centerFM radio online Autoradio Business FM Comedy Nrj Europe+ Children's Koms.pravda Lighthouse Monte Carlo New radio Humor FM Retro FM Chanson Record Road Russian Radio 7 Nashe Radio Vesti FM2023 WHAT'S ON TV? RUSSIAAdvertising and partnershipUser agreement / Privacy policy / Copyright holders</t>
  </si>
  <si>
    <t>program schedule    Program schedule for today: all TV channels    Program schedule for today all day and night, from morning to evening - all major TV channels. TV program for the coming week by city.</t>
  </si>
  <si>
    <t>program schedule    TV program - online television channels    TV program program on all channels of terrestrial, satellite and digital television for today and the coming week. Online TV NTV-PLUS - watching TV channels...</t>
  </si>
  <si>
    <t>program schedule    TV program program for today: all channels    Current TV program for today on all channels. Complete TV program with schedule, time, channels and names of TV programs for today.</t>
  </si>
  <si>
    <t>program guide    Program guide for today for all TV channels    Program guide for today; Yu. 02:10. Treason, 16+. 03:00; SAPPHIRE. 02:20. Redemption, 16+. Episode 45. 03:05; KINEKO. 01:45. Youth, 16+. Episode 13. 02:35.</t>
  </si>
  <si>
    <t xml:space="preserve">program schedule      Program schedule in Yekaterinburg: for today, on ...      </t>
  </si>
  <si>
    <t>program schedule    TV program for 11.11.2023    The program schedule is subject to change. Channel. Selected, All, Sony Turbo, Sony ... Program Guide | Announcement database · Rambler's Top100. © 2006—2023 Camelot...</t>
  </si>
  <si>
    <t>program schedule    STS channel program program for today    Full program program of the STS channel for today and the week ahead. Don't miss anything interesting! Stay informed!    STS - the official website of the TV channelYou need to enable JavaScript to run this app.</t>
  </si>
  <si>
    <t>program schedule    Program schedule for today on all TV channels.    Always fresh program schedule on popular TV channels for today and tomorrow. Full TV program for the week.    Glaz.TV online - watch TV and listen to radio live for free! +Web cameras. TV(44+)Cameras(250+)Radio(500+) Top channels onlineAll online TV (44+)TV program Top webcams onlineAll online webcams (250+)Web cameras on the world mapTop radio onlineAll online radio (500+) Watch online TV live for free On the Eye.TV website you can watch online TV and webcams of the world listen to radio - everything is live without registration and completely free! There are many broadcast sources on the Internet that broadcast online. We have collected them on one website and regularly monitor the performance of each. You have the opportunity to choose from a variety of free TV channels and radio stations - from central and popular to little-known ones that broadcast exclusively via the Internet. We approached the matter thoroughly and tried to take into account the shortcomings of similar Internet resources. We do not and will not have pages heavily plastered with advertising, as well as a huge number of “dead” sources of online broadcasts. On Glaz.TV you can search for TV channels live on webcams radio using any parameters - both individually and across the entire site at once. Here you can easily find what to watch and listen to. At the same time, you can create your favorite list of online channels and easily switch between them (for this you already need to register, which is easy to do in a couple of clicks). The Glaz.TV team wishes you pleasant viewing and listening! About the projectHelpContactsFull version↑ Up&amp;TV online / About the project / Help / Contacts / Full versionCopyright holders / Terms of use</t>
  </si>
  <si>
    <t>program schedule      TV program TV3</t>
  </si>
  <si>
    <t>program guide    TV program guide in Moscow - Yandex.TV program    Program guide in Moscow. Movies, TV series, Sports, Children. Basic. All channels, Favorites, By topic, Main, Movies and TV series, Educational, Sports...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</si>
  <si>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program schedule    Program schedule of TV channels for Today    The most complete program schedule of all channels in Belarus for today. Current TV program what to watch today, schedule and names of television...</t>
  </si>
  <si>
    <t>program schedule    Program schedule for TNT, Ren TV, Dozhd    TV program of all popular TV channels for today and tomorrow, program for the week. Films, TV series, sports, news.    Kartina TV Canada is the best video service in the CIS countries and Israel. Kartina TV 1-844-477-8788   LoginReferral program RussianEnglishKartina TVTelevisionOpportunitiesProgram guideConnectionAbout the companyHelpContactsSupportQ&amp;ACheck speedForumPoints of saleStoresDealersReferral program  Login Subscribe More 280 channels from Russia and CIS countries Replay missed programs in the Archive Watch on different devices More than 30,000 films and TV series Connect now! 3 days free Free access! Do you want to know how our service works? You have the opportunity to use free access. When you create your account on Kartina.TV you get 3 days of free viewing. ActivateSave with your friendsShare the referral code with your friends so that they get a discount and you get a bonus of up to $50 on your balance. The more friends, the more bonuses! Save with friends Site review Watch a short video review of our service for a better perception and familiarization with our services. In this video we show how to use the site and applications. Enjoy your viewing.WatchGift cardKartina TV is the best gift for a loved one.Give 1 6 or 12 months of service. Your gift will be appreciated. Purchase Kartina TV - the optimal way to watch television Kartina TV is ideal for Russian-speaking TV viewers living abroad. There is no need to install a satellite dish or connect cable television - just have Internet access at home. Find out more Internet TV Program guide Blog For clients Terms of Use Agreement Privacy Policy Refund Policy Subscription Policy For partners Advertising services Partners Dealers Communications Contacts Vacancies Odnoklassniki Facebook VKontakte Twitter Instagram Youtube © RUSMEDIA CONSULTING INC Television anywhere in the world</t>
  </si>
  <si>
    <t>program schedule    TV program for today - Yekaterinburg Your city...    ... program 112 16+. 16:30News 16+. 17:00 The main secrets of the world 16+. 18:00 The main secrets of the world 16+. 19:00 Information program 112 16+. 19:30News 16+. 20: ...</t>
  </si>
  <si>
    <t>production calendar 2023    Production calendar for 2023    In 2023, in general, with a five-day working week with two days off, there will be 247 working days, including 3 working days shortened by one hour, indicated by ...</t>
  </si>
  <si>
    <t>production calendar 2023    Production calendar 2023    The calendar is compiled on the basis of the Decree of the Government of the Russian Federation of August 29, 2022 No. 1505 “On the transfer of days off in 2023”. On one page...</t>
  </si>
  <si>
    <t>production calendar 2023      Production calendar 2023</t>
  </si>
  <si>
    <t>production calendar 2023    Production calendar for 2023 with ...    Transfer of holidays in 2023 · from December 31, 2022 to January 8, 2023; · from February 23 to 26; · March 8; · from April 29 to May 1 and from May 6 to 9; · from 10...</t>
  </si>
  <si>
    <t>production calendar 2023    Production calendar for 2023    Production calendar for a five-day work week for 2023: official weekends, holidays, assistance in calculating sick leave, vacation and wages...</t>
  </si>
  <si>
    <t>production calendar 2023    Production calendar for 2023 with ...    Approved production calendar for 2023. How to calculate working time standards for 2023. Official holidays and weekend transfers.</t>
  </si>
  <si>
    <t>production calendar 2023    PRODUCTION CALENDAR FOR 2023 (for ...    March 23, 2023 -</t>
  </si>
  <si>
    <t>production calendar 2023    Production calendar 2023    Not just a production calendar for 2023 with holidays, approved by decree of the Russian government. This is a calculator of working days, standard hours.</t>
  </si>
  <si>
    <t>production calendar 2023    Production calendar - Personnel Management    2023 · 2022 · 2021 · 2020 · 2019 · 2018 · 2017 · 2016.</t>
  </si>
  <si>
    <t>production calendar 2023    Weekends and holidays in 2023: New Year's ...    from January 1 to January 8, 2023 (December 31, 2022 falls on a Saturday, so the New Year holidays will last 9 days - from December 31, 2022 to January 8, 2023); ...</t>
  </si>
  <si>
    <t>production calendar 2023    Production calendar for 2023    Production calendar for 2023 · from Sunday, January 1 to Friday, February 24; · from Sunday 8 January to Monday 8 May.</t>
  </si>
  <si>
    <t>production calendar 2023    Accountant's production calendar for 2023</t>
  </si>
  <si>
    <t>production calendar 2023    January    PRODUCTION CALENDAR FOR 2023. (for a six-day work week) ... In this. The production calendar shows the number of calendar/working...</t>
  </si>
  <si>
    <t>production calendar 2023    Production calendar for 2023    Production calendar for 2023. 1. For a five-day work week. Months and other periods of the year. Amount of days. Estimated standard working hours. (V ...</t>
  </si>
  <si>
    <t>production calendar 2023    Production calendar for 2023    Production calendar for 2023. I1!VAR. FEBRUARY. MARCH. APRIL. Mon Tue Wed Thu Fri Sat Sun Mon Tue Wed Thu Fri Sat Sun Mon. Tue Wed Thu Fri Sat Sun Mon Tue Wed Thu Fri Sat Sun</t>
  </si>
  <si>
    <t>happy birthday    Happy birthday greetings - Congratulations    Happy birthday, I wish you smiles and joy. Love, family warmth, comfort, happiness and kindness! Always achieve success, May there be a sea of ​​laughter in life. Let ...</t>
  </si>
  <si>
    <t>happy birthday happy birthday in your own words</t>
  </si>
  <si>
    <t>Happy birthday      TOP 100 Happy Birthday greetings + Discussion</t>
  </si>
  <si>
    <t>happy birthday      TOP 100 happy birthday greetings</t>
  </si>
  <si>
    <t>happy birthday  Happy birthday in your own words - Sumy News</t>
  </si>
  <si>
    <t>happy birthday   Beautiful happy birthday greetings  3 days ago —</t>
  </si>
  <si>
    <t>happy birthday    Ideas on the theme “Happy Birthday” (560) in 2023         Pinterest – Pinterest Oh no! Pinterest doesn't work unless you turn on JavaScript.</t>
  </si>
  <si>
    <t>happy birthday      Happy birthday greetings</t>
  </si>
  <si>
    <t>happy birthday    Happy birthday | Family days ...         Pinterest – Pinterest Oh no! Pinterest doesn't work unless you turn on JavaScript.</t>
  </si>
  <si>
    <t>happy birthday    Congratulations and birthday wishes from myself...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</si>
  <si>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happy birthday    Luxurious congratulations HAPPY BIRTHDAY!    24 Jan. 2023 —     YouTubeAboutPressCopyrightContact usCreatorsAdvertiseDevelopersTermsPrivacyPolicy &amp; SafetyHow YouTube worksTest new featuresNFL Sunday Ticket© 2023 Google LLC</t>
  </si>
  <si>
    <t>happy birthday    Happy Birthday greetings in prose    Happy Birthday! Let happiness smile on you, so that you are always happy, loved, healthy, beautiful, successful! And all your wishes always come true!</t>
  </si>
  <si>
    <t>happy birthday     Happy Birthday in Genshin Impact: how to start and find ...    2 days ago -</t>
  </si>
  <si>
    <t>happy birthday    Happy birthday    May 6, 2023 —     YouTubeAboutPressCopyrightContact usCreatorsAdvertiseDevelopersTermsPrivacyPolicy &amp; SafetyHow YouTube worksTest new featuresNFL Sunday Ticket© 2023 Google LLC</t>
  </si>
  <si>
    <t>happy birthday    birthday greetings: 2 thousand videos found ...    Happy Birthday. Beautiful birthday greetings. YouTube. May 12, 2017. 545 thousand views.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</si>
  <si>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happy birthday    Happy birthday!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</si>
  <si>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sberbank    SberBank    Update your browser to log into SberBank Online · SberBank. Login by phone number. Login.    You cannot log into SberBank Online in this browser. You cannot log into SberBank Online in this browser. Please try another browser. If that doesn’t work, call us at 900 or +7 495 500-55-50 if you are abroad. Your support ID: &lt;18005308073735164417&gt;[Back]</t>
  </si>
  <si>
    <t>sberbank    Sberbank    On Sberbank.com you will find information about the development and corporate gover ce system of SberBank, regulatory documents, press releases and information for shareholders...    sberbank.ru There was a problem opening the Sberbank website in this browser. You may not have installed certificates from the National CA of the Ministry of Digital Development of Russia .You can read the installation instructions at https://www.gosuslugi.ru/crtOr try logging into the site in another browser using the link https://www.sberbank.com/ru/certificates If the error repeats, call us at 900 or + 7495 500-55-50 if you are abroad and provide your Support IDSupport ID: &lt; 3708112367083881761&gt;[Back]</t>
  </si>
  <si>
    <t>Sberbank    Sberbank    Information about SberBank's development and corporate gover ce for shareholders and investors ✓ Annual shareholders' meeting ✓ Annual reports ✓ The...    sberbank.ru There was a problem opening the Sberbank website in this browser. You may not have the certificates of the National CA of the Ministry of Digital Development of Russia installed. Read the instructions for installation, please visit https://www.gosuslugi.ru/crtOr try logging into the site in another browser using the link https://www.sberbank.com/ru/certificates If the error repeats, call us at 900 or + 7495 500-55 -50 if you are abroad and provide your Support IDSupport ID: &lt; 3708112367083881761&gt;[Back]</t>
  </si>
  <si>
    <t>Sberbank      Sberbank of Russia      Nan</t>
  </si>
  <si>
    <t>Sberbank    BPS-Sberbank    Sber Bank is operating as usual · New version of SberBank Online · Account in your favor · Consumer loan for repairs “Comfort with Sber Bank” · SberCard...</t>
  </si>
  <si>
    <t>Sberbank    Sber    Sberbank mistakenly took my money and is not returning it to me. There is no information in the media about the failure, according to Sberbank specialists this is...     VK.com | VKYour browser is out of dateThis may cause VK to work slowly or experience errors.Update your browser or install one of the following:ChromeOperaFirefox</t>
  </si>
  <si>
    <t>Sberbank    Sber    The SberBank Online application has been working for you for 11 years! From a simple application for money transfers, it has become a super app where 70% of all services are available and ...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</si>
  <si>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Sberbank    Sber / Sber (@sberbank) • Instagram photos and videos    The long-awaited feature is now available! Update the SberBank Online application to: — choose which ones.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</si>
  <si>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Sberbank    SberMobile is a telecom operator from Sberbank    Bonuses are awarded only when replenishing the balance through the SberMobile mobile application when paying with a Sberbank card. To receive discounts using...</t>
  </si>
  <si>
    <t>Sberbank    SberBank Online application on Android    Oct 23 2023 —     Sber Application CatalogApp CatalogVerifiedHomeSber Applications for AndroidDownload APK to smart devicesInstall Ministry of Digital Development certificatesThey are necessary for uninterrupted and secure access to Sber websitesInstallSber Applications for AndroidBusiness and Fi ceSberBank Online - with SaluteBusiness and Fi ceSberThanksShoppingSberMegaMarketProductivity and utilitiesSalute JazzFor assistants SaluteGamesFor childrenMusic and videoProductivity and utilitiesShoppingBusiness and fi ceLifestyleHealth and fitnessFood and drinkEducation and culturePlay directly on the site0+GamesNumber puzzle 2048: top brix0+GamesParking master: car parking0+GamesBall sorting puzzle6+GamesTricky riddles6+Games Fury Road6+GamesQuest Precious blocks6+GamesSausage VS Fork and Knife6+GamesDream FarmTop popular6+ Education and cultureSKILLS6 +Music and videoSounds of nature6+Health and fitnessRelieve stress6+LifestyleVoice card6+GamesPassionate theatergoer6+Education and cultureWorld of MISiS18+ShoppingSCP Foundation6+Productivity and utilitiesVoice calculatorSber apps for AndroidHow to installDevelopers© 1997—2023 PJSC Sberbank. General license for banking operations dated August 11, 2015. Registration number - 1481</t>
  </si>
  <si>
    <t>Sberbank    sberbank - Sber         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t>
  </si>
  <si>
    <t>Sberbank    Elephant on the dance floor. How German Gref and his team teach...         Google BooksSearchImagesMapsPlayYouTubeNewsGmailDriveMoreCalendarTranslateMobileBooksShoppingBloggerFi cePhotosDocsEven more »Account OptionsSign inBooksSearch the world's most comprehensive index of full-text books.My libraryPublishersAboutPrivacyTermsHelp</t>
  </si>
  <si>
    <t>Sberbank    Expert North-West 07-2012         Google BooksSearchImagesMapsPlayYouTubeNewsGmailDriveMoreCalendarTranslateMobileBooksShoppingBloggerFi cePhotosDocsEven more »Account OptionsSign inBooksSearch the world's most comprehensive index of full-text books.My libraryPublishersAboutPrivacyTermsHelp</t>
  </si>
  <si>
    <t>Sberbank      Sberbank of Russia - Wikipedia      Nan</t>
  </si>
  <si>
    <t>Sberbank    Sber - VKontakte    Sberbank mistakenly took my money and is not returning it to me. There is no information in the media about the failure, according to Sberbank specialists this is...     VK.com | VKYour browser is out of dateThis may cause VK to work slowly or experience errors.Update your browser or install one of the following:ChromeOperaFirefox</t>
  </si>
  <si>
    <t>Sberbank    Work at Sberbank    ... data processing · Cookies Policy. © 2023 Sberbank PJSC. coolies. We use cookies to make our website better for you. Read more.</t>
  </si>
  <si>
    <t>Sberbank    Spear's Russia. Private Banking &amp; Wealth Management ...         Google BooksSearchImagesMapsPlayYouTubeNewsGmailDriveMoreCalendarTranslateMobileBooksShoppingBloggerFi cePhotosDocsEven more »Account OptionsSign inBooksSearch the world's most comprehensive index of full-text books.My libraryPublishersAboutPrivacyTermsHelp</t>
  </si>
  <si>
    <t>Sberbank    Sber (@sberbank) / X         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t>
  </si>
  <si>
    <t>Sberbank online    Sberbank Online    Update your browser to log into SberBank Online · SberBank. Login by phone number. Login.    You cannot log into SberBank Online in this browser. You cannot log into SberBank Online in this browser. Please try another browser. If that doesn’t work, call us at 900 or +7 495 500-55-50 if you are abroad. Your support ID: &lt;18005308073735164417&gt;[Back]</t>
  </si>
  <si>
    <t>Sberbank online    Sber Bank OJSC    MONEY TRANSFERS BETWEEN Sberbank CARDS OF RUSSIA AND BELARUS. Translate regardless of sanctions restrictions. The SberBank Online system operates a service...</t>
  </si>
  <si>
    <t>Sberbank online    Sberbank Online - login to your personal account ...    Via the Internet. To register, you need to go to this page: https://online.sberbank.ru/CSAFront/index.do#/registration. To begin with, the site...</t>
  </si>
  <si>
    <t>Sberbank online    Mobile application SberBank Online for Android    Method 2. On the website Sberbank.ru · 1. Download the installation file in APK format. · 2. If necessary, confirm the download. Please note: on your phone...    sberbank.ru A problem occurred when opening the Sberbank website in this browser. You may not have installed certificates from the National CA of the Ministry of Digital Development of Russia. You can view the installation instructions at https://www.gosuslugi.ru/crtOr try logging into the site in another browser using the link https://www.sberbank.com/ru/certificates If the error repeats, call us at 900 or + 7495 500-55-50 if you are abroad and tell us your Support IDSupport ID: &lt; 3708112367083881761 &gt;[Back]</t>
  </si>
  <si>
    <t>Sberbank online    SberBank Online application on Android    Oct 23 2023 —     Sber Application CatalogApp CatalogVerifiedHomeSber Applications for AndroidDownload APK to smart devicesInstall Ministry of Digital Development certificatesThey are necessary for uninterrupted and secure access to Sber websitesInstallSber Applications for AndroidBusiness and Fi ceSberBank Online - with SaluteBusiness and Fi ceSberThanksShoppingSberMegaMarketProductivity and utilitiesSalute JazzFor assistants SaluteGamesFor childrenMusic and videoProductivity and utilitiesShoppingBusiness and fi ceLifestyleHealth and fitnessFood and drinkEducation and culturePlay directly on the site0+GamesNumber puzzle 2048: top brix0+GamesParking master: car parking0+GamesBall sorting puzzle6+GamesTricky riddles6+Games Fury Road6+GamesQuest Precious blocks6+GamesSausage VS Fork and Knife6+GamesDream FarmTop popular6+ Education and cultureSKILLS6 +Music and videoSounds of nature6+Health and fitnessRelieve stress6+LifestyleVoice card6+GamesPassionate theatergoer6+Education and cultureWorld of MISiS18+ShoppingSCP Foundation6+Productivity and utilitiesVoice calculatorSber apps for AndroidHow to installDevelopers© 1997—2023 PJSC Sberbank. General license for banking operations dated August 11, 2015. Registration number - 1481</t>
  </si>
  <si>
    <t>Sberbank online    SberBank Online mobile application for iPhone    Does your phone not have a previously installed application? You can use the web version of SberBank Online... Open the SberBank Online website in the Safari mobile browser.    sberbank.ru There was a problem opening the Sberbank website in this browser. You may not have installed the certificates of the National CA of the Ministry of Digital Development of Russia. You can view the installation instructions at https://www.gosuslugi.ru/crtOr try logging into the site in another browser using the link https://www.sberbank.com/ru/certificates If the error repeats, call us at 900 or + 7495 500-55-50 if you abroad and provide your Support IDSupport ID: &lt; 3708112367083881761&gt;[Back]</t>
  </si>
  <si>
    <t>Sberbank online      Sberbank Online      Nan</t>
  </si>
  <si>
    <t>Sberbank online   SberBank Online APK for Android - Download   July 10. 2023 —</t>
  </si>
  <si>
    <t>Sberbank online      Sber - Sberbank Online - SBOL - Sberbank Online@yn</t>
  </si>
  <si>
    <t>Sberbank online    Sber    Here we tell all our news, share life hacks and report on promotions. Website: sberbank.ru · Online bank.     VK.com | VKYour browser is out of dateThis may cause VK to work slowly or experience errors.Update your browser or install one of the following:ChromeOperaFirefox</t>
  </si>
  <si>
    <t>Sberbank online     Sberbank Online" application reappeared in the App ...    10 Oct. 2022 —</t>
  </si>
  <si>
    <t>Sberbank online    Payment through the Sberbank Online application on ...    Payment through the Sberbank Online application on your phone · 2. After selecting a card, you must select the item · 3. In the "Payments and transfers" menu, you must select the item...</t>
  </si>
  <si>
    <t>Sberbank online    Login to the Internet Bank of CJSC "Transnistrian Sberbank"    You can connect to the Sberbank-online system for free at any branch of the Transnistrian Sberbank. To connect, just show your passport and...    Login to the Internet Bank of CJSC "Pridnestrovian Sberbank"LoginPassword You can connect to the "Sberbank-online" system for free at any branch of the Transnistrian Sberbank. To connect, it is enough to present your passport and sign an application to join the remote service agreement. Now you can use the Bank's services using the Internet and the Sberbank-Online system around the clock at home at work or on vacation - wherever it is convenient for you. CAREFULLY! SCAM1. Enter your login and password for Sberbank Internet banking only on the website https://online.prisbank.com. Carefully check the spelling of each word in the address bar. 2. Never tell anyone your card details: number (16 digits) and CVC code on the back. Remember, bank employees never call and ask for this information; we already know it. 3. Never tell anyone the code from SMS, even if they are contacting you on behalf of Sberbank. These are scammers.</t>
  </si>
  <si>
    <t>Sberbank online    How to pay for services in SberBank Online?    To pay for services, including VDGO mainte ce, in SberBank online you must do the following: · Install the application on your SberBank online phone; · Login to the application...</t>
  </si>
  <si>
    <t>Sberbank online  Sberbank Business Online - Internet banking      Sberbank Business Online - Internet banking</t>
  </si>
  <si>
    <t>Sberbank online      How to register with Sberbank Online      Nan</t>
  </si>
  <si>
    <t>Sberbank online   Sberbank Online" application disappeared from the App Store  3 days ago -</t>
  </si>
  <si>
    <t>network city    Network City. Education         Network City. EducationNetwork City. Education Login to the GIS "Education of the Ulyanovsk Region" Login for parents Login for students Login for employees You receive state (municipal) services in the field of education of the Ulyanovsk region in electronic form. A verified government services account is required to log in. It can be issued at the nearest user service center. Students under 14 years of age can log in using the login and password issued by the school. Login instructions 1246 kbDownload file Print fileInnovative solutions and technologies for the education sector</t>
  </si>
  <si>
    <t>network city    Network City. Education         ﻿Network City. Education</t>
  </si>
  <si>
    <t>network city    Network City. Education    STATE INFORMATION SYSTEM OF THE KAMCHATKA REGION "NETWORK CITY". Information about the student's progress*. *Providing information about the current...    ﻿Network City. EducationSTATE INFORMATION SYSTEM OF THE KAMCHATKA TERRITORY "NETWORK CITY"Information on the student's progress**Providing information on the student's current progress maintaining an electronic diary and an electronic progress log public serviceSimpler than it seems! To receive a government service you will need to log in to the Unified System of Identification and Automation. What is the Unified System of Identification of Information? Identification and authorization of citizens in state and municipal systems of the Russian Federation. How to get an account in Yesia? Fill out a questionnaire on the Electronic Government website. Fire questionnaires at any paragraph of the MFC. Kraikamchatsky Kraikamchatsky Chikamcetskoye Kraikamchatsky Kraikhatsky Krakhmachtsky Territory of the Kamchatka Territory "Network City" (REGIONAL SEGMENT OF GIS "CONTINGENT")Information about the student's progress**Providing information about the student's current progress; maintaining an electronic diary and an electronic progress logAttention!ContinueGeneral educationAdditional educationProfessional educationLog in as: Parent Teacher StudentContinueThere is an automatic transition to the additional education server...If for some reason for some reason the page does not open for a long time, try following this link. There is an automatic transition to the vocational education server... If for some reason the page does not open for a long time, try following this link. There is an automatic transition to the school server... If for some reason the page does not open for a long time, try following this linkBackCloseCloseIf you have any questions, please contact us by email support@kcioko.ru.© KSAU "Kamchatka Center for Informatization and Quality Assessment of Education"&lt;!--&lt;script src="js/browser detect.js"&gt; -&gt;</t>
  </si>
  <si>
    <t>network city    Network city    State information system "Education in the Chelyabinsk region" Module "Network City. Education". Login through government services.    Chelyabinsk region. | AIS "Network Region. Education" | RIS "Network Region. Education" State information system "Education in the Chelyabinsk Region" Module "Network City. Education" Login through government services Dear users of the system! From October 2, 2023, it will be possible for all users to enter the "Network City. Education" system only with the help Unified identification and authentication (Government services portal) accounts. The instructions can be found by clicking on the banner Technical user support: support@chiro74.ru</t>
  </si>
  <si>
    <t>network city    Altai region | AIS "Network Region. Education ...    Do you have a question? Go to the website http://neteducation.edu22.info. Ministry of Education and Science of the Altai Territory AIS "Network Region. Education".    Altai Territory | AIS "Network Region. Education" | FIGURE "Network Edge. Education"Do you have a question? Go to the website http://neteducation.edu22.infoMinistry of Education and Science of the Altai TerritoryAIS "Network Region. Education"Login for parentsLogin for students over 14 years oldLogin for students under 14 years oldLogin for employees To log in through the State Services portal, you need a confirmed account (USIA). It can be registered at the nearest user service center. Instructions for use 840 kbDownload file Print fileLog in via login and password issued by the educational organization.</t>
  </si>
  <si>
    <t>network city    Network City. Education         Electronic education or log in using the login and password issued at the school. Due to the risks of an increase in the incidence of Covid-19 in the region, it is necessary to strictly adhere to self-isolation requirements. By violating restrictive measures, you risk your health and the health of others. Dear residents and guests of the Kostroma region, observe the self-isolation regime and use protective equipment when leaving home. A verified Government Services account is required to log in. It can be issued at the nearest user service center. Instructions for use 693 kbDownload file Print file</t>
  </si>
  <si>
    <t>telegram    Telegram Web    Telegram is a cloud-based mobile and desktop messaging app with a focus on security and speed.    Telegram Web</t>
  </si>
  <si>
    <t>telegram    Telegram - Apps on Google Play    Nan</t>
  </si>
  <si>
    <t>telegram    Telegram Messenger on the App Store    FAST: Telegram is the fastest messaging app on the market, connecting people via a unique, distributed network of data centers around the globe.</t>
  </si>
  <si>
    <t>telegram    Telegram - Apps on Google Play    Telegram is a simple, fast and secure messaging application. Telegram is one of the ten most downloaded applications in the world, it is used by...</t>
  </si>
  <si>
    <t>telegram    Telegram    Telegram (from Ancient Greek τῆλε “far” + Ancient Greek γράμμα “record”) is a cross-platform instant messaging system (messenger) with functions...</t>
  </si>
  <si>
    <t>telegram    Telegram Online (unofficial version)    Telegram online in Russian is an unofficial web version of the popular Telegram messenger.    Telegram Online (unofficial version) Telegram Online* unofficial βversion*Notice about the unofficial version of Telegram</t>
  </si>
  <si>
    <t>telegram    Telegram    Russian-language web version of the Telegram messenger (unofficial)    TelegramTelegram WebPlease enable JavaScript to open the app.</t>
  </si>
  <si>
    <t>telegram    Telegram Web    Telegram Web is an online version of popular Telegram messenger - fast and secure. You can use Telegram Web on any browsers or devices. Get apps Start ...    Telegram WebTelegram WebTelegram Web is an online version of popular Telegram messenger - fast and secure. You can use Telegram Web on any browsers or devices.Get apps Start messaging Troubles with connection? Try VPN.</t>
  </si>
  <si>
    <t>telegram    Worcester Telegram : Local News, Politics &amp; Sports in ...    Get the latest breaking news, sports, entertainment and obituaries in Worcester, MA from Worcester Telegram .</t>
  </si>
  <si>
    <t>telegram    Contact @telegram    The official Telegram on Telegram. Much recursion. Very Telegram. Wow. View in Telegram · Preview channel. If you have Telegram, you can view and join. Telegram...    Telegram Messenger EnglishBahasa IndonesiaBahasa MelayuDeutschEspañolFrançaisItalianoNederlandsO'zbekPolskiPortuguês (Brasil)TürkçeBelarusianRussianUkrainianالعربيةفارسی한국어 TwitterHomeFA 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 …Oct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t>
  </si>
  <si>
    <t>telegram    telegramdesktop/tdesktop: Telegram Desktop messaging app    Telegram Desktop messaging app. Contribute to telegramdesktop/tdesktop development by creating an account on GitHub.</t>
  </si>
  <si>
    <t>telegram    Telegram - messenger for iPhone, Android and Windows ...    Convenient, fast and secure Telegram messenger. Message encryption, group chats, YouTube support, sending any files without restrictions.</t>
  </si>
  <si>
    <t>telegram    Long Beach Press-Telegram: Local News, Sports, Things to Do    The Press-Telegram is the local news source for Long Beach and the surrounding area providing breaking news, sports, business, entertainment, things to do, ...</t>
  </si>
  <si>
    <t>telegram      Telegram Messenger      Aug 18 2023 —</t>
  </si>
  <si>
    <t>telegram    Business in Telegram: channel of the XXI century - Result from Google Books         Google BooksSearchImagesMapsPlayYouTubeNewsGmailDriveMoreCalendarTranslateMobileBooksShoppingBloggerFi cePhotosDocsEven more »Account OptionsSign inBooksSearch the world's most comprehensive index of full-text books.My libraryPublishersAboutPrivacyTermsHelp</t>
  </si>
  <si>
    <t xml:space="preserve">telegram       George Ken  "Long Telegram"      </t>
  </si>
  <si>
    <t>Cheburashka    Cheburashka, 2022 - Kinopoisk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</si>
  <si>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Cheburashka    Cheburashka - Wikipedia    Cheburashka is a character invented by the writer Eduard Uspensky in 1966 as one of the main characters in the book “Crocodile Gena and His Friends” and its sequels.</t>
  </si>
  <si>
    <t>Cheburashka    Cheburashka (film) - Wikipedia     “Cheburashka” is a 2022 Russian family comedy film directed by Dmitry Dyachenko about a long-eared animal named Cheburashka. The film is not...</t>
  </si>
  <si>
    <t>Cheburashka    Cheburashka (film 2023) watch online - Evie    The film Cheburashka (2023) can be watched in the online cinema Evie! The exciting film Cheburashka is available in good quality for viewing on all platforms...</t>
  </si>
  <si>
    <t>Cheburashka    Film Cheburashka (Russia, 2022) watch online - Afisha.ru    In the plot, Cheburashka ends up in a small town by the sea, where he meets Gena, a boy who cannot speak, a strange woman who wants to buy him for...</t>
  </si>
  <si>
    <t>Cheburashka    Cheburashka (cartoon, 2013) - Wikipedia    Cheburashka (Japanese: チェブラーシカ Tebura:sika, Russian: “Cheburashka”) is a full-length puppet animated film directed by Makoto Nakamura, in Russian...</t>
  </si>
  <si>
    <t xml:space="preserve">Cheburashka Cheburashka: history of appearance, creators and quotes from the hero    </t>
  </si>
  <si>
    <t>Cheburashka    Cheburashka, 2013 - watch the cartoon online in ...    The prologue is the story of Cheburashka’s appearance in an orange box, his acquaintance with the crocodile Gena and making friends. “Cheburashka and the Circus” - the story of...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</si>
  <si>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Cheburashka     The secret of “Cheburashka”: why the film with Garmash beats ...    25 Jan. 2023 —</t>
  </si>
  <si>
    <t>Cheburashka    Cheburashka | Soyuzmultfilm wiki | Fandom    Cheburashka is an unknown animal that came to people from the tropics. He is the hero of the Soyuzmultfilm cartoon series and one of the main symbols of the studio.    Wiki Index | | Fandom FANDOM Fan Central BETA Games Anime Movies TV Video Wikis Explore Wikis Community Central Start a Wiki We couldn't find an English wiki at this URL but here are related wikis in other languages ​​This is the list of communities under this domain Russian · Soyuzmultfilm wiki Do you want to start the wiki under the domain? Create it now Start a Wiki Check out fandom.com Fandom University Explore properties Fandom Muthead Fanatical Follow Us Overview What is Fandom? About Careers Press Contact Terms of Use Privacy Policy Global Sitemap Local Sitemap Community Community Central Support Help Do Not Sell or Share My Personal Information Advertise Media Kit Contact Fandom Apps Take your favorite fandoms with you and never miss a beat. is a FANDOM Lifestyle Community. View Mobile Site</t>
  </si>
  <si>
    <t>Cheburashka      Cartoon Cheburashka (2013) - Evie      Nan</t>
  </si>
  <si>
    <t>Cheburashka      Cheburashka - Wiktionary      Nan</t>
  </si>
  <si>
    <t>Cheburashka     Watch “Cheburashka (2023) - Online cinema PREMIER  December 31 2022 —      Online cinema PREMIER</t>
  </si>
  <si>
    <t>Cheburashka    Chebi: My Fluffy Friend (2023) - IMDb    Chebi: My Fluffy Friend: Directed by Dmitriy Dyachenko. With Sergey Garmash, Ekaterina Cherednik, Olga Kuzmina, Polina Maksimova. What if Cheburashka really...</t>
  </si>
  <si>
    <t>Cheburashka    Cheburashka    Cheburashka is a character invented by the writer Eduard Uspensky in 1966 as one of the main characters in the book “Crocodile Gena and His Friends” and its sequels.</t>
  </si>
  <si>
    <t>Cheburashka    Cheburashka, 2022 - description, interesting facts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</si>
  <si>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Cheburashka    Film Cheburashka (Russia, 2022) watch online    In the plot, Cheburashka ends up in a small town by the sea, where he meets Gena, a boy who cannot speak, a strange woman who wants to buy him for...</t>
  </si>
  <si>
    <t>Cheburashka    Cheburashka (cartoon, 2013)    Cheburashka (Japanese: チェブラーシカ Tebura:sika, Russian: “Cheburashka”) is a full-length puppet animated film directed by Makoto Nakamura, in Russian...</t>
  </si>
  <si>
    <t>Cheburashka    Cheburashka | Soyuzmultfilm wiki    Cheburashka is an unknown animal that came to people from the tropics. He is the hero of the Soyuzmultfilm cartoon series and one of the main symbols of the studio.    Wiki Index | | Fandom FANDOM Fan Central BETA Games Anime Movies TV Video Wikis Explore Wikis Community Central Start a Wiki We couldn't find an English wiki at this URL but here are related wikis in other languages ​​This is the list of communities under this domain Russian · Soyuzmultfilm wiki Do you want to start the wiki under the domain? Create it now Start a Wiki Check out fandom.com Fandom University Explore properties Fandom Muthead Fanatical Follow Us Overview What is Fandom? About Careers Press Contact Terms of Use Privacy Policy Global Sitemap Local Sitemap Community Community Central Support Help Do Not Sell or Share My Personal Information Advertise Media Kit Contact Fandom Apps Take your favorite fandoms with you and never miss a beat. is a FANDOM Lifestyle Community. View Mobile Site</t>
  </si>
  <si>
    <t>Cheburashka      Cartoon Cheburashka (2013) watch online in ...</t>
  </si>
  <si>
    <t>Cheburashka      Show Cheburashka. Buy tickets at no extra charge for the whole family</t>
  </si>
  <si>
    <t>Cheburashka      Cheburashka</t>
  </si>
  <si>
    <t>Cheburashka     Watch “Cheburashka (2023)” in good quality ...    31 Dec. 2022 —     Online cinema PREMIER</t>
  </si>
  <si>
    <t>electronic diary    Personal account of citizens of the Kemerovo region    Personal account of citizens of the Kemerovo region, providing services in the field of education: submitting an application to a kindergarten, school, viewing an electronic diary,</t>
  </si>
  <si>
    <t>electronic diary    Electronic journal - TsOP KHMAO - Admhmao         TsOP KHMAO - YUGRA - Electronic journal - TsOP KHMAO - UGRA - Digital platformTsOP KHMAO - YUGRYDigital educational platform Khanty⁠-⁠Mansiysk Autonomous Okrug - Ugra Service entrance   TsOP KHMAO - YUGRYDigital educational platform Khanty⁠-⁠ Mansi Autonomous districts - UgraSite Department of Education and Science Khanty-Mansiysk Autonomous Okrug - Ugra Loading...© 2017–2023 Digital educational platform of the Khanty-Mansiysk Autonomous Okrug - Ugra 8 800 100-58-67 Help DeskLoading...</t>
  </si>
  <si>
    <t>electronic diary    Dnevnik.ru         Dnevnik.ruAbout the companyOpportunitiesSupport Login Connect OO Dnevnik.ru is a digital educational platform that makes education in Russia high-quality and affordable! For teachers Get access to advanced technologies for automating the educational process, online education tools and modern ways of communicating with parents. More details Parents Get closer to your child with Dnevnik.ru! Follow your child’s successes and hobbies and actively participate in the educational process together! Read more Students of Dnevnik.ru will like it! Everything you need for extracurricular activities, creative victories and self-expression is always at hand. More details For government agencies Dnevnik.ru for educational authorities is an online monitoring tool and an effective channel for prompt information to subordinate organizations. More detailsTeachersParentsStudentsGovernment agencies EVERY SECOND SCHOOL IN RUSSIA IS WITH US!925,873 teachers 8,980,324 students 4,997,995 parents. The most active schoolsAbout the companyAbout usManagementNewsContactsOpportunitiesTeachersParentsStudentsGovernment agencies Support Help desk portal Russian RussianEnglishEspañolPortuguêsFrançais Connect OO Information posted in the Unified Educational Network "Dnevnik.ru" refers to information products permitted for circulation for children over the age of six in accordance with Art. 8 Federal Law No. 436 dated December 29, 2010 User Agreement© 2007-2023 Dnevnik.ru LLC</t>
  </si>
  <si>
    <t>electronic diary    Network City. Education         ﻿Network City. Education</t>
  </si>
  <si>
    <t>electronic diary    Login - dnevnik - Dnevnik.ru</t>
  </si>
  <si>
    <t>electronic diary    Electronic diary    Electronic diaries and magazines · 1. Select the format and course of study. · 2. Wait until you receive the link to the entrance test, it will come to your personal account...    UsernamePasswordShowLoginForgot your password?Login through the public service portalLogin Dear Teachers! Here you can download the mobile application for teachers “My Journal” for the Android platform. Technical support Telephone (Mon-Thurs 8:00-17:00; Fri 8:00-16:00; break 12:00-13:00) : 88001009961Email (recommended method of contact): support@ris61edu.ruOrganizational and technical support website: support.ris61edu.ruElectronic diaries and magazinesLink to the manual for working with the updated design:User GuideLinks to materials on personal data provided by Roskomnadzor for review:Portal "Personal" data "Personal data - new oil" About the "Code of the Future" project On July 26, 2023, the Federal State Information System "Unified Portal of State and Municipal Services (Functions)" (hereinafter referred to as State Services) began accepting applications for participation in the "Code of the Future" project on teaching modern programming languages ​​in the 2023-2024 academic year. Students in grades 8-11 of general education organizations and students in secondary vocational education programs can take part in the project. You can enroll in one of the courses from leading IT companies. As a result of completing the course, you will gain knowledge programming languages ​​such as Python Java C++ C# 1C Lua SQL JavaScript and other languages. Training takes place both online and offline. How to apply for participation in the program: 1. Select the format and course of study. The application can be submitted by a school/college student, his parent or legal representative.2. Wait until you receive the link to the entrance test; it will be sent to your personal account after the application has been verified.3. Complete the entrance test within 10 business days of receiving the link.4. Enter into an agreement with an educational organization for free training. Having successfully passed the final exams, those who completed the training will receive a certificate of completion of the course. You can apply for training until September 30, 2023.</t>
  </si>
  <si>
    <t>electronic diary      Electronic diary      30 Oct. 2023 —</t>
  </si>
  <si>
    <t>electronic diary    Electronic diary and journal    “Electronic diary and journal” is a service that allows participants in the educational process to receive information about educational schedules, current and final...</t>
  </si>
  <si>
    <t>electronic diary    AIS education - Diary    Authorization. Login. Password. Login Login through State Services · What is an electronic diary and how to use it. Public services. I have a question about the operation of the electronic...    AIS Education - Diary Your browser must support javascript to work with the resource.</t>
  </si>
  <si>
    <t>electronic diary    Electronic journal - Network City. Education         ﻿Network City. Education</t>
  </si>
  <si>
    <t>electronic diary    Electronic school         ﻿Electronic school</t>
  </si>
  <si>
    <t>electronic diary      Electronic diary of a schoolchild: how ...       September 29 2023 —</t>
  </si>
  <si>
    <t>YouTube    YouTube: Home         YouTubeAboutPressCopyrightContact usCreatorsAdvertiseDevelopersTermsPrivacyPolicy &amp; SafetyHow YouTube worksTest new featuresNFL Sunday Ticket© 2023 Google LLC</t>
  </si>
  <si>
    <t>YouTube    YouTube    YouTube (IPA: [ˈjuːt(j)uːb], “youtube”, “youtube”, “youtube”) is a video hosting service that provides users with video storage, delivery and display services.</t>
  </si>
  <si>
    <t>YouTube    YouTube Russia    On the official YouTube Russia channel we publish project announcements, playlists from our partners, as well as live broadcasts of major international music...    YouTubeAboutPressCopyrightContact usCreatorsAdvertiseDevelopersTermsPrivacyPolicy &amp; SafetyHow YouTube worksTest new featuresNFL Sunday Ticket© 2023 Google LLC</t>
  </si>
  <si>
    <t>YouTube    Applications on Google Play – YouTube    Install the official YouTube app for Android. You can watch videos that are talked about all over the world, upload your videos, subscribe to...</t>
  </si>
  <si>
    <t>YouTube    YouTube - App Store    Install the official YouTube app for iOS devices. You will be able to watch the video. which are talked about all over the world, upload your videos,...</t>
  </si>
  <si>
    <t>YouTube    YouTube Community Guidelines - Help    YouTube prohibits discriminatory speech, exploitative behavior, harassment and violence, and content that promotes...</t>
  </si>
  <si>
    <t>YouTube    Help - YouTube    The official YouTube help center for product tips, tutorials, and frequently asked questions.</t>
  </si>
  <si>
    <t>YouTube    YouTube Kids    The "YouTube Kids" service was specially created so that young viewers would be interested in YouTube, and parents could be sure that their kids have access to ...    YouTube KidsTo use YouTube Kids please get a parent to update your browser.</t>
  </si>
  <si>
    <t>YouTube    YouTube Blog — Official Blog for Latest YouTube News ...    Explore our official blog for the latest news about YouTube, creator and artist profiles, culture and trends analyses, and behind-the-scenes insights.</t>
  </si>
  <si>
    <t>YouTube    YouTube - the latest and fresh news today and ...    YouTube will abandon the stories format from June 26. Video hosting YouTube will abandon the Stories format from June 26. This is stated in a message from the American corporation...</t>
  </si>
  <si>
    <t>YouTube    About YouTube - YouTube    YouTube's mission is to give everyone a voice and show them the world. Learn about our brand, community, careers and more.</t>
  </si>
  <si>
    <t>YouTube      Blocking YouTube      3 days ago —</t>
  </si>
  <si>
    <t>YouTube    YouTube Data API Overview</t>
  </si>
  <si>
    <t>YouTube    News release at 18:00 November 11, 2023. ...    59 minutes ago —     Channel One: News. Video. TV program. Live broadcastHomeWatch on First ChannelNewsShowsFilms and TV seriesSportTV programnews.1tv.ruWatch other TV channelsTV programCategories Watch on First News releasesAll news releases Title is loadingShow moreWatch without advertising TV projects of Channel One Special projects of Channel One CollapseOnline cinemaBroadcasting abroadYou can place it on your website or on social networks er of Channel One. To do this, click on the “Share” button in the upper right corner of the player and copy the embed code. No additional approval is required. Online broadcasting of the broadcast stream on the Internet without approval is strictly prohibited. Application for organizing a broadcast© 1996 - 2023 Channel One. All rights reserved. User AgreementChannel One. All rights reserved. Broadcasting of all-Russian mandatory public TV channels and TV channels that have received the right to carry out on-air digital terrestrial broadcasting using positions in multiplexes throughout the Russian Federation is carried out continuously around the clock without charging a fee on the TV Channels page.</t>
  </si>
  <si>
    <t>YouTube    YouTube will refuse stories    May 26, 2023 —</t>
  </si>
  <si>
    <t>YouTube    YouTube Shorts or how to quickly start on YouTube?    2 ways to increase the reach of YouTube Shorts. Creating interesting and attractive videos. The first and most important way to promote your channel using Shorts...</t>
  </si>
  <si>
    <t>YouTube    YouTube: Watch, Listen, Stream 12+ - App Store    Get the official YouTube app on iPhones and iPads. See what the world is watching -- from the hottest music videos to what's popular in gaming, fashion, ...</t>
  </si>
  <si>
    <t>YouTube    YouTube - Apps on Google Play    Get the official YouTube app on Android phones and tablets. See what the world is watching -- from the hottest music videos to what's popular in gaming, ...</t>
  </si>
  <si>
    <t>YouTube    YouTube    YouTube is an online video sharing and social media platform headquartered in San Bruno, California, United States. Accessible worldwide, it was launched on ...</t>
  </si>
  <si>
    <t>YouTube    YouTube Help    Official YouTube Help Center where you can find tips and tutorials on using YouTube and other answers to frequently asked questions.</t>
  </si>
  <si>
    <t>YouTube    YouTube: The path to success. Part 1. How to get loads of likes and ...         Google BooksSearchImagesMapsPlayYouTubeNewsGmailDriveMoreCalendarTranslateMobileBooksShoppingBloggerFi cePhotosDocsEven more »Account OptionsSign inBooksSearch the world's most comprehensive index of full-text books.My libraryPublishersAboutPrivacyTermsHelp</t>
  </si>
  <si>
    <t>YouTube    YouTube. Way to success. How to get loads of likes and tons of money         Google BooksSearchImagesMapsPlayYouTubeNewsGmailDriveMoreCalendarTranslateMobileBooksShoppingBloggerFi cePhotosDocsEven more »Account OptionsSign inBooksSearch the world's most comprehensive index of full-text books.My libraryPublishersAboutPrivacyTermsHelp</t>
  </si>
  <si>
    <t>YouTube    30 problems YouTube masters and ways to solve them         Google BooksSearchImagesMapsPlayYouTubeNewsGmailDriveMoreCalendarTranslateMobileBooksShoppingBloggerFi cePhotosDocsEven more »Account OptionsSign inBooksSearch the world's most comprehensive index of full-text books.My libraryPublishersAboutPrivacyTermsHelp</t>
  </si>
  <si>
    <t>YouTube    YouTube | Google for Developers    Let users search YouTube content, upload videos, create and manage playlists, and more. Overview Reference Code samples...</t>
  </si>
  <si>
    <t>YouTube    New YouTube. Way to success. How to get loads of likes and ...         Google BooksSearchImagesMapsPlayYouTubeNewsGmailDriveMoreCalendarTranslateMobileBooksShoppingBloggerFi cePhotosDocsEven more »Account OptionsSign inBooksSearch the world's most comprehensive index of full-text books.My libraryPublishersAboutPrivacyTermsHelp</t>
  </si>
  <si>
    <t>YouTube    Set up YouTube Kids    YouTube Kids provides a more contained environment for kids to explore YouTube and makes it easier for parents and caregivers to guide their journey.    YouTube KidsTo use YouTube Kids please get a parent to update your browser.</t>
  </si>
  <si>
    <t>YouTube    Sign in to continue to YouTube    to continue to YouTube. Email or phone. Forgot email? CAPTCHA image of text used to distinguish humans from robots. Type the text you hear or see.    Sign in - Google AccountsSign inUse your Google AccountEmail or phoneForgot email?Not your computer? Use a private browsing window to sign in. Learn moreNextCreate accountAfrikaansazərbaycanbosanskicatalàČeštinaCymraegDanskDeutscheestiEnglish (United Kingdom)English (United States)Español (España)Español (Latinoamérica)euskaraFilipinoFrançais (Canada)Français (France) GaeilgegalegoHrvatskiIndonesiaisiZuluíslenskaItalianoKiswahililatviešulietuviųmagyarMelayuNederlandsnorsko'zbekpolskiPortuguês (Brasil)Português (Portugal)românăshqipSlovenčinaslovenščinasrpski (latinica)SuomiSvens kaTiếng ViệtTürkçeΕλληνικάBelarusianBulgarianKyrgyzKazakh TilimMacedonianMongolRussianSrpskiy (Cyrillic)Ukrainianქართულიհայերե ն About us​ ನ್ನಡമലയാളംසිංහලไทยລາວမြန်မာខ្មែរPORTAL HelpPrivacyTerms</t>
  </si>
  <si>
    <t>YouTube    YouTube for Artists - Where Music Grows    Top Songs on YouTube · 1. Lil Mabu x ChriseanR... Lil Mabu · 2. SZA - Snooze (Offici... SZA · 3. Toosii - Favorite So... Toosii2x · 4. Doja Cat - Paint The...</t>
  </si>
  <si>
    <t>YouTube    Create a YouTube channel    Create a personal channel · Sign in to YouTube on a computer or the mobile site. · Click your profile picture "" and then Create a channel. · You'll be asked to...</t>
  </si>
  <si>
    <t>YouTube    YouTube Icon    YouTube icon in the Solid style. Make a bold statement in small sizes..Available now in Font Awesome 6.    Font Awesome</t>
  </si>
  <si>
    <t>Yandex    Yandex    Yandex is a search engine and Internet portal. Internet search, Alice and other services: ya.ru has maps, transport, weather, music, taxi, translator,...    YandexLoginFindMarketGamesMapsKinopoiskTranslatorAuto.ruTravelMusicWorkshopAll0°Courses of the Central Bank of the Russian FederationUSD 9205EUR 9832Ann ArborAll servicesClose menuServicesBusinessMarketGamesCar youKinopoiskTranslatorAuto.ruTravelVideoPicturesMusicTV programReal EstateYandex PosterMetroFoodWorkshopYandex TasksBookmateDiskDeliveryDriveNotesHealthCalendarMetricsPlusWeatherSearch through archivesSearch through productsHelp nearbyMailTutorTeleconferenceServicesYandex TextbookYandex CloudShow allBusinessSearch by B2B productsAll Yandex servicesPhone applications{"static":"2023-11-11-416.1""content":"big""domain":"ru"}</t>
  </si>
  <si>
    <t>Yandex    Convenient Yandex Mail with anti-spam protection    Get mail on Yandex: reliable protection against spam and viruses, sorting inboxes by category, highlighting letters from people, 5 GB on Yandex Disk for free, ...    AuthorizationYou must enable JavaScriptFor this site to work correctly, please enable JavaScript.Log in with Yandex ID to go to MailMailPhoneEnter your IDCreate IDLog inCreate IDLogin using QR codeMail.ruOdnoklassnikiTwitterYandex ID is the key to all services Find out moreUse incognito mode on someone else's computerruEnHelp and support© 2001-2023 Yandex</t>
  </si>
  <si>
    <t>Yandex    Yandex Company    Official website of the Yandex company. Latest news about Yandex services: Alice, search, smart devices, maps, weather, taxi, translator, browser and others...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</si>
  <si>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Yandex    Download Yandex Browser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</si>
  <si>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Yandex    Online games for free and without installation for every taste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</si>
  <si>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Yandex    Zen         Oh! Confirm that you sent the requests and not a robot. We are very sorry, but the requests from your device look like automatic ones. Why might this happen?You have JavaScript disabled. Upon clicking, you will be directed to additional verification. How to enable JavaScript?I'm not a robotClick to continueSmartCaptcha by Yandex CloudSmartCaptcha requires user verificationIf you have any problems please use the feedback form</t>
  </si>
  <si>
    <t>Yandex    Yandex - all news and articles    Yandex · 11:03. The government revealed details of fi cing preferential mortgages · 10:55. The source reported an explosion before the cars derailed in...</t>
  </si>
  <si>
    <t>Yandex    Yandex     “Yandex” is a Russian transnational company in the information technology industry, whose parent legal entity is registered in the Netherlands, ...</t>
  </si>
  <si>
    <t>Yandex    Yandex    The main goal of Yandex is to solve people's problems. Any tasks: online and in the real world, everyday and rare, everyday and scientific, for the third grade and for the fifth year.     VK.com | VKYour browser is out of dateThis may cause VK to work slowly or experience errors.Update your browser or install one of the following:ChromeOperaFirefox</t>
  </si>
  <si>
    <t>Yandex    Yandex    On this channel we show and tell how Yandex lives and works. Every day, our technologies and services solve many problems for people.    YouTubeAboutPressCopyrightContact usCreatorsAdvertiseDevelopersTermsPrivacyPolicy &amp; SafetyHow YouTube worksTest new featuresNFL Sunday Ticket© 2023 Google LLC</t>
  </si>
  <si>
    <t>Yandex    Yandex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</si>
  <si>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Yandex    Yandex Start - Applications on Google Play    Description. arrow forward. In the Yandex Start application, everything you need is on one screen and any page can be made the main one. Always have convenient search, weather and...</t>
  </si>
  <si>
    <t>Yandex    Yandex (@yandex) • Instagram photos and videos    155K Followers, 19 Following, 1612 Posts - See Instagram photos and videos from Yandex (@yandex)    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t>
  </si>
  <si>
    <t>Yandex    Yandex - news and information about the company    Yandex and Sberbank announced the division of assets. They have two joint ventures - Yandex.Money and Yandex.Market · Yandex refused to publish...</t>
  </si>
  <si>
    <t>Yandex   Yandex, Moscow - How we do Yandex / Articles / Habr  November 1. 2023 —</t>
  </si>
  <si>
    <t>Yandex    Yandex introduced the smart speaker “Midi Station”    3 days ago -</t>
  </si>
  <si>
    <t>Yandex    Buy Yandex shares (YNDX)    As of 11/10/2023, the cost of one Yandex share is 2592.4 rubles. The transaction to purchase an asset is carried out on the Moscow Exchange. Long trading available...</t>
  </si>
  <si>
    <t>Yandex    Yandex Go - ordering a taxi, delivery, goods and food, rental ...    Yandex Go is an application for ordering a taxi, food, groceries, goods, parcel delivery, car rental and viewing transport schedules.</t>
  </si>
</sst>
</file>

<file path=xl/styles.xml><?xml version="1.0" encoding="utf-8"?>
<styleSheet xmlns="http://schemas.openxmlformats.org/spreadsheetml/2006/main" xmlns:x14ac="http://schemas.microsoft.com/office/spreadsheetml/2009/9/ac" xmlns:mc="http://schemas.openxmlformats.org/markup-compatibility/2006">
  <fonts count="5">
    <font>
      <sz val="10.0"/>
      <color rgb="FF000000"/>
      <name val="Arial"/>
      <scheme val="minor"/>
    </font>
    <font>
      <color theme="1"/>
      <name val="Arial"/>
      <scheme val="minor"/>
    </font>
    <font>
      <u/>
      <color rgb="FF0000FF"/>
    </font>
    <font>
      <u/>
      <color rgb="FF0000FF"/>
    </font>
    <font>
      <u/>
      <color rgb="FF0000FF"/>
    </font>
  </fonts>
  <fills count="3">
    <fill>
      <patternFill patternType="none"/>
    </fill>
    <fill>
      <patternFill patternType="lightGray"/>
    </fill>
    <fill>
      <patternFill patternType="solid">
        <fgColor rgb="FFFFF2CC"/>
        <bgColor rgb="FFFFF2CC"/>
      </patternFill>
    </fill>
  </fills>
  <borders count="1">
    <border/>
  </borders>
  <cellStyleXfs count="1">
    <xf borderId="0" fillId="0" fontId="0" numFmtId="0" applyAlignment="1" applyFont="1"/>
  </cellStyleXfs>
  <cellXfs count="10">
    <xf borderId="0" fillId="0" fontId="0" numFmtId="0" xfId="0" applyAlignment="1" applyFont="1">
      <alignment readingOrder="0" shrinkToFit="0" vertical="bottom" wrapText="0"/>
    </xf>
    <xf borderId="0" fillId="0" fontId="1" numFmtId="0" xfId="0" applyAlignment="1" applyFont="1">
      <alignment readingOrder="0"/>
    </xf>
    <xf borderId="0" fillId="2" fontId="1" numFmtId="0" xfId="0" applyAlignment="1" applyFill="1" applyFont="1">
      <alignment readingOrder="0"/>
    </xf>
    <xf borderId="0" fillId="0" fontId="1" numFmtId="0" xfId="0" applyAlignment="1" applyFont="1">
      <alignment readingOrder="0" shrinkToFit="0" wrapText="0"/>
    </xf>
    <xf borderId="0" fillId="0" fontId="2" numFmtId="0" xfId="0" applyAlignment="1" applyFont="1">
      <alignment readingOrder="0"/>
    </xf>
    <xf borderId="0" fillId="0" fontId="1" numFmtId="0" xfId="0" applyFont="1"/>
    <xf borderId="0" fillId="0" fontId="1" numFmtId="0" xfId="0" applyAlignment="1" applyFont="1">
      <alignment shrinkToFit="0" wrapText="0"/>
    </xf>
    <xf borderId="0" fillId="0" fontId="3" numFmtId="0" xfId="0" applyAlignment="1" applyFont="1">
      <alignment shrinkToFit="0" wrapText="0"/>
    </xf>
    <xf borderId="0" fillId="0" fontId="4" numFmtId="0" xfId="0" applyFont="1"/>
    <xf borderId="0" fillId="2" fontId="1" numFmtId="0" xfId="0" applyFont="1"/>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392" Type="http://schemas.openxmlformats.org/officeDocument/2006/relationships/hyperlink" Target="https://vk.cc/" TargetMode="External"/><Relationship Id="rId391" Type="http://schemas.openxmlformats.org/officeDocument/2006/relationships/hyperlink" Target="http://vk.cc" TargetMode="External"/><Relationship Id="rId390" Type="http://schemas.openxmlformats.org/officeDocument/2006/relationships/hyperlink" Target="http://books.google.com" TargetMode="External"/><Relationship Id="rId1" Type="http://schemas.openxmlformats.org/officeDocument/2006/relationships/hyperlink" Target="https://mundfish.com/" TargetMode="External"/><Relationship Id="rId2" Type="http://schemas.openxmlformats.org/officeDocument/2006/relationships/hyperlink" Target="https://store.steampowered.com/app/668580/Atomic_Heart/" TargetMode="External"/><Relationship Id="rId3" Type="http://schemas.openxmlformats.org/officeDocument/2006/relationships/hyperlink" Target="http://store.steampowered.com" TargetMode="External"/><Relationship Id="rId4" Type="http://schemas.openxmlformats.org/officeDocument/2006/relationships/hyperlink" Target="https://atomicheart.vkplay.ru/" TargetMode="External"/><Relationship Id="rId9" Type="http://schemas.openxmlformats.org/officeDocument/2006/relationships/hyperlink" Target="http://ru.wikipedia.org" TargetMode="External"/><Relationship Id="rId385" Type="http://schemas.openxmlformats.org/officeDocument/2006/relationships/hyperlink" Target="http://books.google.com" TargetMode="External"/><Relationship Id="rId384" Type="http://schemas.openxmlformats.org/officeDocument/2006/relationships/hyperlink" Target="https://books.google.com/books?id=EoEcEAAAQBAJ&amp;pg=PT4&amp;lpg=PT4&amp;dq=%D0%B2%D0%BA&amp;source=bl&amp;ots=EDc8QywpYu&amp;sig=ACfU3U1hJhnAwS8i7ruApRXFtMU8bk2u7w&amp;hl=ru&amp;sa=X&amp;ved=2ahUKEwi8rsOGiruCAxU_rokEHRLQC1MQ6AF6BAhSEAM" TargetMode="External"/><Relationship Id="rId383" Type="http://schemas.openxmlformats.org/officeDocument/2006/relationships/hyperlink" Target="http://m.vk.ru" TargetMode="External"/><Relationship Id="rId382" Type="http://schemas.openxmlformats.org/officeDocument/2006/relationships/hyperlink" Target="https://m.vk.ru/" TargetMode="External"/><Relationship Id="rId5" Type="http://schemas.openxmlformats.org/officeDocument/2006/relationships/hyperlink" Target="http://atomicheart.vkplay.ru" TargetMode="External"/><Relationship Id="rId389" Type="http://schemas.openxmlformats.org/officeDocument/2006/relationships/hyperlink" Target="https://books.google.com/books?id=59vEDwAAQBAJ&amp;pg=PT9&amp;lpg=PT9&amp;dq=%D0%B2%D0%BA&amp;source=bl&amp;ots=LsmgMOS7ch&amp;sig=ACfU3U3W2O_uI_ZgbKXfBuFznYeJ13WoNA&amp;hl=ru&amp;sa=X&amp;ved=2ahUKEwi8rsOGiruCAxU_rokEHRLQC1MQ6AF6BAg6EAM" TargetMode="External"/><Relationship Id="rId6" Type="http://schemas.openxmlformats.org/officeDocument/2006/relationships/hyperlink" Target="https://en.wikipedia.org/wiki/Atomic_Heart" TargetMode="External"/><Relationship Id="rId388" Type="http://schemas.openxmlformats.org/officeDocument/2006/relationships/hyperlink" Target="https://team.vk.company/vacancy/" TargetMode="External"/><Relationship Id="rId7" Type="http://schemas.openxmlformats.org/officeDocument/2006/relationships/hyperlink" Target="http://en.wikipedia.org" TargetMode="External"/><Relationship Id="rId387" Type="http://schemas.openxmlformats.org/officeDocument/2006/relationships/hyperlink" Target="http://www.figma.com" TargetMode="External"/><Relationship Id="rId8" Type="http://schemas.openxmlformats.org/officeDocument/2006/relationships/hyperlink" Target="https://ru.wikipedia.org/wiki/Atomic_Heart" TargetMode="External"/><Relationship Id="rId386" Type="http://schemas.openxmlformats.org/officeDocument/2006/relationships/hyperlink" Target="https://www.figma.com/@vk" TargetMode="External"/><Relationship Id="rId381" Type="http://schemas.openxmlformats.org/officeDocument/2006/relationships/hyperlink" Target="https://m.vk.ru/" TargetMode="External"/><Relationship Id="rId380" Type="http://schemas.openxmlformats.org/officeDocument/2006/relationships/hyperlink" Target="http://en.wikipedia.org" TargetMode="External"/><Relationship Id="rId379" Type="http://schemas.openxmlformats.org/officeDocument/2006/relationships/hyperlink" Target="https://en.wikipedia.org/wiki/VK_(service)" TargetMode="External"/><Relationship Id="rId374" Type="http://schemas.openxmlformats.org/officeDocument/2006/relationships/hyperlink" Target="https://www.finam.ru/quote/moex/vkco/" TargetMode="External"/><Relationship Id="rId373" Type="http://schemas.openxmlformats.org/officeDocument/2006/relationships/hyperlink" Target="http://www.lokovolley.com" TargetMode="External"/><Relationship Id="rId372" Type="http://schemas.openxmlformats.org/officeDocument/2006/relationships/hyperlink" Target="https://www.lokovolley.com/" TargetMode="External"/><Relationship Id="rId371" Type="http://schemas.openxmlformats.org/officeDocument/2006/relationships/hyperlink" Target="http://vk.me" TargetMode="External"/><Relationship Id="rId378" Type="http://schemas.openxmlformats.org/officeDocument/2006/relationships/hyperlink" Target="http://apps.apple.com" TargetMode="External"/><Relationship Id="rId377" Type="http://schemas.openxmlformats.org/officeDocument/2006/relationships/hyperlink" Target="https://apps.apple.com/us/app/vk-social-network-messenger/id564177498" TargetMode="External"/><Relationship Id="rId376" Type="http://schemas.openxmlformats.org/officeDocument/2006/relationships/hyperlink" Target="http://play.google.com" TargetMode="External"/><Relationship Id="rId375" Type="http://schemas.openxmlformats.org/officeDocument/2006/relationships/hyperlink" Target="https://play.google.com/store/apps/details?id=com.vkontakte.android&amp;hl=en_US" TargetMode="External"/><Relationship Id="rId396" Type="http://schemas.openxmlformats.org/officeDocument/2006/relationships/hyperlink" Target="http://ru.wiktionary.org" TargetMode="External"/><Relationship Id="rId395" Type="http://schemas.openxmlformats.org/officeDocument/2006/relationships/hyperlink" Target="https://ru.wiktionary.org/wiki/%D0%92%D0%9A" TargetMode="External"/><Relationship Id="rId394" Type="http://schemas.openxmlformats.org/officeDocument/2006/relationships/hyperlink" Target="https://bcs-express.ru/novosti-i-analitika/vyruchka-vk-za-iii-kvartal-pokazala-sil-nyi-rost-mnenie-analitikov" TargetMode="External"/><Relationship Id="rId393" Type="http://schemas.openxmlformats.org/officeDocument/2006/relationships/hyperlink" Target="http://vk.cc" TargetMode="External"/><Relationship Id="rId399" Type="http://schemas.openxmlformats.org/officeDocument/2006/relationships/hyperlink" Target="https://books.google.com/books?id=OoEcEAAAQBAJ&amp;pg=PT14&amp;lpg=PT14&amp;dq=%D0%B2%D0%BA&amp;source=bl&amp;ots=bbz2XuSPqX&amp;sig=ACfU3U0U5ZeAqHQdzyzoT_QgAtzV3EEdRg&amp;hl=ru&amp;sa=X&amp;ved=2ahUKEwjdmLn6jbuCAxWZlYkEHf8EA4AQ6AF6BAgnEAM" TargetMode="External"/><Relationship Id="rId398" Type="http://schemas.openxmlformats.org/officeDocument/2006/relationships/hyperlink" Target="http://books.google.com" TargetMode="External"/><Relationship Id="rId397" Type="http://schemas.openxmlformats.org/officeDocument/2006/relationships/hyperlink" Target="https://books.google.com/books?id=JoEcEAAAQBAJ&amp;pg=PA8&amp;lpg=PA8&amp;dq=%D0%B2%D0%BA&amp;source=bl&amp;ots=jTk2omWd8G&amp;sig=ACfU3U3BoWkPJHuVR6yf7crW3ubmJfZYAw&amp;hl=ru&amp;sa=X&amp;ved=2ahUKEwjdmLn6jbuCAxWZlYkEHf8EA4AQ6AF6BAglEAM" TargetMode="External"/><Relationship Id="rId1730" Type="http://schemas.openxmlformats.org/officeDocument/2006/relationships/hyperlink" Target="https://cop.admhmao.ru/elk" TargetMode="External"/><Relationship Id="rId1731" Type="http://schemas.openxmlformats.org/officeDocument/2006/relationships/hyperlink" Target="http://cop.admhmao.ru" TargetMode="External"/><Relationship Id="rId1732" Type="http://schemas.openxmlformats.org/officeDocument/2006/relationships/hyperlink" Target="https://gosuslugi.pnzreg.ru/lk/" TargetMode="External"/><Relationship Id="rId1733" Type="http://schemas.openxmlformats.org/officeDocument/2006/relationships/hyperlink" Target="https://dnevnik.ru/" TargetMode="External"/><Relationship Id="rId1734" Type="http://schemas.openxmlformats.org/officeDocument/2006/relationships/hyperlink" Target="http://dnevnik.ru" TargetMode="External"/><Relationship Id="rId1735" Type="http://schemas.openxmlformats.org/officeDocument/2006/relationships/hyperlink" Target="https://sgo.mari-el.gov.ru/" TargetMode="External"/><Relationship Id="rId1736" Type="http://schemas.openxmlformats.org/officeDocument/2006/relationships/hyperlink" Target="http://sgo.mari-el.gov.ru" TargetMode="External"/><Relationship Id="rId1737" Type="http://schemas.openxmlformats.org/officeDocument/2006/relationships/hyperlink" Target="https://schooln169.edusite.ru/p168aa1.html" TargetMode="External"/><Relationship Id="rId1738" Type="http://schemas.openxmlformats.org/officeDocument/2006/relationships/hyperlink" Target="https://sgo.yanao.ru/" TargetMode="External"/><Relationship Id="rId1739" Type="http://schemas.openxmlformats.org/officeDocument/2006/relationships/hyperlink" Target="http://edupk.ru/dnevnik/" TargetMode="External"/><Relationship Id="rId1720" Type="http://schemas.openxmlformats.org/officeDocument/2006/relationships/hyperlink" Target="https://dnevnik2.petersburgedu.ru/" TargetMode="External"/><Relationship Id="rId1721" Type="http://schemas.openxmlformats.org/officeDocument/2006/relationships/hyperlink" Target="https://schools48.ru/" TargetMode="External"/><Relationship Id="rId1722" Type="http://schemas.openxmlformats.org/officeDocument/2006/relationships/hyperlink" Target="https://e-school.ryazangov.ru/" TargetMode="External"/><Relationship Id="rId1723" Type="http://schemas.openxmlformats.org/officeDocument/2006/relationships/hyperlink" Target="https://sgo.volganet.ru/" TargetMode="External"/><Relationship Id="rId1724" Type="http://schemas.openxmlformats.org/officeDocument/2006/relationships/hyperlink" Target="https://school.vip.edu35.ru/auth/login-page" TargetMode="External"/><Relationship Id="rId1725" Type="http://schemas.openxmlformats.org/officeDocument/2006/relationships/hyperlink" Target="https://cabinet.ruobr.ru/" TargetMode="External"/><Relationship Id="rId1726" Type="http://schemas.openxmlformats.org/officeDocument/2006/relationships/hyperlink" Target="http://cabinet.ruobr.ru" TargetMode="External"/><Relationship Id="rId1727" Type="http://schemas.openxmlformats.org/officeDocument/2006/relationships/hyperlink" Target="https://giseo.rkomi.ru/" TargetMode="External"/><Relationship Id="rId1728" Type="http://schemas.openxmlformats.org/officeDocument/2006/relationships/hyperlink" Target="http://one.pskovedu.ru/" TargetMode="External"/><Relationship Id="rId1729" Type="http://schemas.openxmlformats.org/officeDocument/2006/relationships/hyperlink" Target="https://edu.tatar.ru/" TargetMode="External"/><Relationship Id="rId1752" Type="http://schemas.openxmlformats.org/officeDocument/2006/relationships/hyperlink" Target="http://dnevnik-lms.ru" TargetMode="External"/><Relationship Id="rId1753" Type="http://schemas.openxmlformats.org/officeDocument/2006/relationships/hyperlink" Target="https://school.nso.ru/authorize" TargetMode="External"/><Relationship Id="rId1754" Type="http://schemas.openxmlformats.org/officeDocument/2006/relationships/hyperlink" Target="https://ru.wikipedia.org/wiki/%D0%AD%D0%BB%D0%B5%D0%BA%D1%82%D1%80%D0%BE%D0%BD%D0%BD%D1%8B%D0%B9_%D0%B4%D0%BD%D0%B5%D0%B2%D0%BD%D0%B8%D0%BA_%D0%B8_%D0%B6%D1%83%D1%80%D0%BD%D0%B0%D0%BB" TargetMode="External"/><Relationship Id="rId1755" Type="http://schemas.openxmlformats.org/officeDocument/2006/relationships/hyperlink" Target="http://ru.wikipedia.org" TargetMode="External"/><Relationship Id="rId1756" Type="http://schemas.openxmlformats.org/officeDocument/2006/relationships/hyperlink" Target="https://dnevnik.egov66.ru/" TargetMode="External"/><Relationship Id="rId1757" Type="http://schemas.openxmlformats.org/officeDocument/2006/relationships/hyperlink" Target="http://dnevnik.egov66.ru" TargetMode="External"/><Relationship Id="rId1758" Type="http://schemas.openxmlformats.org/officeDocument/2006/relationships/hyperlink" Target="https://sgo.rso23.ru/" TargetMode="External"/><Relationship Id="rId1759" Type="http://schemas.openxmlformats.org/officeDocument/2006/relationships/hyperlink" Target="http://sgo.rso23.ru" TargetMode="External"/><Relationship Id="rId808" Type="http://schemas.openxmlformats.org/officeDocument/2006/relationships/hyperlink" Target="http://www.bequiet.com" TargetMode="External"/><Relationship Id="rId807" Type="http://schemas.openxmlformats.org/officeDocument/2006/relationships/hyperlink" Target="https://www.bequiet.com/ru/psucalculator" TargetMode="External"/><Relationship Id="rId806" Type="http://schemas.openxmlformats.org/officeDocument/2006/relationships/hyperlink" Target="http://play.google.com" TargetMode="External"/><Relationship Id="rId805" Type="http://schemas.openxmlformats.org/officeDocument/2006/relationships/hyperlink" Target="https://play.google.com/store/apps/details?id=org.whiteglow.quickeycalculator&amp;hl=ru&amp;gl=US" TargetMode="External"/><Relationship Id="rId809" Type="http://schemas.openxmlformats.org/officeDocument/2006/relationships/hyperlink" Target="https://calculators-online.ru/" TargetMode="External"/><Relationship Id="rId800" Type="http://schemas.openxmlformats.org/officeDocument/2006/relationships/hyperlink" Target="https://www.citilink.ru/catalog/kalkulyatory/" TargetMode="External"/><Relationship Id="rId804" Type="http://schemas.openxmlformats.org/officeDocument/2006/relationships/hyperlink" Target="http://play.google.com" TargetMode="External"/><Relationship Id="rId803" Type="http://schemas.openxmlformats.org/officeDocument/2006/relationships/hyperlink" Target="https://play.google.com/store/apps/details?id=com.google.android.calculator&amp;hl=ru&amp;gl=US" TargetMode="External"/><Relationship Id="rId802" Type="http://schemas.openxmlformats.org/officeDocument/2006/relationships/hyperlink" Target="https://www.eldorado.ru/c/kalkulyatory/" TargetMode="External"/><Relationship Id="rId801" Type="http://schemas.openxmlformats.org/officeDocument/2006/relationships/hyperlink" Target="http://www.citilink.ru" TargetMode="External"/><Relationship Id="rId1750" Type="http://schemas.openxmlformats.org/officeDocument/2006/relationships/hyperlink" Target="http://sh-open.ris61edu.ru" TargetMode="External"/><Relationship Id="rId1751" Type="http://schemas.openxmlformats.org/officeDocument/2006/relationships/hyperlink" Target="https://dnevnik-lms.ru/" TargetMode="External"/><Relationship Id="rId1741" Type="http://schemas.openxmlformats.org/officeDocument/2006/relationships/hyperlink" Target="https://netcity.admsakhalin.ru:11111/" TargetMode="External"/><Relationship Id="rId1742" Type="http://schemas.openxmlformats.org/officeDocument/2006/relationships/hyperlink" Target="https://sgo.tvobr.ru/" TargetMode="External"/><Relationship Id="rId1743" Type="http://schemas.openxmlformats.org/officeDocument/2006/relationships/hyperlink" Target="http://sgo.tvobr.ru" TargetMode="External"/><Relationship Id="rId1744" Type="http://schemas.openxmlformats.org/officeDocument/2006/relationships/hyperlink" Target="https://dnevnik2.petersburgedu.ru/" TargetMode="External"/><Relationship Id="rId1745" Type="http://schemas.openxmlformats.org/officeDocument/2006/relationships/hyperlink" Target="https://login.dnevnik.ru/login" TargetMode="External"/><Relationship Id="rId1746" Type="http://schemas.openxmlformats.org/officeDocument/2006/relationships/hyperlink" Target="http://login.dnevnik.ru" TargetMode="External"/><Relationship Id="rId1747" Type="http://schemas.openxmlformats.org/officeDocument/2006/relationships/hyperlink" Target="https://elschool.ru/" TargetMode="External"/><Relationship Id="rId1748" Type="http://schemas.openxmlformats.org/officeDocument/2006/relationships/hyperlink" Target="https://www.mos.ru/pgu2/landing/target/7700000010000187206/" TargetMode="External"/><Relationship Id="rId1749" Type="http://schemas.openxmlformats.org/officeDocument/2006/relationships/hyperlink" Target="https://sh-open.ris61edu.ru/" TargetMode="External"/><Relationship Id="rId1740" Type="http://schemas.openxmlformats.org/officeDocument/2006/relationships/hyperlink" Target="https://edu.admoblkaluga.ru:444/" TargetMode="External"/><Relationship Id="rId1710" Type="http://schemas.openxmlformats.org/officeDocument/2006/relationships/hyperlink" Target="https://soyuzmultfilm.fandom.com/ru/wiki/%D0%A7%D0%B5%D0%B1%D1%83%D1%80%D0%B0%D1%88%D0%BA%D0%B0" TargetMode="External"/><Relationship Id="rId1711" Type="http://schemas.openxmlformats.org/officeDocument/2006/relationships/hyperlink" Target="http://soyuzmultfilm.fandom.com" TargetMode="External"/><Relationship Id="rId1712" Type="http://schemas.openxmlformats.org/officeDocument/2006/relationships/hyperlink" Target="https://www.ivi.ru/watch/121614" TargetMode="External"/><Relationship Id="rId1713" Type="http://schemas.openxmlformats.org/officeDocument/2006/relationships/hyperlink" Target="http://www.ivi.ru" TargetMode="External"/><Relationship Id="rId1714" Type="http://schemas.openxmlformats.org/officeDocument/2006/relationships/hyperlink" Target="https://cheburashka.show/" TargetMode="External"/><Relationship Id="rId1715" Type="http://schemas.openxmlformats.org/officeDocument/2006/relationships/hyperlink" Target="https://ru.wiktionary.org/wiki/%D0%A7%D0%B5%D0%B1%D1%83%D1%80%D0%B0%D1%88%D0%BA%D0%B0" TargetMode="External"/><Relationship Id="rId1716" Type="http://schemas.openxmlformats.org/officeDocument/2006/relationships/hyperlink" Target="http://ru.wiktionary.org" TargetMode="External"/><Relationship Id="rId1717" Type="http://schemas.openxmlformats.org/officeDocument/2006/relationships/hyperlink" Target="https://www.amazon.com/Cheburashka/s?k=Cheburashka" TargetMode="External"/><Relationship Id="rId1718" Type="http://schemas.openxmlformats.org/officeDocument/2006/relationships/hyperlink" Target="http://www.amazon.com" TargetMode="External"/><Relationship Id="rId1719" Type="http://schemas.openxmlformats.org/officeDocument/2006/relationships/hyperlink" Target="https://premier.one/show/cheburashka-2023" TargetMode="External"/><Relationship Id="rId1700" Type="http://schemas.openxmlformats.org/officeDocument/2006/relationships/hyperlink" Target="https://ru.wikipedia.org/wiki/%D0%A7%D0%B5%D0%B1%D1%83%D1%80%D0%B0%D1%88%D0%BA%D0%B0" TargetMode="External"/><Relationship Id="rId1701" Type="http://schemas.openxmlformats.org/officeDocument/2006/relationships/hyperlink" Target="http://ru.wikipedia.org" TargetMode="External"/><Relationship Id="rId1702" Type="http://schemas.openxmlformats.org/officeDocument/2006/relationships/hyperlink" Target="https://www.kinopoisk.ru/film/4370148/" TargetMode="External"/><Relationship Id="rId1703" Type="http://schemas.openxmlformats.org/officeDocument/2006/relationships/hyperlink" Target="http://www.kinopoisk.ru" TargetMode="External"/><Relationship Id="rId1704" Type="http://schemas.openxmlformats.org/officeDocument/2006/relationships/hyperlink" Target="https://www.afisha.ru/movie/cheburashka-269634/" TargetMode="External"/><Relationship Id="rId1705" Type="http://schemas.openxmlformats.org/officeDocument/2006/relationships/hyperlink" Target="http://www.afisha.ru" TargetMode="External"/><Relationship Id="rId1706" Type="http://schemas.openxmlformats.org/officeDocument/2006/relationships/hyperlink" Target="https://okko.tv/movie/cheburashka-93168361" TargetMode="External"/><Relationship Id="rId1707" Type="http://schemas.openxmlformats.org/officeDocument/2006/relationships/hyperlink" Target="https://ru.wikipedia.org/wiki/%D0%A7%D0%B5%D0%B1%D1%83%D1%80%D0%B0%D1%88%D0%BA%D0%B0_(%D0%BC%D1%83%D0%BB%D1%8C%D1%82%D1%84%D0%B8%D0%BB%D1%8C%D0%BC,_2013)" TargetMode="External"/><Relationship Id="rId1708" Type="http://schemas.openxmlformats.org/officeDocument/2006/relationships/hyperlink" Target="http://ru.wikipedia.org" TargetMode="External"/><Relationship Id="rId1709" Type="http://schemas.openxmlformats.org/officeDocument/2006/relationships/hyperlink" Target="https://www.rbc.ru/life/news/63d89e6b9a7947514d98f34a" TargetMode="External"/><Relationship Id="rId40" Type="http://schemas.openxmlformats.org/officeDocument/2006/relationships/hyperlink" Target="http://journal.tinkoff.ru" TargetMode="External"/><Relationship Id="rId1334" Type="http://schemas.openxmlformats.org/officeDocument/2006/relationships/hyperlink" Target="http://www.yahoo.com" TargetMode="External"/><Relationship Id="rId1335" Type="http://schemas.openxmlformats.org/officeDocument/2006/relationships/hyperlink" Target="https://www.windy.com/" TargetMode="External"/><Relationship Id="rId42" Type="http://schemas.openxmlformats.org/officeDocument/2006/relationships/hyperlink" Target="http://apps.apple.com" TargetMode="External"/><Relationship Id="rId1336" Type="http://schemas.openxmlformats.org/officeDocument/2006/relationships/hyperlink" Target="http://www.windy.com" TargetMode="External"/><Relationship Id="rId41" Type="http://schemas.openxmlformats.org/officeDocument/2006/relationships/hyperlink" Target="https://apps.apple.com/us/app/chatgpt/id6448311069?l=ru" TargetMode="External"/><Relationship Id="rId1337" Type="http://schemas.openxmlformats.org/officeDocument/2006/relationships/hyperlink" Target="https://www.gismeteo.ru/weather-ann-arbor-7343/weekly/" TargetMode="External"/><Relationship Id="rId44" Type="http://schemas.openxmlformats.org/officeDocument/2006/relationships/hyperlink" Target="http://trends.rbc.ru" TargetMode="External"/><Relationship Id="rId1338" Type="http://schemas.openxmlformats.org/officeDocument/2006/relationships/hyperlink" Target="http://www.gismeteo.ru" TargetMode="External"/><Relationship Id="rId43" Type="http://schemas.openxmlformats.org/officeDocument/2006/relationships/hyperlink" Target="https://trends.rbc.ru/trends/industry/63a192819a79478fae5762ad" TargetMode="External"/><Relationship Id="rId1339" Type="http://schemas.openxmlformats.org/officeDocument/2006/relationships/hyperlink" Target="https://www.gismeteo.ru/weather-ann-arbor-7343/" TargetMode="External"/><Relationship Id="rId46" Type="http://schemas.openxmlformats.org/officeDocument/2006/relationships/hyperlink" Target="http://sendpulse.com" TargetMode="External"/><Relationship Id="rId45" Type="http://schemas.openxmlformats.org/officeDocument/2006/relationships/hyperlink" Target="https://sendpulse.com/ru/support/glossary/chatgpt" TargetMode="External"/><Relationship Id="rId745" Type="http://schemas.openxmlformats.org/officeDocument/2006/relationships/hyperlink" Target="https://play.google.com/store/apps/details?id=ru.dns.shop.android&amp;hl=en_US" TargetMode="External"/><Relationship Id="rId744" Type="http://schemas.openxmlformats.org/officeDocument/2006/relationships/hyperlink" Target="http://www.opendns.com" TargetMode="External"/><Relationship Id="rId743" Type="http://schemas.openxmlformats.org/officeDocument/2006/relationships/hyperlink" Target="https://www.opendns.com/" TargetMode="External"/><Relationship Id="rId742" Type="http://schemas.openxmlformats.org/officeDocument/2006/relationships/hyperlink" Target="https://www.godaddy.com/help/what-is-dns-665" TargetMode="External"/><Relationship Id="rId749" Type="http://schemas.openxmlformats.org/officeDocument/2006/relationships/hyperlink" Target="https://1.1.1.1/dns/" TargetMode="External"/><Relationship Id="rId748" Type="http://schemas.openxmlformats.org/officeDocument/2006/relationships/hyperlink" Target="http://www.dnsperf.com" TargetMode="External"/><Relationship Id="rId747" Type="http://schemas.openxmlformats.org/officeDocument/2006/relationships/hyperlink" Target="https://www.dnsperf.com/" TargetMode="External"/><Relationship Id="rId746" Type="http://schemas.openxmlformats.org/officeDocument/2006/relationships/hyperlink" Target="http://play.google.com" TargetMode="External"/><Relationship Id="rId48" Type="http://schemas.openxmlformats.org/officeDocument/2006/relationships/hyperlink" Target="http://pr-cy.ru" TargetMode="External"/><Relationship Id="rId47" Type="http://schemas.openxmlformats.org/officeDocument/2006/relationships/hyperlink" Target="https://pr-cy.ru/chat-gpt/" TargetMode="External"/><Relationship Id="rId49" Type="http://schemas.openxmlformats.org/officeDocument/2006/relationships/hyperlink" Target="https://3dnews.ru/1095795/microsoft-vremenno-zablokirovala-sotrudnikam-dostup-k-chatgpt" TargetMode="External"/><Relationship Id="rId741" Type="http://schemas.openxmlformats.org/officeDocument/2006/relationships/hyperlink" Target="http://www.whatsmydns.net" TargetMode="External"/><Relationship Id="rId1330" Type="http://schemas.openxmlformats.org/officeDocument/2006/relationships/hyperlink" Target="http://www.wunderground.com" TargetMode="External"/><Relationship Id="rId740" Type="http://schemas.openxmlformats.org/officeDocument/2006/relationships/hyperlink" Target="https://www.whatsmydns.net/" TargetMode="External"/><Relationship Id="rId1331" Type="http://schemas.openxmlformats.org/officeDocument/2006/relationships/hyperlink" Target="https://meteofor.com.ua/ru/weather-lviv-4949/" TargetMode="External"/><Relationship Id="rId1332" Type="http://schemas.openxmlformats.org/officeDocument/2006/relationships/hyperlink" Target="http://meteofor.com.ua" TargetMode="External"/><Relationship Id="rId1333" Type="http://schemas.openxmlformats.org/officeDocument/2006/relationships/hyperlink" Target="https://www.yahoo.com/news/weather/" TargetMode="External"/><Relationship Id="rId1323" Type="http://schemas.openxmlformats.org/officeDocument/2006/relationships/hyperlink" Target="https://meteoinfo.ru/forecasts/russia/moscow-area/moscow" TargetMode="External"/><Relationship Id="rId1324" Type="http://schemas.openxmlformats.org/officeDocument/2006/relationships/hyperlink" Target="http://meteoinfo.ru" TargetMode="External"/><Relationship Id="rId31" Type="http://schemas.openxmlformats.org/officeDocument/2006/relationships/hyperlink" Target="https://gpt-chatbot.ru/" TargetMode="External"/><Relationship Id="rId1325" Type="http://schemas.openxmlformats.org/officeDocument/2006/relationships/hyperlink" Target="https://pogoda.mail.ru/" TargetMode="External"/><Relationship Id="rId30" Type="http://schemas.openxmlformats.org/officeDocument/2006/relationships/hyperlink" Target="http://ru.wikipedia.org" TargetMode="External"/><Relationship Id="rId1326" Type="http://schemas.openxmlformats.org/officeDocument/2006/relationships/hyperlink" Target="http://pogoda.mail.ru" TargetMode="External"/><Relationship Id="rId33" Type="http://schemas.openxmlformats.org/officeDocument/2006/relationships/hyperlink" Target="https://talkai.info/ru/" TargetMode="External"/><Relationship Id="rId1327" Type="http://schemas.openxmlformats.org/officeDocument/2006/relationships/hyperlink" Target="https://www.ventusky.com/" TargetMode="External"/><Relationship Id="rId32" Type="http://schemas.openxmlformats.org/officeDocument/2006/relationships/hyperlink" Target="http://gpt-chatbot.ru" TargetMode="External"/><Relationship Id="rId1328" Type="http://schemas.openxmlformats.org/officeDocument/2006/relationships/hyperlink" Target="http://www.ventusky.com" TargetMode="External"/><Relationship Id="rId35" Type="http://schemas.openxmlformats.org/officeDocument/2006/relationships/hyperlink" Target="https://habr.com/ru/companies/ods/articles/772292/" TargetMode="External"/><Relationship Id="rId1329" Type="http://schemas.openxmlformats.org/officeDocument/2006/relationships/hyperlink" Target="https://www.wunderground.com/" TargetMode="External"/><Relationship Id="rId34" Type="http://schemas.openxmlformats.org/officeDocument/2006/relationships/hyperlink" Target="http://talkai.info" TargetMode="External"/><Relationship Id="rId739" Type="http://schemas.openxmlformats.org/officeDocument/2006/relationships/hyperlink" Target="http://www.grc.com" TargetMode="External"/><Relationship Id="rId734" Type="http://schemas.openxmlformats.org/officeDocument/2006/relationships/hyperlink" Target="https://www.dnsleaktest.com/" TargetMode="External"/><Relationship Id="rId733" Type="http://schemas.openxmlformats.org/officeDocument/2006/relationships/hyperlink" Target="http://mxtoolbox.com" TargetMode="External"/><Relationship Id="rId732" Type="http://schemas.openxmlformats.org/officeDocument/2006/relationships/hyperlink" Target="https://mxtoolbox.com/DNSLookup.aspx" TargetMode="External"/><Relationship Id="rId731" Type="http://schemas.openxmlformats.org/officeDocument/2006/relationships/hyperlink" Target="http://www.quad9.net" TargetMode="External"/><Relationship Id="rId738" Type="http://schemas.openxmlformats.org/officeDocument/2006/relationships/hyperlink" Target="https://www.grc.com/dns/benchmark.htm" TargetMode="External"/><Relationship Id="rId737" Type="http://schemas.openxmlformats.org/officeDocument/2006/relationships/hyperlink" Target="http://dnsmadeeasy.com" TargetMode="External"/><Relationship Id="rId736" Type="http://schemas.openxmlformats.org/officeDocument/2006/relationships/hyperlink" Target="https://dnsmadeeasy.com/" TargetMode="External"/><Relationship Id="rId735" Type="http://schemas.openxmlformats.org/officeDocument/2006/relationships/hyperlink" Target="http://www.dnsleaktest.com" TargetMode="External"/><Relationship Id="rId37" Type="http://schemas.openxmlformats.org/officeDocument/2006/relationships/hyperlink" Target="https://chatgptbot.ru/chat/" TargetMode="External"/><Relationship Id="rId36" Type="http://schemas.openxmlformats.org/officeDocument/2006/relationships/hyperlink" Target="http://habr.com" TargetMode="External"/><Relationship Id="rId39" Type="http://schemas.openxmlformats.org/officeDocument/2006/relationships/hyperlink" Target="https://journal.tinkoff.ru/chatgpt/" TargetMode="External"/><Relationship Id="rId38" Type="http://schemas.openxmlformats.org/officeDocument/2006/relationships/hyperlink" Target="http://chatgptbot.ru" TargetMode="External"/><Relationship Id="rId730" Type="http://schemas.openxmlformats.org/officeDocument/2006/relationships/hyperlink" Target="https://www.quad9.net/" TargetMode="External"/><Relationship Id="rId1320" Type="http://schemas.openxmlformats.org/officeDocument/2006/relationships/hyperlink" Target="http://pogoda.by" TargetMode="External"/><Relationship Id="rId1321" Type="http://schemas.openxmlformats.org/officeDocument/2006/relationships/hyperlink" Target="https://sinoptik.ua/" TargetMode="External"/><Relationship Id="rId1322" Type="http://schemas.openxmlformats.org/officeDocument/2006/relationships/hyperlink" Target="http://sinoptik.ua" TargetMode="External"/><Relationship Id="rId1356" Type="http://schemas.openxmlformats.org/officeDocument/2006/relationships/hyperlink" Target="http://yandex.ru" TargetMode="External"/><Relationship Id="rId1357" Type="http://schemas.openxmlformats.org/officeDocument/2006/relationships/hyperlink" Target="https://meteofor.com.ua/ru/weather-kyiv-4944/tomorrow/" TargetMode="External"/><Relationship Id="rId20" Type="http://schemas.openxmlformats.org/officeDocument/2006/relationships/hyperlink" Target="http://www.xbox.com" TargetMode="External"/><Relationship Id="rId1358" Type="http://schemas.openxmlformats.org/officeDocument/2006/relationships/hyperlink" Target="http://meteofor.com.ua" TargetMode="External"/><Relationship Id="rId1359" Type="http://schemas.openxmlformats.org/officeDocument/2006/relationships/hyperlink" Target="https://weather.rambler.ru/v-enn-arbore/today/" TargetMode="External"/><Relationship Id="rId22" Type="http://schemas.openxmlformats.org/officeDocument/2006/relationships/hyperlink" Target="http://www.metacritic.com" TargetMode="External"/><Relationship Id="rId21" Type="http://schemas.openxmlformats.org/officeDocument/2006/relationships/hyperlink" Target="https://www.metacritic.com/game/atomic-heart/" TargetMode="External"/><Relationship Id="rId24" Type="http://schemas.openxmlformats.org/officeDocument/2006/relationships/hyperlink" Target="http://chat.openai.com" TargetMode="External"/><Relationship Id="rId23" Type="http://schemas.openxmlformats.org/officeDocument/2006/relationships/hyperlink" Target="https://chat.openai.com/" TargetMode="External"/><Relationship Id="rId767" Type="http://schemas.openxmlformats.org/officeDocument/2006/relationships/hyperlink" Target="http://kino.mail.ru" TargetMode="External"/><Relationship Id="rId766" Type="http://schemas.openxmlformats.org/officeDocument/2006/relationships/hyperlink" Target="https://kino.mail.ru/person/450879_inna_churikova/" TargetMode="External"/><Relationship Id="rId765" Type="http://schemas.openxmlformats.org/officeDocument/2006/relationships/hyperlink" Target="http://znanierussia.ru" TargetMode="External"/><Relationship Id="rId764" Type="http://schemas.openxmlformats.org/officeDocument/2006/relationships/hyperlink" Target="https://znanierussia.ru/articles/%D0%A7%D1%83%D1%80%D0%B8%D0%BA%D0%BE%D0%B2%D0%B0,_%D0%98%D0%BD%D0%BD%D0%B0_%D0%9C%D0%B8%D1%85%D0%B0%D0%B9%D0%BB%D0%BE%D0%B2%D0%BD%D0%B0" TargetMode="External"/><Relationship Id="rId769" Type="http://schemas.openxmlformats.org/officeDocument/2006/relationships/hyperlink" Target="https://24smi.org/celebrity/604-inna-churikova.html" TargetMode="External"/><Relationship Id="rId768" Type="http://schemas.openxmlformats.org/officeDocument/2006/relationships/hyperlink" Target="https://ria.ru/20230114/churikova-1844869415.html" TargetMode="External"/><Relationship Id="rId26" Type="http://schemas.openxmlformats.org/officeDocument/2006/relationships/hyperlink" Target="http://trychatgpt.ru" TargetMode="External"/><Relationship Id="rId25" Type="http://schemas.openxmlformats.org/officeDocument/2006/relationships/hyperlink" Target="https://trychatgpt.ru/" TargetMode="External"/><Relationship Id="rId28" Type="http://schemas.openxmlformats.org/officeDocument/2006/relationships/hyperlink" Target="http://chadgpt.ru" TargetMode="External"/><Relationship Id="rId1350" Type="http://schemas.openxmlformats.org/officeDocument/2006/relationships/hyperlink" Target="http://www.gismeteo.ru" TargetMode="External"/><Relationship Id="rId27" Type="http://schemas.openxmlformats.org/officeDocument/2006/relationships/hyperlink" Target="https://chadgpt.ru/" TargetMode="External"/><Relationship Id="rId1351" Type="http://schemas.openxmlformats.org/officeDocument/2006/relationships/hyperlink" Target="https://www.gismeteo.ru/weather-washington-7150/tomorrow/" TargetMode="External"/><Relationship Id="rId763" Type="http://schemas.openxmlformats.org/officeDocument/2006/relationships/hyperlink" Target="http://uznayvse.ru" TargetMode="External"/><Relationship Id="rId1352" Type="http://schemas.openxmlformats.org/officeDocument/2006/relationships/hyperlink" Target="http://www.gismeteo.ru" TargetMode="External"/><Relationship Id="rId29" Type="http://schemas.openxmlformats.org/officeDocument/2006/relationships/hyperlink" Target="https://ru.wikipedia.org/wiki/ChatGPT" TargetMode="External"/><Relationship Id="rId762" Type="http://schemas.openxmlformats.org/officeDocument/2006/relationships/hyperlink" Target="https://uznayvse.ru/znamenitosti/biografiya-inna-churikova.html" TargetMode="External"/><Relationship Id="rId1353" Type="http://schemas.openxmlformats.org/officeDocument/2006/relationships/hyperlink" Target="https://sinoptik.ua/" TargetMode="External"/><Relationship Id="rId761" Type="http://schemas.openxmlformats.org/officeDocument/2006/relationships/hyperlink" Target="http://www.culture.ru" TargetMode="External"/><Relationship Id="rId1354" Type="http://schemas.openxmlformats.org/officeDocument/2006/relationships/hyperlink" Target="http://sinoptik.ua" TargetMode="External"/><Relationship Id="rId760" Type="http://schemas.openxmlformats.org/officeDocument/2006/relationships/hyperlink" Target="https://www.culture.ru/persons/656/inna-churikova" TargetMode="External"/><Relationship Id="rId1355" Type="http://schemas.openxmlformats.org/officeDocument/2006/relationships/hyperlink" Target="https://yandex.ru/weather/details/tomorrow" TargetMode="External"/><Relationship Id="rId1345" Type="http://schemas.openxmlformats.org/officeDocument/2006/relationships/hyperlink" Target="https://www.gismeteo.ru/weather-lansing-7215/tomorrow/" TargetMode="External"/><Relationship Id="rId1346" Type="http://schemas.openxmlformats.org/officeDocument/2006/relationships/hyperlink" Target="http://www.gismeteo.ru" TargetMode="External"/><Relationship Id="rId1347" Type="http://schemas.openxmlformats.org/officeDocument/2006/relationships/hyperlink" Target="https://www.gismeteo.ru/weather-east-lansing-7529/tomorrow/" TargetMode="External"/><Relationship Id="rId1348" Type="http://schemas.openxmlformats.org/officeDocument/2006/relationships/hyperlink" Target="http://www.gismeteo.ru" TargetMode="External"/><Relationship Id="rId11" Type="http://schemas.openxmlformats.org/officeDocument/2006/relationships/hyperlink" Target="http://vk.com" TargetMode="External"/><Relationship Id="rId1349" Type="http://schemas.openxmlformats.org/officeDocument/2006/relationships/hyperlink" Target="https://www.gismeteo.ru/weather-chicago-7208/tomorrow/" TargetMode="External"/><Relationship Id="rId10" Type="http://schemas.openxmlformats.org/officeDocument/2006/relationships/hyperlink" Target="https://vk.com/atomicheart_game" TargetMode="External"/><Relationship Id="rId13" Type="http://schemas.openxmlformats.org/officeDocument/2006/relationships/hyperlink" Target="http://www.youtube.com" TargetMode="External"/><Relationship Id="rId12" Type="http://schemas.openxmlformats.org/officeDocument/2006/relationships/hyperlink" Target="https://www.youtube.com/@Mundfish" TargetMode="External"/><Relationship Id="rId756" Type="http://schemas.openxmlformats.org/officeDocument/2006/relationships/hyperlink" Target="https://tass.ru/info/16800267" TargetMode="External"/><Relationship Id="rId755" Type="http://schemas.openxmlformats.org/officeDocument/2006/relationships/hyperlink" Target="http://www.kino-teatr.ru" TargetMode="External"/><Relationship Id="rId754" Type="http://schemas.openxmlformats.org/officeDocument/2006/relationships/hyperlink" Target="https://www.kino-teatr.ru/kino/acter/w/ros/4785/bio/" TargetMode="External"/><Relationship Id="rId753" Type="http://schemas.openxmlformats.org/officeDocument/2006/relationships/hyperlink" Target="http://www.kinopoisk.ru" TargetMode="External"/><Relationship Id="rId759" Type="http://schemas.openxmlformats.org/officeDocument/2006/relationships/hyperlink" Target="http://24smi.org" TargetMode="External"/><Relationship Id="rId758" Type="http://schemas.openxmlformats.org/officeDocument/2006/relationships/hyperlink" Target="https://24smi.org/celebrity/604-inna-churikova.html" TargetMode="External"/><Relationship Id="rId757" Type="http://schemas.openxmlformats.org/officeDocument/2006/relationships/hyperlink" Target="http://tass.ru" TargetMode="External"/><Relationship Id="rId15" Type="http://schemas.openxmlformats.org/officeDocument/2006/relationships/hyperlink" Target="http://www.youtube.com" TargetMode="External"/><Relationship Id="rId14" Type="http://schemas.openxmlformats.org/officeDocument/2006/relationships/hyperlink" Target="https://www.youtube.com/channel/UCjAij4NWCod80d70enm3tRw" TargetMode="External"/><Relationship Id="rId17" Type="http://schemas.openxmlformats.org/officeDocument/2006/relationships/hyperlink" Target="https://www.focus-entmt.com/en/games/atomic-heart" TargetMode="External"/><Relationship Id="rId16" Type="http://schemas.openxmlformats.org/officeDocument/2006/relationships/hyperlink" Target="https://atomic.mundfish.com/" TargetMode="External"/><Relationship Id="rId1340" Type="http://schemas.openxmlformats.org/officeDocument/2006/relationships/hyperlink" Target="http://www.gismeteo.ru" TargetMode="External"/><Relationship Id="rId19" Type="http://schemas.openxmlformats.org/officeDocument/2006/relationships/hyperlink" Target="https://www.xbox.com/en-US/games/atomic-heart" TargetMode="External"/><Relationship Id="rId752" Type="http://schemas.openxmlformats.org/officeDocument/2006/relationships/hyperlink" Target="https://www.kinopoisk.ru/name/128152/" TargetMode="External"/><Relationship Id="rId1341" Type="http://schemas.openxmlformats.org/officeDocument/2006/relationships/hyperlink" Target="https://www.gismeteo.ru/weather-brooklyn-7570/tomorrow/" TargetMode="External"/><Relationship Id="rId18" Type="http://schemas.openxmlformats.org/officeDocument/2006/relationships/hyperlink" Target="http://www.focus-entmt.com" TargetMode="External"/><Relationship Id="rId751" Type="http://schemas.openxmlformats.org/officeDocument/2006/relationships/hyperlink" Target="http://ru.wikipedia.org" TargetMode="External"/><Relationship Id="rId1342" Type="http://schemas.openxmlformats.org/officeDocument/2006/relationships/hyperlink" Target="http://www.gismeteo.ru" TargetMode="External"/><Relationship Id="rId750" Type="http://schemas.openxmlformats.org/officeDocument/2006/relationships/hyperlink" Target="https://ru.wikipedia.org/wiki/%D0%A7%D1%83%D1%80%D0%B8%D0%BA%D0%BE%D0%B2%D0%B0,_%D0%98%D0%BD%D0%BD%D0%B0_%D0%9C%D0%B8%D1%85%D0%B0%D0%B9%D0%BB%D0%BE%D0%B2%D0%BD%D0%B0" TargetMode="External"/><Relationship Id="rId1343" Type="http://schemas.openxmlformats.org/officeDocument/2006/relationships/hyperlink" Target="https://www.gismeteo.ru/weather-novi-9132/tomorrow/" TargetMode="External"/><Relationship Id="rId1344" Type="http://schemas.openxmlformats.org/officeDocument/2006/relationships/hyperlink" Target="http://www.gismeteo.ru" TargetMode="External"/><Relationship Id="rId84" Type="http://schemas.openxmlformats.org/officeDocument/2006/relationships/hyperlink" Target="https://writesonic.com/blog/chatgpt-alternatives/" TargetMode="External"/><Relationship Id="rId1774" Type="http://schemas.openxmlformats.org/officeDocument/2006/relationships/hyperlink" Target="https://play.google.com/store/apps/details?id=com.google.android.youtube&amp;hl=ru&amp;gl=US" TargetMode="External"/><Relationship Id="rId83" Type="http://schemas.openxmlformats.org/officeDocument/2006/relationships/hyperlink" Target="http://www.theguardian.com" TargetMode="External"/><Relationship Id="rId1775" Type="http://schemas.openxmlformats.org/officeDocument/2006/relationships/hyperlink" Target="http://play.google.com" TargetMode="External"/><Relationship Id="rId86" Type="http://schemas.openxmlformats.org/officeDocument/2006/relationships/hyperlink" Target="https://www.reddit.com/r/ChatGPT/" TargetMode="External"/><Relationship Id="rId1776" Type="http://schemas.openxmlformats.org/officeDocument/2006/relationships/hyperlink" Target="https://apps.apple.com/ru/app/youtube/id544007664" TargetMode="External"/><Relationship Id="rId85" Type="http://schemas.openxmlformats.org/officeDocument/2006/relationships/hyperlink" Target="http://writesonic.com" TargetMode="External"/><Relationship Id="rId1777" Type="http://schemas.openxmlformats.org/officeDocument/2006/relationships/hyperlink" Target="http://apps.apple.com" TargetMode="External"/><Relationship Id="rId88" Type="http://schemas.openxmlformats.org/officeDocument/2006/relationships/hyperlink" Target="http://www.theverge.com" TargetMode="External"/><Relationship Id="rId1778" Type="http://schemas.openxmlformats.org/officeDocument/2006/relationships/hyperlink" Target="https://support.google.com/youtube/answer/9288567?hl=ru" TargetMode="External"/><Relationship Id="rId87" Type="http://schemas.openxmlformats.org/officeDocument/2006/relationships/hyperlink" Target="https://www.theverge.com/2023/11/6/23948957/openai-chatgpt-gpt-custom-developer-platform" TargetMode="External"/><Relationship Id="rId1779" Type="http://schemas.openxmlformats.org/officeDocument/2006/relationships/hyperlink" Target="http://support.google.com" TargetMode="External"/><Relationship Id="rId89" Type="http://schemas.openxmlformats.org/officeDocument/2006/relationships/hyperlink" Target="https://www.nytimes.com/2023/11/06/technology/openai-custom-chatgpt.html" TargetMode="External"/><Relationship Id="rId709" Type="http://schemas.openxmlformats.org/officeDocument/2006/relationships/hyperlink" Target="https://sankt-peterburg.kitabi.ru/brands/magazin-dns-shop" TargetMode="External"/><Relationship Id="rId708" Type="http://schemas.openxmlformats.org/officeDocument/2006/relationships/hyperlink" Target="https://www.yell.ru/novosibirsk/com/magazin-dns_12521469/" TargetMode="External"/><Relationship Id="rId707" Type="http://schemas.openxmlformats.org/officeDocument/2006/relationships/hyperlink" Target="http://nsk.zoon.ru" TargetMode="External"/><Relationship Id="rId706" Type="http://schemas.openxmlformats.org/officeDocument/2006/relationships/hyperlink" Target="https://nsk.zoon.ru/shops/network/dns/" TargetMode="External"/><Relationship Id="rId80" Type="http://schemas.openxmlformats.org/officeDocument/2006/relationships/hyperlink" Target="https://www.wired.com/story/openai-wants-everyone-to-build-their-own-version-of-chatgpt/" TargetMode="External"/><Relationship Id="rId82" Type="http://schemas.openxmlformats.org/officeDocument/2006/relationships/hyperlink" Target="https://www.theguardian.com/technology/chatgpt" TargetMode="External"/><Relationship Id="rId81" Type="http://schemas.openxmlformats.org/officeDocument/2006/relationships/hyperlink" Target="http://www.wired.com" TargetMode="External"/><Relationship Id="rId701" Type="http://schemas.openxmlformats.org/officeDocument/2006/relationships/hyperlink" Target="http://yandex.ru" TargetMode="External"/><Relationship Id="rId700" Type="http://schemas.openxmlformats.org/officeDocument/2006/relationships/hyperlink" Target="https://yandex.ru/maps/65/novosibirsk/search/%D0%9D%D0%BE%D0%B2%D0%BE%D1%81%D0%B8%D0%B1%D0%B8%D1%80%D1%81%D0%BA%20%D0%B0%D0%B4%D1%80%D0%B5%D1%81%D0%B0%20%D0%BC%D0%B0%D0%B3%D0%B0%D0%B7%D0%B8%D0%BD%D0%BE%D0%B2%20DNS/" TargetMode="External"/><Relationship Id="rId705" Type="http://schemas.openxmlformats.org/officeDocument/2006/relationships/hyperlink" Target="http://centergoroda.com" TargetMode="External"/><Relationship Id="rId704" Type="http://schemas.openxmlformats.org/officeDocument/2006/relationships/hyperlink" Target="https://centergoroda.com/arendator/dns/" TargetMode="External"/><Relationship Id="rId703" Type="http://schemas.openxmlformats.org/officeDocument/2006/relationships/hyperlink" Target="http://www.dnsgroup.ru" TargetMode="External"/><Relationship Id="rId702" Type="http://schemas.openxmlformats.org/officeDocument/2006/relationships/hyperlink" Target="https://www.dnsgroup.ru/" TargetMode="External"/><Relationship Id="rId1770" Type="http://schemas.openxmlformats.org/officeDocument/2006/relationships/hyperlink" Target="https://ru.wikipedia.org/wiki/YouTube" TargetMode="External"/><Relationship Id="rId1771" Type="http://schemas.openxmlformats.org/officeDocument/2006/relationships/hyperlink" Target="http://ru.wikipedia.org" TargetMode="External"/><Relationship Id="rId1772" Type="http://schemas.openxmlformats.org/officeDocument/2006/relationships/hyperlink" Target="https://www.youtube.com/user/youtuberussia" TargetMode="External"/><Relationship Id="rId1773" Type="http://schemas.openxmlformats.org/officeDocument/2006/relationships/hyperlink" Target="http://www.youtube.com" TargetMode="External"/><Relationship Id="rId73" Type="http://schemas.openxmlformats.org/officeDocument/2006/relationships/hyperlink" Target="http://www.zdnet.com" TargetMode="External"/><Relationship Id="rId1763" Type="http://schemas.openxmlformats.org/officeDocument/2006/relationships/hyperlink" Target="http://www.gosuslugi.ru/30685/1/info" TargetMode="External"/><Relationship Id="rId72" Type="http://schemas.openxmlformats.org/officeDocument/2006/relationships/hyperlink" Target="https://www.zdnet.com/article/what-is-chatgpt-and-why-does-it-matter-heres-everything-you-need-to-know/" TargetMode="External"/><Relationship Id="rId1764" Type="http://schemas.openxmlformats.org/officeDocument/2006/relationships/hyperlink" Target="https://sgo1.edu71.ru/" TargetMode="External"/><Relationship Id="rId75" Type="http://schemas.openxmlformats.org/officeDocument/2006/relationships/hyperlink" Target="http://www.digitaltrends.com" TargetMode="External"/><Relationship Id="rId1765" Type="http://schemas.openxmlformats.org/officeDocument/2006/relationships/hyperlink" Target="https://xn--90aivcdt6dxbc.xn--p1ai/articles/useful/elektronnyy-dnevnik-shkolnika-kak-zaregistrirovatsya-i-polzovatsya/" TargetMode="External"/><Relationship Id="rId74" Type="http://schemas.openxmlformats.org/officeDocument/2006/relationships/hyperlink" Target="https://www.digitaltrends.com/computing/how-to-use-openai-chatgpt-text-generation-chatbot/" TargetMode="External"/><Relationship Id="rId1766" Type="http://schemas.openxmlformats.org/officeDocument/2006/relationships/hyperlink" Target="https://schools.by/m/" TargetMode="External"/><Relationship Id="rId77" Type="http://schemas.openxmlformats.org/officeDocument/2006/relationships/hyperlink" Target="http://www.businessinsider.com" TargetMode="External"/><Relationship Id="rId1767" Type="http://schemas.openxmlformats.org/officeDocument/2006/relationships/hyperlink" Target="https://schools.by/m/" TargetMode="External"/><Relationship Id="rId76" Type="http://schemas.openxmlformats.org/officeDocument/2006/relationships/hyperlink" Target="https://www.businessinsider.com/everything-you-need-to-know-about-chat-gpt-2023-1" TargetMode="External"/><Relationship Id="rId1768" Type="http://schemas.openxmlformats.org/officeDocument/2006/relationships/hyperlink" Target="https://www.youtube.com/?hl=ru&amp;gl=RU" TargetMode="External"/><Relationship Id="rId79" Type="http://schemas.openxmlformats.org/officeDocument/2006/relationships/hyperlink" Target="http://writings.stephenwolfram.com" TargetMode="External"/><Relationship Id="rId1769" Type="http://schemas.openxmlformats.org/officeDocument/2006/relationships/hyperlink" Target="http://www.youtube.com" TargetMode="External"/><Relationship Id="rId78" Type="http://schemas.openxmlformats.org/officeDocument/2006/relationships/hyperlink" Target="https://writings.stephenwolfram.com/2023/02/what-is-chatgpt-doing-and-why-does-it-work/" TargetMode="External"/><Relationship Id="rId71" Type="http://schemas.openxmlformats.org/officeDocument/2006/relationships/hyperlink" Target="http://www.techtarget.com" TargetMode="External"/><Relationship Id="rId70" Type="http://schemas.openxmlformats.org/officeDocument/2006/relationships/hyperlink" Target="https://www.techtarget.com/whatis/definition/ChatGPT" TargetMode="External"/><Relationship Id="rId1760" Type="http://schemas.openxmlformats.org/officeDocument/2006/relationships/hyperlink" Target="https://e-school.obr.lenreg.ru/" TargetMode="External"/><Relationship Id="rId1761" Type="http://schemas.openxmlformats.org/officeDocument/2006/relationships/hyperlink" Target="http://e-school.obr.lenreg.ru" TargetMode="External"/><Relationship Id="rId1762" Type="http://schemas.openxmlformats.org/officeDocument/2006/relationships/hyperlink" Target="https://school.72to.ru/" TargetMode="External"/><Relationship Id="rId62" Type="http://schemas.openxmlformats.org/officeDocument/2006/relationships/hyperlink" Target="https://openai.com/blog/chatgpt" TargetMode="External"/><Relationship Id="rId1312" Type="http://schemas.openxmlformats.org/officeDocument/2006/relationships/hyperlink" Target="https://yandex.ru/pogoda/michigan-city" TargetMode="External"/><Relationship Id="rId1796" Type="http://schemas.openxmlformats.org/officeDocument/2006/relationships/hyperlink" Target="https://incrussia.ru/news/youtube-stories/" TargetMode="External"/><Relationship Id="rId61" Type="http://schemas.openxmlformats.org/officeDocument/2006/relationships/hyperlink" Target="http://chat-gpt.ru" TargetMode="External"/><Relationship Id="rId1313" Type="http://schemas.openxmlformats.org/officeDocument/2006/relationships/hyperlink" Target="http://yandex.ru" TargetMode="External"/><Relationship Id="rId1797" Type="http://schemas.openxmlformats.org/officeDocument/2006/relationships/hyperlink" Target="http://incrussia.ru" TargetMode="External"/><Relationship Id="rId64" Type="http://schemas.openxmlformats.org/officeDocument/2006/relationships/hyperlink" Target="https://openai.com/" TargetMode="External"/><Relationship Id="rId1314" Type="http://schemas.openxmlformats.org/officeDocument/2006/relationships/hyperlink" Target="https://play.google.com/store/apps/category/WEATHER?hl=ru&amp;gl=US" TargetMode="External"/><Relationship Id="rId1798" Type="http://schemas.openxmlformats.org/officeDocument/2006/relationships/hyperlink" Target="https://vc.ru/u/1706135-monstertube/715669-youtube-shorts-ili-kak-bystro-startovat-na-yutub" TargetMode="External"/><Relationship Id="rId63" Type="http://schemas.openxmlformats.org/officeDocument/2006/relationships/hyperlink" Target="http://openai.com" TargetMode="External"/><Relationship Id="rId1315" Type="http://schemas.openxmlformats.org/officeDocument/2006/relationships/hyperlink" Target="http://play.google.com" TargetMode="External"/><Relationship Id="rId1799" Type="http://schemas.openxmlformats.org/officeDocument/2006/relationships/hyperlink" Target="http://vc.ru" TargetMode="External"/><Relationship Id="rId66" Type="http://schemas.openxmlformats.org/officeDocument/2006/relationships/hyperlink" Target="https://en.wikipedia.org/wiki/ChatGPT" TargetMode="External"/><Relationship Id="rId1316" Type="http://schemas.openxmlformats.org/officeDocument/2006/relationships/hyperlink" Target="https://ru.meteotrend.com/" TargetMode="External"/><Relationship Id="rId65" Type="http://schemas.openxmlformats.org/officeDocument/2006/relationships/hyperlink" Target="http://openai.com" TargetMode="External"/><Relationship Id="rId1317" Type="http://schemas.openxmlformats.org/officeDocument/2006/relationships/hyperlink" Target="http://ru.meteotrend.com" TargetMode="External"/><Relationship Id="rId68" Type="http://schemas.openxmlformats.org/officeDocument/2006/relationships/hyperlink" Target="https://apps.apple.com/us/app/chatgpt/id6448311069" TargetMode="External"/><Relationship Id="rId1318" Type="http://schemas.openxmlformats.org/officeDocument/2006/relationships/hyperlink" Target="https://pogoda.by/" TargetMode="External"/><Relationship Id="rId67" Type="http://schemas.openxmlformats.org/officeDocument/2006/relationships/hyperlink" Target="http://en.wikipedia.org" TargetMode="External"/><Relationship Id="rId1319" Type="http://schemas.openxmlformats.org/officeDocument/2006/relationships/hyperlink" Target="http://pogoda.by" TargetMode="External"/><Relationship Id="rId729" Type="http://schemas.openxmlformats.org/officeDocument/2006/relationships/hyperlink" Target="http://aws.amazon.com" TargetMode="External"/><Relationship Id="rId728" Type="http://schemas.openxmlformats.org/officeDocument/2006/relationships/hyperlink" Target="https://aws.amazon.com/route53/what-is-dns/" TargetMode="External"/><Relationship Id="rId60" Type="http://schemas.openxmlformats.org/officeDocument/2006/relationships/hyperlink" Target="https://chat-gpt.ru/" TargetMode="External"/><Relationship Id="rId723" Type="http://schemas.openxmlformats.org/officeDocument/2006/relationships/hyperlink" Target="http://developers.google.com" TargetMode="External"/><Relationship Id="rId722" Type="http://schemas.openxmlformats.org/officeDocument/2006/relationships/hyperlink" Target="https://developers.google.com/speed/public-dns/docs/using" TargetMode="External"/><Relationship Id="rId721" Type="http://schemas.openxmlformats.org/officeDocument/2006/relationships/hyperlink" Target="http://developers.google.com" TargetMode="External"/><Relationship Id="rId720" Type="http://schemas.openxmlformats.org/officeDocument/2006/relationships/hyperlink" Target="https://developers.google.com/speed/public-dns" TargetMode="External"/><Relationship Id="rId727" Type="http://schemas.openxmlformats.org/officeDocument/2006/relationships/hyperlink" Target="http://cloud.google.com" TargetMode="External"/><Relationship Id="rId726" Type="http://schemas.openxmlformats.org/officeDocument/2006/relationships/hyperlink" Target="https://cloud.google.com/dns" TargetMode="External"/><Relationship Id="rId725" Type="http://schemas.openxmlformats.org/officeDocument/2006/relationships/hyperlink" Target="http://www.cloudflare.com" TargetMode="External"/><Relationship Id="rId724" Type="http://schemas.openxmlformats.org/officeDocument/2006/relationships/hyperlink" Target="https://www.cloudflare.com/learning/dns/what-is-dns/" TargetMode="External"/><Relationship Id="rId69" Type="http://schemas.openxmlformats.org/officeDocument/2006/relationships/hyperlink" Target="http://apps.apple.com" TargetMode="External"/><Relationship Id="rId1790" Type="http://schemas.openxmlformats.org/officeDocument/2006/relationships/hyperlink" Target="https://pikabu.ru/story/blokirovka_yutub_10811596" TargetMode="External"/><Relationship Id="rId1791" Type="http://schemas.openxmlformats.org/officeDocument/2006/relationships/hyperlink" Target="http://pikabu.ru" TargetMode="External"/><Relationship Id="rId1792" Type="http://schemas.openxmlformats.org/officeDocument/2006/relationships/hyperlink" Target="https://developers.google.com/youtube/v3/getting-started" TargetMode="External"/><Relationship Id="rId1793" Type="http://schemas.openxmlformats.org/officeDocument/2006/relationships/hyperlink" Target="http://developers.google.com" TargetMode="External"/><Relationship Id="rId1310" Type="http://schemas.openxmlformats.org/officeDocument/2006/relationships/hyperlink" Target="https://weather.com/ru-RU/weather/tenday/l/Ann+Arbor+MI+United+States?canonicalCityId=3c1740550b2f113b86f9cd665770bcf3e3e1a34bf7ac0189a6e3d215540792e7" TargetMode="External"/><Relationship Id="rId1794" Type="http://schemas.openxmlformats.org/officeDocument/2006/relationships/hyperlink" Target="https://www.1tv.ru/news/issue/2023-11-11/18:00" TargetMode="External"/><Relationship Id="rId1311" Type="http://schemas.openxmlformats.org/officeDocument/2006/relationships/hyperlink" Target="http://weather.com" TargetMode="External"/><Relationship Id="rId1795" Type="http://schemas.openxmlformats.org/officeDocument/2006/relationships/hyperlink" Target="http://www.1tv.ru" TargetMode="External"/><Relationship Id="rId51" Type="http://schemas.openxmlformats.org/officeDocument/2006/relationships/hyperlink" Target="https://play.google.com/store/apps/details?id=com.openai.chatgpt&amp;hl=en_US" TargetMode="External"/><Relationship Id="rId1301" Type="http://schemas.openxmlformats.org/officeDocument/2006/relationships/hyperlink" Target="http://www.gismeteo.ru" TargetMode="External"/><Relationship Id="rId1785" Type="http://schemas.openxmlformats.org/officeDocument/2006/relationships/hyperlink" Target="http://www.iphones.ru" TargetMode="External"/><Relationship Id="rId50" Type="http://schemas.openxmlformats.org/officeDocument/2006/relationships/hyperlink" Target="http://3dnews.ru" TargetMode="External"/><Relationship Id="rId1302" Type="http://schemas.openxmlformats.org/officeDocument/2006/relationships/hyperlink" Target="https://www.gismeteo.ru/weather-ann-arbor-7343/" TargetMode="External"/><Relationship Id="rId1786" Type="http://schemas.openxmlformats.org/officeDocument/2006/relationships/hyperlink" Target="https://blog.youtube/" TargetMode="External"/><Relationship Id="rId53" Type="http://schemas.openxmlformats.org/officeDocument/2006/relationships/hyperlink" Target="https://lenta.ru/articles/2023/07/15/chatgpt/" TargetMode="External"/><Relationship Id="rId1303" Type="http://schemas.openxmlformats.org/officeDocument/2006/relationships/hyperlink" Target="http://www.gismeteo.ru" TargetMode="External"/><Relationship Id="rId1787" Type="http://schemas.openxmlformats.org/officeDocument/2006/relationships/hyperlink" Target="https://iz.ru/tag/youtube" TargetMode="External"/><Relationship Id="rId52" Type="http://schemas.openxmlformats.org/officeDocument/2006/relationships/hyperlink" Target="http://play.google.com" TargetMode="External"/><Relationship Id="rId1304" Type="http://schemas.openxmlformats.org/officeDocument/2006/relationships/hyperlink" Target="https://www.gismeteo.ru/weather-ann-arbor-7343/month/" TargetMode="External"/><Relationship Id="rId1788" Type="http://schemas.openxmlformats.org/officeDocument/2006/relationships/hyperlink" Target="http://iz.ru" TargetMode="External"/><Relationship Id="rId55" Type="http://schemas.openxmlformats.org/officeDocument/2006/relationships/hyperlink" Target="https://gptgo.ai/?hl=ru" TargetMode="External"/><Relationship Id="rId1305" Type="http://schemas.openxmlformats.org/officeDocument/2006/relationships/hyperlink" Target="http://www.gismeteo.ru" TargetMode="External"/><Relationship Id="rId1789" Type="http://schemas.openxmlformats.org/officeDocument/2006/relationships/hyperlink" Target="https://about.youtube/" TargetMode="External"/><Relationship Id="rId54" Type="http://schemas.openxmlformats.org/officeDocument/2006/relationships/hyperlink" Target="http://lenta.ru" TargetMode="External"/><Relationship Id="rId1306" Type="http://schemas.openxmlformats.org/officeDocument/2006/relationships/hyperlink" Target="https://weather.rambler.ru/v-enn-arbore/today/" TargetMode="External"/><Relationship Id="rId57" Type="http://schemas.openxmlformats.org/officeDocument/2006/relationships/hyperlink" Target="https://www.finam.ru/publications/item/chto-takoe-chatgpt-kak-ii-menyaet-pravila-igry-v-razlichnykh-otraslyakh-20230205-1355/" TargetMode="External"/><Relationship Id="rId1307" Type="http://schemas.openxmlformats.org/officeDocument/2006/relationships/hyperlink" Target="http://weather.rambler.ru" TargetMode="External"/><Relationship Id="rId56" Type="http://schemas.openxmlformats.org/officeDocument/2006/relationships/hyperlink" Target="http://gptgo.ai" TargetMode="External"/><Relationship Id="rId1308" Type="http://schemas.openxmlformats.org/officeDocument/2006/relationships/hyperlink" Target="https://weather.com/ru-RU/weather/today/l/Ann+Arbor+MI+United+States?canonicalCityId=3c1740550b2f113b86f9cd665770bcf3e3e1a34bf7ac0189a6e3d215540792e7" TargetMode="External"/><Relationship Id="rId1309" Type="http://schemas.openxmlformats.org/officeDocument/2006/relationships/hyperlink" Target="http://weather.com" TargetMode="External"/><Relationship Id="rId719" Type="http://schemas.openxmlformats.org/officeDocument/2006/relationships/hyperlink" Target="http://help.reg.ru" TargetMode="External"/><Relationship Id="rId718" Type="http://schemas.openxmlformats.org/officeDocument/2006/relationships/hyperlink" Target="https://help.reg.ru/support/dns-servery-i-nastroyka-zony/nastroyka-resursnykh-zapisey-dns/nastroyka-resursnykh-zapisey-na-hostinge" TargetMode="External"/><Relationship Id="rId717" Type="http://schemas.openxmlformats.org/officeDocument/2006/relationships/hyperlink" Target="https://halvacard.ru/shops/elektronika/dns" TargetMode="External"/><Relationship Id="rId712" Type="http://schemas.openxmlformats.org/officeDocument/2006/relationships/hyperlink" Target="http://help-ru.tilda.cc" TargetMode="External"/><Relationship Id="rId711" Type="http://schemas.openxmlformats.org/officeDocument/2006/relationships/hyperlink" Target="https://help-ru.tilda.cc/dns" TargetMode="External"/><Relationship Id="rId710" Type="http://schemas.openxmlformats.org/officeDocument/2006/relationships/hyperlink" Target="http://sankt-peterburg.kitabi.ru" TargetMode="External"/><Relationship Id="rId716" Type="http://schemas.openxmlformats.org/officeDocument/2006/relationships/hyperlink" Target="http://dnsdevelopment.ru" TargetMode="External"/><Relationship Id="rId715" Type="http://schemas.openxmlformats.org/officeDocument/2006/relationships/hyperlink" Target="https://dnsdevelopment.ru/" TargetMode="External"/><Relationship Id="rId714" Type="http://schemas.openxmlformats.org/officeDocument/2006/relationships/hyperlink" Target="http://www.prozapass.ru" TargetMode="External"/><Relationship Id="rId713" Type="http://schemas.openxmlformats.org/officeDocument/2006/relationships/hyperlink" Target="https://www.prozapass.ru/" TargetMode="External"/><Relationship Id="rId59" Type="http://schemas.openxmlformats.org/officeDocument/2006/relationships/hyperlink" Target="http://www.forbes.ru" TargetMode="External"/><Relationship Id="rId58" Type="http://schemas.openxmlformats.org/officeDocument/2006/relationships/hyperlink" Target="https://www.forbes.ru/tekhnologii/486215-programmisty-vizionery-i-genii-biznesa-kto-pridumal-chatgpt-i-kuda-oni-ego-vedut" TargetMode="External"/><Relationship Id="rId1780" Type="http://schemas.openxmlformats.org/officeDocument/2006/relationships/hyperlink" Target="https://support.google.com/youtube/?hl=ru" TargetMode="External"/><Relationship Id="rId1781" Type="http://schemas.openxmlformats.org/officeDocument/2006/relationships/hyperlink" Target="http://support.google.com" TargetMode="External"/><Relationship Id="rId1782" Type="http://schemas.openxmlformats.org/officeDocument/2006/relationships/hyperlink" Target="https://www.youtubekids.com/?hl=ru" TargetMode="External"/><Relationship Id="rId1783" Type="http://schemas.openxmlformats.org/officeDocument/2006/relationships/hyperlink" Target="http://www.youtubekids.com" TargetMode="External"/><Relationship Id="rId1300" Type="http://schemas.openxmlformats.org/officeDocument/2006/relationships/hyperlink" Target="https://www.gismeteo.ru/weather-ann-arbor-7343/weekly/" TargetMode="External"/><Relationship Id="rId1784" Type="http://schemas.openxmlformats.org/officeDocument/2006/relationships/hyperlink" Target="https://www.iphones.ru/iNotes/deputat-gosdumy-predlozhil-operatoram-ubrat-bezlimitnyy-dostup-k-youtube-11-10-2023" TargetMode="External"/><Relationship Id="rId349" Type="http://schemas.openxmlformats.org/officeDocument/2006/relationships/hyperlink" Target="https://ru.wikipedia.org/wiki/VK_(%D0%B7%D0%BD%D0%B0%D1%87%D0%B5%D0%BD%D0%B8%D1%8F)" TargetMode="External"/><Relationship Id="rId348" Type="http://schemas.openxmlformats.org/officeDocument/2006/relationships/hyperlink" Target="http://web.vk.me" TargetMode="External"/><Relationship Id="rId347" Type="http://schemas.openxmlformats.org/officeDocument/2006/relationships/hyperlink" Target="https://web.vk.me/" TargetMode="External"/><Relationship Id="rId346" Type="http://schemas.openxmlformats.org/officeDocument/2006/relationships/hyperlink" Target="http://apps.apple.com" TargetMode="External"/><Relationship Id="rId341" Type="http://schemas.openxmlformats.org/officeDocument/2006/relationships/hyperlink" Target="https://ru.wikipedia.org/wiki/%D0%92%D0%9A%D0%BE%D0%BD%D1%82%D0%B0%D0%BA%D1%82%D0%B5" TargetMode="External"/><Relationship Id="rId340" Type="http://schemas.openxmlformats.org/officeDocument/2006/relationships/hyperlink" Target="http://play.google.com" TargetMode="External"/><Relationship Id="rId345" Type="http://schemas.openxmlformats.org/officeDocument/2006/relationships/hyperlink" Target="https://apps.apple.com/ru/app/%D0%B2%D0%BA%D0%BE%D0%BD%D1%82%D0%B0%D0%BA%D1%82%D0%B5-%D1%81%D0%BE%D0%BE%D0%B1%D1%89%D0%B5%D0%BD%D0%B8%D1%8F-%D0%B2%D0%B8%D0%B4%D0%B5%D0%BE%D1%87%D0%B0%D1%82/id564177498" TargetMode="External"/><Relationship Id="rId344" Type="http://schemas.openxmlformats.org/officeDocument/2006/relationships/hyperlink" Target="http://play.google.com" TargetMode="External"/><Relationship Id="rId343" Type="http://schemas.openxmlformats.org/officeDocument/2006/relationships/hyperlink" Target="https://play.google.com/store/apps/developer?id=VK.com&amp;hl=ru&amp;gl=US" TargetMode="External"/><Relationship Id="rId342" Type="http://schemas.openxmlformats.org/officeDocument/2006/relationships/hyperlink" Target="http://ru.wikipedia.org" TargetMode="External"/><Relationship Id="rId338" Type="http://schemas.openxmlformats.org/officeDocument/2006/relationships/hyperlink" Target="http://m.vk.com" TargetMode="External"/><Relationship Id="rId337" Type="http://schemas.openxmlformats.org/officeDocument/2006/relationships/hyperlink" Target="https://m.vk.com/" TargetMode="External"/><Relationship Id="rId336" Type="http://schemas.openxmlformats.org/officeDocument/2006/relationships/hyperlink" Target="http://ru.pinterest.com" TargetMode="External"/><Relationship Id="rId335" Type="http://schemas.openxmlformats.org/officeDocument/2006/relationships/hyperlink" Target="https://ru.pinterest.com/shitikovav17/%D0%B2%D0%B0%D0%BB%D0%B1%D0%B5%D1%80%D0%B8%D1%81/" TargetMode="External"/><Relationship Id="rId339" Type="http://schemas.openxmlformats.org/officeDocument/2006/relationships/hyperlink" Target="https://play.google.com/store/apps/details?id=com.vkontakte.android&amp;hl=ru&amp;gl=US" TargetMode="External"/><Relationship Id="rId330" Type="http://schemas.openxmlformats.org/officeDocument/2006/relationships/hyperlink" Target="https://www.youtube.com/channel/UCtnVdR1jFU2tqJvpoh9Iwxw" TargetMode="External"/><Relationship Id="rId334" Type="http://schemas.openxmlformats.org/officeDocument/2006/relationships/hyperlink" Target="http://market.yandex.ru" TargetMode="External"/><Relationship Id="rId333" Type="http://schemas.openxmlformats.org/officeDocument/2006/relationships/hyperlink" Target="https://market.yandex.ru/search?text=%D0%B2%D0%B0%D0%BB%D0%B1%D0%B5%D1%80%D0%B8%D1%81%20%D0%B8%D0%BD%D1%82%D0%B5%D1%80%D0%BD%D0%B5%D1%82-%D0%BC%D0%B0%D0%B3%D0%B0%D0%B7%D0%B8%D0%BD%20%D0%BA%D1%83%D0%BF%D0%B8%D1%82%D1%8C%20%D1%85%D0%BE%D0%BB%D0%BE%D0%B4%D0%B8%D0%BB%D1%8C%D0%BD%D0%B8%D0%BA" TargetMode="External"/><Relationship Id="rId332" Type="http://schemas.openxmlformats.org/officeDocument/2006/relationships/hyperlink" Target="https://2gis.ru/yakutsk/search/%D0%92%D0%B0%D0%BB%D0%B1%D0%B5%D1%80%D0%B8%D1%81/filters/district_id%3D70030076313420542" TargetMode="External"/><Relationship Id="rId331" Type="http://schemas.openxmlformats.org/officeDocument/2006/relationships/hyperlink" Target="http://www.youtube.com" TargetMode="External"/><Relationship Id="rId370" Type="http://schemas.openxmlformats.org/officeDocument/2006/relationships/hyperlink" Target="https://vk.me/app" TargetMode="External"/><Relationship Id="rId369" Type="http://schemas.openxmlformats.org/officeDocument/2006/relationships/hyperlink" Target="https://bcs-express.ru/novosti-i-analitika/otchet-vk-za-iii-kvartal" TargetMode="External"/><Relationship Id="rId368" Type="http://schemas.openxmlformats.org/officeDocument/2006/relationships/hyperlink" Target="http://cloud.vkplay.ru" TargetMode="External"/><Relationship Id="rId363" Type="http://schemas.openxmlformats.org/officeDocument/2006/relationships/hyperlink" Target="http://twitter.com" TargetMode="External"/><Relationship Id="rId362" Type="http://schemas.openxmlformats.org/officeDocument/2006/relationships/hyperlink" Target="https://twitter.com/vkontakte?lang=ru" TargetMode="External"/><Relationship Id="rId361" Type="http://schemas.openxmlformats.org/officeDocument/2006/relationships/hyperlink" Target="https://team.vk.company/" TargetMode="External"/><Relationship Id="rId360" Type="http://schemas.openxmlformats.org/officeDocument/2006/relationships/hyperlink" Target="http://vkcombo.ru" TargetMode="External"/><Relationship Id="rId367" Type="http://schemas.openxmlformats.org/officeDocument/2006/relationships/hyperlink" Target="https://cloud.vkplay.ru/" TargetMode="External"/><Relationship Id="rId366" Type="http://schemas.openxmlformats.org/officeDocument/2006/relationships/hyperlink" Target="https://bcs-express.ru/kotirovki-i-grafiki/vkco" TargetMode="External"/><Relationship Id="rId365" Type="http://schemas.openxmlformats.org/officeDocument/2006/relationships/hyperlink" Target="http://mcs.mail.ru" TargetMode="External"/><Relationship Id="rId364" Type="http://schemas.openxmlformats.org/officeDocument/2006/relationships/hyperlink" Target="https://mcs.mail.ru/" TargetMode="External"/><Relationship Id="rId95" Type="http://schemas.openxmlformats.org/officeDocument/2006/relationships/hyperlink" Target="https://ru.wikipedia.org/wiki/YouTube" TargetMode="External"/><Relationship Id="rId94" Type="http://schemas.openxmlformats.org/officeDocument/2006/relationships/hyperlink" Target="http://www.youtube.com" TargetMode="External"/><Relationship Id="rId97" Type="http://schemas.openxmlformats.org/officeDocument/2006/relationships/hyperlink" Target="https://play.google.com/store/apps/details?id=com.google.android.youtube&amp;hl=en_US" TargetMode="External"/><Relationship Id="rId96" Type="http://schemas.openxmlformats.org/officeDocument/2006/relationships/hyperlink" Target="http://ru.wikipedia.org" TargetMode="External"/><Relationship Id="rId99" Type="http://schemas.openxmlformats.org/officeDocument/2006/relationships/hyperlink" Target="https://support.google.com/youtube/answer/9011078?hl=ru" TargetMode="External"/><Relationship Id="rId98" Type="http://schemas.openxmlformats.org/officeDocument/2006/relationships/hyperlink" Target="http://play.google.com" TargetMode="External"/><Relationship Id="rId91" Type="http://schemas.openxmlformats.org/officeDocument/2006/relationships/hyperlink" Target="https://www.sciencefocus.com/future-technology/gpt-3" TargetMode="External"/><Relationship Id="rId90" Type="http://schemas.openxmlformats.org/officeDocument/2006/relationships/hyperlink" Target="http://www.nytimes.com" TargetMode="External"/><Relationship Id="rId93" Type="http://schemas.openxmlformats.org/officeDocument/2006/relationships/hyperlink" Target="https://www.youtube.com/?gl=RU&amp;hl=ru" TargetMode="External"/><Relationship Id="rId92" Type="http://schemas.openxmlformats.org/officeDocument/2006/relationships/hyperlink" Target="http://www.sciencefocus.com" TargetMode="External"/><Relationship Id="rId359" Type="http://schemas.openxmlformats.org/officeDocument/2006/relationships/hyperlink" Target="https://vkcombo.ru/" TargetMode="External"/><Relationship Id="rId358" Type="http://schemas.openxmlformats.org/officeDocument/2006/relationships/hyperlink" Target="http://www.dek.ru" TargetMode="External"/><Relationship Id="rId357" Type="http://schemas.openxmlformats.org/officeDocument/2006/relationships/hyperlink" Target="https://www.dek.ru/vykljuchateli-knopochnye-vk-30" TargetMode="External"/><Relationship Id="rId352" Type="http://schemas.openxmlformats.org/officeDocument/2006/relationships/hyperlink" Target="http://www.tinkoff.ru" TargetMode="External"/><Relationship Id="rId351" Type="http://schemas.openxmlformats.org/officeDocument/2006/relationships/hyperlink" Target="https://www.tinkoff.ru/invest/stocks/VKCO/" TargetMode="External"/><Relationship Id="rId350" Type="http://schemas.openxmlformats.org/officeDocument/2006/relationships/hyperlink" Target="http://ru.wikipedia.org" TargetMode="External"/><Relationship Id="rId356" Type="http://schemas.openxmlformats.org/officeDocument/2006/relationships/hyperlink" Target="http://www.m.vk.ru/" TargetMode="External"/><Relationship Id="rId355" Type="http://schemas.openxmlformats.org/officeDocument/2006/relationships/hyperlink" Target="http://www.m.vk.ru/" TargetMode="External"/><Relationship Id="rId354" Type="http://schemas.openxmlformats.org/officeDocument/2006/relationships/hyperlink" Target="http://vk.mail.ru" TargetMode="External"/><Relationship Id="rId353" Type="http://schemas.openxmlformats.org/officeDocument/2006/relationships/hyperlink" Target="https://vk.mail.ru/" TargetMode="External"/><Relationship Id="rId1378" Type="http://schemas.openxmlformats.org/officeDocument/2006/relationships/hyperlink" Target="http://www.gismeteo.kz" TargetMode="External"/><Relationship Id="rId1379" Type="http://schemas.openxmlformats.org/officeDocument/2006/relationships/hyperlink" Target="https://meteofor.com.ua/ru/weather-zaporizhia-5093/tomorrow/" TargetMode="External"/><Relationship Id="rId305" Type="http://schemas.openxmlformats.org/officeDocument/2006/relationships/hyperlink" Target="http://yandex.ru" TargetMode="External"/><Relationship Id="rId789" Type="http://schemas.openxmlformats.org/officeDocument/2006/relationships/hyperlink" Target="https://domclick.ru/ipoteka/calculator" TargetMode="External"/><Relationship Id="rId304" Type="http://schemas.openxmlformats.org/officeDocument/2006/relationships/hyperlink" Target="https://yandex.ru/maps/51/samara/search/%D0%92%D0%B0%D0%BB%D0%B1%D0%B5%D1%80%D0%B8%D1%81/" TargetMode="External"/><Relationship Id="rId788" Type="http://schemas.openxmlformats.org/officeDocument/2006/relationships/hyperlink" Target="http://web2.0calc.ru" TargetMode="External"/><Relationship Id="rId303" Type="http://schemas.openxmlformats.org/officeDocument/2006/relationships/hyperlink" Target="http://vk.com" TargetMode="External"/><Relationship Id="rId787" Type="http://schemas.openxmlformats.org/officeDocument/2006/relationships/hyperlink" Target="https://web2.0calc.ru/" TargetMode="External"/><Relationship Id="rId302" Type="http://schemas.openxmlformats.org/officeDocument/2006/relationships/hyperlink" Target="https://vk.com/wildberries_thebest" TargetMode="External"/><Relationship Id="rId786" Type="http://schemas.openxmlformats.org/officeDocument/2006/relationships/hyperlink" Target="http://calculator888.ru" TargetMode="External"/><Relationship Id="rId309" Type="http://schemas.openxmlformats.org/officeDocument/2006/relationships/hyperlink" Target="https://market.yandex.ru/search?text=%D0%92%D0%B0%D0%BB%D0%B1%D0%B5%D1%80%D0%B8%D1%81%20%D0%B8%D0%BD%D1%82%D0%B5%D1%80%D0%BD%D0%B5%D1%82%20%D0%BC%D0%B0%D0%B3%D0%B0%D0%B7%D0%B8%D0%BD%20%D1%81%D0%B0%D0%B9%D1%82" TargetMode="External"/><Relationship Id="rId308" Type="http://schemas.openxmlformats.org/officeDocument/2006/relationships/hyperlink" Target="http://www.wildberries.by" TargetMode="External"/><Relationship Id="rId307" Type="http://schemas.openxmlformats.org/officeDocument/2006/relationships/hyperlink" Target="https://www.wildberries.by/" TargetMode="External"/><Relationship Id="rId306" Type="http://schemas.openxmlformats.org/officeDocument/2006/relationships/hyperlink" Target="https://www.ozon.ru/category/valberis-internet-magazin/" TargetMode="External"/><Relationship Id="rId781" Type="http://schemas.openxmlformats.org/officeDocument/2006/relationships/hyperlink" Target="https://calculator888.ru/calculator-procentov" TargetMode="External"/><Relationship Id="rId1370" Type="http://schemas.openxmlformats.org/officeDocument/2006/relationships/hyperlink" Target="http://weather.com" TargetMode="External"/><Relationship Id="rId780" Type="http://schemas.openxmlformats.org/officeDocument/2006/relationships/hyperlink" Target="http://mathsolver.microsoft.com" TargetMode="External"/><Relationship Id="rId1371" Type="http://schemas.openxmlformats.org/officeDocument/2006/relationships/hyperlink" Target="https://books.google.com/books?id=pX45dwxD-vkC&amp;pg=PT36&amp;lpg=PT36&amp;dq=%D0%BF%D0%BE%D0%B3%D0%BE%D0%B4%D0%B0+%D0%B7%D0%B0%D0%B2%D1%82%D1%80%D0%B0&amp;source=bl&amp;ots=d48ygiOrBg&amp;sig=ACfU3U3U1zODcloPFXYxNKFcVvXCoqsowg&amp;hl=ru&amp;sa=X&amp;ved=2ahUKEwix0K7ZiruCAxV0vokEHZcPBQ8Q6AF6BAgZEAM" TargetMode="External"/><Relationship Id="rId1372" Type="http://schemas.openxmlformats.org/officeDocument/2006/relationships/hyperlink" Target="http://books.google.com" TargetMode="External"/><Relationship Id="rId1373" Type="http://schemas.openxmlformats.org/officeDocument/2006/relationships/hyperlink" Target="https://books.google.com/books?id=ncqRBwAAQBAJ&amp;pg=PA216&amp;lpg=PA216&amp;dq=%D0%BF%D0%BE%D0%B3%D0%BE%D0%B4%D0%B0+%D0%B7%D0%B0%D0%B2%D1%82%D1%80%D0%B0&amp;source=bl&amp;ots=VJaLI7exrY&amp;sig=ACfU3U3ye4gF3PQ_MoCqTM5neF0ITQV4jA&amp;hl=ru&amp;sa=X&amp;ved=2ahUKEwix0K7ZiruCAxV0vokEHZcPBQ8Q6AF6BAgaEAM" TargetMode="External"/><Relationship Id="rId301" Type="http://schemas.openxmlformats.org/officeDocument/2006/relationships/hyperlink" Target="http://vk.com" TargetMode="External"/><Relationship Id="rId785" Type="http://schemas.openxmlformats.org/officeDocument/2006/relationships/hyperlink" Target="https://calculator888.ru/" TargetMode="External"/><Relationship Id="rId1374" Type="http://schemas.openxmlformats.org/officeDocument/2006/relationships/hyperlink" Target="http://books.google.com" TargetMode="External"/><Relationship Id="rId300" Type="http://schemas.openxmlformats.org/officeDocument/2006/relationships/hyperlink" Target="https://vk.com/wildberries_shop" TargetMode="External"/><Relationship Id="rId784" Type="http://schemas.openxmlformats.org/officeDocument/2006/relationships/hyperlink" Target="http://www.desmos.com" TargetMode="External"/><Relationship Id="rId1375" Type="http://schemas.openxmlformats.org/officeDocument/2006/relationships/hyperlink" Target="https://www.gismeteo.ru/weather-moscow-4368/tomorrow/" TargetMode="External"/><Relationship Id="rId783" Type="http://schemas.openxmlformats.org/officeDocument/2006/relationships/hyperlink" Target="https://www.desmos.com/scientific?lang=ru" TargetMode="External"/><Relationship Id="rId1376" Type="http://schemas.openxmlformats.org/officeDocument/2006/relationships/hyperlink" Target="http://www.gismeteo.ru" TargetMode="External"/><Relationship Id="rId782" Type="http://schemas.openxmlformats.org/officeDocument/2006/relationships/hyperlink" Target="http://calculator888.ru" TargetMode="External"/><Relationship Id="rId1377" Type="http://schemas.openxmlformats.org/officeDocument/2006/relationships/hyperlink" Target="https://www.gismeteo.kz/weather-almaty-5205/tomorrow/" TargetMode="External"/><Relationship Id="rId1367" Type="http://schemas.openxmlformats.org/officeDocument/2006/relationships/hyperlink" Target="https://weather.com/ru-RU/weather/today/l/Ann+Arbor+MI+United+States?canonicalCityId=3c1740550b2f113b86f9cd665770bcf3e3e1a34bf7ac0189a6e3d215540792e7" TargetMode="External"/><Relationship Id="rId1368" Type="http://schemas.openxmlformats.org/officeDocument/2006/relationships/hyperlink" Target="http://weather.com" TargetMode="External"/><Relationship Id="rId1369" Type="http://schemas.openxmlformats.org/officeDocument/2006/relationships/hyperlink" Target="https://weather.com/ru-RU/weather/tenday/l/Ann+Arbor+MI+United+States?canonicalCityId=3c1740550b2f113b86f9cd665770bcf3e3e1a34bf7ac0189a6e3d215540792e7" TargetMode="External"/><Relationship Id="rId778" Type="http://schemas.openxmlformats.org/officeDocument/2006/relationships/hyperlink" Target="http://okcalc.com" TargetMode="External"/><Relationship Id="rId777" Type="http://schemas.openxmlformats.org/officeDocument/2006/relationships/hyperlink" Target="https://okcalc.com/ru/" TargetMode="External"/><Relationship Id="rId776" Type="http://schemas.openxmlformats.org/officeDocument/2006/relationships/hyperlink" Target="http://www.afisha.ru" TargetMode="External"/><Relationship Id="rId775" Type="http://schemas.openxmlformats.org/officeDocument/2006/relationships/hyperlink" Target="https://www.afisha.ru/people/inna-churikova-287968/" TargetMode="External"/><Relationship Id="rId779" Type="http://schemas.openxmlformats.org/officeDocument/2006/relationships/hyperlink" Target="https://mathsolver.microsoft.com/ru/algebra-calculator" TargetMode="External"/><Relationship Id="rId770" Type="http://schemas.openxmlformats.org/officeDocument/2006/relationships/hyperlink" Target="http://24smi.org" TargetMode="External"/><Relationship Id="rId1360" Type="http://schemas.openxmlformats.org/officeDocument/2006/relationships/hyperlink" Target="http://weather.rambler.ru" TargetMode="External"/><Relationship Id="rId1361" Type="http://schemas.openxmlformats.org/officeDocument/2006/relationships/hyperlink" Target="https://www.meteoservice.ru/weather/tomorrow/engels" TargetMode="External"/><Relationship Id="rId1362" Type="http://schemas.openxmlformats.org/officeDocument/2006/relationships/hyperlink" Target="http://www.meteoservice.ru" TargetMode="External"/><Relationship Id="rId774" Type="http://schemas.openxmlformats.org/officeDocument/2006/relationships/hyperlink" Target="http://www.facebook.com" TargetMode="External"/><Relationship Id="rId1363" Type="http://schemas.openxmlformats.org/officeDocument/2006/relationships/hyperlink" Target="https://ru.meteotrend.com/forecast/us/manhattan_3/" TargetMode="External"/><Relationship Id="rId773" Type="http://schemas.openxmlformats.org/officeDocument/2006/relationships/hyperlink" Target="https://www.facebook.com/IChurikova/?locale=ru_RU" TargetMode="External"/><Relationship Id="rId1364" Type="http://schemas.openxmlformats.org/officeDocument/2006/relationships/hyperlink" Target="http://ru.meteotrend.com" TargetMode="External"/><Relationship Id="rId772" Type="http://schemas.openxmlformats.org/officeDocument/2006/relationships/hyperlink" Target="http://www.forbes.ru" TargetMode="External"/><Relationship Id="rId1365" Type="http://schemas.openxmlformats.org/officeDocument/2006/relationships/hyperlink" Target="https://meteo.ua/172/zaporoje" TargetMode="External"/><Relationship Id="rId771" Type="http://schemas.openxmlformats.org/officeDocument/2006/relationships/hyperlink" Target="https://www.forbes.ru/forbes-woman/483757-zvezda-peremencivoj-epohi-kak-inna-curikova-vsu-zizn-brosala-vyzov-tradiciam" TargetMode="External"/><Relationship Id="rId1366" Type="http://schemas.openxmlformats.org/officeDocument/2006/relationships/hyperlink" Target="http://meteo.ua" TargetMode="External"/><Relationship Id="rId327" Type="http://schemas.openxmlformats.org/officeDocument/2006/relationships/hyperlink" Target="https://valberis.ru/" TargetMode="External"/><Relationship Id="rId326" Type="http://schemas.openxmlformats.org/officeDocument/2006/relationships/hyperlink" Target="http://valberis.ru" TargetMode="External"/><Relationship Id="rId325" Type="http://schemas.openxmlformats.org/officeDocument/2006/relationships/hyperlink" Target="http://www.tiktok.com" TargetMode="External"/><Relationship Id="rId324" Type="http://schemas.openxmlformats.org/officeDocument/2006/relationships/hyperlink" Target="https://www.tiktok.com/tag/%D0%B2%D0%B0%D0%BB%D0%B1%D0%B5%D1%80%D0%B8%D1%81" TargetMode="External"/><Relationship Id="rId329" Type="http://schemas.openxmlformats.org/officeDocument/2006/relationships/hyperlink" Target="http://m.facebook.com" TargetMode="External"/><Relationship Id="rId1390" Type="http://schemas.openxmlformats.org/officeDocument/2006/relationships/hyperlink" Target="http://books.google.com" TargetMode="External"/><Relationship Id="rId328" Type="http://schemas.openxmlformats.org/officeDocument/2006/relationships/hyperlink" Target="https://m.facebook.com/p/%D0%92%D0%B0%D0%BB%D0%B1%D0%B5%D1%80%D0%B8%D1%81-100077566393032/" TargetMode="External"/><Relationship Id="rId1391" Type="http://schemas.openxmlformats.org/officeDocument/2006/relationships/hyperlink" Target="https://tv.yandex.ru/" TargetMode="External"/><Relationship Id="rId1392" Type="http://schemas.openxmlformats.org/officeDocument/2006/relationships/hyperlink" Target="http://tv.yandex.ru" TargetMode="External"/><Relationship Id="rId1393" Type="http://schemas.openxmlformats.org/officeDocument/2006/relationships/hyperlink" Target="https://tv.mail.ru/" TargetMode="External"/><Relationship Id="rId1394" Type="http://schemas.openxmlformats.org/officeDocument/2006/relationships/hyperlink" Target="http://tv.mail.ru" TargetMode="External"/><Relationship Id="rId1395" Type="http://schemas.openxmlformats.org/officeDocument/2006/relationships/hyperlink" Target="https://ntvplus.ru/tv/" TargetMode="External"/><Relationship Id="rId323" Type="http://schemas.openxmlformats.org/officeDocument/2006/relationships/hyperlink" Target="http://play.google.com" TargetMode="External"/><Relationship Id="rId1396" Type="http://schemas.openxmlformats.org/officeDocument/2006/relationships/hyperlink" Target="http://ntvplus.ru" TargetMode="External"/><Relationship Id="rId322" Type="http://schemas.openxmlformats.org/officeDocument/2006/relationships/hyperlink" Target="https://play.google.com/store/apps/details?id=ru.wildberries.team&amp;hl=ru&amp;gl=US" TargetMode="External"/><Relationship Id="rId1397" Type="http://schemas.openxmlformats.org/officeDocument/2006/relationships/hyperlink" Target="https://federal.tv/program" TargetMode="External"/><Relationship Id="rId321" Type="http://schemas.openxmlformats.org/officeDocument/2006/relationships/hyperlink" Target="http://apps.apple.com" TargetMode="External"/><Relationship Id="rId1398" Type="http://schemas.openxmlformats.org/officeDocument/2006/relationships/hyperlink" Target="http://federal.tv" TargetMode="External"/><Relationship Id="rId320" Type="http://schemas.openxmlformats.org/officeDocument/2006/relationships/hyperlink" Target="https://apps.apple.com/ru/app/wildberries/id597880187" TargetMode="External"/><Relationship Id="rId1399" Type="http://schemas.openxmlformats.org/officeDocument/2006/relationships/hyperlink" Target="https://tv.starhit.ru/novosibirsk" TargetMode="External"/><Relationship Id="rId1389" Type="http://schemas.openxmlformats.org/officeDocument/2006/relationships/hyperlink" Target="https://books.google.com/books?id=L9OtEAAAQBAJ&amp;pg=PT19&amp;lpg=PT19&amp;dq=%D0%BF%D0%BE%D0%B3%D0%BE%D0%B4%D0%B0+%D0%B7%D0%B0%D0%B2%D1%82%D1%80%D0%B0&amp;source=bl&amp;ots=JHoBQZZcV5&amp;sig=ACfU3U3AixNjgGSCWglnpxwVA2A6Bqtv1A&amp;hl=ru&amp;sa=X&amp;ved=2ahUKEwicuZzejruCAxXJj4kEHQtZAdIQ6AF6BAgvEAM" TargetMode="External"/><Relationship Id="rId316" Type="http://schemas.openxmlformats.org/officeDocument/2006/relationships/hyperlink" Target="https://trashbox.ru/link/wildberries-android" TargetMode="External"/><Relationship Id="rId315" Type="http://schemas.openxmlformats.org/officeDocument/2006/relationships/hyperlink" Target="https://www.rbc.ru/tags/?tag=Wildberries" TargetMode="External"/><Relationship Id="rId799" Type="http://schemas.openxmlformats.org/officeDocument/2006/relationships/hyperlink" Target="http://www.officemag.ru" TargetMode="External"/><Relationship Id="rId314" Type="http://schemas.openxmlformats.org/officeDocument/2006/relationships/hyperlink" Target="https://ria.ru/organization_wildberries/" TargetMode="External"/><Relationship Id="rId798" Type="http://schemas.openxmlformats.org/officeDocument/2006/relationships/hyperlink" Target="https://www.officemag.ru/info/guide/index.php?ID=10607497" TargetMode="External"/><Relationship Id="rId313" Type="http://schemas.openxmlformats.org/officeDocument/2006/relationships/hyperlink" Target="https://2gis.ru/krasnoyarsk/search/%D0%B2%D0%B0%D0%BB%D0%B1%D0%B5%D1%80%D0%B8%D1%81" TargetMode="External"/><Relationship Id="rId797" Type="http://schemas.openxmlformats.org/officeDocument/2006/relationships/hyperlink" Target="https://calculator.ozon.ru/" TargetMode="External"/><Relationship Id="rId319" Type="http://schemas.openxmlformats.org/officeDocument/2006/relationships/hyperlink" Target="http://irecommend.ru" TargetMode="External"/><Relationship Id="rId318" Type="http://schemas.openxmlformats.org/officeDocument/2006/relationships/hyperlink" Target="https://irecommend.ru/content/valberis-net" TargetMode="External"/><Relationship Id="rId317" Type="http://schemas.openxmlformats.org/officeDocument/2006/relationships/hyperlink" Target="http://trashbox.ru" TargetMode="External"/><Relationship Id="rId1380" Type="http://schemas.openxmlformats.org/officeDocument/2006/relationships/hyperlink" Target="http://meteofor.com.ua" TargetMode="External"/><Relationship Id="rId792" Type="http://schemas.openxmlformats.org/officeDocument/2006/relationships/hyperlink" Target="https://fincalculator.ru/kalkulyator-dnej" TargetMode="External"/><Relationship Id="rId1381" Type="http://schemas.openxmlformats.org/officeDocument/2006/relationships/hyperlink" Target="https://www.meteoservice.ru/weather/tomorrow/vladikavkaz" TargetMode="External"/><Relationship Id="rId791" Type="http://schemas.openxmlformats.org/officeDocument/2006/relationships/hyperlink" Target="http://fincult.info" TargetMode="External"/><Relationship Id="rId1382" Type="http://schemas.openxmlformats.org/officeDocument/2006/relationships/hyperlink" Target="http://www.meteoservice.ru" TargetMode="External"/><Relationship Id="rId790" Type="http://schemas.openxmlformats.org/officeDocument/2006/relationships/hyperlink" Target="https://fincult.info/calc/loan/" TargetMode="External"/><Relationship Id="rId1383" Type="http://schemas.openxmlformats.org/officeDocument/2006/relationships/hyperlink" Target="https://books.google.com/books?id=yekAAAAAYAAJ&amp;pg=PA140&amp;lpg=PA140&amp;dq=%D0%BF%D0%BE%D0%B3%D0%BE%D0%B4%D0%B0+%D0%B7%D0%B0%D0%B2%D1%82%D1%80%D0%B0&amp;source=bl&amp;ots=COO6YzVfsR&amp;sig=ACfU3U2S3_qKeldn-txWqwYkWZYuR7G5cQ&amp;hl=ru&amp;sa=X&amp;ved=2ahUKEwicuZzejruCAxXJj4kEHQtZAdIQ6AF6BAhBEAM" TargetMode="External"/><Relationship Id="rId1384" Type="http://schemas.openxmlformats.org/officeDocument/2006/relationships/hyperlink" Target="http://books.google.com" TargetMode="External"/><Relationship Id="rId312" Type="http://schemas.openxmlformats.org/officeDocument/2006/relationships/hyperlink" Target="http://www.instagram.com" TargetMode="External"/><Relationship Id="rId796" Type="http://schemas.openxmlformats.org/officeDocument/2006/relationships/hyperlink" Target="http://ru.wikipedia.org" TargetMode="External"/><Relationship Id="rId1385" Type="http://schemas.openxmlformats.org/officeDocument/2006/relationships/hyperlink" Target="https://books.google.com/books?id=CplHAQAAMAAJ&amp;pg=PA15&amp;lpg=PA15&amp;dq=%D0%BF%D0%BE%D0%B3%D0%BE%D0%B4%D0%B0+%D0%B7%D0%B0%D0%B2%D1%82%D1%80%D0%B0&amp;source=bl&amp;ots=NdGwwsTbmW&amp;sig=ACfU3U1UiHHjSMgmEXMaI8HZIh24BVLlSg&amp;hl=ru&amp;sa=X&amp;ved=2ahUKEwicuZzejruCAxXJj4kEHQtZAdIQ6AF6BAgwEAM" TargetMode="External"/><Relationship Id="rId311" Type="http://schemas.openxmlformats.org/officeDocument/2006/relationships/hyperlink" Target="https://www.instagram.com/wildberriesru/" TargetMode="External"/><Relationship Id="rId795" Type="http://schemas.openxmlformats.org/officeDocument/2006/relationships/hyperlink" Target="https://ru.wikipedia.org/wiki/%D0%9A%D0%B0%D0%BB%D1%8C%D0%BA%D1%83%D0%BB%D1%8F%D1%82%D0%BE%D1%80" TargetMode="External"/><Relationship Id="rId1386" Type="http://schemas.openxmlformats.org/officeDocument/2006/relationships/hyperlink" Target="http://books.google.com" TargetMode="External"/><Relationship Id="rId310" Type="http://schemas.openxmlformats.org/officeDocument/2006/relationships/hyperlink" Target="http://market.yandex.ru" TargetMode="External"/><Relationship Id="rId794" Type="http://schemas.openxmlformats.org/officeDocument/2006/relationships/hyperlink" Target="https://www.banki.ru/services/calculators/hypothec/" TargetMode="External"/><Relationship Id="rId1387" Type="http://schemas.openxmlformats.org/officeDocument/2006/relationships/hyperlink" Target="https://books.google.com/books?id=JAQkAQAAMAAJ&amp;pg=RA11-PA47&amp;lpg=RA11-PA47&amp;dq=%D0%BF%D0%BE%D0%B3%D0%BE%D0%B4%D0%B0+%D0%B7%D0%B0%D0%B2%D1%82%D1%80%D0%B0&amp;source=bl&amp;ots=m-_uIoNgXJ&amp;sig=ACfU3U0I6ghseaeCc4ivo1fz4cXVUyXhWw&amp;hl=ru&amp;sa=X&amp;ved=2ahUKEwicuZzejruCAxXJj4kEHQtZAdIQ6AF6BAgxEAM" TargetMode="External"/><Relationship Id="rId793" Type="http://schemas.openxmlformats.org/officeDocument/2006/relationships/hyperlink" Target="http://fincalculator.ru" TargetMode="External"/><Relationship Id="rId1388" Type="http://schemas.openxmlformats.org/officeDocument/2006/relationships/hyperlink" Target="http://books.google.com" TargetMode="External"/><Relationship Id="rId297" Type="http://schemas.openxmlformats.org/officeDocument/2006/relationships/hyperlink" Target="http://play.google.com" TargetMode="External"/><Relationship Id="rId296" Type="http://schemas.openxmlformats.org/officeDocument/2006/relationships/hyperlink" Target="https://play.google.com/store/apps/details?id=com.wildberries.ru&amp;hl=ru&amp;gl=US" TargetMode="External"/><Relationship Id="rId295" Type="http://schemas.openxmlformats.org/officeDocument/2006/relationships/hyperlink" Target="https://wildberries.eu/" TargetMode="External"/><Relationship Id="rId294" Type="http://schemas.openxmlformats.org/officeDocument/2006/relationships/hyperlink" Target="http://www.wildberries.ru" TargetMode="External"/><Relationship Id="rId299" Type="http://schemas.openxmlformats.org/officeDocument/2006/relationships/hyperlink" Target="http://ru.wikipedia.org" TargetMode="External"/><Relationship Id="rId298" Type="http://schemas.openxmlformats.org/officeDocument/2006/relationships/hyperlink" Target="https://ru.wikipedia.org/wiki/Wildberries" TargetMode="External"/><Relationship Id="rId271" Type="http://schemas.openxmlformats.org/officeDocument/2006/relationships/hyperlink" Target="http://hh.ru" TargetMode="External"/><Relationship Id="rId270" Type="http://schemas.openxmlformats.org/officeDocument/2006/relationships/hyperlink" Target="https://hh.ru/employer/87021" TargetMode="External"/><Relationship Id="rId269" Type="http://schemas.openxmlformats.org/officeDocument/2006/relationships/hyperlink" Target="http://www.wildberries.by" TargetMode="External"/><Relationship Id="rId264" Type="http://schemas.openxmlformats.org/officeDocument/2006/relationships/hyperlink" Target="https://www.instagram.com/wildberriesru/" TargetMode="External"/><Relationship Id="rId263" Type="http://schemas.openxmlformats.org/officeDocument/2006/relationships/hyperlink" Target="http://apps.apple.com" TargetMode="External"/><Relationship Id="rId262" Type="http://schemas.openxmlformats.org/officeDocument/2006/relationships/hyperlink" Target="https://apps.apple.com/ru/app/wildberries/id597880187" TargetMode="External"/><Relationship Id="rId261" Type="http://schemas.openxmlformats.org/officeDocument/2006/relationships/hyperlink" Target="http://play.google.com" TargetMode="External"/><Relationship Id="rId268" Type="http://schemas.openxmlformats.org/officeDocument/2006/relationships/hyperlink" Target="https://www.wildberries.by/" TargetMode="External"/><Relationship Id="rId267" Type="http://schemas.openxmlformats.org/officeDocument/2006/relationships/hyperlink" Target="http://www.youtube.com" TargetMode="External"/><Relationship Id="rId266" Type="http://schemas.openxmlformats.org/officeDocument/2006/relationships/hyperlink" Target="https://www.youtube.com/channel/UCtnVdR1jFU2tqJvpoh9Iwxw" TargetMode="External"/><Relationship Id="rId265" Type="http://schemas.openxmlformats.org/officeDocument/2006/relationships/hyperlink" Target="http://www.instagram.com" TargetMode="External"/><Relationship Id="rId260" Type="http://schemas.openxmlformats.org/officeDocument/2006/relationships/hyperlink" Target="https://play.google.com/store/apps/details?id=com.wildberries.ru&amp;hl=ru&amp;gl=US" TargetMode="External"/><Relationship Id="rId259" Type="http://schemas.openxmlformats.org/officeDocument/2006/relationships/hyperlink" Target="http://ru.wikipedia.org" TargetMode="External"/><Relationship Id="rId258" Type="http://schemas.openxmlformats.org/officeDocument/2006/relationships/hyperlink" Target="https://ru.wikipedia.org/wiki/Wildberries" TargetMode="External"/><Relationship Id="rId253" Type="http://schemas.openxmlformats.org/officeDocument/2006/relationships/hyperlink" Target="https://vk.com/wildberries_shop" TargetMode="External"/><Relationship Id="rId252" Type="http://schemas.openxmlformats.org/officeDocument/2006/relationships/hyperlink" Target="http://www.wildberries.ru" TargetMode="External"/><Relationship Id="rId251" Type="http://schemas.openxmlformats.org/officeDocument/2006/relationships/hyperlink" Target="https://www.wildberries.ru/" TargetMode="External"/><Relationship Id="rId250" Type="http://schemas.openxmlformats.org/officeDocument/2006/relationships/hyperlink" Target="http://books.google.com" TargetMode="External"/><Relationship Id="rId257" Type="http://schemas.openxmlformats.org/officeDocument/2006/relationships/hyperlink" Target="https://wildberries.eu/" TargetMode="External"/><Relationship Id="rId256" Type="http://schemas.openxmlformats.org/officeDocument/2006/relationships/hyperlink" Target="http://play.google.com" TargetMode="External"/><Relationship Id="rId255" Type="http://schemas.openxmlformats.org/officeDocument/2006/relationships/hyperlink" Target="https://play.google.com/store/apps/details?id=com.wildberries.ru&amp;hl=en_US" TargetMode="External"/><Relationship Id="rId254" Type="http://schemas.openxmlformats.org/officeDocument/2006/relationships/hyperlink" Target="http://vk.com" TargetMode="External"/><Relationship Id="rId293" Type="http://schemas.openxmlformats.org/officeDocument/2006/relationships/hyperlink" Target="https://www.wildberries.ru/" TargetMode="External"/><Relationship Id="rId292" Type="http://schemas.openxmlformats.org/officeDocument/2006/relationships/hyperlink" Target="http://www.forbes.ru" TargetMode="External"/><Relationship Id="rId291" Type="http://schemas.openxmlformats.org/officeDocument/2006/relationships/hyperlink" Target="https://www.forbes.ru/profile/327453-vayldberriz" TargetMode="External"/><Relationship Id="rId290" Type="http://schemas.openxmlformats.org/officeDocument/2006/relationships/hyperlink" Target="http://irecommend.ru" TargetMode="External"/><Relationship Id="rId286" Type="http://schemas.openxmlformats.org/officeDocument/2006/relationships/hyperlink" Target="http://t.me" TargetMode="External"/><Relationship Id="rId285" Type="http://schemas.openxmlformats.org/officeDocument/2006/relationships/hyperlink" Target="https://t.me/wildberriesru_official" TargetMode="External"/><Relationship Id="rId284" Type="http://schemas.openxmlformats.org/officeDocument/2006/relationships/hyperlink" Target="http://www.facebook.com" TargetMode="External"/><Relationship Id="rId283" Type="http://schemas.openxmlformats.org/officeDocument/2006/relationships/hyperlink" Target="https://www.facebook.com/wildberries.ru/?locale=ru_RU" TargetMode="External"/><Relationship Id="rId289" Type="http://schemas.openxmlformats.org/officeDocument/2006/relationships/hyperlink" Target="https://irecommend.ru/content/wwwwildberriesru" TargetMode="External"/><Relationship Id="rId288" Type="http://schemas.openxmlformats.org/officeDocument/2006/relationships/hyperlink" Target="http://vsemrabota.ru" TargetMode="External"/><Relationship Id="rId287" Type="http://schemas.openxmlformats.org/officeDocument/2006/relationships/hyperlink" Target="https://vsemrabota.ru/" TargetMode="External"/><Relationship Id="rId282" Type="http://schemas.openxmlformats.org/officeDocument/2006/relationships/hyperlink" Target="https://2gis.ru/n_novgorod/branches/70000001056016355" TargetMode="External"/><Relationship Id="rId281" Type="http://schemas.openxmlformats.org/officeDocument/2006/relationships/hyperlink" Target="http://www.retail.ru" TargetMode="External"/><Relationship Id="rId280" Type="http://schemas.openxmlformats.org/officeDocument/2006/relationships/hyperlink" Target="https://www.retail.ru/rbc/tradingnetworks/wildberries/" TargetMode="External"/><Relationship Id="rId275" Type="http://schemas.openxmlformats.org/officeDocument/2006/relationships/hyperlink" Target="http://www.facebook.com" TargetMode="External"/><Relationship Id="rId274" Type="http://schemas.openxmlformats.org/officeDocument/2006/relationships/hyperlink" Target="https://www.facebook.com/wildberries.ru/" TargetMode="External"/><Relationship Id="rId273" Type="http://schemas.openxmlformats.org/officeDocument/2006/relationships/hyperlink" Target="http://market.yandex.ru" TargetMode="External"/><Relationship Id="rId272" Type="http://schemas.openxmlformats.org/officeDocument/2006/relationships/hyperlink" Target="https://market.yandex.ru/shop--vaildberriz/4827/reviews" TargetMode="External"/><Relationship Id="rId279" Type="http://schemas.openxmlformats.org/officeDocument/2006/relationships/hyperlink" Target="https://2gis.ru/vladivostok/branches/3518974079942841" TargetMode="External"/><Relationship Id="rId278" Type="http://schemas.openxmlformats.org/officeDocument/2006/relationships/hyperlink" Target="http://pikabu.ru" TargetMode="External"/><Relationship Id="rId277" Type="http://schemas.openxmlformats.org/officeDocument/2006/relationships/hyperlink" Target="https://pikabu.ru/tag/Wildberries" TargetMode="External"/><Relationship Id="rId276" Type="http://schemas.openxmlformats.org/officeDocument/2006/relationships/hyperlink" Target="https://ria.ru/organization_wildberries/" TargetMode="External"/><Relationship Id="rId1851" Type="http://schemas.openxmlformats.org/officeDocument/2006/relationships/hyperlink" Target="http://ru.wikipedia.org" TargetMode="External"/><Relationship Id="rId1852" Type="http://schemas.openxmlformats.org/officeDocument/2006/relationships/hyperlink" Target="https://vk.com/yandex" TargetMode="External"/><Relationship Id="rId1853" Type="http://schemas.openxmlformats.org/officeDocument/2006/relationships/hyperlink" Target="http://vk.com" TargetMode="External"/><Relationship Id="rId1854" Type="http://schemas.openxmlformats.org/officeDocument/2006/relationships/hyperlink" Target="https://www.youtube.com/channel/UCixlrqz8w-oa4UzdKyHLMaA" TargetMode="External"/><Relationship Id="rId1855" Type="http://schemas.openxmlformats.org/officeDocument/2006/relationships/hyperlink" Target="http://www.youtube.com" TargetMode="External"/><Relationship Id="rId1856" Type="http://schemas.openxmlformats.org/officeDocument/2006/relationships/hyperlink" Target="https://www.facebook.com/yandex/?locale=ru_RU" TargetMode="External"/><Relationship Id="rId1857" Type="http://schemas.openxmlformats.org/officeDocument/2006/relationships/hyperlink" Target="http://www.facebook.com" TargetMode="External"/><Relationship Id="rId1858" Type="http://schemas.openxmlformats.org/officeDocument/2006/relationships/hyperlink" Target="https://play.google.com/store/apps/details?id=ru.yandex.searchplugin&amp;hl=ru&amp;gl=US" TargetMode="External"/><Relationship Id="rId1859" Type="http://schemas.openxmlformats.org/officeDocument/2006/relationships/hyperlink" Target="http://play.google.com" TargetMode="External"/><Relationship Id="rId1850" Type="http://schemas.openxmlformats.org/officeDocument/2006/relationships/hyperlink" Target="https://ru.wikipedia.org/wiki/%D0%AF%D0%BD%D0%B4%D0%B5%D0%BA%D1%81" TargetMode="External"/><Relationship Id="rId1840" Type="http://schemas.openxmlformats.org/officeDocument/2006/relationships/hyperlink" Target="https://yandex.ru/company/" TargetMode="External"/><Relationship Id="rId1841" Type="http://schemas.openxmlformats.org/officeDocument/2006/relationships/hyperlink" Target="http://yandex.ru" TargetMode="External"/><Relationship Id="rId1842" Type="http://schemas.openxmlformats.org/officeDocument/2006/relationships/hyperlink" Target="https://browser.yandex.ru/" TargetMode="External"/><Relationship Id="rId1843" Type="http://schemas.openxmlformats.org/officeDocument/2006/relationships/hyperlink" Target="http://browser.yandex.ru" TargetMode="External"/><Relationship Id="rId1844" Type="http://schemas.openxmlformats.org/officeDocument/2006/relationships/hyperlink" Target="https://yandex.ru/games/" TargetMode="External"/><Relationship Id="rId1845" Type="http://schemas.openxmlformats.org/officeDocument/2006/relationships/hyperlink" Target="http://yandex.ru" TargetMode="External"/><Relationship Id="rId1846" Type="http://schemas.openxmlformats.org/officeDocument/2006/relationships/hyperlink" Target="https://dzen.ru/" TargetMode="External"/><Relationship Id="rId1847" Type="http://schemas.openxmlformats.org/officeDocument/2006/relationships/hyperlink" Target="http://dzen.ru" TargetMode="External"/><Relationship Id="rId1848" Type="http://schemas.openxmlformats.org/officeDocument/2006/relationships/hyperlink" Target="https://www.gazeta.ru/tags/organization/yandeks.shtml" TargetMode="External"/><Relationship Id="rId1849" Type="http://schemas.openxmlformats.org/officeDocument/2006/relationships/hyperlink" Target="http://www.gazeta.ru" TargetMode="External"/><Relationship Id="rId1870" Type="http://schemas.openxmlformats.org/officeDocument/2006/relationships/hyperlink" Target="https://go.yandex/ru_ru/" TargetMode="External"/><Relationship Id="rId1871" Type="http://schemas.openxmlformats.org/officeDocument/2006/relationships/drawing" Target="../drawings/drawing1.xml"/><Relationship Id="rId1862" Type="http://schemas.openxmlformats.org/officeDocument/2006/relationships/hyperlink" Target="https://www.vedomosti.ru/companies/yandex-n-v" TargetMode="External"/><Relationship Id="rId1863" Type="http://schemas.openxmlformats.org/officeDocument/2006/relationships/hyperlink" Target="http://www.vedomosti.ru" TargetMode="External"/><Relationship Id="rId1864" Type="http://schemas.openxmlformats.org/officeDocument/2006/relationships/hyperlink" Target="https://habr.com/ru/companies/yandex/articles/" TargetMode="External"/><Relationship Id="rId1865" Type="http://schemas.openxmlformats.org/officeDocument/2006/relationships/hyperlink" Target="http://habr.com" TargetMode="External"/><Relationship Id="rId1866" Type="http://schemas.openxmlformats.org/officeDocument/2006/relationships/hyperlink" Target="https://3dnews.ru/1095711/yandeks-anonsiroval-umnuyu-kolonku-stantsiya-midi-s-moshchnim-zvukom-neyroprotsessorom-i-zigbee" TargetMode="External"/><Relationship Id="rId1867" Type="http://schemas.openxmlformats.org/officeDocument/2006/relationships/hyperlink" Target="http://3dnews.ru" TargetMode="External"/><Relationship Id="rId1868" Type="http://schemas.openxmlformats.org/officeDocument/2006/relationships/hyperlink" Target="https://www.tinkoff.ru/invest/stocks/YNDX/" TargetMode="External"/><Relationship Id="rId1869" Type="http://schemas.openxmlformats.org/officeDocument/2006/relationships/hyperlink" Target="http://www.tinkoff.ru" TargetMode="External"/><Relationship Id="rId1860" Type="http://schemas.openxmlformats.org/officeDocument/2006/relationships/hyperlink" Target="https://www.instagram.com/yandex/" TargetMode="External"/><Relationship Id="rId1861" Type="http://schemas.openxmlformats.org/officeDocument/2006/relationships/hyperlink" Target="http://www.instagram.com" TargetMode="External"/><Relationship Id="rId1810" Type="http://schemas.openxmlformats.org/officeDocument/2006/relationships/hyperlink" Target="https://books.google.com/books?id=_kFTDAAAQBAJ&amp;pg=PT134&amp;lpg=PT134&amp;dq=%D1%8E%D1%82%D1%83%D0%B1&amp;source=bl&amp;ots=bLvHBgAo0s&amp;sig=ACfU3U0Pyndc8hjaNRi15U3VE_0qEUUSYg&amp;hl=ru&amp;sa=X&amp;ved=2ahUKEwjCyrymiruCAxVFkIkEHQa0AN4Q6AF6BAgdEAM" TargetMode="External"/><Relationship Id="rId1811" Type="http://schemas.openxmlformats.org/officeDocument/2006/relationships/hyperlink" Target="http://books.google.com" TargetMode="External"/><Relationship Id="rId1812" Type="http://schemas.openxmlformats.org/officeDocument/2006/relationships/hyperlink" Target="https://books.google.com/books?id=znfMDQAAQBAJ&amp;pg=PT159&amp;lpg=PT159&amp;dq=%D1%8E%D1%82%D1%83%D0%B1&amp;source=bl&amp;ots=uxJh_a_XWd&amp;sig=ACfU3U0NyltHzAbHda6_8SpLyL38hs_L0Q&amp;hl=ru&amp;sa=X&amp;ved=2ahUKEwjCyrymiruCAxVFkIkEHQa0AN4Q6AF6BAgcEAM" TargetMode="External"/><Relationship Id="rId1813" Type="http://schemas.openxmlformats.org/officeDocument/2006/relationships/hyperlink" Target="http://books.google.com" TargetMode="External"/><Relationship Id="rId1814" Type="http://schemas.openxmlformats.org/officeDocument/2006/relationships/hyperlink" Target="https://books.google.com/books?id=wqYUEAAAQBAJ&amp;pg=PT140&amp;lpg=PT140&amp;dq=%D1%8E%D1%82%D1%83%D0%B1&amp;source=bl&amp;ots=1qzbbNjv_c&amp;sig=ACfU3U3FDcBAO8P1px66izhIGeTHL3zO_w&amp;hl=ru&amp;sa=X&amp;ved=2ahUKEwjCyrymiruCAxVFkIkEHQa0AN4Q6AF6BAgbEAM" TargetMode="External"/><Relationship Id="rId1815" Type="http://schemas.openxmlformats.org/officeDocument/2006/relationships/hyperlink" Target="http://books.google.com" TargetMode="External"/><Relationship Id="rId1816" Type="http://schemas.openxmlformats.org/officeDocument/2006/relationships/hyperlink" Target="https://developers.google.com/youtube" TargetMode="External"/><Relationship Id="rId1817" Type="http://schemas.openxmlformats.org/officeDocument/2006/relationships/hyperlink" Target="http://developers.google.com" TargetMode="External"/><Relationship Id="rId1818" Type="http://schemas.openxmlformats.org/officeDocument/2006/relationships/hyperlink" Target="https://books.google.com/books?id=SY6sDwAAQBAJ&amp;pg=PT145&amp;lpg=PT145&amp;dq=%D1%8E%D1%82%D1%83%D0%B1&amp;source=bl&amp;ots=GAVTuFdBAP&amp;sig=ACfU3U1BuzxDzrOA1Mr3uOPUPfo9qdNcLA&amp;hl=ru&amp;sa=X&amp;ved=2ahUKEwjCyrymiruCAxVFkIkEHQa0AN4Q6AF6BAgeEAM" TargetMode="External"/><Relationship Id="rId1819" Type="http://schemas.openxmlformats.org/officeDocument/2006/relationships/hyperlink" Target="http://books.google.com" TargetMode="External"/><Relationship Id="rId1800" Type="http://schemas.openxmlformats.org/officeDocument/2006/relationships/hyperlink" Target="https://www.youtube.com/" TargetMode="External"/><Relationship Id="rId1801" Type="http://schemas.openxmlformats.org/officeDocument/2006/relationships/hyperlink" Target="http://www.youtube.com" TargetMode="External"/><Relationship Id="rId1802" Type="http://schemas.openxmlformats.org/officeDocument/2006/relationships/hyperlink" Target="https://apps.apple.com/us/app/youtube-watch-listen-stream/id544007664" TargetMode="External"/><Relationship Id="rId1803" Type="http://schemas.openxmlformats.org/officeDocument/2006/relationships/hyperlink" Target="http://apps.apple.com" TargetMode="External"/><Relationship Id="rId1804" Type="http://schemas.openxmlformats.org/officeDocument/2006/relationships/hyperlink" Target="https://play.google.com/store/apps/details?id=com.google.android.youtube&amp;hl=en_US" TargetMode="External"/><Relationship Id="rId1805" Type="http://schemas.openxmlformats.org/officeDocument/2006/relationships/hyperlink" Target="http://play.google.com" TargetMode="External"/><Relationship Id="rId1806" Type="http://schemas.openxmlformats.org/officeDocument/2006/relationships/hyperlink" Target="https://en.wikipedia.org/wiki/YouTube" TargetMode="External"/><Relationship Id="rId1807" Type="http://schemas.openxmlformats.org/officeDocument/2006/relationships/hyperlink" Target="http://en.wikipedia.org" TargetMode="External"/><Relationship Id="rId1808" Type="http://schemas.openxmlformats.org/officeDocument/2006/relationships/hyperlink" Target="https://support.google.com/youtube/?hl=en" TargetMode="External"/><Relationship Id="rId1809" Type="http://schemas.openxmlformats.org/officeDocument/2006/relationships/hyperlink" Target="http://support.google.com" TargetMode="External"/><Relationship Id="rId1830" Type="http://schemas.openxmlformats.org/officeDocument/2006/relationships/hyperlink" Target="http://books.google.com" TargetMode="External"/><Relationship Id="rId1831" Type="http://schemas.openxmlformats.org/officeDocument/2006/relationships/hyperlink" Target="https://books.google.com/books?id=_kFTDAAAQBAJ&amp;pg=PT40&amp;lpg=PT40&amp;dq=%D1%8E%D1%82%D1%83%D0%B1&amp;source=bl&amp;ots=bLvHBgBo5u&amp;sig=ACfU3U2m5GrJUmBnFJACFK_cqM8jK6Cp2Q&amp;hl=ru&amp;sa=X&amp;ved=2ahUKEwivx6mcjruCAxWqv4kEHarZA2UQ6AF6BAgfEAM" TargetMode="External"/><Relationship Id="rId1832" Type="http://schemas.openxmlformats.org/officeDocument/2006/relationships/hyperlink" Target="http://books.google.com" TargetMode="External"/><Relationship Id="rId1833" Type="http://schemas.openxmlformats.org/officeDocument/2006/relationships/hyperlink" Target="https://fontawesome.com/icons/youtube" TargetMode="External"/><Relationship Id="rId1834" Type="http://schemas.openxmlformats.org/officeDocument/2006/relationships/hyperlink" Target="http://fontawesome.com" TargetMode="External"/><Relationship Id="rId1835" Type="http://schemas.openxmlformats.org/officeDocument/2006/relationships/hyperlink" Target="https://ya.ru/" TargetMode="External"/><Relationship Id="rId1836" Type="http://schemas.openxmlformats.org/officeDocument/2006/relationships/hyperlink" Target="http://ya.ru" TargetMode="External"/><Relationship Id="rId1837" Type="http://schemas.openxmlformats.org/officeDocument/2006/relationships/hyperlink" Target="https://mail.yandex.ru/" TargetMode="External"/><Relationship Id="rId1838" Type="http://schemas.openxmlformats.org/officeDocument/2006/relationships/hyperlink" Target="http://mail.yandex.ru" TargetMode="External"/><Relationship Id="rId1839" Type="http://schemas.openxmlformats.org/officeDocument/2006/relationships/hyperlink" Target="https://music.yandex.ru/" TargetMode="External"/><Relationship Id="rId1820" Type="http://schemas.openxmlformats.org/officeDocument/2006/relationships/hyperlink" Target="https://www.youtubekids.com/" TargetMode="External"/><Relationship Id="rId1821" Type="http://schemas.openxmlformats.org/officeDocument/2006/relationships/hyperlink" Target="http://www.youtubekids.com" TargetMode="External"/><Relationship Id="rId1822" Type="http://schemas.openxmlformats.org/officeDocument/2006/relationships/hyperlink" Target="https://accounts.google.com/ServiceLogin?service=youtube" TargetMode="External"/><Relationship Id="rId1823" Type="http://schemas.openxmlformats.org/officeDocument/2006/relationships/hyperlink" Target="http://accounts.google.com" TargetMode="External"/><Relationship Id="rId1824" Type="http://schemas.openxmlformats.org/officeDocument/2006/relationships/hyperlink" Target="https://artists.youtube/" TargetMode="External"/><Relationship Id="rId1825" Type="http://schemas.openxmlformats.org/officeDocument/2006/relationships/hyperlink" Target="https://books.google.com/books?id=SY6sDwAAQBAJ&amp;pg=PT137&amp;lpg=PT137&amp;dq=%D1%8E%D1%82%D1%83%D0%B1&amp;source=bl&amp;ots=GAVTuFeBFR&amp;sig=ACfU3U12QSH7pan_JXFixzoW36B6Go0uOg&amp;hl=ru&amp;sa=X&amp;ved=2ahUKEwivx6mcjruCAxWqv4kEHarZA2UQ6AF6BAghEAM" TargetMode="External"/><Relationship Id="rId1826" Type="http://schemas.openxmlformats.org/officeDocument/2006/relationships/hyperlink" Target="http://books.google.com" TargetMode="External"/><Relationship Id="rId1827" Type="http://schemas.openxmlformats.org/officeDocument/2006/relationships/hyperlink" Target="https://support.google.com/youtube/answer/1646861?hl=en" TargetMode="External"/><Relationship Id="rId1828" Type="http://schemas.openxmlformats.org/officeDocument/2006/relationships/hyperlink" Target="http://support.google.com" TargetMode="External"/><Relationship Id="rId1829" Type="http://schemas.openxmlformats.org/officeDocument/2006/relationships/hyperlink" Target="https://books.google.com/books?id=wqYUEAAAQBAJ&amp;pg=PP1&amp;lpg=PP1&amp;dq=%D1%8E%D1%82%D1%83%D0%B1&amp;source=bl&amp;ots=1qzbbNkv3e&amp;sig=ACfU3U1Q2-i_fhgxR5wCfDGzc_d38cD4pg&amp;hl=ru&amp;sa=X&amp;ved=2ahUKEwivx6mcjruCAxWqv4kEHarZA2UQ6AF6BAggEAM" TargetMode="External"/><Relationship Id="rId1455" Type="http://schemas.openxmlformats.org/officeDocument/2006/relationships/hyperlink" Target="https://www.rbc.ru/life/news/630dd2919a7947d1efb58320" TargetMode="External"/><Relationship Id="rId1456" Type="http://schemas.openxmlformats.org/officeDocument/2006/relationships/hyperlink" Target="https://fincalculator.ru/kalendar" TargetMode="External"/><Relationship Id="rId1457" Type="http://schemas.openxmlformats.org/officeDocument/2006/relationships/hyperlink" Target="http://fincalculator.ru" TargetMode="External"/><Relationship Id="rId1458" Type="http://schemas.openxmlformats.org/officeDocument/2006/relationships/hyperlink" Target="https://hr.hse.ru/calendar" TargetMode="External"/><Relationship Id="rId1459" Type="http://schemas.openxmlformats.org/officeDocument/2006/relationships/hyperlink" Target="http://hr.hse.ru" TargetMode="External"/><Relationship Id="rId629" Type="http://schemas.openxmlformats.org/officeDocument/2006/relationships/hyperlink" Target="http://sites.google.com" TargetMode="External"/><Relationship Id="rId624" Type="http://schemas.openxmlformats.org/officeDocument/2006/relationships/hyperlink" Target="https://scholar.google.com/" TargetMode="External"/><Relationship Id="rId623" Type="http://schemas.openxmlformats.org/officeDocument/2006/relationships/hyperlink" Target="http://www.linkedin.com" TargetMode="External"/><Relationship Id="rId622" Type="http://schemas.openxmlformats.org/officeDocument/2006/relationships/hyperlink" Target="https://www.linkedin.com/company/google" TargetMode="External"/><Relationship Id="rId621" Type="http://schemas.openxmlformats.org/officeDocument/2006/relationships/hyperlink" Target="http://trends.google.com" TargetMode="External"/><Relationship Id="rId628" Type="http://schemas.openxmlformats.org/officeDocument/2006/relationships/hyperlink" Target="https://sites.google.com/" TargetMode="External"/><Relationship Id="rId627" Type="http://schemas.openxmlformats.org/officeDocument/2006/relationships/hyperlink" Target="http://assistant.google.com" TargetMode="External"/><Relationship Id="rId626" Type="http://schemas.openxmlformats.org/officeDocument/2006/relationships/hyperlink" Target="https://assistant.google.com/" TargetMode="External"/><Relationship Id="rId625" Type="http://schemas.openxmlformats.org/officeDocument/2006/relationships/hyperlink" Target="http://scholar.google.com" TargetMode="External"/><Relationship Id="rId1450" Type="http://schemas.openxmlformats.org/officeDocument/2006/relationships/hyperlink" Target="http://duma.gov.ru/news/55144/" TargetMode="External"/><Relationship Id="rId620" Type="http://schemas.openxmlformats.org/officeDocument/2006/relationships/hyperlink" Target="https://trends.google.com/trends/" TargetMode="External"/><Relationship Id="rId1451" Type="http://schemas.openxmlformats.org/officeDocument/2006/relationships/hyperlink" Target="https://school.kontur.ru/publications/2249" TargetMode="External"/><Relationship Id="rId1452" Type="http://schemas.openxmlformats.org/officeDocument/2006/relationships/hyperlink" Target="http://school.kontur.ru" TargetMode="External"/><Relationship Id="rId1453" Type="http://schemas.openxmlformats.org/officeDocument/2006/relationships/hyperlink" Target="https://spb.hse.ru/data/2023/03/23/2022849694/(%D0%BF%D1%8F%D1%82%D0%B8%D0%B4%D0%BD%D0%B5%D0%B2%D0%BD%D0%B0%D1%8F%20%D1%80%D0%B0%D0%B1%D0%BE%D1%87%D0%B0%D1%8F%20%D0%BD%D0%B5%D0%B4%D0%B5%D0%BB%D1%8F).pdf" TargetMode="External"/><Relationship Id="rId1454" Type="http://schemas.openxmlformats.org/officeDocument/2006/relationships/hyperlink" Target="http://spb.hse.ru" TargetMode="External"/><Relationship Id="rId1444" Type="http://schemas.openxmlformats.org/officeDocument/2006/relationships/hyperlink" Target="https://buh.ru/calendar/" TargetMode="External"/><Relationship Id="rId1445" Type="http://schemas.openxmlformats.org/officeDocument/2006/relationships/hyperlink" Target="http://buh.ru" TargetMode="External"/><Relationship Id="rId1446" Type="http://schemas.openxmlformats.org/officeDocument/2006/relationships/hyperlink" Target="https://www.tinkoff.ru/career/blog/proivodstvennyj-kalendar-2023/" TargetMode="External"/><Relationship Id="rId1447" Type="http://schemas.openxmlformats.org/officeDocument/2006/relationships/hyperlink" Target="http://www.tinkoff.ru" TargetMode="External"/><Relationship Id="rId1448" Type="http://schemas.openxmlformats.org/officeDocument/2006/relationships/hyperlink" Target="https://secrets.tinkoff.ru/calendar/2023/" TargetMode="External"/><Relationship Id="rId1449" Type="http://schemas.openxmlformats.org/officeDocument/2006/relationships/hyperlink" Target="http://secrets.tinkoff.ru" TargetMode="External"/><Relationship Id="rId619" Type="http://schemas.openxmlformats.org/officeDocument/2006/relationships/hyperlink" Target="http://cloud.google.com" TargetMode="External"/><Relationship Id="rId618" Type="http://schemas.openxmlformats.org/officeDocument/2006/relationships/hyperlink" Target="https://cloud.google.com/" TargetMode="External"/><Relationship Id="rId613" Type="http://schemas.openxmlformats.org/officeDocument/2006/relationships/hyperlink" Target="http://earth.google.com" TargetMode="External"/><Relationship Id="rId612" Type="http://schemas.openxmlformats.org/officeDocument/2006/relationships/hyperlink" Target="https://earth.google.com/" TargetMode="External"/><Relationship Id="rId611" Type="http://schemas.openxmlformats.org/officeDocument/2006/relationships/hyperlink" Target="http://accounts.google.com" TargetMode="External"/><Relationship Id="rId610" Type="http://schemas.openxmlformats.org/officeDocument/2006/relationships/hyperlink" Target="https://accounts.google.com/" TargetMode="External"/><Relationship Id="rId617" Type="http://schemas.openxmlformats.org/officeDocument/2006/relationships/hyperlink" Target="http://meet.google.com" TargetMode="External"/><Relationship Id="rId616" Type="http://schemas.openxmlformats.org/officeDocument/2006/relationships/hyperlink" Target="https://meet.google.com/" TargetMode="External"/><Relationship Id="rId615" Type="http://schemas.openxmlformats.org/officeDocument/2006/relationships/hyperlink" Target="http://ads.google.com" TargetMode="External"/><Relationship Id="rId614" Type="http://schemas.openxmlformats.org/officeDocument/2006/relationships/hyperlink" Target="https://ads.google.com/home/" TargetMode="External"/><Relationship Id="rId1440" Type="http://schemas.openxmlformats.org/officeDocument/2006/relationships/hyperlink" Target="https://www.superjob.ru/proizvodstvennyj_kalendar/2023/" TargetMode="External"/><Relationship Id="rId1441" Type="http://schemas.openxmlformats.org/officeDocument/2006/relationships/hyperlink" Target="https://hh.ru/calendar" TargetMode="External"/><Relationship Id="rId1442" Type="http://schemas.openxmlformats.org/officeDocument/2006/relationships/hyperlink" Target="http://hh.ru" TargetMode="External"/><Relationship Id="rId1443" Type="http://schemas.openxmlformats.org/officeDocument/2006/relationships/hyperlink" Target="https://www.mos.ru/otvet-rabota/kakie-dni-v-2023-godu-nerabochie/" TargetMode="External"/><Relationship Id="rId1477" Type="http://schemas.openxmlformats.org/officeDocument/2006/relationships/hyperlink" Target="http://pozdravok.com" TargetMode="External"/><Relationship Id="rId1478" Type="http://schemas.openxmlformats.org/officeDocument/2006/relationships/hyperlink" Target="https://www.rada.zp.ua/pozdravleniya/pozdravleniya-s-dnem-rozhdeniya/s-dnem-rozhdeniya-svoimi-slovami" TargetMode="External"/><Relationship Id="rId1479" Type="http://schemas.openxmlformats.org/officeDocument/2006/relationships/hyperlink" Target="http://www.rada.zp.ua" TargetMode="External"/><Relationship Id="rId646" Type="http://schemas.openxmlformats.org/officeDocument/2006/relationships/hyperlink" Target="http://play.google.com" TargetMode="External"/><Relationship Id="rId645" Type="http://schemas.openxmlformats.org/officeDocument/2006/relationships/hyperlink" Target="https://play.google.com/store/apps/details?id=ru.dnevnik.app&amp;hl=en_US" TargetMode="External"/><Relationship Id="rId644" Type="http://schemas.openxmlformats.org/officeDocument/2006/relationships/hyperlink" Target="http://apps.apple.com" TargetMode="External"/><Relationship Id="rId643" Type="http://schemas.openxmlformats.org/officeDocument/2006/relationships/hyperlink" Target="https://apps.apple.com/ru/app/%D0%B4%D0%BD%D0%B5%D0%B2%D0%BD%D0%B8%D0%BA-%D1%80%D1%83/id1127180528" TargetMode="External"/><Relationship Id="rId649" Type="http://schemas.openxmlformats.org/officeDocument/2006/relationships/hyperlink" Target="https://www.sravni.ru/enciklopediya/info/lichnyj-kabinet-dnevnik-ru/" TargetMode="External"/><Relationship Id="rId648" Type="http://schemas.openxmlformats.org/officeDocument/2006/relationships/hyperlink" Target="http://apps.apple.com" TargetMode="External"/><Relationship Id="rId647" Type="http://schemas.openxmlformats.org/officeDocument/2006/relationships/hyperlink" Target="https://apps.apple.com/ru/app/%D0%B6%D1%83%D1%80%D0%BD%D0%B0%D0%BB-%D0%B4%D0%BD%D0%B5%D0%B2%D0%BD%D0%B8%D0%BA-%D1%80%D1%83/id1441761001" TargetMode="External"/><Relationship Id="rId1470" Type="http://schemas.openxmlformats.org/officeDocument/2006/relationships/hyperlink" Target="https://hr.urfu.ru/fileadmin/user_upload/site_15130/Proizvodstvennyi_kalendar/2023/6-ti_dnevnaja_rabochaja_nedelja_Dokument_predostavlen_KonsultantPljus.pdf" TargetMode="External"/><Relationship Id="rId1471" Type="http://schemas.openxmlformats.org/officeDocument/2006/relationships/hyperlink" Target="http://hr.urfu.ru" TargetMode="External"/><Relationship Id="rId1472" Type="http://schemas.openxmlformats.org/officeDocument/2006/relationships/hyperlink" Target="https://www.mintrud.gov.by/uploads/files/Proizvodstvennyj-kalendar-2023.pdf" TargetMode="External"/><Relationship Id="rId642" Type="http://schemas.openxmlformats.org/officeDocument/2006/relationships/hyperlink" Target="http://play.google.com" TargetMode="External"/><Relationship Id="rId1473" Type="http://schemas.openxmlformats.org/officeDocument/2006/relationships/hyperlink" Target="http://www.mintrud.gov.by" TargetMode="External"/><Relationship Id="rId641" Type="http://schemas.openxmlformats.org/officeDocument/2006/relationships/hyperlink" Target="https://play.google.com/store/apps/details?id=ru.dnevnik.app&amp;hl=ru&amp;gl=US" TargetMode="External"/><Relationship Id="rId1474" Type="http://schemas.openxmlformats.org/officeDocument/2006/relationships/hyperlink" Target="https://mlsp.gov.kg/wp-content/uploads/2022/10/kalendar-na-2023-god-1.pdf" TargetMode="External"/><Relationship Id="rId640" Type="http://schemas.openxmlformats.org/officeDocument/2006/relationships/hyperlink" Target="http://vk.com" TargetMode="External"/><Relationship Id="rId1475" Type="http://schemas.openxmlformats.org/officeDocument/2006/relationships/hyperlink" Target="http://mlsp.gov.kg" TargetMode="External"/><Relationship Id="rId1476" Type="http://schemas.openxmlformats.org/officeDocument/2006/relationships/hyperlink" Target="https://pozdravok.com/pozdravleniya/den-rozhdeniya/" TargetMode="External"/><Relationship Id="rId1466" Type="http://schemas.openxmlformats.org/officeDocument/2006/relationships/hyperlink" Target="http://its.1c.ru" TargetMode="External"/><Relationship Id="rId1467" Type="http://schemas.openxmlformats.org/officeDocument/2006/relationships/hyperlink" Target="https://www.kontur-extern.ru/info/25567-proizvodstvennyj_kalendar_buxgaltera_na_2023_god" TargetMode="External"/><Relationship Id="rId1468" Type="http://schemas.openxmlformats.org/officeDocument/2006/relationships/hyperlink" Target="http://www.kontur-extern.ru" TargetMode="External"/><Relationship Id="rId1469" Type="http://schemas.openxmlformats.org/officeDocument/2006/relationships/hyperlink" Target="https://trudvsem.ru/information-pages/calendar-2023" TargetMode="External"/><Relationship Id="rId635" Type="http://schemas.openxmlformats.org/officeDocument/2006/relationships/hyperlink" Target="https://en.wikipedia.org/wiki/Google" TargetMode="External"/><Relationship Id="rId634" Type="http://schemas.openxmlformats.org/officeDocument/2006/relationships/hyperlink" Target="http://ru.wikipedia.org" TargetMode="External"/><Relationship Id="rId633" Type="http://schemas.openxmlformats.org/officeDocument/2006/relationships/hyperlink" Target="https://ru.wikipedia.org/wiki/Google_(%D0%BA%D0%BE%D0%BC%D0%BF%D0%B0%D0%BD%D0%B8%D1%8F)" TargetMode="External"/><Relationship Id="rId632" Type="http://schemas.openxmlformats.org/officeDocument/2006/relationships/hyperlink" Target="https://about.google/" TargetMode="External"/><Relationship Id="rId639" Type="http://schemas.openxmlformats.org/officeDocument/2006/relationships/hyperlink" Target="https://vk.com/dnevnikru" TargetMode="External"/><Relationship Id="rId638" Type="http://schemas.openxmlformats.org/officeDocument/2006/relationships/hyperlink" Target="http://dnevnik.ru" TargetMode="External"/><Relationship Id="rId637" Type="http://schemas.openxmlformats.org/officeDocument/2006/relationships/hyperlink" Target="https://dnevnik.ru/" TargetMode="External"/><Relationship Id="rId636" Type="http://schemas.openxmlformats.org/officeDocument/2006/relationships/hyperlink" Target="http://en.wikipedia.org" TargetMode="External"/><Relationship Id="rId1460" Type="http://schemas.openxmlformats.org/officeDocument/2006/relationships/hyperlink" Target="https://allo.tochka.com/calendars/2023" TargetMode="External"/><Relationship Id="rId1461" Type="http://schemas.openxmlformats.org/officeDocument/2006/relationships/hyperlink" Target="http://allo.tochka.com" TargetMode="External"/><Relationship Id="rId631" Type="http://schemas.openxmlformats.org/officeDocument/2006/relationships/hyperlink" Target="http://support.google.com" TargetMode="External"/><Relationship Id="rId1462" Type="http://schemas.openxmlformats.org/officeDocument/2006/relationships/hyperlink" Target="https://mtsz.tatarstan.ru/proizvodstvenniy-kalendar-i-razyasnenie-o-norme-6287209.htm" TargetMode="External"/><Relationship Id="rId630" Type="http://schemas.openxmlformats.org/officeDocument/2006/relationships/hyperlink" Target="https://support.google.com/" TargetMode="External"/><Relationship Id="rId1463" Type="http://schemas.openxmlformats.org/officeDocument/2006/relationships/hyperlink" Target="https://mintrud.gov.ru/labour/70" TargetMode="External"/><Relationship Id="rId1464" Type="http://schemas.openxmlformats.org/officeDocument/2006/relationships/hyperlink" Target="http://mintrud.gov.ru" TargetMode="External"/><Relationship Id="rId1465" Type="http://schemas.openxmlformats.org/officeDocument/2006/relationships/hyperlink" Target="https://its.1c.ru/calendar/work2023" TargetMode="External"/><Relationship Id="rId1411" Type="http://schemas.openxmlformats.org/officeDocument/2006/relationships/hyperlink" Target="https://www.ivi.ru/tvplus/tv-schedule-today" TargetMode="External"/><Relationship Id="rId1412" Type="http://schemas.openxmlformats.org/officeDocument/2006/relationships/hyperlink" Target="http://www.ivi.ru" TargetMode="External"/><Relationship Id="rId1413" Type="http://schemas.openxmlformats.org/officeDocument/2006/relationships/hyperlink" Target="https://www.vl.ru/tv/" TargetMode="External"/><Relationship Id="rId1414" Type="http://schemas.openxmlformats.org/officeDocument/2006/relationships/hyperlink" Target="https://www.tvc.ru/tvp" TargetMode="External"/><Relationship Id="rId1415" Type="http://schemas.openxmlformats.org/officeDocument/2006/relationships/hyperlink" Target="https://tv.starhit.ru/ekaterinburg" TargetMode="External"/><Relationship Id="rId1416" Type="http://schemas.openxmlformats.org/officeDocument/2006/relationships/hyperlink" Target="http://tv.starhit.ru" TargetMode="External"/><Relationship Id="rId1417" Type="http://schemas.openxmlformats.org/officeDocument/2006/relationships/hyperlink" Target="https://tv.cmlt.tv/" TargetMode="External"/><Relationship Id="rId1418" Type="http://schemas.openxmlformats.org/officeDocument/2006/relationships/hyperlink" Target="http://tv.cmlt.tv" TargetMode="External"/><Relationship Id="rId1419" Type="http://schemas.openxmlformats.org/officeDocument/2006/relationships/hyperlink" Target="https://ctc.ru/programm/" TargetMode="External"/><Relationship Id="rId1410" Type="http://schemas.openxmlformats.org/officeDocument/2006/relationships/hyperlink" Target="http://www.comboplayer.ru" TargetMode="External"/><Relationship Id="rId1400" Type="http://schemas.openxmlformats.org/officeDocument/2006/relationships/hyperlink" Target="http://tv.starhit.ru" TargetMode="External"/><Relationship Id="rId1401" Type="http://schemas.openxmlformats.org/officeDocument/2006/relationships/hyperlink" Target="https://programma-peredach.com/" TargetMode="External"/><Relationship Id="rId1402" Type="http://schemas.openxmlformats.org/officeDocument/2006/relationships/hyperlink" Target="http://programma-peredach.com" TargetMode="External"/><Relationship Id="rId1403" Type="http://schemas.openxmlformats.org/officeDocument/2006/relationships/hyperlink" Target="https://telik.top/program/" TargetMode="External"/><Relationship Id="rId1404" Type="http://schemas.openxmlformats.org/officeDocument/2006/relationships/hyperlink" Target="https://www.dvhab.ru/tv/" TargetMode="External"/><Relationship Id="rId1405" Type="http://schemas.openxmlformats.org/officeDocument/2006/relationships/hyperlink" Target="https://segodnya.tv/" TargetMode="External"/><Relationship Id="rId1406" Type="http://schemas.openxmlformats.org/officeDocument/2006/relationships/hyperlink" Target="http://segodnya.tv" TargetMode="External"/><Relationship Id="rId1407" Type="http://schemas.openxmlformats.org/officeDocument/2006/relationships/hyperlink" Target="https://ntvplus.tv/tv/" TargetMode="External"/><Relationship Id="rId1408" Type="http://schemas.openxmlformats.org/officeDocument/2006/relationships/hyperlink" Target="http://ntvplus.tv" TargetMode="External"/><Relationship Id="rId1409" Type="http://schemas.openxmlformats.org/officeDocument/2006/relationships/hyperlink" Target="https://www.comboplayer.ru/tv-guide/today" TargetMode="External"/><Relationship Id="rId1433" Type="http://schemas.openxmlformats.org/officeDocument/2006/relationships/hyperlink" Target="https://tv.starhit.ru/ekaterinburg" TargetMode="External"/><Relationship Id="rId1434" Type="http://schemas.openxmlformats.org/officeDocument/2006/relationships/hyperlink" Target="http://tv.starhit.ru" TargetMode="External"/><Relationship Id="rId1435" Type="http://schemas.openxmlformats.org/officeDocument/2006/relationships/hyperlink" Target="https://tv.meta.ua/" TargetMode="External"/><Relationship Id="rId1436" Type="http://schemas.openxmlformats.org/officeDocument/2006/relationships/hyperlink" Target="https://www.consultant.ru/law/ref/calendar/proizvodstvennye/2023/" TargetMode="External"/><Relationship Id="rId1437" Type="http://schemas.openxmlformats.org/officeDocument/2006/relationships/hyperlink" Target="http://www.consultant.ru" TargetMode="External"/><Relationship Id="rId1438" Type="http://schemas.openxmlformats.org/officeDocument/2006/relationships/hyperlink" Target="https://www.garant.ru/calendar/buhpravo/" TargetMode="External"/><Relationship Id="rId1439" Type="http://schemas.openxmlformats.org/officeDocument/2006/relationships/hyperlink" Target="http://www.garant.ru" TargetMode="External"/><Relationship Id="rId609" Type="http://schemas.openxmlformats.org/officeDocument/2006/relationships/hyperlink" Target="http://translate.google.com" TargetMode="External"/><Relationship Id="rId608" Type="http://schemas.openxmlformats.org/officeDocument/2006/relationships/hyperlink" Target="https://translate.google.com/?hl=ru" TargetMode="External"/><Relationship Id="rId607" Type="http://schemas.openxmlformats.org/officeDocument/2006/relationships/hyperlink" Target="http://www.google.com" TargetMode="External"/><Relationship Id="rId602" Type="http://schemas.openxmlformats.org/officeDocument/2006/relationships/hyperlink" Target="https://www.google.ru/" TargetMode="External"/><Relationship Id="rId601" Type="http://schemas.openxmlformats.org/officeDocument/2006/relationships/hyperlink" Target="http://en.wikipedia.org" TargetMode="External"/><Relationship Id="rId600" Type="http://schemas.openxmlformats.org/officeDocument/2006/relationships/hyperlink" Target="https://en.wikipedia.org/wiki/Gosuslugi" TargetMode="External"/><Relationship Id="rId606" Type="http://schemas.openxmlformats.org/officeDocument/2006/relationships/hyperlink" Target="https://www.google.com/account/about/" TargetMode="External"/><Relationship Id="rId605" Type="http://schemas.openxmlformats.org/officeDocument/2006/relationships/hyperlink" Target="http://www.google.com" TargetMode="External"/><Relationship Id="rId604" Type="http://schemas.openxmlformats.org/officeDocument/2006/relationships/hyperlink" Target="https://www.google.com/" TargetMode="External"/><Relationship Id="rId603" Type="http://schemas.openxmlformats.org/officeDocument/2006/relationships/hyperlink" Target="http://www.google.ru" TargetMode="External"/><Relationship Id="rId1430" Type="http://schemas.openxmlformats.org/officeDocument/2006/relationships/hyperlink" Target="http://tv.sb.by" TargetMode="External"/><Relationship Id="rId1431" Type="http://schemas.openxmlformats.org/officeDocument/2006/relationships/hyperlink" Target="https://kartinacanada.com/tv" TargetMode="External"/><Relationship Id="rId1432" Type="http://schemas.openxmlformats.org/officeDocument/2006/relationships/hyperlink" Target="http://kartinacanada.com" TargetMode="External"/><Relationship Id="rId1422" Type="http://schemas.openxmlformats.org/officeDocument/2006/relationships/hyperlink" Target="http://www.glaz.tv" TargetMode="External"/><Relationship Id="rId1423" Type="http://schemas.openxmlformats.org/officeDocument/2006/relationships/hyperlink" Target="https://2090000.ru/programma-peredach/" TargetMode="External"/><Relationship Id="rId1424" Type="http://schemas.openxmlformats.org/officeDocument/2006/relationships/hyperlink" Target="https://tv3.ru/schedule" TargetMode="External"/><Relationship Id="rId1425" Type="http://schemas.openxmlformats.org/officeDocument/2006/relationships/hyperlink" Target="http://tv3.ru" TargetMode="External"/><Relationship Id="rId1426" Type="http://schemas.openxmlformats.org/officeDocument/2006/relationships/hyperlink" Target="https://tv.yandex.ru/213" TargetMode="External"/><Relationship Id="rId1427" Type="http://schemas.openxmlformats.org/officeDocument/2006/relationships/hyperlink" Target="http://tv.yandex.ru" TargetMode="External"/><Relationship Id="rId1428" Type="http://schemas.openxmlformats.org/officeDocument/2006/relationships/hyperlink" Target="https://www.dvhab.ru/tv/" TargetMode="External"/><Relationship Id="rId1429" Type="http://schemas.openxmlformats.org/officeDocument/2006/relationships/hyperlink" Target="https://tv.sb.by/today/" TargetMode="External"/><Relationship Id="rId1420" Type="http://schemas.openxmlformats.org/officeDocument/2006/relationships/hyperlink" Target="http://ctc.ru" TargetMode="External"/><Relationship Id="rId1421" Type="http://schemas.openxmlformats.org/officeDocument/2006/relationships/hyperlink" Target="https://www.glaz.tv/program/" TargetMode="External"/><Relationship Id="rId1059" Type="http://schemas.openxmlformats.org/officeDocument/2006/relationships/hyperlink" Target="https://play.google.com/store/apps/details?id=ru.ozon.app.android&amp;hl=ru&amp;gl=US" TargetMode="External"/><Relationship Id="rId228" Type="http://schemas.openxmlformats.org/officeDocument/2006/relationships/hyperlink" Target="https://t.me/avito" TargetMode="External"/><Relationship Id="rId227" Type="http://schemas.openxmlformats.org/officeDocument/2006/relationships/hyperlink" Target="http://yandex.ru" TargetMode="External"/><Relationship Id="rId226" Type="http://schemas.openxmlformats.org/officeDocument/2006/relationships/hyperlink" Target="https://yandex.ru/maps/org/avito/82678620478/" TargetMode="External"/><Relationship Id="rId225" Type="http://schemas.openxmlformats.org/officeDocument/2006/relationships/hyperlink" Target="http://hh.ru" TargetMode="External"/><Relationship Id="rId229" Type="http://schemas.openxmlformats.org/officeDocument/2006/relationships/hyperlink" Target="http://t.me" TargetMode="External"/><Relationship Id="rId1050" Type="http://schemas.openxmlformats.org/officeDocument/2006/relationships/hyperlink" Target="https://www.ozon.ru/" TargetMode="External"/><Relationship Id="rId220" Type="http://schemas.openxmlformats.org/officeDocument/2006/relationships/hyperlink" Target="http://www.youtube.com" TargetMode="External"/><Relationship Id="rId1051" Type="http://schemas.openxmlformats.org/officeDocument/2006/relationships/hyperlink" Target="https://play.google.com/store/apps/details?id=ru.ozon.app.android&amp;hl=en_US" TargetMode="External"/><Relationship Id="rId1052" Type="http://schemas.openxmlformats.org/officeDocument/2006/relationships/hyperlink" Target="http://play.google.com" TargetMode="External"/><Relationship Id="rId1053" Type="http://schemas.openxmlformats.org/officeDocument/2006/relationships/hyperlink" Target="https://vk.com/ozon" TargetMode="External"/><Relationship Id="rId1054" Type="http://schemas.openxmlformats.org/officeDocument/2006/relationships/hyperlink" Target="http://vk.com" TargetMode="External"/><Relationship Id="rId224" Type="http://schemas.openxmlformats.org/officeDocument/2006/relationships/hyperlink" Target="https://hh.ru/employer/84585" TargetMode="External"/><Relationship Id="rId1055" Type="http://schemas.openxmlformats.org/officeDocument/2006/relationships/hyperlink" Target="https://ru.wikipedia.org/wiki/%D0%9E%D0%B7%D0%BE%D0%BD" TargetMode="External"/><Relationship Id="rId223" Type="http://schemas.openxmlformats.org/officeDocument/2006/relationships/hyperlink" Target="http://twitter.com" TargetMode="External"/><Relationship Id="rId1056" Type="http://schemas.openxmlformats.org/officeDocument/2006/relationships/hyperlink" Target="http://ru.wikipedia.org" TargetMode="External"/><Relationship Id="rId222" Type="http://schemas.openxmlformats.org/officeDocument/2006/relationships/hyperlink" Target="https://twitter.com/avito" TargetMode="External"/><Relationship Id="rId1057" Type="http://schemas.openxmlformats.org/officeDocument/2006/relationships/hyperlink" Target="https://ru.wikipedia.org/wiki/Ozon" TargetMode="External"/><Relationship Id="rId221" Type="http://schemas.openxmlformats.org/officeDocument/2006/relationships/hyperlink" Target="http://manifesto.avito.com/" TargetMode="External"/><Relationship Id="rId1058" Type="http://schemas.openxmlformats.org/officeDocument/2006/relationships/hyperlink" Target="http://ru.wikipedia.org" TargetMode="External"/><Relationship Id="rId1048" Type="http://schemas.openxmlformats.org/officeDocument/2006/relationships/hyperlink" Target="https://www.netflix.com/kz-ru/title/70125231" TargetMode="External"/><Relationship Id="rId1049" Type="http://schemas.openxmlformats.org/officeDocument/2006/relationships/hyperlink" Target="http://www.netflix.com" TargetMode="External"/><Relationship Id="rId217" Type="http://schemas.openxmlformats.org/officeDocument/2006/relationships/hyperlink" Target="http://www.instagram.com" TargetMode="External"/><Relationship Id="rId216" Type="http://schemas.openxmlformats.org/officeDocument/2006/relationships/hyperlink" Target="https://www.instagram.com/avito/" TargetMode="External"/><Relationship Id="rId215" Type="http://schemas.openxmlformats.org/officeDocument/2006/relationships/hyperlink" Target="http://ok.ru" TargetMode="External"/><Relationship Id="rId699" Type="http://schemas.openxmlformats.org/officeDocument/2006/relationships/hyperlink" Target="https://www.vl.ru/dns" TargetMode="External"/><Relationship Id="rId214" Type="http://schemas.openxmlformats.org/officeDocument/2006/relationships/hyperlink" Target="https://ok.ru/avito" TargetMode="External"/><Relationship Id="rId698" Type="http://schemas.openxmlformats.org/officeDocument/2006/relationships/hyperlink" Target="https://2gis.ru/tyumen/search/%D0%9C%D0%B0%D0%B3%D0%B0%D0%B7%D0%B8%D0%BD%D1%8B%20dns" TargetMode="External"/><Relationship Id="rId219" Type="http://schemas.openxmlformats.org/officeDocument/2006/relationships/hyperlink" Target="https://www.youtube.com/channel/UC2dIPeP9pLhu1AiA_eK2L9A" TargetMode="External"/><Relationship Id="rId218" Type="http://schemas.openxmlformats.org/officeDocument/2006/relationships/hyperlink" Target="https://2gis.ru/biysk/firm/70000001065982388" TargetMode="External"/><Relationship Id="rId693" Type="http://schemas.openxmlformats.org/officeDocument/2006/relationships/hyperlink" Target="https://vk.com/dnsstore" TargetMode="External"/><Relationship Id="rId1040" Type="http://schemas.openxmlformats.org/officeDocument/2006/relationships/hyperlink" Target="http://www.seonews.ru" TargetMode="External"/><Relationship Id="rId692" Type="http://schemas.openxmlformats.org/officeDocument/2006/relationships/hyperlink" Target="https://www.dns-shop.ru/" TargetMode="External"/><Relationship Id="rId1041" Type="http://schemas.openxmlformats.org/officeDocument/2006/relationships/hyperlink" Target="https://apps.rustore.ru/app/ru.ok.android" TargetMode="External"/><Relationship Id="rId691" Type="http://schemas.openxmlformats.org/officeDocument/2006/relationships/hyperlink" Target="http://3653.ru" TargetMode="External"/><Relationship Id="rId1042" Type="http://schemas.openxmlformats.org/officeDocument/2006/relationships/hyperlink" Target="https://en.wikipedia.org/wiki/Odnoklassniki" TargetMode="External"/><Relationship Id="rId690" Type="http://schemas.openxmlformats.org/officeDocument/2006/relationships/hyperlink" Target="https://3653.ru/uchenikam/Dnevnikru/" TargetMode="External"/><Relationship Id="rId1043" Type="http://schemas.openxmlformats.org/officeDocument/2006/relationships/hyperlink" Target="http://en.wikipedia.org" TargetMode="External"/><Relationship Id="rId213" Type="http://schemas.openxmlformats.org/officeDocument/2006/relationships/hyperlink" Target="http://play.google.com" TargetMode="External"/><Relationship Id="rId697" Type="http://schemas.openxmlformats.org/officeDocument/2006/relationships/hyperlink" Target="https://2gis.ru/vladivostok/search/%D0%9C%D0%B0%D0%B3%D0%B0%D0%B7%D0%B8%D0%BD%D1%8B%20%D0%B4%D0%BD%D1%81" TargetMode="External"/><Relationship Id="rId1044" Type="http://schemas.openxmlformats.org/officeDocument/2006/relationships/hyperlink" Target="https://m.facebook.com/p/%D0%9E%D1%84%D0%B8%D1%86%D0%B8%D0%B0%D0%BB%D1%8C%D0%BD%D0%B0%D1%8F-%D1%81%D1%82%D1%80%D0%B0%D0%BD%D0%B8%D1%86%D0%B0-%D0%BE%D0%B4%D0%BD%D0%BE%D0%BA%D0%BB%D0%B0%D1%81%D1%81%D0%BD%D0%B8%D0%BA%D0%B8-100066355790324/" TargetMode="External"/><Relationship Id="rId212" Type="http://schemas.openxmlformats.org/officeDocument/2006/relationships/hyperlink" Target="https://play.google.com/store/apps/details?id=com.avito.android&amp;hl=ru&amp;gl=US" TargetMode="External"/><Relationship Id="rId696" Type="http://schemas.openxmlformats.org/officeDocument/2006/relationships/hyperlink" Target="http://ru.wikipedia.org" TargetMode="External"/><Relationship Id="rId1045" Type="http://schemas.openxmlformats.org/officeDocument/2006/relationships/hyperlink" Target="http://m.facebook.com" TargetMode="External"/><Relationship Id="rId211" Type="http://schemas.openxmlformats.org/officeDocument/2006/relationships/hyperlink" Target="https://avito.tech/" TargetMode="External"/><Relationship Id="rId695" Type="http://schemas.openxmlformats.org/officeDocument/2006/relationships/hyperlink" Target="https://ru.wikipedia.org/wiki/DNS" TargetMode="External"/><Relationship Id="rId1046" Type="http://schemas.openxmlformats.org/officeDocument/2006/relationships/hyperlink" Target="https://www.forbes.ru/tekhnologii/495277-odnoklassniki-otkryvaut-dostup-k-servisu-analitiki-i-poiska-osibok-v-prilozeniah" TargetMode="External"/><Relationship Id="rId210" Type="http://schemas.openxmlformats.org/officeDocument/2006/relationships/hyperlink" Target="http://apps.apple.com" TargetMode="External"/><Relationship Id="rId694" Type="http://schemas.openxmlformats.org/officeDocument/2006/relationships/hyperlink" Target="http://vk.com" TargetMode="External"/><Relationship Id="rId1047" Type="http://schemas.openxmlformats.org/officeDocument/2006/relationships/hyperlink" Target="http://www.forbes.ru" TargetMode="External"/><Relationship Id="rId249" Type="http://schemas.openxmlformats.org/officeDocument/2006/relationships/hyperlink" Target="https://books.google.com/books?id=VPBGEAAAQBAJ&amp;pg=PT62&amp;lpg=PT62&amp;dq=%D0%B0%D0%B2%D0%B8%D1%82%D0%BE&amp;source=bl&amp;ots=Ymbqt0MuUx&amp;sig=ACfU3U2DfrpkoqHgxV7eVOObUT1ekOAHcA&amp;hl=ru&amp;sa=X&amp;ved=2ahUKEwiRr6-LjruCAxXUrokEHaSBBo0Q6AF6BAg3EAM" TargetMode="External"/><Relationship Id="rId248" Type="http://schemas.openxmlformats.org/officeDocument/2006/relationships/hyperlink" Target="http://books.google.com" TargetMode="External"/><Relationship Id="rId247" Type="http://schemas.openxmlformats.org/officeDocument/2006/relationships/hyperlink" Target="https://books.google.com/books?id=eHnCEAAAQBAJ&amp;pg=PA132&amp;lpg=PA132&amp;dq=%D0%B0%D0%B2%D0%B8%D1%82%D0%BE&amp;source=bl&amp;ots=cyNnjKUh9z&amp;sig=ACfU3U3lyMp9GAZtoEs352gvXpqm0xnh3g&amp;hl=ru&amp;sa=X&amp;ved=2ahUKEwiRr6-LjruCAxXUrokEHaSBBo0Q6AF6BAg4EAM" TargetMode="External"/><Relationship Id="rId1070" Type="http://schemas.openxmlformats.org/officeDocument/2006/relationships/hyperlink" Target="https://market.yandex.ru/shop--ozon-ru/155/reviews" TargetMode="External"/><Relationship Id="rId1071" Type="http://schemas.openxmlformats.org/officeDocument/2006/relationships/hyperlink" Target="http://market.yandex.ru" TargetMode="External"/><Relationship Id="rId1072" Type="http://schemas.openxmlformats.org/officeDocument/2006/relationships/hyperlink" Target="https://ozon.tech/" TargetMode="External"/><Relationship Id="rId242" Type="http://schemas.openxmlformats.org/officeDocument/2006/relationships/hyperlink" Target="http://www.facebook.com" TargetMode="External"/><Relationship Id="rId1073" Type="http://schemas.openxmlformats.org/officeDocument/2006/relationships/hyperlink" Target="https://otzovik.com/reviews/ozon_ru_online_shop/" TargetMode="External"/><Relationship Id="rId241" Type="http://schemas.openxmlformats.org/officeDocument/2006/relationships/hyperlink" Target="https://www.facebook.com/avito.ru/" TargetMode="External"/><Relationship Id="rId1074" Type="http://schemas.openxmlformats.org/officeDocument/2006/relationships/hyperlink" Target="https://www.youtube.com/watch?v=M3XyZKm4OD4" TargetMode="External"/><Relationship Id="rId240" Type="http://schemas.openxmlformats.org/officeDocument/2006/relationships/hyperlink" Target="http://books.google.com" TargetMode="External"/><Relationship Id="rId1075" Type="http://schemas.openxmlformats.org/officeDocument/2006/relationships/hyperlink" Target="http://www.youtube.com" TargetMode="External"/><Relationship Id="rId1076" Type="http://schemas.openxmlformats.org/officeDocument/2006/relationships/hyperlink" Target="https://www.tinkoff.ru/invest/stocks/OZON/" TargetMode="External"/><Relationship Id="rId246" Type="http://schemas.openxmlformats.org/officeDocument/2006/relationships/hyperlink" Target="http://play.google.com" TargetMode="External"/><Relationship Id="rId1077" Type="http://schemas.openxmlformats.org/officeDocument/2006/relationships/hyperlink" Target="http://www.tinkoff.ru" TargetMode="External"/><Relationship Id="rId245" Type="http://schemas.openxmlformats.org/officeDocument/2006/relationships/hyperlink" Target="https://play.google.com/store/apps/dev?id=6750101820856332864&amp;hl=ru&amp;gl=US" TargetMode="External"/><Relationship Id="rId1078" Type="http://schemas.openxmlformats.org/officeDocument/2006/relationships/hyperlink" Target="https://2gis.ru/volgograd/branches/70000001025247751" TargetMode="External"/><Relationship Id="rId244" Type="http://schemas.openxmlformats.org/officeDocument/2006/relationships/hyperlink" Target="http://books.google.com" TargetMode="External"/><Relationship Id="rId1079" Type="http://schemas.openxmlformats.org/officeDocument/2006/relationships/hyperlink" Target="https://2gis.ru/kemerovo/branches/70000001025244771" TargetMode="External"/><Relationship Id="rId243" Type="http://schemas.openxmlformats.org/officeDocument/2006/relationships/hyperlink" Target="https://books.google.com/books?id=VPBGEAAAQBAJ&amp;pg=PT14&amp;lpg=PT14&amp;dq=%D0%B0%D0%B2%D0%B8%D1%82%D0%BE&amp;source=bl&amp;ots=Ymbqt0LuWx&amp;sig=ACfU3U3cp2TMxXZDnpXPSEwcbRHezZV7dQ&amp;hl=ru&amp;sa=X&amp;ved=2ahUKEwi65fW3iruCAxWFrokEHQirA_AQ6AF6BAgfEAM" TargetMode="External"/><Relationship Id="rId239" Type="http://schemas.openxmlformats.org/officeDocument/2006/relationships/hyperlink" Target="https://books.google.com/books?id=q9ACDgAAQBAJ&amp;pg=PT54&amp;lpg=PT54&amp;dq=%D0%B0%D0%B2%D0%B8%D1%82%D0%BE&amp;source=bl&amp;ots=67VI3u0Z9I&amp;sig=ACfU3U0w-tpnYT0IYhkFVhQ0D6BjF53Kig&amp;hl=ru&amp;sa=X&amp;ved=2ahUKEwi65fW3iruCAxWFrokEHQirA_AQ6AF6BAgeEAM" TargetMode="External"/><Relationship Id="rId238" Type="http://schemas.openxmlformats.org/officeDocument/2006/relationships/hyperlink" Target="http://books.google.com" TargetMode="External"/><Relationship Id="rId237" Type="http://schemas.openxmlformats.org/officeDocument/2006/relationships/hyperlink" Target="https://books.google.com/books?id=JSsrDwAAQBAJ&amp;pg=PT155&amp;lpg=PT155&amp;dq=%D0%B0%D0%B2%D0%B8%D1%82%D0%BE&amp;source=bl&amp;ots=o_TFqrKXhG&amp;sig=ACfU3U0uYSXdkPpcRYKGS_Pjp4Cn_DNrnA&amp;hl=ru&amp;sa=X&amp;ved=2ahUKEwi65fW3iruCAxWFrokEHQirA_AQ6AF6BAgdEAM" TargetMode="External"/><Relationship Id="rId236" Type="http://schemas.openxmlformats.org/officeDocument/2006/relationships/hyperlink" Target="https://www.crunchbase.com/organization/avito-ru" TargetMode="External"/><Relationship Id="rId1060" Type="http://schemas.openxmlformats.org/officeDocument/2006/relationships/hyperlink" Target="http://play.google.com" TargetMode="External"/><Relationship Id="rId1061" Type="http://schemas.openxmlformats.org/officeDocument/2006/relationships/hyperlink" Target="https://apps.apple.com/ru/app/ozon-%D1%82%D0%BE%D0%B2%D0%B0%D1%80%D1%8B-%D0%BE%D1%82%D0%B5%D0%BB%D0%B8-%D0%B1%D0%B8%D0%BB%D0%B5%D1%82%D1%8B/id407804998" TargetMode="External"/><Relationship Id="rId231" Type="http://schemas.openxmlformats.org/officeDocument/2006/relationships/hyperlink" Target="http://www.avito.ru" TargetMode="External"/><Relationship Id="rId1062" Type="http://schemas.openxmlformats.org/officeDocument/2006/relationships/hyperlink" Target="http://apps.apple.com" TargetMode="External"/><Relationship Id="rId230" Type="http://schemas.openxmlformats.org/officeDocument/2006/relationships/hyperlink" Target="https://www.avito.ru/business" TargetMode="External"/><Relationship Id="rId1063" Type="http://schemas.openxmlformats.org/officeDocument/2006/relationships/hyperlink" Target="https://ozon.by/category/" TargetMode="External"/><Relationship Id="rId1064" Type="http://schemas.openxmlformats.org/officeDocument/2006/relationships/hyperlink" Target="http://ozon.by" TargetMode="External"/><Relationship Id="rId1065" Type="http://schemas.openxmlformats.org/officeDocument/2006/relationships/hyperlink" Target="https://www.instagram.com/ozonru/" TargetMode="External"/><Relationship Id="rId235" Type="http://schemas.openxmlformats.org/officeDocument/2006/relationships/hyperlink" Target="http://career.avito.com" TargetMode="External"/><Relationship Id="rId1066" Type="http://schemas.openxmlformats.org/officeDocument/2006/relationships/hyperlink" Target="http://www.instagram.com" TargetMode="External"/><Relationship Id="rId234" Type="http://schemas.openxmlformats.org/officeDocument/2006/relationships/hyperlink" Target="https://career.avito.com/" TargetMode="External"/><Relationship Id="rId1067" Type="http://schemas.openxmlformats.org/officeDocument/2006/relationships/hyperlink" Target="https://www.retail.ru/rbc/tradingnetworks/ozon/" TargetMode="External"/><Relationship Id="rId233" Type="http://schemas.openxmlformats.org/officeDocument/2006/relationships/hyperlink" Target="http://play.google.com" TargetMode="External"/><Relationship Id="rId1068" Type="http://schemas.openxmlformats.org/officeDocument/2006/relationships/hyperlink" Target="http://www.retail.ru" TargetMode="External"/><Relationship Id="rId232" Type="http://schemas.openxmlformats.org/officeDocument/2006/relationships/hyperlink" Target="https://play.google.com/store/apps/details?id=com.avito.android&amp;hl=en_US" TargetMode="External"/><Relationship Id="rId1069" Type="http://schemas.openxmlformats.org/officeDocument/2006/relationships/hyperlink" Target="https://ria.ru/organization_ozon/" TargetMode="External"/><Relationship Id="rId1015" Type="http://schemas.openxmlformats.org/officeDocument/2006/relationships/hyperlink" Target="http://www.dk.ru" TargetMode="External"/><Relationship Id="rId1499" Type="http://schemas.openxmlformats.org/officeDocument/2006/relationships/hyperlink" Target="https://moonzori.com/pozdravlenyya-s-dnem-rozhdenyya-v-proze/" TargetMode="External"/><Relationship Id="rId1016" Type="http://schemas.openxmlformats.org/officeDocument/2006/relationships/hyperlink" Target="https://www.instagram.com/odnoklassniki/" TargetMode="External"/><Relationship Id="rId1017" Type="http://schemas.openxmlformats.org/officeDocument/2006/relationships/hyperlink" Target="http://www.instagram.com" TargetMode="External"/><Relationship Id="rId1018" Type="http://schemas.openxmlformats.org/officeDocument/2006/relationships/hyperlink" Target="https://www.kinopoisk.ru/film/450345/" TargetMode="External"/><Relationship Id="rId1019" Type="http://schemas.openxmlformats.org/officeDocument/2006/relationships/hyperlink" Target="http://www.kinopoisk.ru" TargetMode="External"/><Relationship Id="rId668" Type="http://schemas.openxmlformats.org/officeDocument/2006/relationships/hyperlink" Target="http://chrome.google.com" TargetMode="External"/><Relationship Id="rId667" Type="http://schemas.openxmlformats.org/officeDocument/2006/relationships/hyperlink" Target="https://chrome.google.com/webstore/detail/%D0%B4%D0%BD%D0%B5%D0%B2%D0%BD%D0%B8%D0%BA-%D1%80%D1%83/bjkcbdcpbbhmbfampcegnjjhdiffhinb?hl=ru" TargetMode="External"/><Relationship Id="rId666" Type="http://schemas.openxmlformats.org/officeDocument/2006/relationships/hyperlink" Target="http://irecommend.ru" TargetMode="External"/><Relationship Id="rId665" Type="http://schemas.openxmlformats.org/officeDocument/2006/relationships/hyperlink" Target="https://irecommend.ru/content/httpdnevnikru" TargetMode="External"/><Relationship Id="rId669" Type="http://schemas.openxmlformats.org/officeDocument/2006/relationships/hyperlink" Target="https://play.google.com/store/apps/details?id=ru.teacherJournal.app&amp;hl=ru&amp;gl=US" TargetMode="External"/><Relationship Id="rId1490" Type="http://schemas.openxmlformats.org/officeDocument/2006/relationships/hyperlink" Target="http://ru.pinterest.com" TargetMode="External"/><Relationship Id="rId660" Type="http://schemas.openxmlformats.org/officeDocument/2006/relationships/hyperlink" Target="http://twitter.com" TargetMode="External"/><Relationship Id="rId1491" Type="http://schemas.openxmlformats.org/officeDocument/2006/relationships/hyperlink" Target="https://www.pozdravuha.ru/p/na-den-rozhdeniya" TargetMode="External"/><Relationship Id="rId1492" Type="http://schemas.openxmlformats.org/officeDocument/2006/relationships/hyperlink" Target="http://www.pozdravuha.ru" TargetMode="External"/><Relationship Id="rId1493" Type="http://schemas.openxmlformats.org/officeDocument/2006/relationships/hyperlink" Target="https://ru.pinterest.com/pin/393994667383605090/" TargetMode="External"/><Relationship Id="rId1010" Type="http://schemas.openxmlformats.org/officeDocument/2006/relationships/hyperlink" Target="https://www.odnoklassniki.ru/?_erv=vwhxlyirbwpynedop" TargetMode="External"/><Relationship Id="rId1494" Type="http://schemas.openxmlformats.org/officeDocument/2006/relationships/hyperlink" Target="http://ru.pinterest.com" TargetMode="External"/><Relationship Id="rId664" Type="http://schemas.openxmlformats.org/officeDocument/2006/relationships/hyperlink" Target="https://otzovik.com/reviews/dnevnik_ru-shkolnaya_obrazovatelnaya_set/" TargetMode="External"/><Relationship Id="rId1011" Type="http://schemas.openxmlformats.org/officeDocument/2006/relationships/hyperlink" Target="http://www.odnoklassniki.ru" TargetMode="External"/><Relationship Id="rId1495" Type="http://schemas.openxmlformats.org/officeDocument/2006/relationships/hyperlink" Target="https://dzen.ru/a/Y5OAjmSCNFNiTXZt" TargetMode="External"/><Relationship Id="rId663" Type="http://schemas.openxmlformats.org/officeDocument/2006/relationships/hyperlink" Target="https://30astr-s24.edusite.ru/p48aa1.html" TargetMode="External"/><Relationship Id="rId1012" Type="http://schemas.openxmlformats.org/officeDocument/2006/relationships/hyperlink" Target="https://vk.com/ok_official" TargetMode="External"/><Relationship Id="rId1496" Type="http://schemas.openxmlformats.org/officeDocument/2006/relationships/hyperlink" Target="http://dzen.ru" TargetMode="External"/><Relationship Id="rId662" Type="http://schemas.openxmlformats.org/officeDocument/2006/relationships/hyperlink" Target="http://ok.ru" TargetMode="External"/><Relationship Id="rId1013" Type="http://schemas.openxmlformats.org/officeDocument/2006/relationships/hyperlink" Target="http://vk.com" TargetMode="External"/><Relationship Id="rId1497" Type="http://schemas.openxmlformats.org/officeDocument/2006/relationships/hyperlink" Target="https://www.youtube.com/watch?v=845dfRu9Y30" TargetMode="External"/><Relationship Id="rId661" Type="http://schemas.openxmlformats.org/officeDocument/2006/relationships/hyperlink" Target="https://ok.ru/dnevnik.ru" TargetMode="External"/><Relationship Id="rId1014" Type="http://schemas.openxmlformats.org/officeDocument/2006/relationships/hyperlink" Target="https://www.dk.ru/all/wiki/odnoklassniki" TargetMode="External"/><Relationship Id="rId1498" Type="http://schemas.openxmlformats.org/officeDocument/2006/relationships/hyperlink" Target="http://www.youtube.com" TargetMode="External"/><Relationship Id="rId1004" Type="http://schemas.openxmlformats.org/officeDocument/2006/relationships/hyperlink" Target="http://www.youtube.com" TargetMode="External"/><Relationship Id="rId1488" Type="http://schemas.openxmlformats.org/officeDocument/2006/relationships/hyperlink" Target="https://vikna.tv/ru/styl-zhyttya/podorozhi/pozdravleniya-s-dnem-%E2%80%8B%E2%80%8Brozhdeniya-v-proze-stihah-i-kartinkah/" TargetMode="External"/><Relationship Id="rId1005" Type="http://schemas.openxmlformats.org/officeDocument/2006/relationships/hyperlink" Target="https://ria.ru/organization_Odnoklassniki/" TargetMode="External"/><Relationship Id="rId1489" Type="http://schemas.openxmlformats.org/officeDocument/2006/relationships/hyperlink" Target="https://ru.pinterest.com/nilovaelvira/%D1%81-%D0%B4%D0%BD%D0%B5%D0%BC-%D1%80%D0%BE%D0%B6%D0%B4%D0%B5%D0%BD%D0%B8%D1%8F/" TargetMode="External"/><Relationship Id="rId1006" Type="http://schemas.openxmlformats.org/officeDocument/2006/relationships/hyperlink" Target="https://insideok.ru/" TargetMode="External"/><Relationship Id="rId1007" Type="http://schemas.openxmlformats.org/officeDocument/2006/relationships/hyperlink" Target="http://insideok.ru" TargetMode="External"/><Relationship Id="rId1008" Type="http://schemas.openxmlformats.org/officeDocument/2006/relationships/hyperlink" Target="https://ru.wikipedia.org/wiki/%D0%9E%D0%B4%D0%BD%D0%BE%D0%BA%D0%BB%D0%B0%D1%81%D1%81%D0%BD%D0%B8%D0%BA%D0%B8" TargetMode="External"/><Relationship Id="rId1009" Type="http://schemas.openxmlformats.org/officeDocument/2006/relationships/hyperlink" Target="http://ru.wikipedia.org" TargetMode="External"/><Relationship Id="rId657" Type="http://schemas.openxmlformats.org/officeDocument/2006/relationships/hyperlink" Target="https://www.facebook.com/dnevnik.ru/?locale=ru_RU" TargetMode="External"/><Relationship Id="rId656" Type="http://schemas.openxmlformats.org/officeDocument/2006/relationships/hyperlink" Target="http://career.habr.com" TargetMode="External"/><Relationship Id="rId655" Type="http://schemas.openxmlformats.org/officeDocument/2006/relationships/hyperlink" Target="https://career.habr.com/companies/dnevnik" TargetMode="External"/><Relationship Id="rId654" Type="http://schemas.openxmlformats.org/officeDocument/2006/relationships/hyperlink" Target="http://znanierussia.ru" TargetMode="External"/><Relationship Id="rId659" Type="http://schemas.openxmlformats.org/officeDocument/2006/relationships/hyperlink" Target="https://twitter.com/dnevnik_ru" TargetMode="External"/><Relationship Id="rId658" Type="http://schemas.openxmlformats.org/officeDocument/2006/relationships/hyperlink" Target="http://www.facebook.com" TargetMode="External"/><Relationship Id="rId1480" Type="http://schemas.openxmlformats.org/officeDocument/2006/relationships/hyperlink" Target="https://sevimi.by/new/top-100-pozdravlenij-s-dnyom-rozhdeniya-obsuzhdeniya/" TargetMode="External"/><Relationship Id="rId1481" Type="http://schemas.openxmlformats.org/officeDocument/2006/relationships/hyperlink" Target="http://sevimi.by" TargetMode="External"/><Relationship Id="rId1482" Type="http://schemas.openxmlformats.org/officeDocument/2006/relationships/hyperlink" Target="https://t-loves.narod.ru/pozdravlenie-den-rojdeniya-luchiye.htm" TargetMode="External"/><Relationship Id="rId1483" Type="http://schemas.openxmlformats.org/officeDocument/2006/relationships/hyperlink" Target="http://t-loves.narod.ru" TargetMode="External"/><Relationship Id="rId653" Type="http://schemas.openxmlformats.org/officeDocument/2006/relationships/hyperlink" Target="https://znanierussia.ru/articles/%D0%94%D0%BD%D0%B5%D0%B2%D0%BD%D0%B8%D0%BA.%D1%80%D1%83" TargetMode="External"/><Relationship Id="rId1000" Type="http://schemas.openxmlformats.org/officeDocument/2006/relationships/hyperlink" Target="http://ru.wikipedia.org" TargetMode="External"/><Relationship Id="rId1484" Type="http://schemas.openxmlformats.org/officeDocument/2006/relationships/hyperlink" Target="https://sumy.cx.ua/c-dnem-rozhdenija-svoimi-slovami/" TargetMode="External"/><Relationship Id="rId652" Type="http://schemas.openxmlformats.org/officeDocument/2006/relationships/hyperlink" Target="http://ru.wikipedia.org" TargetMode="External"/><Relationship Id="rId1001" Type="http://schemas.openxmlformats.org/officeDocument/2006/relationships/hyperlink" Target="https://apps.apple.com/ru/app/%D0%BE%D0%B4%D0%BD%D0%BE%D0%BA%D0%BB%D0%B0%D1%81%D1%81%D0%BD%D0%B8%D0%BA%D0%B8-%D1%81%D0%BE%D1%86%D0%B8%D0%B0%D0%BB%D1%8C%D0%BD%D0%B0%D1%8F-%D1%81%D0%B5%D1%82%D1%8C/id398465290" TargetMode="External"/><Relationship Id="rId1485" Type="http://schemas.openxmlformats.org/officeDocument/2006/relationships/hyperlink" Target="http://sumy.cx.ua" TargetMode="External"/><Relationship Id="rId651" Type="http://schemas.openxmlformats.org/officeDocument/2006/relationships/hyperlink" Target="https://ru.wikipedia.org/wiki/%D0%94%D0%BD%D0%B5%D0%B2%D0%BD%D0%B8%D0%BA.%D1%80%D1%83" TargetMode="External"/><Relationship Id="rId1002" Type="http://schemas.openxmlformats.org/officeDocument/2006/relationships/hyperlink" Target="http://apps.apple.com" TargetMode="External"/><Relationship Id="rId1486" Type="http://schemas.openxmlformats.org/officeDocument/2006/relationships/hyperlink" Target="https://datki.net/pozdravleniya-s-dnem-rozhdeniya/krasivie/" TargetMode="External"/><Relationship Id="rId650" Type="http://schemas.openxmlformats.org/officeDocument/2006/relationships/hyperlink" Target="http://www.sravni.ru" TargetMode="External"/><Relationship Id="rId1003" Type="http://schemas.openxmlformats.org/officeDocument/2006/relationships/hyperlink" Target="https://www.youtube.com/channel/UCOv_9TXKqHE1HkRasX09o8w" TargetMode="External"/><Relationship Id="rId1487" Type="http://schemas.openxmlformats.org/officeDocument/2006/relationships/hyperlink" Target="http://datki.net" TargetMode="External"/><Relationship Id="rId1037" Type="http://schemas.openxmlformats.org/officeDocument/2006/relationships/hyperlink" Target="https://www.imdb.com/title/tt1601883/" TargetMode="External"/><Relationship Id="rId1038" Type="http://schemas.openxmlformats.org/officeDocument/2006/relationships/hyperlink" Target="http://www.imdb.com" TargetMode="External"/><Relationship Id="rId1039" Type="http://schemas.openxmlformats.org/officeDocument/2006/relationships/hyperlink" Target="https://www.seonews.ru/glossary/odnoklassniki/" TargetMode="External"/><Relationship Id="rId206" Type="http://schemas.openxmlformats.org/officeDocument/2006/relationships/hyperlink" Target="http://vk.com" TargetMode="External"/><Relationship Id="rId205" Type="http://schemas.openxmlformats.org/officeDocument/2006/relationships/hyperlink" Target="https://vk.com/avito" TargetMode="External"/><Relationship Id="rId689" Type="http://schemas.openxmlformats.org/officeDocument/2006/relationships/hyperlink" Target="http://hh.ru" TargetMode="External"/><Relationship Id="rId204" Type="http://schemas.openxmlformats.org/officeDocument/2006/relationships/hyperlink" Target="http://play.google.com" TargetMode="External"/><Relationship Id="rId688" Type="http://schemas.openxmlformats.org/officeDocument/2006/relationships/hyperlink" Target="https://hh.ru/employer/581737" TargetMode="External"/><Relationship Id="rId203" Type="http://schemas.openxmlformats.org/officeDocument/2006/relationships/hyperlink" Target="https://play.google.com/store/apps/details?id=com.avito.android&amp;hl=en_US" TargetMode="External"/><Relationship Id="rId687" Type="http://schemas.openxmlformats.org/officeDocument/2006/relationships/hyperlink" Target="http://school57.irk.ru/p/dnevnik" TargetMode="External"/><Relationship Id="rId209" Type="http://schemas.openxmlformats.org/officeDocument/2006/relationships/hyperlink" Target="https://apps.apple.com/us/app/%D0%B0%D0%B2%D0%B8%D1%82%D0%BE-%D0%BE%D0%B1%D1%8A%D1%8F%D0%B2%D0%BB%D0%B5%D0%BD%D0%B8%D1%8F/id417281773" TargetMode="External"/><Relationship Id="rId208" Type="http://schemas.openxmlformats.org/officeDocument/2006/relationships/hyperlink" Target="http://ru.wikipedia.org" TargetMode="External"/><Relationship Id="rId207" Type="http://schemas.openxmlformats.org/officeDocument/2006/relationships/hyperlink" Target="https://ru.wikipedia.org/wiki/%D0%90%D0%B2%D0%B8%D1%82%D0%BE" TargetMode="External"/><Relationship Id="rId682" Type="http://schemas.openxmlformats.org/officeDocument/2006/relationships/hyperlink" Target="http://www.facebook.com" TargetMode="External"/><Relationship Id="rId681" Type="http://schemas.openxmlformats.org/officeDocument/2006/relationships/hyperlink" Target="https://www.facebook.com/dnevnik.ru/?locale=ru_RU" TargetMode="External"/><Relationship Id="rId1030" Type="http://schemas.openxmlformats.org/officeDocument/2006/relationships/hyperlink" Target="http://ok.me" TargetMode="External"/><Relationship Id="rId680" Type="http://schemas.openxmlformats.org/officeDocument/2006/relationships/hyperlink" Target="http://hh.ru" TargetMode="External"/><Relationship Id="rId1031" Type="http://schemas.openxmlformats.org/officeDocument/2006/relationships/hyperlink" Target="https://teatrarmii.ru/spectacles/odnoklassniki/" TargetMode="External"/><Relationship Id="rId1032" Type="http://schemas.openxmlformats.org/officeDocument/2006/relationships/hyperlink" Target="http://teatrarmii.ru" TargetMode="External"/><Relationship Id="rId202" Type="http://schemas.openxmlformats.org/officeDocument/2006/relationships/hyperlink" Target="http://www.avito.ru" TargetMode="External"/><Relationship Id="rId686" Type="http://schemas.openxmlformats.org/officeDocument/2006/relationships/hyperlink" Target="http://www.sravni.ru" TargetMode="External"/><Relationship Id="rId1033" Type="http://schemas.openxmlformats.org/officeDocument/2006/relationships/hyperlink" Target="https://www.vedomosti.ru/media/news/2023/09/25/996967-odnoklassniki" TargetMode="External"/><Relationship Id="rId201" Type="http://schemas.openxmlformats.org/officeDocument/2006/relationships/hyperlink" Target="https://www.avito.ru/rossiya" TargetMode="External"/><Relationship Id="rId685" Type="http://schemas.openxmlformats.org/officeDocument/2006/relationships/hyperlink" Target="https://www.sravni.ru/enciklopediya/info/lichnyj-kabinet-dnevnik-ru/" TargetMode="External"/><Relationship Id="rId1034" Type="http://schemas.openxmlformats.org/officeDocument/2006/relationships/hyperlink" Target="http://www.vedomosti.ru" TargetMode="External"/><Relationship Id="rId200" Type="http://schemas.openxmlformats.org/officeDocument/2006/relationships/hyperlink" Target="http://www.avito.ru" TargetMode="External"/><Relationship Id="rId684" Type="http://schemas.openxmlformats.org/officeDocument/2006/relationships/hyperlink" Target="http://3653.ru" TargetMode="External"/><Relationship Id="rId1035" Type="http://schemas.openxmlformats.org/officeDocument/2006/relationships/hyperlink" Target="https://twitter.com/odnoklassniki?lang=ru" TargetMode="External"/><Relationship Id="rId683" Type="http://schemas.openxmlformats.org/officeDocument/2006/relationships/hyperlink" Target="https://3653.ru/uchenikam/Dnevnikru/" TargetMode="External"/><Relationship Id="rId1036" Type="http://schemas.openxmlformats.org/officeDocument/2006/relationships/hyperlink" Target="http://twitter.com" TargetMode="External"/><Relationship Id="rId1026" Type="http://schemas.openxmlformats.org/officeDocument/2006/relationships/hyperlink" Target="https://career.habr.com/companies/odnoklassniki" TargetMode="External"/><Relationship Id="rId1027" Type="http://schemas.openxmlformats.org/officeDocument/2006/relationships/hyperlink" Target="http://career.habr.com" TargetMode="External"/><Relationship Id="rId1028" Type="http://schemas.openxmlformats.org/officeDocument/2006/relationships/hyperlink" Target="http://ok.me" TargetMode="External"/><Relationship Id="rId1029" Type="http://schemas.openxmlformats.org/officeDocument/2006/relationships/hyperlink" Target="https://ok.me/" TargetMode="External"/><Relationship Id="rId679" Type="http://schemas.openxmlformats.org/officeDocument/2006/relationships/hyperlink" Target="https://hh.ru/employer/581737" TargetMode="External"/><Relationship Id="rId678" Type="http://schemas.openxmlformats.org/officeDocument/2006/relationships/hyperlink" Target="http://znanierussia.ru" TargetMode="External"/><Relationship Id="rId677" Type="http://schemas.openxmlformats.org/officeDocument/2006/relationships/hyperlink" Target="https://znanierussia.ru/articles/%D0%94%D0%BD%D0%B5%D0%B2%D0%BD%D0%B8%D0%BA.%D1%80%D1%83" TargetMode="External"/><Relationship Id="rId676" Type="http://schemas.openxmlformats.org/officeDocument/2006/relationships/hyperlink" Target="http://twitter.com" TargetMode="External"/><Relationship Id="rId671" Type="http://schemas.openxmlformats.org/officeDocument/2006/relationships/hyperlink" Target="https://vk.com/dnevnikru" TargetMode="External"/><Relationship Id="rId670" Type="http://schemas.openxmlformats.org/officeDocument/2006/relationships/hyperlink" Target="http://play.google.com" TargetMode="External"/><Relationship Id="rId1020" Type="http://schemas.openxmlformats.org/officeDocument/2006/relationships/hyperlink" Target="https://www.facebook.com/official.odnoklassniki/?locale=ru_RU" TargetMode="External"/><Relationship Id="rId1021" Type="http://schemas.openxmlformats.org/officeDocument/2006/relationships/hyperlink" Target="http://www.facebook.com" TargetMode="External"/><Relationship Id="rId675" Type="http://schemas.openxmlformats.org/officeDocument/2006/relationships/hyperlink" Target="https://twitter.com/dnevnik_ru" TargetMode="External"/><Relationship Id="rId1022" Type="http://schemas.openxmlformats.org/officeDocument/2006/relationships/hyperlink" Target="https://apiok.ru/" TargetMode="External"/><Relationship Id="rId674" Type="http://schemas.openxmlformats.org/officeDocument/2006/relationships/hyperlink" Target="http://ru.wikipedia.org" TargetMode="External"/><Relationship Id="rId1023" Type="http://schemas.openxmlformats.org/officeDocument/2006/relationships/hyperlink" Target="http://apiok.ru" TargetMode="External"/><Relationship Id="rId673" Type="http://schemas.openxmlformats.org/officeDocument/2006/relationships/hyperlink" Target="https://ru.wikipedia.org/wiki/%D0%94%D0%BD%D0%B5%D0%B2%D0%BD%D0%B8%D0%BA.%D1%80%D1%83" TargetMode="External"/><Relationship Id="rId1024" Type="http://schemas.openxmlformats.org/officeDocument/2006/relationships/hyperlink" Target="https://www.insales.ru/collection/doc-sotsseti/product/products-odnoklassniki" TargetMode="External"/><Relationship Id="rId672" Type="http://schemas.openxmlformats.org/officeDocument/2006/relationships/hyperlink" Target="http://vk.com" TargetMode="External"/><Relationship Id="rId1025" Type="http://schemas.openxmlformats.org/officeDocument/2006/relationships/hyperlink" Target="http://www.insales.ru" TargetMode="External"/><Relationship Id="rId190" Type="http://schemas.openxmlformats.org/officeDocument/2006/relationships/hyperlink" Target="http://www.avatar.com" TargetMode="External"/><Relationship Id="rId194" Type="http://schemas.openxmlformats.org/officeDocument/2006/relationships/hyperlink" Target="http://www.instagram.com" TargetMode="External"/><Relationship Id="rId193" Type="http://schemas.openxmlformats.org/officeDocument/2006/relationships/hyperlink" Target="https://www.instagram.com/avatar2officialmovie/" TargetMode="External"/><Relationship Id="rId192" Type="http://schemas.openxmlformats.org/officeDocument/2006/relationships/hyperlink" Target="http://www.avatar.com" TargetMode="External"/><Relationship Id="rId191" Type="http://schemas.openxmlformats.org/officeDocument/2006/relationships/hyperlink" Target="https://www.avatar.com/movies/avatar-the-way-of-water" TargetMode="External"/><Relationship Id="rId187" Type="http://schemas.openxmlformats.org/officeDocument/2006/relationships/hyperlink" Target="https://www.rottentomatoes.com/m/avatar_the_way_of_water" TargetMode="External"/><Relationship Id="rId186" Type="http://schemas.openxmlformats.org/officeDocument/2006/relationships/hyperlink" Target="http://www.imdb.com" TargetMode="External"/><Relationship Id="rId185" Type="http://schemas.openxmlformats.org/officeDocument/2006/relationships/hyperlink" Target="https://www.imdb.com/title/tt1630029/" TargetMode="External"/><Relationship Id="rId184" Type="http://schemas.openxmlformats.org/officeDocument/2006/relationships/hyperlink" Target="http://en.wikipedia.org" TargetMode="External"/><Relationship Id="rId189" Type="http://schemas.openxmlformats.org/officeDocument/2006/relationships/hyperlink" Target="https://www.avatar.com/" TargetMode="External"/><Relationship Id="rId188" Type="http://schemas.openxmlformats.org/officeDocument/2006/relationships/hyperlink" Target="http://www.rottentomatoes.com" TargetMode="External"/><Relationship Id="rId183" Type="http://schemas.openxmlformats.org/officeDocument/2006/relationships/hyperlink" Target="https://en.wikipedia.org/wiki/Avatar:_The_Way_of_Water" TargetMode="External"/><Relationship Id="rId182" Type="http://schemas.openxmlformats.org/officeDocument/2006/relationships/hyperlink" Target="http://www.filmpro.ru" TargetMode="External"/><Relationship Id="rId181" Type="http://schemas.openxmlformats.org/officeDocument/2006/relationships/hyperlink" Target="https://www.filmpro.ru/movies/5138" TargetMode="External"/><Relationship Id="rId180" Type="http://schemas.openxmlformats.org/officeDocument/2006/relationships/hyperlink" Target="http://www.afisha.ru" TargetMode="External"/><Relationship Id="rId176" Type="http://schemas.openxmlformats.org/officeDocument/2006/relationships/hyperlink" Target="http://rutube.ru" TargetMode="External"/><Relationship Id="rId175" Type="http://schemas.openxmlformats.org/officeDocument/2006/relationships/hyperlink" Target="https://rutube.ru/video/633df1f2b8ccf9202aa456f672ff8eed/" TargetMode="External"/><Relationship Id="rId174" Type="http://schemas.openxmlformats.org/officeDocument/2006/relationships/hyperlink" Target="http://www.film.ru" TargetMode="External"/><Relationship Id="rId173" Type="http://schemas.openxmlformats.org/officeDocument/2006/relationships/hyperlink" Target="https://www.film.ru/movies/avatar-put-vody" TargetMode="External"/><Relationship Id="rId179" Type="http://schemas.openxmlformats.org/officeDocument/2006/relationships/hyperlink" Target="https://www.afisha.ru/movie/avatar-put-vody-211630/" TargetMode="External"/><Relationship Id="rId178" Type="http://schemas.openxmlformats.org/officeDocument/2006/relationships/hyperlink" Target="http://www.kp.ru" TargetMode="External"/><Relationship Id="rId177" Type="http://schemas.openxmlformats.org/officeDocument/2006/relationships/hyperlink" Target="https://www.kp.ru/afisha/msk/obzory/muzyka/shou-avatar-2-sezon-2023/" TargetMode="External"/><Relationship Id="rId198" Type="http://schemas.openxmlformats.org/officeDocument/2006/relationships/hyperlink" Target="http://www.avito.ru" TargetMode="External"/><Relationship Id="rId197" Type="http://schemas.openxmlformats.org/officeDocument/2006/relationships/hyperlink" Target="https://www.avito.ru/" TargetMode="External"/><Relationship Id="rId196" Type="http://schemas.openxmlformats.org/officeDocument/2006/relationships/hyperlink" Target="http://www.boxofficemojo.com" TargetMode="External"/><Relationship Id="rId195" Type="http://schemas.openxmlformats.org/officeDocument/2006/relationships/hyperlink" Target="https://www.boxofficemojo.com/title/tt1630029/" TargetMode="External"/><Relationship Id="rId199" Type="http://schemas.openxmlformats.org/officeDocument/2006/relationships/hyperlink" Target="https://www.avito.ru/rightholder" TargetMode="External"/><Relationship Id="rId150" Type="http://schemas.openxmlformats.org/officeDocument/2006/relationships/hyperlink" Target="http://books.google.com" TargetMode="External"/><Relationship Id="rId149" Type="http://schemas.openxmlformats.org/officeDocument/2006/relationships/hyperlink" Target="https://books.google.com/books?id=zN_JCgAAQBAJ&amp;pg=SA7-PA14&amp;lpg=SA7-PA14&amp;dq=youtube&amp;source=bl&amp;ots=ukklr-AaT3&amp;sig=ACfU3U1b5fMtZ3X5-2vKmvRGMyhKaftYow&amp;hl=ru&amp;sa=X&amp;ved=2ahUKEwjm_r2djLuCAxWTvokEHdDgCUQQ6AF6BAhIEAM" TargetMode="External"/><Relationship Id="rId148" Type="http://schemas.openxmlformats.org/officeDocument/2006/relationships/hyperlink" Target="http://books.google.com" TargetMode="External"/><Relationship Id="rId1090" Type="http://schemas.openxmlformats.org/officeDocument/2006/relationships/hyperlink" Target="https://www.youtube.com/channel/UCa5t4JYLYu9SHVraIDFQNHQ" TargetMode="External"/><Relationship Id="rId1091" Type="http://schemas.openxmlformats.org/officeDocument/2006/relationships/hyperlink" Target="http://www.youtube.com" TargetMode="External"/><Relationship Id="rId1092" Type="http://schemas.openxmlformats.org/officeDocument/2006/relationships/hyperlink" Target="https://www.imdb.com/name/nm0654830/" TargetMode="External"/><Relationship Id="rId1093" Type="http://schemas.openxmlformats.org/officeDocument/2006/relationships/hyperlink" Target="http://www.imdb.com" TargetMode="External"/><Relationship Id="rId1094" Type="http://schemas.openxmlformats.org/officeDocument/2006/relationships/hyperlink" Target="https://www.ccacoalition.org/ru/short-lived-climate-pollutants/tropospheric-ozone" TargetMode="External"/><Relationship Id="rId143" Type="http://schemas.openxmlformats.org/officeDocument/2006/relationships/hyperlink" Target="http://support.google.com" TargetMode="External"/><Relationship Id="rId1095" Type="http://schemas.openxmlformats.org/officeDocument/2006/relationships/hyperlink" Target="http://www.ccacoalition.org" TargetMode="External"/><Relationship Id="rId142" Type="http://schemas.openxmlformats.org/officeDocument/2006/relationships/hyperlink" Target="https://support.google.com/youtube/troubleshooter/2888402?hl=en" TargetMode="External"/><Relationship Id="rId1096" Type="http://schemas.openxmlformats.org/officeDocument/2006/relationships/hyperlink" Target="https://www.facebook.com/ozon.ru/" TargetMode="External"/><Relationship Id="rId141" Type="http://schemas.openxmlformats.org/officeDocument/2006/relationships/hyperlink" Target="https://www.reddit.com/r/youtube/" TargetMode="External"/><Relationship Id="rId1097" Type="http://schemas.openxmlformats.org/officeDocument/2006/relationships/hyperlink" Target="http://www.facebook.com" TargetMode="External"/><Relationship Id="rId140" Type="http://schemas.openxmlformats.org/officeDocument/2006/relationships/hyperlink" Target="http://accounts.google.com" TargetMode="External"/><Relationship Id="rId1098" Type="http://schemas.openxmlformats.org/officeDocument/2006/relationships/hyperlink" Target="https://www.sec.gov/Archives/edgar/data/1822829/000119312522065190/d212488dex991.htm" TargetMode="External"/><Relationship Id="rId147" Type="http://schemas.openxmlformats.org/officeDocument/2006/relationships/hyperlink" Target="https://books.google.com/books?id=hB_AEAAAQBAJ&amp;pg=PT60&amp;lpg=PT60&amp;dq=youtube&amp;source=bl&amp;ots=RoNPGn3yYU&amp;sig=ACfU3U2-HpijsvwhjvWEtPcf6ZRxd4vllg&amp;hl=ru&amp;sa=X&amp;ved=2ahUKEwjm_r2djLuCAxWTvokEHdDgCUQQ6AF6BAhWEAM" TargetMode="External"/><Relationship Id="rId1099" Type="http://schemas.openxmlformats.org/officeDocument/2006/relationships/hyperlink" Target="http://www.sec.gov" TargetMode="External"/><Relationship Id="rId146" Type="http://schemas.openxmlformats.org/officeDocument/2006/relationships/hyperlink" Target="https://www.canva.com/video-editor/youtube/" TargetMode="External"/><Relationship Id="rId145" Type="http://schemas.openxmlformats.org/officeDocument/2006/relationships/hyperlink" Target="http://www.webwise.ie" TargetMode="External"/><Relationship Id="rId144" Type="http://schemas.openxmlformats.org/officeDocument/2006/relationships/hyperlink" Target="https://www.webwise.ie/parents/what-is-youtube/" TargetMode="External"/><Relationship Id="rId139" Type="http://schemas.openxmlformats.org/officeDocument/2006/relationships/hyperlink" Target="https://accounts.google.com/ServiceLogin?service=youtube&amp;uilel=3&amp;hl=en" TargetMode="External"/><Relationship Id="rId138" Type="http://schemas.openxmlformats.org/officeDocument/2006/relationships/hyperlink" Target="http://support.google.com" TargetMode="External"/><Relationship Id="rId137" Type="http://schemas.openxmlformats.org/officeDocument/2006/relationships/hyperlink" Target="https://support.google.com/youtube/answer/72857?hl=en" TargetMode="External"/><Relationship Id="rId1080" Type="http://schemas.openxmlformats.org/officeDocument/2006/relationships/hyperlink" Target="https://corp.ozon.com/" TargetMode="External"/><Relationship Id="rId1081" Type="http://schemas.openxmlformats.org/officeDocument/2006/relationships/hyperlink" Target="http://corp.ozon.com" TargetMode="External"/><Relationship Id="rId1082" Type="http://schemas.openxmlformats.org/officeDocument/2006/relationships/hyperlink" Target="https://apps.apple.com/us/app/%D0%BE%D0%B7%D0%BE%D0%BD-%D0%BE%D0%BD%D0%BB%D0%B0%D0%B9%D0%BD-%D0%B8%D0%BD%D1%82%D0%B5%D1%80%D0%BD%D0%B5%D1%82-%D0%BC%D0%B0%D0%B3%D0%B0%D0%B7%D0%B8%D0%BD/id407804998" TargetMode="External"/><Relationship Id="rId1083" Type="http://schemas.openxmlformats.org/officeDocument/2006/relationships/hyperlink" Target="http://apps.apple.com" TargetMode="External"/><Relationship Id="rId132" Type="http://schemas.openxmlformats.org/officeDocument/2006/relationships/hyperlink" Target="https://blog.youtube/" TargetMode="External"/><Relationship Id="rId1084" Type="http://schemas.openxmlformats.org/officeDocument/2006/relationships/hyperlink" Target="https://finance.yahoo.com/quote/OZON/" TargetMode="External"/><Relationship Id="rId131" Type="http://schemas.openxmlformats.org/officeDocument/2006/relationships/hyperlink" Target="http://apps.apple.com" TargetMode="External"/><Relationship Id="rId1085" Type="http://schemas.openxmlformats.org/officeDocument/2006/relationships/hyperlink" Target="http://finance.yahoo.com" TargetMode="External"/><Relationship Id="rId130" Type="http://schemas.openxmlformats.org/officeDocument/2006/relationships/hyperlink" Target="https://apps.apple.com/us/app/youtube-watch-listen-stream/id544007664" TargetMode="External"/><Relationship Id="rId1086" Type="http://schemas.openxmlformats.org/officeDocument/2006/relationships/hyperlink" Target="https://books.google.com/books?id=v1eHBXOVuqUC&amp;pg=PA304&amp;lpg=PA304&amp;dq=%D0%BE%D0%B7%D0%BE%D0%BD&amp;source=bl&amp;ots=FD8lawaepP&amp;sig=ACfU3U18GAzDiSmOGpS7njf4o3hiAKB53g&amp;hl=ru&amp;sa=X&amp;ved=2ahUKEwjjxJP-iruCAxWapIkEHfPXAhUQ6AF6BAgwEAM" TargetMode="External"/><Relationship Id="rId1087" Type="http://schemas.openxmlformats.org/officeDocument/2006/relationships/hyperlink" Target="http://books.google.com" TargetMode="External"/><Relationship Id="rId136" Type="http://schemas.openxmlformats.org/officeDocument/2006/relationships/hyperlink" Target="http://edu.gcfglobal.org" TargetMode="External"/><Relationship Id="rId1088" Type="http://schemas.openxmlformats.org/officeDocument/2006/relationships/hyperlink" Target="https://books.google.com/books?id=4TYyp30DcGEC&amp;pg=PA169&amp;lpg=PA169&amp;dq=%D0%BE%D0%B7%D0%BE%D0%BD&amp;source=bl&amp;ots=sXCP25sRuk&amp;sig=ACfU3U2gRMHgphcH_dLwH7JF33gpTA7AFA&amp;hl=ru&amp;sa=X&amp;ved=2ahUKEwjjxJP-iruCAxWapIkEHfPXAhUQ6AF6BAgvEAM" TargetMode="External"/><Relationship Id="rId135" Type="http://schemas.openxmlformats.org/officeDocument/2006/relationships/hyperlink" Target="https://edu.gcfglobal.org/en/youtube/what-is-youtube/1/" TargetMode="External"/><Relationship Id="rId1089" Type="http://schemas.openxmlformats.org/officeDocument/2006/relationships/hyperlink" Target="http://books.google.com" TargetMode="External"/><Relationship Id="rId134" Type="http://schemas.openxmlformats.org/officeDocument/2006/relationships/hyperlink" Target="http://www.instagram.com" TargetMode="External"/><Relationship Id="rId133" Type="http://schemas.openxmlformats.org/officeDocument/2006/relationships/hyperlink" Target="https://www.instagram.com/youtube/" TargetMode="External"/><Relationship Id="rId172" Type="http://schemas.openxmlformats.org/officeDocument/2006/relationships/hyperlink" Target="http://www.ivi.ru" TargetMode="External"/><Relationship Id="rId171" Type="http://schemas.openxmlformats.org/officeDocument/2006/relationships/hyperlink" Target="https://www.ivi.ru/watch/138313" TargetMode="External"/><Relationship Id="rId170" Type="http://schemas.openxmlformats.org/officeDocument/2006/relationships/hyperlink" Target="http://ru.wikipedia.org" TargetMode="External"/><Relationship Id="rId165" Type="http://schemas.openxmlformats.org/officeDocument/2006/relationships/hyperlink" Target="https://books.google.com/books?id=osJSEAAAQBAJ&amp;pg=PA7&amp;lpg=PA7&amp;dq=youtube&amp;source=bl&amp;ots=X5YyqPay6G&amp;sig=ACfU3U3J2ljgLdGonDW1KKSwEL3Yan4MOA&amp;hl=ru&amp;sa=X&amp;ved=2ahUKEwjZ2L3yj7uCAxWSjYkEHU2sBGoQ6AF6BAg7EAM" TargetMode="External"/><Relationship Id="rId164" Type="http://schemas.openxmlformats.org/officeDocument/2006/relationships/hyperlink" Target="http://www.google.com" TargetMode="External"/><Relationship Id="rId163" Type="http://schemas.openxmlformats.org/officeDocument/2006/relationships/hyperlink" Target="https://www.google.com/account/about/" TargetMode="External"/><Relationship Id="rId162" Type="http://schemas.openxmlformats.org/officeDocument/2006/relationships/hyperlink" Target="http://books.google.com" TargetMode="External"/><Relationship Id="rId169" Type="http://schemas.openxmlformats.org/officeDocument/2006/relationships/hyperlink" Target="https://ru.wikipedia.org/wiki/%D0%90%D0%B2%D0%B0%D1%82%D0%B0%D1%80:_%D0%9F%D1%83%D1%82%D1%8C_%D0%B2%D0%BE%D0%B4%D1%8B" TargetMode="External"/><Relationship Id="rId168" Type="http://schemas.openxmlformats.org/officeDocument/2006/relationships/hyperlink" Target="http://www.kinopoisk.ru" TargetMode="External"/><Relationship Id="rId167" Type="http://schemas.openxmlformats.org/officeDocument/2006/relationships/hyperlink" Target="https://www.kinopoisk.ru/film/505898/" TargetMode="External"/><Relationship Id="rId166" Type="http://schemas.openxmlformats.org/officeDocument/2006/relationships/hyperlink" Target="http://books.google.com" TargetMode="External"/><Relationship Id="rId161" Type="http://schemas.openxmlformats.org/officeDocument/2006/relationships/hyperlink" Target="https://books.google.com/books?id=bdRdDwAAQBAJ&amp;pg=PT14&amp;lpg=PT14&amp;dq=youtube&amp;source=bl&amp;ots=q80xWSixim&amp;sig=ACfU3U2ZLD8gw8jCH6x3DnTBxHC-WCZQ4w&amp;hl=ru&amp;sa=X&amp;ved=2ahUKEwjZ2L3yj7uCAxWSjYkEHU2sBGoQ6AF6BAg6EAM" TargetMode="External"/><Relationship Id="rId160" Type="http://schemas.openxmlformats.org/officeDocument/2006/relationships/hyperlink" Target="http://books.google.com" TargetMode="External"/><Relationship Id="rId159" Type="http://schemas.openxmlformats.org/officeDocument/2006/relationships/hyperlink" Target="https://books.google.com/books?id=bRZn0jExOuYC&amp;pg=PA260&amp;lpg=PA260&amp;dq=youtube&amp;source=bl&amp;ots=d-jy7Rak2B&amp;sig=ACfU3U3fuE5JI5XbD1rZXMYu8nTmJ6PpXA&amp;hl=ru&amp;sa=X&amp;ved=2ahUKEwjZ2L3yj7uCAxWSjYkEHU2sBGoQ6AF6BAhUEAM" TargetMode="External"/><Relationship Id="rId154" Type="http://schemas.openxmlformats.org/officeDocument/2006/relationships/hyperlink" Target="http://en.wikipedia.org" TargetMode="External"/><Relationship Id="rId153" Type="http://schemas.openxmlformats.org/officeDocument/2006/relationships/hyperlink" Target="https://en.wikipedia.org/wiki/History_of_YouTube" TargetMode="External"/><Relationship Id="rId152" Type="http://schemas.openxmlformats.org/officeDocument/2006/relationships/hyperlink" Target="http://chrome.google.com" TargetMode="External"/><Relationship Id="rId151" Type="http://schemas.openxmlformats.org/officeDocument/2006/relationships/hyperlink" Target="https://chrome.google.com/webstore/detail/vidiq-vision-for-youtube/pachckjkecffpdphbpmfolblodfkgbhl" TargetMode="External"/><Relationship Id="rId158" Type="http://schemas.openxmlformats.org/officeDocument/2006/relationships/hyperlink" Target="http://montezumacounty.org" TargetMode="External"/><Relationship Id="rId157" Type="http://schemas.openxmlformats.org/officeDocument/2006/relationships/hyperlink" Target="https://montezumacounty.org/youtube-montezuma-county-pz-meeting-november-9-2023/" TargetMode="External"/><Relationship Id="rId156" Type="http://schemas.openxmlformats.org/officeDocument/2006/relationships/hyperlink" Target="http://support.google.com" TargetMode="External"/><Relationship Id="rId155" Type="http://schemas.openxmlformats.org/officeDocument/2006/relationships/hyperlink" Target="https://support.google.com/youtube/answer/71673?hl=en&amp;co=GENIE.Platform%3DAndroid" TargetMode="External"/><Relationship Id="rId1510" Type="http://schemas.openxmlformats.org/officeDocument/2006/relationships/hyperlink" Target="https://online.sberbank.ru/" TargetMode="External"/><Relationship Id="rId1511" Type="http://schemas.openxmlformats.org/officeDocument/2006/relationships/hyperlink" Target="http://online.sberbank.ru" TargetMode="External"/><Relationship Id="rId1512" Type="http://schemas.openxmlformats.org/officeDocument/2006/relationships/hyperlink" Target="https://www.sberbank.com/ru" TargetMode="External"/><Relationship Id="rId1513" Type="http://schemas.openxmlformats.org/officeDocument/2006/relationships/hyperlink" Target="http://www.sberbank.com" TargetMode="External"/><Relationship Id="rId1514" Type="http://schemas.openxmlformats.org/officeDocument/2006/relationships/hyperlink" Target="https://www.sberbank.com/" TargetMode="External"/><Relationship Id="rId1515" Type="http://schemas.openxmlformats.org/officeDocument/2006/relationships/hyperlink" Target="http://www.sberbank.com" TargetMode="External"/><Relationship Id="rId1516" Type="http://schemas.openxmlformats.org/officeDocument/2006/relationships/hyperlink" Target="https://ru.wikipedia.org/wiki/%D0%A1%D0%B1%D0%B5%D1%80%D0%B1%D0%B0%D0%BD%D0%BA_%D0%A0%D0%BE%D1%81%D1%81%D0%B8%D0%B8" TargetMode="External"/><Relationship Id="rId1517" Type="http://schemas.openxmlformats.org/officeDocument/2006/relationships/hyperlink" Target="http://ru.wikipedia.org" TargetMode="External"/><Relationship Id="rId1518" Type="http://schemas.openxmlformats.org/officeDocument/2006/relationships/hyperlink" Target="https://www.sber-bank.by/" TargetMode="External"/><Relationship Id="rId1519" Type="http://schemas.openxmlformats.org/officeDocument/2006/relationships/hyperlink" Target="http://www.sber-bank.by" TargetMode="External"/><Relationship Id="rId1500" Type="http://schemas.openxmlformats.org/officeDocument/2006/relationships/hyperlink" Target="http://moonzori.com" TargetMode="External"/><Relationship Id="rId1501" Type="http://schemas.openxmlformats.org/officeDocument/2006/relationships/hyperlink" Target="https://wotpack.ru/s-dnem-rozhdenija-v-genshin-impact-kak-nachat-i-najti-lanuar/" TargetMode="External"/><Relationship Id="rId1502" Type="http://schemas.openxmlformats.org/officeDocument/2006/relationships/hyperlink" Target="http://wotpack.ru" TargetMode="External"/><Relationship Id="rId1503" Type="http://schemas.openxmlformats.org/officeDocument/2006/relationships/hyperlink" Target="https://www.youtube.com/playlist?list=PLqVr6CBVHfRM0XKNY5ZvVQbVsK2oxL34z" TargetMode="External"/><Relationship Id="rId1504" Type="http://schemas.openxmlformats.org/officeDocument/2006/relationships/hyperlink" Target="http://www.youtube.com" TargetMode="External"/><Relationship Id="rId1505" Type="http://schemas.openxmlformats.org/officeDocument/2006/relationships/hyperlink" Target="https://yandex.ru/video/touch/%D0%B7%D0%B0%D0%BF%D1%80%D0%BE%D1%81/%D1%81%D0%B5%D1%80%D0%B8%D0%B0%D0%BB%D1%8B?top=0&amp;text=%D0%BF%D0%BE%D0%B7%D0%B4%D1%80%D0%B0%D0%B2%D0%BB%D0%B5%D0%BD%D0%B8%D0%B5+%D0%BD%D0%B0+%D0%B4%D0%B5%D0%BD%D1%8C+%D1%80%D0%BE%D0%B6%D0%B4%D0%B5%D0%BD%D0%B8%D1%8F&amp;letter=%D0%98&amp;letter_page=2&amp;redircnt=1518955007.1&amp;autoopen=1" TargetMode="External"/><Relationship Id="rId1506" Type="http://schemas.openxmlformats.org/officeDocument/2006/relationships/hyperlink" Target="http://yandex.ru" TargetMode="External"/><Relationship Id="rId1507" Type="http://schemas.openxmlformats.org/officeDocument/2006/relationships/hyperlink" Target="https://www.facebook.com/groups/553041255073656/" TargetMode="External"/><Relationship Id="rId1508" Type="http://schemas.openxmlformats.org/officeDocument/2006/relationships/hyperlink" Target="http://www.facebook.com" TargetMode="External"/><Relationship Id="rId1509" Type="http://schemas.openxmlformats.org/officeDocument/2006/relationships/hyperlink" Target="http://www.sberbank.ru/ru/person" TargetMode="External"/><Relationship Id="rId1576" Type="http://schemas.openxmlformats.org/officeDocument/2006/relationships/hyperlink" Target="https://www.cnews.ru/book/%D0%A1%D0%B1%D0%B5%D1%80_-_%D0%A1%D0%B1%D0%B5%D1%80%D0%B1%D0%B0%D0%BD%D0%BA_%D0%9E%D0%BD%D0%BB%D0%B0%D0%B9%D0%BD_-_%D0%A1%D0%B1%D0%B5%D1%80%D0%B1%D0%B0%D0%BD%D0%BA_%D0%9E%D0%BD%D0%BB_%D0%B9%D0%BD_-_%D0%B8%D0%BD%D1%82%D0%B5%D1%80%D0%BD%D0%B5%D1%82-%D0%B1%D0%B0%D0%BD%D0%BA" TargetMode="External"/><Relationship Id="rId1577" Type="http://schemas.openxmlformats.org/officeDocument/2006/relationships/hyperlink" Target="http://www.cnews.ru" TargetMode="External"/><Relationship Id="rId1578" Type="http://schemas.openxmlformats.org/officeDocument/2006/relationships/hyperlink" Target="https://vk.com/sber" TargetMode="External"/><Relationship Id="rId1579" Type="http://schemas.openxmlformats.org/officeDocument/2006/relationships/hyperlink" Target="http://vk.com" TargetMode="External"/><Relationship Id="rId509" Type="http://schemas.openxmlformats.org/officeDocument/2006/relationships/hyperlink" Target="http://tsvetomania.ru" TargetMode="External"/><Relationship Id="rId508" Type="http://schemas.openxmlformats.org/officeDocument/2006/relationships/hyperlink" Target="https://tsvetomania.ru/encyclopedia/gipsofila963/" TargetMode="External"/><Relationship Id="rId503" Type="http://schemas.openxmlformats.org/officeDocument/2006/relationships/hyperlink" Target="https://apps.apple.com/ru/app/%D0%B3%D0%B4%D0%B7-%D0%BC%D0%BE%D0%B9-%D1%80%D0%B5%D1%88%D0%B5%D0%B1%D0%BD%D0%B8%D0%BA/id1276194049" TargetMode="External"/><Relationship Id="rId987" Type="http://schemas.openxmlformats.org/officeDocument/2006/relationships/hyperlink" Target="https://www.youtube.com/watch?v=KAC0FXPGWG0" TargetMode="External"/><Relationship Id="rId502" Type="http://schemas.openxmlformats.org/officeDocument/2006/relationships/hyperlink" Target="http://vshkole.com" TargetMode="External"/><Relationship Id="rId986" Type="http://schemas.openxmlformats.org/officeDocument/2006/relationships/hyperlink" Target="http://government.ru/news/" TargetMode="External"/><Relationship Id="rId501" Type="http://schemas.openxmlformats.org/officeDocument/2006/relationships/hyperlink" Target="https://vshkole.com/" TargetMode="External"/><Relationship Id="rId985" Type="http://schemas.openxmlformats.org/officeDocument/2006/relationships/hyperlink" Target="https://www.nbcnews.com/" TargetMode="External"/><Relationship Id="rId500" Type="http://schemas.openxmlformats.org/officeDocument/2006/relationships/hyperlink" Target="http://play.google.com" TargetMode="External"/><Relationship Id="rId984" Type="http://schemas.openxmlformats.org/officeDocument/2006/relationships/hyperlink" Target="http://rg.ru" TargetMode="External"/><Relationship Id="rId507" Type="http://schemas.openxmlformats.org/officeDocument/2006/relationships/hyperlink" Target="https://flowwow.com/blog/gipsofila-foto-i-opisanie/" TargetMode="External"/><Relationship Id="rId506" Type="http://schemas.openxmlformats.org/officeDocument/2006/relationships/hyperlink" Target="http://gdz.sub.uni-goettingen.de" TargetMode="External"/><Relationship Id="rId505" Type="http://schemas.openxmlformats.org/officeDocument/2006/relationships/hyperlink" Target="https://gdz.sub.uni-goettingen.de/" TargetMode="External"/><Relationship Id="rId989" Type="http://schemas.openxmlformats.org/officeDocument/2006/relationships/hyperlink" Target="https://www.mk.ru/news/" TargetMode="External"/><Relationship Id="rId504" Type="http://schemas.openxmlformats.org/officeDocument/2006/relationships/hyperlink" Target="http://apps.apple.com" TargetMode="External"/><Relationship Id="rId988" Type="http://schemas.openxmlformats.org/officeDocument/2006/relationships/hyperlink" Target="http://www.youtube.com" TargetMode="External"/><Relationship Id="rId1570" Type="http://schemas.openxmlformats.org/officeDocument/2006/relationships/hyperlink" Target="https://ru.wikipedia.org/wiki/%D0%A1%D0%B1%D0%B5%D1%80%D0%B1%D0%B0%D0%BD%D0%BA_%D0%9E%D0%BD%D0%BB%D0%B0%D0%B9%D0%BD" TargetMode="External"/><Relationship Id="rId1571" Type="http://schemas.openxmlformats.org/officeDocument/2006/relationships/hyperlink" Target="http://ru.wikipedia.org" TargetMode="External"/><Relationship Id="rId983" Type="http://schemas.openxmlformats.org/officeDocument/2006/relationships/hyperlink" Target="https://rg.ru/" TargetMode="External"/><Relationship Id="rId1572" Type="http://schemas.openxmlformats.org/officeDocument/2006/relationships/hyperlink" Target="https://sberbank-onlayn.softonic.ru/android" TargetMode="External"/><Relationship Id="rId982" Type="http://schemas.openxmlformats.org/officeDocument/2006/relationships/hyperlink" Target="http://www.golosameriki.com" TargetMode="External"/><Relationship Id="rId1573" Type="http://schemas.openxmlformats.org/officeDocument/2006/relationships/hyperlink" Target="http://sberbank-onlayn.softonic.ru" TargetMode="External"/><Relationship Id="rId981" Type="http://schemas.openxmlformats.org/officeDocument/2006/relationships/hyperlink" Target="https://www.golosameriki.com/novosti" TargetMode="External"/><Relationship Id="rId1574" Type="http://schemas.openxmlformats.org/officeDocument/2006/relationships/hyperlink" Target="https://apps.rustore.ru/app/ru.sberbankmobile" TargetMode="External"/><Relationship Id="rId980" Type="http://schemas.openxmlformats.org/officeDocument/2006/relationships/hyperlink" Target="http://www.bbc.com" TargetMode="External"/><Relationship Id="rId1575" Type="http://schemas.openxmlformats.org/officeDocument/2006/relationships/hyperlink" Target="https://bankiros.ru/wiki/term/kak-polzovatsia-sberbank-online" TargetMode="External"/><Relationship Id="rId1565" Type="http://schemas.openxmlformats.org/officeDocument/2006/relationships/hyperlink" Target="https://apps.sber.ru/apps/sberbank-online/" TargetMode="External"/><Relationship Id="rId1566" Type="http://schemas.openxmlformats.org/officeDocument/2006/relationships/hyperlink" Target="http://apps.sber.ru" TargetMode="External"/><Relationship Id="rId1567" Type="http://schemas.openxmlformats.org/officeDocument/2006/relationships/hyperlink" Target="http://www.sberbank.ru/ru/person/dist_services" TargetMode="External"/><Relationship Id="rId1568" Type="http://schemas.openxmlformats.org/officeDocument/2006/relationships/hyperlink" Target="https://www.sberbank.com/ru/person/dist_services/sberbank-online-iphone" TargetMode="External"/><Relationship Id="rId1569" Type="http://schemas.openxmlformats.org/officeDocument/2006/relationships/hyperlink" Target="http://www.sberbank.com" TargetMode="External"/><Relationship Id="rId976" Type="http://schemas.openxmlformats.org/officeDocument/2006/relationships/hyperlink" Target="http://rtvi.com" TargetMode="External"/><Relationship Id="rId975" Type="http://schemas.openxmlformats.org/officeDocument/2006/relationships/hyperlink" Target="https://rtvi.com/" TargetMode="External"/><Relationship Id="rId974" Type="http://schemas.openxmlformats.org/officeDocument/2006/relationships/hyperlink" Target="http://regnum.ru" TargetMode="External"/><Relationship Id="rId973" Type="http://schemas.openxmlformats.org/officeDocument/2006/relationships/hyperlink" Target="https://regnum.ru/news" TargetMode="External"/><Relationship Id="rId979" Type="http://schemas.openxmlformats.org/officeDocument/2006/relationships/hyperlink" Target="https://www.bbc.com/russian" TargetMode="External"/><Relationship Id="rId978" Type="http://schemas.openxmlformats.org/officeDocument/2006/relationships/hyperlink" Target="http://www.forbes.ru" TargetMode="External"/><Relationship Id="rId977" Type="http://schemas.openxmlformats.org/officeDocument/2006/relationships/hyperlink" Target="https://www.forbes.ru/novosti" TargetMode="External"/><Relationship Id="rId1560" Type="http://schemas.openxmlformats.org/officeDocument/2006/relationships/hyperlink" Target="https://www.banki.ru/wikibank/sberbank_onlayn/" TargetMode="External"/><Relationship Id="rId972" Type="http://schemas.openxmlformats.org/officeDocument/2006/relationships/hyperlink" Target="http://www.1tv.ru" TargetMode="External"/><Relationship Id="rId1561" Type="http://schemas.openxmlformats.org/officeDocument/2006/relationships/hyperlink" Target="https://www.sravni.ru/enciklopediya/info/sberbank-onlajn/" TargetMode="External"/><Relationship Id="rId971" Type="http://schemas.openxmlformats.org/officeDocument/2006/relationships/hyperlink" Target="https://www.1tv.ru/" TargetMode="External"/><Relationship Id="rId1562" Type="http://schemas.openxmlformats.org/officeDocument/2006/relationships/hyperlink" Target="http://www.sravni.ru" TargetMode="External"/><Relationship Id="rId970" Type="http://schemas.openxmlformats.org/officeDocument/2006/relationships/hyperlink" Target="http://www.1tv.ru" TargetMode="External"/><Relationship Id="rId1563" Type="http://schemas.openxmlformats.org/officeDocument/2006/relationships/hyperlink" Target="https://www.sberbank.com/ru/person/dist_services/sberbank-online-android" TargetMode="External"/><Relationship Id="rId1564" Type="http://schemas.openxmlformats.org/officeDocument/2006/relationships/hyperlink" Target="http://www.sberbank.com" TargetMode="External"/><Relationship Id="rId1114" Type="http://schemas.openxmlformats.org/officeDocument/2006/relationships/hyperlink" Target="http://www.rbc.ua" TargetMode="External"/><Relationship Id="rId1598" Type="http://schemas.openxmlformats.org/officeDocument/2006/relationships/hyperlink" Target="http://sgo.cit73.ru" TargetMode="External"/><Relationship Id="rId1115" Type="http://schemas.openxmlformats.org/officeDocument/2006/relationships/hyperlink" Target="https://www.unian.net/lite/holidays/kogda-pasha-2023-tochnaya-data-budet-li-vyhodnoy-12098343.html" TargetMode="External"/><Relationship Id="rId1599" Type="http://schemas.openxmlformats.org/officeDocument/2006/relationships/hyperlink" Target="https://region.zabedu.ru/about.html" TargetMode="External"/><Relationship Id="rId1116" Type="http://schemas.openxmlformats.org/officeDocument/2006/relationships/hyperlink" Target="http://www.unian.net" TargetMode="External"/><Relationship Id="rId1117" Type="http://schemas.openxmlformats.org/officeDocument/2006/relationships/hyperlink" Target="https://iz.ru/1498098/2023-04-16/paskha-2023-kak-pravoslavnye-otmechaiut-svetloe-voskresenie-chto-mozhno-i-nelzia-delat" TargetMode="External"/><Relationship Id="rId1118" Type="http://schemas.openxmlformats.org/officeDocument/2006/relationships/hyperlink" Target="http://iz.ru" TargetMode="External"/><Relationship Id="rId1119" Type="http://schemas.openxmlformats.org/officeDocument/2006/relationships/hyperlink" Target="https://only.bible/tools/calendar/resurrection/" TargetMode="External"/><Relationship Id="rId525" Type="http://schemas.openxmlformats.org/officeDocument/2006/relationships/hyperlink" Target="http://cvetovik.com" TargetMode="External"/><Relationship Id="rId524" Type="http://schemas.openxmlformats.org/officeDocument/2006/relationships/hyperlink" Target="https://cvetovik.com/catalog/tsveti/gipsofila/" TargetMode="External"/><Relationship Id="rId523" Type="http://schemas.openxmlformats.org/officeDocument/2006/relationships/hyperlink" Target="http://9046065.ru" TargetMode="External"/><Relationship Id="rId522" Type="http://schemas.openxmlformats.org/officeDocument/2006/relationships/hyperlink" Target="https://9046065.ru/cveti/gipsofila-spb/" TargetMode="External"/><Relationship Id="rId529" Type="http://schemas.openxmlformats.org/officeDocument/2006/relationships/hyperlink" Target="http://buketonline-msk.ru" TargetMode="External"/><Relationship Id="rId528" Type="http://schemas.openxmlformats.org/officeDocument/2006/relationships/hyperlink" Target="https://buketonline-msk.ru/cvety/gipsofila/" TargetMode="External"/><Relationship Id="rId527" Type="http://schemas.openxmlformats.org/officeDocument/2006/relationships/hyperlink" Target="http://www.grand-kapriz.ru" TargetMode="External"/><Relationship Id="rId526" Type="http://schemas.openxmlformats.org/officeDocument/2006/relationships/hyperlink" Target="https://www.grand-kapriz.ru/product/buket-iz-rozovoy-gipsofily" TargetMode="External"/><Relationship Id="rId1590" Type="http://schemas.openxmlformats.org/officeDocument/2006/relationships/hyperlink" Target="https://sbbol.bps-sberbank.by/" TargetMode="External"/><Relationship Id="rId1591" Type="http://schemas.openxmlformats.org/officeDocument/2006/relationships/hyperlink" Target="http://sbbol.bps-sberbank.by" TargetMode="External"/><Relationship Id="rId1592" Type="http://schemas.openxmlformats.org/officeDocument/2006/relationships/hyperlink" Target="https://www.sravni.ru/enciklopediya/info/kak-zaregistrirovatsya-v-sberbank-onlajn/" TargetMode="External"/><Relationship Id="rId1593" Type="http://schemas.openxmlformats.org/officeDocument/2006/relationships/hyperlink" Target="http://www.sravni.ru" TargetMode="External"/><Relationship Id="rId521" Type="http://schemas.openxmlformats.org/officeDocument/2006/relationships/hyperlink" Target="http://roza101.ru" TargetMode="External"/><Relationship Id="rId1110" Type="http://schemas.openxmlformats.org/officeDocument/2006/relationships/hyperlink" Target="http://www.linkedin.com" TargetMode="External"/><Relationship Id="rId1594" Type="http://schemas.openxmlformats.org/officeDocument/2006/relationships/hyperlink" Target="https://www.forbes.ru/finansy/475069-zamenausee-sberbank-onlajn-prilozenie-iscezlo-iz-app-store" TargetMode="External"/><Relationship Id="rId520" Type="http://schemas.openxmlformats.org/officeDocument/2006/relationships/hyperlink" Target="https://roza101.ru/cvety/gipsofily" TargetMode="External"/><Relationship Id="rId1111" Type="http://schemas.openxmlformats.org/officeDocument/2006/relationships/hyperlink" Target="https://iz.ru/1496595/2023-04-11/paskha-2023-chto-za-prazdnik-16-aprelia-chto-nelzia-delat" TargetMode="External"/><Relationship Id="rId1595" Type="http://schemas.openxmlformats.org/officeDocument/2006/relationships/hyperlink" Target="http://www.forbes.ru" TargetMode="External"/><Relationship Id="rId1112" Type="http://schemas.openxmlformats.org/officeDocument/2006/relationships/hyperlink" Target="http://iz.ru" TargetMode="External"/><Relationship Id="rId1596" Type="http://schemas.openxmlformats.org/officeDocument/2006/relationships/hyperlink" Target="https://domclick.ru/ipoteka" TargetMode="External"/><Relationship Id="rId1113" Type="http://schemas.openxmlformats.org/officeDocument/2006/relationships/hyperlink" Target="https://www.rbc.ua/ukr/styler/velikden-2023-koli-svyatkuvatimemo-pravoslavnim-1663816465.html" TargetMode="External"/><Relationship Id="rId1597" Type="http://schemas.openxmlformats.org/officeDocument/2006/relationships/hyperlink" Target="https://sgo.cit73.ru/" TargetMode="External"/><Relationship Id="rId1103" Type="http://schemas.openxmlformats.org/officeDocument/2006/relationships/hyperlink" Target="http://books.google.com" TargetMode="External"/><Relationship Id="rId1587" Type="http://schemas.openxmlformats.org/officeDocument/2006/relationships/hyperlink" Target="https://sberbankins.ru/" TargetMode="External"/><Relationship Id="rId1104" Type="http://schemas.openxmlformats.org/officeDocument/2006/relationships/hyperlink" Target="https://books.google.com/books?id=4TYyp30DcGEC&amp;pg=PA149&amp;lpg=PA149&amp;dq=%D0%BE%D0%B7%D0%BE%D0%BD&amp;source=bl&amp;ots=sXCP25tQBl&amp;sig=ACfU3U080l1fZ4jsLgR_U0SXHca3D7xmYA&amp;hl=ru&amp;sa=X&amp;ved=2ahUKEwiB4KDNjruCAxUPtokEHcKvAHsQ6AF6BAg2EAM" TargetMode="External"/><Relationship Id="rId1588" Type="http://schemas.openxmlformats.org/officeDocument/2006/relationships/hyperlink" Target="https://34gaz.ru/one-stop-shop/manual_sber/" TargetMode="External"/><Relationship Id="rId1105" Type="http://schemas.openxmlformats.org/officeDocument/2006/relationships/hyperlink" Target="http://books.google.com" TargetMode="External"/><Relationship Id="rId1589" Type="http://schemas.openxmlformats.org/officeDocument/2006/relationships/hyperlink" Target="http://34gaz.ru" TargetMode="External"/><Relationship Id="rId1106" Type="http://schemas.openxmlformats.org/officeDocument/2006/relationships/hyperlink" Target="https://books.google.com/books?id=A8qjgBCgPSgC&amp;pg=PA157&amp;lpg=PA157&amp;dq=%D0%BE%D0%B7%D0%BE%D0%BD&amp;source=bl&amp;ots=8L7Grlriaz&amp;sig=ACfU3U0T4l14v25jX6qmNWjPMggOaJQAOQ&amp;hl=ru&amp;sa=X&amp;ved=2ahUKEwiB4KDNjruCAxUPtokEHcKvAHsQ6AF6BAg1EAM" TargetMode="External"/><Relationship Id="rId1107" Type="http://schemas.openxmlformats.org/officeDocument/2006/relationships/hyperlink" Target="http://books.google.com" TargetMode="External"/><Relationship Id="rId1108" Type="http://schemas.openxmlformats.org/officeDocument/2006/relationships/hyperlink" Target="http://ozon.ru" TargetMode="External"/><Relationship Id="rId1109" Type="http://schemas.openxmlformats.org/officeDocument/2006/relationships/hyperlink" Target="https://www.linkedin.com/company/llc-internet-solutions-ozon-ru-" TargetMode="External"/><Relationship Id="rId519" Type="http://schemas.openxmlformats.org/officeDocument/2006/relationships/hyperlink" Target="https://xn----7sbbzcf1abmgo.xn--p1ai/%D0%B1%D1%83%D0%BA%D0%B5%D1%82%D1%8B/%D0%B1%D1%83%D0%BA%D0%B5%D1%82%D1%8B-%D0%B8%D0%B7-%D0%B3%D0%B8%D0%BF%D1%81%D0%BE%D1%84%D0%B8%D0%BB%D1%8B/" TargetMode="External"/><Relationship Id="rId514" Type="http://schemas.openxmlformats.org/officeDocument/2006/relationships/hyperlink" Target="http://flawery.ru" TargetMode="External"/><Relationship Id="rId998" Type="http://schemas.openxmlformats.org/officeDocument/2006/relationships/hyperlink" Target="http://play.google.com" TargetMode="External"/><Relationship Id="rId513" Type="http://schemas.openxmlformats.org/officeDocument/2006/relationships/hyperlink" Target="https://flawery.ru/samara/bouquets/flowers-gipsofila/" TargetMode="External"/><Relationship Id="rId997" Type="http://schemas.openxmlformats.org/officeDocument/2006/relationships/hyperlink" Target="https://play.google.com/store/apps/details?id=ru.ok.android&amp;hl=ru&amp;gl=US" TargetMode="External"/><Relationship Id="rId512" Type="http://schemas.openxmlformats.org/officeDocument/2006/relationships/hyperlink" Target="https://www.ozon.ru/category/bukety-iz-gipsofil/" TargetMode="External"/><Relationship Id="rId996" Type="http://schemas.openxmlformats.org/officeDocument/2006/relationships/hyperlink" Target="http://ok.ru" TargetMode="External"/><Relationship Id="rId511" Type="http://schemas.openxmlformats.org/officeDocument/2006/relationships/hyperlink" Target="https://flowwow.com/moscow/gipsofila-flowers/" TargetMode="External"/><Relationship Id="rId995" Type="http://schemas.openxmlformats.org/officeDocument/2006/relationships/hyperlink" Target="https://ok.ru/" TargetMode="External"/><Relationship Id="rId518" Type="http://schemas.openxmlformats.org/officeDocument/2006/relationships/hyperlink" Target="http://magicalflower.ru" TargetMode="External"/><Relationship Id="rId517" Type="http://schemas.openxmlformats.org/officeDocument/2006/relationships/hyperlink" Target="https://magicalflower.ru/tsvety/gipsofila/" TargetMode="External"/><Relationship Id="rId516" Type="http://schemas.openxmlformats.org/officeDocument/2006/relationships/hyperlink" Target="http://floralavka.ru" TargetMode="External"/><Relationship Id="rId515" Type="http://schemas.openxmlformats.org/officeDocument/2006/relationships/hyperlink" Target="https://floralavka.ru/monobuket-iz-gipsofily" TargetMode="External"/><Relationship Id="rId999" Type="http://schemas.openxmlformats.org/officeDocument/2006/relationships/hyperlink" Target="https://ru.wikipedia.org/wiki/%D0%9E%D0%B4%D0%BD%D0%BE%D0%BA%D0%BB%D0%B0%D1%81%D1%81%D0%BD%D0%B8%D0%BA%D0%B8_(%D1%81%D0%BE%D1%86%D0%B8%D0%B0%D0%BB%D1%8C%D0%BD%D0%B0%D1%8F_%D1%81%D0%B5%D1%82%D1%8C)" TargetMode="External"/><Relationship Id="rId990" Type="http://schemas.openxmlformats.org/officeDocument/2006/relationships/hyperlink" Target="http://www.kremlin.ru/events/president/news" TargetMode="External"/><Relationship Id="rId1580" Type="http://schemas.openxmlformats.org/officeDocument/2006/relationships/hyperlink" Target="https://ria.ru/product_Sberbank_Onlajjn/" TargetMode="External"/><Relationship Id="rId1581" Type="http://schemas.openxmlformats.org/officeDocument/2006/relationships/hyperlink" Target="https://www.forbes.ru/tekhnologii/479393-zamenausee-sberbank-onlajn-prilozenie-vnov-poavilos-v-app-store" TargetMode="External"/><Relationship Id="rId1582" Type="http://schemas.openxmlformats.org/officeDocument/2006/relationships/hyperlink" Target="http://www.forbes.ru" TargetMode="External"/><Relationship Id="rId510" Type="http://schemas.openxmlformats.org/officeDocument/2006/relationships/hyperlink" Target="https://cvetov.ru/grozny/catalog/bukety/192417/" TargetMode="External"/><Relationship Id="rId994" Type="http://schemas.openxmlformats.org/officeDocument/2006/relationships/hyperlink" Target="http://russian.rt.com" TargetMode="External"/><Relationship Id="rId1583" Type="http://schemas.openxmlformats.org/officeDocument/2006/relationships/hyperlink" Target="https://instagro.ru/instructions/kak-oplatit-zakaz-cherez-prilozhenie-sberbank-onlajn-na-telefone/" TargetMode="External"/><Relationship Id="rId993" Type="http://schemas.openxmlformats.org/officeDocument/2006/relationships/hyperlink" Target="https://russian.rt.com/news" TargetMode="External"/><Relationship Id="rId1100" Type="http://schemas.openxmlformats.org/officeDocument/2006/relationships/hyperlink" Target="https://en.ozonweb.com/" TargetMode="External"/><Relationship Id="rId1584" Type="http://schemas.openxmlformats.org/officeDocument/2006/relationships/hyperlink" Target="http://instagro.ru" TargetMode="External"/><Relationship Id="rId992" Type="http://schemas.openxmlformats.org/officeDocument/2006/relationships/hyperlink" Target="http://www.reuters.com" TargetMode="External"/><Relationship Id="rId1101" Type="http://schemas.openxmlformats.org/officeDocument/2006/relationships/hyperlink" Target="http://en.ozonweb.com" TargetMode="External"/><Relationship Id="rId1585" Type="http://schemas.openxmlformats.org/officeDocument/2006/relationships/hyperlink" Target="https://online.prisbank.com/" TargetMode="External"/><Relationship Id="rId991" Type="http://schemas.openxmlformats.org/officeDocument/2006/relationships/hyperlink" Target="https://www.reuters.com/" TargetMode="External"/><Relationship Id="rId1102" Type="http://schemas.openxmlformats.org/officeDocument/2006/relationships/hyperlink" Target="https://books.google.com/books?id=qwkrDwAAQBAJ&amp;pg=PT5&amp;lpg=PT5&amp;dq=%D0%BE%D0%B7%D0%BE%D0%BD&amp;source=bl&amp;ots=fxyKF3l9pL&amp;sig=ACfU3U3LTLTaBV3-GFMasVR_VwBMxOK_6w&amp;hl=ru&amp;sa=X&amp;ved=2ahUKEwiB4KDNjruCAxUPtokEHcKvAHsQ6AF6BAg0EAM" TargetMode="External"/><Relationship Id="rId1586" Type="http://schemas.openxmlformats.org/officeDocument/2006/relationships/hyperlink" Target="http://online.prisbank.com" TargetMode="External"/><Relationship Id="rId1532" Type="http://schemas.openxmlformats.org/officeDocument/2006/relationships/hyperlink" Target="https://apps.sber.ru/apps/sberbank-online/" TargetMode="External"/><Relationship Id="rId1533" Type="http://schemas.openxmlformats.org/officeDocument/2006/relationships/hyperlink" Target="http://apps.sber.ru" TargetMode="External"/><Relationship Id="rId1534" Type="http://schemas.openxmlformats.org/officeDocument/2006/relationships/hyperlink" Target="https://ria.ru/organization_Sberbank_Rossii/" TargetMode="External"/><Relationship Id="rId1535" Type="http://schemas.openxmlformats.org/officeDocument/2006/relationships/hyperlink" Target="https://twitter.com/sberbank" TargetMode="External"/><Relationship Id="rId1536" Type="http://schemas.openxmlformats.org/officeDocument/2006/relationships/hyperlink" Target="http://twitter.com" TargetMode="External"/><Relationship Id="rId1537" Type="http://schemas.openxmlformats.org/officeDocument/2006/relationships/hyperlink" Target="https://books.google.com/books?id=Bea1AAAAQBAJ&amp;pg=PT177&amp;lpg=PT177&amp;dq=%D1%81%D0%B1%D0%B5%D1%80%D0%B1%D0%B0%D0%BD%D0%BA&amp;source=bl&amp;ots=vA7nsbgnnj&amp;sig=ACfU3U2MFNXNJ9ryCZ9GK_8MSfbZF_HsqQ&amp;hl=ru&amp;sa=X&amp;ved=2ahUKEwjM9q7GoryCAxX6mokEHTLEDkAQ6AF6BAhFEAM" TargetMode="External"/><Relationship Id="rId1538" Type="http://schemas.openxmlformats.org/officeDocument/2006/relationships/hyperlink" Target="http://books.google.com" TargetMode="External"/><Relationship Id="rId1539" Type="http://schemas.openxmlformats.org/officeDocument/2006/relationships/hyperlink" Target="https://books.google.com/books?id=xRfKCQAAQBAJ&amp;pg=PA15&amp;lpg=PA15&amp;dq=%D1%81%D0%B1%D0%B5%D1%80%D0%B1%D0%B0%D0%BD%D0%BA&amp;source=bl&amp;ots=9LAJf-Kemz&amp;sig=ACfU3U18yZzj_7r2n0OWgzJ2h-fU2mj4HQ&amp;hl=ru&amp;sa=X&amp;ved=2ahUKEwjM9q7GoryCAxX6mokEHTLEDkAQ6AF6BAhHEAM" TargetMode="External"/><Relationship Id="rId949" Type="http://schemas.openxmlformats.org/officeDocument/2006/relationships/hyperlink" Target="https://news.mail.ru/" TargetMode="External"/><Relationship Id="rId948" Type="http://schemas.openxmlformats.org/officeDocument/2006/relationships/hyperlink" Target="https://www.rbc.ru/" TargetMode="External"/><Relationship Id="rId943" Type="http://schemas.openxmlformats.org/officeDocument/2006/relationships/hyperlink" Target="http://ngs.ru" TargetMode="External"/><Relationship Id="rId942" Type="http://schemas.openxmlformats.org/officeDocument/2006/relationships/hyperlink" Target="https://ngs.ru/text/job/2023/04/10/72203609/" TargetMode="External"/><Relationship Id="rId941" Type="http://schemas.openxmlformats.org/officeDocument/2006/relationships/hyperlink" Target="http://www.interfax.ru" TargetMode="External"/><Relationship Id="rId940" Type="http://schemas.openxmlformats.org/officeDocument/2006/relationships/hyperlink" Target="https://www.interfax.ru/proizvodstvennyy-kalendar.html" TargetMode="External"/><Relationship Id="rId947" Type="http://schemas.openxmlformats.org/officeDocument/2006/relationships/hyperlink" Target="https://ria.ru/lenta/" TargetMode="External"/><Relationship Id="rId946" Type="http://schemas.openxmlformats.org/officeDocument/2006/relationships/hyperlink" Target="http://lenta.ru" TargetMode="External"/><Relationship Id="rId945" Type="http://schemas.openxmlformats.org/officeDocument/2006/relationships/hyperlink" Target="https://lenta.ru/" TargetMode="External"/><Relationship Id="rId944" Type="http://schemas.openxmlformats.org/officeDocument/2006/relationships/hyperlink" Target="https://ria.ru/" TargetMode="External"/><Relationship Id="rId1530" Type="http://schemas.openxmlformats.org/officeDocument/2006/relationships/hyperlink" Target="http://sbermobile.ru" TargetMode="External"/><Relationship Id="rId1531" Type="http://schemas.openxmlformats.org/officeDocument/2006/relationships/hyperlink" Target="https://www.banki.ru/banks/bank/sberbank/" TargetMode="External"/><Relationship Id="rId1521" Type="http://schemas.openxmlformats.org/officeDocument/2006/relationships/hyperlink" Target="http://vk.com" TargetMode="External"/><Relationship Id="rId1522" Type="http://schemas.openxmlformats.org/officeDocument/2006/relationships/hyperlink" Target="http://sbrf.ru" TargetMode="External"/><Relationship Id="rId1523" Type="http://schemas.openxmlformats.org/officeDocument/2006/relationships/hyperlink" Target="http://www.sbrf.ru/" TargetMode="External"/><Relationship Id="rId1524" Type="http://schemas.openxmlformats.org/officeDocument/2006/relationships/hyperlink" Target="https://www.facebook.com/sberbank/?locale=ru_RU" TargetMode="External"/><Relationship Id="rId1525" Type="http://schemas.openxmlformats.org/officeDocument/2006/relationships/hyperlink" Target="http://www.facebook.com" TargetMode="External"/><Relationship Id="rId1526" Type="http://schemas.openxmlformats.org/officeDocument/2006/relationships/hyperlink" Target="https://www.instagram.com/sberbank/" TargetMode="External"/><Relationship Id="rId1527" Type="http://schemas.openxmlformats.org/officeDocument/2006/relationships/hyperlink" Target="http://www.instagram.com" TargetMode="External"/><Relationship Id="rId1528" Type="http://schemas.openxmlformats.org/officeDocument/2006/relationships/hyperlink" Target="https://www.sberbank-ast.ru/" TargetMode="External"/><Relationship Id="rId1529" Type="http://schemas.openxmlformats.org/officeDocument/2006/relationships/hyperlink" Target="https://sbermobile.ru/" TargetMode="External"/><Relationship Id="rId939" Type="http://schemas.openxmlformats.org/officeDocument/2006/relationships/hyperlink" Target="http://mintrud.gov.ru" TargetMode="External"/><Relationship Id="rId938" Type="http://schemas.openxmlformats.org/officeDocument/2006/relationships/hyperlink" Target="https://mintrud.gov.ru/labour/70" TargetMode="External"/><Relationship Id="rId937" Type="http://schemas.openxmlformats.org/officeDocument/2006/relationships/hyperlink" Target="http://duma.gov.ru/news/55144/" TargetMode="External"/><Relationship Id="rId932" Type="http://schemas.openxmlformats.org/officeDocument/2006/relationships/hyperlink" Target="http://www.consultant.ru" TargetMode="External"/><Relationship Id="rId931" Type="http://schemas.openxmlformats.org/officeDocument/2006/relationships/hyperlink" Target="https://www.consultant.ru/law/ref/calendar/proizvodstvennye/2023/" TargetMode="External"/><Relationship Id="rId930" Type="http://schemas.openxmlformats.org/officeDocument/2006/relationships/hyperlink" Target="https://www.business-class.su/news/2023/04/25/dlinnye-vyhodnye-kak-otdyhaem-v-mae-i-iyune-2023-goda" TargetMode="External"/><Relationship Id="rId936" Type="http://schemas.openxmlformats.org/officeDocument/2006/relationships/hyperlink" Target="http://sutochno.ru" TargetMode="External"/><Relationship Id="rId935" Type="http://schemas.openxmlformats.org/officeDocument/2006/relationships/hyperlink" Target="https://sutochno.ru/info/may-v-rossii-sng" TargetMode="External"/><Relationship Id="rId934" Type="http://schemas.openxmlformats.org/officeDocument/2006/relationships/hyperlink" Target="http://iz.ru" TargetMode="External"/><Relationship Id="rId933" Type="http://schemas.openxmlformats.org/officeDocument/2006/relationships/hyperlink" Target="https://iz.ru/1355481/2022-06-27/mintrud-obiavil-daty-vykhodnykh-na-maiskie-prazdniki-v-2023-godu" TargetMode="External"/><Relationship Id="rId1520" Type="http://schemas.openxmlformats.org/officeDocument/2006/relationships/hyperlink" Target="https://vk.com/sber" TargetMode="External"/><Relationship Id="rId1554" Type="http://schemas.openxmlformats.org/officeDocument/2006/relationships/hyperlink" Target="https://online.sberbank.ru/" TargetMode="External"/><Relationship Id="rId1555" Type="http://schemas.openxmlformats.org/officeDocument/2006/relationships/hyperlink" Target="http://online.sberbank.ru" TargetMode="External"/><Relationship Id="rId1556" Type="http://schemas.openxmlformats.org/officeDocument/2006/relationships/hyperlink" Target="http://www.sberbank.ru/ru/person/dist_services/inner_sbol" TargetMode="External"/><Relationship Id="rId1557" Type="http://schemas.openxmlformats.org/officeDocument/2006/relationships/hyperlink" Target="http://www.sberbank.ru/ru/person" TargetMode="External"/><Relationship Id="rId1558" Type="http://schemas.openxmlformats.org/officeDocument/2006/relationships/hyperlink" Target="https://www.sber-bank.by/loginsbol" TargetMode="External"/><Relationship Id="rId1559" Type="http://schemas.openxmlformats.org/officeDocument/2006/relationships/hyperlink" Target="http://www.sber-bank.by" TargetMode="External"/><Relationship Id="rId965" Type="http://schemas.openxmlformats.org/officeDocument/2006/relationships/hyperlink" Target="https://iz.ru/news" TargetMode="External"/><Relationship Id="rId964" Type="http://schemas.openxmlformats.org/officeDocument/2006/relationships/hyperlink" Target="http://meduza.io" TargetMode="External"/><Relationship Id="rId963" Type="http://schemas.openxmlformats.org/officeDocument/2006/relationships/hyperlink" Target="https://meduza.io/" TargetMode="External"/><Relationship Id="rId962" Type="http://schemas.openxmlformats.org/officeDocument/2006/relationships/hyperlink" Target="http://news.google.com" TargetMode="External"/><Relationship Id="rId969" Type="http://schemas.openxmlformats.org/officeDocument/2006/relationships/hyperlink" Target="https://www.1tv.ru/news" TargetMode="External"/><Relationship Id="rId968" Type="http://schemas.openxmlformats.org/officeDocument/2006/relationships/hyperlink" Target="http://iz.ru" TargetMode="External"/><Relationship Id="rId967" Type="http://schemas.openxmlformats.org/officeDocument/2006/relationships/hyperlink" Target="https://iz.ru/" TargetMode="External"/><Relationship Id="rId966" Type="http://schemas.openxmlformats.org/officeDocument/2006/relationships/hyperlink" Target="http://iz.ru" TargetMode="External"/><Relationship Id="rId961" Type="http://schemas.openxmlformats.org/officeDocument/2006/relationships/hyperlink" Target="https://news.google.com/?hl=ru" TargetMode="External"/><Relationship Id="rId1550" Type="http://schemas.openxmlformats.org/officeDocument/2006/relationships/hyperlink" Target="https://books.google.com/books?id=F5cnCAAAQBAJ&amp;pg=PA37&amp;lpg=PA37&amp;dq=%D1%81%D0%B1%D0%B5%D1%80%D0%B1%D0%B0%D0%BD%D0%BA&amp;source=bl&amp;ots=v8rcTc_zAy&amp;sig=ACfU3U2q1gdEX9zumRNbA-QYiWST9aNCGg&amp;hl=ru&amp;sa=X&amp;ved=2ahUKEwiMwbbDpryCAxWWlIkEHWnwDAoQ6AF6BAhbEAM" TargetMode="External"/><Relationship Id="rId960" Type="http://schemas.openxmlformats.org/officeDocument/2006/relationships/hyperlink" Target="http://www.kommersant.ru" TargetMode="External"/><Relationship Id="rId1551" Type="http://schemas.openxmlformats.org/officeDocument/2006/relationships/hyperlink" Target="http://books.google.com" TargetMode="External"/><Relationship Id="rId1552" Type="http://schemas.openxmlformats.org/officeDocument/2006/relationships/hyperlink" Target="https://twitter.com/sberbank" TargetMode="External"/><Relationship Id="rId1553" Type="http://schemas.openxmlformats.org/officeDocument/2006/relationships/hyperlink" Target="http://twitter.com" TargetMode="External"/><Relationship Id="rId1543" Type="http://schemas.openxmlformats.org/officeDocument/2006/relationships/hyperlink" Target="https://www.banki.ru/banks/bank/sberbank/" TargetMode="External"/><Relationship Id="rId1544" Type="http://schemas.openxmlformats.org/officeDocument/2006/relationships/hyperlink" Target="https://vk.com/sber" TargetMode="External"/><Relationship Id="rId1545" Type="http://schemas.openxmlformats.org/officeDocument/2006/relationships/hyperlink" Target="http://vk.com" TargetMode="External"/><Relationship Id="rId1546" Type="http://schemas.openxmlformats.org/officeDocument/2006/relationships/hyperlink" Target="https://rabota.sber.ru/" TargetMode="External"/><Relationship Id="rId1547" Type="http://schemas.openxmlformats.org/officeDocument/2006/relationships/hyperlink" Target="http://rabota.sber.ru" TargetMode="External"/><Relationship Id="rId1548" Type="http://schemas.openxmlformats.org/officeDocument/2006/relationships/hyperlink" Target="https://sberbankins.ru/" TargetMode="External"/><Relationship Id="rId1549" Type="http://schemas.openxmlformats.org/officeDocument/2006/relationships/hyperlink" Target="https://sberbank-ast.ru/" TargetMode="External"/><Relationship Id="rId959" Type="http://schemas.openxmlformats.org/officeDocument/2006/relationships/hyperlink" Target="https://www.kommersant.ru/" TargetMode="External"/><Relationship Id="rId954" Type="http://schemas.openxmlformats.org/officeDocument/2006/relationships/hyperlink" Target="http://www.gazeta.ru" TargetMode="External"/><Relationship Id="rId953" Type="http://schemas.openxmlformats.org/officeDocument/2006/relationships/hyperlink" Target="https://www.gazeta.ru/" TargetMode="External"/><Relationship Id="rId952" Type="http://schemas.openxmlformats.org/officeDocument/2006/relationships/hyperlink" Target="http://www.interfax.ru" TargetMode="External"/><Relationship Id="rId951" Type="http://schemas.openxmlformats.org/officeDocument/2006/relationships/hyperlink" Target="https://www.interfax.ru/" TargetMode="External"/><Relationship Id="rId958" Type="http://schemas.openxmlformats.org/officeDocument/2006/relationships/hyperlink" Target="http://www.rg.ru" TargetMode="External"/><Relationship Id="rId957" Type="http://schemas.openxmlformats.org/officeDocument/2006/relationships/hyperlink" Target="https://www.rg.ru/news.html" TargetMode="External"/><Relationship Id="rId956" Type="http://schemas.openxmlformats.org/officeDocument/2006/relationships/hyperlink" Target="http://tass.ru" TargetMode="External"/><Relationship Id="rId955" Type="http://schemas.openxmlformats.org/officeDocument/2006/relationships/hyperlink" Target="https://tass.ru/" TargetMode="External"/><Relationship Id="rId950" Type="http://schemas.openxmlformats.org/officeDocument/2006/relationships/hyperlink" Target="http://news.mail.ru" TargetMode="External"/><Relationship Id="rId1540" Type="http://schemas.openxmlformats.org/officeDocument/2006/relationships/hyperlink" Target="http://books.google.com" TargetMode="External"/><Relationship Id="rId1541" Type="http://schemas.openxmlformats.org/officeDocument/2006/relationships/hyperlink" Target="https://ru.wikipedia.org/wiki/%D0%A1%D0%B1%D0%B5%D1%80%D0%B1%D0%B0%D0%BD%D0%BA_%D0%A0%D0%BE%D1%81%D1%81%D0%B8%D0%B8" TargetMode="External"/><Relationship Id="rId1542" Type="http://schemas.openxmlformats.org/officeDocument/2006/relationships/hyperlink" Target="http://ru.wikipedia.org" TargetMode="External"/><Relationship Id="rId590" Type="http://schemas.openxmlformats.org/officeDocument/2006/relationships/hyperlink" Target="https://gosuslugi.bashkortostan.ru/" TargetMode="External"/><Relationship Id="rId107" Type="http://schemas.openxmlformats.org/officeDocument/2006/relationships/hyperlink" Target="http://books.google.ru" TargetMode="External"/><Relationship Id="rId106" Type="http://schemas.openxmlformats.org/officeDocument/2006/relationships/hyperlink" Target="https://books.google.ru/books?id=YnmDDwAAQBAJ&amp;pg=PA2011&amp;lpg=PA2011&amp;dq=youtube&amp;source=bl&amp;ots=TkmbnD1Umk&amp;sig=ACfU3U29fZzHEYCkLXShwbQhIu6PLUehqQ&amp;hl=ru&amp;sa=X&amp;ved=2ahUKEwi3-s7Pqr2CAxVFlYkEHdSYDAsQ6AF6BAgxEAM" TargetMode="External"/><Relationship Id="rId105" Type="http://schemas.openxmlformats.org/officeDocument/2006/relationships/hyperlink" Target="http://books.google.ru" TargetMode="External"/><Relationship Id="rId589" Type="http://schemas.openxmlformats.org/officeDocument/2006/relationships/hyperlink" Target="http://rospatent.gov.ru" TargetMode="External"/><Relationship Id="rId104" Type="http://schemas.openxmlformats.org/officeDocument/2006/relationships/hyperlink" Target="https://books.google.ru/books?id=vsS_EAAAQBAJ&amp;pg=PT292&amp;lpg=PT292&amp;dq=youtube&amp;source=bl&amp;ots=WQHLXAoj-V&amp;sig=ACfU3U1Wfks5N7DmWNNuVSPSqaRskMo_gg&amp;hl=ru&amp;sa=X&amp;ved=2ahUKEwi3-s7Pqr2CAxVFlYkEHdSYDAsQ6AF6BAgyEAM" TargetMode="External"/><Relationship Id="rId588" Type="http://schemas.openxmlformats.org/officeDocument/2006/relationships/hyperlink" Target="https://rospatent.gov.ru/ru/stateservices" TargetMode="External"/><Relationship Id="rId109" Type="http://schemas.openxmlformats.org/officeDocument/2006/relationships/hyperlink" Target="https://books.google.ru/books?id=TENTDAAAQBAJ&amp;pg=PT235&amp;lpg=PT235&amp;dq=youtube&amp;source=bl&amp;ots=kj1XP-jK3W&amp;sig=ACfU3U0ruU0GBxsYF5qWK6wY6_W1xgOtqQ&amp;hl=ru&amp;sa=X&amp;ved=2ahUKEwi3-s7Pqr2CAxVFlYkEHdSYDAsQ6AF6BAgvEAM" TargetMode="External"/><Relationship Id="rId1170" Type="http://schemas.openxmlformats.org/officeDocument/2006/relationships/hyperlink" Target="https://alconost.com/ru/nitro" TargetMode="External"/><Relationship Id="rId108" Type="http://schemas.openxmlformats.org/officeDocument/2006/relationships/hyperlink" Target="https://ria.ru/20231111/youtube-1908793764.html" TargetMode="External"/><Relationship Id="rId1171" Type="http://schemas.openxmlformats.org/officeDocument/2006/relationships/hyperlink" Target="http://alconost.com" TargetMode="External"/><Relationship Id="rId583" Type="http://schemas.openxmlformats.org/officeDocument/2006/relationships/hyperlink" Target="http://26gosuslugi.ru" TargetMode="External"/><Relationship Id="rId1172" Type="http://schemas.openxmlformats.org/officeDocument/2006/relationships/hyperlink" Target="https://support.google.com/chrome/answer/173424?hl=ru&amp;co=GENIE.Platform%3DAndroid" TargetMode="External"/><Relationship Id="rId582" Type="http://schemas.openxmlformats.org/officeDocument/2006/relationships/hyperlink" Target="https://26gosuslugi.ru/" TargetMode="External"/><Relationship Id="rId1173" Type="http://schemas.openxmlformats.org/officeDocument/2006/relationships/hyperlink" Target="http://support.google.com" TargetMode="External"/><Relationship Id="rId581" Type="http://schemas.openxmlformats.org/officeDocument/2006/relationships/hyperlink" Target="http://uslugi.admtyumen.ru" TargetMode="External"/><Relationship Id="rId1174" Type="http://schemas.openxmlformats.org/officeDocument/2006/relationships/hyperlink" Target="https://www.un.org/dgacm/ru/content/translation" TargetMode="External"/><Relationship Id="rId580" Type="http://schemas.openxmlformats.org/officeDocument/2006/relationships/hyperlink" Target="https://uslugi.admtyumen.ru/" TargetMode="External"/><Relationship Id="rId1175" Type="http://schemas.openxmlformats.org/officeDocument/2006/relationships/hyperlink" Target="http://www.un.org" TargetMode="External"/><Relationship Id="rId103" Type="http://schemas.openxmlformats.org/officeDocument/2006/relationships/hyperlink" Target="https://www.rbc.ru/rbcfreenews/654f29799a794763fb726e29" TargetMode="External"/><Relationship Id="rId587" Type="http://schemas.openxmlformats.org/officeDocument/2006/relationships/hyperlink" Target="https://gosuslugi.pnzreg.ru/" TargetMode="External"/><Relationship Id="rId1176" Type="http://schemas.openxmlformats.org/officeDocument/2006/relationships/hyperlink" Target="https://dictionary.cambridge.org/ru/translate/" TargetMode="External"/><Relationship Id="rId102" Type="http://schemas.openxmlformats.org/officeDocument/2006/relationships/hyperlink" Target="http://www.vedomosti.ru" TargetMode="External"/><Relationship Id="rId586" Type="http://schemas.openxmlformats.org/officeDocument/2006/relationships/hyperlink" Target="https://www.gosuslugi71.ru/" TargetMode="External"/><Relationship Id="rId1177" Type="http://schemas.openxmlformats.org/officeDocument/2006/relationships/hyperlink" Target="http://dictionary.cambridge.org" TargetMode="External"/><Relationship Id="rId101" Type="http://schemas.openxmlformats.org/officeDocument/2006/relationships/hyperlink" Target="https://www.vedomosti.ru/media/news/2023/11/11/1005325-youtube-zablokiroval" TargetMode="External"/><Relationship Id="rId585" Type="http://schemas.openxmlformats.org/officeDocument/2006/relationships/hyperlink" Target="http://gosuslugi41.ru" TargetMode="External"/><Relationship Id="rId1178" Type="http://schemas.openxmlformats.org/officeDocument/2006/relationships/hyperlink" Target="https://translate.google.com/?hl=ru" TargetMode="External"/><Relationship Id="rId100" Type="http://schemas.openxmlformats.org/officeDocument/2006/relationships/hyperlink" Target="http://support.google.com" TargetMode="External"/><Relationship Id="rId584" Type="http://schemas.openxmlformats.org/officeDocument/2006/relationships/hyperlink" Target="https://gosuslugi41.ru/" TargetMode="External"/><Relationship Id="rId1179" Type="http://schemas.openxmlformats.org/officeDocument/2006/relationships/hyperlink" Target="http://translate.google.com" TargetMode="External"/><Relationship Id="rId1169" Type="http://schemas.openxmlformats.org/officeDocument/2006/relationships/hyperlink" Target="http://aws.amazon.com" TargetMode="External"/><Relationship Id="rId579" Type="http://schemas.openxmlformats.org/officeDocument/2006/relationships/hyperlink" Target="https://gu.spb.ru/" TargetMode="External"/><Relationship Id="rId578" Type="http://schemas.openxmlformats.org/officeDocument/2006/relationships/hyperlink" Target="http://ru.wikipedia.org" TargetMode="External"/><Relationship Id="rId577" Type="http://schemas.openxmlformats.org/officeDocument/2006/relationships/hyperlink" Target="https://ru.wikipedia.org/wiki/%D0%9F%D0%BE%D1%80%D1%82%D0%B0%D0%BB_%D0%B3%D0%BE%D1%81%D1%83%D0%B4%D0%B0%D1%80%D1%81%D1%82%D0%B2%D0%B5%D0%BD%D0%BD%D1%8B%D1%85_%D1%83%D1%81%D0%BB%D1%83%D0%B3_%D0%A0%D0%BE%D1%81%D1%81%D0%B8%D0%B9%D1%81%D0%BA%D0%BE%D0%B9_%D0%A4%D0%B5%D0%B4%D0%B5%D1%80%D0%B0%D1%86%D0%B8%D0%B8" TargetMode="External"/><Relationship Id="rId1160" Type="http://schemas.openxmlformats.org/officeDocument/2006/relationships/hyperlink" Target="http://apps.apple.com" TargetMode="External"/><Relationship Id="rId572" Type="http://schemas.openxmlformats.org/officeDocument/2006/relationships/hyperlink" Target="https://t.me/gosuslugi" TargetMode="External"/><Relationship Id="rId1161" Type="http://schemas.openxmlformats.org/officeDocument/2006/relationships/hyperlink" Target="https://ru.wikipedia.org/wiki/%D0%9F%D0%B5%D1%80%D0%B5%D0%B2%D0%BE%D0%B4" TargetMode="External"/><Relationship Id="rId571" Type="http://schemas.openxmlformats.org/officeDocument/2006/relationships/hyperlink" Target="http://apps.apple.com" TargetMode="External"/><Relationship Id="rId1162" Type="http://schemas.openxmlformats.org/officeDocument/2006/relationships/hyperlink" Target="http://ru.wikipedia.org" TargetMode="External"/><Relationship Id="rId570" Type="http://schemas.openxmlformats.org/officeDocument/2006/relationships/hyperlink" Target="https://apps.apple.com/ru/app/%D0%B3%D0%BE%D1%81%D1%83%D1%81%D0%BB%D1%83%D0%B3%D0%B8/id1367959794" TargetMode="External"/><Relationship Id="rId1163" Type="http://schemas.openxmlformats.org/officeDocument/2006/relationships/hyperlink" Target="https://www.babla.ru/%D1%80%D1%83%D1%81%D1%81%D0%BA%D0%B8%D0%B9-%D0%B0%D0%BD%D0%B3%D0%BB%D0%B8%D0%B9%D1%81%D0%BA%D0%B8%D0%B9/%D0%BF%D0%B5%D1%80%D0%B5%D0%B2%D0%BE%D0%B4" TargetMode="External"/><Relationship Id="rId1164" Type="http://schemas.openxmlformats.org/officeDocument/2006/relationships/hyperlink" Target="https://en.wiktionary.org/wiki/%D0%BF%D0%B5%D1%80%D0%B5%D0%B2%D0%BE%D0%B4" TargetMode="External"/><Relationship Id="rId576" Type="http://schemas.openxmlformats.org/officeDocument/2006/relationships/hyperlink" Target="https://uslugi.tatarstan.ru/" TargetMode="External"/><Relationship Id="rId1165" Type="http://schemas.openxmlformats.org/officeDocument/2006/relationships/hyperlink" Target="http://en.wiktionary.org" TargetMode="External"/><Relationship Id="rId575" Type="http://schemas.openxmlformats.org/officeDocument/2006/relationships/hyperlink" Target="https://uslugi.mosreg.ru/" TargetMode="External"/><Relationship Id="rId1166" Type="http://schemas.openxmlformats.org/officeDocument/2006/relationships/hyperlink" Target="https://www.linguee.com/russian-english/translation/%D0%BF%D0%B5%D1%80%D0%B5%D0%B2%D0%BE%D0%B4.html" TargetMode="External"/><Relationship Id="rId574" Type="http://schemas.openxmlformats.org/officeDocument/2006/relationships/hyperlink" Target="https://www.mos.ru/uslugi/" TargetMode="External"/><Relationship Id="rId1167" Type="http://schemas.openxmlformats.org/officeDocument/2006/relationships/hyperlink" Target="http://www.linguee.com" TargetMode="External"/><Relationship Id="rId573" Type="http://schemas.openxmlformats.org/officeDocument/2006/relationships/hyperlink" Target="http://t.me" TargetMode="External"/><Relationship Id="rId1168" Type="http://schemas.openxmlformats.org/officeDocument/2006/relationships/hyperlink" Target="https://aws.amazon.com/ru/translate/" TargetMode="External"/><Relationship Id="rId129" Type="http://schemas.openxmlformats.org/officeDocument/2006/relationships/hyperlink" Target="http://en.wikipedia.org" TargetMode="External"/><Relationship Id="rId128" Type="http://schemas.openxmlformats.org/officeDocument/2006/relationships/hyperlink" Target="https://en.wikipedia.org/wiki/YouTube" TargetMode="External"/><Relationship Id="rId127" Type="http://schemas.openxmlformats.org/officeDocument/2006/relationships/hyperlink" Target="http://www.youtube.com" TargetMode="External"/><Relationship Id="rId126" Type="http://schemas.openxmlformats.org/officeDocument/2006/relationships/hyperlink" Target="https://www.youtube.com/" TargetMode="External"/><Relationship Id="rId1190" Type="http://schemas.openxmlformats.org/officeDocument/2006/relationships/hyperlink" Target="http://ru.wikipedia.org" TargetMode="External"/><Relationship Id="rId1191" Type="http://schemas.openxmlformats.org/officeDocument/2006/relationships/hyperlink" Target="https://dictionary.cambridge.org/ru/translate/" TargetMode="External"/><Relationship Id="rId1192" Type="http://schemas.openxmlformats.org/officeDocument/2006/relationships/hyperlink" Target="http://dictionary.cambridge.org" TargetMode="External"/><Relationship Id="rId1193" Type="http://schemas.openxmlformats.org/officeDocument/2006/relationships/hyperlink" Target="https://www.translate.ru/%D0%BF%D0%B5%D1%80%D0%B5%D0%B2%D0%BE%D0%B4" TargetMode="External"/><Relationship Id="rId121" Type="http://schemas.openxmlformats.org/officeDocument/2006/relationships/hyperlink" Target="https://www.epravda.com.ua/rus/news/2023/11/7/706338/" TargetMode="External"/><Relationship Id="rId1194" Type="http://schemas.openxmlformats.org/officeDocument/2006/relationships/hyperlink" Target="http://www.translate.ru" TargetMode="External"/><Relationship Id="rId120" Type="http://schemas.openxmlformats.org/officeDocument/2006/relationships/hyperlink" Target="http://books.google.ru" TargetMode="External"/><Relationship Id="rId1195" Type="http://schemas.openxmlformats.org/officeDocument/2006/relationships/hyperlink" Target="https://apps.apple.com/ru/app/%D1%8F%D0%BD%D0%B4%D0%B5%D0%BA%D1%81-%D0%BF%D0%B5%D1%80%D0%B5%D0%B2%D0%BE%D0%B4%D1%87%D0%B8%D0%BA/id584291439" TargetMode="External"/><Relationship Id="rId1196" Type="http://schemas.openxmlformats.org/officeDocument/2006/relationships/hyperlink" Target="http://apps.apple.com" TargetMode="External"/><Relationship Id="rId1197" Type="http://schemas.openxmlformats.org/officeDocument/2006/relationships/hyperlink" Target="https://chrome.google.com/webstore/detail/google-translate/aapbdbdomjkkjkaonfhkkikfgjllcleb?hl=ru" TargetMode="External"/><Relationship Id="rId125" Type="http://schemas.openxmlformats.org/officeDocument/2006/relationships/hyperlink" Target="http://books.google.ru" TargetMode="External"/><Relationship Id="rId1198" Type="http://schemas.openxmlformats.org/officeDocument/2006/relationships/hyperlink" Target="http://chrome.google.com" TargetMode="External"/><Relationship Id="rId124" Type="http://schemas.openxmlformats.org/officeDocument/2006/relationships/hyperlink" Target="https://books.google.ru/books?id=Mj86AQAAMAAJ&amp;pg=RA31-PA27&amp;lpg=RA31-PA27&amp;dq=youtube&amp;source=bl&amp;ots=2AJHUblo31&amp;sig=ACfU3U3EJwoUJgDdcMCXPjOsHK9EInGD9Q&amp;hl=ru&amp;sa=X&amp;ved=2ahUKEwi3-s7Pqr2CAxVFlYkEHdSYDAsQ6AF6BAguEAM" TargetMode="External"/><Relationship Id="rId1199" Type="http://schemas.openxmlformats.org/officeDocument/2006/relationships/hyperlink" Target="https://www.ozon.ru/category/elektronnye-perevodchiki-i-slovari-1646/" TargetMode="External"/><Relationship Id="rId123" Type="http://schemas.openxmlformats.org/officeDocument/2006/relationships/hyperlink" Target="http://books.google.ru" TargetMode="External"/><Relationship Id="rId122" Type="http://schemas.openxmlformats.org/officeDocument/2006/relationships/hyperlink" Target="https://books.google.ru/books?id=xmpBAQAAMAAJ&amp;pg=PT112&amp;lpg=PT112&amp;dq=youtube&amp;source=bl&amp;ots=yviMQJ_D8s&amp;sig=ACfU3U3sEgjEG-FZcfWQDQBf7_DXq9Txgg&amp;hl=ru&amp;sa=X&amp;ved=2ahUKEwi3-s7Pqr2CAxVFlYkEHdSYDAsQ6AF6BAgwEAM" TargetMode="External"/><Relationship Id="rId118" Type="http://schemas.openxmlformats.org/officeDocument/2006/relationships/hyperlink" Target="http://books.google.ru" TargetMode="External"/><Relationship Id="rId117" Type="http://schemas.openxmlformats.org/officeDocument/2006/relationships/hyperlink" Target="https://books.google.ru/books?id=9NUXAQAAIAAJ&amp;pg=PA390-IA3&amp;lpg=PA390-IA3&amp;dq=youtube&amp;source=bl&amp;ots=rF1Kyt-gyk&amp;sig=ACfU3U3irsaPEnN2T25KeOeCL2W2Mw_TsQ&amp;hl=ru&amp;sa=X&amp;ved=2ahUKEwi3-s7Pqr2CAxVFlYkEHdSYDAsQ6AF6BAg3EAM" TargetMode="External"/><Relationship Id="rId116" Type="http://schemas.openxmlformats.org/officeDocument/2006/relationships/hyperlink" Target="http://tass.ru" TargetMode="External"/><Relationship Id="rId115" Type="http://schemas.openxmlformats.org/officeDocument/2006/relationships/hyperlink" Target="https://tass.ru/ekonomika/19255577" TargetMode="External"/><Relationship Id="rId599" Type="http://schemas.openxmlformats.org/officeDocument/2006/relationships/hyperlink" Target="https://eservice.gu.spb.ru/portalFront/resources/portal.html" TargetMode="External"/><Relationship Id="rId1180" Type="http://schemas.openxmlformats.org/officeDocument/2006/relationships/hyperlink" Target="https://translate.yandex.ru/" TargetMode="External"/><Relationship Id="rId1181" Type="http://schemas.openxmlformats.org/officeDocument/2006/relationships/hyperlink" Target="http://translate.yandex.ru" TargetMode="External"/><Relationship Id="rId119" Type="http://schemas.openxmlformats.org/officeDocument/2006/relationships/hyperlink" Target="https://books.google.ru/books?id=VyIZAAAAYAAJ&amp;pg=RA4-PA116&amp;lpg=RA4-PA116&amp;dq=youtube&amp;source=bl&amp;ots=awshVP0y90&amp;sig=ACfU3U3MF4KLOI7_nvNAI4S9xKtO7qJ5zg&amp;hl=ru&amp;sa=X&amp;ved=2ahUKEwi3-s7Pqr2CAxVFlYkEHdSYDAsQ6AF6BAgzEAM" TargetMode="External"/><Relationship Id="rId1182" Type="http://schemas.openxmlformats.org/officeDocument/2006/relationships/hyperlink" Target="https://www.deepl.com/ru/translator" TargetMode="External"/><Relationship Id="rId110" Type="http://schemas.openxmlformats.org/officeDocument/2006/relationships/hyperlink" Target="http://books.google.ru" TargetMode="External"/><Relationship Id="rId594" Type="http://schemas.openxmlformats.org/officeDocument/2006/relationships/hyperlink" Target="http://play.google.com" TargetMode="External"/><Relationship Id="rId1183" Type="http://schemas.openxmlformats.org/officeDocument/2006/relationships/hyperlink" Target="http://www.deepl.com" TargetMode="External"/><Relationship Id="rId593" Type="http://schemas.openxmlformats.org/officeDocument/2006/relationships/hyperlink" Target="https://play.google.com/store/apps/details?id=ru.rostel&amp;hl=ru&amp;gl=US" TargetMode="External"/><Relationship Id="rId1184" Type="http://schemas.openxmlformats.org/officeDocument/2006/relationships/hyperlink" Target="https://www.reverso.net/%D0%BF%D0%B5%D1%80%D0%B5%D0%B2%D0%BE%D0%B4-%D1%82%D0%B5%D0%BA%D1%81%D1%82%D0%B0" TargetMode="External"/><Relationship Id="rId592" Type="http://schemas.openxmlformats.org/officeDocument/2006/relationships/hyperlink" Target="http://cabinet.ruobr.ru" TargetMode="External"/><Relationship Id="rId1185" Type="http://schemas.openxmlformats.org/officeDocument/2006/relationships/hyperlink" Target="https://www.deepl.com/ru/translator-mobile/pt-BR/Opa!/en" TargetMode="External"/><Relationship Id="rId591" Type="http://schemas.openxmlformats.org/officeDocument/2006/relationships/hyperlink" Target="https://cabinet.ruobr.ru/" TargetMode="External"/><Relationship Id="rId1186" Type="http://schemas.openxmlformats.org/officeDocument/2006/relationships/hyperlink" Target="http://www.deepl.com" TargetMode="External"/><Relationship Id="rId114" Type="http://schemas.openxmlformats.org/officeDocument/2006/relationships/hyperlink" Target="http://www.kommersant.ru" TargetMode="External"/><Relationship Id="rId598" Type="http://schemas.openxmlformats.org/officeDocument/2006/relationships/hyperlink" Target="http://t.me" TargetMode="External"/><Relationship Id="rId1187" Type="http://schemas.openxmlformats.org/officeDocument/2006/relationships/hyperlink" Target="https://play.google.com/store/apps/details?id=ru.yandex.translate&amp;hl=ru&amp;gl=US" TargetMode="External"/><Relationship Id="rId113" Type="http://schemas.openxmlformats.org/officeDocument/2006/relationships/hyperlink" Target="https://www.kommersant.ru/doc/6335225" TargetMode="External"/><Relationship Id="rId597" Type="http://schemas.openxmlformats.org/officeDocument/2006/relationships/hyperlink" Target="https://t.me/s/gosuslugi" TargetMode="External"/><Relationship Id="rId1188" Type="http://schemas.openxmlformats.org/officeDocument/2006/relationships/hyperlink" Target="http://play.google.com" TargetMode="External"/><Relationship Id="rId112" Type="http://schemas.openxmlformats.org/officeDocument/2006/relationships/hyperlink" Target="http://autogrodno.by" TargetMode="External"/><Relationship Id="rId596" Type="http://schemas.openxmlformats.org/officeDocument/2006/relationships/hyperlink" Target="http://apps.apple.com" TargetMode="External"/><Relationship Id="rId1189" Type="http://schemas.openxmlformats.org/officeDocument/2006/relationships/hyperlink" Target="https://ru.wikipedia.org/wiki/%D0%9F%D0%B5%D1%80%D0%B5%D0%B2%D0%BE%D0%B4%D1%87%D0%B8%D0%BA" TargetMode="External"/><Relationship Id="rId111" Type="http://schemas.openxmlformats.org/officeDocument/2006/relationships/hyperlink" Target="https://autogrodno.by/news/30590-utrom-prosnulas-zvezdoj-youtube-konflikt-na-granice.html" TargetMode="External"/><Relationship Id="rId595" Type="http://schemas.openxmlformats.org/officeDocument/2006/relationships/hyperlink" Target="https://apps.apple.com/ru/app/%D0%B3%D0%BE%D1%81%D1%83%D1%81%D0%BB%D1%83%D0%B3%D0%B8-%D0%B4%D0%BE%D0%BC/id1616550510" TargetMode="External"/><Relationship Id="rId1136" Type="http://schemas.openxmlformats.org/officeDocument/2006/relationships/hyperlink" Target="http://tsn.ua" TargetMode="External"/><Relationship Id="rId1137" Type="http://schemas.openxmlformats.org/officeDocument/2006/relationships/hyperlink" Target="https://almaty.tv/news/obschestvo/1504-paskha-2023-kogda-i-kak-otmechayut-glavnyy-khristianskiy-prazdnik" TargetMode="External"/><Relationship Id="rId1138" Type="http://schemas.openxmlformats.org/officeDocument/2006/relationships/hyperlink" Target="https://spbvedomosti.ru/news/questions/kogda-otmechaetsya-pravoslavnaya-paskha-v-2021-godu6877/" TargetMode="External"/><Relationship Id="rId1139" Type="http://schemas.openxmlformats.org/officeDocument/2006/relationships/hyperlink" Target="https://www.eli.ru/articles/352/" TargetMode="External"/><Relationship Id="rId547" Type="http://schemas.openxmlformats.org/officeDocument/2006/relationships/hyperlink" Target="http://flowers.ua" TargetMode="External"/><Relationship Id="rId546" Type="http://schemas.openxmlformats.org/officeDocument/2006/relationships/hyperlink" Target="https://flowers.ua/ru/articles/gipsofila-vidy-posadka-razmnozhenie-i-uhod" TargetMode="External"/><Relationship Id="rId545" Type="http://schemas.openxmlformats.org/officeDocument/2006/relationships/hyperlink" Target="http://flawery.ru" TargetMode="External"/><Relationship Id="rId544" Type="http://schemas.openxmlformats.org/officeDocument/2006/relationships/hyperlink" Target="https://flawery.ru/moscow/bouquets/flowers-gipsofila/" TargetMode="External"/><Relationship Id="rId549" Type="http://schemas.openxmlformats.org/officeDocument/2006/relationships/hyperlink" Target="http://moreroz.by" TargetMode="External"/><Relationship Id="rId548" Type="http://schemas.openxmlformats.org/officeDocument/2006/relationships/hyperlink" Target="https://moreroz.by/product-category/flowers/bukety-iz-gipsofily/" TargetMode="External"/><Relationship Id="rId1130" Type="http://schemas.openxmlformats.org/officeDocument/2006/relationships/hyperlink" Target="https://www.pravmir.ru/pasha-v-2024-godu/" TargetMode="External"/><Relationship Id="rId1131" Type="http://schemas.openxmlformats.org/officeDocument/2006/relationships/hyperlink" Target="http://www.pravmir.ru" TargetMode="External"/><Relationship Id="rId543" Type="http://schemas.openxmlformats.org/officeDocument/2006/relationships/hyperlink" Target="https://flowwow.com/moscow/gipsofila-flowers/" TargetMode="External"/><Relationship Id="rId1132" Type="http://schemas.openxmlformats.org/officeDocument/2006/relationships/hyperlink" Target="https://1prof.by/news/stil-zhizni/kogda-v-2023-godu-hristiane-otprazdnuyut-pashu/" TargetMode="External"/><Relationship Id="rId542" Type="http://schemas.openxmlformats.org/officeDocument/2006/relationships/hyperlink" Target="http://market-flora.ru" TargetMode="External"/><Relationship Id="rId1133" Type="http://schemas.openxmlformats.org/officeDocument/2006/relationships/hyperlink" Target="http://1prof.by" TargetMode="External"/><Relationship Id="rId541" Type="http://schemas.openxmlformats.org/officeDocument/2006/relationships/hyperlink" Target="https://market-flora.ru/stati/gipsofila.html" TargetMode="External"/><Relationship Id="rId1134" Type="http://schemas.openxmlformats.org/officeDocument/2006/relationships/hyperlink" Target="https://novy.tv/ru/g-space/layfhaki/2023/04/16/kogda-pasha-2022-data-prazdnovanyya-v-ukrayne/" TargetMode="External"/><Relationship Id="rId540" Type="http://schemas.openxmlformats.org/officeDocument/2006/relationships/hyperlink" Target="http://www.prostocvet.ru" TargetMode="External"/><Relationship Id="rId1135" Type="http://schemas.openxmlformats.org/officeDocument/2006/relationships/hyperlink" Target="https://tsn.ua/ru/ukrayina/kogda-pasha-2023-goda-istoriya-i-tradicii-narodnye-primety-i-silnaya-molitva-2245162.html" TargetMode="External"/><Relationship Id="rId1125" Type="http://schemas.openxmlformats.org/officeDocument/2006/relationships/hyperlink" Target="http://news.vtomske.ru" TargetMode="External"/><Relationship Id="rId1126" Type="http://schemas.openxmlformats.org/officeDocument/2006/relationships/hyperlink" Target="https://www.tvtomsk.ru/news/75645-pravoslavnaja-pasha-2023-kakogo-chisla-projdet-kak-podgotovitsja.html" TargetMode="External"/><Relationship Id="rId1127" Type="http://schemas.openxmlformats.org/officeDocument/2006/relationships/hyperlink" Target="http://www.tvtomsk.ru" TargetMode="External"/><Relationship Id="rId1128" Type="http://schemas.openxmlformats.org/officeDocument/2006/relationships/hyperlink" Target="https://budilki.ru/timer/%D0%BF%D0%B0%D1%81%D1%85%D0%B0/2023/" TargetMode="External"/><Relationship Id="rId1129" Type="http://schemas.openxmlformats.org/officeDocument/2006/relationships/hyperlink" Target="http://budilki.ru" TargetMode="External"/><Relationship Id="rId536" Type="http://schemas.openxmlformats.org/officeDocument/2006/relationships/hyperlink" Target="http://rozavam.ru" TargetMode="External"/><Relationship Id="rId535" Type="http://schemas.openxmlformats.org/officeDocument/2006/relationships/hyperlink" Target="https://rozavam.ru/katalog-tovara/cvety/gipsofila/" TargetMode="External"/><Relationship Id="rId534" Type="http://schemas.openxmlformats.org/officeDocument/2006/relationships/hyperlink" Target="http://mybloom.ru" TargetMode="External"/><Relationship Id="rId533" Type="http://schemas.openxmlformats.org/officeDocument/2006/relationships/hyperlink" Target="https://mybloom.ru/catalog/tsvety/sukhotsvet/gipsofila/" TargetMode="External"/><Relationship Id="rId539" Type="http://schemas.openxmlformats.org/officeDocument/2006/relationships/hyperlink" Target="https://www.prostocvet.ru/catalog/bukety/gipsofila/" TargetMode="External"/><Relationship Id="rId538" Type="http://schemas.openxmlformats.org/officeDocument/2006/relationships/hyperlink" Target="http://florcat.ru" TargetMode="External"/><Relationship Id="rId537" Type="http://schemas.openxmlformats.org/officeDocument/2006/relationships/hyperlink" Target="https://florcat.ru/catalog/gipsofila/buket_iz_5_rozovykh_gipsofil/" TargetMode="External"/><Relationship Id="rId1120" Type="http://schemas.openxmlformats.org/officeDocument/2006/relationships/hyperlink" Target="https://ria.ru/20230327/paskha-1784063287.html" TargetMode="External"/><Relationship Id="rId532" Type="http://schemas.openxmlformats.org/officeDocument/2006/relationships/hyperlink" Target="https://cvetov.ru/grozny/catalog/bukety/192394/" TargetMode="External"/><Relationship Id="rId1121" Type="http://schemas.openxmlformats.org/officeDocument/2006/relationships/hyperlink" Target="https://www.kp.ru/family/prazdniki/paskha/" TargetMode="External"/><Relationship Id="rId531" Type="http://schemas.openxmlformats.org/officeDocument/2006/relationships/hyperlink" Target="http://venusinfleurs.ru" TargetMode="External"/><Relationship Id="rId1122" Type="http://schemas.openxmlformats.org/officeDocument/2006/relationships/hyperlink" Target="http://www.kp.ru" TargetMode="External"/><Relationship Id="rId530" Type="http://schemas.openxmlformats.org/officeDocument/2006/relationships/hyperlink" Target="https://venusinfleurs.ru/buket-iz-51-gipsofily/" TargetMode="External"/><Relationship Id="rId1123" Type="http://schemas.openxmlformats.org/officeDocument/2006/relationships/hyperlink" Target="https://vikna.tv/ru/styl-zhyttya/podorozhi/kogda-pasha-v-2023-godu-po-pravoslavnomu-i-katolicheskomu-kalendaryu/" TargetMode="External"/><Relationship Id="rId1124" Type="http://schemas.openxmlformats.org/officeDocument/2006/relationships/hyperlink" Target="https://news.vtomske.ru/news/197268-pasha-2023-tradicii-i-simvoly-glavnogo-hristianskogo-prazdnika" TargetMode="External"/><Relationship Id="rId1158" Type="http://schemas.openxmlformats.org/officeDocument/2006/relationships/hyperlink" Target="http://ru.pons.com" TargetMode="External"/><Relationship Id="rId1159" Type="http://schemas.openxmlformats.org/officeDocument/2006/relationships/hyperlink" Target="https://apps.apple.com/ru/app/google-%D0%BF%D0%B5%D1%80%D0%B5%D0%B2%D0%BE%D0%B4%D1%87%D0%B8%D0%BA/id414706506" TargetMode="External"/><Relationship Id="rId569" Type="http://schemas.openxmlformats.org/officeDocument/2006/relationships/hyperlink" Target="http://vk.com" TargetMode="External"/><Relationship Id="rId568" Type="http://schemas.openxmlformats.org/officeDocument/2006/relationships/hyperlink" Target="https://vk.com/gosuslugi" TargetMode="External"/><Relationship Id="rId567" Type="http://schemas.openxmlformats.org/officeDocument/2006/relationships/hyperlink" Target="http://play.google.com" TargetMode="External"/><Relationship Id="rId566" Type="http://schemas.openxmlformats.org/officeDocument/2006/relationships/hyperlink" Target="https://play.google.com/store/apps/details?id=ru.rostel&amp;hl=en_US" TargetMode="External"/><Relationship Id="rId561" Type="http://schemas.openxmlformats.org/officeDocument/2006/relationships/hyperlink" Target="http://bloomflowers.pl" TargetMode="External"/><Relationship Id="rId1150" Type="http://schemas.openxmlformats.org/officeDocument/2006/relationships/hyperlink" Target="http://www.deepl.com" TargetMode="External"/><Relationship Id="rId560" Type="http://schemas.openxmlformats.org/officeDocument/2006/relationships/hyperlink" Target="https://bloomflowers.pl/produkt/bukiet-gipsowki/?lang=ru" TargetMode="External"/><Relationship Id="rId1151" Type="http://schemas.openxmlformats.org/officeDocument/2006/relationships/hyperlink" Target="https://www.reverso.net/%D0%BF%D0%B5%D1%80%D0%B5%D0%B2%D0%BE%D0%B4-%D1%82%D0%B5%D0%BA%D1%81%D1%82%D0%B0" TargetMode="External"/><Relationship Id="rId1152" Type="http://schemas.openxmlformats.org/officeDocument/2006/relationships/hyperlink" Target="https://context.reverso.net/%D0%BF%D0%B5%D1%80%D0%B5%D0%B2%D0%BE%D0%B4/%D1%80%D1%83%D1%81%D1%81%D0%BA%D0%B8%D0%B9-%D0%B0%D0%BD%D0%B3%D0%BB%D0%B8%D0%B9%D1%81%D0%BA%D0%B8%D0%B9/" TargetMode="External"/><Relationship Id="rId1153" Type="http://schemas.openxmlformats.org/officeDocument/2006/relationships/hyperlink" Target="https://www.translate.ru/%D0%BF%D0%B5%D1%80%D0%B5%D0%B2%D0%BE%D0%B4" TargetMode="External"/><Relationship Id="rId565" Type="http://schemas.openxmlformats.org/officeDocument/2006/relationships/hyperlink" Target="http://www.gosuslugi.ru" TargetMode="External"/><Relationship Id="rId1154" Type="http://schemas.openxmlformats.org/officeDocument/2006/relationships/hyperlink" Target="http://www.translate.ru" TargetMode="External"/><Relationship Id="rId564" Type="http://schemas.openxmlformats.org/officeDocument/2006/relationships/hyperlink" Target="https://www.gosuslugi.ru/" TargetMode="External"/><Relationship Id="rId1155" Type="http://schemas.openxmlformats.org/officeDocument/2006/relationships/hyperlink" Target="https://play.google.com/store/apps/details?id=com.google.android.apps.translate&amp;hl=ru&amp;gl=US" TargetMode="External"/><Relationship Id="rId563" Type="http://schemas.openxmlformats.org/officeDocument/2006/relationships/hyperlink" Target="http://kvitna.ua" TargetMode="External"/><Relationship Id="rId1156" Type="http://schemas.openxmlformats.org/officeDocument/2006/relationships/hyperlink" Target="http://play.google.com" TargetMode="External"/><Relationship Id="rId562" Type="http://schemas.openxmlformats.org/officeDocument/2006/relationships/hyperlink" Target="https://kvitna.ua/collection/all/gypsophila?lang=ru" TargetMode="External"/><Relationship Id="rId1157" Type="http://schemas.openxmlformats.org/officeDocument/2006/relationships/hyperlink" Target="https://ru.pons.com/%D0%BF%D0%B5%D1%80%D0%B5%D0%B2%D0%BE%D0%B4-%D1%82%D0%B5%D0%BA%D1%81%D1%82%D0%B0" TargetMode="External"/><Relationship Id="rId1147" Type="http://schemas.openxmlformats.org/officeDocument/2006/relationships/hyperlink" Target="https://translate.yandex.ru/" TargetMode="External"/><Relationship Id="rId1148" Type="http://schemas.openxmlformats.org/officeDocument/2006/relationships/hyperlink" Target="http://translate.yandex.ru" TargetMode="External"/><Relationship Id="rId1149" Type="http://schemas.openxmlformats.org/officeDocument/2006/relationships/hyperlink" Target="https://www.deepl.com/ru/translator" TargetMode="External"/><Relationship Id="rId558" Type="http://schemas.openxmlformats.org/officeDocument/2006/relationships/hyperlink" Target="https://dolinaroz.by/catalog/bukety-cvetov/bukety-iz-gipsofily" TargetMode="External"/><Relationship Id="rId557" Type="http://schemas.openxmlformats.org/officeDocument/2006/relationships/hyperlink" Target="http://www.grand-kapriz.ru" TargetMode="External"/><Relationship Id="rId556" Type="http://schemas.openxmlformats.org/officeDocument/2006/relationships/hyperlink" Target="https://www.grand-kapriz.ru/product/buket-iz-gipsofily-oblachko" TargetMode="External"/><Relationship Id="rId555" Type="http://schemas.openxmlformats.org/officeDocument/2006/relationships/hyperlink" Target="http://flowersvalley.ru" TargetMode="External"/><Relationship Id="rId559" Type="http://schemas.openxmlformats.org/officeDocument/2006/relationships/hyperlink" Target="http://dolinaroz.by" TargetMode="External"/><Relationship Id="rId550" Type="http://schemas.openxmlformats.org/officeDocument/2006/relationships/hyperlink" Target="https://vk.com/@cvetypodarki_spb-preimuschestva-i-nedostatki-kompozicii-iz-gipsofily" TargetMode="External"/><Relationship Id="rId1140" Type="http://schemas.openxmlformats.org/officeDocument/2006/relationships/hyperlink" Target="http://www.eli.ru" TargetMode="External"/><Relationship Id="rId1141" Type="http://schemas.openxmlformats.org/officeDocument/2006/relationships/hyperlink" Target="https://kalendar.pp.ua/ru/easter-2023.html" TargetMode="External"/><Relationship Id="rId1142" Type="http://schemas.openxmlformats.org/officeDocument/2006/relationships/hyperlink" Target="http://kalendar.pp.ua" TargetMode="External"/><Relationship Id="rId554" Type="http://schemas.openxmlformats.org/officeDocument/2006/relationships/hyperlink" Target="https://flowersvalley.ru/blog/cvetochnoe-vdohnovenie/cvetnaya-gipsofila-trend-2021-goda" TargetMode="External"/><Relationship Id="rId1143" Type="http://schemas.openxmlformats.org/officeDocument/2006/relationships/hyperlink" Target="https://1plus1.ua/ru/novyny/koli-velikden-2023-data-tradicii-i-prikmeti" TargetMode="External"/><Relationship Id="rId553" Type="http://schemas.openxmlformats.org/officeDocument/2006/relationships/hyperlink" Target="http://magicalflower.ru" TargetMode="External"/><Relationship Id="rId1144" Type="http://schemas.openxmlformats.org/officeDocument/2006/relationships/hyperlink" Target="http://1plus1.ua" TargetMode="External"/><Relationship Id="rId552" Type="http://schemas.openxmlformats.org/officeDocument/2006/relationships/hyperlink" Target="https://magicalflower.ru/tsvety/gipsofila/raznocvetnye-gipsofily/" TargetMode="External"/><Relationship Id="rId1145" Type="http://schemas.openxmlformats.org/officeDocument/2006/relationships/hyperlink" Target="https://translate.google.com/?hl=ru" TargetMode="External"/><Relationship Id="rId551" Type="http://schemas.openxmlformats.org/officeDocument/2006/relationships/hyperlink" Target="http://vk.com" TargetMode="External"/><Relationship Id="rId1146" Type="http://schemas.openxmlformats.org/officeDocument/2006/relationships/hyperlink" Target="http://translate.google.com" TargetMode="External"/><Relationship Id="rId495" Type="http://schemas.openxmlformats.org/officeDocument/2006/relationships/hyperlink" Target="http://kzgdz.com" TargetMode="External"/><Relationship Id="rId494" Type="http://schemas.openxmlformats.org/officeDocument/2006/relationships/hyperlink" Target="https://kzgdz.com/" TargetMode="External"/><Relationship Id="rId493" Type="http://schemas.openxmlformats.org/officeDocument/2006/relationships/hyperlink" Target="https://gdz-putina.info/" TargetMode="External"/><Relationship Id="rId492" Type="http://schemas.openxmlformats.org/officeDocument/2006/relationships/hyperlink" Target="http://megashpora.com" TargetMode="External"/><Relationship Id="rId499" Type="http://schemas.openxmlformats.org/officeDocument/2006/relationships/hyperlink" Target="https://play.google.com/store/apps/details?id=com.gdzme&amp;hl=ru&amp;gl=US" TargetMode="External"/><Relationship Id="rId498" Type="http://schemas.openxmlformats.org/officeDocument/2006/relationships/hyperlink" Target="https://shkola.obozrevatel.com/gdz/" TargetMode="External"/><Relationship Id="rId497" Type="http://schemas.openxmlformats.org/officeDocument/2006/relationships/hyperlink" Target="https://resheba.top/" TargetMode="External"/><Relationship Id="rId496" Type="http://schemas.openxmlformats.org/officeDocument/2006/relationships/hyperlink" Target="https://gdz.red/" TargetMode="External"/><Relationship Id="rId1610" Type="http://schemas.openxmlformats.org/officeDocument/2006/relationships/hyperlink" Target="http://sgo.tvobr.ru" TargetMode="External"/><Relationship Id="rId1611" Type="http://schemas.openxmlformats.org/officeDocument/2006/relationships/hyperlink" Target="https://sgo.edu-74.ru/" TargetMode="External"/><Relationship Id="rId1612" Type="http://schemas.openxmlformats.org/officeDocument/2006/relationships/hyperlink" Target="http://sgo.edu-74.ru" TargetMode="External"/><Relationship Id="rId1613" Type="http://schemas.openxmlformats.org/officeDocument/2006/relationships/hyperlink" Target="https://sgo.mari-el.gov.ru/" TargetMode="External"/><Relationship Id="rId1614" Type="http://schemas.openxmlformats.org/officeDocument/2006/relationships/hyperlink" Target="http://sgo.mari-el.gov.ru" TargetMode="External"/><Relationship Id="rId1615" Type="http://schemas.openxmlformats.org/officeDocument/2006/relationships/hyperlink" Target="https://netcity.admsakhalin.ru:11111/" TargetMode="External"/><Relationship Id="rId1616" Type="http://schemas.openxmlformats.org/officeDocument/2006/relationships/hyperlink" Target="https://sgo.egov66.ru/" TargetMode="External"/><Relationship Id="rId907" Type="http://schemas.openxmlformats.org/officeDocument/2006/relationships/hyperlink" Target="https://www.dailymail.co.uk/home/index.html" TargetMode="External"/><Relationship Id="rId1617" Type="http://schemas.openxmlformats.org/officeDocument/2006/relationships/hyperlink" Target="https://netschool.edu22.info/" TargetMode="External"/><Relationship Id="rId906" Type="http://schemas.openxmlformats.org/officeDocument/2006/relationships/hyperlink" Target="http://www.mail-tester.com" TargetMode="External"/><Relationship Id="rId1618" Type="http://schemas.openxmlformats.org/officeDocument/2006/relationships/hyperlink" Target="http://netschool.edu22.info" TargetMode="External"/><Relationship Id="rId905" Type="http://schemas.openxmlformats.org/officeDocument/2006/relationships/hyperlink" Target="https://www.mail-tester.com/" TargetMode="External"/><Relationship Id="rId1619" Type="http://schemas.openxmlformats.org/officeDocument/2006/relationships/hyperlink" Target="https://sgo.prim-edu.ru/" TargetMode="External"/><Relationship Id="rId904" Type="http://schemas.openxmlformats.org/officeDocument/2006/relationships/hyperlink" Target="http://ru.wikipedia.org" TargetMode="External"/><Relationship Id="rId909" Type="http://schemas.openxmlformats.org/officeDocument/2006/relationships/hyperlink" Target="https://vk.com/mailru" TargetMode="External"/><Relationship Id="rId908" Type="http://schemas.openxmlformats.org/officeDocument/2006/relationships/hyperlink" Target="http://www.dailymail.co.uk" TargetMode="External"/><Relationship Id="rId903" Type="http://schemas.openxmlformats.org/officeDocument/2006/relationships/hyperlink" Target="https://ru.wikipedia.org/wiki/Mail.ru" TargetMode="External"/><Relationship Id="rId902" Type="http://schemas.openxmlformats.org/officeDocument/2006/relationships/hyperlink" Target="http://www.zoho.com" TargetMode="External"/><Relationship Id="rId901" Type="http://schemas.openxmlformats.org/officeDocument/2006/relationships/hyperlink" Target="https://www.zoho.com/mail/" TargetMode="External"/><Relationship Id="rId900" Type="http://schemas.openxmlformats.org/officeDocument/2006/relationships/hyperlink" Target="http://www.icloud.com" TargetMode="External"/><Relationship Id="rId1600" Type="http://schemas.openxmlformats.org/officeDocument/2006/relationships/hyperlink" Target="http://region.zabedu.ru" TargetMode="External"/><Relationship Id="rId1601" Type="http://schemas.openxmlformats.org/officeDocument/2006/relationships/hyperlink" Target="https://www.sgo41.ru/" TargetMode="External"/><Relationship Id="rId1602" Type="http://schemas.openxmlformats.org/officeDocument/2006/relationships/hyperlink" Target="http://www.sgo41.ru" TargetMode="External"/><Relationship Id="rId1603" Type="http://schemas.openxmlformats.org/officeDocument/2006/relationships/hyperlink" Target="https://net-school.cap.ru/" TargetMode="External"/><Relationship Id="rId1604" Type="http://schemas.openxmlformats.org/officeDocument/2006/relationships/hyperlink" Target="http://net-school.cap.ru" TargetMode="External"/><Relationship Id="rId1605" Type="http://schemas.openxmlformats.org/officeDocument/2006/relationships/hyperlink" Target="https://sgo.yanao.ru/" TargetMode="External"/><Relationship Id="rId1606" Type="http://schemas.openxmlformats.org/officeDocument/2006/relationships/hyperlink" Target="https://sgo.rso23.ru/" TargetMode="External"/><Relationship Id="rId1607" Type="http://schemas.openxmlformats.org/officeDocument/2006/relationships/hyperlink" Target="http://sgo.rso23.ru" TargetMode="External"/><Relationship Id="rId1608" Type="http://schemas.openxmlformats.org/officeDocument/2006/relationships/hyperlink" Target="https://sgo.volganet.ru/" TargetMode="External"/><Relationship Id="rId1609" Type="http://schemas.openxmlformats.org/officeDocument/2006/relationships/hyperlink" Target="https://sgo.tvobr.ru/" TargetMode="External"/><Relationship Id="rId1631" Type="http://schemas.openxmlformats.org/officeDocument/2006/relationships/hyperlink" Target="https://sgo.tomedu.ru/" TargetMode="External"/><Relationship Id="rId1632" Type="http://schemas.openxmlformats.org/officeDocument/2006/relationships/hyperlink" Target="http://sgo.tomedu.ru" TargetMode="External"/><Relationship Id="rId1633" Type="http://schemas.openxmlformats.org/officeDocument/2006/relationships/hyperlink" Target="https://edu.admoblkaluga.ru:444/about.html" TargetMode="External"/><Relationship Id="rId1634" Type="http://schemas.openxmlformats.org/officeDocument/2006/relationships/hyperlink" Target="https://netcity.admsakhalin.ru:11111/about.html" TargetMode="External"/><Relationship Id="rId1635" Type="http://schemas.openxmlformats.org/officeDocument/2006/relationships/hyperlink" Target="https://netschool.eduportal44.ru/about.html" TargetMode="External"/><Relationship Id="rId1636" Type="http://schemas.openxmlformats.org/officeDocument/2006/relationships/hyperlink" Target="http://netschool.eduportal44.ru" TargetMode="External"/><Relationship Id="rId1637" Type="http://schemas.openxmlformats.org/officeDocument/2006/relationships/hyperlink" Target="https://region.obramur.ru/" TargetMode="External"/><Relationship Id="rId1638" Type="http://schemas.openxmlformats.org/officeDocument/2006/relationships/hyperlink" Target="https://web.telegram.org/" TargetMode="External"/><Relationship Id="rId929" Type="http://schemas.openxmlformats.org/officeDocument/2006/relationships/hyperlink" Target="http://its.1c.ru" TargetMode="External"/><Relationship Id="rId1639" Type="http://schemas.openxmlformats.org/officeDocument/2006/relationships/hyperlink" Target="http://web.telegram.org" TargetMode="External"/><Relationship Id="rId928" Type="http://schemas.openxmlformats.org/officeDocument/2006/relationships/hyperlink" Target="https://its.1c.ru/db/answersstaff/content/4749/hdoc" TargetMode="External"/><Relationship Id="rId927" Type="http://schemas.openxmlformats.org/officeDocument/2006/relationships/hyperlink" Target="http://www.sravni.ru" TargetMode="External"/><Relationship Id="rId926" Type="http://schemas.openxmlformats.org/officeDocument/2006/relationships/hyperlink" Target="https://www.sravni.ru/text/kak-otdyhaem-na-majskie-prazdniki-v-2023-godu/" TargetMode="External"/><Relationship Id="rId921" Type="http://schemas.openxmlformats.org/officeDocument/2006/relationships/hyperlink" Target="http://www.garant.ru" TargetMode="External"/><Relationship Id="rId920" Type="http://schemas.openxmlformats.org/officeDocument/2006/relationships/hyperlink" Target="https://www.garant.ru/news/1621587/" TargetMode="External"/><Relationship Id="rId925" Type="http://schemas.openxmlformats.org/officeDocument/2006/relationships/hyperlink" Target="http://ufacity.info" TargetMode="External"/><Relationship Id="rId924" Type="http://schemas.openxmlformats.org/officeDocument/2006/relationships/hyperlink" Target="https://ufacity.info/press/news/481326.html" TargetMode="External"/><Relationship Id="rId923" Type="http://schemas.openxmlformats.org/officeDocument/2006/relationships/hyperlink" Target="http://artist.ru" TargetMode="External"/><Relationship Id="rId922" Type="http://schemas.openxmlformats.org/officeDocument/2006/relationships/hyperlink" Target="https://artist.ru/prazdniki/majskie-prazdniki/" TargetMode="External"/><Relationship Id="rId1630" Type="http://schemas.openxmlformats.org/officeDocument/2006/relationships/hyperlink" Target="https://sgo.volganet.ru/about.html" TargetMode="External"/><Relationship Id="rId1620" Type="http://schemas.openxmlformats.org/officeDocument/2006/relationships/hyperlink" Target="https://sgo.e-mordovia.ru/" TargetMode="External"/><Relationship Id="rId1621" Type="http://schemas.openxmlformats.org/officeDocument/2006/relationships/hyperlink" Target="http://sgo.e-mordovia.ru" TargetMode="External"/><Relationship Id="rId1622" Type="http://schemas.openxmlformats.org/officeDocument/2006/relationships/hyperlink" Target="https://edu.admoblkaluga.ru:444/" TargetMode="External"/><Relationship Id="rId1623" Type="http://schemas.openxmlformats.org/officeDocument/2006/relationships/hyperlink" Target="https://sgo.e-yakutia.ru/" TargetMode="External"/><Relationship Id="rId1624" Type="http://schemas.openxmlformats.org/officeDocument/2006/relationships/hyperlink" Target="http://sgo.e-yakutia.ru" TargetMode="External"/><Relationship Id="rId1625" Type="http://schemas.openxmlformats.org/officeDocument/2006/relationships/hyperlink" Target="https://sgo.edu71.ru/" TargetMode="External"/><Relationship Id="rId1626" Type="http://schemas.openxmlformats.org/officeDocument/2006/relationships/hyperlink" Target="https://giseo.rkomi.ru/about.html" TargetMode="External"/><Relationship Id="rId1627" Type="http://schemas.openxmlformats.org/officeDocument/2006/relationships/hyperlink" Target="http://schoolroo.ru/" TargetMode="External"/><Relationship Id="rId918" Type="http://schemas.openxmlformats.org/officeDocument/2006/relationships/hyperlink" Target="https://www.infullbroker.ru/articles/mayskiye-prazdniki-2023/" TargetMode="External"/><Relationship Id="rId1628" Type="http://schemas.openxmlformats.org/officeDocument/2006/relationships/hyperlink" Target="https://region.zabedu.ru/" TargetMode="External"/><Relationship Id="rId917" Type="http://schemas.openxmlformats.org/officeDocument/2006/relationships/hyperlink" Target="http://skillbox.ru" TargetMode="External"/><Relationship Id="rId1629" Type="http://schemas.openxmlformats.org/officeDocument/2006/relationships/hyperlink" Target="http://region.zabedu.ru" TargetMode="External"/><Relationship Id="rId916" Type="http://schemas.openxmlformats.org/officeDocument/2006/relationships/hyperlink" Target="https://skillbox.ru/media/management/ofitsialnye-mayskie-vykhodnye-v-2023-godu-spisok-nerabochikh-dney-i-sovety-yurista/" TargetMode="External"/><Relationship Id="rId915" Type="http://schemas.openxmlformats.org/officeDocument/2006/relationships/hyperlink" Target="https://www.mos.ru/otvet-rabota/kakie-dni-v-2023-godu-nerabochie/" TargetMode="External"/><Relationship Id="rId919" Type="http://schemas.openxmlformats.org/officeDocument/2006/relationships/hyperlink" Target="http://www.infullbroker.ru" TargetMode="External"/><Relationship Id="rId910" Type="http://schemas.openxmlformats.org/officeDocument/2006/relationships/hyperlink" Target="http://vk.com" TargetMode="External"/><Relationship Id="rId914" Type="http://schemas.openxmlformats.org/officeDocument/2006/relationships/hyperlink" Target="https://xn--h1alcedd.xn--d1aqf.xn--p1ai/news/kak-otdykhaem-v-2023-godu-mayskie-prazdniki-i-drugie-dlinnye-vykhodnye/" TargetMode="External"/><Relationship Id="rId913" Type="http://schemas.openxmlformats.org/officeDocument/2006/relationships/hyperlink" Target="https://ria.ru/20230413/may-1855644309.html" TargetMode="External"/><Relationship Id="rId912" Type="http://schemas.openxmlformats.org/officeDocument/2006/relationships/hyperlink" Target="https://www.rbc.ru/life/news/63ff0b8f9a79474eebf84e1c" TargetMode="External"/><Relationship Id="rId911" Type="http://schemas.openxmlformats.org/officeDocument/2006/relationships/hyperlink" Target="https://www.fastmail.com/" TargetMode="External"/><Relationship Id="rId1213" Type="http://schemas.openxmlformats.org/officeDocument/2006/relationships/hyperlink" Target="http://www.microsoft.com" TargetMode="External"/><Relationship Id="rId1697" Type="http://schemas.openxmlformats.org/officeDocument/2006/relationships/hyperlink" Target="https://premier.one/show/cheburashka-2023" TargetMode="External"/><Relationship Id="rId1214" Type="http://schemas.openxmlformats.org/officeDocument/2006/relationships/hyperlink" Target="https://books.google.ru/books?id=5yQ0EAAAQBAJ&amp;pg=PT23&amp;lpg=PT23&amp;dq=%D0%BF%D0%B5%D1%80%D0%B5%D0%B2%D0%BE%D0%B4%D1%87%D0%B8%D0%BA&amp;source=bl&amp;ots=oPMCyVf0Rv&amp;sig=ACfU3U0beAAkFqdbWDplYGRWeV4-OWaqzg&amp;hl=ru&amp;sa=X&amp;ved=2ahUKEwjP9qymqL2CAxVAHTQIHfCWC88Q6AF6BAguEAM" TargetMode="External"/><Relationship Id="rId1698" Type="http://schemas.openxmlformats.org/officeDocument/2006/relationships/hyperlink" Target="https://www.imdb.com/title/tt16550628/" TargetMode="External"/><Relationship Id="rId1215" Type="http://schemas.openxmlformats.org/officeDocument/2006/relationships/hyperlink" Target="http://books.google.ru" TargetMode="External"/><Relationship Id="rId1699" Type="http://schemas.openxmlformats.org/officeDocument/2006/relationships/hyperlink" Target="http://www.imdb.com" TargetMode="External"/><Relationship Id="rId1216" Type="http://schemas.openxmlformats.org/officeDocument/2006/relationships/hyperlink" Target="https://books.google.ru/books?id=exR9DwAAQBAJ&amp;pg=PT297&amp;lpg=PT297&amp;dq=%D0%BF%D0%B5%D1%80%D0%B5%D0%B2%D0%BE%D0%B4%D1%87%D0%B8%D0%BA&amp;source=bl&amp;ots=CAoeod5882&amp;sig=ACfU3U1dANzPnft0r0H48gM1YsTdA4ANBw&amp;hl=ru&amp;sa=X&amp;ved=2ahUKEwjP9qymqL2CAxVAHTQIHfCWC88Q6AF6BAhCEAM" TargetMode="External"/><Relationship Id="rId1217" Type="http://schemas.openxmlformats.org/officeDocument/2006/relationships/hyperlink" Target="http://books.google.ru" TargetMode="External"/><Relationship Id="rId1218" Type="http://schemas.openxmlformats.org/officeDocument/2006/relationships/hyperlink" Target="https://www.deepl.com/ru/translator-mobile" TargetMode="External"/><Relationship Id="rId1219" Type="http://schemas.openxmlformats.org/officeDocument/2006/relationships/hyperlink" Target="http://www.deepl.com" TargetMode="External"/><Relationship Id="rId866" Type="http://schemas.openxmlformats.org/officeDocument/2006/relationships/hyperlink" Target="http://www.tinkoff.ru" TargetMode="External"/><Relationship Id="rId865" Type="http://schemas.openxmlformats.org/officeDocument/2006/relationships/hyperlink" Target="https://www.tinkoff.ru/invest/currencies/USDRUB/" TargetMode="External"/><Relationship Id="rId864" Type="http://schemas.openxmlformats.org/officeDocument/2006/relationships/hyperlink" Target="https://www.finam.ru/quote/forex/usdrub/" TargetMode="External"/><Relationship Id="rId863" Type="http://schemas.openxmlformats.org/officeDocument/2006/relationships/hyperlink" Target="http://www.sberometer.ru" TargetMode="External"/><Relationship Id="rId869" Type="http://schemas.openxmlformats.org/officeDocument/2006/relationships/hyperlink" Target="https://www.moex.com/ru/issue/USD000UTSTOM/CETS" TargetMode="External"/><Relationship Id="rId868" Type="http://schemas.openxmlformats.org/officeDocument/2006/relationships/hyperlink" Target="http://tass.ru" TargetMode="External"/><Relationship Id="rId867" Type="http://schemas.openxmlformats.org/officeDocument/2006/relationships/hyperlink" Target="https://tass.ru/ekonomika/19254905" TargetMode="External"/><Relationship Id="rId1690" Type="http://schemas.openxmlformats.org/officeDocument/2006/relationships/hyperlink" Target="http://soyuzmultfilm.fandom.com" TargetMode="External"/><Relationship Id="rId1691" Type="http://schemas.openxmlformats.org/officeDocument/2006/relationships/hyperlink" Target="https://www.ivi.ru/watch/121614" TargetMode="External"/><Relationship Id="rId1692" Type="http://schemas.openxmlformats.org/officeDocument/2006/relationships/hyperlink" Target="http://www.ivi.ru" TargetMode="External"/><Relationship Id="rId862" Type="http://schemas.openxmlformats.org/officeDocument/2006/relationships/hyperlink" Target="https://www.sberometer.ru/" TargetMode="External"/><Relationship Id="rId1693" Type="http://schemas.openxmlformats.org/officeDocument/2006/relationships/hyperlink" Target="https://www.amazon.com/cheburashka/s?k=cheburashka" TargetMode="External"/><Relationship Id="rId861" Type="http://schemas.openxmlformats.org/officeDocument/2006/relationships/hyperlink" Target="http://myfin.by" TargetMode="External"/><Relationship Id="rId1210" Type="http://schemas.openxmlformats.org/officeDocument/2006/relationships/hyperlink" Target="https://www.babla.ru/%D1%80%D1%83%D1%81%D1%81%D0%BA%D0%B8%D0%B9-%D0%B0%D0%BD%D0%B3%D0%BB%D0%B8%D0%B9%D1%81%D0%BA%D0%B8%D0%B9/%D0%BF%D0%B5%D1%80%D0%B5%D0%B2%D0%BE%D0%B4%D1%87%D0%B8%D0%BA" TargetMode="External"/><Relationship Id="rId1694" Type="http://schemas.openxmlformats.org/officeDocument/2006/relationships/hyperlink" Target="http://www.amazon.com" TargetMode="External"/><Relationship Id="rId860" Type="http://schemas.openxmlformats.org/officeDocument/2006/relationships/hyperlink" Target="https://myfin.by/currency/usd/russia" TargetMode="External"/><Relationship Id="rId1211" Type="http://schemas.openxmlformats.org/officeDocument/2006/relationships/hyperlink" Target="https://www.babla.ru/%D0%BF%D0%B5%D1%80%D0%B5%D0%B2%D0%BE%D0%B4%D1%87%D0%B8%D0%BA/" TargetMode="External"/><Relationship Id="rId1695" Type="http://schemas.openxmlformats.org/officeDocument/2006/relationships/hyperlink" Target="https://ru.wiktionary.org/wiki/%D0%A7%D0%B5%D0%B1%D1%83%D1%80%D0%B0%D1%88%D0%BA%D0%B0" TargetMode="External"/><Relationship Id="rId1212" Type="http://schemas.openxmlformats.org/officeDocument/2006/relationships/hyperlink" Target="https://www.microsoft.com/ru-ru/translator/business/trial/" TargetMode="External"/><Relationship Id="rId1696" Type="http://schemas.openxmlformats.org/officeDocument/2006/relationships/hyperlink" Target="http://ru.wiktionary.org" TargetMode="External"/><Relationship Id="rId1202" Type="http://schemas.openxmlformats.org/officeDocument/2006/relationships/hyperlink" Target="https://support.google.com/translate/answer/6142468?hl=ru&amp;co=GENIE.Platform%3DAndroid" TargetMode="External"/><Relationship Id="rId1686" Type="http://schemas.openxmlformats.org/officeDocument/2006/relationships/hyperlink" Target="https://www.forbes.ru/forbeslife/484124-sekret-ceburaski-pocemu-fil-m-s-garmasom-b-et-rekordy-prokata-v-rossii" TargetMode="External"/><Relationship Id="rId1203" Type="http://schemas.openxmlformats.org/officeDocument/2006/relationships/hyperlink" Target="http://support.google.com" TargetMode="External"/><Relationship Id="rId1687" Type="http://schemas.openxmlformats.org/officeDocument/2006/relationships/hyperlink" Target="http://www.forbes.ru" TargetMode="External"/><Relationship Id="rId1204" Type="http://schemas.openxmlformats.org/officeDocument/2006/relationships/hyperlink" Target="https://ru.pons.com/%D0%BF%D0%B5%D1%80%D0%B5%D0%B2%D0%BE%D0%B4-%D1%82%D0%B5%D0%BA%D1%81%D1%82%D0%B0" TargetMode="External"/><Relationship Id="rId1688" Type="http://schemas.openxmlformats.org/officeDocument/2006/relationships/hyperlink" Target="https://www.rbc.ru/life/news/63d89e6b9a7947514d98f34a" TargetMode="External"/><Relationship Id="rId1205" Type="http://schemas.openxmlformats.org/officeDocument/2006/relationships/hyperlink" Target="http://ru.pons.com" TargetMode="External"/><Relationship Id="rId1689" Type="http://schemas.openxmlformats.org/officeDocument/2006/relationships/hyperlink" Target="https://soyuzmultfilm.fandom.com/ru/wiki/%D0%A7%D0%B5%D0%B1%D1%83%D1%80%D0%B0%D1%88%D0%BA%D0%B0" TargetMode="External"/><Relationship Id="rId1206" Type="http://schemas.openxmlformats.org/officeDocument/2006/relationships/hyperlink" Target="https://www.native-english.ru/translate" TargetMode="External"/><Relationship Id="rId1207" Type="http://schemas.openxmlformats.org/officeDocument/2006/relationships/hyperlink" Target="http://www.native-english.ru" TargetMode="External"/><Relationship Id="rId1208" Type="http://schemas.openxmlformats.org/officeDocument/2006/relationships/hyperlink" Target="https://habr.com/ru/articles/689580/" TargetMode="External"/><Relationship Id="rId1209" Type="http://schemas.openxmlformats.org/officeDocument/2006/relationships/hyperlink" Target="http://habr.com" TargetMode="External"/><Relationship Id="rId855" Type="http://schemas.openxmlformats.org/officeDocument/2006/relationships/hyperlink" Target="https://www.cbr.ru/currency_base/daily/" TargetMode="External"/><Relationship Id="rId854" Type="http://schemas.openxmlformats.org/officeDocument/2006/relationships/hyperlink" Target="http://quote.rbc.ru" TargetMode="External"/><Relationship Id="rId853" Type="http://schemas.openxmlformats.org/officeDocument/2006/relationships/hyperlink" Target="https://quote.rbc.ru/ticker/72413" TargetMode="External"/><Relationship Id="rId852" Type="http://schemas.openxmlformats.org/officeDocument/2006/relationships/hyperlink" Target="http://news.mail.ru" TargetMode="External"/><Relationship Id="rId859" Type="http://schemas.openxmlformats.org/officeDocument/2006/relationships/hyperlink" Target="http://quote.ru" TargetMode="External"/><Relationship Id="rId858" Type="http://schemas.openxmlformats.org/officeDocument/2006/relationships/hyperlink" Target="https://quote.ru/ticker/59111" TargetMode="External"/><Relationship Id="rId857" Type="http://schemas.openxmlformats.org/officeDocument/2006/relationships/hyperlink" Target="http://www.finmarket.ru/currency/USD/" TargetMode="External"/><Relationship Id="rId856" Type="http://schemas.openxmlformats.org/officeDocument/2006/relationships/hyperlink" Target="http://www.cbr.ru" TargetMode="External"/><Relationship Id="rId1680" Type="http://schemas.openxmlformats.org/officeDocument/2006/relationships/hyperlink" Target="https://ru.wikipedia.org/wiki/%D0%A7%D0%B5%D0%B1%D1%83%D1%80%D0%B0%D1%88%D0%BA%D0%B0_(%D0%BC%D1%83%D0%BB%D1%8C%D1%82%D1%84%D0%B8%D0%BB%D1%8C%D0%BC,_2013)" TargetMode="External"/><Relationship Id="rId1681" Type="http://schemas.openxmlformats.org/officeDocument/2006/relationships/hyperlink" Target="http://ru.wikipedia.org" TargetMode="External"/><Relationship Id="rId851" Type="http://schemas.openxmlformats.org/officeDocument/2006/relationships/hyperlink" Target="https://news.mail.ru/currency/src/CBRF/charcode/USD/" TargetMode="External"/><Relationship Id="rId1682" Type="http://schemas.openxmlformats.org/officeDocument/2006/relationships/hyperlink" Target="https://www.culture.ru/s/cheburashka/" TargetMode="External"/><Relationship Id="rId850" Type="http://schemas.openxmlformats.org/officeDocument/2006/relationships/hyperlink" Target="https://ru.investing.com/currencies/usd-rub" TargetMode="External"/><Relationship Id="rId1683" Type="http://schemas.openxmlformats.org/officeDocument/2006/relationships/hyperlink" Target="http://www.culture.ru" TargetMode="External"/><Relationship Id="rId1200" Type="http://schemas.openxmlformats.org/officeDocument/2006/relationships/hyperlink" Target="https://www.youtube.com/watch?v=HaFBmR7kT84" TargetMode="External"/><Relationship Id="rId1684" Type="http://schemas.openxmlformats.org/officeDocument/2006/relationships/hyperlink" Target="https://www.kinopoisk.ru/film/839110/" TargetMode="External"/><Relationship Id="rId1201" Type="http://schemas.openxmlformats.org/officeDocument/2006/relationships/hyperlink" Target="http://www.youtube.com" TargetMode="External"/><Relationship Id="rId1685" Type="http://schemas.openxmlformats.org/officeDocument/2006/relationships/hyperlink" Target="http://www.kinopoisk.ru" TargetMode="External"/><Relationship Id="rId1235" Type="http://schemas.openxmlformats.org/officeDocument/2006/relationships/hyperlink" Target="http://books.google.com" TargetMode="External"/><Relationship Id="rId1236" Type="http://schemas.openxmlformats.org/officeDocument/2006/relationships/hyperlink" Target="https://lingvanex.com/translation/russian-to-english" TargetMode="External"/><Relationship Id="rId1237" Type="http://schemas.openxmlformats.org/officeDocument/2006/relationships/hyperlink" Target="http://lingvanex.com" TargetMode="External"/><Relationship Id="rId1238" Type="http://schemas.openxmlformats.org/officeDocument/2006/relationships/hyperlink" Target="https://books.google.com/books?id=oaYVEAAAQBAJ&amp;pg=PT220&amp;lpg=PT220&amp;dq=%D0%BF%D0%B5%D1%80%D0%B5%D0%B2%D0%BE%D0%B4%D1%87%D0%B8%D0%BA&amp;source=bl&amp;ots=esqyAik1MZ&amp;sig=ACfU3U0f-WufxzTrfgno_m-99xJPnMuPDw&amp;hl=ru&amp;sa=X&amp;ved=2ahUKEwijxYfZjbuCAxVFrokEHY2zC-gQ6AF6BAg2EAM" TargetMode="External"/><Relationship Id="rId1239" Type="http://schemas.openxmlformats.org/officeDocument/2006/relationships/hyperlink" Target="http://books.google.com" TargetMode="External"/><Relationship Id="rId409" Type="http://schemas.openxmlformats.org/officeDocument/2006/relationships/hyperlink" Target="http://m.vk.com" TargetMode="External"/><Relationship Id="rId404" Type="http://schemas.openxmlformats.org/officeDocument/2006/relationships/hyperlink" Target="http://books.google.com" TargetMode="External"/><Relationship Id="rId888" Type="http://schemas.openxmlformats.org/officeDocument/2006/relationships/hyperlink" Target="http://mail.proton.me" TargetMode="External"/><Relationship Id="rId403" Type="http://schemas.openxmlformats.org/officeDocument/2006/relationships/hyperlink" Target="https://books.google.com/books?id=QoEcEAAAQBAJ&amp;pg=PT7&amp;lpg=PT7&amp;dq=%D0%B2%D0%BA&amp;source=bl&amp;ots=bx5JpEVTdW&amp;sig=ACfU3U2AP4jiM7Lv1WlC4obt5gpEojYKoA&amp;hl=ru&amp;sa=X&amp;ved=2ahUKEwjdmLn6jbuCAxWZlYkEHf8EA4AQ6AF6BAgkEAM" TargetMode="External"/><Relationship Id="rId887" Type="http://schemas.openxmlformats.org/officeDocument/2006/relationships/hyperlink" Target="https://mail.proton.me/" TargetMode="External"/><Relationship Id="rId402" Type="http://schemas.openxmlformats.org/officeDocument/2006/relationships/hyperlink" Target="http://books.google.com" TargetMode="External"/><Relationship Id="rId886" Type="http://schemas.openxmlformats.org/officeDocument/2006/relationships/hyperlink" Target="http://apps.apple.com" TargetMode="External"/><Relationship Id="rId401" Type="http://schemas.openxmlformats.org/officeDocument/2006/relationships/hyperlink" Target="https://books.google.com/books?id=EoEcEAAAQBAJ&amp;pg=PT3&amp;lpg=PT3&amp;dq=%D0%B2%D0%BA&amp;source=bl&amp;ots=EDc8QyxqTs&amp;sig=ACfU3U3dfoXYvlRCLe0VTwzuI9vGdWuZbQ&amp;hl=ru&amp;sa=X&amp;ved=2ahUKEwjdmLn6jbuCAxWZlYkEHf8EA4AQ6AF6BAgmEAM" TargetMode="External"/><Relationship Id="rId885" Type="http://schemas.openxmlformats.org/officeDocument/2006/relationships/hyperlink" Target="https://apps.apple.com/us/app/mail/id1108187098" TargetMode="External"/><Relationship Id="rId408" Type="http://schemas.openxmlformats.org/officeDocument/2006/relationships/hyperlink" Target="https://m.vk.com/" TargetMode="External"/><Relationship Id="rId407" Type="http://schemas.openxmlformats.org/officeDocument/2006/relationships/hyperlink" Target="https://education.vk.company/" TargetMode="External"/><Relationship Id="rId406" Type="http://schemas.openxmlformats.org/officeDocument/2006/relationships/hyperlink" Target="http://ru.wikipedia.org" TargetMode="External"/><Relationship Id="rId405" Type="http://schemas.openxmlformats.org/officeDocument/2006/relationships/hyperlink" Target="https://ru.wikipedia.org/wiki/VK_(%D0%BA%D0%BE%D0%BC%D0%BF%D0%B0%D0%BD%D0%B8%D1%8F)" TargetMode="External"/><Relationship Id="rId889" Type="http://schemas.openxmlformats.org/officeDocument/2006/relationships/hyperlink" Target="https://play.google.com/store/apps/details?id=ru.mail.mailapp&amp;hl=en_US" TargetMode="External"/><Relationship Id="rId880" Type="http://schemas.openxmlformats.org/officeDocument/2006/relationships/hyperlink" Target="http://mail.google.com" TargetMode="External"/><Relationship Id="rId1230" Type="http://schemas.openxmlformats.org/officeDocument/2006/relationships/hyperlink" Target="https://books.google.com/books?id=5yQ0EAAAQBAJ&amp;pg=PT32&amp;lpg=PT32&amp;dq=%D0%BF%D0%B5%D1%80%D0%B5%D0%B2%D0%BE%D0%B4%D1%87%D0%B8%D0%BA&amp;source=bl&amp;ots=oPMCxXi2Rq&amp;sig=ACfU3U2-C744uuEMKnOaS9FCXFcpmPOSZw&amp;hl=ru&amp;sa=X&amp;ved=2ahUKEwjZ0v6WiruCAxVakokEHVpXB38Q6AF6BAgbEAM" TargetMode="External"/><Relationship Id="rId400" Type="http://schemas.openxmlformats.org/officeDocument/2006/relationships/hyperlink" Target="http://books.google.com" TargetMode="External"/><Relationship Id="rId884" Type="http://schemas.openxmlformats.org/officeDocument/2006/relationships/hyperlink" Target="http://mail.yahoo.com" TargetMode="External"/><Relationship Id="rId1231" Type="http://schemas.openxmlformats.org/officeDocument/2006/relationships/hyperlink" Target="http://books.google.com" TargetMode="External"/><Relationship Id="rId883" Type="http://schemas.openxmlformats.org/officeDocument/2006/relationships/hyperlink" Target="https://mail.yahoo.com/" TargetMode="External"/><Relationship Id="rId1232" Type="http://schemas.openxmlformats.org/officeDocument/2006/relationships/hyperlink" Target="https://www.courts.state.md.us/sites/default/files/import/video/docs/tipsheetworkwithinterpreterrus.pdf" TargetMode="External"/><Relationship Id="rId882" Type="http://schemas.openxmlformats.org/officeDocument/2006/relationships/hyperlink" Target="http://www.mail.com" TargetMode="External"/><Relationship Id="rId1233" Type="http://schemas.openxmlformats.org/officeDocument/2006/relationships/hyperlink" Target="http://www.courts.state.md.us" TargetMode="External"/><Relationship Id="rId881" Type="http://schemas.openxmlformats.org/officeDocument/2006/relationships/hyperlink" Target="https://www.mail.com/" TargetMode="External"/><Relationship Id="rId1234" Type="http://schemas.openxmlformats.org/officeDocument/2006/relationships/hyperlink" Target="https://books.google.com/books?id=exR9DwAAQBAJ&amp;pg=PT225&amp;lpg=PT225&amp;dq=%D0%BF%D0%B5%D1%80%D0%B5%D0%B2%D0%BE%D0%B4%D1%87%D0%B8%D0%BA&amp;source=bl&amp;ots=CAoenf8a8Z&amp;sig=ACfU3U3JNWt12kgPooK8I2R5DC-X7gt0SQ&amp;hl=ru&amp;sa=X&amp;ved=2ahUKEwjZ0v6WiruCAxVakokEHVpXB38Q6AF6BAgcEAM" TargetMode="External"/><Relationship Id="rId1224" Type="http://schemas.openxmlformats.org/officeDocument/2006/relationships/hyperlink" Target="https://translate.meta.ua/" TargetMode="External"/><Relationship Id="rId1225" Type="http://schemas.openxmlformats.org/officeDocument/2006/relationships/hyperlink" Target="https://ru.wikipedia.org/wiki/wikt:%D0%BF%D0%B5%D1%80%D0%B5%D0%B2%D0%BE%D0%B4%D1%87%D0%B8%D0%BA" TargetMode="External"/><Relationship Id="rId1226" Type="http://schemas.openxmlformats.org/officeDocument/2006/relationships/hyperlink" Target="http://ru.wikipedia.org" TargetMode="External"/><Relationship Id="rId1227" Type="http://schemas.openxmlformats.org/officeDocument/2006/relationships/hyperlink" Target="https://www.bing.com/translator" TargetMode="External"/><Relationship Id="rId1228" Type="http://schemas.openxmlformats.org/officeDocument/2006/relationships/hyperlink" Target="http://www.bing.com" TargetMode="External"/><Relationship Id="rId1229" Type="http://schemas.openxmlformats.org/officeDocument/2006/relationships/hyperlink" Target="https://www.politicalasylumusa.com/ru/%D0%BF%D0%BE%D0%BB%D1%83%D1%87%D0%B5%D0%BD%D0%B8%D0%B5-%D1%83%D0%B1%D0%B5%D0%B6%D0%B8%D1%89%D0%B0-%D0%B0%D0%BC%D0%B5%D1%80%D0%B8%D0%BA%D0%B0/%D0%BF%D0%B5%D1%80%D0%B5%D0%B2%D0%BE%D0%B4%D1%87%D0%B8%D0%BA/" TargetMode="External"/><Relationship Id="rId877" Type="http://schemas.openxmlformats.org/officeDocument/2006/relationships/hyperlink" Target="https://mail.ru/" TargetMode="External"/><Relationship Id="rId876" Type="http://schemas.openxmlformats.org/officeDocument/2006/relationships/hyperlink" Target="http://www.cbr.ru" TargetMode="External"/><Relationship Id="rId875" Type="http://schemas.openxmlformats.org/officeDocument/2006/relationships/hyperlink" Target="https://www.cbr.ru/" TargetMode="External"/><Relationship Id="rId874" Type="http://schemas.openxmlformats.org/officeDocument/2006/relationships/hyperlink" Target="http://www.irs.gov" TargetMode="External"/><Relationship Id="rId879" Type="http://schemas.openxmlformats.org/officeDocument/2006/relationships/hyperlink" Target="https://mail.google.com/mail/u/0/" TargetMode="External"/><Relationship Id="rId878" Type="http://schemas.openxmlformats.org/officeDocument/2006/relationships/hyperlink" Target="http://mail.ru" TargetMode="External"/><Relationship Id="rId873" Type="http://schemas.openxmlformats.org/officeDocument/2006/relationships/hyperlink" Target="https://www.irs.gov/ru/individuals/international-taxpayers/yearly-average-currency-exchange-rates" TargetMode="External"/><Relationship Id="rId1220" Type="http://schemas.openxmlformats.org/officeDocument/2006/relationships/hyperlink" Target="https://play.google.com/store/apps/details?id=com.google.android.apps.translate&amp;hl=ru&amp;gl=US" TargetMode="External"/><Relationship Id="rId872" Type="http://schemas.openxmlformats.org/officeDocument/2006/relationships/hyperlink" Target="https://base.garant.ru/555501/" TargetMode="External"/><Relationship Id="rId1221" Type="http://schemas.openxmlformats.org/officeDocument/2006/relationships/hyperlink" Target="http://play.google.com" TargetMode="External"/><Relationship Id="rId871" Type="http://schemas.openxmlformats.org/officeDocument/2006/relationships/hyperlink" Target="http://minfin.com.ua" TargetMode="External"/><Relationship Id="rId1222" Type="http://schemas.openxmlformats.org/officeDocument/2006/relationships/hyperlink" Target="https://apps.apple.com/us/app/google-%D0%BF%D0%B5%D1%80%D0%B5%D0%B2%D0%BE%D0%B4%D1%87%D0%B8%D0%BA/id414706506?l=ru" TargetMode="External"/><Relationship Id="rId870" Type="http://schemas.openxmlformats.org/officeDocument/2006/relationships/hyperlink" Target="https://minfin.com.ua/currency/usd/" TargetMode="External"/><Relationship Id="rId1223" Type="http://schemas.openxmlformats.org/officeDocument/2006/relationships/hyperlink" Target="http://apps.apple.com" TargetMode="External"/><Relationship Id="rId1653" Type="http://schemas.openxmlformats.org/officeDocument/2006/relationships/hyperlink" Target="http://www.telegram.com" TargetMode="External"/><Relationship Id="rId1654" Type="http://schemas.openxmlformats.org/officeDocument/2006/relationships/hyperlink" Target="https://t.me/telegram" TargetMode="External"/><Relationship Id="rId1655" Type="http://schemas.openxmlformats.org/officeDocument/2006/relationships/hyperlink" Target="http://t.me" TargetMode="External"/><Relationship Id="rId1656" Type="http://schemas.openxmlformats.org/officeDocument/2006/relationships/hyperlink" Target="https://github.com/telegramdesktop/tdesktop" TargetMode="External"/><Relationship Id="rId1657" Type="http://schemas.openxmlformats.org/officeDocument/2006/relationships/hyperlink" Target="http://github.com" TargetMode="External"/><Relationship Id="rId1658" Type="http://schemas.openxmlformats.org/officeDocument/2006/relationships/hyperlink" Target="https://tlgrm.ru/" TargetMode="External"/><Relationship Id="rId1659" Type="http://schemas.openxmlformats.org/officeDocument/2006/relationships/hyperlink" Target="http://tlgrm.ru" TargetMode="External"/><Relationship Id="rId829" Type="http://schemas.openxmlformats.org/officeDocument/2006/relationships/hyperlink" Target="http://normativ.kontur.ru" TargetMode="External"/><Relationship Id="rId828" Type="http://schemas.openxmlformats.org/officeDocument/2006/relationships/hyperlink" Target="https://normativ.kontur.ru/calculators/vacation" TargetMode="External"/><Relationship Id="rId827" Type="http://schemas.openxmlformats.org/officeDocument/2006/relationships/hyperlink" Target="https://pecom.ru/services-are/shipping-request/" TargetMode="External"/><Relationship Id="rId822" Type="http://schemas.openxmlformats.org/officeDocument/2006/relationships/hyperlink" Target="https://apps.apple.com/ru/app/%D0%BA%D0%B0%D0%BB%D1%8C%D0%BA%D1%83%D0%BB%D1%8F%D1%82%D0%BE%D1%80/id1069511488" TargetMode="External"/><Relationship Id="rId821" Type="http://schemas.openxmlformats.org/officeDocument/2006/relationships/hyperlink" Target="http://apps.apple.com" TargetMode="External"/><Relationship Id="rId820" Type="http://schemas.openxmlformats.org/officeDocument/2006/relationships/hyperlink" Target="https://apps.apple.com/ru/app/%D0%BA%D0%B0%D0%BB%D1%8C%D0%BA%D1%83%D0%BB%D1%8F%D1%82%D0%BE%D1%80/id398129933" TargetMode="External"/><Relationship Id="rId826" Type="http://schemas.openxmlformats.org/officeDocument/2006/relationships/hyperlink" Target="http://fincult.info" TargetMode="External"/><Relationship Id="rId825" Type="http://schemas.openxmlformats.org/officeDocument/2006/relationships/hyperlink" Target="https://fincult.info/calc/deposit/" TargetMode="External"/><Relationship Id="rId824" Type="http://schemas.openxmlformats.org/officeDocument/2006/relationships/hyperlink" Target="http://www.gosuslugi.ru/325191/1" TargetMode="External"/><Relationship Id="rId823" Type="http://schemas.openxmlformats.org/officeDocument/2006/relationships/hyperlink" Target="http://apps.apple.com" TargetMode="External"/><Relationship Id="rId1650" Type="http://schemas.openxmlformats.org/officeDocument/2006/relationships/hyperlink" Target="https://webogram.org/" TargetMode="External"/><Relationship Id="rId1651" Type="http://schemas.openxmlformats.org/officeDocument/2006/relationships/hyperlink" Target="http://webogram.org" TargetMode="External"/><Relationship Id="rId1652" Type="http://schemas.openxmlformats.org/officeDocument/2006/relationships/hyperlink" Target="https://www.telegram.com/" TargetMode="External"/><Relationship Id="rId1642" Type="http://schemas.openxmlformats.org/officeDocument/2006/relationships/hyperlink" Target="https://apps.apple.com/us/app/telegram-messenger/id686449807" TargetMode="External"/><Relationship Id="rId1643" Type="http://schemas.openxmlformats.org/officeDocument/2006/relationships/hyperlink" Target="http://apps.apple.com" TargetMode="External"/><Relationship Id="rId1644" Type="http://schemas.openxmlformats.org/officeDocument/2006/relationships/hyperlink" Target="https://play.google.com/store/apps/details?id=org.telegram.messenger&amp;hl=ru&amp;gl=US" TargetMode="External"/><Relationship Id="rId1645" Type="http://schemas.openxmlformats.org/officeDocument/2006/relationships/hyperlink" Target="http://play.google.com" TargetMode="External"/><Relationship Id="rId1646" Type="http://schemas.openxmlformats.org/officeDocument/2006/relationships/hyperlink" Target="https://ru.wikipedia.org/wiki/Telegram" TargetMode="External"/><Relationship Id="rId1647" Type="http://schemas.openxmlformats.org/officeDocument/2006/relationships/hyperlink" Target="http://ru.wikipedia.org" TargetMode="External"/><Relationship Id="rId1648" Type="http://schemas.openxmlformats.org/officeDocument/2006/relationships/hyperlink" Target="https://xn--80affa3aj0al.xn--80asehdb/" TargetMode="External"/><Relationship Id="rId1649" Type="http://schemas.openxmlformats.org/officeDocument/2006/relationships/hyperlink" Target="https://web.tlgrm.app/" TargetMode="External"/><Relationship Id="rId819" Type="http://schemas.openxmlformats.org/officeDocument/2006/relationships/hyperlink" Target="http://www.online-calculator.com" TargetMode="External"/><Relationship Id="rId818" Type="http://schemas.openxmlformats.org/officeDocument/2006/relationships/hyperlink" Target="https://www.online-calculator.com/" TargetMode="External"/><Relationship Id="rId817" Type="http://schemas.openxmlformats.org/officeDocument/2006/relationships/hyperlink" Target="http://www.calc.ru" TargetMode="External"/><Relationship Id="rId816" Type="http://schemas.openxmlformats.org/officeDocument/2006/relationships/hyperlink" Target="https://www.calc.ru/" TargetMode="External"/><Relationship Id="rId811" Type="http://schemas.openxmlformats.org/officeDocument/2006/relationships/hyperlink" Target="https://www.gosuslugi.ru/325191/1/form" TargetMode="External"/><Relationship Id="rId810" Type="http://schemas.openxmlformats.org/officeDocument/2006/relationships/hyperlink" Target="http://calculators-online.ru" TargetMode="External"/><Relationship Id="rId815" Type="http://schemas.openxmlformats.org/officeDocument/2006/relationships/hyperlink" Target="https://www.vseinstrumenti.ru/category/kalkulyatory-169736/" TargetMode="External"/><Relationship Id="rId814" Type="http://schemas.openxmlformats.org/officeDocument/2006/relationships/hyperlink" Target="http://exprint.info" TargetMode="External"/><Relationship Id="rId813" Type="http://schemas.openxmlformats.org/officeDocument/2006/relationships/hyperlink" Target="https://exprint.info/calc" TargetMode="External"/><Relationship Id="rId812" Type="http://schemas.openxmlformats.org/officeDocument/2006/relationships/hyperlink" Target="http://www.gosuslugi.ru" TargetMode="External"/><Relationship Id="rId1640" Type="http://schemas.openxmlformats.org/officeDocument/2006/relationships/hyperlink" Target="https://play.google.com/store/apps/details?id=org.telegram.messenger&amp;hl=en_US" TargetMode="External"/><Relationship Id="rId1641" Type="http://schemas.openxmlformats.org/officeDocument/2006/relationships/hyperlink" Target="http://play.google.com" TargetMode="External"/><Relationship Id="rId1675" Type="http://schemas.openxmlformats.org/officeDocument/2006/relationships/hyperlink" Target="https://www.ivi.ru/watch/498269" TargetMode="External"/><Relationship Id="rId1676" Type="http://schemas.openxmlformats.org/officeDocument/2006/relationships/hyperlink" Target="http://www.ivi.ru" TargetMode="External"/><Relationship Id="rId1677" Type="http://schemas.openxmlformats.org/officeDocument/2006/relationships/hyperlink" Target="https://www.afisha.ru/movie/cheburashka-269634/" TargetMode="External"/><Relationship Id="rId1678" Type="http://schemas.openxmlformats.org/officeDocument/2006/relationships/hyperlink" Target="http://www.afisha.ru" TargetMode="External"/><Relationship Id="rId1679" Type="http://schemas.openxmlformats.org/officeDocument/2006/relationships/hyperlink" Target="https://okko.tv/movie/cheburashka-93168361" TargetMode="External"/><Relationship Id="rId849" Type="http://schemas.openxmlformats.org/officeDocument/2006/relationships/hyperlink" Target="https://1prime.ru/charts_usd_cb/" TargetMode="External"/><Relationship Id="rId844" Type="http://schemas.openxmlformats.org/officeDocument/2006/relationships/hyperlink" Target="http://books.google.com" TargetMode="External"/><Relationship Id="rId843" Type="http://schemas.openxmlformats.org/officeDocument/2006/relationships/hyperlink" Target="https://books.google.com/books?id=n9JzDgAAQBAJ&amp;pg=PT24&amp;lpg=PT24&amp;dq=%D0%BA%D0%B0%D0%BB%D1%8C%D0%BA%D1%83%D0%BB%D1%8F%D1%82%D0%BE%D1%80&amp;source=bl&amp;ots=FZK5V0U6wO&amp;sig=ACfU3U2Grph_TfeTM3MnLNsnULfgNd2oRw&amp;hl=ru&amp;sa=X&amp;ved=2ahUKEwiAmISBkLuCAxVZjYkEHZgLA_0Q6AF6BAhEEAM" TargetMode="External"/><Relationship Id="rId842" Type="http://schemas.openxmlformats.org/officeDocument/2006/relationships/hyperlink" Target="http://chrome.google.com" TargetMode="External"/><Relationship Id="rId841" Type="http://schemas.openxmlformats.org/officeDocument/2006/relationships/hyperlink" Target="https://chrome.google.com/webstore/detail/%D0%BA%D0%B0%D0%BB%D1%8C%D0%BA%D1%83%D0%BB%D1%8F%D1%82%D0%BE%D1%80/gminfkdpejmfkjnelbapfofhkpkomcap" TargetMode="External"/><Relationship Id="rId848" Type="http://schemas.openxmlformats.org/officeDocument/2006/relationships/hyperlink" Target="http://www.profinance.ru" TargetMode="External"/><Relationship Id="rId847" Type="http://schemas.openxmlformats.org/officeDocument/2006/relationships/hyperlink" Target="https://www.profinance.ru/currency_usd.asp" TargetMode="External"/><Relationship Id="rId846" Type="http://schemas.openxmlformats.org/officeDocument/2006/relationships/hyperlink" Target="https://finance.rambler.ru/currencies/USD/" TargetMode="External"/><Relationship Id="rId845" Type="http://schemas.openxmlformats.org/officeDocument/2006/relationships/hyperlink" Target="https://www.banki.ru/products/currency/usd/" TargetMode="External"/><Relationship Id="rId1670" Type="http://schemas.openxmlformats.org/officeDocument/2006/relationships/hyperlink" Target="http://www.kinopoisk.ru" TargetMode="External"/><Relationship Id="rId840" Type="http://schemas.openxmlformats.org/officeDocument/2006/relationships/hyperlink" Target="http://www.vtb.ru" TargetMode="External"/><Relationship Id="rId1671" Type="http://schemas.openxmlformats.org/officeDocument/2006/relationships/hyperlink" Target="https://ru.wikipedia.org/wiki/%D0%A7%D0%B5%D0%B1%D1%83%D1%80%D0%B0%D1%88%D0%BA%D0%B0" TargetMode="External"/><Relationship Id="rId1672" Type="http://schemas.openxmlformats.org/officeDocument/2006/relationships/hyperlink" Target="http://ru.wikipedia.org" TargetMode="External"/><Relationship Id="rId1673" Type="http://schemas.openxmlformats.org/officeDocument/2006/relationships/hyperlink" Target="https://ru.wikipedia.org/wiki/%D0%A7%D0%B5%D0%B1%D1%83%D1%80%D0%B0%D1%88%D0%BA%D0%B0_(%D1%84%D0%B8%D0%BB%D1%8C%D0%BC)" TargetMode="External"/><Relationship Id="rId1674" Type="http://schemas.openxmlformats.org/officeDocument/2006/relationships/hyperlink" Target="http://ru.wikipedia.org" TargetMode="External"/><Relationship Id="rId1664" Type="http://schemas.openxmlformats.org/officeDocument/2006/relationships/hyperlink" Target="http://www.linkedin.com" TargetMode="External"/><Relationship Id="rId1665" Type="http://schemas.openxmlformats.org/officeDocument/2006/relationships/hyperlink" Target="https://books.google.com/books?id=uS1YEAAAQBAJ&amp;pg=PT14&amp;lpg=PT14&amp;dq=%D1%82%D0%B5%D0%BB%D0%B5%D0%B3%D1%80%D0%B0%D0%BC&amp;source=bl&amp;ots=KxwM5UEgzN&amp;sig=ACfU3U1LiWCnOWWzptcqiYh3x84Q1xedrg&amp;hl=ru&amp;sa=X&amp;ved=2ahUKEwiHhOG3kLuCAxWCtokEHekzBQkQ6AF6BAhREAM" TargetMode="External"/><Relationship Id="rId1666" Type="http://schemas.openxmlformats.org/officeDocument/2006/relationships/hyperlink" Target="http://books.google.com" TargetMode="External"/><Relationship Id="rId1667" Type="http://schemas.openxmlformats.org/officeDocument/2006/relationships/hyperlink" Target="https://nsarchive2.gwu.edu/coldwar/documents/episode-1/kennan.htm" TargetMode="External"/><Relationship Id="rId1668" Type="http://schemas.openxmlformats.org/officeDocument/2006/relationships/hyperlink" Target="http://nsarchive2.gwu.edu" TargetMode="External"/><Relationship Id="rId1669" Type="http://schemas.openxmlformats.org/officeDocument/2006/relationships/hyperlink" Target="https://www.kinopoisk.ru/film/4370148/" TargetMode="External"/><Relationship Id="rId839" Type="http://schemas.openxmlformats.org/officeDocument/2006/relationships/hyperlink" Target="https://www.vtb.ru/personal/ipoteka/ipotechnyj-kalkulyator/" TargetMode="External"/><Relationship Id="rId838" Type="http://schemas.openxmlformats.org/officeDocument/2006/relationships/hyperlink" Target="http://www.calculator.net" TargetMode="External"/><Relationship Id="rId833" Type="http://schemas.openxmlformats.org/officeDocument/2006/relationships/hyperlink" Target="http://books.google.com" TargetMode="External"/><Relationship Id="rId832" Type="http://schemas.openxmlformats.org/officeDocument/2006/relationships/hyperlink" Target="https://books.google.com/books?id=SYvMAAAAQBAJ&amp;pg=PT283&amp;lpg=PT283&amp;dq=%D0%BA%D0%B0%D0%BB%D1%8C%D0%BA%D1%83%D0%BB%D1%8F%D1%82%D0%BE%D1%80&amp;source=bl&amp;ots=_8Tio77P7n&amp;sig=ACfU3U1_ECvfd1BA-OGKWO_or6ia3FM9QQ&amp;hl=ru&amp;sa=X&amp;ved=2ahUKEwicv6W7jLuCAxVsmIkEHZmXAbAQ6AF6BAg6EAM" TargetMode="External"/><Relationship Id="rId831" Type="http://schemas.openxmlformats.org/officeDocument/2006/relationships/hyperlink" Target="http://books.google.com" TargetMode="External"/><Relationship Id="rId830" Type="http://schemas.openxmlformats.org/officeDocument/2006/relationships/hyperlink" Target="https://books.google.com/books?id=n9JzDgAAQBAJ&amp;pg=PT24&amp;lpg=PT24&amp;dq=%D0%BA%D0%B0%D0%BB%D1%8C%D0%BA%D1%83%D0%BB%D1%8F%D1%82%D0%BE%D1%80&amp;source=bl&amp;ots=FZK5V0T7rM&amp;sig=ACfU3U0yXivmzg8j8fw4gBJfxoMiGoTofQ&amp;hl=ru&amp;sa=X&amp;ved=2ahUKEwicv6W7jLuCAxVsmIkEHZmXAbAQ6AF6BAg7EAM" TargetMode="External"/><Relationship Id="rId837" Type="http://schemas.openxmlformats.org/officeDocument/2006/relationships/hyperlink" Target="https://www.calculator.net/" TargetMode="External"/><Relationship Id="rId836" Type="http://schemas.openxmlformats.org/officeDocument/2006/relationships/hyperlink" Target="http://fincalculator.ru" TargetMode="External"/><Relationship Id="rId835" Type="http://schemas.openxmlformats.org/officeDocument/2006/relationships/hyperlink" Target="https://fincalculator.ru/" TargetMode="External"/><Relationship Id="rId834" Type="http://schemas.openxmlformats.org/officeDocument/2006/relationships/hyperlink" Target="https://www.sodra.lt/ru/calculators" TargetMode="External"/><Relationship Id="rId1660" Type="http://schemas.openxmlformats.org/officeDocument/2006/relationships/hyperlink" Target="https://www.star-telegram.com/" TargetMode="External"/><Relationship Id="rId1661" Type="http://schemas.openxmlformats.org/officeDocument/2006/relationships/hyperlink" Target="https://www.presstelegram.com/" TargetMode="External"/><Relationship Id="rId1662" Type="http://schemas.openxmlformats.org/officeDocument/2006/relationships/hyperlink" Target="http://www.presstelegram.com" TargetMode="External"/><Relationship Id="rId1663" Type="http://schemas.openxmlformats.org/officeDocument/2006/relationships/hyperlink" Target="https://www.linkedin.com/company/telegram-messenger" TargetMode="External"/><Relationship Id="rId469" Type="http://schemas.openxmlformats.org/officeDocument/2006/relationships/hyperlink" Target="https://megaresheba.ru/" TargetMode="External"/><Relationship Id="rId468" Type="http://schemas.openxmlformats.org/officeDocument/2006/relationships/hyperlink" Target="http://gdz.fm" TargetMode="External"/><Relationship Id="rId467" Type="http://schemas.openxmlformats.org/officeDocument/2006/relationships/hyperlink" Target="https://gdz.fm/" TargetMode="External"/><Relationship Id="rId1290" Type="http://schemas.openxmlformats.org/officeDocument/2006/relationships/hyperlink" Target="https://www.gismeteo.ru/weather-novorossysk-5214/" TargetMode="External"/><Relationship Id="rId1291" Type="http://schemas.openxmlformats.org/officeDocument/2006/relationships/hyperlink" Target="http://www.gismeteo.ru" TargetMode="External"/><Relationship Id="rId1292" Type="http://schemas.openxmlformats.org/officeDocument/2006/relationships/hyperlink" Target="https://meteoinfo.ru/" TargetMode="External"/><Relationship Id="rId462" Type="http://schemas.openxmlformats.org/officeDocument/2006/relationships/hyperlink" Target="https://books.google.com/books?id=uf0UEAAAQBAJ&amp;pg=PP1&amp;lpg=PP1&amp;dq=%D0%B2%D0%BA%D0%BE%D0%BD%D1%82%D0%B0%D0%BA%D1%82%D0%B5&amp;source=bl&amp;ots=hZxIs89r_V&amp;sig=ACfU3U1khgnkrwLDs7pAQnGS1b3-_iA3zA&amp;hl=ru&amp;sa=X&amp;ved=2ahUKEwjPl9LJkLuCAxUmkYkEHVT0BykQ6AF6BAhcEAM" TargetMode="External"/><Relationship Id="rId1293" Type="http://schemas.openxmlformats.org/officeDocument/2006/relationships/hyperlink" Target="http://meteoinfo.ru" TargetMode="External"/><Relationship Id="rId461" Type="http://schemas.openxmlformats.org/officeDocument/2006/relationships/hyperlink" Target="http://books.google.com" TargetMode="External"/><Relationship Id="rId1294" Type="http://schemas.openxmlformats.org/officeDocument/2006/relationships/hyperlink" Target="https://weather.rambler.ru/" TargetMode="External"/><Relationship Id="rId460" Type="http://schemas.openxmlformats.org/officeDocument/2006/relationships/hyperlink" Target="https://books.google.com/books?id=geX3zaFHfpIC&amp;pg=PA8&amp;lpg=PA8&amp;dq=%D0%B2%D0%BA%D0%BE%D0%BD%D1%82%D0%B0%D0%BA%D1%82%D0%B5&amp;source=bl&amp;ots=t-YpedatQI&amp;sig=ACfU3U1OFyHHJSFUyyGEziIMp3UMd4XNJA&amp;hl=ru&amp;sa=X&amp;ved=2ahUKEwjPl9LJkLuCAxUmkYkEHVT0BykQ6AF6BAhbEAM" TargetMode="External"/><Relationship Id="rId1295" Type="http://schemas.openxmlformats.org/officeDocument/2006/relationships/hyperlink" Target="http://weather.rambler.ru" TargetMode="External"/><Relationship Id="rId1296" Type="http://schemas.openxmlformats.org/officeDocument/2006/relationships/hyperlink" Target="https://www.pogoda.com/" TargetMode="External"/><Relationship Id="rId466" Type="http://schemas.openxmlformats.org/officeDocument/2006/relationships/hyperlink" Target="https://gdz.ru/" TargetMode="External"/><Relationship Id="rId1297" Type="http://schemas.openxmlformats.org/officeDocument/2006/relationships/hyperlink" Target="http://www.pogoda.com" TargetMode="External"/><Relationship Id="rId465" Type="http://schemas.openxmlformats.org/officeDocument/2006/relationships/hyperlink" Target="http://ngs.ru" TargetMode="External"/><Relationship Id="rId1298" Type="http://schemas.openxmlformats.org/officeDocument/2006/relationships/hyperlink" Target="https://world-weather.ru/pogoda/russia/sochi/" TargetMode="External"/><Relationship Id="rId464" Type="http://schemas.openxmlformats.org/officeDocument/2006/relationships/hyperlink" Target="https://ngs.ru/text/gorod/2023/11/08/72891146/" TargetMode="External"/><Relationship Id="rId1299" Type="http://schemas.openxmlformats.org/officeDocument/2006/relationships/hyperlink" Target="https://world-weather.ru/pogoda/russia/moscow/" TargetMode="External"/><Relationship Id="rId463" Type="http://schemas.openxmlformats.org/officeDocument/2006/relationships/hyperlink" Target="http://books.google.com" TargetMode="External"/><Relationship Id="rId459" Type="http://schemas.openxmlformats.org/officeDocument/2006/relationships/hyperlink" Target="http://books.google.com" TargetMode="External"/><Relationship Id="rId458" Type="http://schemas.openxmlformats.org/officeDocument/2006/relationships/hyperlink" Target="https://books.google.com/books?id=iXcDDAAAQBAJ&amp;pg=PA214&amp;lpg=PA214&amp;dq=%D0%B2%D0%BA%D0%BE%D0%BD%D1%82%D0%B0%D0%BA%D1%82%D0%B5&amp;source=bl&amp;ots=TziDPWZt5H&amp;sig=ACfU3U0FGgfnlJNXt1jJ8sj7o3sGPWRMwQ&amp;hl=ru&amp;sa=X&amp;ved=2ahUKEwjPl9LJkLuCAxUmkYkEHVT0BykQ6AF6BAgKEAM" TargetMode="External"/><Relationship Id="rId457" Type="http://schemas.openxmlformats.org/officeDocument/2006/relationships/hyperlink" Target="https://www.crunchbase.com/organization/vk" TargetMode="External"/><Relationship Id="rId456" Type="http://schemas.openxmlformats.org/officeDocument/2006/relationships/hyperlink" Target="http://www.facebook.com" TargetMode="External"/><Relationship Id="rId1280" Type="http://schemas.openxmlformats.org/officeDocument/2006/relationships/hyperlink" Target="https://www.gismeteo.ru/weather-yekaterinburg-4517/10-days/" TargetMode="External"/><Relationship Id="rId1281" Type="http://schemas.openxmlformats.org/officeDocument/2006/relationships/hyperlink" Target="http://www.gismeteo.ru" TargetMode="External"/><Relationship Id="rId451" Type="http://schemas.openxmlformats.org/officeDocument/2006/relationships/hyperlink" Target="https://apps.apple.com/us/app/vk-social-network-messenger/id564177498" TargetMode="External"/><Relationship Id="rId1282" Type="http://schemas.openxmlformats.org/officeDocument/2006/relationships/hyperlink" Target="https://www.gismeteo.ru/weather-yekaterinburg-4517/" TargetMode="External"/><Relationship Id="rId450" Type="http://schemas.openxmlformats.org/officeDocument/2006/relationships/hyperlink" Target="http://play.google.com" TargetMode="External"/><Relationship Id="rId1283" Type="http://schemas.openxmlformats.org/officeDocument/2006/relationships/hyperlink" Target="http://www.gismeteo.ru" TargetMode="External"/><Relationship Id="rId1284" Type="http://schemas.openxmlformats.org/officeDocument/2006/relationships/hyperlink" Target="https://www.gismeteo.ru/weather-ulan-ude-4804/" TargetMode="External"/><Relationship Id="rId1285" Type="http://schemas.openxmlformats.org/officeDocument/2006/relationships/hyperlink" Target="http://www.gismeteo.ru" TargetMode="External"/><Relationship Id="rId455" Type="http://schemas.openxmlformats.org/officeDocument/2006/relationships/hyperlink" Target="https://www.facebook.com/vkcomteam/" TargetMode="External"/><Relationship Id="rId1286" Type="http://schemas.openxmlformats.org/officeDocument/2006/relationships/hyperlink" Target="https://www.gismeteo.ru/weather-ivanovo-4318/" TargetMode="External"/><Relationship Id="rId454" Type="http://schemas.openxmlformats.org/officeDocument/2006/relationships/hyperlink" Target="http://en.wikipedia.org" TargetMode="External"/><Relationship Id="rId1287" Type="http://schemas.openxmlformats.org/officeDocument/2006/relationships/hyperlink" Target="http://www.gismeteo.ru" TargetMode="External"/><Relationship Id="rId453" Type="http://schemas.openxmlformats.org/officeDocument/2006/relationships/hyperlink" Target="https://en.wikipedia.org/wiki/VK_(service)" TargetMode="External"/><Relationship Id="rId1288" Type="http://schemas.openxmlformats.org/officeDocument/2006/relationships/hyperlink" Target="https://pogoda.mail.ru/prognoz/moskva/" TargetMode="External"/><Relationship Id="rId452" Type="http://schemas.openxmlformats.org/officeDocument/2006/relationships/hyperlink" Target="http://apps.apple.com" TargetMode="External"/><Relationship Id="rId1289" Type="http://schemas.openxmlformats.org/officeDocument/2006/relationships/hyperlink" Target="http://pogoda.mail.ru" TargetMode="External"/><Relationship Id="rId491" Type="http://schemas.openxmlformats.org/officeDocument/2006/relationships/hyperlink" Target="https://megashpora.com/" TargetMode="External"/><Relationship Id="rId490" Type="http://schemas.openxmlformats.org/officeDocument/2006/relationships/hyperlink" Target="https://reshutka.ru/" TargetMode="External"/><Relationship Id="rId489" Type="http://schemas.openxmlformats.org/officeDocument/2006/relationships/hyperlink" Target="http://gdzbezmoroki.com" TargetMode="External"/><Relationship Id="rId484" Type="http://schemas.openxmlformats.org/officeDocument/2006/relationships/hyperlink" Target="http://vk.com" TargetMode="External"/><Relationship Id="rId483" Type="http://schemas.openxmlformats.org/officeDocument/2006/relationships/hyperlink" Target="https://vk.com/reshebnik" TargetMode="External"/><Relationship Id="rId482" Type="http://schemas.openxmlformats.org/officeDocument/2006/relationships/hyperlink" Target="http://play.google.com" TargetMode="External"/><Relationship Id="rId481" Type="http://schemas.openxmlformats.org/officeDocument/2006/relationships/hyperlink" Target="https://play.google.com/store/apps/details?id=skyeng.skysmart.solutions&amp;hl=ru&amp;gl=US" TargetMode="External"/><Relationship Id="rId488" Type="http://schemas.openxmlformats.org/officeDocument/2006/relationships/hyperlink" Target="https://gdzbezmoroki.com/" TargetMode="External"/><Relationship Id="rId487" Type="http://schemas.openxmlformats.org/officeDocument/2006/relationships/hyperlink" Target="http://reshebnik.com" TargetMode="External"/><Relationship Id="rId486" Type="http://schemas.openxmlformats.org/officeDocument/2006/relationships/hyperlink" Target="https://reshebnik.com/" TargetMode="External"/><Relationship Id="rId485" Type="http://schemas.openxmlformats.org/officeDocument/2006/relationships/hyperlink" Target="https://gdz.pub/" TargetMode="External"/><Relationship Id="rId480" Type="http://schemas.openxmlformats.org/officeDocument/2006/relationships/hyperlink" Target="https://gdz.ltd/" TargetMode="External"/><Relationship Id="rId479" Type="http://schemas.openxmlformats.org/officeDocument/2006/relationships/hyperlink" Target="http://play.google.com" TargetMode="External"/><Relationship Id="rId478" Type="http://schemas.openxmlformats.org/officeDocument/2006/relationships/hyperlink" Target="https://play.google.com/store/apps/details?id=com.gdz_ru&amp;hl=ru&amp;gl=US" TargetMode="External"/><Relationship Id="rId473" Type="http://schemas.openxmlformats.org/officeDocument/2006/relationships/hyperlink" Target="https://pomogalka.me/" TargetMode="External"/><Relationship Id="rId472" Type="http://schemas.openxmlformats.org/officeDocument/2006/relationships/hyperlink" Target="https://xn--c1acj.xn--p1ai/" TargetMode="External"/><Relationship Id="rId471" Type="http://schemas.openxmlformats.org/officeDocument/2006/relationships/hyperlink" Target="https://reshak.ru/" TargetMode="External"/><Relationship Id="rId470" Type="http://schemas.openxmlformats.org/officeDocument/2006/relationships/hyperlink" Target="http://megaresheba.ru" TargetMode="External"/><Relationship Id="rId477" Type="http://schemas.openxmlformats.org/officeDocument/2006/relationships/hyperlink" Target="http://www.euroki.org" TargetMode="External"/><Relationship Id="rId476" Type="http://schemas.openxmlformats.org/officeDocument/2006/relationships/hyperlink" Target="https://www.euroki.org/" TargetMode="External"/><Relationship Id="rId475" Type="http://schemas.openxmlformats.org/officeDocument/2006/relationships/hyperlink" Target="http://resh.skysmart.ru" TargetMode="External"/><Relationship Id="rId474" Type="http://schemas.openxmlformats.org/officeDocument/2006/relationships/hyperlink" Target="https://resh.skysmart.ru/" TargetMode="External"/><Relationship Id="rId1257" Type="http://schemas.openxmlformats.org/officeDocument/2006/relationships/hyperlink" Target="http://www.gismeteo.ru" TargetMode="External"/><Relationship Id="rId1258" Type="http://schemas.openxmlformats.org/officeDocument/2006/relationships/hyperlink" Target="https://www.gismeteo.ru/weather-sankt-peterburg-4079/" TargetMode="External"/><Relationship Id="rId1259" Type="http://schemas.openxmlformats.org/officeDocument/2006/relationships/hyperlink" Target="http://www.gismeteo.ru" TargetMode="External"/><Relationship Id="rId426" Type="http://schemas.openxmlformats.org/officeDocument/2006/relationships/hyperlink" Target="http://books.google.ru" TargetMode="External"/><Relationship Id="rId425" Type="http://schemas.openxmlformats.org/officeDocument/2006/relationships/hyperlink" Target="https://books.google.ru/books?id=o9IeEAAAQBAJ&amp;pg=PT65&amp;lpg=PT65&amp;dq=%D0%B2%D0%BA%D0%BE%D0%BD%D1%82%D0%B0%D0%BA%D1%82%D0%B5&amp;source=bl&amp;ots=u-Eh1_FqgI&amp;sig=ACfU3U1kVlJvxNLsN6tuPdM326mNg6tTVQ&amp;hl=ru&amp;sa=X&amp;ved=2ahUKEwj35-n8pr2CAxWYIDQIHZUEDmYQ6AF6BAg3EAM" TargetMode="External"/><Relationship Id="rId424" Type="http://schemas.openxmlformats.org/officeDocument/2006/relationships/hyperlink" Target="https://vk.company/" TargetMode="External"/><Relationship Id="rId423" Type="http://schemas.openxmlformats.org/officeDocument/2006/relationships/hyperlink" Target="http://whoiswho.dp.ru" TargetMode="External"/><Relationship Id="rId429" Type="http://schemas.openxmlformats.org/officeDocument/2006/relationships/hyperlink" Target="https://rb.ru/tag/vk/" TargetMode="External"/><Relationship Id="rId428" Type="http://schemas.openxmlformats.org/officeDocument/2006/relationships/hyperlink" Target="http://www.m.vk.ru/" TargetMode="External"/><Relationship Id="rId427" Type="http://schemas.openxmlformats.org/officeDocument/2006/relationships/hyperlink" Target="http://www.m.vk.ru/" TargetMode="External"/><Relationship Id="rId1250" Type="http://schemas.openxmlformats.org/officeDocument/2006/relationships/hyperlink" Target="https://www.gismeteo.ru/weather-naberezhnye-chelny-4534/" TargetMode="External"/><Relationship Id="rId1251" Type="http://schemas.openxmlformats.org/officeDocument/2006/relationships/hyperlink" Target="http://www.gismeteo.ru" TargetMode="External"/><Relationship Id="rId1252" Type="http://schemas.openxmlformats.org/officeDocument/2006/relationships/hyperlink" Target="https://www.gismeteo.ru/weather-krasnodar-5136/" TargetMode="External"/><Relationship Id="rId422" Type="http://schemas.openxmlformats.org/officeDocument/2006/relationships/hyperlink" Target="https://whoiswho.dp.ru/cart/company/2888981" TargetMode="External"/><Relationship Id="rId1253" Type="http://schemas.openxmlformats.org/officeDocument/2006/relationships/hyperlink" Target="http://www.gismeteo.ru" TargetMode="External"/><Relationship Id="rId421" Type="http://schemas.openxmlformats.org/officeDocument/2006/relationships/hyperlink" Target="https://ria.ru/product_VKontakte/" TargetMode="External"/><Relationship Id="rId1254" Type="http://schemas.openxmlformats.org/officeDocument/2006/relationships/hyperlink" Target="https://www.gismeteo.ru/weather-ulyanovsk-4407/" TargetMode="External"/><Relationship Id="rId420" Type="http://schemas.openxmlformats.org/officeDocument/2006/relationships/hyperlink" Target="http://vk.me" TargetMode="External"/><Relationship Id="rId1255" Type="http://schemas.openxmlformats.org/officeDocument/2006/relationships/hyperlink" Target="http://www.gismeteo.ru" TargetMode="External"/><Relationship Id="rId1256" Type="http://schemas.openxmlformats.org/officeDocument/2006/relationships/hyperlink" Target="https://www.gismeteo.ru/weather-tambov-4440/" TargetMode="External"/><Relationship Id="rId1246" Type="http://schemas.openxmlformats.org/officeDocument/2006/relationships/hyperlink" Target="https://yandex.ru/pogoda/mountain-view" TargetMode="External"/><Relationship Id="rId1247" Type="http://schemas.openxmlformats.org/officeDocument/2006/relationships/hyperlink" Target="http://yandex.ru" TargetMode="External"/><Relationship Id="rId1248" Type="http://schemas.openxmlformats.org/officeDocument/2006/relationships/hyperlink" Target="https://www.gismeteo.ru/" TargetMode="External"/><Relationship Id="rId1249" Type="http://schemas.openxmlformats.org/officeDocument/2006/relationships/hyperlink" Target="http://www.gismeteo.ru" TargetMode="External"/><Relationship Id="rId415" Type="http://schemas.openxmlformats.org/officeDocument/2006/relationships/hyperlink" Target="http://apps.apple.com" TargetMode="External"/><Relationship Id="rId899" Type="http://schemas.openxmlformats.org/officeDocument/2006/relationships/hyperlink" Target="https://www.icloud.com/mail" TargetMode="External"/><Relationship Id="rId414" Type="http://schemas.openxmlformats.org/officeDocument/2006/relationships/hyperlink" Target="https://apps.apple.com/ru/app/%D0%B2%D0%BA%D0%BE%D0%BD%D1%82%D0%B0%D0%BA%D1%82%D0%B5-%D1%81%D0%BE%D0%BE%D0%B1%D1%89%D0%B5%D0%BD%D0%B8%D1%8F-%D0%B2%D0%B8%D0%B4%D0%B5%D0%BE%D1%87%D0%B0%D1%82/id564177498" TargetMode="External"/><Relationship Id="rId898" Type="http://schemas.openxmlformats.org/officeDocument/2006/relationships/hyperlink" Target="http://mail.yandex.ru" TargetMode="External"/><Relationship Id="rId413" Type="http://schemas.openxmlformats.org/officeDocument/2006/relationships/hyperlink" Target="http://ru.wikipedia.org" TargetMode="External"/><Relationship Id="rId897" Type="http://schemas.openxmlformats.org/officeDocument/2006/relationships/hyperlink" Target="https://mail.yandex.ru/" TargetMode="External"/><Relationship Id="rId412" Type="http://schemas.openxmlformats.org/officeDocument/2006/relationships/hyperlink" Target="https://ru.wikipedia.org/wiki/%D0%92%D0%9A%D0%BE%D0%BD%D1%82%D0%B0%D0%BA%D1%82%D0%B5" TargetMode="External"/><Relationship Id="rId896" Type="http://schemas.openxmlformats.org/officeDocument/2006/relationships/hyperlink" Target="http://mailchimp.com" TargetMode="External"/><Relationship Id="rId419" Type="http://schemas.openxmlformats.org/officeDocument/2006/relationships/hyperlink" Target="https://vk.me/app" TargetMode="External"/><Relationship Id="rId418" Type="http://schemas.openxmlformats.org/officeDocument/2006/relationships/hyperlink" Target="http://twitter.com" TargetMode="External"/><Relationship Id="rId417" Type="http://schemas.openxmlformats.org/officeDocument/2006/relationships/hyperlink" Target="https://twitter.com/vkontakte?lang=ru" TargetMode="External"/><Relationship Id="rId416" Type="http://schemas.openxmlformats.org/officeDocument/2006/relationships/hyperlink" Target="https://trk.mail.ru/c/xyn8o1?mt_campaign=mainvkmail_ok&amp;mt_adset=&amp;mt_network=1" TargetMode="External"/><Relationship Id="rId891" Type="http://schemas.openxmlformats.org/officeDocument/2006/relationships/hyperlink" Target="https://mail.aol.com/" TargetMode="External"/><Relationship Id="rId890" Type="http://schemas.openxmlformats.org/officeDocument/2006/relationships/hyperlink" Target="http://play.google.com" TargetMode="External"/><Relationship Id="rId1240" Type="http://schemas.openxmlformats.org/officeDocument/2006/relationships/hyperlink" Target="https://books.google.com/books?id=exR9DwAAQBAJ&amp;pg=PT297&amp;lpg=PT297&amp;dq=%D0%BF%D0%B5%D1%80%D0%B5%D0%B2%D0%BE%D0%B4%D1%87%D0%B8%D0%BA&amp;source=bl&amp;ots=CAoenf99c1&amp;sig=ACfU3U3zBdv5IwAfcHHdQ3DH0hfDChGC4g&amp;hl=ru&amp;sa=X&amp;ved=2ahUKEwijxYfZjbuCAxVFrokEHY2zC-gQ6AF6BAg3EAM" TargetMode="External"/><Relationship Id="rId1241" Type="http://schemas.openxmlformats.org/officeDocument/2006/relationships/hyperlink" Target="http://books.google.com" TargetMode="External"/><Relationship Id="rId411" Type="http://schemas.openxmlformats.org/officeDocument/2006/relationships/hyperlink" Target="http://play.google.com" TargetMode="External"/><Relationship Id="rId895" Type="http://schemas.openxmlformats.org/officeDocument/2006/relationships/hyperlink" Target="https://mailchimp.com/" TargetMode="External"/><Relationship Id="rId1242" Type="http://schemas.openxmlformats.org/officeDocument/2006/relationships/hyperlink" Target="https://www.nccourts.gov/languages/informaciya-na-russkom-yazyke/vam-neobkhodim-sudebnyy-perevodchik" TargetMode="External"/><Relationship Id="rId410" Type="http://schemas.openxmlformats.org/officeDocument/2006/relationships/hyperlink" Target="https://play.google.com/store/apps/details?id=com.vkontakte.android&amp;hl=ru&amp;gl=US" TargetMode="External"/><Relationship Id="rId894" Type="http://schemas.openxmlformats.org/officeDocument/2006/relationships/hyperlink" Target="http://play.google.com" TargetMode="External"/><Relationship Id="rId1243" Type="http://schemas.openxmlformats.org/officeDocument/2006/relationships/hyperlink" Target="http://www.nccourts.gov" TargetMode="External"/><Relationship Id="rId893" Type="http://schemas.openxmlformats.org/officeDocument/2006/relationships/hyperlink" Target="https://play.google.com/store/apps/details?id=ru.mail.mailapp&amp;hl=ru&amp;gl=US" TargetMode="External"/><Relationship Id="rId1244" Type="http://schemas.openxmlformats.org/officeDocument/2006/relationships/hyperlink" Target="https://yandex.ru/pogoda" TargetMode="External"/><Relationship Id="rId892" Type="http://schemas.openxmlformats.org/officeDocument/2006/relationships/hyperlink" Target="http://mail.aol.com" TargetMode="External"/><Relationship Id="rId1245" Type="http://schemas.openxmlformats.org/officeDocument/2006/relationships/hyperlink" Target="http://yandex.ru" TargetMode="External"/><Relationship Id="rId1279" Type="http://schemas.openxmlformats.org/officeDocument/2006/relationships/hyperlink" Target="http://www.gismeteo.ru" TargetMode="External"/><Relationship Id="rId448" Type="http://schemas.openxmlformats.org/officeDocument/2006/relationships/hyperlink" Target="http://books.google.com" TargetMode="External"/><Relationship Id="rId447" Type="http://schemas.openxmlformats.org/officeDocument/2006/relationships/hyperlink" Target="https://books.google.com/books?id=j2OnEAAAQBAJ&amp;pg=PT275&amp;lpg=PT275&amp;dq=%D0%B2%D0%BA%D0%BE%D0%BD%D1%82%D0%B0%D0%BA%D1%82%D0%B5&amp;source=bl&amp;ots=cP9BrDo5tT&amp;sig=ACfU3U3VngmY0OvNCYS71thObKdkovgM6w&amp;hl=ru&amp;sa=X&amp;ved=2ahUKEwiPnqPLjLuCAxVFv4kEHT4bBGwQ6AF6BAhBEAM" TargetMode="External"/><Relationship Id="rId446" Type="http://schemas.openxmlformats.org/officeDocument/2006/relationships/hyperlink" Target="http://books.google.com" TargetMode="External"/><Relationship Id="rId445" Type="http://schemas.openxmlformats.org/officeDocument/2006/relationships/hyperlink" Target="https://books.google.com/books?id=Ka61AAAAQBAJ&amp;pg=PT95&amp;lpg=PT95&amp;dq=%D0%B2%D0%BA%D0%BE%D0%BD%D1%82%D0%B0%D0%BA%D1%82%D0%B5&amp;source=bl&amp;ots=flgSBjWUl5&amp;sig=ACfU3U1T9C-t4szoSGxTjtqXD63jXTisWg&amp;hl=ru&amp;sa=X&amp;ved=2ahUKEwiPnqPLjLuCAxVFv4kEHT4bBGwQ6AF6BAhUEAM" TargetMode="External"/><Relationship Id="rId449" Type="http://schemas.openxmlformats.org/officeDocument/2006/relationships/hyperlink" Target="https://play.google.com/store/apps/details?id=com.vkontakte.android&amp;hl=en_US" TargetMode="External"/><Relationship Id="rId1270" Type="http://schemas.openxmlformats.org/officeDocument/2006/relationships/hyperlink" Target="https://www.gismeteo.ru/weather-ufa-4588/" TargetMode="External"/><Relationship Id="rId440" Type="http://schemas.openxmlformats.org/officeDocument/2006/relationships/hyperlink" Target="http://books.google.com" TargetMode="External"/><Relationship Id="rId1271" Type="http://schemas.openxmlformats.org/officeDocument/2006/relationships/hyperlink" Target="http://www.gismeteo.ru" TargetMode="External"/><Relationship Id="rId1272" Type="http://schemas.openxmlformats.org/officeDocument/2006/relationships/hyperlink" Target="https://www.gismeteo.ru/weather-krasnoyarsk-4674/" TargetMode="External"/><Relationship Id="rId1273" Type="http://schemas.openxmlformats.org/officeDocument/2006/relationships/hyperlink" Target="http://www.gismeteo.ru" TargetMode="External"/><Relationship Id="rId1274" Type="http://schemas.openxmlformats.org/officeDocument/2006/relationships/hyperlink" Target="https://www.gismeteo.ru/weather-irkutsk-4787/" TargetMode="External"/><Relationship Id="rId444" Type="http://schemas.openxmlformats.org/officeDocument/2006/relationships/hyperlink" Target="http://books.google.com" TargetMode="External"/><Relationship Id="rId1275" Type="http://schemas.openxmlformats.org/officeDocument/2006/relationships/hyperlink" Target="http://www.gismeteo.ru" TargetMode="External"/><Relationship Id="rId443" Type="http://schemas.openxmlformats.org/officeDocument/2006/relationships/hyperlink" Target="https://books.google.com/books?id=o9IeEAAAQBAJ&amp;pg=PT27&amp;lpg=PT27&amp;dq=%D0%B2%D0%BA%D0%BE%D0%BD%D1%82%D0%B0%D0%BA%D1%82%D0%B5&amp;source=bl&amp;ots=u-Eh00JsgG&amp;sig=ACfU3U3p2o0fR8QW4K9_vFT4WQMJ8Q2byQ&amp;hl=ru&amp;sa=X&amp;ved=2ahUKEwiPnqPLjLuCAxVFv4kEHT4bBGwQ6AF6BAhNEAM" TargetMode="External"/><Relationship Id="rId1276" Type="http://schemas.openxmlformats.org/officeDocument/2006/relationships/hyperlink" Target="https://www.gismeteo.ru/weather-nizhny-novgorod-4355/" TargetMode="External"/><Relationship Id="rId442" Type="http://schemas.openxmlformats.org/officeDocument/2006/relationships/hyperlink" Target="http://books.google.com" TargetMode="External"/><Relationship Id="rId1277" Type="http://schemas.openxmlformats.org/officeDocument/2006/relationships/hyperlink" Target="http://www.gismeteo.ru" TargetMode="External"/><Relationship Id="rId441" Type="http://schemas.openxmlformats.org/officeDocument/2006/relationships/hyperlink" Target="https://books.google.com/books?id=geX3zaFHfpIC&amp;pg=PA49&amp;lpg=PA49&amp;dq=%D0%B2%D0%BA%D0%BE%D0%BD%D1%82%D0%B0%D0%BA%D1%82%D0%B5&amp;source=bl&amp;ots=t-Yped9sTI&amp;sig=ACfU3U0GY7muTOVzK3ch4TCOAeDChM6Jbw&amp;hl=ru&amp;sa=X&amp;ved=2ahUKEwiPnqPLjLuCAxVFv4kEHT4bBGwQ6AF6BAhJEAM" TargetMode="External"/><Relationship Id="rId1278" Type="http://schemas.openxmlformats.org/officeDocument/2006/relationships/hyperlink" Target="https://www.gismeteo.ru/weather-sankt-peterburg-4079/3-days/" TargetMode="External"/><Relationship Id="rId1268" Type="http://schemas.openxmlformats.org/officeDocument/2006/relationships/hyperlink" Target="https://www.gismeteo.ru/weather-tomsk-4652/" TargetMode="External"/><Relationship Id="rId1269" Type="http://schemas.openxmlformats.org/officeDocument/2006/relationships/hyperlink" Target="http://www.gismeteo.ru" TargetMode="External"/><Relationship Id="rId437" Type="http://schemas.openxmlformats.org/officeDocument/2006/relationships/hyperlink" Target="https://4pda.to/forum/index.php?showtopic=246233" TargetMode="External"/><Relationship Id="rId436" Type="http://schemas.openxmlformats.org/officeDocument/2006/relationships/hyperlink" Target="http://adindex.ru" TargetMode="External"/><Relationship Id="rId435" Type="http://schemas.openxmlformats.org/officeDocument/2006/relationships/hyperlink" Target="https://adindex.ru/publication/analitics/channels/2023/11/10/317153.phtml" TargetMode="External"/><Relationship Id="rId434" Type="http://schemas.openxmlformats.org/officeDocument/2006/relationships/hyperlink" Target="http://books.google.ru" TargetMode="External"/><Relationship Id="rId439" Type="http://schemas.openxmlformats.org/officeDocument/2006/relationships/hyperlink" Target="https://books.google.com/books?id=1SiBDwAAQBAJ&amp;pg=PA230&amp;lpg=PA230&amp;dq=%D0%B2%D0%BA%D0%BE%D0%BD%D1%82%D0%B0%D0%BA%D1%82%D0%B5&amp;source=bl&amp;ots=8eiscguiLp&amp;sig=ACfU3U3Myl-LNiXqfTeWxbR8zghWdhCkRQ&amp;hl=ru&amp;sa=X&amp;ved=2ahUKEwiPnqPLjLuCAxVFv4kEHT4bBGwQ6AF6BAgYEAM" TargetMode="External"/><Relationship Id="rId438" Type="http://schemas.openxmlformats.org/officeDocument/2006/relationships/hyperlink" Target="http://4pda.to" TargetMode="External"/><Relationship Id="rId1260" Type="http://schemas.openxmlformats.org/officeDocument/2006/relationships/hyperlink" Target="https://www.gismeteo.ru/weather-rostov-na-donu-5110/" TargetMode="External"/><Relationship Id="rId1261" Type="http://schemas.openxmlformats.org/officeDocument/2006/relationships/hyperlink" Target="http://www.gismeteo.ru" TargetMode="External"/><Relationship Id="rId1262" Type="http://schemas.openxmlformats.org/officeDocument/2006/relationships/hyperlink" Target="https://www.gismeteo.ru/weather-samara-4618/" TargetMode="External"/><Relationship Id="rId1263" Type="http://schemas.openxmlformats.org/officeDocument/2006/relationships/hyperlink" Target="http://www.gismeteo.ru" TargetMode="External"/><Relationship Id="rId433" Type="http://schemas.openxmlformats.org/officeDocument/2006/relationships/hyperlink" Target="https://books.google.ru/books?id=Y9OtEAAAQBAJ&amp;pg=PT9&amp;lpg=PT9&amp;dq=%D0%B2%D0%BA%D0%BE%D0%BD%D1%82%D0%B0%D0%BA%D1%82%D0%B5&amp;source=bl&amp;ots=mbXxJfFjik&amp;sig=ACfU3U0kploxm3bon0laFG4PxPbraGjEhw&amp;hl=ru&amp;sa=X&amp;ved=2ahUKEwj35-n8pr2CAxWYIDQIHZUEDmYQ6AF6BAg2EAM" TargetMode="External"/><Relationship Id="rId1264" Type="http://schemas.openxmlformats.org/officeDocument/2006/relationships/hyperlink" Target="https://www.gismeteo.ru/weather-moscow-4368/" TargetMode="External"/><Relationship Id="rId432" Type="http://schemas.openxmlformats.org/officeDocument/2006/relationships/hyperlink" Target="http://books.google.ru" TargetMode="External"/><Relationship Id="rId1265" Type="http://schemas.openxmlformats.org/officeDocument/2006/relationships/hyperlink" Target="http://www.gismeteo.ru" TargetMode="External"/><Relationship Id="rId431" Type="http://schemas.openxmlformats.org/officeDocument/2006/relationships/hyperlink" Target="https://books.google.ru/books?id=AAdEDwAAQBAJ&amp;pg=PP6&amp;lpg=PP6&amp;dq=%D0%B2%D0%BA%D0%BE%D0%BD%D1%82%D0%B0%D0%BA%D1%82%D0%B5&amp;source=bl&amp;ots=Cbmv1q1O_4&amp;sig=ACfU3U3r2bGFqqfsyKL2QN4cb7S0F-ZCUw&amp;hl=ru&amp;sa=X&amp;ved=2ahUKEwj35-n8pr2CAxWYIDQIHZUEDmYQ6AF6BAg4EAM" TargetMode="External"/><Relationship Id="rId1266" Type="http://schemas.openxmlformats.org/officeDocument/2006/relationships/hyperlink" Target="https://www.gismeteo.ru/weather-novosibirsk-4690/" TargetMode="External"/><Relationship Id="rId430" Type="http://schemas.openxmlformats.org/officeDocument/2006/relationships/hyperlink" Target="http://rb.ru" TargetMode="External"/><Relationship Id="rId1267" Type="http://schemas.openxmlformats.org/officeDocument/2006/relationships/hyperlink" Target="http://www.gismeteo.ru" TargetMode="External"/></Relationships>
</file>

<file path=xl/worksheets/_rels/sheet2.xml.rels><?xml version="1.0" encoding="UTF-8" standalone="yes"?><Relationships xmlns="http://schemas.openxmlformats.org/package/2006/relationships"><Relationship Id="rId392" Type="http://schemas.openxmlformats.org/officeDocument/2006/relationships/hyperlink" Target="https://vk.cc/" TargetMode="External"/><Relationship Id="rId391" Type="http://schemas.openxmlformats.org/officeDocument/2006/relationships/hyperlink" Target="http://vk.cc" TargetMode="External"/><Relationship Id="rId390" Type="http://schemas.openxmlformats.org/officeDocument/2006/relationships/hyperlink" Target="http://books.google.com" TargetMode="External"/><Relationship Id="rId1" Type="http://schemas.openxmlformats.org/officeDocument/2006/relationships/hyperlink" Target="https://mundfish.com/" TargetMode="External"/><Relationship Id="rId2" Type="http://schemas.openxmlformats.org/officeDocument/2006/relationships/hyperlink" Target="https://store.steampowered.com/app/668580/Atomic_Heart/" TargetMode="External"/><Relationship Id="rId3" Type="http://schemas.openxmlformats.org/officeDocument/2006/relationships/hyperlink" Target="http://store.steampowered.com" TargetMode="External"/><Relationship Id="rId4" Type="http://schemas.openxmlformats.org/officeDocument/2006/relationships/hyperlink" Target="https://atomicheart.vkplay.ru/" TargetMode="External"/><Relationship Id="rId9" Type="http://schemas.openxmlformats.org/officeDocument/2006/relationships/hyperlink" Target="http://ru.wikipedia.org" TargetMode="External"/><Relationship Id="rId385" Type="http://schemas.openxmlformats.org/officeDocument/2006/relationships/hyperlink" Target="http://books.google.com" TargetMode="External"/><Relationship Id="rId384" Type="http://schemas.openxmlformats.org/officeDocument/2006/relationships/hyperlink" Target="https://books.google.com/books?id=EoEcEAAAQBAJ&amp;pg=PT4&amp;lpg=PT4&amp;dq=%D0%B2%D0%BA&amp;source=bl&amp;ots=EDc8QywpYu&amp;sig=ACfU3U1hJhnAwS8i7ruApRXFtMU8bk2u7w&amp;hl=ru&amp;sa=X&amp;ved=2ahUKEwi8rsOGiruCAxU_rokEHRLQC1MQ6AF6BAhSEAM" TargetMode="External"/><Relationship Id="rId383" Type="http://schemas.openxmlformats.org/officeDocument/2006/relationships/hyperlink" Target="http://m.vk.ru" TargetMode="External"/><Relationship Id="rId382" Type="http://schemas.openxmlformats.org/officeDocument/2006/relationships/hyperlink" Target="https://m.vk.ru/" TargetMode="External"/><Relationship Id="rId5" Type="http://schemas.openxmlformats.org/officeDocument/2006/relationships/hyperlink" Target="http://atomicheart.vkplay.ru" TargetMode="External"/><Relationship Id="rId389" Type="http://schemas.openxmlformats.org/officeDocument/2006/relationships/hyperlink" Target="https://books.google.com/books?id=59vEDwAAQBAJ&amp;pg=PT9&amp;lpg=PT9&amp;dq=%D0%B2%D0%BA&amp;source=bl&amp;ots=LsmgMOS7ch&amp;sig=ACfU3U3W2O_uI_ZgbKXfBuFznYeJ13WoNA&amp;hl=ru&amp;sa=X&amp;ved=2ahUKEwi8rsOGiruCAxU_rokEHRLQC1MQ6AF6BAg6EAM" TargetMode="External"/><Relationship Id="rId6" Type="http://schemas.openxmlformats.org/officeDocument/2006/relationships/hyperlink" Target="https://en.wikipedia.org/wiki/Atomic_Heart" TargetMode="External"/><Relationship Id="rId388" Type="http://schemas.openxmlformats.org/officeDocument/2006/relationships/hyperlink" Target="https://team.vk.company/vacancy/" TargetMode="External"/><Relationship Id="rId7" Type="http://schemas.openxmlformats.org/officeDocument/2006/relationships/hyperlink" Target="http://en.wikipedia.org" TargetMode="External"/><Relationship Id="rId387" Type="http://schemas.openxmlformats.org/officeDocument/2006/relationships/hyperlink" Target="http://www.figma.com" TargetMode="External"/><Relationship Id="rId8" Type="http://schemas.openxmlformats.org/officeDocument/2006/relationships/hyperlink" Target="https://ru.wikipedia.org/wiki/Atomic_Heart" TargetMode="External"/><Relationship Id="rId386" Type="http://schemas.openxmlformats.org/officeDocument/2006/relationships/hyperlink" Target="https://www.figma.com/@vk" TargetMode="External"/><Relationship Id="rId381" Type="http://schemas.openxmlformats.org/officeDocument/2006/relationships/hyperlink" Target="https://m.vk.ru/" TargetMode="External"/><Relationship Id="rId380" Type="http://schemas.openxmlformats.org/officeDocument/2006/relationships/hyperlink" Target="http://en.wikipedia.org" TargetMode="External"/><Relationship Id="rId379" Type="http://schemas.openxmlformats.org/officeDocument/2006/relationships/hyperlink" Target="https://en.wikipedia.org/wiki/VK_(service)" TargetMode="External"/><Relationship Id="rId374" Type="http://schemas.openxmlformats.org/officeDocument/2006/relationships/hyperlink" Target="https://www.finam.ru/quote/moex/vkco/" TargetMode="External"/><Relationship Id="rId373" Type="http://schemas.openxmlformats.org/officeDocument/2006/relationships/hyperlink" Target="http://www.lokovolley.com" TargetMode="External"/><Relationship Id="rId372" Type="http://schemas.openxmlformats.org/officeDocument/2006/relationships/hyperlink" Target="https://www.lokovolley.com/" TargetMode="External"/><Relationship Id="rId371" Type="http://schemas.openxmlformats.org/officeDocument/2006/relationships/hyperlink" Target="http://vk.me" TargetMode="External"/><Relationship Id="rId378" Type="http://schemas.openxmlformats.org/officeDocument/2006/relationships/hyperlink" Target="http://apps.apple.com" TargetMode="External"/><Relationship Id="rId377" Type="http://schemas.openxmlformats.org/officeDocument/2006/relationships/hyperlink" Target="https://apps.apple.com/us/app/vk-social-network-messenger/id564177498" TargetMode="External"/><Relationship Id="rId376" Type="http://schemas.openxmlformats.org/officeDocument/2006/relationships/hyperlink" Target="http://play.google.com" TargetMode="External"/><Relationship Id="rId375" Type="http://schemas.openxmlformats.org/officeDocument/2006/relationships/hyperlink" Target="https://play.google.com/store/apps/details?id=com.vkontakte.android&amp;hl=en_US" TargetMode="External"/><Relationship Id="rId396" Type="http://schemas.openxmlformats.org/officeDocument/2006/relationships/hyperlink" Target="http://ru.wiktionary.org" TargetMode="External"/><Relationship Id="rId395" Type="http://schemas.openxmlformats.org/officeDocument/2006/relationships/hyperlink" Target="https://ru.wiktionary.org/wiki/%D0%92%D0%9A" TargetMode="External"/><Relationship Id="rId394" Type="http://schemas.openxmlformats.org/officeDocument/2006/relationships/hyperlink" Target="https://bcs-express.ru/novosti-i-analitika/vyruchka-vk-za-iii-kvartal-pokazala-sil-nyi-rost-mnenie-analitikov" TargetMode="External"/><Relationship Id="rId393" Type="http://schemas.openxmlformats.org/officeDocument/2006/relationships/hyperlink" Target="http://vk.cc" TargetMode="External"/><Relationship Id="rId399" Type="http://schemas.openxmlformats.org/officeDocument/2006/relationships/hyperlink" Target="https://books.google.com/books?id=OoEcEAAAQBAJ&amp;pg=PT14&amp;lpg=PT14&amp;dq=%D0%B2%D0%BA&amp;source=bl&amp;ots=bbz2XuSPqX&amp;sig=ACfU3U0U5ZeAqHQdzyzoT_QgAtzV3EEdRg&amp;hl=ru&amp;sa=X&amp;ved=2ahUKEwjdmLn6jbuCAxWZlYkEHf8EA4AQ6AF6BAgnEAM" TargetMode="External"/><Relationship Id="rId398" Type="http://schemas.openxmlformats.org/officeDocument/2006/relationships/hyperlink" Target="http://books.google.com" TargetMode="External"/><Relationship Id="rId397" Type="http://schemas.openxmlformats.org/officeDocument/2006/relationships/hyperlink" Target="https://books.google.com/books?id=JoEcEAAAQBAJ&amp;pg=PA8&amp;lpg=PA8&amp;dq=%D0%B2%D0%BA&amp;source=bl&amp;ots=jTk2omWd8G&amp;sig=ACfU3U3BoWkPJHuVR6yf7crW3ubmJfZYAw&amp;hl=ru&amp;sa=X&amp;ved=2ahUKEwjdmLn6jbuCAxWZlYkEHf8EA4AQ6AF6BAglEAM" TargetMode="External"/><Relationship Id="rId40" Type="http://schemas.openxmlformats.org/officeDocument/2006/relationships/hyperlink" Target="http://journal.tinkoff.ru" TargetMode="External"/><Relationship Id="rId42" Type="http://schemas.openxmlformats.org/officeDocument/2006/relationships/hyperlink" Target="http://apps.apple.com" TargetMode="External"/><Relationship Id="rId41" Type="http://schemas.openxmlformats.org/officeDocument/2006/relationships/hyperlink" Target="https://apps.apple.com/us/app/chatgpt/id6448311069?l=ru" TargetMode="External"/><Relationship Id="rId44" Type="http://schemas.openxmlformats.org/officeDocument/2006/relationships/hyperlink" Target="http://trends.rbc.ru" TargetMode="External"/><Relationship Id="rId43" Type="http://schemas.openxmlformats.org/officeDocument/2006/relationships/hyperlink" Target="https://trends.rbc.ru/trends/industry/63a192819a79478fae5762ad" TargetMode="External"/><Relationship Id="rId46" Type="http://schemas.openxmlformats.org/officeDocument/2006/relationships/hyperlink" Target="http://sendpulse.com" TargetMode="External"/><Relationship Id="rId45" Type="http://schemas.openxmlformats.org/officeDocument/2006/relationships/hyperlink" Target="https://sendpulse.com/ru/support/glossary/chatgpt" TargetMode="External"/><Relationship Id="rId742" Type="http://schemas.openxmlformats.org/officeDocument/2006/relationships/drawing" Target="../drawings/drawing2.xml"/><Relationship Id="rId48" Type="http://schemas.openxmlformats.org/officeDocument/2006/relationships/hyperlink" Target="http://pr-cy.ru" TargetMode="External"/><Relationship Id="rId47" Type="http://schemas.openxmlformats.org/officeDocument/2006/relationships/hyperlink" Target="https://pr-cy.ru/chat-gpt/" TargetMode="External"/><Relationship Id="rId49" Type="http://schemas.openxmlformats.org/officeDocument/2006/relationships/hyperlink" Target="https://3dnews.ru/1095795/microsoft-vremenno-zablokirovala-sotrudnikam-dostup-k-chatgpt" TargetMode="External"/><Relationship Id="rId741" Type="http://schemas.openxmlformats.org/officeDocument/2006/relationships/hyperlink" Target="http://www.afisha.ru" TargetMode="External"/><Relationship Id="rId740" Type="http://schemas.openxmlformats.org/officeDocument/2006/relationships/hyperlink" Target="https://www.afisha.ru/people/inna-churikova-287968/" TargetMode="External"/><Relationship Id="rId31" Type="http://schemas.openxmlformats.org/officeDocument/2006/relationships/hyperlink" Target="https://gpt-chatbot.ru/" TargetMode="External"/><Relationship Id="rId30" Type="http://schemas.openxmlformats.org/officeDocument/2006/relationships/hyperlink" Target="http://ru.wikipedia.org" TargetMode="External"/><Relationship Id="rId33" Type="http://schemas.openxmlformats.org/officeDocument/2006/relationships/hyperlink" Target="https://talkai.info/ru/" TargetMode="External"/><Relationship Id="rId32" Type="http://schemas.openxmlformats.org/officeDocument/2006/relationships/hyperlink" Target="http://gpt-chatbot.ru" TargetMode="External"/><Relationship Id="rId35" Type="http://schemas.openxmlformats.org/officeDocument/2006/relationships/hyperlink" Target="https://habr.com/ru/companies/ods/articles/772292/" TargetMode="External"/><Relationship Id="rId34" Type="http://schemas.openxmlformats.org/officeDocument/2006/relationships/hyperlink" Target="http://talkai.info" TargetMode="External"/><Relationship Id="rId739" Type="http://schemas.openxmlformats.org/officeDocument/2006/relationships/hyperlink" Target="http://www.facebook.com" TargetMode="External"/><Relationship Id="rId734" Type="http://schemas.openxmlformats.org/officeDocument/2006/relationships/hyperlink" Target="https://24smi.org/celebrity/604-inna-churikova.html" TargetMode="External"/><Relationship Id="rId733" Type="http://schemas.openxmlformats.org/officeDocument/2006/relationships/hyperlink" Target="https://ria.ru/20230114/churikova-1844869415.html" TargetMode="External"/><Relationship Id="rId732" Type="http://schemas.openxmlformats.org/officeDocument/2006/relationships/hyperlink" Target="http://kino.mail.ru" TargetMode="External"/><Relationship Id="rId731" Type="http://schemas.openxmlformats.org/officeDocument/2006/relationships/hyperlink" Target="https://kino.mail.ru/person/450879_inna_churikova/" TargetMode="External"/><Relationship Id="rId738" Type="http://schemas.openxmlformats.org/officeDocument/2006/relationships/hyperlink" Target="https://www.facebook.com/IChurikova/?locale=ru_RU" TargetMode="External"/><Relationship Id="rId737" Type="http://schemas.openxmlformats.org/officeDocument/2006/relationships/hyperlink" Target="http://www.forbes.ru" TargetMode="External"/><Relationship Id="rId736" Type="http://schemas.openxmlformats.org/officeDocument/2006/relationships/hyperlink" Target="https://www.forbes.ru/forbes-woman/483757-zvezda-peremencivoj-epohi-kak-inna-curikova-vsu-zizn-brosala-vyzov-tradiciam" TargetMode="External"/><Relationship Id="rId735" Type="http://schemas.openxmlformats.org/officeDocument/2006/relationships/hyperlink" Target="http://24smi.org" TargetMode="External"/><Relationship Id="rId37" Type="http://schemas.openxmlformats.org/officeDocument/2006/relationships/hyperlink" Target="https://chatgptbot.ru/chat/" TargetMode="External"/><Relationship Id="rId36" Type="http://schemas.openxmlformats.org/officeDocument/2006/relationships/hyperlink" Target="http://habr.com" TargetMode="External"/><Relationship Id="rId39" Type="http://schemas.openxmlformats.org/officeDocument/2006/relationships/hyperlink" Target="https://journal.tinkoff.ru/chatgpt/" TargetMode="External"/><Relationship Id="rId38" Type="http://schemas.openxmlformats.org/officeDocument/2006/relationships/hyperlink" Target="http://chatgptbot.ru" TargetMode="External"/><Relationship Id="rId730" Type="http://schemas.openxmlformats.org/officeDocument/2006/relationships/hyperlink" Target="http://znanierussia.ru" TargetMode="External"/><Relationship Id="rId20" Type="http://schemas.openxmlformats.org/officeDocument/2006/relationships/hyperlink" Target="http://www.xbox.com" TargetMode="External"/><Relationship Id="rId22" Type="http://schemas.openxmlformats.org/officeDocument/2006/relationships/hyperlink" Target="http://www.metacritic.com" TargetMode="External"/><Relationship Id="rId21" Type="http://schemas.openxmlformats.org/officeDocument/2006/relationships/hyperlink" Target="https://www.metacritic.com/game/atomic-heart/" TargetMode="External"/><Relationship Id="rId24" Type="http://schemas.openxmlformats.org/officeDocument/2006/relationships/hyperlink" Target="http://chat.openai.com" TargetMode="External"/><Relationship Id="rId23" Type="http://schemas.openxmlformats.org/officeDocument/2006/relationships/hyperlink" Target="https://chat.openai.com/" TargetMode="External"/><Relationship Id="rId26" Type="http://schemas.openxmlformats.org/officeDocument/2006/relationships/hyperlink" Target="http://trychatgpt.ru" TargetMode="External"/><Relationship Id="rId25" Type="http://schemas.openxmlformats.org/officeDocument/2006/relationships/hyperlink" Target="https://trychatgpt.ru/" TargetMode="External"/><Relationship Id="rId28" Type="http://schemas.openxmlformats.org/officeDocument/2006/relationships/hyperlink" Target="http://chadgpt.ru" TargetMode="External"/><Relationship Id="rId27" Type="http://schemas.openxmlformats.org/officeDocument/2006/relationships/hyperlink" Target="https://chadgpt.ru/" TargetMode="External"/><Relationship Id="rId29" Type="http://schemas.openxmlformats.org/officeDocument/2006/relationships/hyperlink" Target="https://ru.wikipedia.org/wiki/ChatGPT" TargetMode="External"/><Relationship Id="rId11" Type="http://schemas.openxmlformats.org/officeDocument/2006/relationships/hyperlink" Target="http://vk.com" TargetMode="External"/><Relationship Id="rId10" Type="http://schemas.openxmlformats.org/officeDocument/2006/relationships/hyperlink" Target="https://vk.com/atomicheart_game" TargetMode="External"/><Relationship Id="rId13" Type="http://schemas.openxmlformats.org/officeDocument/2006/relationships/hyperlink" Target="http://www.youtube.com" TargetMode="External"/><Relationship Id="rId12" Type="http://schemas.openxmlformats.org/officeDocument/2006/relationships/hyperlink" Target="https://www.youtube.com/@Mundfish" TargetMode="External"/><Relationship Id="rId15" Type="http://schemas.openxmlformats.org/officeDocument/2006/relationships/hyperlink" Target="http://www.youtube.com" TargetMode="External"/><Relationship Id="rId14" Type="http://schemas.openxmlformats.org/officeDocument/2006/relationships/hyperlink" Target="https://www.youtube.com/channel/UCjAij4NWCod80d70enm3tRw" TargetMode="External"/><Relationship Id="rId17" Type="http://schemas.openxmlformats.org/officeDocument/2006/relationships/hyperlink" Target="https://www.focus-entmt.com/en/games/atomic-heart" TargetMode="External"/><Relationship Id="rId16" Type="http://schemas.openxmlformats.org/officeDocument/2006/relationships/hyperlink" Target="https://atomic.mundfish.com/" TargetMode="External"/><Relationship Id="rId19" Type="http://schemas.openxmlformats.org/officeDocument/2006/relationships/hyperlink" Target="https://www.xbox.com/en-US/games/atomic-heart" TargetMode="External"/><Relationship Id="rId18" Type="http://schemas.openxmlformats.org/officeDocument/2006/relationships/hyperlink" Target="http://www.focus-entmt.com" TargetMode="External"/><Relationship Id="rId84" Type="http://schemas.openxmlformats.org/officeDocument/2006/relationships/hyperlink" Target="https://writesonic.com/blog/chatgpt-alternatives/" TargetMode="External"/><Relationship Id="rId83" Type="http://schemas.openxmlformats.org/officeDocument/2006/relationships/hyperlink" Target="http://www.theguardian.com" TargetMode="External"/><Relationship Id="rId86" Type="http://schemas.openxmlformats.org/officeDocument/2006/relationships/hyperlink" Target="https://www.reddit.com/r/ChatGPT/" TargetMode="External"/><Relationship Id="rId85" Type="http://schemas.openxmlformats.org/officeDocument/2006/relationships/hyperlink" Target="http://writesonic.com" TargetMode="External"/><Relationship Id="rId88" Type="http://schemas.openxmlformats.org/officeDocument/2006/relationships/hyperlink" Target="http://www.theverge.com" TargetMode="External"/><Relationship Id="rId87" Type="http://schemas.openxmlformats.org/officeDocument/2006/relationships/hyperlink" Target="https://www.theverge.com/2023/11/6/23948957/openai-chatgpt-gpt-custom-developer-platform" TargetMode="External"/><Relationship Id="rId89" Type="http://schemas.openxmlformats.org/officeDocument/2006/relationships/hyperlink" Target="https://www.nytimes.com/2023/11/06/technology/openai-custom-chatgpt.html" TargetMode="External"/><Relationship Id="rId709" Type="http://schemas.openxmlformats.org/officeDocument/2006/relationships/hyperlink" Target="http://www.opendns.com" TargetMode="External"/><Relationship Id="rId708" Type="http://schemas.openxmlformats.org/officeDocument/2006/relationships/hyperlink" Target="https://www.opendns.com/" TargetMode="External"/><Relationship Id="rId707" Type="http://schemas.openxmlformats.org/officeDocument/2006/relationships/hyperlink" Target="https://www.godaddy.com/help/what-is-dns-665" TargetMode="External"/><Relationship Id="rId706" Type="http://schemas.openxmlformats.org/officeDocument/2006/relationships/hyperlink" Target="http://www.whatsmydns.net" TargetMode="External"/><Relationship Id="rId80" Type="http://schemas.openxmlformats.org/officeDocument/2006/relationships/hyperlink" Target="https://www.wired.com/story/openai-wants-everyone-to-build-their-own-version-of-chatgpt/" TargetMode="External"/><Relationship Id="rId82" Type="http://schemas.openxmlformats.org/officeDocument/2006/relationships/hyperlink" Target="https://www.theguardian.com/technology/chatgpt" TargetMode="External"/><Relationship Id="rId81" Type="http://schemas.openxmlformats.org/officeDocument/2006/relationships/hyperlink" Target="http://www.wired.com" TargetMode="External"/><Relationship Id="rId701" Type="http://schemas.openxmlformats.org/officeDocument/2006/relationships/hyperlink" Target="https://dnsmadeeasy.com/" TargetMode="External"/><Relationship Id="rId700" Type="http://schemas.openxmlformats.org/officeDocument/2006/relationships/hyperlink" Target="http://www.dnsleaktest.com" TargetMode="External"/><Relationship Id="rId705" Type="http://schemas.openxmlformats.org/officeDocument/2006/relationships/hyperlink" Target="https://www.whatsmydns.net/" TargetMode="External"/><Relationship Id="rId704" Type="http://schemas.openxmlformats.org/officeDocument/2006/relationships/hyperlink" Target="http://www.grc.com" TargetMode="External"/><Relationship Id="rId703" Type="http://schemas.openxmlformats.org/officeDocument/2006/relationships/hyperlink" Target="https://www.grc.com/dns/benchmark.htm" TargetMode="External"/><Relationship Id="rId702" Type="http://schemas.openxmlformats.org/officeDocument/2006/relationships/hyperlink" Target="http://dnsmadeeasy.com" TargetMode="External"/><Relationship Id="rId73" Type="http://schemas.openxmlformats.org/officeDocument/2006/relationships/hyperlink" Target="http://www.zdnet.com" TargetMode="External"/><Relationship Id="rId72" Type="http://schemas.openxmlformats.org/officeDocument/2006/relationships/hyperlink" Target="https://www.zdnet.com/article/what-is-chatgpt-and-why-does-it-matter-heres-everything-you-need-to-know/" TargetMode="External"/><Relationship Id="rId75" Type="http://schemas.openxmlformats.org/officeDocument/2006/relationships/hyperlink" Target="http://www.digitaltrends.com" TargetMode="External"/><Relationship Id="rId74" Type="http://schemas.openxmlformats.org/officeDocument/2006/relationships/hyperlink" Target="https://www.digitaltrends.com/computing/how-to-use-openai-chatgpt-text-generation-chatbot/" TargetMode="External"/><Relationship Id="rId77" Type="http://schemas.openxmlformats.org/officeDocument/2006/relationships/hyperlink" Target="http://www.businessinsider.com" TargetMode="External"/><Relationship Id="rId76" Type="http://schemas.openxmlformats.org/officeDocument/2006/relationships/hyperlink" Target="https://www.businessinsider.com/everything-you-need-to-know-about-chat-gpt-2023-1" TargetMode="External"/><Relationship Id="rId79" Type="http://schemas.openxmlformats.org/officeDocument/2006/relationships/hyperlink" Target="http://writings.stephenwolfram.com" TargetMode="External"/><Relationship Id="rId78" Type="http://schemas.openxmlformats.org/officeDocument/2006/relationships/hyperlink" Target="https://writings.stephenwolfram.com/2023/02/what-is-chatgpt-doing-and-why-does-it-work/" TargetMode="External"/><Relationship Id="rId71" Type="http://schemas.openxmlformats.org/officeDocument/2006/relationships/hyperlink" Target="http://www.techtarget.com" TargetMode="External"/><Relationship Id="rId70" Type="http://schemas.openxmlformats.org/officeDocument/2006/relationships/hyperlink" Target="https://www.techtarget.com/whatis/definition/ChatGPT" TargetMode="External"/><Relationship Id="rId62" Type="http://schemas.openxmlformats.org/officeDocument/2006/relationships/hyperlink" Target="https://openai.com/blog/chatgpt" TargetMode="External"/><Relationship Id="rId61" Type="http://schemas.openxmlformats.org/officeDocument/2006/relationships/hyperlink" Target="http://chat-gpt.ru" TargetMode="External"/><Relationship Id="rId64" Type="http://schemas.openxmlformats.org/officeDocument/2006/relationships/hyperlink" Target="https://openai.com/" TargetMode="External"/><Relationship Id="rId63" Type="http://schemas.openxmlformats.org/officeDocument/2006/relationships/hyperlink" Target="http://openai.com" TargetMode="External"/><Relationship Id="rId66" Type="http://schemas.openxmlformats.org/officeDocument/2006/relationships/hyperlink" Target="https://en.wikipedia.org/wiki/ChatGPT" TargetMode="External"/><Relationship Id="rId65" Type="http://schemas.openxmlformats.org/officeDocument/2006/relationships/hyperlink" Target="http://openai.com" TargetMode="External"/><Relationship Id="rId68" Type="http://schemas.openxmlformats.org/officeDocument/2006/relationships/hyperlink" Target="https://apps.apple.com/us/app/chatgpt/id6448311069" TargetMode="External"/><Relationship Id="rId67" Type="http://schemas.openxmlformats.org/officeDocument/2006/relationships/hyperlink" Target="http://en.wikipedia.org" TargetMode="External"/><Relationship Id="rId729" Type="http://schemas.openxmlformats.org/officeDocument/2006/relationships/hyperlink" Target="https://znanierussia.ru/articles/%D0%A7%D1%83%D1%80%D0%B8%D0%BA%D0%BE%D0%B2%D0%B0,_%D0%98%D0%BD%D0%BD%D0%B0_%D0%9C%D0%B8%D1%85%D0%B0%D0%B9%D0%BB%D0%BE%D0%B2%D0%BD%D0%B0" TargetMode="External"/><Relationship Id="rId728" Type="http://schemas.openxmlformats.org/officeDocument/2006/relationships/hyperlink" Target="http://uznayvse.ru" TargetMode="External"/><Relationship Id="rId60" Type="http://schemas.openxmlformats.org/officeDocument/2006/relationships/hyperlink" Target="https://chat-gpt.ru/" TargetMode="External"/><Relationship Id="rId723" Type="http://schemas.openxmlformats.org/officeDocument/2006/relationships/hyperlink" Target="https://24smi.org/celebrity/604-inna-churikova.html" TargetMode="External"/><Relationship Id="rId722" Type="http://schemas.openxmlformats.org/officeDocument/2006/relationships/hyperlink" Target="http://tass.ru" TargetMode="External"/><Relationship Id="rId721" Type="http://schemas.openxmlformats.org/officeDocument/2006/relationships/hyperlink" Target="https://tass.ru/info/16800267" TargetMode="External"/><Relationship Id="rId720" Type="http://schemas.openxmlformats.org/officeDocument/2006/relationships/hyperlink" Target="http://www.kino-teatr.ru" TargetMode="External"/><Relationship Id="rId727" Type="http://schemas.openxmlformats.org/officeDocument/2006/relationships/hyperlink" Target="https://uznayvse.ru/znamenitosti/biografiya-inna-churikova.html" TargetMode="External"/><Relationship Id="rId726" Type="http://schemas.openxmlformats.org/officeDocument/2006/relationships/hyperlink" Target="http://www.culture.ru" TargetMode="External"/><Relationship Id="rId725" Type="http://schemas.openxmlformats.org/officeDocument/2006/relationships/hyperlink" Target="https://www.culture.ru/persons/656/inna-churikova" TargetMode="External"/><Relationship Id="rId724" Type="http://schemas.openxmlformats.org/officeDocument/2006/relationships/hyperlink" Target="http://24smi.org" TargetMode="External"/><Relationship Id="rId69" Type="http://schemas.openxmlformats.org/officeDocument/2006/relationships/hyperlink" Target="http://apps.apple.com" TargetMode="External"/><Relationship Id="rId51" Type="http://schemas.openxmlformats.org/officeDocument/2006/relationships/hyperlink" Target="https://play.google.com/store/apps/details?id=com.openai.chatgpt&amp;hl=en_US" TargetMode="External"/><Relationship Id="rId50" Type="http://schemas.openxmlformats.org/officeDocument/2006/relationships/hyperlink" Target="http://3dnews.ru" TargetMode="External"/><Relationship Id="rId53" Type="http://schemas.openxmlformats.org/officeDocument/2006/relationships/hyperlink" Target="https://lenta.ru/articles/2023/07/15/chatgpt/" TargetMode="External"/><Relationship Id="rId52" Type="http://schemas.openxmlformats.org/officeDocument/2006/relationships/hyperlink" Target="http://play.google.com" TargetMode="External"/><Relationship Id="rId55" Type="http://schemas.openxmlformats.org/officeDocument/2006/relationships/hyperlink" Target="https://gptgo.ai/?hl=ru" TargetMode="External"/><Relationship Id="rId54" Type="http://schemas.openxmlformats.org/officeDocument/2006/relationships/hyperlink" Target="http://lenta.ru" TargetMode="External"/><Relationship Id="rId57" Type="http://schemas.openxmlformats.org/officeDocument/2006/relationships/hyperlink" Target="https://www.finam.ru/publications/item/chto-takoe-chatgpt-kak-ii-menyaet-pravila-igry-v-razlichnykh-otraslyakh-20230205-1355/" TargetMode="External"/><Relationship Id="rId56" Type="http://schemas.openxmlformats.org/officeDocument/2006/relationships/hyperlink" Target="http://gptgo.ai" TargetMode="External"/><Relationship Id="rId719" Type="http://schemas.openxmlformats.org/officeDocument/2006/relationships/hyperlink" Target="https://www.kino-teatr.ru/kino/acter/w/ros/4785/bio/" TargetMode="External"/><Relationship Id="rId718" Type="http://schemas.openxmlformats.org/officeDocument/2006/relationships/hyperlink" Target="http://www.kinopoisk.ru" TargetMode="External"/><Relationship Id="rId717" Type="http://schemas.openxmlformats.org/officeDocument/2006/relationships/hyperlink" Target="https://www.kinopoisk.ru/name/128152/" TargetMode="External"/><Relationship Id="rId712" Type="http://schemas.openxmlformats.org/officeDocument/2006/relationships/hyperlink" Target="https://www.dnsperf.com/" TargetMode="External"/><Relationship Id="rId711" Type="http://schemas.openxmlformats.org/officeDocument/2006/relationships/hyperlink" Target="http://play.google.com" TargetMode="External"/><Relationship Id="rId710" Type="http://schemas.openxmlformats.org/officeDocument/2006/relationships/hyperlink" Target="https://play.google.com/store/apps/details?id=ru.dns.shop.android&amp;hl=en_US" TargetMode="External"/><Relationship Id="rId716" Type="http://schemas.openxmlformats.org/officeDocument/2006/relationships/hyperlink" Target="http://ru.wikipedia.org" TargetMode="External"/><Relationship Id="rId715" Type="http://schemas.openxmlformats.org/officeDocument/2006/relationships/hyperlink" Target="https://ru.wikipedia.org/wiki/%D0%A7%D1%83%D1%80%D0%B8%D0%BA%D0%BE%D0%B2%D0%B0,_%D0%98%D0%BD%D0%BD%D0%B0_%D0%9C%D0%B8%D1%85%D0%B0%D0%B9%D0%BB%D0%BE%D0%B2%D0%BD%D0%B0" TargetMode="External"/><Relationship Id="rId714" Type="http://schemas.openxmlformats.org/officeDocument/2006/relationships/hyperlink" Target="https://1.1.1.1/dns/" TargetMode="External"/><Relationship Id="rId713" Type="http://schemas.openxmlformats.org/officeDocument/2006/relationships/hyperlink" Target="http://www.dnsperf.com" TargetMode="External"/><Relationship Id="rId59" Type="http://schemas.openxmlformats.org/officeDocument/2006/relationships/hyperlink" Target="http://www.forbes.ru" TargetMode="External"/><Relationship Id="rId58" Type="http://schemas.openxmlformats.org/officeDocument/2006/relationships/hyperlink" Target="https://www.forbes.ru/tekhnologii/486215-programmisty-vizionery-i-genii-biznesa-kto-pridumal-chatgpt-i-kuda-oni-ego-vedut" TargetMode="External"/><Relationship Id="rId349" Type="http://schemas.openxmlformats.org/officeDocument/2006/relationships/hyperlink" Target="https://ru.wikipedia.org/wiki/VK_(%D0%B7%D0%BD%D0%B0%D1%87%D0%B5%D0%BD%D0%B8%D1%8F)" TargetMode="External"/><Relationship Id="rId348" Type="http://schemas.openxmlformats.org/officeDocument/2006/relationships/hyperlink" Target="http://web.vk.me" TargetMode="External"/><Relationship Id="rId347" Type="http://schemas.openxmlformats.org/officeDocument/2006/relationships/hyperlink" Target="https://web.vk.me/" TargetMode="External"/><Relationship Id="rId346" Type="http://schemas.openxmlformats.org/officeDocument/2006/relationships/hyperlink" Target="http://apps.apple.com" TargetMode="External"/><Relationship Id="rId341" Type="http://schemas.openxmlformats.org/officeDocument/2006/relationships/hyperlink" Target="https://ru.wikipedia.org/wiki/%D0%92%D0%9A%D0%BE%D0%BD%D1%82%D0%B0%D0%BA%D1%82%D0%B5" TargetMode="External"/><Relationship Id="rId340" Type="http://schemas.openxmlformats.org/officeDocument/2006/relationships/hyperlink" Target="http://play.google.com" TargetMode="External"/><Relationship Id="rId345" Type="http://schemas.openxmlformats.org/officeDocument/2006/relationships/hyperlink" Target="https://apps.apple.com/ru/app/%D0%B2%D0%BA%D0%BE%D0%BD%D1%82%D0%B0%D0%BA%D1%82%D0%B5-%D1%81%D0%BE%D0%BE%D0%B1%D1%89%D0%B5%D0%BD%D0%B8%D1%8F-%D0%B2%D0%B8%D0%B4%D0%B5%D0%BE%D1%87%D0%B0%D1%82/id564177498" TargetMode="External"/><Relationship Id="rId344" Type="http://schemas.openxmlformats.org/officeDocument/2006/relationships/hyperlink" Target="http://play.google.com" TargetMode="External"/><Relationship Id="rId343" Type="http://schemas.openxmlformats.org/officeDocument/2006/relationships/hyperlink" Target="https://play.google.com/store/apps/developer?id=VK.com&amp;hl=ru&amp;gl=US" TargetMode="External"/><Relationship Id="rId342" Type="http://schemas.openxmlformats.org/officeDocument/2006/relationships/hyperlink" Target="http://ru.wikipedia.org" TargetMode="External"/><Relationship Id="rId338" Type="http://schemas.openxmlformats.org/officeDocument/2006/relationships/hyperlink" Target="http://m.vk.com" TargetMode="External"/><Relationship Id="rId337" Type="http://schemas.openxmlformats.org/officeDocument/2006/relationships/hyperlink" Target="https://m.vk.com/" TargetMode="External"/><Relationship Id="rId336" Type="http://schemas.openxmlformats.org/officeDocument/2006/relationships/hyperlink" Target="http://ru.pinterest.com" TargetMode="External"/><Relationship Id="rId335" Type="http://schemas.openxmlformats.org/officeDocument/2006/relationships/hyperlink" Target="https://ru.pinterest.com/shitikovav17/%D0%B2%D0%B0%D0%BB%D0%B1%D0%B5%D1%80%D0%B8%D1%81/" TargetMode="External"/><Relationship Id="rId339" Type="http://schemas.openxmlformats.org/officeDocument/2006/relationships/hyperlink" Target="https://play.google.com/store/apps/details?id=com.vkontakte.android&amp;hl=ru&amp;gl=US" TargetMode="External"/><Relationship Id="rId330" Type="http://schemas.openxmlformats.org/officeDocument/2006/relationships/hyperlink" Target="https://www.youtube.com/channel/UCtnVdR1jFU2tqJvpoh9Iwxw" TargetMode="External"/><Relationship Id="rId334" Type="http://schemas.openxmlformats.org/officeDocument/2006/relationships/hyperlink" Target="http://market.yandex.ru" TargetMode="External"/><Relationship Id="rId333" Type="http://schemas.openxmlformats.org/officeDocument/2006/relationships/hyperlink" Target="https://market.yandex.ru/search?text=%D0%B2%D0%B0%D0%BB%D0%B1%D0%B5%D1%80%D0%B8%D1%81%20%D0%B8%D0%BD%D1%82%D0%B5%D1%80%D0%BD%D0%B5%D1%82-%D0%BC%D0%B0%D0%B3%D0%B0%D0%B7%D0%B8%D0%BD%20%D0%BA%D1%83%D0%BF%D0%B8%D1%82%D1%8C%20%D1%85%D0%BE%D0%BB%D0%BE%D0%B4%D0%B8%D0%BB%D1%8C%D0%BD%D0%B8%D0%BA" TargetMode="External"/><Relationship Id="rId332" Type="http://schemas.openxmlformats.org/officeDocument/2006/relationships/hyperlink" Target="https://2gis.ru/yakutsk/search/%D0%92%D0%B0%D0%BB%D0%B1%D0%B5%D1%80%D0%B8%D1%81/filters/district_id%3D70030076313420542" TargetMode="External"/><Relationship Id="rId331" Type="http://schemas.openxmlformats.org/officeDocument/2006/relationships/hyperlink" Target="http://www.youtube.com" TargetMode="External"/><Relationship Id="rId370" Type="http://schemas.openxmlformats.org/officeDocument/2006/relationships/hyperlink" Target="https://vk.me/app" TargetMode="External"/><Relationship Id="rId369" Type="http://schemas.openxmlformats.org/officeDocument/2006/relationships/hyperlink" Target="https://bcs-express.ru/novosti-i-analitika/otchet-vk-za-iii-kvartal" TargetMode="External"/><Relationship Id="rId368" Type="http://schemas.openxmlformats.org/officeDocument/2006/relationships/hyperlink" Target="http://cloud.vkplay.ru" TargetMode="External"/><Relationship Id="rId363" Type="http://schemas.openxmlformats.org/officeDocument/2006/relationships/hyperlink" Target="http://twitter.com" TargetMode="External"/><Relationship Id="rId362" Type="http://schemas.openxmlformats.org/officeDocument/2006/relationships/hyperlink" Target="https://twitter.com/vkontakte?lang=ru" TargetMode="External"/><Relationship Id="rId361" Type="http://schemas.openxmlformats.org/officeDocument/2006/relationships/hyperlink" Target="https://team.vk.company/" TargetMode="External"/><Relationship Id="rId360" Type="http://schemas.openxmlformats.org/officeDocument/2006/relationships/hyperlink" Target="http://vkcombo.ru" TargetMode="External"/><Relationship Id="rId367" Type="http://schemas.openxmlformats.org/officeDocument/2006/relationships/hyperlink" Target="https://cloud.vkplay.ru/" TargetMode="External"/><Relationship Id="rId366" Type="http://schemas.openxmlformats.org/officeDocument/2006/relationships/hyperlink" Target="https://bcs-express.ru/kotirovki-i-grafiki/vkco" TargetMode="External"/><Relationship Id="rId365" Type="http://schemas.openxmlformats.org/officeDocument/2006/relationships/hyperlink" Target="http://mcs.mail.ru" TargetMode="External"/><Relationship Id="rId364" Type="http://schemas.openxmlformats.org/officeDocument/2006/relationships/hyperlink" Target="https://mcs.mail.ru/" TargetMode="External"/><Relationship Id="rId95" Type="http://schemas.openxmlformats.org/officeDocument/2006/relationships/hyperlink" Target="https://ru.wikipedia.org/wiki/YouTube" TargetMode="External"/><Relationship Id="rId94" Type="http://schemas.openxmlformats.org/officeDocument/2006/relationships/hyperlink" Target="http://www.youtube.com" TargetMode="External"/><Relationship Id="rId97" Type="http://schemas.openxmlformats.org/officeDocument/2006/relationships/hyperlink" Target="https://play.google.com/store/apps/details?id=com.google.android.youtube&amp;hl=en_US" TargetMode="External"/><Relationship Id="rId96" Type="http://schemas.openxmlformats.org/officeDocument/2006/relationships/hyperlink" Target="http://ru.wikipedia.org" TargetMode="External"/><Relationship Id="rId99" Type="http://schemas.openxmlformats.org/officeDocument/2006/relationships/hyperlink" Target="https://support.google.com/youtube/answer/9011078?hl=ru" TargetMode="External"/><Relationship Id="rId98" Type="http://schemas.openxmlformats.org/officeDocument/2006/relationships/hyperlink" Target="http://play.google.com" TargetMode="External"/><Relationship Id="rId91" Type="http://schemas.openxmlformats.org/officeDocument/2006/relationships/hyperlink" Target="https://www.sciencefocus.com/future-technology/gpt-3" TargetMode="External"/><Relationship Id="rId90" Type="http://schemas.openxmlformats.org/officeDocument/2006/relationships/hyperlink" Target="http://www.nytimes.com" TargetMode="External"/><Relationship Id="rId93" Type="http://schemas.openxmlformats.org/officeDocument/2006/relationships/hyperlink" Target="https://www.youtube.com/?gl=RU&amp;hl=ru" TargetMode="External"/><Relationship Id="rId92" Type="http://schemas.openxmlformats.org/officeDocument/2006/relationships/hyperlink" Target="http://www.sciencefocus.com" TargetMode="External"/><Relationship Id="rId359" Type="http://schemas.openxmlformats.org/officeDocument/2006/relationships/hyperlink" Target="https://vkcombo.ru/" TargetMode="External"/><Relationship Id="rId358" Type="http://schemas.openxmlformats.org/officeDocument/2006/relationships/hyperlink" Target="http://www.dek.ru" TargetMode="External"/><Relationship Id="rId357" Type="http://schemas.openxmlformats.org/officeDocument/2006/relationships/hyperlink" Target="https://www.dek.ru/vykljuchateli-knopochnye-vk-30" TargetMode="External"/><Relationship Id="rId352" Type="http://schemas.openxmlformats.org/officeDocument/2006/relationships/hyperlink" Target="http://www.tinkoff.ru" TargetMode="External"/><Relationship Id="rId351" Type="http://schemas.openxmlformats.org/officeDocument/2006/relationships/hyperlink" Target="https://www.tinkoff.ru/invest/stocks/VKCO/" TargetMode="External"/><Relationship Id="rId350" Type="http://schemas.openxmlformats.org/officeDocument/2006/relationships/hyperlink" Target="http://ru.wikipedia.org" TargetMode="External"/><Relationship Id="rId356" Type="http://schemas.openxmlformats.org/officeDocument/2006/relationships/hyperlink" Target="http://www.m.vk.ru/" TargetMode="External"/><Relationship Id="rId355" Type="http://schemas.openxmlformats.org/officeDocument/2006/relationships/hyperlink" Target="http://www.m.vk.ru/" TargetMode="External"/><Relationship Id="rId354" Type="http://schemas.openxmlformats.org/officeDocument/2006/relationships/hyperlink" Target="http://vk.mail.ru" TargetMode="External"/><Relationship Id="rId353" Type="http://schemas.openxmlformats.org/officeDocument/2006/relationships/hyperlink" Target="https://vk.mail.ru/" TargetMode="External"/><Relationship Id="rId305" Type="http://schemas.openxmlformats.org/officeDocument/2006/relationships/hyperlink" Target="http://yandex.ru" TargetMode="External"/><Relationship Id="rId304" Type="http://schemas.openxmlformats.org/officeDocument/2006/relationships/hyperlink" Target="https://yandex.ru/maps/51/samara/search/%D0%92%D0%B0%D0%BB%D0%B1%D0%B5%D1%80%D0%B8%D1%81/" TargetMode="External"/><Relationship Id="rId303" Type="http://schemas.openxmlformats.org/officeDocument/2006/relationships/hyperlink" Target="http://vk.com" TargetMode="External"/><Relationship Id="rId302" Type="http://schemas.openxmlformats.org/officeDocument/2006/relationships/hyperlink" Target="https://vk.com/wildberries_thebest" TargetMode="External"/><Relationship Id="rId309" Type="http://schemas.openxmlformats.org/officeDocument/2006/relationships/hyperlink" Target="https://market.yandex.ru/search?text=%D0%92%D0%B0%D0%BB%D0%B1%D0%B5%D1%80%D0%B8%D1%81%20%D0%B8%D0%BD%D1%82%D0%B5%D1%80%D0%BD%D0%B5%D1%82%20%D0%BC%D0%B0%D0%B3%D0%B0%D0%B7%D0%B8%D0%BD%20%D1%81%D0%B0%D0%B9%D1%82" TargetMode="External"/><Relationship Id="rId308" Type="http://schemas.openxmlformats.org/officeDocument/2006/relationships/hyperlink" Target="http://www.wildberries.by" TargetMode="External"/><Relationship Id="rId307" Type="http://schemas.openxmlformats.org/officeDocument/2006/relationships/hyperlink" Target="https://www.wildberries.by/" TargetMode="External"/><Relationship Id="rId306" Type="http://schemas.openxmlformats.org/officeDocument/2006/relationships/hyperlink" Target="https://www.ozon.ru/category/valberis-internet-magazin/" TargetMode="External"/><Relationship Id="rId301" Type="http://schemas.openxmlformats.org/officeDocument/2006/relationships/hyperlink" Target="http://vk.com" TargetMode="External"/><Relationship Id="rId300" Type="http://schemas.openxmlformats.org/officeDocument/2006/relationships/hyperlink" Target="https://vk.com/wildberries_shop" TargetMode="External"/><Relationship Id="rId327" Type="http://schemas.openxmlformats.org/officeDocument/2006/relationships/hyperlink" Target="https://valberis.ru/" TargetMode="External"/><Relationship Id="rId326" Type="http://schemas.openxmlformats.org/officeDocument/2006/relationships/hyperlink" Target="http://valberis.ru" TargetMode="External"/><Relationship Id="rId325" Type="http://schemas.openxmlformats.org/officeDocument/2006/relationships/hyperlink" Target="http://www.tiktok.com" TargetMode="External"/><Relationship Id="rId324" Type="http://schemas.openxmlformats.org/officeDocument/2006/relationships/hyperlink" Target="https://www.tiktok.com/tag/%D0%B2%D0%B0%D0%BB%D0%B1%D0%B5%D1%80%D0%B8%D1%81" TargetMode="External"/><Relationship Id="rId329" Type="http://schemas.openxmlformats.org/officeDocument/2006/relationships/hyperlink" Target="http://m.facebook.com" TargetMode="External"/><Relationship Id="rId328" Type="http://schemas.openxmlformats.org/officeDocument/2006/relationships/hyperlink" Target="https://m.facebook.com/p/%D0%92%D0%B0%D0%BB%D0%B1%D0%B5%D1%80%D0%B8%D1%81-100077566393032/" TargetMode="External"/><Relationship Id="rId323" Type="http://schemas.openxmlformats.org/officeDocument/2006/relationships/hyperlink" Target="http://play.google.com" TargetMode="External"/><Relationship Id="rId322" Type="http://schemas.openxmlformats.org/officeDocument/2006/relationships/hyperlink" Target="https://play.google.com/store/apps/details?id=ru.wildberries.team&amp;hl=ru&amp;gl=US" TargetMode="External"/><Relationship Id="rId321" Type="http://schemas.openxmlformats.org/officeDocument/2006/relationships/hyperlink" Target="http://apps.apple.com" TargetMode="External"/><Relationship Id="rId320" Type="http://schemas.openxmlformats.org/officeDocument/2006/relationships/hyperlink" Target="https://apps.apple.com/ru/app/wildberries/id597880187" TargetMode="External"/><Relationship Id="rId316" Type="http://schemas.openxmlformats.org/officeDocument/2006/relationships/hyperlink" Target="https://trashbox.ru/link/wildberries-android" TargetMode="External"/><Relationship Id="rId315" Type="http://schemas.openxmlformats.org/officeDocument/2006/relationships/hyperlink" Target="https://www.rbc.ru/tags/?tag=Wildberries" TargetMode="External"/><Relationship Id="rId314" Type="http://schemas.openxmlformats.org/officeDocument/2006/relationships/hyperlink" Target="https://ria.ru/organization_wildberries/" TargetMode="External"/><Relationship Id="rId313" Type="http://schemas.openxmlformats.org/officeDocument/2006/relationships/hyperlink" Target="https://2gis.ru/krasnoyarsk/search/%D0%B2%D0%B0%D0%BB%D0%B1%D0%B5%D1%80%D0%B8%D1%81" TargetMode="External"/><Relationship Id="rId319" Type="http://schemas.openxmlformats.org/officeDocument/2006/relationships/hyperlink" Target="http://irecommend.ru" TargetMode="External"/><Relationship Id="rId318" Type="http://schemas.openxmlformats.org/officeDocument/2006/relationships/hyperlink" Target="https://irecommend.ru/content/valberis-net" TargetMode="External"/><Relationship Id="rId317" Type="http://schemas.openxmlformats.org/officeDocument/2006/relationships/hyperlink" Target="http://trashbox.ru" TargetMode="External"/><Relationship Id="rId312" Type="http://schemas.openxmlformats.org/officeDocument/2006/relationships/hyperlink" Target="http://www.instagram.com" TargetMode="External"/><Relationship Id="rId311" Type="http://schemas.openxmlformats.org/officeDocument/2006/relationships/hyperlink" Target="https://www.instagram.com/wildberriesru/" TargetMode="External"/><Relationship Id="rId310" Type="http://schemas.openxmlformats.org/officeDocument/2006/relationships/hyperlink" Target="http://market.yandex.ru" TargetMode="External"/><Relationship Id="rId297" Type="http://schemas.openxmlformats.org/officeDocument/2006/relationships/hyperlink" Target="http://play.google.com" TargetMode="External"/><Relationship Id="rId296" Type="http://schemas.openxmlformats.org/officeDocument/2006/relationships/hyperlink" Target="https://play.google.com/store/apps/details?id=com.wildberries.ru&amp;hl=ru&amp;gl=US" TargetMode="External"/><Relationship Id="rId295" Type="http://schemas.openxmlformats.org/officeDocument/2006/relationships/hyperlink" Target="https://wildberries.eu/" TargetMode="External"/><Relationship Id="rId294" Type="http://schemas.openxmlformats.org/officeDocument/2006/relationships/hyperlink" Target="http://www.wildberries.ru" TargetMode="External"/><Relationship Id="rId299" Type="http://schemas.openxmlformats.org/officeDocument/2006/relationships/hyperlink" Target="http://ru.wikipedia.org" TargetMode="External"/><Relationship Id="rId298" Type="http://schemas.openxmlformats.org/officeDocument/2006/relationships/hyperlink" Target="https://ru.wikipedia.org/wiki/Wildberries" TargetMode="External"/><Relationship Id="rId271" Type="http://schemas.openxmlformats.org/officeDocument/2006/relationships/hyperlink" Target="http://hh.ru" TargetMode="External"/><Relationship Id="rId270" Type="http://schemas.openxmlformats.org/officeDocument/2006/relationships/hyperlink" Target="https://hh.ru/employer/87021" TargetMode="External"/><Relationship Id="rId269" Type="http://schemas.openxmlformats.org/officeDocument/2006/relationships/hyperlink" Target="http://www.wildberries.by" TargetMode="External"/><Relationship Id="rId264" Type="http://schemas.openxmlformats.org/officeDocument/2006/relationships/hyperlink" Target="https://www.instagram.com/wildberriesru/" TargetMode="External"/><Relationship Id="rId263" Type="http://schemas.openxmlformats.org/officeDocument/2006/relationships/hyperlink" Target="http://apps.apple.com" TargetMode="External"/><Relationship Id="rId262" Type="http://schemas.openxmlformats.org/officeDocument/2006/relationships/hyperlink" Target="https://apps.apple.com/ru/app/wildberries/id597880187" TargetMode="External"/><Relationship Id="rId261" Type="http://schemas.openxmlformats.org/officeDocument/2006/relationships/hyperlink" Target="http://play.google.com" TargetMode="External"/><Relationship Id="rId268" Type="http://schemas.openxmlformats.org/officeDocument/2006/relationships/hyperlink" Target="https://www.wildberries.by/" TargetMode="External"/><Relationship Id="rId267" Type="http://schemas.openxmlformats.org/officeDocument/2006/relationships/hyperlink" Target="http://www.youtube.com" TargetMode="External"/><Relationship Id="rId266" Type="http://schemas.openxmlformats.org/officeDocument/2006/relationships/hyperlink" Target="https://www.youtube.com/channel/UCtnVdR1jFU2tqJvpoh9Iwxw" TargetMode="External"/><Relationship Id="rId265" Type="http://schemas.openxmlformats.org/officeDocument/2006/relationships/hyperlink" Target="http://www.instagram.com" TargetMode="External"/><Relationship Id="rId260" Type="http://schemas.openxmlformats.org/officeDocument/2006/relationships/hyperlink" Target="https://play.google.com/store/apps/details?id=com.wildberries.ru&amp;hl=ru&amp;gl=US" TargetMode="External"/><Relationship Id="rId259" Type="http://schemas.openxmlformats.org/officeDocument/2006/relationships/hyperlink" Target="http://ru.wikipedia.org" TargetMode="External"/><Relationship Id="rId258" Type="http://schemas.openxmlformats.org/officeDocument/2006/relationships/hyperlink" Target="https://ru.wikipedia.org/wiki/Wildberries" TargetMode="External"/><Relationship Id="rId253" Type="http://schemas.openxmlformats.org/officeDocument/2006/relationships/hyperlink" Target="https://vk.com/wildberries_shop" TargetMode="External"/><Relationship Id="rId252" Type="http://schemas.openxmlformats.org/officeDocument/2006/relationships/hyperlink" Target="http://www.wildberries.ru" TargetMode="External"/><Relationship Id="rId251" Type="http://schemas.openxmlformats.org/officeDocument/2006/relationships/hyperlink" Target="https://www.wildberries.ru/" TargetMode="External"/><Relationship Id="rId250" Type="http://schemas.openxmlformats.org/officeDocument/2006/relationships/hyperlink" Target="http://books.google.com" TargetMode="External"/><Relationship Id="rId257" Type="http://schemas.openxmlformats.org/officeDocument/2006/relationships/hyperlink" Target="https://wildberries.eu/" TargetMode="External"/><Relationship Id="rId256" Type="http://schemas.openxmlformats.org/officeDocument/2006/relationships/hyperlink" Target="http://play.google.com" TargetMode="External"/><Relationship Id="rId255" Type="http://schemas.openxmlformats.org/officeDocument/2006/relationships/hyperlink" Target="https://play.google.com/store/apps/details?id=com.wildberries.ru&amp;hl=en_US" TargetMode="External"/><Relationship Id="rId254" Type="http://schemas.openxmlformats.org/officeDocument/2006/relationships/hyperlink" Target="http://vk.com" TargetMode="External"/><Relationship Id="rId293" Type="http://schemas.openxmlformats.org/officeDocument/2006/relationships/hyperlink" Target="https://www.wildberries.ru/" TargetMode="External"/><Relationship Id="rId292" Type="http://schemas.openxmlformats.org/officeDocument/2006/relationships/hyperlink" Target="http://www.forbes.ru" TargetMode="External"/><Relationship Id="rId291" Type="http://schemas.openxmlformats.org/officeDocument/2006/relationships/hyperlink" Target="https://www.forbes.ru/profile/327453-vayldberriz" TargetMode="External"/><Relationship Id="rId290" Type="http://schemas.openxmlformats.org/officeDocument/2006/relationships/hyperlink" Target="http://irecommend.ru" TargetMode="External"/><Relationship Id="rId286" Type="http://schemas.openxmlformats.org/officeDocument/2006/relationships/hyperlink" Target="http://t.me" TargetMode="External"/><Relationship Id="rId285" Type="http://schemas.openxmlformats.org/officeDocument/2006/relationships/hyperlink" Target="https://t.me/wildberriesru_official" TargetMode="External"/><Relationship Id="rId284" Type="http://schemas.openxmlformats.org/officeDocument/2006/relationships/hyperlink" Target="http://www.facebook.com" TargetMode="External"/><Relationship Id="rId283" Type="http://schemas.openxmlformats.org/officeDocument/2006/relationships/hyperlink" Target="https://www.facebook.com/wildberries.ru/?locale=ru_RU" TargetMode="External"/><Relationship Id="rId289" Type="http://schemas.openxmlformats.org/officeDocument/2006/relationships/hyperlink" Target="https://irecommend.ru/content/wwwwildberriesru" TargetMode="External"/><Relationship Id="rId288" Type="http://schemas.openxmlformats.org/officeDocument/2006/relationships/hyperlink" Target="http://vsemrabota.ru" TargetMode="External"/><Relationship Id="rId287" Type="http://schemas.openxmlformats.org/officeDocument/2006/relationships/hyperlink" Target="https://vsemrabota.ru/" TargetMode="External"/><Relationship Id="rId282" Type="http://schemas.openxmlformats.org/officeDocument/2006/relationships/hyperlink" Target="https://2gis.ru/n_novgorod/branches/70000001056016355" TargetMode="External"/><Relationship Id="rId281" Type="http://schemas.openxmlformats.org/officeDocument/2006/relationships/hyperlink" Target="http://www.retail.ru" TargetMode="External"/><Relationship Id="rId280" Type="http://schemas.openxmlformats.org/officeDocument/2006/relationships/hyperlink" Target="https://www.retail.ru/rbc/tradingnetworks/wildberries/" TargetMode="External"/><Relationship Id="rId275" Type="http://schemas.openxmlformats.org/officeDocument/2006/relationships/hyperlink" Target="http://www.facebook.com" TargetMode="External"/><Relationship Id="rId274" Type="http://schemas.openxmlformats.org/officeDocument/2006/relationships/hyperlink" Target="https://www.facebook.com/wildberries.ru/" TargetMode="External"/><Relationship Id="rId273" Type="http://schemas.openxmlformats.org/officeDocument/2006/relationships/hyperlink" Target="http://market.yandex.ru" TargetMode="External"/><Relationship Id="rId272" Type="http://schemas.openxmlformats.org/officeDocument/2006/relationships/hyperlink" Target="https://market.yandex.ru/shop--vaildberriz/4827/reviews" TargetMode="External"/><Relationship Id="rId279" Type="http://schemas.openxmlformats.org/officeDocument/2006/relationships/hyperlink" Target="https://2gis.ru/vladivostok/branches/3518974079942841" TargetMode="External"/><Relationship Id="rId278" Type="http://schemas.openxmlformats.org/officeDocument/2006/relationships/hyperlink" Target="http://pikabu.ru" TargetMode="External"/><Relationship Id="rId277" Type="http://schemas.openxmlformats.org/officeDocument/2006/relationships/hyperlink" Target="https://pikabu.ru/tag/Wildberries" TargetMode="External"/><Relationship Id="rId276" Type="http://schemas.openxmlformats.org/officeDocument/2006/relationships/hyperlink" Target="https://ria.ru/organization_wildberries/" TargetMode="External"/><Relationship Id="rId629" Type="http://schemas.openxmlformats.org/officeDocument/2006/relationships/hyperlink" Target="https://otzovik.com/reviews/dnevnik_ru-shkolnaya_obrazovatelnaya_set/" TargetMode="External"/><Relationship Id="rId624" Type="http://schemas.openxmlformats.org/officeDocument/2006/relationships/hyperlink" Target="https://twitter.com/dnevnik_ru" TargetMode="External"/><Relationship Id="rId623" Type="http://schemas.openxmlformats.org/officeDocument/2006/relationships/hyperlink" Target="http://www.facebook.com" TargetMode="External"/><Relationship Id="rId622" Type="http://schemas.openxmlformats.org/officeDocument/2006/relationships/hyperlink" Target="https://www.facebook.com/dnevnik.ru/?locale=ru_RU" TargetMode="External"/><Relationship Id="rId621" Type="http://schemas.openxmlformats.org/officeDocument/2006/relationships/hyperlink" Target="http://career.habr.com" TargetMode="External"/><Relationship Id="rId628" Type="http://schemas.openxmlformats.org/officeDocument/2006/relationships/hyperlink" Target="https://30astr-s24.edusite.ru/p48aa1.html" TargetMode="External"/><Relationship Id="rId627" Type="http://schemas.openxmlformats.org/officeDocument/2006/relationships/hyperlink" Target="http://ok.ru" TargetMode="External"/><Relationship Id="rId626" Type="http://schemas.openxmlformats.org/officeDocument/2006/relationships/hyperlink" Target="https://ok.ru/dnevnik.ru" TargetMode="External"/><Relationship Id="rId625" Type="http://schemas.openxmlformats.org/officeDocument/2006/relationships/hyperlink" Target="http://twitter.com" TargetMode="External"/><Relationship Id="rId620" Type="http://schemas.openxmlformats.org/officeDocument/2006/relationships/hyperlink" Target="https://career.habr.com/companies/dnevnik" TargetMode="External"/><Relationship Id="rId619" Type="http://schemas.openxmlformats.org/officeDocument/2006/relationships/hyperlink" Target="http://znanierussia.ru" TargetMode="External"/><Relationship Id="rId618" Type="http://schemas.openxmlformats.org/officeDocument/2006/relationships/hyperlink" Target="https://znanierussia.ru/articles/%D0%94%D0%BD%D0%B5%D0%B2%D0%BD%D0%B8%D0%BA.%D1%80%D1%83" TargetMode="External"/><Relationship Id="rId613" Type="http://schemas.openxmlformats.org/officeDocument/2006/relationships/hyperlink" Target="http://apps.apple.com" TargetMode="External"/><Relationship Id="rId612" Type="http://schemas.openxmlformats.org/officeDocument/2006/relationships/hyperlink" Target="https://apps.apple.com/ru/app/%D0%B6%D1%83%D1%80%D0%BD%D0%B0%D0%BB-%D0%B4%D0%BD%D0%B5%D0%B2%D0%BD%D0%B8%D0%BA-%D1%80%D1%83/id1441761001" TargetMode="External"/><Relationship Id="rId611" Type="http://schemas.openxmlformats.org/officeDocument/2006/relationships/hyperlink" Target="http://play.google.com" TargetMode="External"/><Relationship Id="rId610" Type="http://schemas.openxmlformats.org/officeDocument/2006/relationships/hyperlink" Target="https://play.google.com/store/apps/details?id=ru.dnevnik.app&amp;hl=en_US" TargetMode="External"/><Relationship Id="rId617" Type="http://schemas.openxmlformats.org/officeDocument/2006/relationships/hyperlink" Target="http://ru.wikipedia.org" TargetMode="External"/><Relationship Id="rId616" Type="http://schemas.openxmlformats.org/officeDocument/2006/relationships/hyperlink" Target="https://ru.wikipedia.org/wiki/%D0%94%D0%BD%D0%B5%D0%B2%D0%BD%D0%B8%D0%BA.%D1%80%D1%83" TargetMode="External"/><Relationship Id="rId615" Type="http://schemas.openxmlformats.org/officeDocument/2006/relationships/hyperlink" Target="http://www.sravni.ru" TargetMode="External"/><Relationship Id="rId614" Type="http://schemas.openxmlformats.org/officeDocument/2006/relationships/hyperlink" Target="https://www.sravni.ru/enciklopediya/info/lichnyj-kabinet-dnevnik-ru/" TargetMode="External"/><Relationship Id="rId646" Type="http://schemas.openxmlformats.org/officeDocument/2006/relationships/hyperlink" Target="https://www.facebook.com/dnevnik.ru/?locale=ru_RU" TargetMode="External"/><Relationship Id="rId645" Type="http://schemas.openxmlformats.org/officeDocument/2006/relationships/hyperlink" Target="http://hh.ru" TargetMode="External"/><Relationship Id="rId644" Type="http://schemas.openxmlformats.org/officeDocument/2006/relationships/hyperlink" Target="https://hh.ru/employer/581737" TargetMode="External"/><Relationship Id="rId643" Type="http://schemas.openxmlformats.org/officeDocument/2006/relationships/hyperlink" Target="http://znanierussia.ru" TargetMode="External"/><Relationship Id="rId649" Type="http://schemas.openxmlformats.org/officeDocument/2006/relationships/hyperlink" Target="http://3653.ru" TargetMode="External"/><Relationship Id="rId648" Type="http://schemas.openxmlformats.org/officeDocument/2006/relationships/hyperlink" Target="https://3653.ru/uchenikam/Dnevnikru/" TargetMode="External"/><Relationship Id="rId647" Type="http://schemas.openxmlformats.org/officeDocument/2006/relationships/hyperlink" Target="http://www.facebook.com" TargetMode="External"/><Relationship Id="rId642" Type="http://schemas.openxmlformats.org/officeDocument/2006/relationships/hyperlink" Target="https://znanierussia.ru/articles/%D0%94%D0%BD%D0%B5%D0%B2%D0%BD%D0%B8%D0%BA.%D1%80%D1%83" TargetMode="External"/><Relationship Id="rId641" Type="http://schemas.openxmlformats.org/officeDocument/2006/relationships/hyperlink" Target="http://twitter.com" TargetMode="External"/><Relationship Id="rId640" Type="http://schemas.openxmlformats.org/officeDocument/2006/relationships/hyperlink" Target="https://twitter.com/dnevnik_ru" TargetMode="External"/><Relationship Id="rId635" Type="http://schemas.openxmlformats.org/officeDocument/2006/relationships/hyperlink" Target="http://play.google.com" TargetMode="External"/><Relationship Id="rId634" Type="http://schemas.openxmlformats.org/officeDocument/2006/relationships/hyperlink" Target="https://play.google.com/store/apps/details?id=ru.teacherJournal.app&amp;hl=ru&amp;gl=US" TargetMode="External"/><Relationship Id="rId633" Type="http://schemas.openxmlformats.org/officeDocument/2006/relationships/hyperlink" Target="http://chrome.google.com" TargetMode="External"/><Relationship Id="rId632" Type="http://schemas.openxmlformats.org/officeDocument/2006/relationships/hyperlink" Target="https://chrome.google.com/webstore/detail/%D0%B4%D0%BD%D0%B5%D0%B2%D0%BD%D0%B8%D0%BA-%D1%80%D1%83/bjkcbdcpbbhmbfampcegnjjhdiffhinb?hl=ru" TargetMode="External"/><Relationship Id="rId639" Type="http://schemas.openxmlformats.org/officeDocument/2006/relationships/hyperlink" Target="http://ru.wikipedia.org" TargetMode="External"/><Relationship Id="rId638" Type="http://schemas.openxmlformats.org/officeDocument/2006/relationships/hyperlink" Target="https://ru.wikipedia.org/wiki/%D0%94%D0%BD%D0%B5%D0%B2%D0%BD%D0%B8%D0%BA.%D1%80%D1%83" TargetMode="External"/><Relationship Id="rId637" Type="http://schemas.openxmlformats.org/officeDocument/2006/relationships/hyperlink" Target="http://vk.com" TargetMode="External"/><Relationship Id="rId636" Type="http://schemas.openxmlformats.org/officeDocument/2006/relationships/hyperlink" Target="https://vk.com/dnevnikru" TargetMode="External"/><Relationship Id="rId631" Type="http://schemas.openxmlformats.org/officeDocument/2006/relationships/hyperlink" Target="http://irecommend.ru" TargetMode="External"/><Relationship Id="rId630" Type="http://schemas.openxmlformats.org/officeDocument/2006/relationships/hyperlink" Target="https://irecommend.ru/content/httpdnevnikru" TargetMode="External"/><Relationship Id="rId609" Type="http://schemas.openxmlformats.org/officeDocument/2006/relationships/hyperlink" Target="http://apps.apple.com" TargetMode="External"/><Relationship Id="rId608" Type="http://schemas.openxmlformats.org/officeDocument/2006/relationships/hyperlink" Target="https://apps.apple.com/ru/app/%D0%B4%D0%BD%D0%B5%D0%B2%D0%BD%D0%B8%D0%BA-%D1%80%D1%83/id1127180528" TargetMode="External"/><Relationship Id="rId607" Type="http://schemas.openxmlformats.org/officeDocument/2006/relationships/hyperlink" Target="http://play.google.com" TargetMode="External"/><Relationship Id="rId602" Type="http://schemas.openxmlformats.org/officeDocument/2006/relationships/hyperlink" Target="https://dnevnik.ru/" TargetMode="External"/><Relationship Id="rId601" Type="http://schemas.openxmlformats.org/officeDocument/2006/relationships/hyperlink" Target="http://en.wikipedia.org" TargetMode="External"/><Relationship Id="rId600" Type="http://schemas.openxmlformats.org/officeDocument/2006/relationships/hyperlink" Target="https://en.wikipedia.org/wiki/Gosuslugi" TargetMode="External"/><Relationship Id="rId606" Type="http://schemas.openxmlformats.org/officeDocument/2006/relationships/hyperlink" Target="https://play.google.com/store/apps/details?id=ru.dnevnik.app&amp;hl=ru&amp;gl=US" TargetMode="External"/><Relationship Id="rId605" Type="http://schemas.openxmlformats.org/officeDocument/2006/relationships/hyperlink" Target="http://vk.com" TargetMode="External"/><Relationship Id="rId604" Type="http://schemas.openxmlformats.org/officeDocument/2006/relationships/hyperlink" Target="https://vk.com/dnevnikru" TargetMode="External"/><Relationship Id="rId603" Type="http://schemas.openxmlformats.org/officeDocument/2006/relationships/hyperlink" Target="http://dnevnik.ru" TargetMode="External"/><Relationship Id="rId228" Type="http://schemas.openxmlformats.org/officeDocument/2006/relationships/hyperlink" Target="https://t.me/avito" TargetMode="External"/><Relationship Id="rId227" Type="http://schemas.openxmlformats.org/officeDocument/2006/relationships/hyperlink" Target="http://yandex.ru" TargetMode="External"/><Relationship Id="rId226" Type="http://schemas.openxmlformats.org/officeDocument/2006/relationships/hyperlink" Target="https://yandex.ru/maps/org/avito/82678620478/" TargetMode="External"/><Relationship Id="rId225" Type="http://schemas.openxmlformats.org/officeDocument/2006/relationships/hyperlink" Target="http://hh.ru" TargetMode="External"/><Relationship Id="rId229" Type="http://schemas.openxmlformats.org/officeDocument/2006/relationships/hyperlink" Target="http://t.me" TargetMode="External"/><Relationship Id="rId220" Type="http://schemas.openxmlformats.org/officeDocument/2006/relationships/hyperlink" Target="http://www.youtube.com" TargetMode="External"/><Relationship Id="rId224" Type="http://schemas.openxmlformats.org/officeDocument/2006/relationships/hyperlink" Target="https://hh.ru/employer/84585" TargetMode="External"/><Relationship Id="rId223" Type="http://schemas.openxmlformats.org/officeDocument/2006/relationships/hyperlink" Target="http://twitter.com" TargetMode="External"/><Relationship Id="rId222" Type="http://schemas.openxmlformats.org/officeDocument/2006/relationships/hyperlink" Target="https://twitter.com/avito" TargetMode="External"/><Relationship Id="rId221" Type="http://schemas.openxmlformats.org/officeDocument/2006/relationships/hyperlink" Target="http://manifesto.avito.com/" TargetMode="External"/><Relationship Id="rId217" Type="http://schemas.openxmlformats.org/officeDocument/2006/relationships/hyperlink" Target="http://www.instagram.com" TargetMode="External"/><Relationship Id="rId216" Type="http://schemas.openxmlformats.org/officeDocument/2006/relationships/hyperlink" Target="https://www.instagram.com/avito/" TargetMode="External"/><Relationship Id="rId215" Type="http://schemas.openxmlformats.org/officeDocument/2006/relationships/hyperlink" Target="http://ok.ru" TargetMode="External"/><Relationship Id="rId699" Type="http://schemas.openxmlformats.org/officeDocument/2006/relationships/hyperlink" Target="https://www.dnsleaktest.com/" TargetMode="External"/><Relationship Id="rId214" Type="http://schemas.openxmlformats.org/officeDocument/2006/relationships/hyperlink" Target="https://ok.ru/avito" TargetMode="External"/><Relationship Id="rId698" Type="http://schemas.openxmlformats.org/officeDocument/2006/relationships/hyperlink" Target="http://mxtoolbox.com" TargetMode="External"/><Relationship Id="rId219" Type="http://schemas.openxmlformats.org/officeDocument/2006/relationships/hyperlink" Target="https://www.youtube.com/channel/UC2dIPeP9pLhu1AiA_eK2L9A" TargetMode="External"/><Relationship Id="rId218" Type="http://schemas.openxmlformats.org/officeDocument/2006/relationships/hyperlink" Target="https://2gis.ru/biysk/firm/70000001065982388" TargetMode="External"/><Relationship Id="rId693" Type="http://schemas.openxmlformats.org/officeDocument/2006/relationships/hyperlink" Target="https://aws.amazon.com/route53/what-is-dns/" TargetMode="External"/><Relationship Id="rId692" Type="http://schemas.openxmlformats.org/officeDocument/2006/relationships/hyperlink" Target="http://cloud.google.com" TargetMode="External"/><Relationship Id="rId691" Type="http://schemas.openxmlformats.org/officeDocument/2006/relationships/hyperlink" Target="https://cloud.google.com/dns" TargetMode="External"/><Relationship Id="rId690" Type="http://schemas.openxmlformats.org/officeDocument/2006/relationships/hyperlink" Target="http://www.cloudflare.com" TargetMode="External"/><Relationship Id="rId213" Type="http://schemas.openxmlformats.org/officeDocument/2006/relationships/hyperlink" Target="http://play.google.com" TargetMode="External"/><Relationship Id="rId697" Type="http://schemas.openxmlformats.org/officeDocument/2006/relationships/hyperlink" Target="https://mxtoolbox.com/DNSLookup.aspx" TargetMode="External"/><Relationship Id="rId212" Type="http://schemas.openxmlformats.org/officeDocument/2006/relationships/hyperlink" Target="https://play.google.com/store/apps/details?id=com.avito.android&amp;hl=ru&amp;gl=US" TargetMode="External"/><Relationship Id="rId696" Type="http://schemas.openxmlformats.org/officeDocument/2006/relationships/hyperlink" Target="http://www.quad9.net" TargetMode="External"/><Relationship Id="rId211" Type="http://schemas.openxmlformats.org/officeDocument/2006/relationships/hyperlink" Target="https://avito.tech/" TargetMode="External"/><Relationship Id="rId695" Type="http://schemas.openxmlformats.org/officeDocument/2006/relationships/hyperlink" Target="https://www.quad9.net/" TargetMode="External"/><Relationship Id="rId210" Type="http://schemas.openxmlformats.org/officeDocument/2006/relationships/hyperlink" Target="http://apps.apple.com" TargetMode="External"/><Relationship Id="rId694" Type="http://schemas.openxmlformats.org/officeDocument/2006/relationships/hyperlink" Target="http://aws.amazon.com" TargetMode="External"/><Relationship Id="rId249" Type="http://schemas.openxmlformats.org/officeDocument/2006/relationships/hyperlink" Target="https://books.google.com/books?id=VPBGEAAAQBAJ&amp;pg=PT62&amp;lpg=PT62&amp;dq=%D0%B0%D0%B2%D0%B8%D1%82%D0%BE&amp;source=bl&amp;ots=Ymbqt0MuUx&amp;sig=ACfU3U2DfrpkoqHgxV7eVOObUT1ekOAHcA&amp;hl=ru&amp;sa=X&amp;ved=2ahUKEwiRr6-LjruCAxXUrokEHaSBBo0Q6AF6BAg3EAM" TargetMode="External"/><Relationship Id="rId248" Type="http://schemas.openxmlformats.org/officeDocument/2006/relationships/hyperlink" Target="http://books.google.com" TargetMode="External"/><Relationship Id="rId247" Type="http://schemas.openxmlformats.org/officeDocument/2006/relationships/hyperlink" Target="https://books.google.com/books?id=eHnCEAAAQBAJ&amp;pg=PA132&amp;lpg=PA132&amp;dq=%D0%B0%D0%B2%D0%B8%D1%82%D0%BE&amp;source=bl&amp;ots=cyNnjKUh9z&amp;sig=ACfU3U3lyMp9GAZtoEs352gvXpqm0xnh3g&amp;hl=ru&amp;sa=X&amp;ved=2ahUKEwiRr6-LjruCAxXUrokEHaSBBo0Q6AF6BAg4EAM" TargetMode="External"/><Relationship Id="rId242" Type="http://schemas.openxmlformats.org/officeDocument/2006/relationships/hyperlink" Target="http://www.facebook.com" TargetMode="External"/><Relationship Id="rId241" Type="http://schemas.openxmlformats.org/officeDocument/2006/relationships/hyperlink" Target="https://www.facebook.com/avito.ru/" TargetMode="External"/><Relationship Id="rId240" Type="http://schemas.openxmlformats.org/officeDocument/2006/relationships/hyperlink" Target="http://books.google.com" TargetMode="External"/><Relationship Id="rId246" Type="http://schemas.openxmlformats.org/officeDocument/2006/relationships/hyperlink" Target="http://play.google.com" TargetMode="External"/><Relationship Id="rId245" Type="http://schemas.openxmlformats.org/officeDocument/2006/relationships/hyperlink" Target="https://play.google.com/store/apps/dev?id=6750101820856332864&amp;hl=ru&amp;gl=US" TargetMode="External"/><Relationship Id="rId244" Type="http://schemas.openxmlformats.org/officeDocument/2006/relationships/hyperlink" Target="http://books.google.com" TargetMode="External"/><Relationship Id="rId243" Type="http://schemas.openxmlformats.org/officeDocument/2006/relationships/hyperlink" Target="https://books.google.com/books?id=VPBGEAAAQBAJ&amp;pg=PT14&amp;lpg=PT14&amp;dq=%D0%B0%D0%B2%D0%B8%D1%82%D0%BE&amp;source=bl&amp;ots=Ymbqt0LuWx&amp;sig=ACfU3U3cp2TMxXZDnpXPSEwcbRHezZV7dQ&amp;hl=ru&amp;sa=X&amp;ved=2ahUKEwi65fW3iruCAxWFrokEHQirA_AQ6AF6BAgfEAM" TargetMode="External"/><Relationship Id="rId239" Type="http://schemas.openxmlformats.org/officeDocument/2006/relationships/hyperlink" Target="https://books.google.com/books?id=q9ACDgAAQBAJ&amp;pg=PT54&amp;lpg=PT54&amp;dq=%D0%B0%D0%B2%D0%B8%D1%82%D0%BE&amp;source=bl&amp;ots=67VI3u0Z9I&amp;sig=ACfU3U0w-tpnYT0IYhkFVhQ0D6BjF53Kig&amp;hl=ru&amp;sa=X&amp;ved=2ahUKEwi65fW3iruCAxWFrokEHQirA_AQ6AF6BAgeEAM" TargetMode="External"/><Relationship Id="rId238" Type="http://schemas.openxmlformats.org/officeDocument/2006/relationships/hyperlink" Target="http://books.google.com" TargetMode="External"/><Relationship Id="rId237" Type="http://schemas.openxmlformats.org/officeDocument/2006/relationships/hyperlink" Target="https://books.google.com/books?id=JSsrDwAAQBAJ&amp;pg=PT155&amp;lpg=PT155&amp;dq=%D0%B0%D0%B2%D0%B8%D1%82%D0%BE&amp;source=bl&amp;ots=o_TFqrKXhG&amp;sig=ACfU3U0uYSXdkPpcRYKGS_Pjp4Cn_DNrnA&amp;hl=ru&amp;sa=X&amp;ved=2ahUKEwi65fW3iruCAxWFrokEHQirA_AQ6AF6BAgdEAM" TargetMode="External"/><Relationship Id="rId236" Type="http://schemas.openxmlformats.org/officeDocument/2006/relationships/hyperlink" Target="https://www.crunchbase.com/organization/avito-ru" TargetMode="External"/><Relationship Id="rId231" Type="http://schemas.openxmlformats.org/officeDocument/2006/relationships/hyperlink" Target="http://www.avito.ru" TargetMode="External"/><Relationship Id="rId230" Type="http://schemas.openxmlformats.org/officeDocument/2006/relationships/hyperlink" Target="https://www.avito.ru/business" TargetMode="External"/><Relationship Id="rId235" Type="http://schemas.openxmlformats.org/officeDocument/2006/relationships/hyperlink" Target="http://career.avito.com" TargetMode="External"/><Relationship Id="rId234" Type="http://schemas.openxmlformats.org/officeDocument/2006/relationships/hyperlink" Target="https://career.avito.com/" TargetMode="External"/><Relationship Id="rId233" Type="http://schemas.openxmlformats.org/officeDocument/2006/relationships/hyperlink" Target="http://play.google.com" TargetMode="External"/><Relationship Id="rId232" Type="http://schemas.openxmlformats.org/officeDocument/2006/relationships/hyperlink" Target="https://play.google.com/store/apps/details?id=com.avito.android&amp;hl=en_US" TargetMode="External"/><Relationship Id="rId668" Type="http://schemas.openxmlformats.org/officeDocument/2006/relationships/hyperlink" Target="http://www.dnsgroup.ru" TargetMode="External"/><Relationship Id="rId667" Type="http://schemas.openxmlformats.org/officeDocument/2006/relationships/hyperlink" Target="https://www.dnsgroup.ru/" TargetMode="External"/><Relationship Id="rId666" Type="http://schemas.openxmlformats.org/officeDocument/2006/relationships/hyperlink" Target="http://yandex.ru" TargetMode="External"/><Relationship Id="rId665" Type="http://schemas.openxmlformats.org/officeDocument/2006/relationships/hyperlink" Target="https://yandex.ru/maps/65/novosibirsk/search/%D0%9D%D0%BE%D0%B2%D0%BE%D1%81%D0%B8%D0%B1%D0%B8%D1%80%D1%81%D0%BA%20%D0%B0%D0%B4%D1%80%D0%B5%D1%81%D0%B0%20%D0%BC%D0%B0%D0%B3%D0%B0%D0%B7%D0%B8%D0%BD%D0%BE%D0%B2%20DNS/" TargetMode="External"/><Relationship Id="rId669" Type="http://schemas.openxmlformats.org/officeDocument/2006/relationships/hyperlink" Target="https://centergoroda.com/arendator/dns/" TargetMode="External"/><Relationship Id="rId660" Type="http://schemas.openxmlformats.org/officeDocument/2006/relationships/hyperlink" Target="https://ru.wikipedia.org/wiki/DNS" TargetMode="External"/><Relationship Id="rId664" Type="http://schemas.openxmlformats.org/officeDocument/2006/relationships/hyperlink" Target="https://www.vl.ru/dns" TargetMode="External"/><Relationship Id="rId663" Type="http://schemas.openxmlformats.org/officeDocument/2006/relationships/hyperlink" Target="https://2gis.ru/tyumen/search/%D0%9C%D0%B0%D0%B3%D0%B0%D0%B7%D0%B8%D0%BD%D1%8B%20dns" TargetMode="External"/><Relationship Id="rId662" Type="http://schemas.openxmlformats.org/officeDocument/2006/relationships/hyperlink" Target="https://2gis.ru/vladivostok/search/%D0%9C%D0%B0%D0%B3%D0%B0%D0%B7%D0%B8%D0%BD%D1%8B%20%D0%B4%D0%BD%D1%81" TargetMode="External"/><Relationship Id="rId661" Type="http://schemas.openxmlformats.org/officeDocument/2006/relationships/hyperlink" Target="http://ru.wikipedia.org" TargetMode="External"/><Relationship Id="rId657" Type="http://schemas.openxmlformats.org/officeDocument/2006/relationships/hyperlink" Target="https://www.dns-shop.ru/" TargetMode="External"/><Relationship Id="rId656" Type="http://schemas.openxmlformats.org/officeDocument/2006/relationships/hyperlink" Target="http://3653.ru" TargetMode="External"/><Relationship Id="rId655" Type="http://schemas.openxmlformats.org/officeDocument/2006/relationships/hyperlink" Target="https://3653.ru/uchenikam/Dnevnikru/" TargetMode="External"/><Relationship Id="rId654" Type="http://schemas.openxmlformats.org/officeDocument/2006/relationships/hyperlink" Target="http://hh.ru" TargetMode="External"/><Relationship Id="rId659" Type="http://schemas.openxmlformats.org/officeDocument/2006/relationships/hyperlink" Target="http://vk.com" TargetMode="External"/><Relationship Id="rId658" Type="http://schemas.openxmlformats.org/officeDocument/2006/relationships/hyperlink" Target="https://vk.com/dnsstore" TargetMode="External"/><Relationship Id="rId653" Type="http://schemas.openxmlformats.org/officeDocument/2006/relationships/hyperlink" Target="https://hh.ru/employer/581737" TargetMode="External"/><Relationship Id="rId652" Type="http://schemas.openxmlformats.org/officeDocument/2006/relationships/hyperlink" Target="http://school57.irk.ru/p/dnevnik" TargetMode="External"/><Relationship Id="rId651" Type="http://schemas.openxmlformats.org/officeDocument/2006/relationships/hyperlink" Target="http://www.sravni.ru" TargetMode="External"/><Relationship Id="rId650" Type="http://schemas.openxmlformats.org/officeDocument/2006/relationships/hyperlink" Target="https://www.sravni.ru/enciklopediya/info/lichnyj-kabinet-dnevnik-ru/" TargetMode="External"/><Relationship Id="rId206" Type="http://schemas.openxmlformats.org/officeDocument/2006/relationships/hyperlink" Target="http://vk.com" TargetMode="External"/><Relationship Id="rId205" Type="http://schemas.openxmlformats.org/officeDocument/2006/relationships/hyperlink" Target="https://vk.com/avito" TargetMode="External"/><Relationship Id="rId689" Type="http://schemas.openxmlformats.org/officeDocument/2006/relationships/hyperlink" Target="https://www.cloudflare.com/learning/dns/what-is-dns/" TargetMode="External"/><Relationship Id="rId204" Type="http://schemas.openxmlformats.org/officeDocument/2006/relationships/hyperlink" Target="http://play.google.com" TargetMode="External"/><Relationship Id="rId688" Type="http://schemas.openxmlformats.org/officeDocument/2006/relationships/hyperlink" Target="http://developers.google.com" TargetMode="External"/><Relationship Id="rId203" Type="http://schemas.openxmlformats.org/officeDocument/2006/relationships/hyperlink" Target="https://play.google.com/store/apps/details?id=com.avito.android&amp;hl=en_US" TargetMode="External"/><Relationship Id="rId687" Type="http://schemas.openxmlformats.org/officeDocument/2006/relationships/hyperlink" Target="https://developers.google.com/speed/public-dns/docs/using" TargetMode="External"/><Relationship Id="rId209" Type="http://schemas.openxmlformats.org/officeDocument/2006/relationships/hyperlink" Target="https://apps.apple.com/us/app/%D0%B0%D0%B2%D0%B8%D1%82%D0%BE-%D0%BE%D0%B1%D1%8A%D1%8F%D0%B2%D0%BB%D0%B5%D0%BD%D0%B8%D1%8F/id417281773" TargetMode="External"/><Relationship Id="rId208" Type="http://schemas.openxmlformats.org/officeDocument/2006/relationships/hyperlink" Target="http://ru.wikipedia.org" TargetMode="External"/><Relationship Id="rId207" Type="http://schemas.openxmlformats.org/officeDocument/2006/relationships/hyperlink" Target="https://ru.wikipedia.org/wiki/%D0%90%D0%B2%D0%B8%D1%82%D0%BE" TargetMode="External"/><Relationship Id="rId682" Type="http://schemas.openxmlformats.org/officeDocument/2006/relationships/hyperlink" Target="https://halvacard.ru/shops/elektronika/dns" TargetMode="External"/><Relationship Id="rId681" Type="http://schemas.openxmlformats.org/officeDocument/2006/relationships/hyperlink" Target="http://dnsdevelopment.ru" TargetMode="External"/><Relationship Id="rId680" Type="http://schemas.openxmlformats.org/officeDocument/2006/relationships/hyperlink" Target="https://dnsdevelopment.ru/" TargetMode="External"/><Relationship Id="rId202" Type="http://schemas.openxmlformats.org/officeDocument/2006/relationships/hyperlink" Target="http://www.avito.ru" TargetMode="External"/><Relationship Id="rId686" Type="http://schemas.openxmlformats.org/officeDocument/2006/relationships/hyperlink" Target="http://developers.google.com" TargetMode="External"/><Relationship Id="rId201" Type="http://schemas.openxmlformats.org/officeDocument/2006/relationships/hyperlink" Target="https://www.avito.ru/rossiya" TargetMode="External"/><Relationship Id="rId685" Type="http://schemas.openxmlformats.org/officeDocument/2006/relationships/hyperlink" Target="https://developers.google.com/speed/public-dns" TargetMode="External"/><Relationship Id="rId200" Type="http://schemas.openxmlformats.org/officeDocument/2006/relationships/hyperlink" Target="http://www.avito.ru" TargetMode="External"/><Relationship Id="rId684" Type="http://schemas.openxmlformats.org/officeDocument/2006/relationships/hyperlink" Target="http://help.reg.ru" TargetMode="External"/><Relationship Id="rId683" Type="http://schemas.openxmlformats.org/officeDocument/2006/relationships/hyperlink" Target="https://help.reg.ru/support/dns-servery-i-nastroyka-zony/nastroyka-resursnykh-zapisey-dns/nastroyka-resursnykh-zapisey-na-hostinge" TargetMode="External"/><Relationship Id="rId679" Type="http://schemas.openxmlformats.org/officeDocument/2006/relationships/hyperlink" Target="http://www.prozapass.ru" TargetMode="External"/><Relationship Id="rId678" Type="http://schemas.openxmlformats.org/officeDocument/2006/relationships/hyperlink" Target="https://www.prozapass.ru/" TargetMode="External"/><Relationship Id="rId677" Type="http://schemas.openxmlformats.org/officeDocument/2006/relationships/hyperlink" Target="http://help-ru.tilda.cc" TargetMode="External"/><Relationship Id="rId676" Type="http://schemas.openxmlformats.org/officeDocument/2006/relationships/hyperlink" Target="https://help-ru.tilda.cc/dns" TargetMode="External"/><Relationship Id="rId671" Type="http://schemas.openxmlformats.org/officeDocument/2006/relationships/hyperlink" Target="https://nsk.zoon.ru/shops/network/dns/" TargetMode="External"/><Relationship Id="rId670" Type="http://schemas.openxmlformats.org/officeDocument/2006/relationships/hyperlink" Target="http://centergoroda.com" TargetMode="External"/><Relationship Id="rId675" Type="http://schemas.openxmlformats.org/officeDocument/2006/relationships/hyperlink" Target="http://sankt-peterburg.kitabi.ru" TargetMode="External"/><Relationship Id="rId674" Type="http://schemas.openxmlformats.org/officeDocument/2006/relationships/hyperlink" Target="https://sankt-peterburg.kitabi.ru/brands/magazin-dns-shop" TargetMode="External"/><Relationship Id="rId673" Type="http://schemas.openxmlformats.org/officeDocument/2006/relationships/hyperlink" Target="https://www.yell.ru/novosibirsk/com/magazin-dns_12521469/" TargetMode="External"/><Relationship Id="rId672" Type="http://schemas.openxmlformats.org/officeDocument/2006/relationships/hyperlink" Target="http://nsk.zoon.ru" TargetMode="External"/><Relationship Id="rId190" Type="http://schemas.openxmlformats.org/officeDocument/2006/relationships/hyperlink" Target="http://www.avatar.com" TargetMode="External"/><Relationship Id="rId194" Type="http://schemas.openxmlformats.org/officeDocument/2006/relationships/hyperlink" Target="http://www.instagram.com" TargetMode="External"/><Relationship Id="rId193" Type="http://schemas.openxmlformats.org/officeDocument/2006/relationships/hyperlink" Target="https://www.instagram.com/avatar2officialmovie/" TargetMode="External"/><Relationship Id="rId192" Type="http://schemas.openxmlformats.org/officeDocument/2006/relationships/hyperlink" Target="http://www.avatar.com" TargetMode="External"/><Relationship Id="rId191" Type="http://schemas.openxmlformats.org/officeDocument/2006/relationships/hyperlink" Target="https://www.avatar.com/movies/avatar-the-way-of-water" TargetMode="External"/><Relationship Id="rId187" Type="http://schemas.openxmlformats.org/officeDocument/2006/relationships/hyperlink" Target="https://www.rottentomatoes.com/m/avatar_the_way_of_water" TargetMode="External"/><Relationship Id="rId186" Type="http://schemas.openxmlformats.org/officeDocument/2006/relationships/hyperlink" Target="http://www.imdb.com" TargetMode="External"/><Relationship Id="rId185" Type="http://schemas.openxmlformats.org/officeDocument/2006/relationships/hyperlink" Target="https://www.imdb.com/title/tt1630029/" TargetMode="External"/><Relationship Id="rId184" Type="http://schemas.openxmlformats.org/officeDocument/2006/relationships/hyperlink" Target="http://en.wikipedia.org" TargetMode="External"/><Relationship Id="rId189" Type="http://schemas.openxmlformats.org/officeDocument/2006/relationships/hyperlink" Target="https://www.avatar.com/" TargetMode="External"/><Relationship Id="rId188" Type="http://schemas.openxmlformats.org/officeDocument/2006/relationships/hyperlink" Target="http://www.rottentomatoes.com" TargetMode="External"/><Relationship Id="rId183" Type="http://schemas.openxmlformats.org/officeDocument/2006/relationships/hyperlink" Target="https://en.wikipedia.org/wiki/Avatar:_The_Way_of_Water" TargetMode="External"/><Relationship Id="rId182" Type="http://schemas.openxmlformats.org/officeDocument/2006/relationships/hyperlink" Target="http://www.filmpro.ru" TargetMode="External"/><Relationship Id="rId181" Type="http://schemas.openxmlformats.org/officeDocument/2006/relationships/hyperlink" Target="https://www.filmpro.ru/movies/5138" TargetMode="External"/><Relationship Id="rId180" Type="http://schemas.openxmlformats.org/officeDocument/2006/relationships/hyperlink" Target="http://www.afisha.ru" TargetMode="External"/><Relationship Id="rId176" Type="http://schemas.openxmlformats.org/officeDocument/2006/relationships/hyperlink" Target="http://rutube.ru" TargetMode="External"/><Relationship Id="rId175" Type="http://schemas.openxmlformats.org/officeDocument/2006/relationships/hyperlink" Target="https://rutube.ru/video/633df1f2b8ccf9202aa456f672ff8eed/" TargetMode="External"/><Relationship Id="rId174" Type="http://schemas.openxmlformats.org/officeDocument/2006/relationships/hyperlink" Target="http://www.film.ru" TargetMode="External"/><Relationship Id="rId173" Type="http://schemas.openxmlformats.org/officeDocument/2006/relationships/hyperlink" Target="https://www.film.ru/movies/avatar-put-vody" TargetMode="External"/><Relationship Id="rId179" Type="http://schemas.openxmlformats.org/officeDocument/2006/relationships/hyperlink" Target="https://www.afisha.ru/movie/avatar-put-vody-211630/" TargetMode="External"/><Relationship Id="rId178" Type="http://schemas.openxmlformats.org/officeDocument/2006/relationships/hyperlink" Target="http://www.kp.ru" TargetMode="External"/><Relationship Id="rId177" Type="http://schemas.openxmlformats.org/officeDocument/2006/relationships/hyperlink" Target="https://www.kp.ru/afisha/msk/obzory/muzyka/shou-avatar-2-sezon-2023/" TargetMode="External"/><Relationship Id="rId198" Type="http://schemas.openxmlformats.org/officeDocument/2006/relationships/hyperlink" Target="http://www.avito.ru" TargetMode="External"/><Relationship Id="rId197" Type="http://schemas.openxmlformats.org/officeDocument/2006/relationships/hyperlink" Target="https://www.avito.ru/" TargetMode="External"/><Relationship Id="rId196" Type="http://schemas.openxmlformats.org/officeDocument/2006/relationships/hyperlink" Target="http://www.boxofficemojo.com" TargetMode="External"/><Relationship Id="rId195" Type="http://schemas.openxmlformats.org/officeDocument/2006/relationships/hyperlink" Target="https://www.boxofficemojo.com/title/tt1630029/" TargetMode="External"/><Relationship Id="rId199" Type="http://schemas.openxmlformats.org/officeDocument/2006/relationships/hyperlink" Target="https://www.avito.ru/rightholder" TargetMode="External"/><Relationship Id="rId150" Type="http://schemas.openxmlformats.org/officeDocument/2006/relationships/hyperlink" Target="http://books.google.com" TargetMode="External"/><Relationship Id="rId149" Type="http://schemas.openxmlformats.org/officeDocument/2006/relationships/hyperlink" Target="https://books.google.com/books?id=zN_JCgAAQBAJ&amp;pg=SA7-PA14&amp;lpg=SA7-PA14&amp;dq=youtube&amp;source=bl&amp;ots=ukklr-AaT3&amp;sig=ACfU3U1b5fMtZ3X5-2vKmvRGMyhKaftYow&amp;hl=ru&amp;sa=X&amp;ved=2ahUKEwjm_r2djLuCAxWTvokEHdDgCUQQ6AF6BAhIEAM" TargetMode="External"/><Relationship Id="rId148" Type="http://schemas.openxmlformats.org/officeDocument/2006/relationships/hyperlink" Target="http://books.google.com" TargetMode="External"/><Relationship Id="rId143" Type="http://schemas.openxmlformats.org/officeDocument/2006/relationships/hyperlink" Target="http://support.google.com" TargetMode="External"/><Relationship Id="rId142" Type="http://schemas.openxmlformats.org/officeDocument/2006/relationships/hyperlink" Target="https://support.google.com/youtube/troubleshooter/2888402?hl=en" TargetMode="External"/><Relationship Id="rId141" Type="http://schemas.openxmlformats.org/officeDocument/2006/relationships/hyperlink" Target="https://www.reddit.com/r/youtube/" TargetMode="External"/><Relationship Id="rId140" Type="http://schemas.openxmlformats.org/officeDocument/2006/relationships/hyperlink" Target="http://accounts.google.com" TargetMode="External"/><Relationship Id="rId147" Type="http://schemas.openxmlformats.org/officeDocument/2006/relationships/hyperlink" Target="https://books.google.com/books?id=hB_AEAAAQBAJ&amp;pg=PT60&amp;lpg=PT60&amp;dq=youtube&amp;source=bl&amp;ots=RoNPGn3yYU&amp;sig=ACfU3U2-HpijsvwhjvWEtPcf6ZRxd4vllg&amp;hl=ru&amp;sa=X&amp;ved=2ahUKEwjm_r2djLuCAxWTvokEHdDgCUQQ6AF6BAhWEAM" TargetMode="External"/><Relationship Id="rId146" Type="http://schemas.openxmlformats.org/officeDocument/2006/relationships/hyperlink" Target="https://www.canva.com/video-editor/youtube/" TargetMode="External"/><Relationship Id="rId145" Type="http://schemas.openxmlformats.org/officeDocument/2006/relationships/hyperlink" Target="http://www.webwise.ie" TargetMode="External"/><Relationship Id="rId144" Type="http://schemas.openxmlformats.org/officeDocument/2006/relationships/hyperlink" Target="https://www.webwise.ie/parents/what-is-youtube/" TargetMode="External"/><Relationship Id="rId139" Type="http://schemas.openxmlformats.org/officeDocument/2006/relationships/hyperlink" Target="https://accounts.google.com/ServiceLogin?service=youtube&amp;uilel=3&amp;hl=en" TargetMode="External"/><Relationship Id="rId138" Type="http://schemas.openxmlformats.org/officeDocument/2006/relationships/hyperlink" Target="http://support.google.com" TargetMode="External"/><Relationship Id="rId137" Type="http://schemas.openxmlformats.org/officeDocument/2006/relationships/hyperlink" Target="https://support.google.com/youtube/answer/72857?hl=en" TargetMode="External"/><Relationship Id="rId132" Type="http://schemas.openxmlformats.org/officeDocument/2006/relationships/hyperlink" Target="https://blog.youtube/" TargetMode="External"/><Relationship Id="rId131" Type="http://schemas.openxmlformats.org/officeDocument/2006/relationships/hyperlink" Target="http://apps.apple.com" TargetMode="External"/><Relationship Id="rId130" Type="http://schemas.openxmlformats.org/officeDocument/2006/relationships/hyperlink" Target="https://apps.apple.com/us/app/youtube-watch-listen-stream/id544007664" TargetMode="External"/><Relationship Id="rId136" Type="http://schemas.openxmlformats.org/officeDocument/2006/relationships/hyperlink" Target="http://edu.gcfglobal.org" TargetMode="External"/><Relationship Id="rId135" Type="http://schemas.openxmlformats.org/officeDocument/2006/relationships/hyperlink" Target="https://edu.gcfglobal.org/en/youtube/what-is-youtube/1/" TargetMode="External"/><Relationship Id="rId134" Type="http://schemas.openxmlformats.org/officeDocument/2006/relationships/hyperlink" Target="http://www.instagram.com" TargetMode="External"/><Relationship Id="rId133" Type="http://schemas.openxmlformats.org/officeDocument/2006/relationships/hyperlink" Target="https://www.instagram.com/youtube/" TargetMode="External"/><Relationship Id="rId172" Type="http://schemas.openxmlformats.org/officeDocument/2006/relationships/hyperlink" Target="http://www.ivi.ru" TargetMode="External"/><Relationship Id="rId171" Type="http://schemas.openxmlformats.org/officeDocument/2006/relationships/hyperlink" Target="https://www.ivi.ru/watch/138313" TargetMode="External"/><Relationship Id="rId170" Type="http://schemas.openxmlformats.org/officeDocument/2006/relationships/hyperlink" Target="http://ru.wikipedia.org" TargetMode="External"/><Relationship Id="rId165" Type="http://schemas.openxmlformats.org/officeDocument/2006/relationships/hyperlink" Target="https://books.google.com/books?id=osJSEAAAQBAJ&amp;pg=PA7&amp;lpg=PA7&amp;dq=youtube&amp;source=bl&amp;ots=X5YyqPay6G&amp;sig=ACfU3U3J2ljgLdGonDW1KKSwEL3Yan4MOA&amp;hl=ru&amp;sa=X&amp;ved=2ahUKEwjZ2L3yj7uCAxWSjYkEHU2sBGoQ6AF6BAg7EAM" TargetMode="External"/><Relationship Id="rId164" Type="http://schemas.openxmlformats.org/officeDocument/2006/relationships/hyperlink" Target="http://www.google.com" TargetMode="External"/><Relationship Id="rId163" Type="http://schemas.openxmlformats.org/officeDocument/2006/relationships/hyperlink" Target="https://www.google.com/account/about/" TargetMode="External"/><Relationship Id="rId162" Type="http://schemas.openxmlformats.org/officeDocument/2006/relationships/hyperlink" Target="http://books.google.com" TargetMode="External"/><Relationship Id="rId169" Type="http://schemas.openxmlformats.org/officeDocument/2006/relationships/hyperlink" Target="https://ru.wikipedia.org/wiki/%D0%90%D0%B2%D0%B0%D1%82%D0%B0%D1%80:_%D0%9F%D1%83%D1%82%D1%8C_%D0%B2%D0%BE%D0%B4%D1%8B" TargetMode="External"/><Relationship Id="rId168" Type="http://schemas.openxmlformats.org/officeDocument/2006/relationships/hyperlink" Target="http://www.kinopoisk.ru" TargetMode="External"/><Relationship Id="rId167" Type="http://schemas.openxmlformats.org/officeDocument/2006/relationships/hyperlink" Target="https://www.kinopoisk.ru/film/505898/" TargetMode="External"/><Relationship Id="rId166" Type="http://schemas.openxmlformats.org/officeDocument/2006/relationships/hyperlink" Target="http://books.google.com" TargetMode="External"/><Relationship Id="rId161" Type="http://schemas.openxmlformats.org/officeDocument/2006/relationships/hyperlink" Target="https://books.google.com/books?id=bdRdDwAAQBAJ&amp;pg=PT14&amp;lpg=PT14&amp;dq=youtube&amp;source=bl&amp;ots=q80xWSixim&amp;sig=ACfU3U2ZLD8gw8jCH6x3DnTBxHC-WCZQ4w&amp;hl=ru&amp;sa=X&amp;ved=2ahUKEwjZ2L3yj7uCAxWSjYkEHU2sBGoQ6AF6BAg6EAM" TargetMode="External"/><Relationship Id="rId160" Type="http://schemas.openxmlformats.org/officeDocument/2006/relationships/hyperlink" Target="http://books.google.com" TargetMode="External"/><Relationship Id="rId159" Type="http://schemas.openxmlformats.org/officeDocument/2006/relationships/hyperlink" Target="https://books.google.com/books?id=bRZn0jExOuYC&amp;pg=PA260&amp;lpg=PA260&amp;dq=youtube&amp;source=bl&amp;ots=d-jy7Rak2B&amp;sig=ACfU3U3fuE5JI5XbD1rZXMYu8nTmJ6PpXA&amp;hl=ru&amp;sa=X&amp;ved=2ahUKEwjZ2L3yj7uCAxWSjYkEHU2sBGoQ6AF6BAhUEAM" TargetMode="External"/><Relationship Id="rId154" Type="http://schemas.openxmlformats.org/officeDocument/2006/relationships/hyperlink" Target="http://en.wikipedia.org" TargetMode="External"/><Relationship Id="rId153" Type="http://schemas.openxmlformats.org/officeDocument/2006/relationships/hyperlink" Target="https://en.wikipedia.org/wiki/History_of_YouTube" TargetMode="External"/><Relationship Id="rId152" Type="http://schemas.openxmlformats.org/officeDocument/2006/relationships/hyperlink" Target="http://chrome.google.com" TargetMode="External"/><Relationship Id="rId151" Type="http://schemas.openxmlformats.org/officeDocument/2006/relationships/hyperlink" Target="https://chrome.google.com/webstore/detail/vidiq-vision-for-youtube/pachckjkecffpdphbpmfolblodfkgbhl" TargetMode="External"/><Relationship Id="rId158" Type="http://schemas.openxmlformats.org/officeDocument/2006/relationships/hyperlink" Target="http://montezumacounty.org" TargetMode="External"/><Relationship Id="rId157" Type="http://schemas.openxmlformats.org/officeDocument/2006/relationships/hyperlink" Target="https://montezumacounty.org/youtube-montezuma-county-pz-meeting-november-9-2023/" TargetMode="External"/><Relationship Id="rId156" Type="http://schemas.openxmlformats.org/officeDocument/2006/relationships/hyperlink" Target="http://support.google.com" TargetMode="External"/><Relationship Id="rId155" Type="http://schemas.openxmlformats.org/officeDocument/2006/relationships/hyperlink" Target="https://support.google.com/youtube/answer/71673?hl=en&amp;co=GENIE.Platform%3DAndroid" TargetMode="External"/><Relationship Id="rId509" Type="http://schemas.openxmlformats.org/officeDocument/2006/relationships/hyperlink" Target="http://tsvetomania.ru" TargetMode="External"/><Relationship Id="rId508" Type="http://schemas.openxmlformats.org/officeDocument/2006/relationships/hyperlink" Target="https://tsvetomania.ru/encyclopedia/gipsofila963/" TargetMode="External"/><Relationship Id="rId503" Type="http://schemas.openxmlformats.org/officeDocument/2006/relationships/hyperlink" Target="https://apps.apple.com/ru/app/%D0%B3%D0%B4%D0%B7-%D0%BC%D0%BE%D0%B9-%D1%80%D0%B5%D1%88%D0%B5%D0%B1%D0%BD%D0%B8%D0%BA/id1276194049" TargetMode="External"/><Relationship Id="rId502" Type="http://schemas.openxmlformats.org/officeDocument/2006/relationships/hyperlink" Target="http://vshkole.com" TargetMode="External"/><Relationship Id="rId501" Type="http://schemas.openxmlformats.org/officeDocument/2006/relationships/hyperlink" Target="https://vshkole.com/" TargetMode="External"/><Relationship Id="rId500" Type="http://schemas.openxmlformats.org/officeDocument/2006/relationships/hyperlink" Target="http://play.google.com" TargetMode="External"/><Relationship Id="rId507" Type="http://schemas.openxmlformats.org/officeDocument/2006/relationships/hyperlink" Target="https://flowwow.com/blog/gipsofila-foto-i-opisanie/" TargetMode="External"/><Relationship Id="rId506" Type="http://schemas.openxmlformats.org/officeDocument/2006/relationships/hyperlink" Target="http://gdz.sub.uni-goettingen.de" TargetMode="External"/><Relationship Id="rId505" Type="http://schemas.openxmlformats.org/officeDocument/2006/relationships/hyperlink" Target="https://gdz.sub.uni-goettingen.de/" TargetMode="External"/><Relationship Id="rId504" Type="http://schemas.openxmlformats.org/officeDocument/2006/relationships/hyperlink" Target="http://apps.apple.com" TargetMode="External"/><Relationship Id="rId525" Type="http://schemas.openxmlformats.org/officeDocument/2006/relationships/hyperlink" Target="http://cvetovik.com" TargetMode="External"/><Relationship Id="rId524" Type="http://schemas.openxmlformats.org/officeDocument/2006/relationships/hyperlink" Target="https://cvetovik.com/catalog/tsveti/gipsofila/" TargetMode="External"/><Relationship Id="rId523" Type="http://schemas.openxmlformats.org/officeDocument/2006/relationships/hyperlink" Target="http://9046065.ru" TargetMode="External"/><Relationship Id="rId522" Type="http://schemas.openxmlformats.org/officeDocument/2006/relationships/hyperlink" Target="https://9046065.ru/cveti/gipsofila-spb/" TargetMode="External"/><Relationship Id="rId529" Type="http://schemas.openxmlformats.org/officeDocument/2006/relationships/hyperlink" Target="http://buketonline-msk.ru" TargetMode="External"/><Relationship Id="rId528" Type="http://schemas.openxmlformats.org/officeDocument/2006/relationships/hyperlink" Target="https://buketonline-msk.ru/cvety/gipsofila/" TargetMode="External"/><Relationship Id="rId527" Type="http://schemas.openxmlformats.org/officeDocument/2006/relationships/hyperlink" Target="http://www.grand-kapriz.ru" TargetMode="External"/><Relationship Id="rId526" Type="http://schemas.openxmlformats.org/officeDocument/2006/relationships/hyperlink" Target="https://www.grand-kapriz.ru/product/buket-iz-rozovoy-gipsofily" TargetMode="External"/><Relationship Id="rId521" Type="http://schemas.openxmlformats.org/officeDocument/2006/relationships/hyperlink" Target="http://roza101.ru" TargetMode="External"/><Relationship Id="rId520" Type="http://schemas.openxmlformats.org/officeDocument/2006/relationships/hyperlink" Target="https://roza101.ru/cvety/gipsofily" TargetMode="External"/><Relationship Id="rId519" Type="http://schemas.openxmlformats.org/officeDocument/2006/relationships/hyperlink" Target="https://xn----7sbbzcf1abmgo.xn--p1ai/%D0%B1%D1%83%D0%BA%D0%B5%D1%82%D1%8B/%D0%B1%D1%83%D0%BA%D0%B5%D1%82%D1%8B-%D0%B8%D0%B7-%D0%B3%D0%B8%D0%BF%D1%81%D0%BE%D1%84%D0%B8%D0%BB%D1%8B/" TargetMode="External"/><Relationship Id="rId514" Type="http://schemas.openxmlformats.org/officeDocument/2006/relationships/hyperlink" Target="http://flawery.ru" TargetMode="External"/><Relationship Id="rId513" Type="http://schemas.openxmlformats.org/officeDocument/2006/relationships/hyperlink" Target="https://flawery.ru/samara/bouquets/flowers-gipsofila/" TargetMode="External"/><Relationship Id="rId512" Type="http://schemas.openxmlformats.org/officeDocument/2006/relationships/hyperlink" Target="https://www.ozon.ru/category/bukety-iz-gipsofil/" TargetMode="External"/><Relationship Id="rId511" Type="http://schemas.openxmlformats.org/officeDocument/2006/relationships/hyperlink" Target="https://flowwow.com/moscow/gipsofila-flowers/" TargetMode="External"/><Relationship Id="rId518" Type="http://schemas.openxmlformats.org/officeDocument/2006/relationships/hyperlink" Target="http://magicalflower.ru" TargetMode="External"/><Relationship Id="rId517" Type="http://schemas.openxmlformats.org/officeDocument/2006/relationships/hyperlink" Target="https://magicalflower.ru/tsvety/gipsofila/" TargetMode="External"/><Relationship Id="rId516" Type="http://schemas.openxmlformats.org/officeDocument/2006/relationships/hyperlink" Target="http://floralavka.ru" TargetMode="External"/><Relationship Id="rId515" Type="http://schemas.openxmlformats.org/officeDocument/2006/relationships/hyperlink" Target="https://floralavka.ru/monobuket-iz-gipsofily" TargetMode="External"/><Relationship Id="rId510" Type="http://schemas.openxmlformats.org/officeDocument/2006/relationships/hyperlink" Target="https://cvetov.ru/grozny/catalog/bukety/192417/" TargetMode="External"/><Relationship Id="rId590" Type="http://schemas.openxmlformats.org/officeDocument/2006/relationships/hyperlink" Target="https://gosuslugi.bashkortostan.ru/" TargetMode="External"/><Relationship Id="rId107" Type="http://schemas.openxmlformats.org/officeDocument/2006/relationships/hyperlink" Target="http://books.google.ru" TargetMode="External"/><Relationship Id="rId106" Type="http://schemas.openxmlformats.org/officeDocument/2006/relationships/hyperlink" Target="https://books.google.ru/books?id=YnmDDwAAQBAJ&amp;pg=PA2011&amp;lpg=PA2011&amp;dq=youtube&amp;source=bl&amp;ots=TkmbnD1Umk&amp;sig=ACfU3U29fZzHEYCkLXShwbQhIu6PLUehqQ&amp;hl=ru&amp;sa=X&amp;ved=2ahUKEwi3-s7Pqr2CAxVFlYkEHdSYDAsQ6AF6BAgxEAM" TargetMode="External"/><Relationship Id="rId105" Type="http://schemas.openxmlformats.org/officeDocument/2006/relationships/hyperlink" Target="http://books.google.ru" TargetMode="External"/><Relationship Id="rId589" Type="http://schemas.openxmlformats.org/officeDocument/2006/relationships/hyperlink" Target="http://rospatent.gov.ru" TargetMode="External"/><Relationship Id="rId104" Type="http://schemas.openxmlformats.org/officeDocument/2006/relationships/hyperlink" Target="https://books.google.ru/books?id=vsS_EAAAQBAJ&amp;pg=PT292&amp;lpg=PT292&amp;dq=youtube&amp;source=bl&amp;ots=WQHLXAoj-V&amp;sig=ACfU3U1Wfks5N7DmWNNuVSPSqaRskMo_gg&amp;hl=ru&amp;sa=X&amp;ved=2ahUKEwi3-s7Pqr2CAxVFlYkEHdSYDAsQ6AF6BAgyEAM" TargetMode="External"/><Relationship Id="rId588" Type="http://schemas.openxmlformats.org/officeDocument/2006/relationships/hyperlink" Target="https://rospatent.gov.ru/ru/stateservices" TargetMode="External"/><Relationship Id="rId109" Type="http://schemas.openxmlformats.org/officeDocument/2006/relationships/hyperlink" Target="https://books.google.ru/books?id=TENTDAAAQBAJ&amp;pg=PT235&amp;lpg=PT235&amp;dq=youtube&amp;source=bl&amp;ots=kj1XP-jK3W&amp;sig=ACfU3U0ruU0GBxsYF5qWK6wY6_W1xgOtqQ&amp;hl=ru&amp;sa=X&amp;ved=2ahUKEwi3-s7Pqr2CAxVFlYkEHdSYDAsQ6AF6BAgvEAM" TargetMode="External"/><Relationship Id="rId108" Type="http://schemas.openxmlformats.org/officeDocument/2006/relationships/hyperlink" Target="https://ria.ru/20231111/youtube-1908793764.html" TargetMode="External"/><Relationship Id="rId583" Type="http://schemas.openxmlformats.org/officeDocument/2006/relationships/hyperlink" Target="http://26gosuslugi.ru" TargetMode="External"/><Relationship Id="rId582" Type="http://schemas.openxmlformats.org/officeDocument/2006/relationships/hyperlink" Target="https://26gosuslugi.ru/" TargetMode="External"/><Relationship Id="rId581" Type="http://schemas.openxmlformats.org/officeDocument/2006/relationships/hyperlink" Target="http://uslugi.admtyumen.ru" TargetMode="External"/><Relationship Id="rId580" Type="http://schemas.openxmlformats.org/officeDocument/2006/relationships/hyperlink" Target="https://uslugi.admtyumen.ru/" TargetMode="External"/><Relationship Id="rId103" Type="http://schemas.openxmlformats.org/officeDocument/2006/relationships/hyperlink" Target="https://www.rbc.ru/rbcfreenews/654f29799a794763fb726e29" TargetMode="External"/><Relationship Id="rId587" Type="http://schemas.openxmlformats.org/officeDocument/2006/relationships/hyperlink" Target="https://gosuslugi.pnzreg.ru/" TargetMode="External"/><Relationship Id="rId102" Type="http://schemas.openxmlformats.org/officeDocument/2006/relationships/hyperlink" Target="http://www.vedomosti.ru" TargetMode="External"/><Relationship Id="rId586" Type="http://schemas.openxmlformats.org/officeDocument/2006/relationships/hyperlink" Target="https://www.gosuslugi71.ru/" TargetMode="External"/><Relationship Id="rId101" Type="http://schemas.openxmlformats.org/officeDocument/2006/relationships/hyperlink" Target="https://www.vedomosti.ru/media/news/2023/11/11/1005325-youtube-zablokiroval" TargetMode="External"/><Relationship Id="rId585" Type="http://schemas.openxmlformats.org/officeDocument/2006/relationships/hyperlink" Target="http://gosuslugi41.ru" TargetMode="External"/><Relationship Id="rId100" Type="http://schemas.openxmlformats.org/officeDocument/2006/relationships/hyperlink" Target="http://support.google.com" TargetMode="External"/><Relationship Id="rId584" Type="http://schemas.openxmlformats.org/officeDocument/2006/relationships/hyperlink" Target="https://gosuslugi41.ru/" TargetMode="External"/><Relationship Id="rId579" Type="http://schemas.openxmlformats.org/officeDocument/2006/relationships/hyperlink" Target="https://gu.spb.ru/" TargetMode="External"/><Relationship Id="rId578" Type="http://schemas.openxmlformats.org/officeDocument/2006/relationships/hyperlink" Target="http://ru.wikipedia.org" TargetMode="External"/><Relationship Id="rId577" Type="http://schemas.openxmlformats.org/officeDocument/2006/relationships/hyperlink" Target="https://ru.wikipedia.org/wiki/%D0%9F%D0%BE%D1%80%D1%82%D0%B0%D0%BB_%D0%B3%D0%BE%D1%81%D1%83%D0%B4%D0%B0%D1%80%D1%81%D1%82%D0%B2%D0%B5%D0%BD%D0%BD%D1%8B%D1%85_%D1%83%D1%81%D0%BB%D1%83%D0%B3_%D0%A0%D0%BE%D1%81%D1%81%D0%B8%D0%B9%D1%81%D0%BA%D0%BE%D0%B9_%D0%A4%D0%B5%D0%B4%D0%B5%D1%80%D0%B0%D1%86%D0%B8%D0%B8" TargetMode="External"/><Relationship Id="rId572" Type="http://schemas.openxmlformats.org/officeDocument/2006/relationships/hyperlink" Target="https://t.me/gosuslugi" TargetMode="External"/><Relationship Id="rId571" Type="http://schemas.openxmlformats.org/officeDocument/2006/relationships/hyperlink" Target="http://apps.apple.com" TargetMode="External"/><Relationship Id="rId570" Type="http://schemas.openxmlformats.org/officeDocument/2006/relationships/hyperlink" Target="https://apps.apple.com/ru/app/%D0%B3%D0%BE%D1%81%D1%83%D1%81%D0%BB%D1%83%D0%B3%D0%B8/id1367959794" TargetMode="External"/><Relationship Id="rId576" Type="http://schemas.openxmlformats.org/officeDocument/2006/relationships/hyperlink" Target="https://uslugi.tatarstan.ru/" TargetMode="External"/><Relationship Id="rId575" Type="http://schemas.openxmlformats.org/officeDocument/2006/relationships/hyperlink" Target="https://uslugi.mosreg.ru/" TargetMode="External"/><Relationship Id="rId574" Type="http://schemas.openxmlformats.org/officeDocument/2006/relationships/hyperlink" Target="https://www.mos.ru/uslugi/" TargetMode="External"/><Relationship Id="rId573" Type="http://schemas.openxmlformats.org/officeDocument/2006/relationships/hyperlink" Target="http://t.me" TargetMode="External"/><Relationship Id="rId129" Type="http://schemas.openxmlformats.org/officeDocument/2006/relationships/hyperlink" Target="http://en.wikipedia.org" TargetMode="External"/><Relationship Id="rId128" Type="http://schemas.openxmlformats.org/officeDocument/2006/relationships/hyperlink" Target="https://en.wikipedia.org/wiki/YouTube" TargetMode="External"/><Relationship Id="rId127" Type="http://schemas.openxmlformats.org/officeDocument/2006/relationships/hyperlink" Target="http://www.youtube.com" TargetMode="External"/><Relationship Id="rId126" Type="http://schemas.openxmlformats.org/officeDocument/2006/relationships/hyperlink" Target="https://www.youtube.com/" TargetMode="External"/><Relationship Id="rId121" Type="http://schemas.openxmlformats.org/officeDocument/2006/relationships/hyperlink" Target="https://www.epravda.com.ua/rus/news/2023/11/7/706338/" TargetMode="External"/><Relationship Id="rId120" Type="http://schemas.openxmlformats.org/officeDocument/2006/relationships/hyperlink" Target="http://books.google.ru" TargetMode="External"/><Relationship Id="rId125" Type="http://schemas.openxmlformats.org/officeDocument/2006/relationships/hyperlink" Target="http://books.google.ru" TargetMode="External"/><Relationship Id="rId124" Type="http://schemas.openxmlformats.org/officeDocument/2006/relationships/hyperlink" Target="https://books.google.ru/books?id=Mj86AQAAMAAJ&amp;pg=RA31-PA27&amp;lpg=RA31-PA27&amp;dq=youtube&amp;source=bl&amp;ots=2AJHUblo31&amp;sig=ACfU3U3EJwoUJgDdcMCXPjOsHK9EInGD9Q&amp;hl=ru&amp;sa=X&amp;ved=2ahUKEwi3-s7Pqr2CAxVFlYkEHdSYDAsQ6AF6BAguEAM" TargetMode="External"/><Relationship Id="rId123" Type="http://schemas.openxmlformats.org/officeDocument/2006/relationships/hyperlink" Target="http://books.google.ru" TargetMode="External"/><Relationship Id="rId122" Type="http://schemas.openxmlformats.org/officeDocument/2006/relationships/hyperlink" Target="https://books.google.ru/books?id=xmpBAQAAMAAJ&amp;pg=PT112&amp;lpg=PT112&amp;dq=youtube&amp;source=bl&amp;ots=yviMQJ_D8s&amp;sig=ACfU3U3sEgjEG-FZcfWQDQBf7_DXq9Txgg&amp;hl=ru&amp;sa=X&amp;ved=2ahUKEwi3-s7Pqr2CAxVFlYkEHdSYDAsQ6AF6BAgwEAM" TargetMode="External"/><Relationship Id="rId118" Type="http://schemas.openxmlformats.org/officeDocument/2006/relationships/hyperlink" Target="http://books.google.ru" TargetMode="External"/><Relationship Id="rId117" Type="http://schemas.openxmlformats.org/officeDocument/2006/relationships/hyperlink" Target="https://books.google.ru/books?id=9NUXAQAAIAAJ&amp;pg=PA390-IA3&amp;lpg=PA390-IA3&amp;dq=youtube&amp;source=bl&amp;ots=rF1Kyt-gyk&amp;sig=ACfU3U3irsaPEnN2T25KeOeCL2W2Mw_TsQ&amp;hl=ru&amp;sa=X&amp;ved=2ahUKEwi3-s7Pqr2CAxVFlYkEHdSYDAsQ6AF6BAg3EAM" TargetMode="External"/><Relationship Id="rId116" Type="http://schemas.openxmlformats.org/officeDocument/2006/relationships/hyperlink" Target="http://tass.ru" TargetMode="External"/><Relationship Id="rId115" Type="http://schemas.openxmlformats.org/officeDocument/2006/relationships/hyperlink" Target="https://tass.ru/ekonomika/19255577" TargetMode="External"/><Relationship Id="rId599" Type="http://schemas.openxmlformats.org/officeDocument/2006/relationships/hyperlink" Target="https://eservice.gu.spb.ru/portalFront/resources/portal.html" TargetMode="External"/><Relationship Id="rId119" Type="http://schemas.openxmlformats.org/officeDocument/2006/relationships/hyperlink" Target="https://books.google.ru/books?id=VyIZAAAAYAAJ&amp;pg=RA4-PA116&amp;lpg=RA4-PA116&amp;dq=youtube&amp;source=bl&amp;ots=awshVP0y90&amp;sig=ACfU3U3MF4KLOI7_nvNAI4S9xKtO7qJ5zg&amp;hl=ru&amp;sa=X&amp;ved=2ahUKEwi3-s7Pqr2CAxVFlYkEHdSYDAsQ6AF6BAgzEAM" TargetMode="External"/><Relationship Id="rId110" Type="http://schemas.openxmlformats.org/officeDocument/2006/relationships/hyperlink" Target="http://books.google.ru" TargetMode="External"/><Relationship Id="rId594" Type="http://schemas.openxmlformats.org/officeDocument/2006/relationships/hyperlink" Target="http://play.google.com" TargetMode="External"/><Relationship Id="rId593" Type="http://schemas.openxmlformats.org/officeDocument/2006/relationships/hyperlink" Target="https://play.google.com/store/apps/details?id=ru.rostel&amp;hl=ru&amp;gl=US" TargetMode="External"/><Relationship Id="rId592" Type="http://schemas.openxmlformats.org/officeDocument/2006/relationships/hyperlink" Target="http://cabinet.ruobr.ru" TargetMode="External"/><Relationship Id="rId591" Type="http://schemas.openxmlformats.org/officeDocument/2006/relationships/hyperlink" Target="https://cabinet.ruobr.ru/" TargetMode="External"/><Relationship Id="rId114" Type="http://schemas.openxmlformats.org/officeDocument/2006/relationships/hyperlink" Target="http://www.kommersant.ru" TargetMode="External"/><Relationship Id="rId598" Type="http://schemas.openxmlformats.org/officeDocument/2006/relationships/hyperlink" Target="http://t.me" TargetMode="External"/><Relationship Id="rId113" Type="http://schemas.openxmlformats.org/officeDocument/2006/relationships/hyperlink" Target="https://www.kommersant.ru/doc/6335225" TargetMode="External"/><Relationship Id="rId597" Type="http://schemas.openxmlformats.org/officeDocument/2006/relationships/hyperlink" Target="https://t.me/s/gosuslugi" TargetMode="External"/><Relationship Id="rId112" Type="http://schemas.openxmlformats.org/officeDocument/2006/relationships/hyperlink" Target="http://autogrodno.by" TargetMode="External"/><Relationship Id="rId596" Type="http://schemas.openxmlformats.org/officeDocument/2006/relationships/hyperlink" Target="http://apps.apple.com" TargetMode="External"/><Relationship Id="rId111" Type="http://schemas.openxmlformats.org/officeDocument/2006/relationships/hyperlink" Target="https://autogrodno.by/news/30590-utrom-prosnulas-zvezdoj-youtube-konflikt-na-granice.html" TargetMode="External"/><Relationship Id="rId595" Type="http://schemas.openxmlformats.org/officeDocument/2006/relationships/hyperlink" Target="https://apps.apple.com/ru/app/%D0%B3%D0%BE%D1%81%D1%83%D1%81%D0%BB%D1%83%D0%B3%D0%B8-%D0%B4%D0%BE%D0%BC/id1616550510" TargetMode="External"/><Relationship Id="rId547" Type="http://schemas.openxmlformats.org/officeDocument/2006/relationships/hyperlink" Target="http://flowers.ua" TargetMode="External"/><Relationship Id="rId546" Type="http://schemas.openxmlformats.org/officeDocument/2006/relationships/hyperlink" Target="https://flowers.ua/ru/articles/gipsofila-vidy-posadka-razmnozhenie-i-uhod" TargetMode="External"/><Relationship Id="rId545" Type="http://schemas.openxmlformats.org/officeDocument/2006/relationships/hyperlink" Target="http://flawery.ru" TargetMode="External"/><Relationship Id="rId544" Type="http://schemas.openxmlformats.org/officeDocument/2006/relationships/hyperlink" Target="https://flawery.ru/moscow/bouquets/flowers-gipsofila/" TargetMode="External"/><Relationship Id="rId549" Type="http://schemas.openxmlformats.org/officeDocument/2006/relationships/hyperlink" Target="http://moreroz.by" TargetMode="External"/><Relationship Id="rId548" Type="http://schemas.openxmlformats.org/officeDocument/2006/relationships/hyperlink" Target="https://moreroz.by/product-category/flowers/bukety-iz-gipsofily/" TargetMode="External"/><Relationship Id="rId543" Type="http://schemas.openxmlformats.org/officeDocument/2006/relationships/hyperlink" Target="https://flowwow.com/moscow/gipsofila-flowers/" TargetMode="External"/><Relationship Id="rId542" Type="http://schemas.openxmlformats.org/officeDocument/2006/relationships/hyperlink" Target="http://market-flora.ru" TargetMode="External"/><Relationship Id="rId541" Type="http://schemas.openxmlformats.org/officeDocument/2006/relationships/hyperlink" Target="https://market-flora.ru/stati/gipsofila.html" TargetMode="External"/><Relationship Id="rId540" Type="http://schemas.openxmlformats.org/officeDocument/2006/relationships/hyperlink" Target="http://www.prostocvet.ru" TargetMode="External"/><Relationship Id="rId536" Type="http://schemas.openxmlformats.org/officeDocument/2006/relationships/hyperlink" Target="http://rozavam.ru" TargetMode="External"/><Relationship Id="rId535" Type="http://schemas.openxmlformats.org/officeDocument/2006/relationships/hyperlink" Target="https://rozavam.ru/katalog-tovara/cvety/gipsofila/" TargetMode="External"/><Relationship Id="rId534" Type="http://schemas.openxmlformats.org/officeDocument/2006/relationships/hyperlink" Target="http://mybloom.ru" TargetMode="External"/><Relationship Id="rId533" Type="http://schemas.openxmlformats.org/officeDocument/2006/relationships/hyperlink" Target="https://mybloom.ru/catalog/tsvety/sukhotsvet/gipsofila/" TargetMode="External"/><Relationship Id="rId539" Type="http://schemas.openxmlformats.org/officeDocument/2006/relationships/hyperlink" Target="https://www.prostocvet.ru/catalog/bukety/gipsofila/" TargetMode="External"/><Relationship Id="rId538" Type="http://schemas.openxmlformats.org/officeDocument/2006/relationships/hyperlink" Target="http://florcat.ru" TargetMode="External"/><Relationship Id="rId537" Type="http://schemas.openxmlformats.org/officeDocument/2006/relationships/hyperlink" Target="https://florcat.ru/catalog/gipsofila/buket_iz_5_rozovykh_gipsofil/" TargetMode="External"/><Relationship Id="rId532" Type="http://schemas.openxmlformats.org/officeDocument/2006/relationships/hyperlink" Target="https://cvetov.ru/grozny/catalog/bukety/192394/" TargetMode="External"/><Relationship Id="rId531" Type="http://schemas.openxmlformats.org/officeDocument/2006/relationships/hyperlink" Target="http://venusinfleurs.ru" TargetMode="External"/><Relationship Id="rId530" Type="http://schemas.openxmlformats.org/officeDocument/2006/relationships/hyperlink" Target="https://venusinfleurs.ru/buket-iz-51-gipsofily/" TargetMode="External"/><Relationship Id="rId569" Type="http://schemas.openxmlformats.org/officeDocument/2006/relationships/hyperlink" Target="http://vk.com" TargetMode="External"/><Relationship Id="rId568" Type="http://schemas.openxmlformats.org/officeDocument/2006/relationships/hyperlink" Target="https://vk.com/gosuslugi" TargetMode="External"/><Relationship Id="rId567" Type="http://schemas.openxmlformats.org/officeDocument/2006/relationships/hyperlink" Target="http://play.google.com" TargetMode="External"/><Relationship Id="rId566" Type="http://schemas.openxmlformats.org/officeDocument/2006/relationships/hyperlink" Target="https://play.google.com/store/apps/details?id=ru.rostel&amp;hl=en_US" TargetMode="External"/><Relationship Id="rId561" Type="http://schemas.openxmlformats.org/officeDocument/2006/relationships/hyperlink" Target="http://bloomflowers.pl" TargetMode="External"/><Relationship Id="rId560" Type="http://schemas.openxmlformats.org/officeDocument/2006/relationships/hyperlink" Target="https://bloomflowers.pl/produkt/bukiet-gipsowki/?lang=ru" TargetMode="External"/><Relationship Id="rId565" Type="http://schemas.openxmlformats.org/officeDocument/2006/relationships/hyperlink" Target="http://www.gosuslugi.ru" TargetMode="External"/><Relationship Id="rId564" Type="http://schemas.openxmlformats.org/officeDocument/2006/relationships/hyperlink" Target="https://www.gosuslugi.ru/" TargetMode="External"/><Relationship Id="rId563" Type="http://schemas.openxmlformats.org/officeDocument/2006/relationships/hyperlink" Target="http://kvitna.ua" TargetMode="External"/><Relationship Id="rId562" Type="http://schemas.openxmlformats.org/officeDocument/2006/relationships/hyperlink" Target="https://kvitna.ua/collection/all/gypsophila?lang=ru" TargetMode="External"/><Relationship Id="rId558" Type="http://schemas.openxmlformats.org/officeDocument/2006/relationships/hyperlink" Target="https://dolinaroz.by/catalog/bukety-cvetov/bukety-iz-gipsofily" TargetMode="External"/><Relationship Id="rId557" Type="http://schemas.openxmlformats.org/officeDocument/2006/relationships/hyperlink" Target="http://www.grand-kapriz.ru" TargetMode="External"/><Relationship Id="rId556" Type="http://schemas.openxmlformats.org/officeDocument/2006/relationships/hyperlink" Target="https://www.grand-kapriz.ru/product/buket-iz-gipsofily-oblachko" TargetMode="External"/><Relationship Id="rId555" Type="http://schemas.openxmlformats.org/officeDocument/2006/relationships/hyperlink" Target="http://flowersvalley.ru" TargetMode="External"/><Relationship Id="rId559" Type="http://schemas.openxmlformats.org/officeDocument/2006/relationships/hyperlink" Target="http://dolinaroz.by" TargetMode="External"/><Relationship Id="rId550" Type="http://schemas.openxmlformats.org/officeDocument/2006/relationships/hyperlink" Target="https://vk.com/@cvetypodarki_spb-preimuschestva-i-nedostatki-kompozicii-iz-gipsofily" TargetMode="External"/><Relationship Id="rId554" Type="http://schemas.openxmlformats.org/officeDocument/2006/relationships/hyperlink" Target="https://flowersvalley.ru/blog/cvetochnoe-vdohnovenie/cvetnaya-gipsofila-trend-2021-goda" TargetMode="External"/><Relationship Id="rId553" Type="http://schemas.openxmlformats.org/officeDocument/2006/relationships/hyperlink" Target="http://magicalflower.ru" TargetMode="External"/><Relationship Id="rId552" Type="http://schemas.openxmlformats.org/officeDocument/2006/relationships/hyperlink" Target="https://magicalflower.ru/tsvety/gipsofila/raznocvetnye-gipsofily/" TargetMode="External"/><Relationship Id="rId551" Type="http://schemas.openxmlformats.org/officeDocument/2006/relationships/hyperlink" Target="http://vk.com" TargetMode="External"/><Relationship Id="rId495" Type="http://schemas.openxmlformats.org/officeDocument/2006/relationships/hyperlink" Target="http://kzgdz.com" TargetMode="External"/><Relationship Id="rId494" Type="http://schemas.openxmlformats.org/officeDocument/2006/relationships/hyperlink" Target="https://kzgdz.com/" TargetMode="External"/><Relationship Id="rId493" Type="http://schemas.openxmlformats.org/officeDocument/2006/relationships/hyperlink" Target="https://gdz-putina.info/" TargetMode="External"/><Relationship Id="rId492" Type="http://schemas.openxmlformats.org/officeDocument/2006/relationships/hyperlink" Target="http://megashpora.com" TargetMode="External"/><Relationship Id="rId499" Type="http://schemas.openxmlformats.org/officeDocument/2006/relationships/hyperlink" Target="https://play.google.com/store/apps/details?id=com.gdzme&amp;hl=ru&amp;gl=US" TargetMode="External"/><Relationship Id="rId498" Type="http://schemas.openxmlformats.org/officeDocument/2006/relationships/hyperlink" Target="https://shkola.obozrevatel.com/gdz/" TargetMode="External"/><Relationship Id="rId497" Type="http://schemas.openxmlformats.org/officeDocument/2006/relationships/hyperlink" Target="https://resheba.top/" TargetMode="External"/><Relationship Id="rId496" Type="http://schemas.openxmlformats.org/officeDocument/2006/relationships/hyperlink" Target="https://gdz.red/" TargetMode="External"/><Relationship Id="rId409" Type="http://schemas.openxmlformats.org/officeDocument/2006/relationships/hyperlink" Target="http://m.vk.com" TargetMode="External"/><Relationship Id="rId404" Type="http://schemas.openxmlformats.org/officeDocument/2006/relationships/hyperlink" Target="http://books.google.com" TargetMode="External"/><Relationship Id="rId403" Type="http://schemas.openxmlformats.org/officeDocument/2006/relationships/hyperlink" Target="https://books.google.com/books?id=QoEcEAAAQBAJ&amp;pg=PT7&amp;lpg=PT7&amp;dq=%D0%B2%D0%BA&amp;source=bl&amp;ots=bx5JpEVTdW&amp;sig=ACfU3U2AP4jiM7Lv1WlC4obt5gpEojYKoA&amp;hl=ru&amp;sa=X&amp;ved=2ahUKEwjdmLn6jbuCAxWZlYkEHf8EA4AQ6AF6BAgkEAM" TargetMode="External"/><Relationship Id="rId402" Type="http://schemas.openxmlformats.org/officeDocument/2006/relationships/hyperlink" Target="http://books.google.com" TargetMode="External"/><Relationship Id="rId401" Type="http://schemas.openxmlformats.org/officeDocument/2006/relationships/hyperlink" Target="https://books.google.com/books?id=EoEcEAAAQBAJ&amp;pg=PT3&amp;lpg=PT3&amp;dq=%D0%B2%D0%BA&amp;source=bl&amp;ots=EDc8QyxqTs&amp;sig=ACfU3U3dfoXYvlRCLe0VTwzuI9vGdWuZbQ&amp;hl=ru&amp;sa=X&amp;ved=2ahUKEwjdmLn6jbuCAxWZlYkEHf8EA4AQ6AF6BAgmEAM" TargetMode="External"/><Relationship Id="rId408" Type="http://schemas.openxmlformats.org/officeDocument/2006/relationships/hyperlink" Target="https://m.vk.com/" TargetMode="External"/><Relationship Id="rId407" Type="http://schemas.openxmlformats.org/officeDocument/2006/relationships/hyperlink" Target="https://education.vk.company/" TargetMode="External"/><Relationship Id="rId406" Type="http://schemas.openxmlformats.org/officeDocument/2006/relationships/hyperlink" Target="http://ru.wikipedia.org" TargetMode="External"/><Relationship Id="rId405" Type="http://schemas.openxmlformats.org/officeDocument/2006/relationships/hyperlink" Target="https://ru.wikipedia.org/wiki/VK_(%D0%BA%D0%BE%D0%BC%D0%BF%D0%B0%D0%BD%D0%B8%D1%8F)" TargetMode="External"/><Relationship Id="rId400" Type="http://schemas.openxmlformats.org/officeDocument/2006/relationships/hyperlink" Target="http://books.google.com" TargetMode="External"/><Relationship Id="rId469" Type="http://schemas.openxmlformats.org/officeDocument/2006/relationships/hyperlink" Target="https://megaresheba.ru/" TargetMode="External"/><Relationship Id="rId468" Type="http://schemas.openxmlformats.org/officeDocument/2006/relationships/hyperlink" Target="http://gdz.fm" TargetMode="External"/><Relationship Id="rId467" Type="http://schemas.openxmlformats.org/officeDocument/2006/relationships/hyperlink" Target="https://gdz.fm/" TargetMode="External"/><Relationship Id="rId462" Type="http://schemas.openxmlformats.org/officeDocument/2006/relationships/hyperlink" Target="https://books.google.com/books?id=uf0UEAAAQBAJ&amp;pg=PP1&amp;lpg=PP1&amp;dq=%D0%B2%D0%BA%D0%BE%D0%BD%D1%82%D0%B0%D0%BA%D1%82%D0%B5&amp;source=bl&amp;ots=hZxIs89r_V&amp;sig=ACfU3U1khgnkrwLDs7pAQnGS1b3-_iA3zA&amp;hl=ru&amp;sa=X&amp;ved=2ahUKEwjPl9LJkLuCAxUmkYkEHVT0BykQ6AF6BAhcEAM" TargetMode="External"/><Relationship Id="rId461" Type="http://schemas.openxmlformats.org/officeDocument/2006/relationships/hyperlink" Target="http://books.google.com" TargetMode="External"/><Relationship Id="rId460" Type="http://schemas.openxmlformats.org/officeDocument/2006/relationships/hyperlink" Target="https://books.google.com/books?id=geX3zaFHfpIC&amp;pg=PA8&amp;lpg=PA8&amp;dq=%D0%B2%D0%BA%D0%BE%D0%BD%D1%82%D0%B0%D0%BA%D1%82%D0%B5&amp;source=bl&amp;ots=t-YpedatQI&amp;sig=ACfU3U1OFyHHJSFUyyGEziIMp3UMd4XNJA&amp;hl=ru&amp;sa=X&amp;ved=2ahUKEwjPl9LJkLuCAxUmkYkEHVT0BykQ6AF6BAhbEAM" TargetMode="External"/><Relationship Id="rId466" Type="http://schemas.openxmlformats.org/officeDocument/2006/relationships/hyperlink" Target="https://gdz.ru/" TargetMode="External"/><Relationship Id="rId465" Type="http://schemas.openxmlformats.org/officeDocument/2006/relationships/hyperlink" Target="http://ngs.ru" TargetMode="External"/><Relationship Id="rId464" Type="http://schemas.openxmlformats.org/officeDocument/2006/relationships/hyperlink" Target="https://ngs.ru/text/gorod/2023/11/08/72891146/" TargetMode="External"/><Relationship Id="rId463" Type="http://schemas.openxmlformats.org/officeDocument/2006/relationships/hyperlink" Target="http://books.google.com" TargetMode="External"/><Relationship Id="rId459" Type="http://schemas.openxmlformats.org/officeDocument/2006/relationships/hyperlink" Target="http://books.google.com" TargetMode="External"/><Relationship Id="rId458" Type="http://schemas.openxmlformats.org/officeDocument/2006/relationships/hyperlink" Target="https://books.google.com/books?id=iXcDDAAAQBAJ&amp;pg=PA214&amp;lpg=PA214&amp;dq=%D0%B2%D0%BA%D0%BE%D0%BD%D1%82%D0%B0%D0%BA%D1%82%D0%B5&amp;source=bl&amp;ots=TziDPWZt5H&amp;sig=ACfU3U0FGgfnlJNXt1jJ8sj7o3sGPWRMwQ&amp;hl=ru&amp;sa=X&amp;ved=2ahUKEwjPl9LJkLuCAxUmkYkEHVT0BykQ6AF6BAgKEAM" TargetMode="External"/><Relationship Id="rId457" Type="http://schemas.openxmlformats.org/officeDocument/2006/relationships/hyperlink" Target="https://www.crunchbase.com/organization/vk" TargetMode="External"/><Relationship Id="rId456" Type="http://schemas.openxmlformats.org/officeDocument/2006/relationships/hyperlink" Target="http://www.facebook.com" TargetMode="External"/><Relationship Id="rId451" Type="http://schemas.openxmlformats.org/officeDocument/2006/relationships/hyperlink" Target="https://apps.apple.com/us/app/vk-social-network-messenger/id564177498" TargetMode="External"/><Relationship Id="rId450" Type="http://schemas.openxmlformats.org/officeDocument/2006/relationships/hyperlink" Target="http://play.google.com" TargetMode="External"/><Relationship Id="rId455" Type="http://schemas.openxmlformats.org/officeDocument/2006/relationships/hyperlink" Target="https://www.facebook.com/vkcomteam/" TargetMode="External"/><Relationship Id="rId454" Type="http://schemas.openxmlformats.org/officeDocument/2006/relationships/hyperlink" Target="http://en.wikipedia.org" TargetMode="External"/><Relationship Id="rId453" Type="http://schemas.openxmlformats.org/officeDocument/2006/relationships/hyperlink" Target="https://en.wikipedia.org/wiki/VK_(service)" TargetMode="External"/><Relationship Id="rId452" Type="http://schemas.openxmlformats.org/officeDocument/2006/relationships/hyperlink" Target="http://apps.apple.com" TargetMode="External"/><Relationship Id="rId491" Type="http://schemas.openxmlformats.org/officeDocument/2006/relationships/hyperlink" Target="https://megashpora.com/" TargetMode="External"/><Relationship Id="rId490" Type="http://schemas.openxmlformats.org/officeDocument/2006/relationships/hyperlink" Target="https://reshutka.ru/" TargetMode="External"/><Relationship Id="rId489" Type="http://schemas.openxmlformats.org/officeDocument/2006/relationships/hyperlink" Target="http://gdzbezmoroki.com" TargetMode="External"/><Relationship Id="rId484" Type="http://schemas.openxmlformats.org/officeDocument/2006/relationships/hyperlink" Target="http://vk.com" TargetMode="External"/><Relationship Id="rId483" Type="http://schemas.openxmlformats.org/officeDocument/2006/relationships/hyperlink" Target="https://vk.com/reshebnik" TargetMode="External"/><Relationship Id="rId482" Type="http://schemas.openxmlformats.org/officeDocument/2006/relationships/hyperlink" Target="http://play.google.com" TargetMode="External"/><Relationship Id="rId481" Type="http://schemas.openxmlformats.org/officeDocument/2006/relationships/hyperlink" Target="https://play.google.com/store/apps/details?id=skyeng.skysmart.solutions&amp;hl=ru&amp;gl=US" TargetMode="External"/><Relationship Id="rId488" Type="http://schemas.openxmlformats.org/officeDocument/2006/relationships/hyperlink" Target="https://gdzbezmoroki.com/" TargetMode="External"/><Relationship Id="rId487" Type="http://schemas.openxmlformats.org/officeDocument/2006/relationships/hyperlink" Target="http://reshebnik.com" TargetMode="External"/><Relationship Id="rId486" Type="http://schemas.openxmlformats.org/officeDocument/2006/relationships/hyperlink" Target="https://reshebnik.com/" TargetMode="External"/><Relationship Id="rId485" Type="http://schemas.openxmlformats.org/officeDocument/2006/relationships/hyperlink" Target="https://gdz.pub/" TargetMode="External"/><Relationship Id="rId480" Type="http://schemas.openxmlformats.org/officeDocument/2006/relationships/hyperlink" Target="https://gdz.ltd/" TargetMode="External"/><Relationship Id="rId479" Type="http://schemas.openxmlformats.org/officeDocument/2006/relationships/hyperlink" Target="http://play.google.com" TargetMode="External"/><Relationship Id="rId478" Type="http://schemas.openxmlformats.org/officeDocument/2006/relationships/hyperlink" Target="https://play.google.com/store/apps/details?id=com.gdz_ru&amp;hl=ru&amp;gl=US" TargetMode="External"/><Relationship Id="rId473" Type="http://schemas.openxmlformats.org/officeDocument/2006/relationships/hyperlink" Target="https://pomogalka.me/" TargetMode="External"/><Relationship Id="rId472" Type="http://schemas.openxmlformats.org/officeDocument/2006/relationships/hyperlink" Target="https://xn--c1acj.xn--p1ai/" TargetMode="External"/><Relationship Id="rId471" Type="http://schemas.openxmlformats.org/officeDocument/2006/relationships/hyperlink" Target="https://reshak.ru/" TargetMode="External"/><Relationship Id="rId470" Type="http://schemas.openxmlformats.org/officeDocument/2006/relationships/hyperlink" Target="http://megaresheba.ru" TargetMode="External"/><Relationship Id="rId477" Type="http://schemas.openxmlformats.org/officeDocument/2006/relationships/hyperlink" Target="http://www.euroki.org" TargetMode="External"/><Relationship Id="rId476" Type="http://schemas.openxmlformats.org/officeDocument/2006/relationships/hyperlink" Target="https://www.euroki.org/" TargetMode="External"/><Relationship Id="rId475" Type="http://schemas.openxmlformats.org/officeDocument/2006/relationships/hyperlink" Target="http://resh.skysmart.ru" TargetMode="External"/><Relationship Id="rId474" Type="http://schemas.openxmlformats.org/officeDocument/2006/relationships/hyperlink" Target="https://resh.skysmart.ru/" TargetMode="External"/><Relationship Id="rId426" Type="http://schemas.openxmlformats.org/officeDocument/2006/relationships/hyperlink" Target="http://books.google.ru" TargetMode="External"/><Relationship Id="rId425" Type="http://schemas.openxmlformats.org/officeDocument/2006/relationships/hyperlink" Target="https://books.google.ru/books?id=o9IeEAAAQBAJ&amp;pg=PT65&amp;lpg=PT65&amp;dq=%D0%B2%D0%BA%D0%BE%D0%BD%D1%82%D0%B0%D0%BA%D1%82%D0%B5&amp;source=bl&amp;ots=u-Eh1_FqgI&amp;sig=ACfU3U1kVlJvxNLsN6tuPdM326mNg6tTVQ&amp;hl=ru&amp;sa=X&amp;ved=2ahUKEwj35-n8pr2CAxWYIDQIHZUEDmYQ6AF6BAg3EAM" TargetMode="External"/><Relationship Id="rId424" Type="http://schemas.openxmlformats.org/officeDocument/2006/relationships/hyperlink" Target="https://vk.company/" TargetMode="External"/><Relationship Id="rId423" Type="http://schemas.openxmlformats.org/officeDocument/2006/relationships/hyperlink" Target="http://whoiswho.dp.ru" TargetMode="External"/><Relationship Id="rId429" Type="http://schemas.openxmlformats.org/officeDocument/2006/relationships/hyperlink" Target="https://rb.ru/tag/vk/" TargetMode="External"/><Relationship Id="rId428" Type="http://schemas.openxmlformats.org/officeDocument/2006/relationships/hyperlink" Target="http://www.m.vk.ru/" TargetMode="External"/><Relationship Id="rId427" Type="http://schemas.openxmlformats.org/officeDocument/2006/relationships/hyperlink" Target="http://www.m.vk.ru/" TargetMode="External"/><Relationship Id="rId422" Type="http://schemas.openxmlformats.org/officeDocument/2006/relationships/hyperlink" Target="https://whoiswho.dp.ru/cart/company/2888981" TargetMode="External"/><Relationship Id="rId421" Type="http://schemas.openxmlformats.org/officeDocument/2006/relationships/hyperlink" Target="https://ria.ru/product_VKontakte/" TargetMode="External"/><Relationship Id="rId420" Type="http://schemas.openxmlformats.org/officeDocument/2006/relationships/hyperlink" Target="http://vk.me" TargetMode="External"/><Relationship Id="rId415" Type="http://schemas.openxmlformats.org/officeDocument/2006/relationships/hyperlink" Target="http://apps.apple.com" TargetMode="External"/><Relationship Id="rId414" Type="http://schemas.openxmlformats.org/officeDocument/2006/relationships/hyperlink" Target="https://apps.apple.com/ru/app/%D0%B2%D0%BA%D0%BE%D0%BD%D1%82%D0%B0%D0%BA%D1%82%D0%B5-%D1%81%D0%BE%D0%BE%D0%B1%D1%89%D0%B5%D0%BD%D0%B8%D1%8F-%D0%B2%D0%B8%D0%B4%D0%B5%D0%BE%D1%87%D0%B0%D1%82/id564177498" TargetMode="External"/><Relationship Id="rId413" Type="http://schemas.openxmlformats.org/officeDocument/2006/relationships/hyperlink" Target="http://ru.wikipedia.org" TargetMode="External"/><Relationship Id="rId412" Type="http://schemas.openxmlformats.org/officeDocument/2006/relationships/hyperlink" Target="https://ru.wikipedia.org/wiki/%D0%92%D0%9A%D0%BE%D0%BD%D1%82%D0%B0%D0%BA%D1%82%D0%B5" TargetMode="External"/><Relationship Id="rId419" Type="http://schemas.openxmlformats.org/officeDocument/2006/relationships/hyperlink" Target="https://vk.me/app" TargetMode="External"/><Relationship Id="rId418" Type="http://schemas.openxmlformats.org/officeDocument/2006/relationships/hyperlink" Target="http://twitter.com" TargetMode="External"/><Relationship Id="rId417" Type="http://schemas.openxmlformats.org/officeDocument/2006/relationships/hyperlink" Target="https://twitter.com/vkontakte?lang=ru" TargetMode="External"/><Relationship Id="rId416" Type="http://schemas.openxmlformats.org/officeDocument/2006/relationships/hyperlink" Target="https://trk.mail.ru/c/xyn8o1?mt_campaign=mainvkmail_ok&amp;mt_adset=&amp;mt_network=1" TargetMode="External"/><Relationship Id="rId411" Type="http://schemas.openxmlformats.org/officeDocument/2006/relationships/hyperlink" Target="http://play.google.com" TargetMode="External"/><Relationship Id="rId410" Type="http://schemas.openxmlformats.org/officeDocument/2006/relationships/hyperlink" Target="https://play.google.com/store/apps/details?id=com.vkontakte.android&amp;hl=ru&amp;gl=US" TargetMode="External"/><Relationship Id="rId448" Type="http://schemas.openxmlformats.org/officeDocument/2006/relationships/hyperlink" Target="http://books.google.com" TargetMode="External"/><Relationship Id="rId447" Type="http://schemas.openxmlformats.org/officeDocument/2006/relationships/hyperlink" Target="https://books.google.com/books?id=j2OnEAAAQBAJ&amp;pg=PT275&amp;lpg=PT275&amp;dq=%D0%B2%D0%BA%D0%BE%D0%BD%D1%82%D0%B0%D0%BA%D1%82%D0%B5&amp;source=bl&amp;ots=cP9BrDo5tT&amp;sig=ACfU3U3VngmY0OvNCYS71thObKdkovgM6w&amp;hl=ru&amp;sa=X&amp;ved=2ahUKEwiPnqPLjLuCAxVFv4kEHT4bBGwQ6AF6BAhBEAM" TargetMode="External"/><Relationship Id="rId446" Type="http://schemas.openxmlformats.org/officeDocument/2006/relationships/hyperlink" Target="http://books.google.com" TargetMode="External"/><Relationship Id="rId445" Type="http://schemas.openxmlformats.org/officeDocument/2006/relationships/hyperlink" Target="https://books.google.com/books?id=Ka61AAAAQBAJ&amp;pg=PT95&amp;lpg=PT95&amp;dq=%D0%B2%D0%BA%D0%BE%D0%BD%D1%82%D0%B0%D0%BA%D1%82%D0%B5&amp;source=bl&amp;ots=flgSBjWUl5&amp;sig=ACfU3U1T9C-t4szoSGxTjtqXD63jXTisWg&amp;hl=ru&amp;sa=X&amp;ved=2ahUKEwiPnqPLjLuCAxVFv4kEHT4bBGwQ6AF6BAhUEAM" TargetMode="External"/><Relationship Id="rId449" Type="http://schemas.openxmlformats.org/officeDocument/2006/relationships/hyperlink" Target="https://play.google.com/store/apps/details?id=com.vkontakte.android&amp;hl=en_US" TargetMode="External"/><Relationship Id="rId440" Type="http://schemas.openxmlformats.org/officeDocument/2006/relationships/hyperlink" Target="http://books.google.com" TargetMode="External"/><Relationship Id="rId444" Type="http://schemas.openxmlformats.org/officeDocument/2006/relationships/hyperlink" Target="http://books.google.com" TargetMode="External"/><Relationship Id="rId443" Type="http://schemas.openxmlformats.org/officeDocument/2006/relationships/hyperlink" Target="https://books.google.com/books?id=o9IeEAAAQBAJ&amp;pg=PT27&amp;lpg=PT27&amp;dq=%D0%B2%D0%BA%D0%BE%D0%BD%D1%82%D0%B0%D0%BA%D1%82%D0%B5&amp;source=bl&amp;ots=u-Eh00JsgG&amp;sig=ACfU3U3p2o0fR8QW4K9_vFT4WQMJ8Q2byQ&amp;hl=ru&amp;sa=X&amp;ved=2ahUKEwiPnqPLjLuCAxVFv4kEHT4bBGwQ6AF6BAhNEAM" TargetMode="External"/><Relationship Id="rId442" Type="http://schemas.openxmlformats.org/officeDocument/2006/relationships/hyperlink" Target="http://books.google.com" TargetMode="External"/><Relationship Id="rId441" Type="http://schemas.openxmlformats.org/officeDocument/2006/relationships/hyperlink" Target="https://books.google.com/books?id=geX3zaFHfpIC&amp;pg=PA49&amp;lpg=PA49&amp;dq=%D0%B2%D0%BA%D0%BE%D0%BD%D1%82%D0%B0%D0%BA%D1%82%D0%B5&amp;source=bl&amp;ots=t-Yped9sTI&amp;sig=ACfU3U0GY7muTOVzK3ch4TCOAeDChM6Jbw&amp;hl=ru&amp;sa=X&amp;ved=2ahUKEwiPnqPLjLuCAxVFv4kEHT4bBGwQ6AF6BAhJEAM" TargetMode="External"/><Relationship Id="rId437" Type="http://schemas.openxmlformats.org/officeDocument/2006/relationships/hyperlink" Target="https://4pda.to/forum/index.php?showtopic=246233" TargetMode="External"/><Relationship Id="rId436" Type="http://schemas.openxmlformats.org/officeDocument/2006/relationships/hyperlink" Target="http://adindex.ru" TargetMode="External"/><Relationship Id="rId435" Type="http://schemas.openxmlformats.org/officeDocument/2006/relationships/hyperlink" Target="https://adindex.ru/publication/analitics/channels/2023/11/10/317153.phtml" TargetMode="External"/><Relationship Id="rId434" Type="http://schemas.openxmlformats.org/officeDocument/2006/relationships/hyperlink" Target="http://books.google.ru" TargetMode="External"/><Relationship Id="rId439" Type="http://schemas.openxmlformats.org/officeDocument/2006/relationships/hyperlink" Target="https://books.google.com/books?id=1SiBDwAAQBAJ&amp;pg=PA230&amp;lpg=PA230&amp;dq=%D0%B2%D0%BA%D0%BE%D0%BD%D1%82%D0%B0%D0%BA%D1%82%D0%B5&amp;source=bl&amp;ots=8eiscguiLp&amp;sig=ACfU3U3Myl-LNiXqfTeWxbR8zghWdhCkRQ&amp;hl=ru&amp;sa=X&amp;ved=2ahUKEwiPnqPLjLuCAxVFv4kEHT4bBGwQ6AF6BAgYEAM" TargetMode="External"/><Relationship Id="rId438" Type="http://schemas.openxmlformats.org/officeDocument/2006/relationships/hyperlink" Target="http://4pda.to" TargetMode="External"/><Relationship Id="rId433" Type="http://schemas.openxmlformats.org/officeDocument/2006/relationships/hyperlink" Target="https://books.google.ru/books?id=Y9OtEAAAQBAJ&amp;pg=PT9&amp;lpg=PT9&amp;dq=%D0%B2%D0%BA%D0%BE%D0%BD%D1%82%D0%B0%D0%BA%D1%82%D0%B5&amp;source=bl&amp;ots=mbXxJfFjik&amp;sig=ACfU3U0kploxm3bon0laFG4PxPbraGjEhw&amp;hl=ru&amp;sa=X&amp;ved=2ahUKEwj35-n8pr2CAxWYIDQIHZUEDmYQ6AF6BAg2EAM" TargetMode="External"/><Relationship Id="rId432" Type="http://schemas.openxmlformats.org/officeDocument/2006/relationships/hyperlink" Target="http://books.google.ru" TargetMode="External"/><Relationship Id="rId431" Type="http://schemas.openxmlformats.org/officeDocument/2006/relationships/hyperlink" Target="https://books.google.ru/books?id=AAdEDwAAQBAJ&amp;pg=PP6&amp;lpg=PP6&amp;dq=%D0%B2%D0%BA%D0%BE%D0%BD%D1%82%D0%B0%D0%BA%D1%82%D0%B5&amp;source=bl&amp;ots=Cbmv1q1O_4&amp;sig=ACfU3U3r2bGFqqfsyKL2QN4cb7S0F-ZCUw&amp;hl=ru&amp;sa=X&amp;ved=2ahUKEwj35-n8pr2CAxWYIDQIHZUEDmYQ6AF6BAg4EAM" TargetMode="External"/><Relationship Id="rId430" Type="http://schemas.openxmlformats.org/officeDocument/2006/relationships/hyperlink" Target="http://rb.ru" TargetMode="External"/></Relationships>
</file>

<file path=xl/worksheets/_rels/sheet3.xml.rels><?xml version="1.0" encoding="UTF-8" standalone="yes"?><Relationships xmlns="http://schemas.openxmlformats.org/package/2006/relationships"><Relationship Id="rId392" Type="http://schemas.openxmlformats.org/officeDocument/2006/relationships/hyperlink" Target="https://vk.cc/" TargetMode="External"/><Relationship Id="rId391" Type="http://schemas.openxmlformats.org/officeDocument/2006/relationships/hyperlink" Target="http://vk.cc" TargetMode="External"/><Relationship Id="rId390" Type="http://schemas.openxmlformats.org/officeDocument/2006/relationships/hyperlink" Target="http://books.google.com" TargetMode="External"/><Relationship Id="rId1" Type="http://schemas.openxmlformats.org/officeDocument/2006/relationships/hyperlink" Target="https://mundfish.com/" TargetMode="External"/><Relationship Id="rId2" Type="http://schemas.openxmlformats.org/officeDocument/2006/relationships/hyperlink" Target="https://store.steampowered.com/app/668580/Atomic_Heart/" TargetMode="External"/><Relationship Id="rId3" Type="http://schemas.openxmlformats.org/officeDocument/2006/relationships/hyperlink" Target="http://store.steampowered.com" TargetMode="External"/><Relationship Id="rId4" Type="http://schemas.openxmlformats.org/officeDocument/2006/relationships/hyperlink" Target="https://atomicheart.vkplay.ru/" TargetMode="External"/><Relationship Id="rId9" Type="http://schemas.openxmlformats.org/officeDocument/2006/relationships/hyperlink" Target="http://ru.wikipedia.org" TargetMode="External"/><Relationship Id="rId385" Type="http://schemas.openxmlformats.org/officeDocument/2006/relationships/hyperlink" Target="http://books.google.com" TargetMode="External"/><Relationship Id="rId384" Type="http://schemas.openxmlformats.org/officeDocument/2006/relationships/hyperlink" Target="https://books.google.com/books?id=EoEcEAAAQBAJ&amp;pg=PT4&amp;lpg=PT4&amp;dq=%D0%B2%D0%BA&amp;source=bl&amp;ots=EDc8QywpYu&amp;sig=ACfU3U1hJhnAwS8i7ruApRXFtMU8bk2u7w&amp;hl=ru&amp;sa=X&amp;ved=2ahUKEwi8rsOGiruCAxU_rokEHRLQC1MQ6AF6BAhSEAM" TargetMode="External"/><Relationship Id="rId383" Type="http://schemas.openxmlformats.org/officeDocument/2006/relationships/hyperlink" Target="http://m.vk.ru" TargetMode="External"/><Relationship Id="rId382" Type="http://schemas.openxmlformats.org/officeDocument/2006/relationships/hyperlink" Target="https://m.vk.ru/" TargetMode="External"/><Relationship Id="rId5" Type="http://schemas.openxmlformats.org/officeDocument/2006/relationships/hyperlink" Target="http://atomicheart.vkplay.ru" TargetMode="External"/><Relationship Id="rId389" Type="http://schemas.openxmlformats.org/officeDocument/2006/relationships/hyperlink" Target="https://books.google.com/books?id=59vEDwAAQBAJ&amp;pg=PT9&amp;lpg=PT9&amp;dq=%D0%B2%D0%BA&amp;source=bl&amp;ots=LsmgMOS7ch&amp;sig=ACfU3U3W2O_uI_ZgbKXfBuFznYeJ13WoNA&amp;hl=ru&amp;sa=X&amp;ved=2ahUKEwi8rsOGiruCAxU_rokEHRLQC1MQ6AF6BAg6EAM" TargetMode="External"/><Relationship Id="rId6" Type="http://schemas.openxmlformats.org/officeDocument/2006/relationships/hyperlink" Target="https://en.wikipedia.org/wiki/Atomic_Heart" TargetMode="External"/><Relationship Id="rId388" Type="http://schemas.openxmlformats.org/officeDocument/2006/relationships/hyperlink" Target="https://team.vk.company/vacancy/" TargetMode="External"/><Relationship Id="rId7" Type="http://schemas.openxmlformats.org/officeDocument/2006/relationships/hyperlink" Target="http://en.wikipedia.org" TargetMode="External"/><Relationship Id="rId387" Type="http://schemas.openxmlformats.org/officeDocument/2006/relationships/hyperlink" Target="http://www.figma.com" TargetMode="External"/><Relationship Id="rId8" Type="http://schemas.openxmlformats.org/officeDocument/2006/relationships/hyperlink" Target="https://ru.wikipedia.org/wiki/Atomic_Heart" TargetMode="External"/><Relationship Id="rId386" Type="http://schemas.openxmlformats.org/officeDocument/2006/relationships/hyperlink" Target="https://www.figma.com/@vk" TargetMode="External"/><Relationship Id="rId381" Type="http://schemas.openxmlformats.org/officeDocument/2006/relationships/hyperlink" Target="https://m.vk.ru/" TargetMode="External"/><Relationship Id="rId380" Type="http://schemas.openxmlformats.org/officeDocument/2006/relationships/hyperlink" Target="http://en.wikipedia.org" TargetMode="External"/><Relationship Id="rId379" Type="http://schemas.openxmlformats.org/officeDocument/2006/relationships/hyperlink" Target="https://en.wikipedia.org/wiki/VK_(service)" TargetMode="External"/><Relationship Id="rId374" Type="http://schemas.openxmlformats.org/officeDocument/2006/relationships/hyperlink" Target="https://www.finam.ru/quote/moex/vkco/" TargetMode="External"/><Relationship Id="rId373" Type="http://schemas.openxmlformats.org/officeDocument/2006/relationships/hyperlink" Target="http://www.lokovolley.com" TargetMode="External"/><Relationship Id="rId372" Type="http://schemas.openxmlformats.org/officeDocument/2006/relationships/hyperlink" Target="https://www.lokovolley.com/" TargetMode="External"/><Relationship Id="rId371" Type="http://schemas.openxmlformats.org/officeDocument/2006/relationships/hyperlink" Target="http://vk.me" TargetMode="External"/><Relationship Id="rId378" Type="http://schemas.openxmlformats.org/officeDocument/2006/relationships/hyperlink" Target="http://apps.apple.com" TargetMode="External"/><Relationship Id="rId377" Type="http://schemas.openxmlformats.org/officeDocument/2006/relationships/hyperlink" Target="https://apps.apple.com/us/app/vk-social-network-messenger/id564177498" TargetMode="External"/><Relationship Id="rId376" Type="http://schemas.openxmlformats.org/officeDocument/2006/relationships/hyperlink" Target="http://play.google.com" TargetMode="External"/><Relationship Id="rId375" Type="http://schemas.openxmlformats.org/officeDocument/2006/relationships/hyperlink" Target="https://play.google.com/store/apps/details?id=com.vkontakte.android&amp;hl=en_US" TargetMode="External"/><Relationship Id="rId396" Type="http://schemas.openxmlformats.org/officeDocument/2006/relationships/hyperlink" Target="http://ru.wiktionary.org" TargetMode="External"/><Relationship Id="rId395" Type="http://schemas.openxmlformats.org/officeDocument/2006/relationships/hyperlink" Target="https://ru.wiktionary.org/wiki/%D0%92%D0%9A" TargetMode="External"/><Relationship Id="rId394" Type="http://schemas.openxmlformats.org/officeDocument/2006/relationships/hyperlink" Target="https://bcs-express.ru/novosti-i-analitika/vyruchka-vk-za-iii-kvartal-pokazala-sil-nyi-rost-mnenie-analitikov" TargetMode="External"/><Relationship Id="rId393" Type="http://schemas.openxmlformats.org/officeDocument/2006/relationships/hyperlink" Target="http://vk.cc" TargetMode="External"/><Relationship Id="rId399" Type="http://schemas.openxmlformats.org/officeDocument/2006/relationships/hyperlink" Target="https://books.google.com/books?id=OoEcEAAAQBAJ&amp;pg=PT14&amp;lpg=PT14&amp;dq=%D0%B2%D0%BA&amp;source=bl&amp;ots=bbz2XuSPqX&amp;sig=ACfU3U0U5ZeAqHQdzyzoT_QgAtzV3EEdRg&amp;hl=ru&amp;sa=X&amp;ved=2ahUKEwjdmLn6jbuCAxWZlYkEHf8EA4AQ6AF6BAgnEAM" TargetMode="External"/><Relationship Id="rId398" Type="http://schemas.openxmlformats.org/officeDocument/2006/relationships/hyperlink" Target="http://books.google.com" TargetMode="External"/><Relationship Id="rId397" Type="http://schemas.openxmlformats.org/officeDocument/2006/relationships/hyperlink" Target="https://books.google.com/books?id=JoEcEAAAQBAJ&amp;pg=PA8&amp;lpg=PA8&amp;dq=%D0%B2%D0%BA&amp;source=bl&amp;ots=jTk2omWd8G&amp;sig=ACfU3U3BoWkPJHuVR6yf7crW3ubmJfZYAw&amp;hl=ru&amp;sa=X&amp;ved=2ahUKEwjdmLn6jbuCAxWZlYkEHf8EA4AQ6AF6BAglEAM" TargetMode="External"/><Relationship Id="rId1730" Type="http://schemas.openxmlformats.org/officeDocument/2006/relationships/hyperlink" Target="https://cop.admhmao.ru/elk" TargetMode="External"/><Relationship Id="rId1731" Type="http://schemas.openxmlformats.org/officeDocument/2006/relationships/hyperlink" Target="http://cop.admhmao.ru" TargetMode="External"/><Relationship Id="rId1732" Type="http://schemas.openxmlformats.org/officeDocument/2006/relationships/hyperlink" Target="https://gosuslugi.pnzreg.ru/lk/" TargetMode="External"/><Relationship Id="rId1733" Type="http://schemas.openxmlformats.org/officeDocument/2006/relationships/hyperlink" Target="https://dnevnik.ru/" TargetMode="External"/><Relationship Id="rId1734" Type="http://schemas.openxmlformats.org/officeDocument/2006/relationships/hyperlink" Target="http://dnevnik.ru" TargetMode="External"/><Relationship Id="rId1735" Type="http://schemas.openxmlformats.org/officeDocument/2006/relationships/hyperlink" Target="https://sgo.mari-el.gov.ru/" TargetMode="External"/><Relationship Id="rId1736" Type="http://schemas.openxmlformats.org/officeDocument/2006/relationships/hyperlink" Target="http://sgo.mari-el.gov.ru" TargetMode="External"/><Relationship Id="rId1737" Type="http://schemas.openxmlformats.org/officeDocument/2006/relationships/hyperlink" Target="https://schooln169.edusite.ru/p168aa1.html" TargetMode="External"/><Relationship Id="rId1738" Type="http://schemas.openxmlformats.org/officeDocument/2006/relationships/hyperlink" Target="https://sgo.yanao.ru/" TargetMode="External"/><Relationship Id="rId1739" Type="http://schemas.openxmlformats.org/officeDocument/2006/relationships/hyperlink" Target="http://edupk.ru/dnevnik/" TargetMode="External"/><Relationship Id="rId1720" Type="http://schemas.openxmlformats.org/officeDocument/2006/relationships/hyperlink" Target="https://dnevnik2.petersburgedu.ru/" TargetMode="External"/><Relationship Id="rId1721" Type="http://schemas.openxmlformats.org/officeDocument/2006/relationships/hyperlink" Target="https://schools48.ru/" TargetMode="External"/><Relationship Id="rId1722" Type="http://schemas.openxmlformats.org/officeDocument/2006/relationships/hyperlink" Target="https://e-school.ryazangov.ru/" TargetMode="External"/><Relationship Id="rId1723" Type="http://schemas.openxmlformats.org/officeDocument/2006/relationships/hyperlink" Target="https://sgo.volganet.ru/" TargetMode="External"/><Relationship Id="rId1724" Type="http://schemas.openxmlformats.org/officeDocument/2006/relationships/hyperlink" Target="https://school.vip.edu35.ru/auth/login-page" TargetMode="External"/><Relationship Id="rId1725" Type="http://schemas.openxmlformats.org/officeDocument/2006/relationships/hyperlink" Target="https://cabinet.ruobr.ru/" TargetMode="External"/><Relationship Id="rId1726" Type="http://schemas.openxmlformats.org/officeDocument/2006/relationships/hyperlink" Target="http://cabinet.ruobr.ru" TargetMode="External"/><Relationship Id="rId1727" Type="http://schemas.openxmlformats.org/officeDocument/2006/relationships/hyperlink" Target="https://giseo.rkomi.ru/" TargetMode="External"/><Relationship Id="rId1728" Type="http://schemas.openxmlformats.org/officeDocument/2006/relationships/hyperlink" Target="http://one.pskovedu.ru/" TargetMode="External"/><Relationship Id="rId1729" Type="http://schemas.openxmlformats.org/officeDocument/2006/relationships/hyperlink" Target="https://edu.tatar.ru/" TargetMode="External"/><Relationship Id="rId1752" Type="http://schemas.openxmlformats.org/officeDocument/2006/relationships/hyperlink" Target="http://dnevnik-lms.ru" TargetMode="External"/><Relationship Id="rId1753" Type="http://schemas.openxmlformats.org/officeDocument/2006/relationships/hyperlink" Target="https://school.nso.ru/authorize" TargetMode="External"/><Relationship Id="rId1754" Type="http://schemas.openxmlformats.org/officeDocument/2006/relationships/hyperlink" Target="https://ru.wikipedia.org/wiki/%D0%AD%D0%BB%D0%B5%D0%BA%D1%82%D1%80%D0%BE%D0%BD%D0%BD%D1%8B%D0%B9_%D0%B4%D0%BD%D0%B5%D0%B2%D0%BD%D0%B8%D0%BA_%D0%B8_%D0%B6%D1%83%D1%80%D0%BD%D0%B0%D0%BB" TargetMode="External"/><Relationship Id="rId1755" Type="http://schemas.openxmlformats.org/officeDocument/2006/relationships/hyperlink" Target="http://ru.wikipedia.org" TargetMode="External"/><Relationship Id="rId1756" Type="http://schemas.openxmlformats.org/officeDocument/2006/relationships/hyperlink" Target="https://dnevnik.egov66.ru/" TargetMode="External"/><Relationship Id="rId1757" Type="http://schemas.openxmlformats.org/officeDocument/2006/relationships/hyperlink" Target="http://dnevnik.egov66.ru" TargetMode="External"/><Relationship Id="rId1758" Type="http://schemas.openxmlformats.org/officeDocument/2006/relationships/hyperlink" Target="https://sgo.rso23.ru/" TargetMode="External"/><Relationship Id="rId1759" Type="http://schemas.openxmlformats.org/officeDocument/2006/relationships/hyperlink" Target="http://sgo.rso23.ru" TargetMode="External"/><Relationship Id="rId808" Type="http://schemas.openxmlformats.org/officeDocument/2006/relationships/hyperlink" Target="http://www.bequiet.com" TargetMode="External"/><Relationship Id="rId807" Type="http://schemas.openxmlformats.org/officeDocument/2006/relationships/hyperlink" Target="https://www.bequiet.com/ru/psucalculator" TargetMode="External"/><Relationship Id="rId806" Type="http://schemas.openxmlformats.org/officeDocument/2006/relationships/hyperlink" Target="http://play.google.com" TargetMode="External"/><Relationship Id="rId805" Type="http://schemas.openxmlformats.org/officeDocument/2006/relationships/hyperlink" Target="https://play.google.com/store/apps/details?id=org.whiteglow.quickeycalculator&amp;hl=ru&amp;gl=US" TargetMode="External"/><Relationship Id="rId809" Type="http://schemas.openxmlformats.org/officeDocument/2006/relationships/hyperlink" Target="https://calculators-online.ru/" TargetMode="External"/><Relationship Id="rId800" Type="http://schemas.openxmlformats.org/officeDocument/2006/relationships/hyperlink" Target="https://www.citilink.ru/catalog/kalkulyatory/" TargetMode="External"/><Relationship Id="rId804" Type="http://schemas.openxmlformats.org/officeDocument/2006/relationships/hyperlink" Target="http://play.google.com" TargetMode="External"/><Relationship Id="rId803" Type="http://schemas.openxmlformats.org/officeDocument/2006/relationships/hyperlink" Target="https://play.google.com/store/apps/details?id=com.google.android.calculator&amp;hl=ru&amp;gl=US" TargetMode="External"/><Relationship Id="rId802" Type="http://schemas.openxmlformats.org/officeDocument/2006/relationships/hyperlink" Target="https://www.eldorado.ru/c/kalkulyatory/" TargetMode="External"/><Relationship Id="rId801" Type="http://schemas.openxmlformats.org/officeDocument/2006/relationships/hyperlink" Target="http://www.citilink.ru" TargetMode="External"/><Relationship Id="rId1750" Type="http://schemas.openxmlformats.org/officeDocument/2006/relationships/hyperlink" Target="http://sh-open.ris61edu.ru" TargetMode="External"/><Relationship Id="rId1751" Type="http://schemas.openxmlformats.org/officeDocument/2006/relationships/hyperlink" Target="https://dnevnik-lms.ru/" TargetMode="External"/><Relationship Id="rId1741" Type="http://schemas.openxmlformats.org/officeDocument/2006/relationships/hyperlink" Target="https://netcity.admsakhalin.ru:11111/" TargetMode="External"/><Relationship Id="rId1742" Type="http://schemas.openxmlformats.org/officeDocument/2006/relationships/hyperlink" Target="https://sgo.tvobr.ru/" TargetMode="External"/><Relationship Id="rId1743" Type="http://schemas.openxmlformats.org/officeDocument/2006/relationships/hyperlink" Target="http://sgo.tvobr.ru" TargetMode="External"/><Relationship Id="rId1744" Type="http://schemas.openxmlformats.org/officeDocument/2006/relationships/hyperlink" Target="https://dnevnik2.petersburgedu.ru/" TargetMode="External"/><Relationship Id="rId1745" Type="http://schemas.openxmlformats.org/officeDocument/2006/relationships/hyperlink" Target="https://login.dnevnik.ru/login" TargetMode="External"/><Relationship Id="rId1746" Type="http://schemas.openxmlformats.org/officeDocument/2006/relationships/hyperlink" Target="http://login.dnevnik.ru" TargetMode="External"/><Relationship Id="rId1747" Type="http://schemas.openxmlformats.org/officeDocument/2006/relationships/hyperlink" Target="https://elschool.ru/" TargetMode="External"/><Relationship Id="rId1748" Type="http://schemas.openxmlformats.org/officeDocument/2006/relationships/hyperlink" Target="https://www.mos.ru/pgu2/landing/target/7700000010000187206/" TargetMode="External"/><Relationship Id="rId1749" Type="http://schemas.openxmlformats.org/officeDocument/2006/relationships/hyperlink" Target="https://sh-open.ris61edu.ru/" TargetMode="External"/><Relationship Id="rId1740" Type="http://schemas.openxmlformats.org/officeDocument/2006/relationships/hyperlink" Target="https://edu.admoblkaluga.ru:444/" TargetMode="External"/><Relationship Id="rId1710" Type="http://schemas.openxmlformats.org/officeDocument/2006/relationships/hyperlink" Target="https://soyuzmultfilm.fandom.com/ru/wiki/%D0%A7%D0%B5%D0%B1%D1%83%D1%80%D0%B0%D1%88%D0%BA%D0%B0" TargetMode="External"/><Relationship Id="rId1711" Type="http://schemas.openxmlformats.org/officeDocument/2006/relationships/hyperlink" Target="http://soyuzmultfilm.fandom.com" TargetMode="External"/><Relationship Id="rId1712" Type="http://schemas.openxmlformats.org/officeDocument/2006/relationships/hyperlink" Target="https://www.ivi.ru/watch/121614" TargetMode="External"/><Relationship Id="rId1713" Type="http://schemas.openxmlformats.org/officeDocument/2006/relationships/hyperlink" Target="http://www.ivi.ru" TargetMode="External"/><Relationship Id="rId1714" Type="http://schemas.openxmlformats.org/officeDocument/2006/relationships/hyperlink" Target="https://cheburashka.show/" TargetMode="External"/><Relationship Id="rId1715" Type="http://schemas.openxmlformats.org/officeDocument/2006/relationships/hyperlink" Target="https://ru.wiktionary.org/wiki/%D0%A7%D0%B5%D0%B1%D1%83%D1%80%D0%B0%D1%88%D0%BA%D0%B0" TargetMode="External"/><Relationship Id="rId1716" Type="http://schemas.openxmlformats.org/officeDocument/2006/relationships/hyperlink" Target="http://ru.wiktionary.org" TargetMode="External"/><Relationship Id="rId1717" Type="http://schemas.openxmlformats.org/officeDocument/2006/relationships/hyperlink" Target="https://www.amazon.com/Cheburashka/s?k=Cheburashka" TargetMode="External"/><Relationship Id="rId1718" Type="http://schemas.openxmlformats.org/officeDocument/2006/relationships/hyperlink" Target="http://www.amazon.com" TargetMode="External"/><Relationship Id="rId1719" Type="http://schemas.openxmlformats.org/officeDocument/2006/relationships/hyperlink" Target="https://premier.one/show/cheburashka-2023" TargetMode="External"/><Relationship Id="rId1700" Type="http://schemas.openxmlformats.org/officeDocument/2006/relationships/hyperlink" Target="https://ru.wikipedia.org/wiki/%D0%A7%D0%B5%D0%B1%D1%83%D1%80%D0%B0%D1%88%D0%BA%D0%B0" TargetMode="External"/><Relationship Id="rId1701" Type="http://schemas.openxmlformats.org/officeDocument/2006/relationships/hyperlink" Target="http://ru.wikipedia.org" TargetMode="External"/><Relationship Id="rId1702" Type="http://schemas.openxmlformats.org/officeDocument/2006/relationships/hyperlink" Target="https://www.kinopoisk.ru/film/4370148/" TargetMode="External"/><Relationship Id="rId1703" Type="http://schemas.openxmlformats.org/officeDocument/2006/relationships/hyperlink" Target="http://www.kinopoisk.ru" TargetMode="External"/><Relationship Id="rId1704" Type="http://schemas.openxmlformats.org/officeDocument/2006/relationships/hyperlink" Target="https://www.afisha.ru/movie/cheburashka-269634/" TargetMode="External"/><Relationship Id="rId1705" Type="http://schemas.openxmlformats.org/officeDocument/2006/relationships/hyperlink" Target="http://www.afisha.ru" TargetMode="External"/><Relationship Id="rId1706" Type="http://schemas.openxmlformats.org/officeDocument/2006/relationships/hyperlink" Target="https://okko.tv/movie/cheburashka-93168361" TargetMode="External"/><Relationship Id="rId1707" Type="http://schemas.openxmlformats.org/officeDocument/2006/relationships/hyperlink" Target="https://ru.wikipedia.org/wiki/%D0%A7%D0%B5%D0%B1%D1%83%D1%80%D0%B0%D1%88%D0%BA%D0%B0_(%D0%BC%D1%83%D0%BB%D1%8C%D1%82%D1%84%D0%B8%D0%BB%D1%8C%D0%BC,_2013)" TargetMode="External"/><Relationship Id="rId1708" Type="http://schemas.openxmlformats.org/officeDocument/2006/relationships/hyperlink" Target="http://ru.wikipedia.org" TargetMode="External"/><Relationship Id="rId1709" Type="http://schemas.openxmlformats.org/officeDocument/2006/relationships/hyperlink" Target="https://www.rbc.ru/life/news/63d89e6b9a7947514d98f34a" TargetMode="External"/><Relationship Id="rId40" Type="http://schemas.openxmlformats.org/officeDocument/2006/relationships/hyperlink" Target="http://journal.tinkoff.ru" TargetMode="External"/><Relationship Id="rId1334" Type="http://schemas.openxmlformats.org/officeDocument/2006/relationships/hyperlink" Target="http://www.yahoo.com" TargetMode="External"/><Relationship Id="rId1335" Type="http://schemas.openxmlformats.org/officeDocument/2006/relationships/hyperlink" Target="https://www.windy.com/" TargetMode="External"/><Relationship Id="rId42" Type="http://schemas.openxmlformats.org/officeDocument/2006/relationships/hyperlink" Target="http://apps.apple.com" TargetMode="External"/><Relationship Id="rId1336" Type="http://schemas.openxmlformats.org/officeDocument/2006/relationships/hyperlink" Target="http://www.windy.com" TargetMode="External"/><Relationship Id="rId41" Type="http://schemas.openxmlformats.org/officeDocument/2006/relationships/hyperlink" Target="https://apps.apple.com/us/app/chatgpt/id6448311069?l=ru" TargetMode="External"/><Relationship Id="rId1337" Type="http://schemas.openxmlformats.org/officeDocument/2006/relationships/hyperlink" Target="https://www.gismeteo.ru/weather-ann-arbor-7343/weekly/" TargetMode="External"/><Relationship Id="rId44" Type="http://schemas.openxmlformats.org/officeDocument/2006/relationships/hyperlink" Target="http://trends.rbc.ru" TargetMode="External"/><Relationship Id="rId1338" Type="http://schemas.openxmlformats.org/officeDocument/2006/relationships/hyperlink" Target="http://www.gismeteo.ru" TargetMode="External"/><Relationship Id="rId43" Type="http://schemas.openxmlformats.org/officeDocument/2006/relationships/hyperlink" Target="https://trends.rbc.ru/trends/industry/63a192819a79478fae5762ad" TargetMode="External"/><Relationship Id="rId1339" Type="http://schemas.openxmlformats.org/officeDocument/2006/relationships/hyperlink" Target="https://www.gismeteo.ru/weather-ann-arbor-7343/" TargetMode="External"/><Relationship Id="rId46" Type="http://schemas.openxmlformats.org/officeDocument/2006/relationships/hyperlink" Target="http://sendpulse.com" TargetMode="External"/><Relationship Id="rId45" Type="http://schemas.openxmlformats.org/officeDocument/2006/relationships/hyperlink" Target="https://sendpulse.com/ru/support/glossary/chatgpt" TargetMode="External"/><Relationship Id="rId745" Type="http://schemas.openxmlformats.org/officeDocument/2006/relationships/hyperlink" Target="https://play.google.com/store/apps/details?id=ru.dns.shop.android&amp;hl=en_US" TargetMode="External"/><Relationship Id="rId744" Type="http://schemas.openxmlformats.org/officeDocument/2006/relationships/hyperlink" Target="http://www.opendns.com" TargetMode="External"/><Relationship Id="rId743" Type="http://schemas.openxmlformats.org/officeDocument/2006/relationships/hyperlink" Target="https://www.opendns.com/" TargetMode="External"/><Relationship Id="rId742" Type="http://schemas.openxmlformats.org/officeDocument/2006/relationships/hyperlink" Target="https://www.godaddy.com/help/what-is-dns-665" TargetMode="External"/><Relationship Id="rId749" Type="http://schemas.openxmlformats.org/officeDocument/2006/relationships/hyperlink" Target="https://1.1.1.1/dns/" TargetMode="External"/><Relationship Id="rId748" Type="http://schemas.openxmlformats.org/officeDocument/2006/relationships/hyperlink" Target="http://www.dnsperf.com" TargetMode="External"/><Relationship Id="rId747" Type="http://schemas.openxmlformats.org/officeDocument/2006/relationships/hyperlink" Target="https://www.dnsperf.com/" TargetMode="External"/><Relationship Id="rId746" Type="http://schemas.openxmlformats.org/officeDocument/2006/relationships/hyperlink" Target="http://play.google.com" TargetMode="External"/><Relationship Id="rId48" Type="http://schemas.openxmlformats.org/officeDocument/2006/relationships/hyperlink" Target="http://pr-cy.ru" TargetMode="External"/><Relationship Id="rId47" Type="http://schemas.openxmlformats.org/officeDocument/2006/relationships/hyperlink" Target="https://pr-cy.ru/chat-gpt/" TargetMode="External"/><Relationship Id="rId49" Type="http://schemas.openxmlformats.org/officeDocument/2006/relationships/hyperlink" Target="https://3dnews.ru/1095795/microsoft-vremenno-zablokirovala-sotrudnikam-dostup-k-chatgpt" TargetMode="External"/><Relationship Id="rId741" Type="http://schemas.openxmlformats.org/officeDocument/2006/relationships/hyperlink" Target="http://www.whatsmydns.net" TargetMode="External"/><Relationship Id="rId1330" Type="http://schemas.openxmlformats.org/officeDocument/2006/relationships/hyperlink" Target="http://www.wunderground.com" TargetMode="External"/><Relationship Id="rId740" Type="http://schemas.openxmlformats.org/officeDocument/2006/relationships/hyperlink" Target="https://www.whatsmydns.net/" TargetMode="External"/><Relationship Id="rId1331" Type="http://schemas.openxmlformats.org/officeDocument/2006/relationships/hyperlink" Target="https://meteofor.com.ua/ru/weather-lviv-4949/" TargetMode="External"/><Relationship Id="rId1332" Type="http://schemas.openxmlformats.org/officeDocument/2006/relationships/hyperlink" Target="http://meteofor.com.ua" TargetMode="External"/><Relationship Id="rId1333" Type="http://schemas.openxmlformats.org/officeDocument/2006/relationships/hyperlink" Target="https://www.yahoo.com/news/weather/" TargetMode="External"/><Relationship Id="rId1323" Type="http://schemas.openxmlformats.org/officeDocument/2006/relationships/hyperlink" Target="https://meteoinfo.ru/forecasts/russia/moscow-area/moscow" TargetMode="External"/><Relationship Id="rId1324" Type="http://schemas.openxmlformats.org/officeDocument/2006/relationships/hyperlink" Target="http://meteoinfo.ru" TargetMode="External"/><Relationship Id="rId31" Type="http://schemas.openxmlformats.org/officeDocument/2006/relationships/hyperlink" Target="https://gpt-chatbot.ru/" TargetMode="External"/><Relationship Id="rId1325" Type="http://schemas.openxmlformats.org/officeDocument/2006/relationships/hyperlink" Target="https://pogoda.mail.ru/" TargetMode="External"/><Relationship Id="rId30" Type="http://schemas.openxmlformats.org/officeDocument/2006/relationships/hyperlink" Target="http://ru.wikipedia.org" TargetMode="External"/><Relationship Id="rId1326" Type="http://schemas.openxmlformats.org/officeDocument/2006/relationships/hyperlink" Target="http://pogoda.mail.ru" TargetMode="External"/><Relationship Id="rId33" Type="http://schemas.openxmlformats.org/officeDocument/2006/relationships/hyperlink" Target="https://talkai.info/ru/" TargetMode="External"/><Relationship Id="rId1327" Type="http://schemas.openxmlformats.org/officeDocument/2006/relationships/hyperlink" Target="https://www.ventusky.com/" TargetMode="External"/><Relationship Id="rId32" Type="http://schemas.openxmlformats.org/officeDocument/2006/relationships/hyperlink" Target="http://gpt-chatbot.ru" TargetMode="External"/><Relationship Id="rId1328" Type="http://schemas.openxmlformats.org/officeDocument/2006/relationships/hyperlink" Target="http://www.ventusky.com" TargetMode="External"/><Relationship Id="rId35" Type="http://schemas.openxmlformats.org/officeDocument/2006/relationships/hyperlink" Target="https://habr.com/ru/companies/ods/articles/772292/" TargetMode="External"/><Relationship Id="rId1329" Type="http://schemas.openxmlformats.org/officeDocument/2006/relationships/hyperlink" Target="https://www.wunderground.com/" TargetMode="External"/><Relationship Id="rId34" Type="http://schemas.openxmlformats.org/officeDocument/2006/relationships/hyperlink" Target="http://talkai.info" TargetMode="External"/><Relationship Id="rId739" Type="http://schemas.openxmlformats.org/officeDocument/2006/relationships/hyperlink" Target="http://www.grc.com" TargetMode="External"/><Relationship Id="rId734" Type="http://schemas.openxmlformats.org/officeDocument/2006/relationships/hyperlink" Target="https://www.dnsleaktest.com/" TargetMode="External"/><Relationship Id="rId733" Type="http://schemas.openxmlformats.org/officeDocument/2006/relationships/hyperlink" Target="http://mxtoolbox.com" TargetMode="External"/><Relationship Id="rId732" Type="http://schemas.openxmlformats.org/officeDocument/2006/relationships/hyperlink" Target="https://mxtoolbox.com/DNSLookup.aspx" TargetMode="External"/><Relationship Id="rId731" Type="http://schemas.openxmlformats.org/officeDocument/2006/relationships/hyperlink" Target="http://www.quad9.net" TargetMode="External"/><Relationship Id="rId738" Type="http://schemas.openxmlformats.org/officeDocument/2006/relationships/hyperlink" Target="https://www.grc.com/dns/benchmark.htm" TargetMode="External"/><Relationship Id="rId737" Type="http://schemas.openxmlformats.org/officeDocument/2006/relationships/hyperlink" Target="http://dnsmadeeasy.com" TargetMode="External"/><Relationship Id="rId736" Type="http://schemas.openxmlformats.org/officeDocument/2006/relationships/hyperlink" Target="https://dnsmadeeasy.com/" TargetMode="External"/><Relationship Id="rId735" Type="http://schemas.openxmlformats.org/officeDocument/2006/relationships/hyperlink" Target="http://www.dnsleaktest.com" TargetMode="External"/><Relationship Id="rId37" Type="http://schemas.openxmlformats.org/officeDocument/2006/relationships/hyperlink" Target="https://chatgptbot.ru/chat/" TargetMode="External"/><Relationship Id="rId36" Type="http://schemas.openxmlformats.org/officeDocument/2006/relationships/hyperlink" Target="http://habr.com" TargetMode="External"/><Relationship Id="rId39" Type="http://schemas.openxmlformats.org/officeDocument/2006/relationships/hyperlink" Target="https://journal.tinkoff.ru/chatgpt/" TargetMode="External"/><Relationship Id="rId38" Type="http://schemas.openxmlformats.org/officeDocument/2006/relationships/hyperlink" Target="http://chatgptbot.ru" TargetMode="External"/><Relationship Id="rId730" Type="http://schemas.openxmlformats.org/officeDocument/2006/relationships/hyperlink" Target="https://www.quad9.net/" TargetMode="External"/><Relationship Id="rId1320" Type="http://schemas.openxmlformats.org/officeDocument/2006/relationships/hyperlink" Target="http://pogoda.by" TargetMode="External"/><Relationship Id="rId1321" Type="http://schemas.openxmlformats.org/officeDocument/2006/relationships/hyperlink" Target="https://sinoptik.ua/" TargetMode="External"/><Relationship Id="rId1322" Type="http://schemas.openxmlformats.org/officeDocument/2006/relationships/hyperlink" Target="http://sinoptik.ua" TargetMode="External"/><Relationship Id="rId1356" Type="http://schemas.openxmlformats.org/officeDocument/2006/relationships/hyperlink" Target="http://yandex.ru" TargetMode="External"/><Relationship Id="rId1357" Type="http://schemas.openxmlformats.org/officeDocument/2006/relationships/hyperlink" Target="https://meteofor.com.ua/ru/weather-kyiv-4944/tomorrow/" TargetMode="External"/><Relationship Id="rId20" Type="http://schemas.openxmlformats.org/officeDocument/2006/relationships/hyperlink" Target="http://www.xbox.com" TargetMode="External"/><Relationship Id="rId1358" Type="http://schemas.openxmlformats.org/officeDocument/2006/relationships/hyperlink" Target="http://meteofor.com.ua" TargetMode="External"/><Relationship Id="rId1359" Type="http://schemas.openxmlformats.org/officeDocument/2006/relationships/hyperlink" Target="https://weather.rambler.ru/v-enn-arbore/today/" TargetMode="External"/><Relationship Id="rId22" Type="http://schemas.openxmlformats.org/officeDocument/2006/relationships/hyperlink" Target="http://www.metacritic.com" TargetMode="External"/><Relationship Id="rId21" Type="http://schemas.openxmlformats.org/officeDocument/2006/relationships/hyperlink" Target="https://www.metacritic.com/game/atomic-heart/" TargetMode="External"/><Relationship Id="rId24" Type="http://schemas.openxmlformats.org/officeDocument/2006/relationships/hyperlink" Target="http://chat.openai.com" TargetMode="External"/><Relationship Id="rId23" Type="http://schemas.openxmlformats.org/officeDocument/2006/relationships/hyperlink" Target="https://chat.openai.com/" TargetMode="External"/><Relationship Id="rId767" Type="http://schemas.openxmlformats.org/officeDocument/2006/relationships/hyperlink" Target="http://kino.mail.ru" TargetMode="External"/><Relationship Id="rId766" Type="http://schemas.openxmlformats.org/officeDocument/2006/relationships/hyperlink" Target="https://kino.mail.ru/person/450879_inna_churikova/" TargetMode="External"/><Relationship Id="rId765" Type="http://schemas.openxmlformats.org/officeDocument/2006/relationships/hyperlink" Target="http://znanierussia.ru" TargetMode="External"/><Relationship Id="rId764" Type="http://schemas.openxmlformats.org/officeDocument/2006/relationships/hyperlink" Target="https://znanierussia.ru/articles/%D0%A7%D1%83%D1%80%D0%B8%D0%BA%D0%BE%D0%B2%D0%B0,_%D0%98%D0%BD%D0%BD%D0%B0_%D0%9C%D0%B8%D1%85%D0%B0%D0%B9%D0%BB%D0%BE%D0%B2%D0%BD%D0%B0" TargetMode="External"/><Relationship Id="rId769" Type="http://schemas.openxmlformats.org/officeDocument/2006/relationships/hyperlink" Target="https://24smi.org/celebrity/604-inna-churikova.html" TargetMode="External"/><Relationship Id="rId768" Type="http://schemas.openxmlformats.org/officeDocument/2006/relationships/hyperlink" Target="https://ria.ru/20230114/churikova-1844869415.html" TargetMode="External"/><Relationship Id="rId26" Type="http://schemas.openxmlformats.org/officeDocument/2006/relationships/hyperlink" Target="http://trychatgpt.ru" TargetMode="External"/><Relationship Id="rId25" Type="http://schemas.openxmlformats.org/officeDocument/2006/relationships/hyperlink" Target="https://trychatgpt.ru/" TargetMode="External"/><Relationship Id="rId28" Type="http://schemas.openxmlformats.org/officeDocument/2006/relationships/hyperlink" Target="http://chadgpt.ru" TargetMode="External"/><Relationship Id="rId1350" Type="http://schemas.openxmlformats.org/officeDocument/2006/relationships/hyperlink" Target="http://www.gismeteo.ru" TargetMode="External"/><Relationship Id="rId27" Type="http://schemas.openxmlformats.org/officeDocument/2006/relationships/hyperlink" Target="https://chadgpt.ru/" TargetMode="External"/><Relationship Id="rId1351" Type="http://schemas.openxmlformats.org/officeDocument/2006/relationships/hyperlink" Target="https://www.gismeteo.ru/weather-washington-7150/tomorrow/" TargetMode="External"/><Relationship Id="rId763" Type="http://schemas.openxmlformats.org/officeDocument/2006/relationships/hyperlink" Target="http://uznayvse.ru" TargetMode="External"/><Relationship Id="rId1352" Type="http://schemas.openxmlformats.org/officeDocument/2006/relationships/hyperlink" Target="http://www.gismeteo.ru" TargetMode="External"/><Relationship Id="rId29" Type="http://schemas.openxmlformats.org/officeDocument/2006/relationships/hyperlink" Target="https://ru.wikipedia.org/wiki/ChatGPT" TargetMode="External"/><Relationship Id="rId762" Type="http://schemas.openxmlformats.org/officeDocument/2006/relationships/hyperlink" Target="https://uznayvse.ru/znamenitosti/biografiya-inna-churikova.html" TargetMode="External"/><Relationship Id="rId1353" Type="http://schemas.openxmlformats.org/officeDocument/2006/relationships/hyperlink" Target="https://sinoptik.ua/" TargetMode="External"/><Relationship Id="rId761" Type="http://schemas.openxmlformats.org/officeDocument/2006/relationships/hyperlink" Target="http://www.culture.ru" TargetMode="External"/><Relationship Id="rId1354" Type="http://schemas.openxmlformats.org/officeDocument/2006/relationships/hyperlink" Target="http://sinoptik.ua" TargetMode="External"/><Relationship Id="rId760" Type="http://schemas.openxmlformats.org/officeDocument/2006/relationships/hyperlink" Target="https://www.culture.ru/persons/656/inna-churikova" TargetMode="External"/><Relationship Id="rId1355" Type="http://schemas.openxmlformats.org/officeDocument/2006/relationships/hyperlink" Target="https://yandex.ru/weather/details/tomorrow" TargetMode="External"/><Relationship Id="rId1345" Type="http://schemas.openxmlformats.org/officeDocument/2006/relationships/hyperlink" Target="https://www.gismeteo.ru/weather-lansing-7215/tomorrow/" TargetMode="External"/><Relationship Id="rId1346" Type="http://schemas.openxmlformats.org/officeDocument/2006/relationships/hyperlink" Target="http://www.gismeteo.ru" TargetMode="External"/><Relationship Id="rId1347" Type="http://schemas.openxmlformats.org/officeDocument/2006/relationships/hyperlink" Target="https://www.gismeteo.ru/weather-east-lansing-7529/tomorrow/" TargetMode="External"/><Relationship Id="rId1348" Type="http://schemas.openxmlformats.org/officeDocument/2006/relationships/hyperlink" Target="http://www.gismeteo.ru" TargetMode="External"/><Relationship Id="rId11" Type="http://schemas.openxmlformats.org/officeDocument/2006/relationships/hyperlink" Target="http://vk.com" TargetMode="External"/><Relationship Id="rId1349" Type="http://schemas.openxmlformats.org/officeDocument/2006/relationships/hyperlink" Target="https://www.gismeteo.ru/weather-chicago-7208/tomorrow/" TargetMode="External"/><Relationship Id="rId10" Type="http://schemas.openxmlformats.org/officeDocument/2006/relationships/hyperlink" Target="https://vk.com/atomicheart_game" TargetMode="External"/><Relationship Id="rId13" Type="http://schemas.openxmlformats.org/officeDocument/2006/relationships/hyperlink" Target="http://www.youtube.com" TargetMode="External"/><Relationship Id="rId12" Type="http://schemas.openxmlformats.org/officeDocument/2006/relationships/hyperlink" Target="https://www.youtube.com/@Mundfish" TargetMode="External"/><Relationship Id="rId756" Type="http://schemas.openxmlformats.org/officeDocument/2006/relationships/hyperlink" Target="https://tass.ru/info/16800267" TargetMode="External"/><Relationship Id="rId755" Type="http://schemas.openxmlformats.org/officeDocument/2006/relationships/hyperlink" Target="http://www.kino-teatr.ru" TargetMode="External"/><Relationship Id="rId754" Type="http://schemas.openxmlformats.org/officeDocument/2006/relationships/hyperlink" Target="https://www.kino-teatr.ru/kino/acter/w/ros/4785/bio/" TargetMode="External"/><Relationship Id="rId753" Type="http://schemas.openxmlformats.org/officeDocument/2006/relationships/hyperlink" Target="http://www.kinopoisk.ru" TargetMode="External"/><Relationship Id="rId759" Type="http://schemas.openxmlformats.org/officeDocument/2006/relationships/hyperlink" Target="http://24smi.org" TargetMode="External"/><Relationship Id="rId758" Type="http://schemas.openxmlformats.org/officeDocument/2006/relationships/hyperlink" Target="https://24smi.org/celebrity/604-inna-churikova.html" TargetMode="External"/><Relationship Id="rId757" Type="http://schemas.openxmlformats.org/officeDocument/2006/relationships/hyperlink" Target="http://tass.ru" TargetMode="External"/><Relationship Id="rId15" Type="http://schemas.openxmlformats.org/officeDocument/2006/relationships/hyperlink" Target="http://www.youtube.com" TargetMode="External"/><Relationship Id="rId14" Type="http://schemas.openxmlformats.org/officeDocument/2006/relationships/hyperlink" Target="https://www.youtube.com/channel/UCjAij4NWCod80d70enm3tRw" TargetMode="External"/><Relationship Id="rId17" Type="http://schemas.openxmlformats.org/officeDocument/2006/relationships/hyperlink" Target="https://www.focus-entmt.com/en/games/atomic-heart" TargetMode="External"/><Relationship Id="rId16" Type="http://schemas.openxmlformats.org/officeDocument/2006/relationships/hyperlink" Target="https://atomic.mundfish.com/" TargetMode="External"/><Relationship Id="rId1340" Type="http://schemas.openxmlformats.org/officeDocument/2006/relationships/hyperlink" Target="http://www.gismeteo.ru" TargetMode="External"/><Relationship Id="rId19" Type="http://schemas.openxmlformats.org/officeDocument/2006/relationships/hyperlink" Target="https://www.xbox.com/en-US/games/atomic-heart" TargetMode="External"/><Relationship Id="rId752" Type="http://schemas.openxmlformats.org/officeDocument/2006/relationships/hyperlink" Target="https://www.kinopoisk.ru/name/128152/" TargetMode="External"/><Relationship Id="rId1341" Type="http://schemas.openxmlformats.org/officeDocument/2006/relationships/hyperlink" Target="https://www.gismeteo.ru/weather-brooklyn-7570/tomorrow/" TargetMode="External"/><Relationship Id="rId18" Type="http://schemas.openxmlformats.org/officeDocument/2006/relationships/hyperlink" Target="http://www.focus-entmt.com" TargetMode="External"/><Relationship Id="rId751" Type="http://schemas.openxmlformats.org/officeDocument/2006/relationships/hyperlink" Target="http://ru.wikipedia.org" TargetMode="External"/><Relationship Id="rId1342" Type="http://schemas.openxmlformats.org/officeDocument/2006/relationships/hyperlink" Target="http://www.gismeteo.ru" TargetMode="External"/><Relationship Id="rId750" Type="http://schemas.openxmlformats.org/officeDocument/2006/relationships/hyperlink" Target="https://ru.wikipedia.org/wiki/%D0%A7%D1%83%D1%80%D0%B8%D0%BA%D0%BE%D0%B2%D0%B0,_%D0%98%D0%BD%D0%BD%D0%B0_%D0%9C%D0%B8%D1%85%D0%B0%D0%B9%D0%BB%D0%BE%D0%B2%D0%BD%D0%B0" TargetMode="External"/><Relationship Id="rId1343" Type="http://schemas.openxmlformats.org/officeDocument/2006/relationships/hyperlink" Target="https://www.gismeteo.ru/weather-novi-9132/tomorrow/" TargetMode="External"/><Relationship Id="rId1344" Type="http://schemas.openxmlformats.org/officeDocument/2006/relationships/hyperlink" Target="http://www.gismeteo.ru" TargetMode="External"/><Relationship Id="rId84" Type="http://schemas.openxmlformats.org/officeDocument/2006/relationships/hyperlink" Target="https://writesonic.com/blog/chatgpt-alternatives/" TargetMode="External"/><Relationship Id="rId1774" Type="http://schemas.openxmlformats.org/officeDocument/2006/relationships/hyperlink" Target="https://play.google.com/store/apps/details?id=com.google.android.youtube&amp;hl=ru&amp;gl=US" TargetMode="External"/><Relationship Id="rId83" Type="http://schemas.openxmlformats.org/officeDocument/2006/relationships/hyperlink" Target="http://www.theguardian.com" TargetMode="External"/><Relationship Id="rId1775" Type="http://schemas.openxmlformats.org/officeDocument/2006/relationships/hyperlink" Target="http://play.google.com" TargetMode="External"/><Relationship Id="rId86" Type="http://schemas.openxmlformats.org/officeDocument/2006/relationships/hyperlink" Target="https://www.reddit.com/r/ChatGPT/" TargetMode="External"/><Relationship Id="rId1776" Type="http://schemas.openxmlformats.org/officeDocument/2006/relationships/hyperlink" Target="https://apps.apple.com/ru/app/youtube/id544007664" TargetMode="External"/><Relationship Id="rId85" Type="http://schemas.openxmlformats.org/officeDocument/2006/relationships/hyperlink" Target="http://writesonic.com" TargetMode="External"/><Relationship Id="rId1777" Type="http://schemas.openxmlformats.org/officeDocument/2006/relationships/hyperlink" Target="http://apps.apple.com" TargetMode="External"/><Relationship Id="rId88" Type="http://schemas.openxmlformats.org/officeDocument/2006/relationships/hyperlink" Target="http://www.theverge.com" TargetMode="External"/><Relationship Id="rId1778" Type="http://schemas.openxmlformats.org/officeDocument/2006/relationships/hyperlink" Target="https://support.google.com/youtube/answer/9288567?hl=ru" TargetMode="External"/><Relationship Id="rId87" Type="http://schemas.openxmlformats.org/officeDocument/2006/relationships/hyperlink" Target="https://www.theverge.com/2023/11/6/23948957/openai-chatgpt-gpt-custom-developer-platform" TargetMode="External"/><Relationship Id="rId1779" Type="http://schemas.openxmlformats.org/officeDocument/2006/relationships/hyperlink" Target="http://support.google.com" TargetMode="External"/><Relationship Id="rId89" Type="http://schemas.openxmlformats.org/officeDocument/2006/relationships/hyperlink" Target="https://www.nytimes.com/2023/11/06/technology/openai-custom-chatgpt.html" TargetMode="External"/><Relationship Id="rId709" Type="http://schemas.openxmlformats.org/officeDocument/2006/relationships/hyperlink" Target="https://sankt-peterburg.kitabi.ru/brands/magazin-dns-shop" TargetMode="External"/><Relationship Id="rId708" Type="http://schemas.openxmlformats.org/officeDocument/2006/relationships/hyperlink" Target="https://www.yell.ru/novosibirsk/com/magazin-dns_12521469/" TargetMode="External"/><Relationship Id="rId707" Type="http://schemas.openxmlformats.org/officeDocument/2006/relationships/hyperlink" Target="http://nsk.zoon.ru" TargetMode="External"/><Relationship Id="rId706" Type="http://schemas.openxmlformats.org/officeDocument/2006/relationships/hyperlink" Target="https://nsk.zoon.ru/shops/network/dns/" TargetMode="External"/><Relationship Id="rId80" Type="http://schemas.openxmlformats.org/officeDocument/2006/relationships/hyperlink" Target="https://www.wired.com/story/openai-wants-everyone-to-build-their-own-version-of-chatgpt/" TargetMode="External"/><Relationship Id="rId82" Type="http://schemas.openxmlformats.org/officeDocument/2006/relationships/hyperlink" Target="https://www.theguardian.com/technology/chatgpt" TargetMode="External"/><Relationship Id="rId81" Type="http://schemas.openxmlformats.org/officeDocument/2006/relationships/hyperlink" Target="http://www.wired.com" TargetMode="External"/><Relationship Id="rId701" Type="http://schemas.openxmlformats.org/officeDocument/2006/relationships/hyperlink" Target="http://yandex.ru" TargetMode="External"/><Relationship Id="rId700" Type="http://schemas.openxmlformats.org/officeDocument/2006/relationships/hyperlink" Target="https://yandex.ru/maps/65/novosibirsk/search/%D0%9D%D0%BE%D0%B2%D0%BE%D1%81%D0%B8%D0%B1%D0%B8%D1%80%D1%81%D0%BA%20%D0%B0%D0%B4%D1%80%D0%B5%D1%81%D0%B0%20%D0%BC%D0%B0%D0%B3%D0%B0%D0%B7%D0%B8%D0%BD%D0%BE%D0%B2%20DNS/" TargetMode="External"/><Relationship Id="rId705" Type="http://schemas.openxmlformats.org/officeDocument/2006/relationships/hyperlink" Target="http://centergoroda.com" TargetMode="External"/><Relationship Id="rId704" Type="http://schemas.openxmlformats.org/officeDocument/2006/relationships/hyperlink" Target="https://centergoroda.com/arendator/dns/" TargetMode="External"/><Relationship Id="rId703" Type="http://schemas.openxmlformats.org/officeDocument/2006/relationships/hyperlink" Target="http://www.dnsgroup.ru" TargetMode="External"/><Relationship Id="rId702" Type="http://schemas.openxmlformats.org/officeDocument/2006/relationships/hyperlink" Target="https://www.dnsgroup.ru/" TargetMode="External"/><Relationship Id="rId1770" Type="http://schemas.openxmlformats.org/officeDocument/2006/relationships/hyperlink" Target="https://ru.wikipedia.org/wiki/YouTube" TargetMode="External"/><Relationship Id="rId1771" Type="http://schemas.openxmlformats.org/officeDocument/2006/relationships/hyperlink" Target="http://ru.wikipedia.org" TargetMode="External"/><Relationship Id="rId1772" Type="http://schemas.openxmlformats.org/officeDocument/2006/relationships/hyperlink" Target="https://www.youtube.com/user/youtuberussia" TargetMode="External"/><Relationship Id="rId1773" Type="http://schemas.openxmlformats.org/officeDocument/2006/relationships/hyperlink" Target="http://www.youtube.com" TargetMode="External"/><Relationship Id="rId73" Type="http://schemas.openxmlformats.org/officeDocument/2006/relationships/hyperlink" Target="http://www.zdnet.com" TargetMode="External"/><Relationship Id="rId1763" Type="http://schemas.openxmlformats.org/officeDocument/2006/relationships/hyperlink" Target="http://www.gosuslugi.ru/30685/1/info" TargetMode="External"/><Relationship Id="rId72" Type="http://schemas.openxmlformats.org/officeDocument/2006/relationships/hyperlink" Target="https://www.zdnet.com/article/what-is-chatgpt-and-why-does-it-matter-heres-everything-you-need-to-know/" TargetMode="External"/><Relationship Id="rId1764" Type="http://schemas.openxmlformats.org/officeDocument/2006/relationships/hyperlink" Target="https://sgo1.edu71.ru/" TargetMode="External"/><Relationship Id="rId75" Type="http://schemas.openxmlformats.org/officeDocument/2006/relationships/hyperlink" Target="http://www.digitaltrends.com" TargetMode="External"/><Relationship Id="rId1765" Type="http://schemas.openxmlformats.org/officeDocument/2006/relationships/hyperlink" Target="https://xn--90aivcdt6dxbc.xn--p1ai/articles/useful/elektronnyy-dnevnik-shkolnika-kak-zaregistrirovatsya-i-polzovatsya/" TargetMode="External"/><Relationship Id="rId74" Type="http://schemas.openxmlformats.org/officeDocument/2006/relationships/hyperlink" Target="https://www.digitaltrends.com/computing/how-to-use-openai-chatgpt-text-generation-chatbot/" TargetMode="External"/><Relationship Id="rId1766" Type="http://schemas.openxmlformats.org/officeDocument/2006/relationships/hyperlink" Target="https://schools.by/m/" TargetMode="External"/><Relationship Id="rId77" Type="http://schemas.openxmlformats.org/officeDocument/2006/relationships/hyperlink" Target="http://www.businessinsider.com" TargetMode="External"/><Relationship Id="rId1767" Type="http://schemas.openxmlformats.org/officeDocument/2006/relationships/hyperlink" Target="https://schools.by/m/" TargetMode="External"/><Relationship Id="rId76" Type="http://schemas.openxmlformats.org/officeDocument/2006/relationships/hyperlink" Target="https://www.businessinsider.com/everything-you-need-to-know-about-chat-gpt-2023-1" TargetMode="External"/><Relationship Id="rId1768" Type="http://schemas.openxmlformats.org/officeDocument/2006/relationships/hyperlink" Target="https://www.youtube.com/?hl=ru&amp;gl=RU" TargetMode="External"/><Relationship Id="rId79" Type="http://schemas.openxmlformats.org/officeDocument/2006/relationships/hyperlink" Target="http://writings.stephenwolfram.com" TargetMode="External"/><Relationship Id="rId1769" Type="http://schemas.openxmlformats.org/officeDocument/2006/relationships/hyperlink" Target="http://www.youtube.com" TargetMode="External"/><Relationship Id="rId78" Type="http://schemas.openxmlformats.org/officeDocument/2006/relationships/hyperlink" Target="https://writings.stephenwolfram.com/2023/02/what-is-chatgpt-doing-and-why-does-it-work/" TargetMode="External"/><Relationship Id="rId71" Type="http://schemas.openxmlformats.org/officeDocument/2006/relationships/hyperlink" Target="http://www.techtarget.com" TargetMode="External"/><Relationship Id="rId70" Type="http://schemas.openxmlformats.org/officeDocument/2006/relationships/hyperlink" Target="https://www.techtarget.com/whatis/definition/ChatGPT" TargetMode="External"/><Relationship Id="rId1760" Type="http://schemas.openxmlformats.org/officeDocument/2006/relationships/hyperlink" Target="https://e-school.obr.lenreg.ru/" TargetMode="External"/><Relationship Id="rId1761" Type="http://schemas.openxmlformats.org/officeDocument/2006/relationships/hyperlink" Target="http://e-school.obr.lenreg.ru" TargetMode="External"/><Relationship Id="rId1762" Type="http://schemas.openxmlformats.org/officeDocument/2006/relationships/hyperlink" Target="https://school.72to.ru/" TargetMode="External"/><Relationship Id="rId62" Type="http://schemas.openxmlformats.org/officeDocument/2006/relationships/hyperlink" Target="https://openai.com/blog/chatgpt" TargetMode="External"/><Relationship Id="rId1312" Type="http://schemas.openxmlformats.org/officeDocument/2006/relationships/hyperlink" Target="https://yandex.ru/pogoda/michigan-city" TargetMode="External"/><Relationship Id="rId1796" Type="http://schemas.openxmlformats.org/officeDocument/2006/relationships/hyperlink" Target="https://incrussia.ru/news/youtube-stories/" TargetMode="External"/><Relationship Id="rId61" Type="http://schemas.openxmlformats.org/officeDocument/2006/relationships/hyperlink" Target="http://chat-gpt.ru" TargetMode="External"/><Relationship Id="rId1313" Type="http://schemas.openxmlformats.org/officeDocument/2006/relationships/hyperlink" Target="http://yandex.ru" TargetMode="External"/><Relationship Id="rId1797" Type="http://schemas.openxmlformats.org/officeDocument/2006/relationships/hyperlink" Target="http://incrussia.ru" TargetMode="External"/><Relationship Id="rId64" Type="http://schemas.openxmlformats.org/officeDocument/2006/relationships/hyperlink" Target="https://openai.com/" TargetMode="External"/><Relationship Id="rId1314" Type="http://schemas.openxmlformats.org/officeDocument/2006/relationships/hyperlink" Target="https://play.google.com/store/apps/category/WEATHER?hl=ru&amp;gl=US" TargetMode="External"/><Relationship Id="rId1798" Type="http://schemas.openxmlformats.org/officeDocument/2006/relationships/hyperlink" Target="https://vc.ru/u/1706135-monstertube/715669-youtube-shorts-ili-kak-bystro-startovat-na-yutub" TargetMode="External"/><Relationship Id="rId63" Type="http://schemas.openxmlformats.org/officeDocument/2006/relationships/hyperlink" Target="http://openai.com" TargetMode="External"/><Relationship Id="rId1315" Type="http://schemas.openxmlformats.org/officeDocument/2006/relationships/hyperlink" Target="http://play.google.com" TargetMode="External"/><Relationship Id="rId1799" Type="http://schemas.openxmlformats.org/officeDocument/2006/relationships/hyperlink" Target="http://vc.ru" TargetMode="External"/><Relationship Id="rId66" Type="http://schemas.openxmlformats.org/officeDocument/2006/relationships/hyperlink" Target="https://en.wikipedia.org/wiki/ChatGPT" TargetMode="External"/><Relationship Id="rId1316" Type="http://schemas.openxmlformats.org/officeDocument/2006/relationships/hyperlink" Target="https://ru.meteotrend.com/" TargetMode="External"/><Relationship Id="rId65" Type="http://schemas.openxmlformats.org/officeDocument/2006/relationships/hyperlink" Target="http://openai.com" TargetMode="External"/><Relationship Id="rId1317" Type="http://schemas.openxmlformats.org/officeDocument/2006/relationships/hyperlink" Target="http://ru.meteotrend.com" TargetMode="External"/><Relationship Id="rId68" Type="http://schemas.openxmlformats.org/officeDocument/2006/relationships/hyperlink" Target="https://apps.apple.com/us/app/chatgpt/id6448311069" TargetMode="External"/><Relationship Id="rId1318" Type="http://schemas.openxmlformats.org/officeDocument/2006/relationships/hyperlink" Target="https://pogoda.by/" TargetMode="External"/><Relationship Id="rId67" Type="http://schemas.openxmlformats.org/officeDocument/2006/relationships/hyperlink" Target="http://en.wikipedia.org" TargetMode="External"/><Relationship Id="rId1319" Type="http://schemas.openxmlformats.org/officeDocument/2006/relationships/hyperlink" Target="http://pogoda.by" TargetMode="External"/><Relationship Id="rId729" Type="http://schemas.openxmlformats.org/officeDocument/2006/relationships/hyperlink" Target="http://aws.amazon.com" TargetMode="External"/><Relationship Id="rId728" Type="http://schemas.openxmlformats.org/officeDocument/2006/relationships/hyperlink" Target="https://aws.amazon.com/route53/what-is-dns/" TargetMode="External"/><Relationship Id="rId60" Type="http://schemas.openxmlformats.org/officeDocument/2006/relationships/hyperlink" Target="https://chat-gpt.ru/" TargetMode="External"/><Relationship Id="rId723" Type="http://schemas.openxmlformats.org/officeDocument/2006/relationships/hyperlink" Target="http://developers.google.com" TargetMode="External"/><Relationship Id="rId722" Type="http://schemas.openxmlformats.org/officeDocument/2006/relationships/hyperlink" Target="https://developers.google.com/speed/public-dns/docs/using" TargetMode="External"/><Relationship Id="rId721" Type="http://schemas.openxmlformats.org/officeDocument/2006/relationships/hyperlink" Target="http://developers.google.com" TargetMode="External"/><Relationship Id="rId720" Type="http://schemas.openxmlformats.org/officeDocument/2006/relationships/hyperlink" Target="https://developers.google.com/speed/public-dns" TargetMode="External"/><Relationship Id="rId727" Type="http://schemas.openxmlformats.org/officeDocument/2006/relationships/hyperlink" Target="http://cloud.google.com" TargetMode="External"/><Relationship Id="rId726" Type="http://schemas.openxmlformats.org/officeDocument/2006/relationships/hyperlink" Target="https://cloud.google.com/dns" TargetMode="External"/><Relationship Id="rId725" Type="http://schemas.openxmlformats.org/officeDocument/2006/relationships/hyperlink" Target="http://www.cloudflare.com" TargetMode="External"/><Relationship Id="rId724" Type="http://schemas.openxmlformats.org/officeDocument/2006/relationships/hyperlink" Target="https://www.cloudflare.com/learning/dns/what-is-dns/" TargetMode="External"/><Relationship Id="rId69" Type="http://schemas.openxmlformats.org/officeDocument/2006/relationships/hyperlink" Target="http://apps.apple.com" TargetMode="External"/><Relationship Id="rId1790" Type="http://schemas.openxmlformats.org/officeDocument/2006/relationships/hyperlink" Target="https://pikabu.ru/story/blokirovka_yutub_10811596" TargetMode="External"/><Relationship Id="rId1791" Type="http://schemas.openxmlformats.org/officeDocument/2006/relationships/hyperlink" Target="http://pikabu.ru" TargetMode="External"/><Relationship Id="rId1792" Type="http://schemas.openxmlformats.org/officeDocument/2006/relationships/hyperlink" Target="https://developers.google.com/youtube/v3/getting-started" TargetMode="External"/><Relationship Id="rId1793" Type="http://schemas.openxmlformats.org/officeDocument/2006/relationships/hyperlink" Target="http://developers.google.com" TargetMode="External"/><Relationship Id="rId1310" Type="http://schemas.openxmlformats.org/officeDocument/2006/relationships/hyperlink" Target="https://weather.com/ru-RU/weather/tenday/l/Ann+Arbor+MI+United+States?canonicalCityId=3c1740550b2f113b86f9cd665770bcf3e3e1a34bf7ac0189a6e3d215540792e7" TargetMode="External"/><Relationship Id="rId1794" Type="http://schemas.openxmlformats.org/officeDocument/2006/relationships/hyperlink" Target="https://www.1tv.ru/news/issue/2023-11-11/18:00" TargetMode="External"/><Relationship Id="rId1311" Type="http://schemas.openxmlformats.org/officeDocument/2006/relationships/hyperlink" Target="http://weather.com" TargetMode="External"/><Relationship Id="rId1795" Type="http://schemas.openxmlformats.org/officeDocument/2006/relationships/hyperlink" Target="http://www.1tv.ru" TargetMode="External"/><Relationship Id="rId51" Type="http://schemas.openxmlformats.org/officeDocument/2006/relationships/hyperlink" Target="https://play.google.com/store/apps/details?id=com.openai.chatgpt&amp;hl=en_US" TargetMode="External"/><Relationship Id="rId1301" Type="http://schemas.openxmlformats.org/officeDocument/2006/relationships/hyperlink" Target="http://www.gismeteo.ru" TargetMode="External"/><Relationship Id="rId1785" Type="http://schemas.openxmlformats.org/officeDocument/2006/relationships/hyperlink" Target="http://www.iphones.ru" TargetMode="External"/><Relationship Id="rId50" Type="http://schemas.openxmlformats.org/officeDocument/2006/relationships/hyperlink" Target="http://3dnews.ru" TargetMode="External"/><Relationship Id="rId1302" Type="http://schemas.openxmlformats.org/officeDocument/2006/relationships/hyperlink" Target="https://www.gismeteo.ru/weather-ann-arbor-7343/" TargetMode="External"/><Relationship Id="rId1786" Type="http://schemas.openxmlformats.org/officeDocument/2006/relationships/hyperlink" Target="https://blog.youtube/" TargetMode="External"/><Relationship Id="rId53" Type="http://schemas.openxmlformats.org/officeDocument/2006/relationships/hyperlink" Target="https://lenta.ru/articles/2023/07/15/chatgpt/" TargetMode="External"/><Relationship Id="rId1303" Type="http://schemas.openxmlformats.org/officeDocument/2006/relationships/hyperlink" Target="http://www.gismeteo.ru" TargetMode="External"/><Relationship Id="rId1787" Type="http://schemas.openxmlformats.org/officeDocument/2006/relationships/hyperlink" Target="https://iz.ru/tag/youtube" TargetMode="External"/><Relationship Id="rId52" Type="http://schemas.openxmlformats.org/officeDocument/2006/relationships/hyperlink" Target="http://play.google.com" TargetMode="External"/><Relationship Id="rId1304" Type="http://schemas.openxmlformats.org/officeDocument/2006/relationships/hyperlink" Target="https://www.gismeteo.ru/weather-ann-arbor-7343/month/" TargetMode="External"/><Relationship Id="rId1788" Type="http://schemas.openxmlformats.org/officeDocument/2006/relationships/hyperlink" Target="http://iz.ru" TargetMode="External"/><Relationship Id="rId55" Type="http://schemas.openxmlformats.org/officeDocument/2006/relationships/hyperlink" Target="https://gptgo.ai/?hl=ru" TargetMode="External"/><Relationship Id="rId1305" Type="http://schemas.openxmlformats.org/officeDocument/2006/relationships/hyperlink" Target="http://www.gismeteo.ru" TargetMode="External"/><Relationship Id="rId1789" Type="http://schemas.openxmlformats.org/officeDocument/2006/relationships/hyperlink" Target="https://about.youtube/" TargetMode="External"/><Relationship Id="rId54" Type="http://schemas.openxmlformats.org/officeDocument/2006/relationships/hyperlink" Target="http://lenta.ru" TargetMode="External"/><Relationship Id="rId1306" Type="http://schemas.openxmlformats.org/officeDocument/2006/relationships/hyperlink" Target="https://weather.rambler.ru/v-enn-arbore/today/" TargetMode="External"/><Relationship Id="rId57" Type="http://schemas.openxmlformats.org/officeDocument/2006/relationships/hyperlink" Target="https://www.finam.ru/publications/item/chto-takoe-chatgpt-kak-ii-menyaet-pravila-igry-v-razlichnykh-otraslyakh-20230205-1355/" TargetMode="External"/><Relationship Id="rId1307" Type="http://schemas.openxmlformats.org/officeDocument/2006/relationships/hyperlink" Target="http://weather.rambler.ru" TargetMode="External"/><Relationship Id="rId56" Type="http://schemas.openxmlformats.org/officeDocument/2006/relationships/hyperlink" Target="http://gptgo.ai" TargetMode="External"/><Relationship Id="rId1308" Type="http://schemas.openxmlformats.org/officeDocument/2006/relationships/hyperlink" Target="https://weather.com/ru-RU/weather/today/l/Ann+Arbor+MI+United+States?canonicalCityId=3c1740550b2f113b86f9cd665770bcf3e3e1a34bf7ac0189a6e3d215540792e7" TargetMode="External"/><Relationship Id="rId1309" Type="http://schemas.openxmlformats.org/officeDocument/2006/relationships/hyperlink" Target="http://weather.com" TargetMode="External"/><Relationship Id="rId719" Type="http://schemas.openxmlformats.org/officeDocument/2006/relationships/hyperlink" Target="http://help.reg.ru" TargetMode="External"/><Relationship Id="rId718" Type="http://schemas.openxmlformats.org/officeDocument/2006/relationships/hyperlink" Target="https://help.reg.ru/support/dns-servery-i-nastroyka-zony/nastroyka-resursnykh-zapisey-dns/nastroyka-resursnykh-zapisey-na-hostinge" TargetMode="External"/><Relationship Id="rId717" Type="http://schemas.openxmlformats.org/officeDocument/2006/relationships/hyperlink" Target="https://halvacard.ru/shops/elektronika/dns" TargetMode="External"/><Relationship Id="rId712" Type="http://schemas.openxmlformats.org/officeDocument/2006/relationships/hyperlink" Target="http://help-ru.tilda.cc" TargetMode="External"/><Relationship Id="rId711" Type="http://schemas.openxmlformats.org/officeDocument/2006/relationships/hyperlink" Target="https://help-ru.tilda.cc/dns" TargetMode="External"/><Relationship Id="rId710" Type="http://schemas.openxmlformats.org/officeDocument/2006/relationships/hyperlink" Target="http://sankt-peterburg.kitabi.ru" TargetMode="External"/><Relationship Id="rId716" Type="http://schemas.openxmlformats.org/officeDocument/2006/relationships/hyperlink" Target="http://dnsdevelopment.ru" TargetMode="External"/><Relationship Id="rId715" Type="http://schemas.openxmlformats.org/officeDocument/2006/relationships/hyperlink" Target="https://dnsdevelopment.ru/" TargetMode="External"/><Relationship Id="rId714" Type="http://schemas.openxmlformats.org/officeDocument/2006/relationships/hyperlink" Target="http://www.prozapass.ru" TargetMode="External"/><Relationship Id="rId713" Type="http://schemas.openxmlformats.org/officeDocument/2006/relationships/hyperlink" Target="https://www.prozapass.ru/" TargetMode="External"/><Relationship Id="rId59" Type="http://schemas.openxmlformats.org/officeDocument/2006/relationships/hyperlink" Target="http://www.forbes.ru" TargetMode="External"/><Relationship Id="rId58" Type="http://schemas.openxmlformats.org/officeDocument/2006/relationships/hyperlink" Target="https://www.forbes.ru/tekhnologii/486215-programmisty-vizionery-i-genii-biznesa-kto-pridumal-chatgpt-i-kuda-oni-ego-vedut" TargetMode="External"/><Relationship Id="rId1780" Type="http://schemas.openxmlformats.org/officeDocument/2006/relationships/hyperlink" Target="https://support.google.com/youtube/?hl=ru" TargetMode="External"/><Relationship Id="rId1781" Type="http://schemas.openxmlformats.org/officeDocument/2006/relationships/hyperlink" Target="http://support.google.com" TargetMode="External"/><Relationship Id="rId1782" Type="http://schemas.openxmlformats.org/officeDocument/2006/relationships/hyperlink" Target="https://www.youtubekids.com/?hl=ru" TargetMode="External"/><Relationship Id="rId1783" Type="http://schemas.openxmlformats.org/officeDocument/2006/relationships/hyperlink" Target="http://www.youtubekids.com" TargetMode="External"/><Relationship Id="rId1300" Type="http://schemas.openxmlformats.org/officeDocument/2006/relationships/hyperlink" Target="https://www.gismeteo.ru/weather-ann-arbor-7343/weekly/" TargetMode="External"/><Relationship Id="rId1784" Type="http://schemas.openxmlformats.org/officeDocument/2006/relationships/hyperlink" Target="https://www.iphones.ru/iNotes/deputat-gosdumy-predlozhil-operatoram-ubrat-bezlimitnyy-dostup-k-youtube-11-10-2023" TargetMode="External"/><Relationship Id="rId349" Type="http://schemas.openxmlformats.org/officeDocument/2006/relationships/hyperlink" Target="https://ru.wikipedia.org/wiki/VK_(%D0%B7%D0%BD%D0%B0%D1%87%D0%B5%D0%BD%D0%B8%D1%8F)" TargetMode="External"/><Relationship Id="rId348" Type="http://schemas.openxmlformats.org/officeDocument/2006/relationships/hyperlink" Target="http://web.vk.me" TargetMode="External"/><Relationship Id="rId347" Type="http://schemas.openxmlformats.org/officeDocument/2006/relationships/hyperlink" Target="https://web.vk.me/" TargetMode="External"/><Relationship Id="rId346" Type="http://schemas.openxmlformats.org/officeDocument/2006/relationships/hyperlink" Target="http://apps.apple.com" TargetMode="External"/><Relationship Id="rId341" Type="http://schemas.openxmlformats.org/officeDocument/2006/relationships/hyperlink" Target="https://ru.wikipedia.org/wiki/%D0%92%D0%9A%D0%BE%D0%BD%D1%82%D0%B0%D0%BA%D1%82%D0%B5" TargetMode="External"/><Relationship Id="rId340" Type="http://schemas.openxmlformats.org/officeDocument/2006/relationships/hyperlink" Target="http://play.google.com" TargetMode="External"/><Relationship Id="rId345" Type="http://schemas.openxmlformats.org/officeDocument/2006/relationships/hyperlink" Target="https://apps.apple.com/ru/app/%D0%B2%D0%BA%D0%BE%D0%BD%D1%82%D0%B0%D0%BA%D1%82%D0%B5-%D1%81%D0%BE%D0%BE%D0%B1%D1%89%D0%B5%D0%BD%D0%B8%D1%8F-%D0%B2%D0%B8%D0%B4%D0%B5%D0%BE%D1%87%D0%B0%D1%82/id564177498" TargetMode="External"/><Relationship Id="rId344" Type="http://schemas.openxmlformats.org/officeDocument/2006/relationships/hyperlink" Target="http://play.google.com" TargetMode="External"/><Relationship Id="rId343" Type="http://schemas.openxmlformats.org/officeDocument/2006/relationships/hyperlink" Target="https://play.google.com/store/apps/developer?id=VK.com&amp;hl=ru&amp;gl=US" TargetMode="External"/><Relationship Id="rId342" Type="http://schemas.openxmlformats.org/officeDocument/2006/relationships/hyperlink" Target="http://ru.wikipedia.org" TargetMode="External"/><Relationship Id="rId338" Type="http://schemas.openxmlformats.org/officeDocument/2006/relationships/hyperlink" Target="http://m.vk.com" TargetMode="External"/><Relationship Id="rId337" Type="http://schemas.openxmlformats.org/officeDocument/2006/relationships/hyperlink" Target="https://m.vk.com/" TargetMode="External"/><Relationship Id="rId336" Type="http://schemas.openxmlformats.org/officeDocument/2006/relationships/hyperlink" Target="http://ru.pinterest.com" TargetMode="External"/><Relationship Id="rId335" Type="http://schemas.openxmlformats.org/officeDocument/2006/relationships/hyperlink" Target="https://ru.pinterest.com/shitikovav17/%D0%B2%D0%B0%D0%BB%D0%B1%D0%B5%D1%80%D0%B8%D1%81/" TargetMode="External"/><Relationship Id="rId339" Type="http://schemas.openxmlformats.org/officeDocument/2006/relationships/hyperlink" Target="https://play.google.com/store/apps/details?id=com.vkontakte.android&amp;hl=ru&amp;gl=US" TargetMode="External"/><Relationship Id="rId330" Type="http://schemas.openxmlformats.org/officeDocument/2006/relationships/hyperlink" Target="https://www.youtube.com/channel/UCtnVdR1jFU2tqJvpoh9Iwxw" TargetMode="External"/><Relationship Id="rId334" Type="http://schemas.openxmlformats.org/officeDocument/2006/relationships/hyperlink" Target="http://market.yandex.ru" TargetMode="External"/><Relationship Id="rId333" Type="http://schemas.openxmlformats.org/officeDocument/2006/relationships/hyperlink" Target="https://market.yandex.ru/search?text=%D0%B2%D0%B0%D0%BB%D0%B1%D0%B5%D1%80%D0%B8%D1%81%20%D0%B8%D0%BD%D1%82%D0%B5%D1%80%D0%BD%D0%B5%D1%82-%D0%BC%D0%B0%D0%B3%D0%B0%D0%B7%D0%B8%D0%BD%20%D0%BA%D1%83%D0%BF%D0%B8%D1%82%D1%8C%20%D1%85%D0%BE%D0%BB%D0%BE%D0%B4%D0%B8%D0%BB%D1%8C%D0%BD%D0%B8%D0%BA" TargetMode="External"/><Relationship Id="rId332" Type="http://schemas.openxmlformats.org/officeDocument/2006/relationships/hyperlink" Target="https://2gis.ru/yakutsk/search/%D0%92%D0%B0%D0%BB%D0%B1%D0%B5%D1%80%D0%B8%D1%81/filters/district_id%3D70030076313420542" TargetMode="External"/><Relationship Id="rId331" Type="http://schemas.openxmlformats.org/officeDocument/2006/relationships/hyperlink" Target="http://www.youtube.com" TargetMode="External"/><Relationship Id="rId370" Type="http://schemas.openxmlformats.org/officeDocument/2006/relationships/hyperlink" Target="https://vk.me/app" TargetMode="External"/><Relationship Id="rId369" Type="http://schemas.openxmlformats.org/officeDocument/2006/relationships/hyperlink" Target="https://bcs-express.ru/novosti-i-analitika/otchet-vk-za-iii-kvartal" TargetMode="External"/><Relationship Id="rId368" Type="http://schemas.openxmlformats.org/officeDocument/2006/relationships/hyperlink" Target="http://cloud.vkplay.ru" TargetMode="External"/><Relationship Id="rId363" Type="http://schemas.openxmlformats.org/officeDocument/2006/relationships/hyperlink" Target="http://twitter.com" TargetMode="External"/><Relationship Id="rId362" Type="http://schemas.openxmlformats.org/officeDocument/2006/relationships/hyperlink" Target="https://twitter.com/vkontakte?lang=ru" TargetMode="External"/><Relationship Id="rId361" Type="http://schemas.openxmlformats.org/officeDocument/2006/relationships/hyperlink" Target="https://team.vk.company/" TargetMode="External"/><Relationship Id="rId360" Type="http://schemas.openxmlformats.org/officeDocument/2006/relationships/hyperlink" Target="http://vkcombo.ru" TargetMode="External"/><Relationship Id="rId367" Type="http://schemas.openxmlformats.org/officeDocument/2006/relationships/hyperlink" Target="https://cloud.vkplay.ru/" TargetMode="External"/><Relationship Id="rId366" Type="http://schemas.openxmlformats.org/officeDocument/2006/relationships/hyperlink" Target="https://bcs-express.ru/kotirovki-i-grafiki/vkco" TargetMode="External"/><Relationship Id="rId365" Type="http://schemas.openxmlformats.org/officeDocument/2006/relationships/hyperlink" Target="http://mcs.mail.ru" TargetMode="External"/><Relationship Id="rId364" Type="http://schemas.openxmlformats.org/officeDocument/2006/relationships/hyperlink" Target="https://mcs.mail.ru/" TargetMode="External"/><Relationship Id="rId95" Type="http://schemas.openxmlformats.org/officeDocument/2006/relationships/hyperlink" Target="https://ru.wikipedia.org/wiki/YouTube" TargetMode="External"/><Relationship Id="rId94" Type="http://schemas.openxmlformats.org/officeDocument/2006/relationships/hyperlink" Target="http://www.youtube.com" TargetMode="External"/><Relationship Id="rId97" Type="http://schemas.openxmlformats.org/officeDocument/2006/relationships/hyperlink" Target="https://play.google.com/store/apps/details?id=com.google.android.youtube&amp;hl=en_US" TargetMode="External"/><Relationship Id="rId96" Type="http://schemas.openxmlformats.org/officeDocument/2006/relationships/hyperlink" Target="http://ru.wikipedia.org" TargetMode="External"/><Relationship Id="rId99" Type="http://schemas.openxmlformats.org/officeDocument/2006/relationships/hyperlink" Target="https://support.google.com/youtube/answer/9011078?hl=ru" TargetMode="External"/><Relationship Id="rId98" Type="http://schemas.openxmlformats.org/officeDocument/2006/relationships/hyperlink" Target="http://play.google.com" TargetMode="External"/><Relationship Id="rId91" Type="http://schemas.openxmlformats.org/officeDocument/2006/relationships/hyperlink" Target="https://www.sciencefocus.com/future-technology/gpt-3" TargetMode="External"/><Relationship Id="rId90" Type="http://schemas.openxmlformats.org/officeDocument/2006/relationships/hyperlink" Target="http://www.nytimes.com" TargetMode="External"/><Relationship Id="rId93" Type="http://schemas.openxmlformats.org/officeDocument/2006/relationships/hyperlink" Target="https://www.youtube.com/?gl=RU&amp;hl=ru" TargetMode="External"/><Relationship Id="rId92" Type="http://schemas.openxmlformats.org/officeDocument/2006/relationships/hyperlink" Target="http://www.sciencefocus.com" TargetMode="External"/><Relationship Id="rId359" Type="http://schemas.openxmlformats.org/officeDocument/2006/relationships/hyperlink" Target="https://vkcombo.ru/" TargetMode="External"/><Relationship Id="rId358" Type="http://schemas.openxmlformats.org/officeDocument/2006/relationships/hyperlink" Target="http://www.dek.ru" TargetMode="External"/><Relationship Id="rId357" Type="http://schemas.openxmlformats.org/officeDocument/2006/relationships/hyperlink" Target="https://www.dek.ru/vykljuchateli-knopochnye-vk-30" TargetMode="External"/><Relationship Id="rId352" Type="http://schemas.openxmlformats.org/officeDocument/2006/relationships/hyperlink" Target="http://www.tinkoff.ru" TargetMode="External"/><Relationship Id="rId351" Type="http://schemas.openxmlformats.org/officeDocument/2006/relationships/hyperlink" Target="https://www.tinkoff.ru/invest/stocks/VKCO/" TargetMode="External"/><Relationship Id="rId350" Type="http://schemas.openxmlformats.org/officeDocument/2006/relationships/hyperlink" Target="http://ru.wikipedia.org" TargetMode="External"/><Relationship Id="rId356" Type="http://schemas.openxmlformats.org/officeDocument/2006/relationships/hyperlink" Target="http://www.m.vk.ru/" TargetMode="External"/><Relationship Id="rId355" Type="http://schemas.openxmlformats.org/officeDocument/2006/relationships/hyperlink" Target="http://www.m.vk.ru/" TargetMode="External"/><Relationship Id="rId354" Type="http://schemas.openxmlformats.org/officeDocument/2006/relationships/hyperlink" Target="http://vk.mail.ru" TargetMode="External"/><Relationship Id="rId353" Type="http://schemas.openxmlformats.org/officeDocument/2006/relationships/hyperlink" Target="https://vk.mail.ru/" TargetMode="External"/><Relationship Id="rId1378" Type="http://schemas.openxmlformats.org/officeDocument/2006/relationships/hyperlink" Target="http://www.gismeteo.kz" TargetMode="External"/><Relationship Id="rId1379" Type="http://schemas.openxmlformats.org/officeDocument/2006/relationships/hyperlink" Target="https://meteofor.com.ua/ru/weather-zaporizhia-5093/tomorrow/" TargetMode="External"/><Relationship Id="rId305" Type="http://schemas.openxmlformats.org/officeDocument/2006/relationships/hyperlink" Target="http://yandex.ru" TargetMode="External"/><Relationship Id="rId789" Type="http://schemas.openxmlformats.org/officeDocument/2006/relationships/hyperlink" Target="https://domclick.ru/ipoteka/calculator" TargetMode="External"/><Relationship Id="rId304" Type="http://schemas.openxmlformats.org/officeDocument/2006/relationships/hyperlink" Target="https://yandex.ru/maps/51/samara/search/%D0%92%D0%B0%D0%BB%D0%B1%D0%B5%D1%80%D0%B8%D1%81/" TargetMode="External"/><Relationship Id="rId788" Type="http://schemas.openxmlformats.org/officeDocument/2006/relationships/hyperlink" Target="http://web2.0calc.ru" TargetMode="External"/><Relationship Id="rId303" Type="http://schemas.openxmlformats.org/officeDocument/2006/relationships/hyperlink" Target="http://vk.com" TargetMode="External"/><Relationship Id="rId787" Type="http://schemas.openxmlformats.org/officeDocument/2006/relationships/hyperlink" Target="https://web2.0calc.ru/" TargetMode="External"/><Relationship Id="rId302" Type="http://schemas.openxmlformats.org/officeDocument/2006/relationships/hyperlink" Target="https://vk.com/wildberries_thebest" TargetMode="External"/><Relationship Id="rId786" Type="http://schemas.openxmlformats.org/officeDocument/2006/relationships/hyperlink" Target="http://calculator888.ru" TargetMode="External"/><Relationship Id="rId309" Type="http://schemas.openxmlformats.org/officeDocument/2006/relationships/hyperlink" Target="https://market.yandex.ru/search?text=%D0%92%D0%B0%D0%BB%D0%B1%D0%B5%D1%80%D0%B8%D1%81%20%D0%B8%D0%BD%D1%82%D0%B5%D1%80%D0%BD%D0%B5%D1%82%20%D0%BC%D0%B0%D0%B3%D0%B0%D0%B7%D0%B8%D0%BD%20%D1%81%D0%B0%D0%B9%D1%82" TargetMode="External"/><Relationship Id="rId308" Type="http://schemas.openxmlformats.org/officeDocument/2006/relationships/hyperlink" Target="http://www.wildberries.by" TargetMode="External"/><Relationship Id="rId307" Type="http://schemas.openxmlformats.org/officeDocument/2006/relationships/hyperlink" Target="https://www.wildberries.by/" TargetMode="External"/><Relationship Id="rId306" Type="http://schemas.openxmlformats.org/officeDocument/2006/relationships/hyperlink" Target="https://www.ozon.ru/category/valberis-internet-magazin/" TargetMode="External"/><Relationship Id="rId781" Type="http://schemas.openxmlformats.org/officeDocument/2006/relationships/hyperlink" Target="https://calculator888.ru/calculator-procentov" TargetMode="External"/><Relationship Id="rId1370" Type="http://schemas.openxmlformats.org/officeDocument/2006/relationships/hyperlink" Target="http://weather.com" TargetMode="External"/><Relationship Id="rId780" Type="http://schemas.openxmlformats.org/officeDocument/2006/relationships/hyperlink" Target="http://mathsolver.microsoft.com" TargetMode="External"/><Relationship Id="rId1371" Type="http://schemas.openxmlformats.org/officeDocument/2006/relationships/hyperlink" Target="https://books.google.com/books?id=pX45dwxD-vkC&amp;pg=PT36&amp;lpg=PT36&amp;dq=%D0%BF%D0%BE%D0%B3%D0%BE%D0%B4%D0%B0+%D0%B7%D0%B0%D0%B2%D1%82%D1%80%D0%B0&amp;source=bl&amp;ots=d48ygiOrBg&amp;sig=ACfU3U3U1zODcloPFXYxNKFcVvXCoqsowg&amp;hl=ru&amp;sa=X&amp;ved=2ahUKEwix0K7ZiruCAxV0vokEHZcPBQ8Q6AF6BAgZEAM" TargetMode="External"/><Relationship Id="rId1372" Type="http://schemas.openxmlformats.org/officeDocument/2006/relationships/hyperlink" Target="http://books.google.com" TargetMode="External"/><Relationship Id="rId1373" Type="http://schemas.openxmlformats.org/officeDocument/2006/relationships/hyperlink" Target="https://books.google.com/books?id=ncqRBwAAQBAJ&amp;pg=PA216&amp;lpg=PA216&amp;dq=%D0%BF%D0%BE%D0%B3%D0%BE%D0%B4%D0%B0+%D0%B7%D0%B0%D0%B2%D1%82%D1%80%D0%B0&amp;source=bl&amp;ots=VJaLI7exrY&amp;sig=ACfU3U3ye4gF3PQ_MoCqTM5neF0ITQV4jA&amp;hl=ru&amp;sa=X&amp;ved=2ahUKEwix0K7ZiruCAxV0vokEHZcPBQ8Q6AF6BAgaEAM" TargetMode="External"/><Relationship Id="rId301" Type="http://schemas.openxmlformats.org/officeDocument/2006/relationships/hyperlink" Target="http://vk.com" TargetMode="External"/><Relationship Id="rId785" Type="http://schemas.openxmlformats.org/officeDocument/2006/relationships/hyperlink" Target="https://calculator888.ru/" TargetMode="External"/><Relationship Id="rId1374" Type="http://schemas.openxmlformats.org/officeDocument/2006/relationships/hyperlink" Target="http://books.google.com" TargetMode="External"/><Relationship Id="rId300" Type="http://schemas.openxmlformats.org/officeDocument/2006/relationships/hyperlink" Target="https://vk.com/wildberries_shop" TargetMode="External"/><Relationship Id="rId784" Type="http://schemas.openxmlformats.org/officeDocument/2006/relationships/hyperlink" Target="http://www.desmos.com" TargetMode="External"/><Relationship Id="rId1375" Type="http://schemas.openxmlformats.org/officeDocument/2006/relationships/hyperlink" Target="https://www.gismeteo.ru/weather-moscow-4368/tomorrow/" TargetMode="External"/><Relationship Id="rId783" Type="http://schemas.openxmlformats.org/officeDocument/2006/relationships/hyperlink" Target="https://www.desmos.com/scientific?lang=ru" TargetMode="External"/><Relationship Id="rId1376" Type="http://schemas.openxmlformats.org/officeDocument/2006/relationships/hyperlink" Target="http://www.gismeteo.ru" TargetMode="External"/><Relationship Id="rId782" Type="http://schemas.openxmlformats.org/officeDocument/2006/relationships/hyperlink" Target="http://calculator888.ru" TargetMode="External"/><Relationship Id="rId1377" Type="http://schemas.openxmlformats.org/officeDocument/2006/relationships/hyperlink" Target="https://www.gismeteo.kz/weather-almaty-5205/tomorrow/" TargetMode="External"/><Relationship Id="rId1367" Type="http://schemas.openxmlformats.org/officeDocument/2006/relationships/hyperlink" Target="https://weather.com/ru-RU/weather/today/l/Ann+Arbor+MI+United+States?canonicalCityId=3c1740550b2f113b86f9cd665770bcf3e3e1a34bf7ac0189a6e3d215540792e7" TargetMode="External"/><Relationship Id="rId1368" Type="http://schemas.openxmlformats.org/officeDocument/2006/relationships/hyperlink" Target="http://weather.com" TargetMode="External"/><Relationship Id="rId1369" Type="http://schemas.openxmlformats.org/officeDocument/2006/relationships/hyperlink" Target="https://weather.com/ru-RU/weather/tenday/l/Ann+Arbor+MI+United+States?canonicalCityId=3c1740550b2f113b86f9cd665770bcf3e3e1a34bf7ac0189a6e3d215540792e7" TargetMode="External"/><Relationship Id="rId778" Type="http://schemas.openxmlformats.org/officeDocument/2006/relationships/hyperlink" Target="http://okcalc.com" TargetMode="External"/><Relationship Id="rId777" Type="http://schemas.openxmlformats.org/officeDocument/2006/relationships/hyperlink" Target="https://okcalc.com/ru/" TargetMode="External"/><Relationship Id="rId776" Type="http://schemas.openxmlformats.org/officeDocument/2006/relationships/hyperlink" Target="http://www.afisha.ru" TargetMode="External"/><Relationship Id="rId775" Type="http://schemas.openxmlformats.org/officeDocument/2006/relationships/hyperlink" Target="https://www.afisha.ru/people/inna-churikova-287968/" TargetMode="External"/><Relationship Id="rId779" Type="http://schemas.openxmlformats.org/officeDocument/2006/relationships/hyperlink" Target="https://mathsolver.microsoft.com/ru/algebra-calculator" TargetMode="External"/><Relationship Id="rId770" Type="http://schemas.openxmlformats.org/officeDocument/2006/relationships/hyperlink" Target="http://24smi.org" TargetMode="External"/><Relationship Id="rId1360" Type="http://schemas.openxmlformats.org/officeDocument/2006/relationships/hyperlink" Target="http://weather.rambler.ru" TargetMode="External"/><Relationship Id="rId1361" Type="http://schemas.openxmlformats.org/officeDocument/2006/relationships/hyperlink" Target="https://www.meteoservice.ru/weather/tomorrow/engels" TargetMode="External"/><Relationship Id="rId1362" Type="http://schemas.openxmlformats.org/officeDocument/2006/relationships/hyperlink" Target="http://www.meteoservice.ru" TargetMode="External"/><Relationship Id="rId774" Type="http://schemas.openxmlformats.org/officeDocument/2006/relationships/hyperlink" Target="http://www.facebook.com" TargetMode="External"/><Relationship Id="rId1363" Type="http://schemas.openxmlformats.org/officeDocument/2006/relationships/hyperlink" Target="https://ru.meteotrend.com/forecast/us/manhattan_3/" TargetMode="External"/><Relationship Id="rId773" Type="http://schemas.openxmlformats.org/officeDocument/2006/relationships/hyperlink" Target="https://www.facebook.com/IChurikova/?locale=ru_RU" TargetMode="External"/><Relationship Id="rId1364" Type="http://schemas.openxmlformats.org/officeDocument/2006/relationships/hyperlink" Target="http://ru.meteotrend.com" TargetMode="External"/><Relationship Id="rId772" Type="http://schemas.openxmlformats.org/officeDocument/2006/relationships/hyperlink" Target="http://www.forbes.ru" TargetMode="External"/><Relationship Id="rId1365" Type="http://schemas.openxmlformats.org/officeDocument/2006/relationships/hyperlink" Target="https://meteo.ua/172/zaporoje" TargetMode="External"/><Relationship Id="rId771" Type="http://schemas.openxmlformats.org/officeDocument/2006/relationships/hyperlink" Target="https://www.forbes.ru/forbes-woman/483757-zvezda-peremencivoj-epohi-kak-inna-curikova-vsu-zizn-brosala-vyzov-tradiciam" TargetMode="External"/><Relationship Id="rId1366" Type="http://schemas.openxmlformats.org/officeDocument/2006/relationships/hyperlink" Target="http://meteo.ua" TargetMode="External"/><Relationship Id="rId327" Type="http://schemas.openxmlformats.org/officeDocument/2006/relationships/hyperlink" Target="https://valberis.ru/" TargetMode="External"/><Relationship Id="rId326" Type="http://schemas.openxmlformats.org/officeDocument/2006/relationships/hyperlink" Target="http://valberis.ru" TargetMode="External"/><Relationship Id="rId325" Type="http://schemas.openxmlformats.org/officeDocument/2006/relationships/hyperlink" Target="http://www.tiktok.com" TargetMode="External"/><Relationship Id="rId324" Type="http://schemas.openxmlformats.org/officeDocument/2006/relationships/hyperlink" Target="https://www.tiktok.com/tag/%D0%B2%D0%B0%D0%BB%D0%B1%D0%B5%D1%80%D0%B8%D1%81" TargetMode="External"/><Relationship Id="rId329" Type="http://schemas.openxmlformats.org/officeDocument/2006/relationships/hyperlink" Target="http://m.facebook.com" TargetMode="External"/><Relationship Id="rId1390" Type="http://schemas.openxmlformats.org/officeDocument/2006/relationships/hyperlink" Target="http://books.google.com" TargetMode="External"/><Relationship Id="rId328" Type="http://schemas.openxmlformats.org/officeDocument/2006/relationships/hyperlink" Target="https://m.facebook.com/p/%D0%92%D0%B0%D0%BB%D0%B1%D0%B5%D1%80%D0%B8%D1%81-100077566393032/" TargetMode="External"/><Relationship Id="rId1391" Type="http://schemas.openxmlformats.org/officeDocument/2006/relationships/hyperlink" Target="https://tv.yandex.ru/" TargetMode="External"/><Relationship Id="rId1392" Type="http://schemas.openxmlformats.org/officeDocument/2006/relationships/hyperlink" Target="http://tv.yandex.ru" TargetMode="External"/><Relationship Id="rId1393" Type="http://schemas.openxmlformats.org/officeDocument/2006/relationships/hyperlink" Target="https://tv.mail.ru/" TargetMode="External"/><Relationship Id="rId1394" Type="http://schemas.openxmlformats.org/officeDocument/2006/relationships/hyperlink" Target="http://tv.mail.ru" TargetMode="External"/><Relationship Id="rId1395" Type="http://schemas.openxmlformats.org/officeDocument/2006/relationships/hyperlink" Target="https://ntvplus.ru/tv/" TargetMode="External"/><Relationship Id="rId323" Type="http://schemas.openxmlformats.org/officeDocument/2006/relationships/hyperlink" Target="http://play.google.com" TargetMode="External"/><Relationship Id="rId1396" Type="http://schemas.openxmlformats.org/officeDocument/2006/relationships/hyperlink" Target="http://ntvplus.ru" TargetMode="External"/><Relationship Id="rId322" Type="http://schemas.openxmlformats.org/officeDocument/2006/relationships/hyperlink" Target="https://play.google.com/store/apps/details?id=ru.wildberries.team&amp;hl=ru&amp;gl=US" TargetMode="External"/><Relationship Id="rId1397" Type="http://schemas.openxmlformats.org/officeDocument/2006/relationships/hyperlink" Target="https://federal.tv/program" TargetMode="External"/><Relationship Id="rId321" Type="http://schemas.openxmlformats.org/officeDocument/2006/relationships/hyperlink" Target="http://apps.apple.com" TargetMode="External"/><Relationship Id="rId1398" Type="http://schemas.openxmlformats.org/officeDocument/2006/relationships/hyperlink" Target="http://federal.tv" TargetMode="External"/><Relationship Id="rId320" Type="http://schemas.openxmlformats.org/officeDocument/2006/relationships/hyperlink" Target="https://apps.apple.com/ru/app/wildberries/id597880187" TargetMode="External"/><Relationship Id="rId1399" Type="http://schemas.openxmlformats.org/officeDocument/2006/relationships/hyperlink" Target="https://tv.starhit.ru/novosibirsk" TargetMode="External"/><Relationship Id="rId1389" Type="http://schemas.openxmlformats.org/officeDocument/2006/relationships/hyperlink" Target="https://books.google.com/books?id=L9OtEAAAQBAJ&amp;pg=PT19&amp;lpg=PT19&amp;dq=%D0%BF%D0%BE%D0%B3%D0%BE%D0%B4%D0%B0+%D0%B7%D0%B0%D0%B2%D1%82%D1%80%D0%B0&amp;source=bl&amp;ots=JHoBQZZcV5&amp;sig=ACfU3U3AixNjgGSCWglnpxwVA2A6Bqtv1A&amp;hl=ru&amp;sa=X&amp;ved=2ahUKEwicuZzejruCAxXJj4kEHQtZAdIQ6AF6BAgvEAM" TargetMode="External"/><Relationship Id="rId316" Type="http://schemas.openxmlformats.org/officeDocument/2006/relationships/hyperlink" Target="https://trashbox.ru/link/wildberries-android" TargetMode="External"/><Relationship Id="rId315" Type="http://schemas.openxmlformats.org/officeDocument/2006/relationships/hyperlink" Target="https://www.rbc.ru/tags/?tag=Wildberries" TargetMode="External"/><Relationship Id="rId799" Type="http://schemas.openxmlformats.org/officeDocument/2006/relationships/hyperlink" Target="http://www.officemag.ru" TargetMode="External"/><Relationship Id="rId314" Type="http://schemas.openxmlformats.org/officeDocument/2006/relationships/hyperlink" Target="https://ria.ru/organization_wildberries/" TargetMode="External"/><Relationship Id="rId798" Type="http://schemas.openxmlformats.org/officeDocument/2006/relationships/hyperlink" Target="https://www.officemag.ru/info/guide/index.php?ID=10607497" TargetMode="External"/><Relationship Id="rId313" Type="http://schemas.openxmlformats.org/officeDocument/2006/relationships/hyperlink" Target="https://2gis.ru/krasnoyarsk/search/%D0%B2%D0%B0%D0%BB%D0%B1%D0%B5%D1%80%D0%B8%D1%81" TargetMode="External"/><Relationship Id="rId797" Type="http://schemas.openxmlformats.org/officeDocument/2006/relationships/hyperlink" Target="https://calculator.ozon.ru/" TargetMode="External"/><Relationship Id="rId319" Type="http://schemas.openxmlformats.org/officeDocument/2006/relationships/hyperlink" Target="http://irecommend.ru" TargetMode="External"/><Relationship Id="rId318" Type="http://schemas.openxmlformats.org/officeDocument/2006/relationships/hyperlink" Target="https://irecommend.ru/content/valberis-net" TargetMode="External"/><Relationship Id="rId317" Type="http://schemas.openxmlformats.org/officeDocument/2006/relationships/hyperlink" Target="http://trashbox.ru" TargetMode="External"/><Relationship Id="rId1380" Type="http://schemas.openxmlformats.org/officeDocument/2006/relationships/hyperlink" Target="http://meteofor.com.ua" TargetMode="External"/><Relationship Id="rId792" Type="http://schemas.openxmlformats.org/officeDocument/2006/relationships/hyperlink" Target="https://fincalculator.ru/kalkulyator-dnej" TargetMode="External"/><Relationship Id="rId1381" Type="http://schemas.openxmlformats.org/officeDocument/2006/relationships/hyperlink" Target="https://www.meteoservice.ru/weather/tomorrow/vladikavkaz" TargetMode="External"/><Relationship Id="rId791" Type="http://schemas.openxmlformats.org/officeDocument/2006/relationships/hyperlink" Target="http://fincult.info" TargetMode="External"/><Relationship Id="rId1382" Type="http://schemas.openxmlformats.org/officeDocument/2006/relationships/hyperlink" Target="http://www.meteoservice.ru" TargetMode="External"/><Relationship Id="rId790" Type="http://schemas.openxmlformats.org/officeDocument/2006/relationships/hyperlink" Target="https://fincult.info/calc/loan/" TargetMode="External"/><Relationship Id="rId1383" Type="http://schemas.openxmlformats.org/officeDocument/2006/relationships/hyperlink" Target="https://books.google.com/books?id=yekAAAAAYAAJ&amp;pg=PA140&amp;lpg=PA140&amp;dq=%D0%BF%D0%BE%D0%B3%D0%BE%D0%B4%D0%B0+%D0%B7%D0%B0%D0%B2%D1%82%D1%80%D0%B0&amp;source=bl&amp;ots=COO6YzVfsR&amp;sig=ACfU3U2S3_qKeldn-txWqwYkWZYuR7G5cQ&amp;hl=ru&amp;sa=X&amp;ved=2ahUKEwicuZzejruCAxXJj4kEHQtZAdIQ6AF6BAhBEAM" TargetMode="External"/><Relationship Id="rId1384" Type="http://schemas.openxmlformats.org/officeDocument/2006/relationships/hyperlink" Target="http://books.google.com" TargetMode="External"/><Relationship Id="rId312" Type="http://schemas.openxmlformats.org/officeDocument/2006/relationships/hyperlink" Target="http://www.instagram.com" TargetMode="External"/><Relationship Id="rId796" Type="http://schemas.openxmlformats.org/officeDocument/2006/relationships/hyperlink" Target="http://ru.wikipedia.org" TargetMode="External"/><Relationship Id="rId1385" Type="http://schemas.openxmlformats.org/officeDocument/2006/relationships/hyperlink" Target="https://books.google.com/books?id=CplHAQAAMAAJ&amp;pg=PA15&amp;lpg=PA15&amp;dq=%D0%BF%D0%BE%D0%B3%D0%BE%D0%B4%D0%B0+%D0%B7%D0%B0%D0%B2%D1%82%D1%80%D0%B0&amp;source=bl&amp;ots=NdGwwsTbmW&amp;sig=ACfU3U1UiHHjSMgmEXMaI8HZIh24BVLlSg&amp;hl=ru&amp;sa=X&amp;ved=2ahUKEwicuZzejruCAxXJj4kEHQtZAdIQ6AF6BAgwEAM" TargetMode="External"/><Relationship Id="rId311" Type="http://schemas.openxmlformats.org/officeDocument/2006/relationships/hyperlink" Target="https://www.instagram.com/wildberriesru/" TargetMode="External"/><Relationship Id="rId795" Type="http://schemas.openxmlformats.org/officeDocument/2006/relationships/hyperlink" Target="https://ru.wikipedia.org/wiki/%D0%9A%D0%B0%D0%BB%D1%8C%D0%BA%D1%83%D0%BB%D1%8F%D1%82%D0%BE%D1%80" TargetMode="External"/><Relationship Id="rId1386" Type="http://schemas.openxmlformats.org/officeDocument/2006/relationships/hyperlink" Target="http://books.google.com" TargetMode="External"/><Relationship Id="rId310" Type="http://schemas.openxmlformats.org/officeDocument/2006/relationships/hyperlink" Target="http://market.yandex.ru" TargetMode="External"/><Relationship Id="rId794" Type="http://schemas.openxmlformats.org/officeDocument/2006/relationships/hyperlink" Target="https://www.banki.ru/services/calculators/hypothec/" TargetMode="External"/><Relationship Id="rId1387" Type="http://schemas.openxmlformats.org/officeDocument/2006/relationships/hyperlink" Target="https://books.google.com/books?id=JAQkAQAAMAAJ&amp;pg=RA11-PA47&amp;lpg=RA11-PA47&amp;dq=%D0%BF%D0%BE%D0%B3%D0%BE%D0%B4%D0%B0+%D0%B7%D0%B0%D0%B2%D1%82%D1%80%D0%B0&amp;source=bl&amp;ots=m-_uIoNgXJ&amp;sig=ACfU3U0I6ghseaeCc4ivo1fz4cXVUyXhWw&amp;hl=ru&amp;sa=X&amp;ved=2ahUKEwicuZzejruCAxXJj4kEHQtZAdIQ6AF6BAgxEAM" TargetMode="External"/><Relationship Id="rId793" Type="http://schemas.openxmlformats.org/officeDocument/2006/relationships/hyperlink" Target="http://fincalculator.ru" TargetMode="External"/><Relationship Id="rId1388" Type="http://schemas.openxmlformats.org/officeDocument/2006/relationships/hyperlink" Target="http://books.google.com" TargetMode="External"/><Relationship Id="rId297" Type="http://schemas.openxmlformats.org/officeDocument/2006/relationships/hyperlink" Target="http://play.google.com" TargetMode="External"/><Relationship Id="rId296" Type="http://schemas.openxmlformats.org/officeDocument/2006/relationships/hyperlink" Target="https://play.google.com/store/apps/details?id=com.wildberries.ru&amp;hl=ru&amp;gl=US" TargetMode="External"/><Relationship Id="rId295" Type="http://schemas.openxmlformats.org/officeDocument/2006/relationships/hyperlink" Target="https://wildberries.eu/" TargetMode="External"/><Relationship Id="rId294" Type="http://schemas.openxmlformats.org/officeDocument/2006/relationships/hyperlink" Target="http://www.wildberries.ru" TargetMode="External"/><Relationship Id="rId299" Type="http://schemas.openxmlformats.org/officeDocument/2006/relationships/hyperlink" Target="http://ru.wikipedia.org" TargetMode="External"/><Relationship Id="rId298" Type="http://schemas.openxmlformats.org/officeDocument/2006/relationships/hyperlink" Target="https://ru.wikipedia.org/wiki/Wildberries" TargetMode="External"/><Relationship Id="rId271" Type="http://schemas.openxmlformats.org/officeDocument/2006/relationships/hyperlink" Target="http://hh.ru" TargetMode="External"/><Relationship Id="rId270" Type="http://schemas.openxmlformats.org/officeDocument/2006/relationships/hyperlink" Target="https://hh.ru/employer/87021" TargetMode="External"/><Relationship Id="rId269" Type="http://schemas.openxmlformats.org/officeDocument/2006/relationships/hyperlink" Target="http://www.wildberries.by" TargetMode="External"/><Relationship Id="rId264" Type="http://schemas.openxmlformats.org/officeDocument/2006/relationships/hyperlink" Target="https://www.instagram.com/wildberriesru/" TargetMode="External"/><Relationship Id="rId263" Type="http://schemas.openxmlformats.org/officeDocument/2006/relationships/hyperlink" Target="http://apps.apple.com" TargetMode="External"/><Relationship Id="rId262" Type="http://schemas.openxmlformats.org/officeDocument/2006/relationships/hyperlink" Target="https://apps.apple.com/ru/app/wildberries/id597880187" TargetMode="External"/><Relationship Id="rId261" Type="http://schemas.openxmlformats.org/officeDocument/2006/relationships/hyperlink" Target="http://play.google.com" TargetMode="External"/><Relationship Id="rId268" Type="http://schemas.openxmlformats.org/officeDocument/2006/relationships/hyperlink" Target="https://www.wildberries.by/" TargetMode="External"/><Relationship Id="rId267" Type="http://schemas.openxmlformats.org/officeDocument/2006/relationships/hyperlink" Target="http://www.youtube.com" TargetMode="External"/><Relationship Id="rId266" Type="http://schemas.openxmlformats.org/officeDocument/2006/relationships/hyperlink" Target="https://www.youtube.com/channel/UCtnVdR1jFU2tqJvpoh9Iwxw" TargetMode="External"/><Relationship Id="rId265" Type="http://schemas.openxmlformats.org/officeDocument/2006/relationships/hyperlink" Target="http://www.instagram.com" TargetMode="External"/><Relationship Id="rId260" Type="http://schemas.openxmlformats.org/officeDocument/2006/relationships/hyperlink" Target="https://play.google.com/store/apps/details?id=com.wildberries.ru&amp;hl=ru&amp;gl=US" TargetMode="External"/><Relationship Id="rId259" Type="http://schemas.openxmlformats.org/officeDocument/2006/relationships/hyperlink" Target="http://ru.wikipedia.org" TargetMode="External"/><Relationship Id="rId258" Type="http://schemas.openxmlformats.org/officeDocument/2006/relationships/hyperlink" Target="https://ru.wikipedia.org/wiki/Wildberries" TargetMode="External"/><Relationship Id="rId253" Type="http://schemas.openxmlformats.org/officeDocument/2006/relationships/hyperlink" Target="https://vk.com/wildberries_shop" TargetMode="External"/><Relationship Id="rId252" Type="http://schemas.openxmlformats.org/officeDocument/2006/relationships/hyperlink" Target="http://www.wildberries.ru" TargetMode="External"/><Relationship Id="rId251" Type="http://schemas.openxmlformats.org/officeDocument/2006/relationships/hyperlink" Target="https://www.wildberries.ru/" TargetMode="External"/><Relationship Id="rId250" Type="http://schemas.openxmlformats.org/officeDocument/2006/relationships/hyperlink" Target="http://books.google.com" TargetMode="External"/><Relationship Id="rId257" Type="http://schemas.openxmlformats.org/officeDocument/2006/relationships/hyperlink" Target="https://wildberries.eu/" TargetMode="External"/><Relationship Id="rId256" Type="http://schemas.openxmlformats.org/officeDocument/2006/relationships/hyperlink" Target="http://play.google.com" TargetMode="External"/><Relationship Id="rId255" Type="http://schemas.openxmlformats.org/officeDocument/2006/relationships/hyperlink" Target="https://play.google.com/store/apps/details?id=com.wildberries.ru&amp;hl=en_US" TargetMode="External"/><Relationship Id="rId254" Type="http://schemas.openxmlformats.org/officeDocument/2006/relationships/hyperlink" Target="http://vk.com" TargetMode="External"/><Relationship Id="rId293" Type="http://schemas.openxmlformats.org/officeDocument/2006/relationships/hyperlink" Target="https://www.wildberries.ru/" TargetMode="External"/><Relationship Id="rId292" Type="http://schemas.openxmlformats.org/officeDocument/2006/relationships/hyperlink" Target="http://www.forbes.ru" TargetMode="External"/><Relationship Id="rId291" Type="http://schemas.openxmlformats.org/officeDocument/2006/relationships/hyperlink" Target="https://www.forbes.ru/profile/327453-vayldberriz" TargetMode="External"/><Relationship Id="rId290" Type="http://schemas.openxmlformats.org/officeDocument/2006/relationships/hyperlink" Target="http://irecommend.ru" TargetMode="External"/><Relationship Id="rId286" Type="http://schemas.openxmlformats.org/officeDocument/2006/relationships/hyperlink" Target="http://t.me" TargetMode="External"/><Relationship Id="rId285" Type="http://schemas.openxmlformats.org/officeDocument/2006/relationships/hyperlink" Target="https://t.me/wildberriesru_official" TargetMode="External"/><Relationship Id="rId284" Type="http://schemas.openxmlformats.org/officeDocument/2006/relationships/hyperlink" Target="http://www.facebook.com" TargetMode="External"/><Relationship Id="rId283" Type="http://schemas.openxmlformats.org/officeDocument/2006/relationships/hyperlink" Target="https://www.facebook.com/wildberries.ru/?locale=ru_RU" TargetMode="External"/><Relationship Id="rId289" Type="http://schemas.openxmlformats.org/officeDocument/2006/relationships/hyperlink" Target="https://irecommend.ru/content/wwwwildberriesru" TargetMode="External"/><Relationship Id="rId288" Type="http://schemas.openxmlformats.org/officeDocument/2006/relationships/hyperlink" Target="http://vsemrabota.ru" TargetMode="External"/><Relationship Id="rId287" Type="http://schemas.openxmlformats.org/officeDocument/2006/relationships/hyperlink" Target="https://vsemrabota.ru/" TargetMode="External"/><Relationship Id="rId282" Type="http://schemas.openxmlformats.org/officeDocument/2006/relationships/hyperlink" Target="https://2gis.ru/n_novgorod/branches/70000001056016355" TargetMode="External"/><Relationship Id="rId281" Type="http://schemas.openxmlformats.org/officeDocument/2006/relationships/hyperlink" Target="http://www.retail.ru" TargetMode="External"/><Relationship Id="rId280" Type="http://schemas.openxmlformats.org/officeDocument/2006/relationships/hyperlink" Target="https://www.retail.ru/rbc/tradingnetworks/wildberries/" TargetMode="External"/><Relationship Id="rId275" Type="http://schemas.openxmlformats.org/officeDocument/2006/relationships/hyperlink" Target="http://www.facebook.com" TargetMode="External"/><Relationship Id="rId274" Type="http://schemas.openxmlformats.org/officeDocument/2006/relationships/hyperlink" Target="https://www.facebook.com/wildberries.ru/" TargetMode="External"/><Relationship Id="rId273" Type="http://schemas.openxmlformats.org/officeDocument/2006/relationships/hyperlink" Target="http://market.yandex.ru" TargetMode="External"/><Relationship Id="rId272" Type="http://schemas.openxmlformats.org/officeDocument/2006/relationships/hyperlink" Target="https://market.yandex.ru/shop--vaildberriz/4827/reviews" TargetMode="External"/><Relationship Id="rId279" Type="http://schemas.openxmlformats.org/officeDocument/2006/relationships/hyperlink" Target="https://2gis.ru/vladivostok/branches/3518974079942841" TargetMode="External"/><Relationship Id="rId278" Type="http://schemas.openxmlformats.org/officeDocument/2006/relationships/hyperlink" Target="http://pikabu.ru" TargetMode="External"/><Relationship Id="rId277" Type="http://schemas.openxmlformats.org/officeDocument/2006/relationships/hyperlink" Target="https://pikabu.ru/tag/Wildberries" TargetMode="External"/><Relationship Id="rId276" Type="http://schemas.openxmlformats.org/officeDocument/2006/relationships/hyperlink" Target="https://ria.ru/organization_wildberries/" TargetMode="External"/><Relationship Id="rId1851" Type="http://schemas.openxmlformats.org/officeDocument/2006/relationships/hyperlink" Target="http://ru.wikipedia.org" TargetMode="External"/><Relationship Id="rId1852" Type="http://schemas.openxmlformats.org/officeDocument/2006/relationships/hyperlink" Target="https://vk.com/yandex" TargetMode="External"/><Relationship Id="rId1853" Type="http://schemas.openxmlformats.org/officeDocument/2006/relationships/hyperlink" Target="http://vk.com" TargetMode="External"/><Relationship Id="rId1854" Type="http://schemas.openxmlformats.org/officeDocument/2006/relationships/hyperlink" Target="https://www.youtube.com/channel/UCixlrqz8w-oa4UzdKyHLMaA" TargetMode="External"/><Relationship Id="rId1855" Type="http://schemas.openxmlformats.org/officeDocument/2006/relationships/hyperlink" Target="http://www.youtube.com" TargetMode="External"/><Relationship Id="rId1856" Type="http://schemas.openxmlformats.org/officeDocument/2006/relationships/hyperlink" Target="https://www.facebook.com/yandex/?locale=ru_RU" TargetMode="External"/><Relationship Id="rId1857" Type="http://schemas.openxmlformats.org/officeDocument/2006/relationships/hyperlink" Target="http://www.facebook.com" TargetMode="External"/><Relationship Id="rId1858" Type="http://schemas.openxmlformats.org/officeDocument/2006/relationships/hyperlink" Target="https://play.google.com/store/apps/details?id=ru.yandex.searchplugin&amp;hl=ru&amp;gl=US" TargetMode="External"/><Relationship Id="rId1859" Type="http://schemas.openxmlformats.org/officeDocument/2006/relationships/hyperlink" Target="http://play.google.com" TargetMode="External"/><Relationship Id="rId1850" Type="http://schemas.openxmlformats.org/officeDocument/2006/relationships/hyperlink" Target="https://ru.wikipedia.org/wiki/%D0%AF%D0%BD%D0%B4%D0%B5%D0%BA%D1%81" TargetMode="External"/><Relationship Id="rId1840" Type="http://schemas.openxmlformats.org/officeDocument/2006/relationships/hyperlink" Target="https://yandex.ru/company/" TargetMode="External"/><Relationship Id="rId1841" Type="http://schemas.openxmlformats.org/officeDocument/2006/relationships/hyperlink" Target="http://yandex.ru" TargetMode="External"/><Relationship Id="rId1842" Type="http://schemas.openxmlformats.org/officeDocument/2006/relationships/hyperlink" Target="https://browser.yandex.ru/" TargetMode="External"/><Relationship Id="rId1843" Type="http://schemas.openxmlformats.org/officeDocument/2006/relationships/hyperlink" Target="http://browser.yandex.ru" TargetMode="External"/><Relationship Id="rId1844" Type="http://schemas.openxmlformats.org/officeDocument/2006/relationships/hyperlink" Target="https://yandex.ru/games/" TargetMode="External"/><Relationship Id="rId1845" Type="http://schemas.openxmlformats.org/officeDocument/2006/relationships/hyperlink" Target="http://yandex.ru" TargetMode="External"/><Relationship Id="rId1846" Type="http://schemas.openxmlformats.org/officeDocument/2006/relationships/hyperlink" Target="https://dzen.ru/" TargetMode="External"/><Relationship Id="rId1847" Type="http://schemas.openxmlformats.org/officeDocument/2006/relationships/hyperlink" Target="http://dzen.ru" TargetMode="External"/><Relationship Id="rId1848" Type="http://schemas.openxmlformats.org/officeDocument/2006/relationships/hyperlink" Target="https://www.gazeta.ru/tags/organization/yandeks.shtml" TargetMode="External"/><Relationship Id="rId1849" Type="http://schemas.openxmlformats.org/officeDocument/2006/relationships/hyperlink" Target="http://www.gazeta.ru" TargetMode="External"/><Relationship Id="rId1870" Type="http://schemas.openxmlformats.org/officeDocument/2006/relationships/hyperlink" Target="https://go.yandex/ru_ru/" TargetMode="External"/><Relationship Id="rId1871" Type="http://schemas.openxmlformats.org/officeDocument/2006/relationships/drawing" Target="../drawings/drawing3.xml"/><Relationship Id="rId1862" Type="http://schemas.openxmlformats.org/officeDocument/2006/relationships/hyperlink" Target="https://www.vedomosti.ru/companies/yandex-n-v" TargetMode="External"/><Relationship Id="rId1863" Type="http://schemas.openxmlformats.org/officeDocument/2006/relationships/hyperlink" Target="http://www.vedomosti.ru" TargetMode="External"/><Relationship Id="rId1864" Type="http://schemas.openxmlformats.org/officeDocument/2006/relationships/hyperlink" Target="https://habr.com/ru/companies/yandex/articles/" TargetMode="External"/><Relationship Id="rId1865" Type="http://schemas.openxmlformats.org/officeDocument/2006/relationships/hyperlink" Target="http://habr.com" TargetMode="External"/><Relationship Id="rId1866" Type="http://schemas.openxmlformats.org/officeDocument/2006/relationships/hyperlink" Target="https://3dnews.ru/1095711/yandeks-anonsiroval-umnuyu-kolonku-stantsiya-midi-s-moshchnim-zvukom-neyroprotsessorom-i-zigbee" TargetMode="External"/><Relationship Id="rId1867" Type="http://schemas.openxmlformats.org/officeDocument/2006/relationships/hyperlink" Target="http://3dnews.ru" TargetMode="External"/><Relationship Id="rId1868" Type="http://schemas.openxmlformats.org/officeDocument/2006/relationships/hyperlink" Target="https://www.tinkoff.ru/invest/stocks/YNDX/" TargetMode="External"/><Relationship Id="rId1869" Type="http://schemas.openxmlformats.org/officeDocument/2006/relationships/hyperlink" Target="http://www.tinkoff.ru" TargetMode="External"/><Relationship Id="rId1860" Type="http://schemas.openxmlformats.org/officeDocument/2006/relationships/hyperlink" Target="https://www.instagram.com/yandex/" TargetMode="External"/><Relationship Id="rId1861" Type="http://schemas.openxmlformats.org/officeDocument/2006/relationships/hyperlink" Target="http://www.instagram.com" TargetMode="External"/><Relationship Id="rId1810" Type="http://schemas.openxmlformats.org/officeDocument/2006/relationships/hyperlink" Target="https://books.google.com/books?id=_kFTDAAAQBAJ&amp;pg=PT134&amp;lpg=PT134&amp;dq=%D1%8E%D1%82%D1%83%D0%B1&amp;source=bl&amp;ots=bLvHBgAo0s&amp;sig=ACfU3U0Pyndc8hjaNRi15U3VE_0qEUUSYg&amp;hl=ru&amp;sa=X&amp;ved=2ahUKEwjCyrymiruCAxVFkIkEHQa0AN4Q6AF6BAgdEAM" TargetMode="External"/><Relationship Id="rId1811" Type="http://schemas.openxmlformats.org/officeDocument/2006/relationships/hyperlink" Target="http://books.google.com" TargetMode="External"/><Relationship Id="rId1812" Type="http://schemas.openxmlformats.org/officeDocument/2006/relationships/hyperlink" Target="https://books.google.com/books?id=znfMDQAAQBAJ&amp;pg=PT159&amp;lpg=PT159&amp;dq=%D1%8E%D1%82%D1%83%D0%B1&amp;source=bl&amp;ots=uxJh_a_XWd&amp;sig=ACfU3U0NyltHzAbHda6_8SpLyL38hs_L0Q&amp;hl=ru&amp;sa=X&amp;ved=2ahUKEwjCyrymiruCAxVFkIkEHQa0AN4Q6AF6BAgcEAM" TargetMode="External"/><Relationship Id="rId1813" Type="http://schemas.openxmlformats.org/officeDocument/2006/relationships/hyperlink" Target="http://books.google.com" TargetMode="External"/><Relationship Id="rId1814" Type="http://schemas.openxmlformats.org/officeDocument/2006/relationships/hyperlink" Target="https://books.google.com/books?id=wqYUEAAAQBAJ&amp;pg=PT140&amp;lpg=PT140&amp;dq=%D1%8E%D1%82%D1%83%D0%B1&amp;source=bl&amp;ots=1qzbbNjv_c&amp;sig=ACfU3U3FDcBAO8P1px66izhIGeTHL3zO_w&amp;hl=ru&amp;sa=X&amp;ved=2ahUKEwjCyrymiruCAxVFkIkEHQa0AN4Q6AF6BAgbEAM" TargetMode="External"/><Relationship Id="rId1815" Type="http://schemas.openxmlformats.org/officeDocument/2006/relationships/hyperlink" Target="http://books.google.com" TargetMode="External"/><Relationship Id="rId1816" Type="http://schemas.openxmlformats.org/officeDocument/2006/relationships/hyperlink" Target="https://developers.google.com/youtube" TargetMode="External"/><Relationship Id="rId1817" Type="http://schemas.openxmlformats.org/officeDocument/2006/relationships/hyperlink" Target="http://developers.google.com" TargetMode="External"/><Relationship Id="rId1818" Type="http://schemas.openxmlformats.org/officeDocument/2006/relationships/hyperlink" Target="https://books.google.com/books?id=SY6sDwAAQBAJ&amp;pg=PT145&amp;lpg=PT145&amp;dq=%D1%8E%D1%82%D1%83%D0%B1&amp;source=bl&amp;ots=GAVTuFdBAP&amp;sig=ACfU3U1BuzxDzrOA1Mr3uOPUPfo9qdNcLA&amp;hl=ru&amp;sa=X&amp;ved=2ahUKEwjCyrymiruCAxVFkIkEHQa0AN4Q6AF6BAgeEAM" TargetMode="External"/><Relationship Id="rId1819" Type="http://schemas.openxmlformats.org/officeDocument/2006/relationships/hyperlink" Target="http://books.google.com" TargetMode="External"/><Relationship Id="rId1800" Type="http://schemas.openxmlformats.org/officeDocument/2006/relationships/hyperlink" Target="https://www.youtube.com/" TargetMode="External"/><Relationship Id="rId1801" Type="http://schemas.openxmlformats.org/officeDocument/2006/relationships/hyperlink" Target="http://www.youtube.com" TargetMode="External"/><Relationship Id="rId1802" Type="http://schemas.openxmlformats.org/officeDocument/2006/relationships/hyperlink" Target="https://apps.apple.com/us/app/youtube-watch-listen-stream/id544007664" TargetMode="External"/><Relationship Id="rId1803" Type="http://schemas.openxmlformats.org/officeDocument/2006/relationships/hyperlink" Target="http://apps.apple.com" TargetMode="External"/><Relationship Id="rId1804" Type="http://schemas.openxmlformats.org/officeDocument/2006/relationships/hyperlink" Target="https://play.google.com/store/apps/details?id=com.google.android.youtube&amp;hl=en_US" TargetMode="External"/><Relationship Id="rId1805" Type="http://schemas.openxmlformats.org/officeDocument/2006/relationships/hyperlink" Target="http://play.google.com" TargetMode="External"/><Relationship Id="rId1806" Type="http://schemas.openxmlformats.org/officeDocument/2006/relationships/hyperlink" Target="https://en.wikipedia.org/wiki/YouTube" TargetMode="External"/><Relationship Id="rId1807" Type="http://schemas.openxmlformats.org/officeDocument/2006/relationships/hyperlink" Target="http://en.wikipedia.org" TargetMode="External"/><Relationship Id="rId1808" Type="http://schemas.openxmlformats.org/officeDocument/2006/relationships/hyperlink" Target="https://support.google.com/youtube/?hl=en" TargetMode="External"/><Relationship Id="rId1809" Type="http://schemas.openxmlformats.org/officeDocument/2006/relationships/hyperlink" Target="http://support.google.com" TargetMode="External"/><Relationship Id="rId1830" Type="http://schemas.openxmlformats.org/officeDocument/2006/relationships/hyperlink" Target="http://books.google.com" TargetMode="External"/><Relationship Id="rId1831" Type="http://schemas.openxmlformats.org/officeDocument/2006/relationships/hyperlink" Target="https://books.google.com/books?id=_kFTDAAAQBAJ&amp;pg=PT40&amp;lpg=PT40&amp;dq=%D1%8E%D1%82%D1%83%D0%B1&amp;source=bl&amp;ots=bLvHBgBo5u&amp;sig=ACfU3U2m5GrJUmBnFJACFK_cqM8jK6Cp2Q&amp;hl=ru&amp;sa=X&amp;ved=2ahUKEwivx6mcjruCAxWqv4kEHarZA2UQ6AF6BAgfEAM" TargetMode="External"/><Relationship Id="rId1832" Type="http://schemas.openxmlformats.org/officeDocument/2006/relationships/hyperlink" Target="http://books.google.com" TargetMode="External"/><Relationship Id="rId1833" Type="http://schemas.openxmlformats.org/officeDocument/2006/relationships/hyperlink" Target="https://fontawesome.com/icons/youtube" TargetMode="External"/><Relationship Id="rId1834" Type="http://schemas.openxmlformats.org/officeDocument/2006/relationships/hyperlink" Target="http://fontawesome.com" TargetMode="External"/><Relationship Id="rId1835" Type="http://schemas.openxmlformats.org/officeDocument/2006/relationships/hyperlink" Target="https://ya.ru/" TargetMode="External"/><Relationship Id="rId1836" Type="http://schemas.openxmlformats.org/officeDocument/2006/relationships/hyperlink" Target="http://ya.ru" TargetMode="External"/><Relationship Id="rId1837" Type="http://schemas.openxmlformats.org/officeDocument/2006/relationships/hyperlink" Target="https://mail.yandex.ru/" TargetMode="External"/><Relationship Id="rId1838" Type="http://schemas.openxmlformats.org/officeDocument/2006/relationships/hyperlink" Target="http://mail.yandex.ru" TargetMode="External"/><Relationship Id="rId1839" Type="http://schemas.openxmlformats.org/officeDocument/2006/relationships/hyperlink" Target="https://music.yandex.ru/" TargetMode="External"/><Relationship Id="rId1820" Type="http://schemas.openxmlformats.org/officeDocument/2006/relationships/hyperlink" Target="https://www.youtubekids.com/" TargetMode="External"/><Relationship Id="rId1821" Type="http://schemas.openxmlformats.org/officeDocument/2006/relationships/hyperlink" Target="http://www.youtubekids.com" TargetMode="External"/><Relationship Id="rId1822" Type="http://schemas.openxmlformats.org/officeDocument/2006/relationships/hyperlink" Target="https://accounts.google.com/ServiceLogin?service=youtube" TargetMode="External"/><Relationship Id="rId1823" Type="http://schemas.openxmlformats.org/officeDocument/2006/relationships/hyperlink" Target="http://accounts.google.com" TargetMode="External"/><Relationship Id="rId1824" Type="http://schemas.openxmlformats.org/officeDocument/2006/relationships/hyperlink" Target="https://artists.youtube/" TargetMode="External"/><Relationship Id="rId1825" Type="http://schemas.openxmlformats.org/officeDocument/2006/relationships/hyperlink" Target="https://books.google.com/books?id=SY6sDwAAQBAJ&amp;pg=PT137&amp;lpg=PT137&amp;dq=%D1%8E%D1%82%D1%83%D0%B1&amp;source=bl&amp;ots=GAVTuFeBFR&amp;sig=ACfU3U12QSH7pan_JXFixzoW36B6Go0uOg&amp;hl=ru&amp;sa=X&amp;ved=2ahUKEwivx6mcjruCAxWqv4kEHarZA2UQ6AF6BAghEAM" TargetMode="External"/><Relationship Id="rId1826" Type="http://schemas.openxmlformats.org/officeDocument/2006/relationships/hyperlink" Target="http://books.google.com" TargetMode="External"/><Relationship Id="rId1827" Type="http://schemas.openxmlformats.org/officeDocument/2006/relationships/hyperlink" Target="https://support.google.com/youtube/answer/1646861?hl=en" TargetMode="External"/><Relationship Id="rId1828" Type="http://schemas.openxmlformats.org/officeDocument/2006/relationships/hyperlink" Target="http://support.google.com" TargetMode="External"/><Relationship Id="rId1829" Type="http://schemas.openxmlformats.org/officeDocument/2006/relationships/hyperlink" Target="https://books.google.com/books?id=wqYUEAAAQBAJ&amp;pg=PP1&amp;lpg=PP1&amp;dq=%D1%8E%D1%82%D1%83%D0%B1&amp;source=bl&amp;ots=1qzbbNkv3e&amp;sig=ACfU3U1Q2-i_fhgxR5wCfDGzc_d38cD4pg&amp;hl=ru&amp;sa=X&amp;ved=2ahUKEwivx6mcjruCAxWqv4kEHarZA2UQ6AF6BAggEAM" TargetMode="External"/><Relationship Id="rId1455" Type="http://schemas.openxmlformats.org/officeDocument/2006/relationships/hyperlink" Target="https://www.rbc.ru/life/news/630dd2919a7947d1efb58320" TargetMode="External"/><Relationship Id="rId1456" Type="http://schemas.openxmlformats.org/officeDocument/2006/relationships/hyperlink" Target="https://fincalculator.ru/kalendar" TargetMode="External"/><Relationship Id="rId1457" Type="http://schemas.openxmlformats.org/officeDocument/2006/relationships/hyperlink" Target="http://fincalculator.ru" TargetMode="External"/><Relationship Id="rId1458" Type="http://schemas.openxmlformats.org/officeDocument/2006/relationships/hyperlink" Target="https://hr.hse.ru/calendar" TargetMode="External"/><Relationship Id="rId1459" Type="http://schemas.openxmlformats.org/officeDocument/2006/relationships/hyperlink" Target="http://hr.hse.ru" TargetMode="External"/><Relationship Id="rId629" Type="http://schemas.openxmlformats.org/officeDocument/2006/relationships/hyperlink" Target="http://sites.google.com" TargetMode="External"/><Relationship Id="rId624" Type="http://schemas.openxmlformats.org/officeDocument/2006/relationships/hyperlink" Target="https://scholar.google.com/" TargetMode="External"/><Relationship Id="rId623" Type="http://schemas.openxmlformats.org/officeDocument/2006/relationships/hyperlink" Target="http://www.linkedin.com" TargetMode="External"/><Relationship Id="rId622" Type="http://schemas.openxmlformats.org/officeDocument/2006/relationships/hyperlink" Target="https://www.linkedin.com/company/google" TargetMode="External"/><Relationship Id="rId621" Type="http://schemas.openxmlformats.org/officeDocument/2006/relationships/hyperlink" Target="http://trends.google.com" TargetMode="External"/><Relationship Id="rId628" Type="http://schemas.openxmlformats.org/officeDocument/2006/relationships/hyperlink" Target="https://sites.google.com/" TargetMode="External"/><Relationship Id="rId627" Type="http://schemas.openxmlformats.org/officeDocument/2006/relationships/hyperlink" Target="http://assistant.google.com" TargetMode="External"/><Relationship Id="rId626" Type="http://schemas.openxmlformats.org/officeDocument/2006/relationships/hyperlink" Target="https://assistant.google.com/" TargetMode="External"/><Relationship Id="rId625" Type="http://schemas.openxmlformats.org/officeDocument/2006/relationships/hyperlink" Target="http://scholar.google.com" TargetMode="External"/><Relationship Id="rId1450" Type="http://schemas.openxmlformats.org/officeDocument/2006/relationships/hyperlink" Target="http://duma.gov.ru/news/55144/" TargetMode="External"/><Relationship Id="rId620" Type="http://schemas.openxmlformats.org/officeDocument/2006/relationships/hyperlink" Target="https://trends.google.com/trends/" TargetMode="External"/><Relationship Id="rId1451" Type="http://schemas.openxmlformats.org/officeDocument/2006/relationships/hyperlink" Target="https://school.kontur.ru/publications/2249" TargetMode="External"/><Relationship Id="rId1452" Type="http://schemas.openxmlformats.org/officeDocument/2006/relationships/hyperlink" Target="http://school.kontur.ru" TargetMode="External"/><Relationship Id="rId1453" Type="http://schemas.openxmlformats.org/officeDocument/2006/relationships/hyperlink" Target="https://spb.hse.ru/data/2023/03/23/2022849694/(%D0%BF%D1%8F%D1%82%D0%B8%D0%B4%D0%BD%D0%B5%D0%B2%D0%BD%D0%B0%D1%8F%20%D1%80%D0%B0%D0%B1%D0%BE%D1%87%D0%B0%D1%8F%20%D0%BD%D0%B5%D0%B4%D0%B5%D0%BB%D1%8F).pdf" TargetMode="External"/><Relationship Id="rId1454" Type="http://schemas.openxmlformats.org/officeDocument/2006/relationships/hyperlink" Target="http://spb.hse.ru" TargetMode="External"/><Relationship Id="rId1444" Type="http://schemas.openxmlformats.org/officeDocument/2006/relationships/hyperlink" Target="https://buh.ru/calendar/" TargetMode="External"/><Relationship Id="rId1445" Type="http://schemas.openxmlformats.org/officeDocument/2006/relationships/hyperlink" Target="http://buh.ru" TargetMode="External"/><Relationship Id="rId1446" Type="http://schemas.openxmlformats.org/officeDocument/2006/relationships/hyperlink" Target="https://www.tinkoff.ru/career/blog/proivodstvennyj-kalendar-2023/" TargetMode="External"/><Relationship Id="rId1447" Type="http://schemas.openxmlformats.org/officeDocument/2006/relationships/hyperlink" Target="http://www.tinkoff.ru" TargetMode="External"/><Relationship Id="rId1448" Type="http://schemas.openxmlformats.org/officeDocument/2006/relationships/hyperlink" Target="https://secrets.tinkoff.ru/calendar/2023/" TargetMode="External"/><Relationship Id="rId1449" Type="http://schemas.openxmlformats.org/officeDocument/2006/relationships/hyperlink" Target="http://secrets.tinkoff.ru" TargetMode="External"/><Relationship Id="rId619" Type="http://schemas.openxmlformats.org/officeDocument/2006/relationships/hyperlink" Target="http://cloud.google.com" TargetMode="External"/><Relationship Id="rId618" Type="http://schemas.openxmlformats.org/officeDocument/2006/relationships/hyperlink" Target="https://cloud.google.com/" TargetMode="External"/><Relationship Id="rId613" Type="http://schemas.openxmlformats.org/officeDocument/2006/relationships/hyperlink" Target="http://earth.google.com" TargetMode="External"/><Relationship Id="rId612" Type="http://schemas.openxmlformats.org/officeDocument/2006/relationships/hyperlink" Target="https://earth.google.com/" TargetMode="External"/><Relationship Id="rId611" Type="http://schemas.openxmlformats.org/officeDocument/2006/relationships/hyperlink" Target="http://accounts.google.com" TargetMode="External"/><Relationship Id="rId610" Type="http://schemas.openxmlformats.org/officeDocument/2006/relationships/hyperlink" Target="https://accounts.google.com/" TargetMode="External"/><Relationship Id="rId617" Type="http://schemas.openxmlformats.org/officeDocument/2006/relationships/hyperlink" Target="http://meet.google.com" TargetMode="External"/><Relationship Id="rId616" Type="http://schemas.openxmlformats.org/officeDocument/2006/relationships/hyperlink" Target="https://meet.google.com/" TargetMode="External"/><Relationship Id="rId615" Type="http://schemas.openxmlformats.org/officeDocument/2006/relationships/hyperlink" Target="http://ads.google.com" TargetMode="External"/><Relationship Id="rId614" Type="http://schemas.openxmlformats.org/officeDocument/2006/relationships/hyperlink" Target="https://ads.google.com/home/" TargetMode="External"/><Relationship Id="rId1440" Type="http://schemas.openxmlformats.org/officeDocument/2006/relationships/hyperlink" Target="https://www.superjob.ru/proizvodstvennyj_kalendar/2023/" TargetMode="External"/><Relationship Id="rId1441" Type="http://schemas.openxmlformats.org/officeDocument/2006/relationships/hyperlink" Target="https://hh.ru/calendar" TargetMode="External"/><Relationship Id="rId1442" Type="http://schemas.openxmlformats.org/officeDocument/2006/relationships/hyperlink" Target="http://hh.ru" TargetMode="External"/><Relationship Id="rId1443" Type="http://schemas.openxmlformats.org/officeDocument/2006/relationships/hyperlink" Target="https://www.mos.ru/otvet-rabota/kakie-dni-v-2023-godu-nerabochie/" TargetMode="External"/><Relationship Id="rId1477" Type="http://schemas.openxmlformats.org/officeDocument/2006/relationships/hyperlink" Target="http://pozdravok.com" TargetMode="External"/><Relationship Id="rId1478" Type="http://schemas.openxmlformats.org/officeDocument/2006/relationships/hyperlink" Target="https://www.rada.zp.ua/pozdravleniya/pozdravleniya-s-dnem-rozhdeniya/s-dnem-rozhdeniya-svoimi-slovami" TargetMode="External"/><Relationship Id="rId1479" Type="http://schemas.openxmlformats.org/officeDocument/2006/relationships/hyperlink" Target="http://www.rada.zp.ua" TargetMode="External"/><Relationship Id="rId646" Type="http://schemas.openxmlformats.org/officeDocument/2006/relationships/hyperlink" Target="http://play.google.com" TargetMode="External"/><Relationship Id="rId645" Type="http://schemas.openxmlformats.org/officeDocument/2006/relationships/hyperlink" Target="https://play.google.com/store/apps/details?id=ru.dnevnik.app&amp;hl=en_US" TargetMode="External"/><Relationship Id="rId644" Type="http://schemas.openxmlformats.org/officeDocument/2006/relationships/hyperlink" Target="http://apps.apple.com" TargetMode="External"/><Relationship Id="rId643" Type="http://schemas.openxmlformats.org/officeDocument/2006/relationships/hyperlink" Target="https://apps.apple.com/ru/app/%D0%B4%D0%BD%D0%B5%D0%B2%D0%BD%D0%B8%D0%BA-%D1%80%D1%83/id1127180528" TargetMode="External"/><Relationship Id="rId649" Type="http://schemas.openxmlformats.org/officeDocument/2006/relationships/hyperlink" Target="https://www.sravni.ru/enciklopediya/info/lichnyj-kabinet-dnevnik-ru/" TargetMode="External"/><Relationship Id="rId648" Type="http://schemas.openxmlformats.org/officeDocument/2006/relationships/hyperlink" Target="http://apps.apple.com" TargetMode="External"/><Relationship Id="rId647" Type="http://schemas.openxmlformats.org/officeDocument/2006/relationships/hyperlink" Target="https://apps.apple.com/ru/app/%D0%B6%D1%83%D1%80%D0%BD%D0%B0%D0%BB-%D0%B4%D0%BD%D0%B5%D0%B2%D0%BD%D0%B8%D0%BA-%D1%80%D1%83/id1441761001" TargetMode="External"/><Relationship Id="rId1470" Type="http://schemas.openxmlformats.org/officeDocument/2006/relationships/hyperlink" Target="https://hr.urfu.ru/fileadmin/user_upload/site_15130/Proizvodstvennyi_kalendar/2023/6-ti_dnevnaja_rabochaja_nedelja_Dokument_predostavlen_KonsultantPljus.pdf" TargetMode="External"/><Relationship Id="rId1471" Type="http://schemas.openxmlformats.org/officeDocument/2006/relationships/hyperlink" Target="http://hr.urfu.ru" TargetMode="External"/><Relationship Id="rId1472" Type="http://schemas.openxmlformats.org/officeDocument/2006/relationships/hyperlink" Target="https://www.mintrud.gov.by/uploads/files/Proizvodstvennyj-kalendar-2023.pdf" TargetMode="External"/><Relationship Id="rId642" Type="http://schemas.openxmlformats.org/officeDocument/2006/relationships/hyperlink" Target="http://play.google.com" TargetMode="External"/><Relationship Id="rId1473" Type="http://schemas.openxmlformats.org/officeDocument/2006/relationships/hyperlink" Target="http://www.mintrud.gov.by" TargetMode="External"/><Relationship Id="rId641" Type="http://schemas.openxmlformats.org/officeDocument/2006/relationships/hyperlink" Target="https://play.google.com/store/apps/details?id=ru.dnevnik.app&amp;hl=ru&amp;gl=US" TargetMode="External"/><Relationship Id="rId1474" Type="http://schemas.openxmlformats.org/officeDocument/2006/relationships/hyperlink" Target="https://mlsp.gov.kg/wp-content/uploads/2022/10/kalendar-na-2023-god-1.pdf" TargetMode="External"/><Relationship Id="rId640" Type="http://schemas.openxmlformats.org/officeDocument/2006/relationships/hyperlink" Target="http://vk.com" TargetMode="External"/><Relationship Id="rId1475" Type="http://schemas.openxmlformats.org/officeDocument/2006/relationships/hyperlink" Target="http://mlsp.gov.kg" TargetMode="External"/><Relationship Id="rId1476" Type="http://schemas.openxmlformats.org/officeDocument/2006/relationships/hyperlink" Target="https://pozdravok.com/pozdravleniya/den-rozhdeniya/" TargetMode="External"/><Relationship Id="rId1466" Type="http://schemas.openxmlformats.org/officeDocument/2006/relationships/hyperlink" Target="http://its.1c.ru" TargetMode="External"/><Relationship Id="rId1467" Type="http://schemas.openxmlformats.org/officeDocument/2006/relationships/hyperlink" Target="https://www.kontur-extern.ru/info/25567-proizvodstvennyj_kalendar_buxgaltera_na_2023_god" TargetMode="External"/><Relationship Id="rId1468" Type="http://schemas.openxmlformats.org/officeDocument/2006/relationships/hyperlink" Target="http://www.kontur-extern.ru" TargetMode="External"/><Relationship Id="rId1469" Type="http://schemas.openxmlformats.org/officeDocument/2006/relationships/hyperlink" Target="https://trudvsem.ru/information-pages/calendar-2023" TargetMode="External"/><Relationship Id="rId635" Type="http://schemas.openxmlformats.org/officeDocument/2006/relationships/hyperlink" Target="https://en.wikipedia.org/wiki/Google" TargetMode="External"/><Relationship Id="rId634" Type="http://schemas.openxmlformats.org/officeDocument/2006/relationships/hyperlink" Target="http://ru.wikipedia.org" TargetMode="External"/><Relationship Id="rId633" Type="http://schemas.openxmlformats.org/officeDocument/2006/relationships/hyperlink" Target="https://ru.wikipedia.org/wiki/Google_(%D0%BA%D0%BE%D0%BC%D0%BF%D0%B0%D0%BD%D0%B8%D1%8F)" TargetMode="External"/><Relationship Id="rId632" Type="http://schemas.openxmlformats.org/officeDocument/2006/relationships/hyperlink" Target="https://about.google/" TargetMode="External"/><Relationship Id="rId639" Type="http://schemas.openxmlformats.org/officeDocument/2006/relationships/hyperlink" Target="https://vk.com/dnevnikru" TargetMode="External"/><Relationship Id="rId638" Type="http://schemas.openxmlformats.org/officeDocument/2006/relationships/hyperlink" Target="http://dnevnik.ru" TargetMode="External"/><Relationship Id="rId637" Type="http://schemas.openxmlformats.org/officeDocument/2006/relationships/hyperlink" Target="https://dnevnik.ru/" TargetMode="External"/><Relationship Id="rId636" Type="http://schemas.openxmlformats.org/officeDocument/2006/relationships/hyperlink" Target="http://en.wikipedia.org" TargetMode="External"/><Relationship Id="rId1460" Type="http://schemas.openxmlformats.org/officeDocument/2006/relationships/hyperlink" Target="https://allo.tochka.com/calendars/2023" TargetMode="External"/><Relationship Id="rId1461" Type="http://schemas.openxmlformats.org/officeDocument/2006/relationships/hyperlink" Target="http://allo.tochka.com" TargetMode="External"/><Relationship Id="rId631" Type="http://schemas.openxmlformats.org/officeDocument/2006/relationships/hyperlink" Target="http://support.google.com" TargetMode="External"/><Relationship Id="rId1462" Type="http://schemas.openxmlformats.org/officeDocument/2006/relationships/hyperlink" Target="https://mtsz.tatarstan.ru/proizvodstvenniy-kalendar-i-razyasnenie-o-norme-6287209.htm" TargetMode="External"/><Relationship Id="rId630" Type="http://schemas.openxmlformats.org/officeDocument/2006/relationships/hyperlink" Target="https://support.google.com/" TargetMode="External"/><Relationship Id="rId1463" Type="http://schemas.openxmlformats.org/officeDocument/2006/relationships/hyperlink" Target="https://mintrud.gov.ru/labour/70" TargetMode="External"/><Relationship Id="rId1464" Type="http://schemas.openxmlformats.org/officeDocument/2006/relationships/hyperlink" Target="http://mintrud.gov.ru" TargetMode="External"/><Relationship Id="rId1465" Type="http://schemas.openxmlformats.org/officeDocument/2006/relationships/hyperlink" Target="https://its.1c.ru/calendar/work2023" TargetMode="External"/><Relationship Id="rId1411" Type="http://schemas.openxmlformats.org/officeDocument/2006/relationships/hyperlink" Target="https://www.ivi.ru/tvplus/tv-schedule-today" TargetMode="External"/><Relationship Id="rId1412" Type="http://schemas.openxmlformats.org/officeDocument/2006/relationships/hyperlink" Target="http://www.ivi.ru" TargetMode="External"/><Relationship Id="rId1413" Type="http://schemas.openxmlformats.org/officeDocument/2006/relationships/hyperlink" Target="https://www.vl.ru/tv/" TargetMode="External"/><Relationship Id="rId1414" Type="http://schemas.openxmlformats.org/officeDocument/2006/relationships/hyperlink" Target="https://www.tvc.ru/tvp" TargetMode="External"/><Relationship Id="rId1415" Type="http://schemas.openxmlformats.org/officeDocument/2006/relationships/hyperlink" Target="https://tv.starhit.ru/ekaterinburg" TargetMode="External"/><Relationship Id="rId1416" Type="http://schemas.openxmlformats.org/officeDocument/2006/relationships/hyperlink" Target="http://tv.starhit.ru" TargetMode="External"/><Relationship Id="rId1417" Type="http://schemas.openxmlformats.org/officeDocument/2006/relationships/hyperlink" Target="https://tv.cmlt.tv/" TargetMode="External"/><Relationship Id="rId1418" Type="http://schemas.openxmlformats.org/officeDocument/2006/relationships/hyperlink" Target="http://tv.cmlt.tv" TargetMode="External"/><Relationship Id="rId1419" Type="http://schemas.openxmlformats.org/officeDocument/2006/relationships/hyperlink" Target="https://ctc.ru/programm/" TargetMode="External"/><Relationship Id="rId1410" Type="http://schemas.openxmlformats.org/officeDocument/2006/relationships/hyperlink" Target="http://www.comboplayer.ru" TargetMode="External"/><Relationship Id="rId1400" Type="http://schemas.openxmlformats.org/officeDocument/2006/relationships/hyperlink" Target="http://tv.starhit.ru" TargetMode="External"/><Relationship Id="rId1401" Type="http://schemas.openxmlformats.org/officeDocument/2006/relationships/hyperlink" Target="https://programma-peredach.com/" TargetMode="External"/><Relationship Id="rId1402" Type="http://schemas.openxmlformats.org/officeDocument/2006/relationships/hyperlink" Target="http://programma-peredach.com" TargetMode="External"/><Relationship Id="rId1403" Type="http://schemas.openxmlformats.org/officeDocument/2006/relationships/hyperlink" Target="https://telik.top/program/" TargetMode="External"/><Relationship Id="rId1404" Type="http://schemas.openxmlformats.org/officeDocument/2006/relationships/hyperlink" Target="https://www.dvhab.ru/tv/" TargetMode="External"/><Relationship Id="rId1405" Type="http://schemas.openxmlformats.org/officeDocument/2006/relationships/hyperlink" Target="https://segodnya.tv/" TargetMode="External"/><Relationship Id="rId1406" Type="http://schemas.openxmlformats.org/officeDocument/2006/relationships/hyperlink" Target="http://segodnya.tv" TargetMode="External"/><Relationship Id="rId1407" Type="http://schemas.openxmlformats.org/officeDocument/2006/relationships/hyperlink" Target="https://ntvplus.tv/tv/" TargetMode="External"/><Relationship Id="rId1408" Type="http://schemas.openxmlformats.org/officeDocument/2006/relationships/hyperlink" Target="http://ntvplus.tv" TargetMode="External"/><Relationship Id="rId1409" Type="http://schemas.openxmlformats.org/officeDocument/2006/relationships/hyperlink" Target="https://www.comboplayer.ru/tv-guide/today" TargetMode="External"/><Relationship Id="rId1433" Type="http://schemas.openxmlformats.org/officeDocument/2006/relationships/hyperlink" Target="https://tv.starhit.ru/ekaterinburg" TargetMode="External"/><Relationship Id="rId1434" Type="http://schemas.openxmlformats.org/officeDocument/2006/relationships/hyperlink" Target="http://tv.starhit.ru" TargetMode="External"/><Relationship Id="rId1435" Type="http://schemas.openxmlformats.org/officeDocument/2006/relationships/hyperlink" Target="https://tv.meta.ua/" TargetMode="External"/><Relationship Id="rId1436" Type="http://schemas.openxmlformats.org/officeDocument/2006/relationships/hyperlink" Target="https://www.consultant.ru/law/ref/calendar/proizvodstvennye/2023/" TargetMode="External"/><Relationship Id="rId1437" Type="http://schemas.openxmlformats.org/officeDocument/2006/relationships/hyperlink" Target="http://www.consultant.ru" TargetMode="External"/><Relationship Id="rId1438" Type="http://schemas.openxmlformats.org/officeDocument/2006/relationships/hyperlink" Target="https://www.garant.ru/calendar/buhpravo/" TargetMode="External"/><Relationship Id="rId1439" Type="http://schemas.openxmlformats.org/officeDocument/2006/relationships/hyperlink" Target="http://www.garant.ru" TargetMode="External"/><Relationship Id="rId609" Type="http://schemas.openxmlformats.org/officeDocument/2006/relationships/hyperlink" Target="http://translate.google.com" TargetMode="External"/><Relationship Id="rId608" Type="http://schemas.openxmlformats.org/officeDocument/2006/relationships/hyperlink" Target="https://translate.google.com/?hl=ru" TargetMode="External"/><Relationship Id="rId607" Type="http://schemas.openxmlformats.org/officeDocument/2006/relationships/hyperlink" Target="http://www.google.com" TargetMode="External"/><Relationship Id="rId602" Type="http://schemas.openxmlformats.org/officeDocument/2006/relationships/hyperlink" Target="https://www.google.ru/" TargetMode="External"/><Relationship Id="rId601" Type="http://schemas.openxmlformats.org/officeDocument/2006/relationships/hyperlink" Target="http://en.wikipedia.org" TargetMode="External"/><Relationship Id="rId600" Type="http://schemas.openxmlformats.org/officeDocument/2006/relationships/hyperlink" Target="https://en.wikipedia.org/wiki/Gosuslugi" TargetMode="External"/><Relationship Id="rId606" Type="http://schemas.openxmlformats.org/officeDocument/2006/relationships/hyperlink" Target="https://www.google.com/account/about/" TargetMode="External"/><Relationship Id="rId605" Type="http://schemas.openxmlformats.org/officeDocument/2006/relationships/hyperlink" Target="http://www.google.com" TargetMode="External"/><Relationship Id="rId604" Type="http://schemas.openxmlformats.org/officeDocument/2006/relationships/hyperlink" Target="https://www.google.com/" TargetMode="External"/><Relationship Id="rId603" Type="http://schemas.openxmlformats.org/officeDocument/2006/relationships/hyperlink" Target="http://www.google.ru" TargetMode="External"/><Relationship Id="rId1430" Type="http://schemas.openxmlformats.org/officeDocument/2006/relationships/hyperlink" Target="http://tv.sb.by" TargetMode="External"/><Relationship Id="rId1431" Type="http://schemas.openxmlformats.org/officeDocument/2006/relationships/hyperlink" Target="https://kartinacanada.com/tv" TargetMode="External"/><Relationship Id="rId1432" Type="http://schemas.openxmlformats.org/officeDocument/2006/relationships/hyperlink" Target="http://kartinacanada.com" TargetMode="External"/><Relationship Id="rId1422" Type="http://schemas.openxmlformats.org/officeDocument/2006/relationships/hyperlink" Target="http://www.glaz.tv" TargetMode="External"/><Relationship Id="rId1423" Type="http://schemas.openxmlformats.org/officeDocument/2006/relationships/hyperlink" Target="https://2090000.ru/programma-peredach/" TargetMode="External"/><Relationship Id="rId1424" Type="http://schemas.openxmlformats.org/officeDocument/2006/relationships/hyperlink" Target="https://tv3.ru/schedule" TargetMode="External"/><Relationship Id="rId1425" Type="http://schemas.openxmlformats.org/officeDocument/2006/relationships/hyperlink" Target="http://tv3.ru" TargetMode="External"/><Relationship Id="rId1426" Type="http://schemas.openxmlformats.org/officeDocument/2006/relationships/hyperlink" Target="https://tv.yandex.ru/213" TargetMode="External"/><Relationship Id="rId1427" Type="http://schemas.openxmlformats.org/officeDocument/2006/relationships/hyperlink" Target="http://tv.yandex.ru" TargetMode="External"/><Relationship Id="rId1428" Type="http://schemas.openxmlformats.org/officeDocument/2006/relationships/hyperlink" Target="https://www.dvhab.ru/tv/" TargetMode="External"/><Relationship Id="rId1429" Type="http://schemas.openxmlformats.org/officeDocument/2006/relationships/hyperlink" Target="https://tv.sb.by/today/" TargetMode="External"/><Relationship Id="rId1420" Type="http://schemas.openxmlformats.org/officeDocument/2006/relationships/hyperlink" Target="http://ctc.ru" TargetMode="External"/><Relationship Id="rId1421" Type="http://schemas.openxmlformats.org/officeDocument/2006/relationships/hyperlink" Target="https://www.glaz.tv/program/" TargetMode="External"/><Relationship Id="rId1059" Type="http://schemas.openxmlformats.org/officeDocument/2006/relationships/hyperlink" Target="https://play.google.com/store/apps/details?id=ru.ozon.app.android&amp;hl=ru&amp;gl=US" TargetMode="External"/><Relationship Id="rId228" Type="http://schemas.openxmlformats.org/officeDocument/2006/relationships/hyperlink" Target="https://t.me/avito" TargetMode="External"/><Relationship Id="rId227" Type="http://schemas.openxmlformats.org/officeDocument/2006/relationships/hyperlink" Target="http://yandex.ru" TargetMode="External"/><Relationship Id="rId226" Type="http://schemas.openxmlformats.org/officeDocument/2006/relationships/hyperlink" Target="https://yandex.ru/maps/org/avito/82678620478/" TargetMode="External"/><Relationship Id="rId225" Type="http://schemas.openxmlformats.org/officeDocument/2006/relationships/hyperlink" Target="http://hh.ru" TargetMode="External"/><Relationship Id="rId229" Type="http://schemas.openxmlformats.org/officeDocument/2006/relationships/hyperlink" Target="http://t.me" TargetMode="External"/><Relationship Id="rId1050" Type="http://schemas.openxmlformats.org/officeDocument/2006/relationships/hyperlink" Target="https://www.ozon.ru/" TargetMode="External"/><Relationship Id="rId220" Type="http://schemas.openxmlformats.org/officeDocument/2006/relationships/hyperlink" Target="http://www.youtube.com" TargetMode="External"/><Relationship Id="rId1051" Type="http://schemas.openxmlformats.org/officeDocument/2006/relationships/hyperlink" Target="https://play.google.com/store/apps/details?id=ru.ozon.app.android&amp;hl=en_US" TargetMode="External"/><Relationship Id="rId1052" Type="http://schemas.openxmlformats.org/officeDocument/2006/relationships/hyperlink" Target="http://play.google.com" TargetMode="External"/><Relationship Id="rId1053" Type="http://schemas.openxmlformats.org/officeDocument/2006/relationships/hyperlink" Target="https://vk.com/ozon" TargetMode="External"/><Relationship Id="rId1054" Type="http://schemas.openxmlformats.org/officeDocument/2006/relationships/hyperlink" Target="http://vk.com" TargetMode="External"/><Relationship Id="rId224" Type="http://schemas.openxmlformats.org/officeDocument/2006/relationships/hyperlink" Target="https://hh.ru/employer/84585" TargetMode="External"/><Relationship Id="rId1055" Type="http://schemas.openxmlformats.org/officeDocument/2006/relationships/hyperlink" Target="https://ru.wikipedia.org/wiki/%D0%9E%D0%B7%D0%BE%D0%BD" TargetMode="External"/><Relationship Id="rId223" Type="http://schemas.openxmlformats.org/officeDocument/2006/relationships/hyperlink" Target="http://twitter.com" TargetMode="External"/><Relationship Id="rId1056" Type="http://schemas.openxmlformats.org/officeDocument/2006/relationships/hyperlink" Target="http://ru.wikipedia.org" TargetMode="External"/><Relationship Id="rId222" Type="http://schemas.openxmlformats.org/officeDocument/2006/relationships/hyperlink" Target="https://twitter.com/avito" TargetMode="External"/><Relationship Id="rId1057" Type="http://schemas.openxmlformats.org/officeDocument/2006/relationships/hyperlink" Target="https://ru.wikipedia.org/wiki/Ozon" TargetMode="External"/><Relationship Id="rId221" Type="http://schemas.openxmlformats.org/officeDocument/2006/relationships/hyperlink" Target="http://manifesto.avito.com/" TargetMode="External"/><Relationship Id="rId1058" Type="http://schemas.openxmlformats.org/officeDocument/2006/relationships/hyperlink" Target="http://ru.wikipedia.org" TargetMode="External"/><Relationship Id="rId1048" Type="http://schemas.openxmlformats.org/officeDocument/2006/relationships/hyperlink" Target="https://www.netflix.com/kz-ru/title/70125231" TargetMode="External"/><Relationship Id="rId1049" Type="http://schemas.openxmlformats.org/officeDocument/2006/relationships/hyperlink" Target="http://www.netflix.com" TargetMode="External"/><Relationship Id="rId217" Type="http://schemas.openxmlformats.org/officeDocument/2006/relationships/hyperlink" Target="http://www.instagram.com" TargetMode="External"/><Relationship Id="rId216" Type="http://schemas.openxmlformats.org/officeDocument/2006/relationships/hyperlink" Target="https://www.instagram.com/avito/" TargetMode="External"/><Relationship Id="rId215" Type="http://schemas.openxmlformats.org/officeDocument/2006/relationships/hyperlink" Target="http://ok.ru" TargetMode="External"/><Relationship Id="rId699" Type="http://schemas.openxmlformats.org/officeDocument/2006/relationships/hyperlink" Target="https://www.vl.ru/dns" TargetMode="External"/><Relationship Id="rId214" Type="http://schemas.openxmlformats.org/officeDocument/2006/relationships/hyperlink" Target="https://ok.ru/avito" TargetMode="External"/><Relationship Id="rId698" Type="http://schemas.openxmlformats.org/officeDocument/2006/relationships/hyperlink" Target="https://2gis.ru/tyumen/search/%D0%9C%D0%B0%D0%B3%D0%B0%D0%B7%D0%B8%D0%BD%D1%8B%20dns" TargetMode="External"/><Relationship Id="rId219" Type="http://schemas.openxmlformats.org/officeDocument/2006/relationships/hyperlink" Target="https://www.youtube.com/channel/UC2dIPeP9pLhu1AiA_eK2L9A" TargetMode="External"/><Relationship Id="rId218" Type="http://schemas.openxmlformats.org/officeDocument/2006/relationships/hyperlink" Target="https://2gis.ru/biysk/firm/70000001065982388" TargetMode="External"/><Relationship Id="rId693" Type="http://schemas.openxmlformats.org/officeDocument/2006/relationships/hyperlink" Target="https://vk.com/dnsstore" TargetMode="External"/><Relationship Id="rId1040" Type="http://schemas.openxmlformats.org/officeDocument/2006/relationships/hyperlink" Target="http://www.seonews.ru" TargetMode="External"/><Relationship Id="rId692" Type="http://schemas.openxmlformats.org/officeDocument/2006/relationships/hyperlink" Target="https://www.dns-shop.ru/" TargetMode="External"/><Relationship Id="rId1041" Type="http://schemas.openxmlformats.org/officeDocument/2006/relationships/hyperlink" Target="https://apps.rustore.ru/app/ru.ok.android" TargetMode="External"/><Relationship Id="rId691" Type="http://schemas.openxmlformats.org/officeDocument/2006/relationships/hyperlink" Target="http://3653.ru" TargetMode="External"/><Relationship Id="rId1042" Type="http://schemas.openxmlformats.org/officeDocument/2006/relationships/hyperlink" Target="https://en.wikipedia.org/wiki/Odnoklassniki" TargetMode="External"/><Relationship Id="rId690" Type="http://schemas.openxmlformats.org/officeDocument/2006/relationships/hyperlink" Target="https://3653.ru/uchenikam/Dnevnikru/" TargetMode="External"/><Relationship Id="rId1043" Type="http://schemas.openxmlformats.org/officeDocument/2006/relationships/hyperlink" Target="http://en.wikipedia.org" TargetMode="External"/><Relationship Id="rId213" Type="http://schemas.openxmlformats.org/officeDocument/2006/relationships/hyperlink" Target="http://play.google.com" TargetMode="External"/><Relationship Id="rId697" Type="http://schemas.openxmlformats.org/officeDocument/2006/relationships/hyperlink" Target="https://2gis.ru/vladivostok/search/%D0%9C%D0%B0%D0%B3%D0%B0%D0%B7%D0%B8%D0%BD%D1%8B%20%D0%B4%D0%BD%D1%81" TargetMode="External"/><Relationship Id="rId1044" Type="http://schemas.openxmlformats.org/officeDocument/2006/relationships/hyperlink" Target="https://m.facebook.com/p/%D0%9E%D1%84%D0%B8%D1%86%D0%B8%D0%B0%D0%BB%D1%8C%D0%BD%D0%B0%D1%8F-%D1%81%D1%82%D1%80%D0%B0%D0%BD%D0%B8%D1%86%D0%B0-%D0%BE%D0%B4%D0%BD%D0%BE%D0%BA%D0%BB%D0%B0%D1%81%D1%81%D0%BD%D0%B8%D0%BA%D0%B8-100066355790324/" TargetMode="External"/><Relationship Id="rId212" Type="http://schemas.openxmlformats.org/officeDocument/2006/relationships/hyperlink" Target="https://play.google.com/store/apps/details?id=com.avito.android&amp;hl=ru&amp;gl=US" TargetMode="External"/><Relationship Id="rId696" Type="http://schemas.openxmlformats.org/officeDocument/2006/relationships/hyperlink" Target="http://ru.wikipedia.org" TargetMode="External"/><Relationship Id="rId1045" Type="http://schemas.openxmlformats.org/officeDocument/2006/relationships/hyperlink" Target="http://m.facebook.com" TargetMode="External"/><Relationship Id="rId211" Type="http://schemas.openxmlformats.org/officeDocument/2006/relationships/hyperlink" Target="https://avito.tech/" TargetMode="External"/><Relationship Id="rId695" Type="http://schemas.openxmlformats.org/officeDocument/2006/relationships/hyperlink" Target="https://ru.wikipedia.org/wiki/DNS" TargetMode="External"/><Relationship Id="rId1046" Type="http://schemas.openxmlformats.org/officeDocument/2006/relationships/hyperlink" Target="https://www.forbes.ru/tekhnologii/495277-odnoklassniki-otkryvaut-dostup-k-servisu-analitiki-i-poiska-osibok-v-prilozeniah" TargetMode="External"/><Relationship Id="rId210" Type="http://schemas.openxmlformats.org/officeDocument/2006/relationships/hyperlink" Target="http://apps.apple.com" TargetMode="External"/><Relationship Id="rId694" Type="http://schemas.openxmlformats.org/officeDocument/2006/relationships/hyperlink" Target="http://vk.com" TargetMode="External"/><Relationship Id="rId1047" Type="http://schemas.openxmlformats.org/officeDocument/2006/relationships/hyperlink" Target="http://www.forbes.ru" TargetMode="External"/><Relationship Id="rId249" Type="http://schemas.openxmlformats.org/officeDocument/2006/relationships/hyperlink" Target="https://books.google.com/books?id=VPBGEAAAQBAJ&amp;pg=PT62&amp;lpg=PT62&amp;dq=%D0%B0%D0%B2%D0%B8%D1%82%D0%BE&amp;source=bl&amp;ots=Ymbqt0MuUx&amp;sig=ACfU3U2DfrpkoqHgxV7eVOObUT1ekOAHcA&amp;hl=ru&amp;sa=X&amp;ved=2ahUKEwiRr6-LjruCAxXUrokEHaSBBo0Q6AF6BAg3EAM" TargetMode="External"/><Relationship Id="rId248" Type="http://schemas.openxmlformats.org/officeDocument/2006/relationships/hyperlink" Target="http://books.google.com" TargetMode="External"/><Relationship Id="rId247" Type="http://schemas.openxmlformats.org/officeDocument/2006/relationships/hyperlink" Target="https://books.google.com/books?id=eHnCEAAAQBAJ&amp;pg=PA132&amp;lpg=PA132&amp;dq=%D0%B0%D0%B2%D0%B8%D1%82%D0%BE&amp;source=bl&amp;ots=cyNnjKUh9z&amp;sig=ACfU3U3lyMp9GAZtoEs352gvXpqm0xnh3g&amp;hl=ru&amp;sa=X&amp;ved=2ahUKEwiRr6-LjruCAxXUrokEHaSBBo0Q6AF6BAg4EAM" TargetMode="External"/><Relationship Id="rId1070" Type="http://schemas.openxmlformats.org/officeDocument/2006/relationships/hyperlink" Target="https://market.yandex.ru/shop--ozon-ru/155/reviews" TargetMode="External"/><Relationship Id="rId1071" Type="http://schemas.openxmlformats.org/officeDocument/2006/relationships/hyperlink" Target="http://market.yandex.ru" TargetMode="External"/><Relationship Id="rId1072" Type="http://schemas.openxmlformats.org/officeDocument/2006/relationships/hyperlink" Target="https://ozon.tech/" TargetMode="External"/><Relationship Id="rId242" Type="http://schemas.openxmlformats.org/officeDocument/2006/relationships/hyperlink" Target="http://www.facebook.com" TargetMode="External"/><Relationship Id="rId1073" Type="http://schemas.openxmlformats.org/officeDocument/2006/relationships/hyperlink" Target="https://otzovik.com/reviews/ozon_ru_online_shop/" TargetMode="External"/><Relationship Id="rId241" Type="http://schemas.openxmlformats.org/officeDocument/2006/relationships/hyperlink" Target="https://www.facebook.com/avito.ru/" TargetMode="External"/><Relationship Id="rId1074" Type="http://schemas.openxmlformats.org/officeDocument/2006/relationships/hyperlink" Target="https://www.youtube.com/watch?v=M3XyZKm4OD4" TargetMode="External"/><Relationship Id="rId240" Type="http://schemas.openxmlformats.org/officeDocument/2006/relationships/hyperlink" Target="http://books.google.com" TargetMode="External"/><Relationship Id="rId1075" Type="http://schemas.openxmlformats.org/officeDocument/2006/relationships/hyperlink" Target="http://www.youtube.com" TargetMode="External"/><Relationship Id="rId1076" Type="http://schemas.openxmlformats.org/officeDocument/2006/relationships/hyperlink" Target="https://www.tinkoff.ru/invest/stocks/OZON/" TargetMode="External"/><Relationship Id="rId246" Type="http://schemas.openxmlformats.org/officeDocument/2006/relationships/hyperlink" Target="http://play.google.com" TargetMode="External"/><Relationship Id="rId1077" Type="http://schemas.openxmlformats.org/officeDocument/2006/relationships/hyperlink" Target="http://www.tinkoff.ru" TargetMode="External"/><Relationship Id="rId245" Type="http://schemas.openxmlformats.org/officeDocument/2006/relationships/hyperlink" Target="https://play.google.com/store/apps/dev?id=6750101820856332864&amp;hl=ru&amp;gl=US" TargetMode="External"/><Relationship Id="rId1078" Type="http://schemas.openxmlformats.org/officeDocument/2006/relationships/hyperlink" Target="https://2gis.ru/volgograd/branches/70000001025247751" TargetMode="External"/><Relationship Id="rId244" Type="http://schemas.openxmlformats.org/officeDocument/2006/relationships/hyperlink" Target="http://books.google.com" TargetMode="External"/><Relationship Id="rId1079" Type="http://schemas.openxmlformats.org/officeDocument/2006/relationships/hyperlink" Target="https://2gis.ru/kemerovo/branches/70000001025244771" TargetMode="External"/><Relationship Id="rId243" Type="http://schemas.openxmlformats.org/officeDocument/2006/relationships/hyperlink" Target="https://books.google.com/books?id=VPBGEAAAQBAJ&amp;pg=PT14&amp;lpg=PT14&amp;dq=%D0%B0%D0%B2%D0%B8%D1%82%D0%BE&amp;source=bl&amp;ots=Ymbqt0LuWx&amp;sig=ACfU3U3cp2TMxXZDnpXPSEwcbRHezZV7dQ&amp;hl=ru&amp;sa=X&amp;ved=2ahUKEwi65fW3iruCAxWFrokEHQirA_AQ6AF6BAgfEAM" TargetMode="External"/><Relationship Id="rId239" Type="http://schemas.openxmlformats.org/officeDocument/2006/relationships/hyperlink" Target="https://books.google.com/books?id=q9ACDgAAQBAJ&amp;pg=PT54&amp;lpg=PT54&amp;dq=%D0%B0%D0%B2%D0%B8%D1%82%D0%BE&amp;source=bl&amp;ots=67VI3u0Z9I&amp;sig=ACfU3U0w-tpnYT0IYhkFVhQ0D6BjF53Kig&amp;hl=ru&amp;sa=X&amp;ved=2ahUKEwi65fW3iruCAxWFrokEHQirA_AQ6AF6BAgeEAM" TargetMode="External"/><Relationship Id="rId238" Type="http://schemas.openxmlformats.org/officeDocument/2006/relationships/hyperlink" Target="http://books.google.com" TargetMode="External"/><Relationship Id="rId237" Type="http://schemas.openxmlformats.org/officeDocument/2006/relationships/hyperlink" Target="https://books.google.com/books?id=JSsrDwAAQBAJ&amp;pg=PT155&amp;lpg=PT155&amp;dq=%D0%B0%D0%B2%D0%B8%D1%82%D0%BE&amp;source=bl&amp;ots=o_TFqrKXhG&amp;sig=ACfU3U0uYSXdkPpcRYKGS_Pjp4Cn_DNrnA&amp;hl=ru&amp;sa=X&amp;ved=2ahUKEwi65fW3iruCAxWFrokEHQirA_AQ6AF6BAgdEAM" TargetMode="External"/><Relationship Id="rId236" Type="http://schemas.openxmlformats.org/officeDocument/2006/relationships/hyperlink" Target="https://www.crunchbase.com/organization/avito-ru" TargetMode="External"/><Relationship Id="rId1060" Type="http://schemas.openxmlformats.org/officeDocument/2006/relationships/hyperlink" Target="http://play.google.com" TargetMode="External"/><Relationship Id="rId1061" Type="http://schemas.openxmlformats.org/officeDocument/2006/relationships/hyperlink" Target="https://apps.apple.com/ru/app/ozon-%D1%82%D0%BE%D0%B2%D0%B0%D1%80%D1%8B-%D0%BE%D1%82%D0%B5%D0%BB%D0%B8-%D0%B1%D0%B8%D0%BB%D0%B5%D1%82%D1%8B/id407804998" TargetMode="External"/><Relationship Id="rId231" Type="http://schemas.openxmlformats.org/officeDocument/2006/relationships/hyperlink" Target="http://www.avito.ru" TargetMode="External"/><Relationship Id="rId1062" Type="http://schemas.openxmlformats.org/officeDocument/2006/relationships/hyperlink" Target="http://apps.apple.com" TargetMode="External"/><Relationship Id="rId230" Type="http://schemas.openxmlformats.org/officeDocument/2006/relationships/hyperlink" Target="https://www.avito.ru/business" TargetMode="External"/><Relationship Id="rId1063" Type="http://schemas.openxmlformats.org/officeDocument/2006/relationships/hyperlink" Target="https://ozon.by/category/" TargetMode="External"/><Relationship Id="rId1064" Type="http://schemas.openxmlformats.org/officeDocument/2006/relationships/hyperlink" Target="http://ozon.by" TargetMode="External"/><Relationship Id="rId1065" Type="http://schemas.openxmlformats.org/officeDocument/2006/relationships/hyperlink" Target="https://www.instagram.com/ozonru/" TargetMode="External"/><Relationship Id="rId235" Type="http://schemas.openxmlformats.org/officeDocument/2006/relationships/hyperlink" Target="http://career.avito.com" TargetMode="External"/><Relationship Id="rId1066" Type="http://schemas.openxmlformats.org/officeDocument/2006/relationships/hyperlink" Target="http://www.instagram.com" TargetMode="External"/><Relationship Id="rId234" Type="http://schemas.openxmlformats.org/officeDocument/2006/relationships/hyperlink" Target="https://career.avito.com/" TargetMode="External"/><Relationship Id="rId1067" Type="http://schemas.openxmlformats.org/officeDocument/2006/relationships/hyperlink" Target="https://www.retail.ru/rbc/tradingnetworks/ozon/" TargetMode="External"/><Relationship Id="rId233" Type="http://schemas.openxmlformats.org/officeDocument/2006/relationships/hyperlink" Target="http://play.google.com" TargetMode="External"/><Relationship Id="rId1068" Type="http://schemas.openxmlformats.org/officeDocument/2006/relationships/hyperlink" Target="http://www.retail.ru" TargetMode="External"/><Relationship Id="rId232" Type="http://schemas.openxmlformats.org/officeDocument/2006/relationships/hyperlink" Target="https://play.google.com/store/apps/details?id=com.avito.android&amp;hl=en_US" TargetMode="External"/><Relationship Id="rId1069" Type="http://schemas.openxmlformats.org/officeDocument/2006/relationships/hyperlink" Target="https://ria.ru/organization_ozon/" TargetMode="External"/><Relationship Id="rId1015" Type="http://schemas.openxmlformats.org/officeDocument/2006/relationships/hyperlink" Target="http://www.dk.ru" TargetMode="External"/><Relationship Id="rId1499" Type="http://schemas.openxmlformats.org/officeDocument/2006/relationships/hyperlink" Target="https://moonzori.com/pozdravlenyya-s-dnem-rozhdenyya-v-proze/" TargetMode="External"/><Relationship Id="rId1016" Type="http://schemas.openxmlformats.org/officeDocument/2006/relationships/hyperlink" Target="https://www.instagram.com/odnoklassniki/" TargetMode="External"/><Relationship Id="rId1017" Type="http://schemas.openxmlformats.org/officeDocument/2006/relationships/hyperlink" Target="http://www.instagram.com" TargetMode="External"/><Relationship Id="rId1018" Type="http://schemas.openxmlformats.org/officeDocument/2006/relationships/hyperlink" Target="https://www.kinopoisk.ru/film/450345/" TargetMode="External"/><Relationship Id="rId1019" Type="http://schemas.openxmlformats.org/officeDocument/2006/relationships/hyperlink" Target="http://www.kinopoisk.ru" TargetMode="External"/><Relationship Id="rId668" Type="http://schemas.openxmlformats.org/officeDocument/2006/relationships/hyperlink" Target="http://chrome.google.com" TargetMode="External"/><Relationship Id="rId667" Type="http://schemas.openxmlformats.org/officeDocument/2006/relationships/hyperlink" Target="https://chrome.google.com/webstore/detail/%D0%B4%D0%BD%D0%B5%D0%B2%D0%BD%D0%B8%D0%BA-%D1%80%D1%83/bjkcbdcpbbhmbfampcegnjjhdiffhinb?hl=ru" TargetMode="External"/><Relationship Id="rId666" Type="http://schemas.openxmlformats.org/officeDocument/2006/relationships/hyperlink" Target="http://irecommend.ru" TargetMode="External"/><Relationship Id="rId665" Type="http://schemas.openxmlformats.org/officeDocument/2006/relationships/hyperlink" Target="https://irecommend.ru/content/httpdnevnikru" TargetMode="External"/><Relationship Id="rId669" Type="http://schemas.openxmlformats.org/officeDocument/2006/relationships/hyperlink" Target="https://play.google.com/store/apps/details?id=ru.teacherJournal.app&amp;hl=ru&amp;gl=US" TargetMode="External"/><Relationship Id="rId1490" Type="http://schemas.openxmlformats.org/officeDocument/2006/relationships/hyperlink" Target="http://ru.pinterest.com" TargetMode="External"/><Relationship Id="rId660" Type="http://schemas.openxmlformats.org/officeDocument/2006/relationships/hyperlink" Target="http://twitter.com" TargetMode="External"/><Relationship Id="rId1491" Type="http://schemas.openxmlformats.org/officeDocument/2006/relationships/hyperlink" Target="https://www.pozdravuha.ru/p/na-den-rozhdeniya" TargetMode="External"/><Relationship Id="rId1492" Type="http://schemas.openxmlformats.org/officeDocument/2006/relationships/hyperlink" Target="http://www.pozdravuha.ru" TargetMode="External"/><Relationship Id="rId1493" Type="http://schemas.openxmlformats.org/officeDocument/2006/relationships/hyperlink" Target="https://ru.pinterest.com/pin/393994667383605090/" TargetMode="External"/><Relationship Id="rId1010" Type="http://schemas.openxmlformats.org/officeDocument/2006/relationships/hyperlink" Target="https://www.odnoklassniki.ru/?_erv=vwhxlyirbwpynedop" TargetMode="External"/><Relationship Id="rId1494" Type="http://schemas.openxmlformats.org/officeDocument/2006/relationships/hyperlink" Target="http://ru.pinterest.com" TargetMode="External"/><Relationship Id="rId664" Type="http://schemas.openxmlformats.org/officeDocument/2006/relationships/hyperlink" Target="https://otzovik.com/reviews/dnevnik_ru-shkolnaya_obrazovatelnaya_set/" TargetMode="External"/><Relationship Id="rId1011" Type="http://schemas.openxmlformats.org/officeDocument/2006/relationships/hyperlink" Target="http://www.odnoklassniki.ru" TargetMode="External"/><Relationship Id="rId1495" Type="http://schemas.openxmlformats.org/officeDocument/2006/relationships/hyperlink" Target="https://dzen.ru/a/Y5OAjmSCNFNiTXZt" TargetMode="External"/><Relationship Id="rId663" Type="http://schemas.openxmlformats.org/officeDocument/2006/relationships/hyperlink" Target="https://30astr-s24.edusite.ru/p48aa1.html" TargetMode="External"/><Relationship Id="rId1012" Type="http://schemas.openxmlformats.org/officeDocument/2006/relationships/hyperlink" Target="https://vk.com/ok_official" TargetMode="External"/><Relationship Id="rId1496" Type="http://schemas.openxmlformats.org/officeDocument/2006/relationships/hyperlink" Target="http://dzen.ru" TargetMode="External"/><Relationship Id="rId662" Type="http://schemas.openxmlformats.org/officeDocument/2006/relationships/hyperlink" Target="http://ok.ru" TargetMode="External"/><Relationship Id="rId1013" Type="http://schemas.openxmlformats.org/officeDocument/2006/relationships/hyperlink" Target="http://vk.com" TargetMode="External"/><Relationship Id="rId1497" Type="http://schemas.openxmlformats.org/officeDocument/2006/relationships/hyperlink" Target="https://www.youtube.com/watch?v=845dfRu9Y30" TargetMode="External"/><Relationship Id="rId661" Type="http://schemas.openxmlformats.org/officeDocument/2006/relationships/hyperlink" Target="https://ok.ru/dnevnik.ru" TargetMode="External"/><Relationship Id="rId1014" Type="http://schemas.openxmlformats.org/officeDocument/2006/relationships/hyperlink" Target="https://www.dk.ru/all/wiki/odnoklassniki" TargetMode="External"/><Relationship Id="rId1498" Type="http://schemas.openxmlformats.org/officeDocument/2006/relationships/hyperlink" Target="http://www.youtube.com" TargetMode="External"/><Relationship Id="rId1004" Type="http://schemas.openxmlformats.org/officeDocument/2006/relationships/hyperlink" Target="http://www.youtube.com" TargetMode="External"/><Relationship Id="rId1488" Type="http://schemas.openxmlformats.org/officeDocument/2006/relationships/hyperlink" Target="https://vikna.tv/ru/styl-zhyttya/podorozhi/pozdravleniya-s-dnem-%E2%80%8B%E2%80%8Brozhdeniya-v-proze-stihah-i-kartinkah/" TargetMode="External"/><Relationship Id="rId1005" Type="http://schemas.openxmlformats.org/officeDocument/2006/relationships/hyperlink" Target="https://ria.ru/organization_Odnoklassniki/" TargetMode="External"/><Relationship Id="rId1489" Type="http://schemas.openxmlformats.org/officeDocument/2006/relationships/hyperlink" Target="https://ru.pinterest.com/nilovaelvira/%D1%81-%D0%B4%D0%BD%D0%B5%D0%BC-%D1%80%D0%BE%D0%B6%D0%B4%D0%B5%D0%BD%D0%B8%D1%8F/" TargetMode="External"/><Relationship Id="rId1006" Type="http://schemas.openxmlformats.org/officeDocument/2006/relationships/hyperlink" Target="https://insideok.ru/" TargetMode="External"/><Relationship Id="rId1007" Type="http://schemas.openxmlformats.org/officeDocument/2006/relationships/hyperlink" Target="http://insideok.ru" TargetMode="External"/><Relationship Id="rId1008" Type="http://schemas.openxmlformats.org/officeDocument/2006/relationships/hyperlink" Target="https://ru.wikipedia.org/wiki/%D0%9E%D0%B4%D0%BD%D0%BE%D0%BA%D0%BB%D0%B0%D1%81%D1%81%D0%BD%D0%B8%D0%BA%D0%B8" TargetMode="External"/><Relationship Id="rId1009" Type="http://schemas.openxmlformats.org/officeDocument/2006/relationships/hyperlink" Target="http://ru.wikipedia.org" TargetMode="External"/><Relationship Id="rId657" Type="http://schemas.openxmlformats.org/officeDocument/2006/relationships/hyperlink" Target="https://www.facebook.com/dnevnik.ru/?locale=ru_RU" TargetMode="External"/><Relationship Id="rId656" Type="http://schemas.openxmlformats.org/officeDocument/2006/relationships/hyperlink" Target="http://career.habr.com" TargetMode="External"/><Relationship Id="rId655" Type="http://schemas.openxmlformats.org/officeDocument/2006/relationships/hyperlink" Target="https://career.habr.com/companies/dnevnik" TargetMode="External"/><Relationship Id="rId654" Type="http://schemas.openxmlformats.org/officeDocument/2006/relationships/hyperlink" Target="http://znanierussia.ru" TargetMode="External"/><Relationship Id="rId659" Type="http://schemas.openxmlformats.org/officeDocument/2006/relationships/hyperlink" Target="https://twitter.com/dnevnik_ru" TargetMode="External"/><Relationship Id="rId658" Type="http://schemas.openxmlformats.org/officeDocument/2006/relationships/hyperlink" Target="http://www.facebook.com" TargetMode="External"/><Relationship Id="rId1480" Type="http://schemas.openxmlformats.org/officeDocument/2006/relationships/hyperlink" Target="https://sevimi.by/new/top-100-pozdravlenij-s-dnyom-rozhdeniya-obsuzhdeniya/" TargetMode="External"/><Relationship Id="rId1481" Type="http://schemas.openxmlformats.org/officeDocument/2006/relationships/hyperlink" Target="http://sevimi.by" TargetMode="External"/><Relationship Id="rId1482" Type="http://schemas.openxmlformats.org/officeDocument/2006/relationships/hyperlink" Target="https://t-loves.narod.ru/pozdravlenie-den-rojdeniya-luchiye.htm" TargetMode="External"/><Relationship Id="rId1483" Type="http://schemas.openxmlformats.org/officeDocument/2006/relationships/hyperlink" Target="http://t-loves.narod.ru" TargetMode="External"/><Relationship Id="rId653" Type="http://schemas.openxmlformats.org/officeDocument/2006/relationships/hyperlink" Target="https://znanierussia.ru/articles/%D0%94%D0%BD%D0%B5%D0%B2%D0%BD%D0%B8%D0%BA.%D1%80%D1%83" TargetMode="External"/><Relationship Id="rId1000" Type="http://schemas.openxmlformats.org/officeDocument/2006/relationships/hyperlink" Target="http://ru.wikipedia.org" TargetMode="External"/><Relationship Id="rId1484" Type="http://schemas.openxmlformats.org/officeDocument/2006/relationships/hyperlink" Target="https://sumy.cx.ua/c-dnem-rozhdenija-svoimi-slovami/" TargetMode="External"/><Relationship Id="rId652" Type="http://schemas.openxmlformats.org/officeDocument/2006/relationships/hyperlink" Target="http://ru.wikipedia.org" TargetMode="External"/><Relationship Id="rId1001" Type="http://schemas.openxmlformats.org/officeDocument/2006/relationships/hyperlink" Target="https://apps.apple.com/ru/app/%D0%BE%D0%B4%D0%BD%D0%BE%D0%BA%D0%BB%D0%B0%D1%81%D1%81%D0%BD%D0%B8%D0%BA%D0%B8-%D1%81%D0%BE%D1%86%D0%B8%D0%B0%D0%BB%D1%8C%D0%BD%D0%B0%D1%8F-%D1%81%D0%B5%D1%82%D1%8C/id398465290" TargetMode="External"/><Relationship Id="rId1485" Type="http://schemas.openxmlformats.org/officeDocument/2006/relationships/hyperlink" Target="http://sumy.cx.ua" TargetMode="External"/><Relationship Id="rId651" Type="http://schemas.openxmlformats.org/officeDocument/2006/relationships/hyperlink" Target="https://ru.wikipedia.org/wiki/%D0%94%D0%BD%D0%B5%D0%B2%D0%BD%D0%B8%D0%BA.%D1%80%D1%83" TargetMode="External"/><Relationship Id="rId1002" Type="http://schemas.openxmlformats.org/officeDocument/2006/relationships/hyperlink" Target="http://apps.apple.com" TargetMode="External"/><Relationship Id="rId1486" Type="http://schemas.openxmlformats.org/officeDocument/2006/relationships/hyperlink" Target="https://datki.net/pozdravleniya-s-dnem-rozhdeniya/krasivie/" TargetMode="External"/><Relationship Id="rId650" Type="http://schemas.openxmlformats.org/officeDocument/2006/relationships/hyperlink" Target="http://www.sravni.ru" TargetMode="External"/><Relationship Id="rId1003" Type="http://schemas.openxmlformats.org/officeDocument/2006/relationships/hyperlink" Target="https://www.youtube.com/channel/UCOv_9TXKqHE1HkRasX09o8w" TargetMode="External"/><Relationship Id="rId1487" Type="http://schemas.openxmlformats.org/officeDocument/2006/relationships/hyperlink" Target="http://datki.net" TargetMode="External"/><Relationship Id="rId1037" Type="http://schemas.openxmlformats.org/officeDocument/2006/relationships/hyperlink" Target="https://www.imdb.com/title/tt1601883/" TargetMode="External"/><Relationship Id="rId1038" Type="http://schemas.openxmlformats.org/officeDocument/2006/relationships/hyperlink" Target="http://www.imdb.com" TargetMode="External"/><Relationship Id="rId1039" Type="http://schemas.openxmlformats.org/officeDocument/2006/relationships/hyperlink" Target="https://www.seonews.ru/glossary/odnoklassniki/" TargetMode="External"/><Relationship Id="rId206" Type="http://schemas.openxmlformats.org/officeDocument/2006/relationships/hyperlink" Target="http://vk.com" TargetMode="External"/><Relationship Id="rId205" Type="http://schemas.openxmlformats.org/officeDocument/2006/relationships/hyperlink" Target="https://vk.com/avito" TargetMode="External"/><Relationship Id="rId689" Type="http://schemas.openxmlformats.org/officeDocument/2006/relationships/hyperlink" Target="http://hh.ru" TargetMode="External"/><Relationship Id="rId204" Type="http://schemas.openxmlformats.org/officeDocument/2006/relationships/hyperlink" Target="http://play.google.com" TargetMode="External"/><Relationship Id="rId688" Type="http://schemas.openxmlformats.org/officeDocument/2006/relationships/hyperlink" Target="https://hh.ru/employer/581737" TargetMode="External"/><Relationship Id="rId203" Type="http://schemas.openxmlformats.org/officeDocument/2006/relationships/hyperlink" Target="https://play.google.com/store/apps/details?id=com.avito.android&amp;hl=en_US" TargetMode="External"/><Relationship Id="rId687" Type="http://schemas.openxmlformats.org/officeDocument/2006/relationships/hyperlink" Target="http://school57.irk.ru/p/dnevnik" TargetMode="External"/><Relationship Id="rId209" Type="http://schemas.openxmlformats.org/officeDocument/2006/relationships/hyperlink" Target="https://apps.apple.com/us/app/%D0%B0%D0%B2%D0%B8%D1%82%D0%BE-%D0%BE%D0%B1%D1%8A%D1%8F%D0%B2%D0%BB%D0%B5%D0%BD%D0%B8%D1%8F/id417281773" TargetMode="External"/><Relationship Id="rId208" Type="http://schemas.openxmlformats.org/officeDocument/2006/relationships/hyperlink" Target="http://ru.wikipedia.org" TargetMode="External"/><Relationship Id="rId207" Type="http://schemas.openxmlformats.org/officeDocument/2006/relationships/hyperlink" Target="https://ru.wikipedia.org/wiki/%D0%90%D0%B2%D0%B8%D1%82%D0%BE" TargetMode="External"/><Relationship Id="rId682" Type="http://schemas.openxmlformats.org/officeDocument/2006/relationships/hyperlink" Target="http://www.facebook.com" TargetMode="External"/><Relationship Id="rId681" Type="http://schemas.openxmlformats.org/officeDocument/2006/relationships/hyperlink" Target="https://www.facebook.com/dnevnik.ru/?locale=ru_RU" TargetMode="External"/><Relationship Id="rId1030" Type="http://schemas.openxmlformats.org/officeDocument/2006/relationships/hyperlink" Target="http://ok.me" TargetMode="External"/><Relationship Id="rId680" Type="http://schemas.openxmlformats.org/officeDocument/2006/relationships/hyperlink" Target="http://hh.ru" TargetMode="External"/><Relationship Id="rId1031" Type="http://schemas.openxmlformats.org/officeDocument/2006/relationships/hyperlink" Target="https://teatrarmii.ru/spectacles/odnoklassniki/" TargetMode="External"/><Relationship Id="rId1032" Type="http://schemas.openxmlformats.org/officeDocument/2006/relationships/hyperlink" Target="http://teatrarmii.ru" TargetMode="External"/><Relationship Id="rId202" Type="http://schemas.openxmlformats.org/officeDocument/2006/relationships/hyperlink" Target="http://www.avito.ru" TargetMode="External"/><Relationship Id="rId686" Type="http://schemas.openxmlformats.org/officeDocument/2006/relationships/hyperlink" Target="http://www.sravni.ru" TargetMode="External"/><Relationship Id="rId1033" Type="http://schemas.openxmlformats.org/officeDocument/2006/relationships/hyperlink" Target="https://www.vedomosti.ru/media/news/2023/09/25/996967-odnoklassniki" TargetMode="External"/><Relationship Id="rId201" Type="http://schemas.openxmlformats.org/officeDocument/2006/relationships/hyperlink" Target="https://www.avito.ru/rossiya" TargetMode="External"/><Relationship Id="rId685" Type="http://schemas.openxmlformats.org/officeDocument/2006/relationships/hyperlink" Target="https://www.sravni.ru/enciklopediya/info/lichnyj-kabinet-dnevnik-ru/" TargetMode="External"/><Relationship Id="rId1034" Type="http://schemas.openxmlformats.org/officeDocument/2006/relationships/hyperlink" Target="http://www.vedomosti.ru" TargetMode="External"/><Relationship Id="rId200" Type="http://schemas.openxmlformats.org/officeDocument/2006/relationships/hyperlink" Target="http://www.avito.ru" TargetMode="External"/><Relationship Id="rId684" Type="http://schemas.openxmlformats.org/officeDocument/2006/relationships/hyperlink" Target="http://3653.ru" TargetMode="External"/><Relationship Id="rId1035" Type="http://schemas.openxmlformats.org/officeDocument/2006/relationships/hyperlink" Target="https://twitter.com/odnoklassniki?lang=ru" TargetMode="External"/><Relationship Id="rId683" Type="http://schemas.openxmlformats.org/officeDocument/2006/relationships/hyperlink" Target="https://3653.ru/uchenikam/Dnevnikru/" TargetMode="External"/><Relationship Id="rId1036" Type="http://schemas.openxmlformats.org/officeDocument/2006/relationships/hyperlink" Target="http://twitter.com" TargetMode="External"/><Relationship Id="rId1026" Type="http://schemas.openxmlformats.org/officeDocument/2006/relationships/hyperlink" Target="https://career.habr.com/companies/odnoklassniki" TargetMode="External"/><Relationship Id="rId1027" Type="http://schemas.openxmlformats.org/officeDocument/2006/relationships/hyperlink" Target="http://career.habr.com" TargetMode="External"/><Relationship Id="rId1028" Type="http://schemas.openxmlformats.org/officeDocument/2006/relationships/hyperlink" Target="http://ok.me" TargetMode="External"/><Relationship Id="rId1029" Type="http://schemas.openxmlformats.org/officeDocument/2006/relationships/hyperlink" Target="https://ok.me/" TargetMode="External"/><Relationship Id="rId679" Type="http://schemas.openxmlformats.org/officeDocument/2006/relationships/hyperlink" Target="https://hh.ru/employer/581737" TargetMode="External"/><Relationship Id="rId678" Type="http://schemas.openxmlformats.org/officeDocument/2006/relationships/hyperlink" Target="http://znanierussia.ru" TargetMode="External"/><Relationship Id="rId677" Type="http://schemas.openxmlformats.org/officeDocument/2006/relationships/hyperlink" Target="https://znanierussia.ru/articles/%D0%94%D0%BD%D0%B5%D0%B2%D0%BD%D0%B8%D0%BA.%D1%80%D1%83" TargetMode="External"/><Relationship Id="rId676" Type="http://schemas.openxmlformats.org/officeDocument/2006/relationships/hyperlink" Target="http://twitter.com" TargetMode="External"/><Relationship Id="rId671" Type="http://schemas.openxmlformats.org/officeDocument/2006/relationships/hyperlink" Target="https://vk.com/dnevnikru" TargetMode="External"/><Relationship Id="rId670" Type="http://schemas.openxmlformats.org/officeDocument/2006/relationships/hyperlink" Target="http://play.google.com" TargetMode="External"/><Relationship Id="rId1020" Type="http://schemas.openxmlformats.org/officeDocument/2006/relationships/hyperlink" Target="https://www.facebook.com/official.odnoklassniki/?locale=ru_RU" TargetMode="External"/><Relationship Id="rId1021" Type="http://schemas.openxmlformats.org/officeDocument/2006/relationships/hyperlink" Target="http://www.facebook.com" TargetMode="External"/><Relationship Id="rId675" Type="http://schemas.openxmlformats.org/officeDocument/2006/relationships/hyperlink" Target="https://twitter.com/dnevnik_ru" TargetMode="External"/><Relationship Id="rId1022" Type="http://schemas.openxmlformats.org/officeDocument/2006/relationships/hyperlink" Target="https://apiok.ru/" TargetMode="External"/><Relationship Id="rId674" Type="http://schemas.openxmlformats.org/officeDocument/2006/relationships/hyperlink" Target="http://ru.wikipedia.org" TargetMode="External"/><Relationship Id="rId1023" Type="http://schemas.openxmlformats.org/officeDocument/2006/relationships/hyperlink" Target="http://apiok.ru" TargetMode="External"/><Relationship Id="rId673" Type="http://schemas.openxmlformats.org/officeDocument/2006/relationships/hyperlink" Target="https://ru.wikipedia.org/wiki/%D0%94%D0%BD%D0%B5%D0%B2%D0%BD%D0%B8%D0%BA.%D1%80%D1%83" TargetMode="External"/><Relationship Id="rId1024" Type="http://schemas.openxmlformats.org/officeDocument/2006/relationships/hyperlink" Target="https://www.insales.ru/collection/doc-sotsseti/product/products-odnoklassniki" TargetMode="External"/><Relationship Id="rId672" Type="http://schemas.openxmlformats.org/officeDocument/2006/relationships/hyperlink" Target="http://vk.com" TargetMode="External"/><Relationship Id="rId1025" Type="http://schemas.openxmlformats.org/officeDocument/2006/relationships/hyperlink" Target="http://www.insales.ru" TargetMode="External"/><Relationship Id="rId190" Type="http://schemas.openxmlformats.org/officeDocument/2006/relationships/hyperlink" Target="http://www.avatar.com" TargetMode="External"/><Relationship Id="rId194" Type="http://schemas.openxmlformats.org/officeDocument/2006/relationships/hyperlink" Target="http://www.instagram.com" TargetMode="External"/><Relationship Id="rId193" Type="http://schemas.openxmlformats.org/officeDocument/2006/relationships/hyperlink" Target="https://www.instagram.com/avatar2officialmovie/" TargetMode="External"/><Relationship Id="rId192" Type="http://schemas.openxmlformats.org/officeDocument/2006/relationships/hyperlink" Target="http://www.avatar.com" TargetMode="External"/><Relationship Id="rId191" Type="http://schemas.openxmlformats.org/officeDocument/2006/relationships/hyperlink" Target="https://www.avatar.com/movies/avatar-the-way-of-water" TargetMode="External"/><Relationship Id="rId187" Type="http://schemas.openxmlformats.org/officeDocument/2006/relationships/hyperlink" Target="https://www.rottentomatoes.com/m/avatar_the_way_of_water" TargetMode="External"/><Relationship Id="rId186" Type="http://schemas.openxmlformats.org/officeDocument/2006/relationships/hyperlink" Target="http://www.imdb.com" TargetMode="External"/><Relationship Id="rId185" Type="http://schemas.openxmlformats.org/officeDocument/2006/relationships/hyperlink" Target="https://www.imdb.com/title/tt1630029/" TargetMode="External"/><Relationship Id="rId184" Type="http://schemas.openxmlformats.org/officeDocument/2006/relationships/hyperlink" Target="http://en.wikipedia.org" TargetMode="External"/><Relationship Id="rId189" Type="http://schemas.openxmlformats.org/officeDocument/2006/relationships/hyperlink" Target="https://www.avatar.com/" TargetMode="External"/><Relationship Id="rId188" Type="http://schemas.openxmlformats.org/officeDocument/2006/relationships/hyperlink" Target="http://www.rottentomatoes.com" TargetMode="External"/><Relationship Id="rId183" Type="http://schemas.openxmlformats.org/officeDocument/2006/relationships/hyperlink" Target="https://en.wikipedia.org/wiki/Avatar:_The_Way_of_Water" TargetMode="External"/><Relationship Id="rId182" Type="http://schemas.openxmlformats.org/officeDocument/2006/relationships/hyperlink" Target="http://www.filmpro.ru" TargetMode="External"/><Relationship Id="rId181" Type="http://schemas.openxmlformats.org/officeDocument/2006/relationships/hyperlink" Target="https://www.filmpro.ru/movies/5138" TargetMode="External"/><Relationship Id="rId180" Type="http://schemas.openxmlformats.org/officeDocument/2006/relationships/hyperlink" Target="http://www.afisha.ru" TargetMode="External"/><Relationship Id="rId176" Type="http://schemas.openxmlformats.org/officeDocument/2006/relationships/hyperlink" Target="http://rutube.ru" TargetMode="External"/><Relationship Id="rId175" Type="http://schemas.openxmlformats.org/officeDocument/2006/relationships/hyperlink" Target="https://rutube.ru/video/633df1f2b8ccf9202aa456f672ff8eed/" TargetMode="External"/><Relationship Id="rId174" Type="http://schemas.openxmlformats.org/officeDocument/2006/relationships/hyperlink" Target="http://www.film.ru" TargetMode="External"/><Relationship Id="rId173" Type="http://schemas.openxmlformats.org/officeDocument/2006/relationships/hyperlink" Target="https://www.film.ru/movies/avatar-put-vody" TargetMode="External"/><Relationship Id="rId179" Type="http://schemas.openxmlformats.org/officeDocument/2006/relationships/hyperlink" Target="https://www.afisha.ru/movie/avatar-put-vody-211630/" TargetMode="External"/><Relationship Id="rId178" Type="http://schemas.openxmlformats.org/officeDocument/2006/relationships/hyperlink" Target="http://www.kp.ru" TargetMode="External"/><Relationship Id="rId177" Type="http://schemas.openxmlformats.org/officeDocument/2006/relationships/hyperlink" Target="https://www.kp.ru/afisha/msk/obzory/muzyka/shou-avatar-2-sezon-2023/" TargetMode="External"/><Relationship Id="rId198" Type="http://schemas.openxmlformats.org/officeDocument/2006/relationships/hyperlink" Target="http://www.avito.ru" TargetMode="External"/><Relationship Id="rId197" Type="http://schemas.openxmlformats.org/officeDocument/2006/relationships/hyperlink" Target="https://www.avito.ru/" TargetMode="External"/><Relationship Id="rId196" Type="http://schemas.openxmlformats.org/officeDocument/2006/relationships/hyperlink" Target="http://www.boxofficemojo.com" TargetMode="External"/><Relationship Id="rId195" Type="http://schemas.openxmlformats.org/officeDocument/2006/relationships/hyperlink" Target="https://www.boxofficemojo.com/title/tt1630029/" TargetMode="External"/><Relationship Id="rId199" Type="http://schemas.openxmlformats.org/officeDocument/2006/relationships/hyperlink" Target="https://www.avito.ru/rightholder" TargetMode="External"/><Relationship Id="rId150" Type="http://schemas.openxmlformats.org/officeDocument/2006/relationships/hyperlink" Target="http://books.google.com" TargetMode="External"/><Relationship Id="rId149" Type="http://schemas.openxmlformats.org/officeDocument/2006/relationships/hyperlink" Target="https://books.google.com/books?id=zN_JCgAAQBAJ&amp;pg=SA7-PA14&amp;lpg=SA7-PA14&amp;dq=youtube&amp;source=bl&amp;ots=ukklr-AaT3&amp;sig=ACfU3U1b5fMtZ3X5-2vKmvRGMyhKaftYow&amp;hl=ru&amp;sa=X&amp;ved=2ahUKEwjm_r2djLuCAxWTvokEHdDgCUQQ6AF6BAhIEAM" TargetMode="External"/><Relationship Id="rId148" Type="http://schemas.openxmlformats.org/officeDocument/2006/relationships/hyperlink" Target="http://books.google.com" TargetMode="External"/><Relationship Id="rId1090" Type="http://schemas.openxmlformats.org/officeDocument/2006/relationships/hyperlink" Target="https://www.youtube.com/channel/UCa5t4JYLYu9SHVraIDFQNHQ" TargetMode="External"/><Relationship Id="rId1091" Type="http://schemas.openxmlformats.org/officeDocument/2006/relationships/hyperlink" Target="http://www.youtube.com" TargetMode="External"/><Relationship Id="rId1092" Type="http://schemas.openxmlformats.org/officeDocument/2006/relationships/hyperlink" Target="https://www.imdb.com/name/nm0654830/" TargetMode="External"/><Relationship Id="rId1093" Type="http://schemas.openxmlformats.org/officeDocument/2006/relationships/hyperlink" Target="http://www.imdb.com" TargetMode="External"/><Relationship Id="rId1094" Type="http://schemas.openxmlformats.org/officeDocument/2006/relationships/hyperlink" Target="https://www.ccacoalition.org/ru/short-lived-climate-pollutants/tropospheric-ozone" TargetMode="External"/><Relationship Id="rId143" Type="http://schemas.openxmlformats.org/officeDocument/2006/relationships/hyperlink" Target="http://support.google.com" TargetMode="External"/><Relationship Id="rId1095" Type="http://schemas.openxmlformats.org/officeDocument/2006/relationships/hyperlink" Target="http://www.ccacoalition.org" TargetMode="External"/><Relationship Id="rId142" Type="http://schemas.openxmlformats.org/officeDocument/2006/relationships/hyperlink" Target="https://support.google.com/youtube/troubleshooter/2888402?hl=en" TargetMode="External"/><Relationship Id="rId1096" Type="http://schemas.openxmlformats.org/officeDocument/2006/relationships/hyperlink" Target="https://www.facebook.com/ozon.ru/" TargetMode="External"/><Relationship Id="rId141" Type="http://schemas.openxmlformats.org/officeDocument/2006/relationships/hyperlink" Target="https://www.reddit.com/r/youtube/" TargetMode="External"/><Relationship Id="rId1097" Type="http://schemas.openxmlformats.org/officeDocument/2006/relationships/hyperlink" Target="http://www.facebook.com" TargetMode="External"/><Relationship Id="rId140" Type="http://schemas.openxmlformats.org/officeDocument/2006/relationships/hyperlink" Target="http://accounts.google.com" TargetMode="External"/><Relationship Id="rId1098" Type="http://schemas.openxmlformats.org/officeDocument/2006/relationships/hyperlink" Target="https://www.sec.gov/Archives/edgar/data/1822829/000119312522065190/d212488dex991.htm" TargetMode="External"/><Relationship Id="rId147" Type="http://schemas.openxmlformats.org/officeDocument/2006/relationships/hyperlink" Target="https://books.google.com/books?id=hB_AEAAAQBAJ&amp;pg=PT60&amp;lpg=PT60&amp;dq=youtube&amp;source=bl&amp;ots=RoNPGn3yYU&amp;sig=ACfU3U2-HpijsvwhjvWEtPcf6ZRxd4vllg&amp;hl=ru&amp;sa=X&amp;ved=2ahUKEwjm_r2djLuCAxWTvokEHdDgCUQQ6AF6BAhWEAM" TargetMode="External"/><Relationship Id="rId1099" Type="http://schemas.openxmlformats.org/officeDocument/2006/relationships/hyperlink" Target="http://www.sec.gov" TargetMode="External"/><Relationship Id="rId146" Type="http://schemas.openxmlformats.org/officeDocument/2006/relationships/hyperlink" Target="https://www.canva.com/video-editor/youtube/" TargetMode="External"/><Relationship Id="rId145" Type="http://schemas.openxmlformats.org/officeDocument/2006/relationships/hyperlink" Target="http://www.webwise.ie" TargetMode="External"/><Relationship Id="rId144" Type="http://schemas.openxmlformats.org/officeDocument/2006/relationships/hyperlink" Target="https://www.webwise.ie/parents/what-is-youtube/" TargetMode="External"/><Relationship Id="rId139" Type="http://schemas.openxmlformats.org/officeDocument/2006/relationships/hyperlink" Target="https://accounts.google.com/ServiceLogin?service=youtube&amp;uilel=3&amp;hl=en" TargetMode="External"/><Relationship Id="rId138" Type="http://schemas.openxmlformats.org/officeDocument/2006/relationships/hyperlink" Target="http://support.google.com" TargetMode="External"/><Relationship Id="rId137" Type="http://schemas.openxmlformats.org/officeDocument/2006/relationships/hyperlink" Target="https://support.google.com/youtube/answer/72857?hl=en" TargetMode="External"/><Relationship Id="rId1080" Type="http://schemas.openxmlformats.org/officeDocument/2006/relationships/hyperlink" Target="https://corp.ozon.com/" TargetMode="External"/><Relationship Id="rId1081" Type="http://schemas.openxmlformats.org/officeDocument/2006/relationships/hyperlink" Target="http://corp.ozon.com" TargetMode="External"/><Relationship Id="rId1082" Type="http://schemas.openxmlformats.org/officeDocument/2006/relationships/hyperlink" Target="https://apps.apple.com/us/app/%D0%BE%D0%B7%D0%BE%D0%BD-%D0%BE%D0%BD%D0%BB%D0%B0%D0%B9%D0%BD-%D0%B8%D0%BD%D1%82%D0%B5%D1%80%D0%BD%D0%B5%D1%82-%D0%BC%D0%B0%D0%B3%D0%B0%D0%B7%D0%B8%D0%BD/id407804998" TargetMode="External"/><Relationship Id="rId1083" Type="http://schemas.openxmlformats.org/officeDocument/2006/relationships/hyperlink" Target="http://apps.apple.com" TargetMode="External"/><Relationship Id="rId132" Type="http://schemas.openxmlformats.org/officeDocument/2006/relationships/hyperlink" Target="https://blog.youtube/" TargetMode="External"/><Relationship Id="rId1084" Type="http://schemas.openxmlformats.org/officeDocument/2006/relationships/hyperlink" Target="https://finance.yahoo.com/quote/OZON/" TargetMode="External"/><Relationship Id="rId131" Type="http://schemas.openxmlformats.org/officeDocument/2006/relationships/hyperlink" Target="http://apps.apple.com" TargetMode="External"/><Relationship Id="rId1085" Type="http://schemas.openxmlformats.org/officeDocument/2006/relationships/hyperlink" Target="http://finance.yahoo.com" TargetMode="External"/><Relationship Id="rId130" Type="http://schemas.openxmlformats.org/officeDocument/2006/relationships/hyperlink" Target="https://apps.apple.com/us/app/youtube-watch-listen-stream/id544007664" TargetMode="External"/><Relationship Id="rId1086" Type="http://schemas.openxmlformats.org/officeDocument/2006/relationships/hyperlink" Target="https://books.google.com/books?id=v1eHBXOVuqUC&amp;pg=PA304&amp;lpg=PA304&amp;dq=%D0%BE%D0%B7%D0%BE%D0%BD&amp;source=bl&amp;ots=FD8lawaepP&amp;sig=ACfU3U18GAzDiSmOGpS7njf4o3hiAKB53g&amp;hl=ru&amp;sa=X&amp;ved=2ahUKEwjjxJP-iruCAxWapIkEHfPXAhUQ6AF6BAgwEAM" TargetMode="External"/><Relationship Id="rId1087" Type="http://schemas.openxmlformats.org/officeDocument/2006/relationships/hyperlink" Target="http://books.google.com" TargetMode="External"/><Relationship Id="rId136" Type="http://schemas.openxmlformats.org/officeDocument/2006/relationships/hyperlink" Target="http://edu.gcfglobal.org" TargetMode="External"/><Relationship Id="rId1088" Type="http://schemas.openxmlformats.org/officeDocument/2006/relationships/hyperlink" Target="https://books.google.com/books?id=4TYyp30DcGEC&amp;pg=PA169&amp;lpg=PA169&amp;dq=%D0%BE%D0%B7%D0%BE%D0%BD&amp;source=bl&amp;ots=sXCP25sRuk&amp;sig=ACfU3U2gRMHgphcH_dLwH7JF33gpTA7AFA&amp;hl=ru&amp;sa=X&amp;ved=2ahUKEwjjxJP-iruCAxWapIkEHfPXAhUQ6AF6BAgvEAM" TargetMode="External"/><Relationship Id="rId135" Type="http://schemas.openxmlformats.org/officeDocument/2006/relationships/hyperlink" Target="https://edu.gcfglobal.org/en/youtube/what-is-youtube/1/" TargetMode="External"/><Relationship Id="rId1089" Type="http://schemas.openxmlformats.org/officeDocument/2006/relationships/hyperlink" Target="http://books.google.com" TargetMode="External"/><Relationship Id="rId134" Type="http://schemas.openxmlformats.org/officeDocument/2006/relationships/hyperlink" Target="http://www.instagram.com" TargetMode="External"/><Relationship Id="rId133" Type="http://schemas.openxmlformats.org/officeDocument/2006/relationships/hyperlink" Target="https://www.instagram.com/youtube/" TargetMode="External"/><Relationship Id="rId172" Type="http://schemas.openxmlformats.org/officeDocument/2006/relationships/hyperlink" Target="http://www.ivi.ru" TargetMode="External"/><Relationship Id="rId171" Type="http://schemas.openxmlformats.org/officeDocument/2006/relationships/hyperlink" Target="https://www.ivi.ru/watch/138313" TargetMode="External"/><Relationship Id="rId170" Type="http://schemas.openxmlformats.org/officeDocument/2006/relationships/hyperlink" Target="http://ru.wikipedia.org" TargetMode="External"/><Relationship Id="rId165" Type="http://schemas.openxmlformats.org/officeDocument/2006/relationships/hyperlink" Target="https://books.google.com/books?id=osJSEAAAQBAJ&amp;pg=PA7&amp;lpg=PA7&amp;dq=youtube&amp;source=bl&amp;ots=X5YyqPay6G&amp;sig=ACfU3U3J2ljgLdGonDW1KKSwEL3Yan4MOA&amp;hl=ru&amp;sa=X&amp;ved=2ahUKEwjZ2L3yj7uCAxWSjYkEHU2sBGoQ6AF6BAg7EAM" TargetMode="External"/><Relationship Id="rId164" Type="http://schemas.openxmlformats.org/officeDocument/2006/relationships/hyperlink" Target="http://www.google.com" TargetMode="External"/><Relationship Id="rId163" Type="http://schemas.openxmlformats.org/officeDocument/2006/relationships/hyperlink" Target="https://www.google.com/account/about/" TargetMode="External"/><Relationship Id="rId162" Type="http://schemas.openxmlformats.org/officeDocument/2006/relationships/hyperlink" Target="http://books.google.com" TargetMode="External"/><Relationship Id="rId169" Type="http://schemas.openxmlformats.org/officeDocument/2006/relationships/hyperlink" Target="https://ru.wikipedia.org/wiki/%D0%90%D0%B2%D0%B0%D1%82%D0%B0%D1%80:_%D0%9F%D1%83%D1%82%D1%8C_%D0%B2%D0%BE%D0%B4%D1%8B" TargetMode="External"/><Relationship Id="rId168" Type="http://schemas.openxmlformats.org/officeDocument/2006/relationships/hyperlink" Target="http://www.kinopoisk.ru" TargetMode="External"/><Relationship Id="rId167" Type="http://schemas.openxmlformats.org/officeDocument/2006/relationships/hyperlink" Target="https://www.kinopoisk.ru/film/505898/" TargetMode="External"/><Relationship Id="rId166" Type="http://schemas.openxmlformats.org/officeDocument/2006/relationships/hyperlink" Target="http://books.google.com" TargetMode="External"/><Relationship Id="rId161" Type="http://schemas.openxmlformats.org/officeDocument/2006/relationships/hyperlink" Target="https://books.google.com/books?id=bdRdDwAAQBAJ&amp;pg=PT14&amp;lpg=PT14&amp;dq=youtube&amp;source=bl&amp;ots=q80xWSixim&amp;sig=ACfU3U2ZLD8gw8jCH6x3DnTBxHC-WCZQ4w&amp;hl=ru&amp;sa=X&amp;ved=2ahUKEwjZ2L3yj7uCAxWSjYkEHU2sBGoQ6AF6BAg6EAM" TargetMode="External"/><Relationship Id="rId160" Type="http://schemas.openxmlformats.org/officeDocument/2006/relationships/hyperlink" Target="http://books.google.com" TargetMode="External"/><Relationship Id="rId159" Type="http://schemas.openxmlformats.org/officeDocument/2006/relationships/hyperlink" Target="https://books.google.com/books?id=bRZn0jExOuYC&amp;pg=PA260&amp;lpg=PA260&amp;dq=youtube&amp;source=bl&amp;ots=d-jy7Rak2B&amp;sig=ACfU3U3fuE5JI5XbD1rZXMYu8nTmJ6PpXA&amp;hl=ru&amp;sa=X&amp;ved=2ahUKEwjZ2L3yj7uCAxWSjYkEHU2sBGoQ6AF6BAhUEAM" TargetMode="External"/><Relationship Id="rId154" Type="http://schemas.openxmlformats.org/officeDocument/2006/relationships/hyperlink" Target="http://en.wikipedia.org" TargetMode="External"/><Relationship Id="rId153" Type="http://schemas.openxmlformats.org/officeDocument/2006/relationships/hyperlink" Target="https://en.wikipedia.org/wiki/History_of_YouTube" TargetMode="External"/><Relationship Id="rId152" Type="http://schemas.openxmlformats.org/officeDocument/2006/relationships/hyperlink" Target="http://chrome.google.com" TargetMode="External"/><Relationship Id="rId151" Type="http://schemas.openxmlformats.org/officeDocument/2006/relationships/hyperlink" Target="https://chrome.google.com/webstore/detail/vidiq-vision-for-youtube/pachckjkecffpdphbpmfolblodfkgbhl" TargetMode="External"/><Relationship Id="rId158" Type="http://schemas.openxmlformats.org/officeDocument/2006/relationships/hyperlink" Target="http://montezumacounty.org" TargetMode="External"/><Relationship Id="rId157" Type="http://schemas.openxmlformats.org/officeDocument/2006/relationships/hyperlink" Target="https://montezumacounty.org/youtube-montezuma-county-pz-meeting-november-9-2023/" TargetMode="External"/><Relationship Id="rId156" Type="http://schemas.openxmlformats.org/officeDocument/2006/relationships/hyperlink" Target="http://support.google.com" TargetMode="External"/><Relationship Id="rId155" Type="http://schemas.openxmlformats.org/officeDocument/2006/relationships/hyperlink" Target="https://support.google.com/youtube/answer/71673?hl=en&amp;co=GENIE.Platform%3DAndroid" TargetMode="External"/><Relationship Id="rId1510" Type="http://schemas.openxmlformats.org/officeDocument/2006/relationships/hyperlink" Target="https://online.sberbank.ru/" TargetMode="External"/><Relationship Id="rId1511" Type="http://schemas.openxmlformats.org/officeDocument/2006/relationships/hyperlink" Target="http://online.sberbank.ru" TargetMode="External"/><Relationship Id="rId1512" Type="http://schemas.openxmlformats.org/officeDocument/2006/relationships/hyperlink" Target="https://www.sberbank.com/ru" TargetMode="External"/><Relationship Id="rId1513" Type="http://schemas.openxmlformats.org/officeDocument/2006/relationships/hyperlink" Target="http://www.sberbank.com" TargetMode="External"/><Relationship Id="rId1514" Type="http://schemas.openxmlformats.org/officeDocument/2006/relationships/hyperlink" Target="https://www.sberbank.com/" TargetMode="External"/><Relationship Id="rId1515" Type="http://schemas.openxmlformats.org/officeDocument/2006/relationships/hyperlink" Target="http://www.sberbank.com" TargetMode="External"/><Relationship Id="rId1516" Type="http://schemas.openxmlformats.org/officeDocument/2006/relationships/hyperlink" Target="https://ru.wikipedia.org/wiki/%D0%A1%D0%B1%D0%B5%D1%80%D0%B1%D0%B0%D0%BD%D0%BA_%D0%A0%D0%BE%D1%81%D1%81%D0%B8%D0%B8" TargetMode="External"/><Relationship Id="rId1517" Type="http://schemas.openxmlformats.org/officeDocument/2006/relationships/hyperlink" Target="http://ru.wikipedia.org" TargetMode="External"/><Relationship Id="rId1518" Type="http://schemas.openxmlformats.org/officeDocument/2006/relationships/hyperlink" Target="https://www.sber-bank.by/" TargetMode="External"/><Relationship Id="rId1519" Type="http://schemas.openxmlformats.org/officeDocument/2006/relationships/hyperlink" Target="http://www.sber-bank.by" TargetMode="External"/><Relationship Id="rId1500" Type="http://schemas.openxmlformats.org/officeDocument/2006/relationships/hyperlink" Target="http://moonzori.com" TargetMode="External"/><Relationship Id="rId1501" Type="http://schemas.openxmlformats.org/officeDocument/2006/relationships/hyperlink" Target="https://wotpack.ru/s-dnem-rozhdenija-v-genshin-impact-kak-nachat-i-najti-lanuar/" TargetMode="External"/><Relationship Id="rId1502" Type="http://schemas.openxmlformats.org/officeDocument/2006/relationships/hyperlink" Target="http://wotpack.ru" TargetMode="External"/><Relationship Id="rId1503" Type="http://schemas.openxmlformats.org/officeDocument/2006/relationships/hyperlink" Target="https://www.youtube.com/playlist?list=PLqVr6CBVHfRM0XKNY5ZvVQbVsK2oxL34z" TargetMode="External"/><Relationship Id="rId1504" Type="http://schemas.openxmlformats.org/officeDocument/2006/relationships/hyperlink" Target="http://www.youtube.com" TargetMode="External"/><Relationship Id="rId1505" Type="http://schemas.openxmlformats.org/officeDocument/2006/relationships/hyperlink" Target="https://yandex.ru/video/touch/%D0%B7%D0%B0%D0%BF%D1%80%D0%BE%D1%81/%D1%81%D0%B5%D1%80%D0%B8%D0%B0%D0%BB%D1%8B?top=0&amp;text=%D0%BF%D0%BE%D0%B7%D0%B4%D1%80%D0%B0%D0%B2%D0%BB%D0%B5%D0%BD%D0%B8%D0%B5+%D0%BD%D0%B0+%D0%B4%D0%B5%D0%BD%D1%8C+%D1%80%D0%BE%D0%B6%D0%B4%D0%B5%D0%BD%D0%B8%D1%8F&amp;letter=%D0%98&amp;letter_page=2&amp;redircnt=1518955007.1&amp;autoopen=1" TargetMode="External"/><Relationship Id="rId1506" Type="http://schemas.openxmlformats.org/officeDocument/2006/relationships/hyperlink" Target="http://yandex.ru" TargetMode="External"/><Relationship Id="rId1507" Type="http://schemas.openxmlformats.org/officeDocument/2006/relationships/hyperlink" Target="https://www.facebook.com/groups/553041255073656/" TargetMode="External"/><Relationship Id="rId1508" Type="http://schemas.openxmlformats.org/officeDocument/2006/relationships/hyperlink" Target="http://www.facebook.com" TargetMode="External"/><Relationship Id="rId1509" Type="http://schemas.openxmlformats.org/officeDocument/2006/relationships/hyperlink" Target="http://www.sberbank.ru/ru/person" TargetMode="External"/><Relationship Id="rId1576" Type="http://schemas.openxmlformats.org/officeDocument/2006/relationships/hyperlink" Target="https://www.cnews.ru/book/%D0%A1%D0%B1%D0%B5%D1%80_-_%D0%A1%D0%B1%D0%B5%D1%80%D0%B1%D0%B0%D0%BD%D0%BA_%D0%9E%D0%BD%D0%BB%D0%B0%D0%B9%D0%BD_-_%D0%A1%D0%B1%D0%B5%D1%80%D0%B1%D0%B0%D0%BD%D0%BA_%D0%9E%D0%BD%D0%BB_%D0%B9%D0%BD_-_%D0%B8%D0%BD%D1%82%D0%B5%D1%80%D0%BD%D0%B5%D1%82-%D0%B1%D0%B0%D0%BD%D0%BA" TargetMode="External"/><Relationship Id="rId1577" Type="http://schemas.openxmlformats.org/officeDocument/2006/relationships/hyperlink" Target="http://www.cnews.ru" TargetMode="External"/><Relationship Id="rId1578" Type="http://schemas.openxmlformats.org/officeDocument/2006/relationships/hyperlink" Target="https://vk.com/sber" TargetMode="External"/><Relationship Id="rId1579" Type="http://schemas.openxmlformats.org/officeDocument/2006/relationships/hyperlink" Target="http://vk.com" TargetMode="External"/><Relationship Id="rId509" Type="http://schemas.openxmlformats.org/officeDocument/2006/relationships/hyperlink" Target="http://tsvetomania.ru" TargetMode="External"/><Relationship Id="rId508" Type="http://schemas.openxmlformats.org/officeDocument/2006/relationships/hyperlink" Target="https://tsvetomania.ru/encyclopedia/gipsofila963/" TargetMode="External"/><Relationship Id="rId503" Type="http://schemas.openxmlformats.org/officeDocument/2006/relationships/hyperlink" Target="https://apps.apple.com/ru/app/%D0%B3%D0%B4%D0%B7-%D0%BC%D0%BE%D0%B9-%D1%80%D0%B5%D1%88%D0%B5%D0%B1%D0%BD%D0%B8%D0%BA/id1276194049" TargetMode="External"/><Relationship Id="rId987" Type="http://schemas.openxmlformats.org/officeDocument/2006/relationships/hyperlink" Target="https://www.youtube.com/watch?v=KAC0FXPGWG0" TargetMode="External"/><Relationship Id="rId502" Type="http://schemas.openxmlformats.org/officeDocument/2006/relationships/hyperlink" Target="http://vshkole.com" TargetMode="External"/><Relationship Id="rId986" Type="http://schemas.openxmlformats.org/officeDocument/2006/relationships/hyperlink" Target="http://government.ru/news/" TargetMode="External"/><Relationship Id="rId501" Type="http://schemas.openxmlformats.org/officeDocument/2006/relationships/hyperlink" Target="https://vshkole.com/" TargetMode="External"/><Relationship Id="rId985" Type="http://schemas.openxmlformats.org/officeDocument/2006/relationships/hyperlink" Target="https://www.nbcnews.com/" TargetMode="External"/><Relationship Id="rId500" Type="http://schemas.openxmlformats.org/officeDocument/2006/relationships/hyperlink" Target="http://play.google.com" TargetMode="External"/><Relationship Id="rId984" Type="http://schemas.openxmlformats.org/officeDocument/2006/relationships/hyperlink" Target="http://rg.ru" TargetMode="External"/><Relationship Id="rId507" Type="http://schemas.openxmlformats.org/officeDocument/2006/relationships/hyperlink" Target="https://flowwow.com/blog/gipsofila-foto-i-opisanie/" TargetMode="External"/><Relationship Id="rId506" Type="http://schemas.openxmlformats.org/officeDocument/2006/relationships/hyperlink" Target="http://gdz.sub.uni-goettingen.de" TargetMode="External"/><Relationship Id="rId505" Type="http://schemas.openxmlformats.org/officeDocument/2006/relationships/hyperlink" Target="https://gdz.sub.uni-goettingen.de/" TargetMode="External"/><Relationship Id="rId989" Type="http://schemas.openxmlformats.org/officeDocument/2006/relationships/hyperlink" Target="https://www.mk.ru/news/" TargetMode="External"/><Relationship Id="rId504" Type="http://schemas.openxmlformats.org/officeDocument/2006/relationships/hyperlink" Target="http://apps.apple.com" TargetMode="External"/><Relationship Id="rId988" Type="http://schemas.openxmlformats.org/officeDocument/2006/relationships/hyperlink" Target="http://www.youtube.com" TargetMode="External"/><Relationship Id="rId1570" Type="http://schemas.openxmlformats.org/officeDocument/2006/relationships/hyperlink" Target="https://ru.wikipedia.org/wiki/%D0%A1%D0%B1%D0%B5%D1%80%D0%B1%D0%B0%D0%BD%D0%BA_%D0%9E%D0%BD%D0%BB%D0%B0%D0%B9%D0%BD" TargetMode="External"/><Relationship Id="rId1571" Type="http://schemas.openxmlformats.org/officeDocument/2006/relationships/hyperlink" Target="http://ru.wikipedia.org" TargetMode="External"/><Relationship Id="rId983" Type="http://schemas.openxmlformats.org/officeDocument/2006/relationships/hyperlink" Target="https://rg.ru/" TargetMode="External"/><Relationship Id="rId1572" Type="http://schemas.openxmlformats.org/officeDocument/2006/relationships/hyperlink" Target="https://sberbank-onlayn.softonic.ru/android" TargetMode="External"/><Relationship Id="rId982" Type="http://schemas.openxmlformats.org/officeDocument/2006/relationships/hyperlink" Target="http://www.golosameriki.com" TargetMode="External"/><Relationship Id="rId1573" Type="http://schemas.openxmlformats.org/officeDocument/2006/relationships/hyperlink" Target="http://sberbank-onlayn.softonic.ru" TargetMode="External"/><Relationship Id="rId981" Type="http://schemas.openxmlformats.org/officeDocument/2006/relationships/hyperlink" Target="https://www.golosameriki.com/novosti" TargetMode="External"/><Relationship Id="rId1574" Type="http://schemas.openxmlformats.org/officeDocument/2006/relationships/hyperlink" Target="https://apps.rustore.ru/app/ru.sberbankmobile" TargetMode="External"/><Relationship Id="rId980" Type="http://schemas.openxmlformats.org/officeDocument/2006/relationships/hyperlink" Target="http://www.bbc.com" TargetMode="External"/><Relationship Id="rId1575" Type="http://schemas.openxmlformats.org/officeDocument/2006/relationships/hyperlink" Target="https://bankiros.ru/wiki/term/kak-polzovatsia-sberbank-online" TargetMode="External"/><Relationship Id="rId1565" Type="http://schemas.openxmlformats.org/officeDocument/2006/relationships/hyperlink" Target="https://apps.sber.ru/apps/sberbank-online/" TargetMode="External"/><Relationship Id="rId1566" Type="http://schemas.openxmlformats.org/officeDocument/2006/relationships/hyperlink" Target="http://apps.sber.ru" TargetMode="External"/><Relationship Id="rId1567" Type="http://schemas.openxmlformats.org/officeDocument/2006/relationships/hyperlink" Target="http://www.sberbank.ru/ru/person/dist_services" TargetMode="External"/><Relationship Id="rId1568" Type="http://schemas.openxmlformats.org/officeDocument/2006/relationships/hyperlink" Target="https://www.sberbank.com/ru/person/dist_services/sberbank-online-iphone" TargetMode="External"/><Relationship Id="rId1569" Type="http://schemas.openxmlformats.org/officeDocument/2006/relationships/hyperlink" Target="http://www.sberbank.com" TargetMode="External"/><Relationship Id="rId976" Type="http://schemas.openxmlformats.org/officeDocument/2006/relationships/hyperlink" Target="http://rtvi.com" TargetMode="External"/><Relationship Id="rId975" Type="http://schemas.openxmlformats.org/officeDocument/2006/relationships/hyperlink" Target="https://rtvi.com/" TargetMode="External"/><Relationship Id="rId974" Type="http://schemas.openxmlformats.org/officeDocument/2006/relationships/hyperlink" Target="http://regnum.ru" TargetMode="External"/><Relationship Id="rId973" Type="http://schemas.openxmlformats.org/officeDocument/2006/relationships/hyperlink" Target="https://regnum.ru/news" TargetMode="External"/><Relationship Id="rId979" Type="http://schemas.openxmlformats.org/officeDocument/2006/relationships/hyperlink" Target="https://www.bbc.com/russian" TargetMode="External"/><Relationship Id="rId978" Type="http://schemas.openxmlformats.org/officeDocument/2006/relationships/hyperlink" Target="http://www.forbes.ru" TargetMode="External"/><Relationship Id="rId977" Type="http://schemas.openxmlformats.org/officeDocument/2006/relationships/hyperlink" Target="https://www.forbes.ru/novosti" TargetMode="External"/><Relationship Id="rId1560" Type="http://schemas.openxmlformats.org/officeDocument/2006/relationships/hyperlink" Target="https://www.banki.ru/wikibank/sberbank_onlayn/" TargetMode="External"/><Relationship Id="rId972" Type="http://schemas.openxmlformats.org/officeDocument/2006/relationships/hyperlink" Target="http://www.1tv.ru" TargetMode="External"/><Relationship Id="rId1561" Type="http://schemas.openxmlformats.org/officeDocument/2006/relationships/hyperlink" Target="https://www.sravni.ru/enciklopediya/info/sberbank-onlajn/" TargetMode="External"/><Relationship Id="rId971" Type="http://schemas.openxmlformats.org/officeDocument/2006/relationships/hyperlink" Target="https://www.1tv.ru/" TargetMode="External"/><Relationship Id="rId1562" Type="http://schemas.openxmlformats.org/officeDocument/2006/relationships/hyperlink" Target="http://www.sravni.ru" TargetMode="External"/><Relationship Id="rId970" Type="http://schemas.openxmlformats.org/officeDocument/2006/relationships/hyperlink" Target="http://www.1tv.ru" TargetMode="External"/><Relationship Id="rId1563" Type="http://schemas.openxmlformats.org/officeDocument/2006/relationships/hyperlink" Target="https://www.sberbank.com/ru/person/dist_services/sberbank-online-android" TargetMode="External"/><Relationship Id="rId1564" Type="http://schemas.openxmlformats.org/officeDocument/2006/relationships/hyperlink" Target="http://www.sberbank.com" TargetMode="External"/><Relationship Id="rId1114" Type="http://schemas.openxmlformats.org/officeDocument/2006/relationships/hyperlink" Target="http://www.rbc.ua" TargetMode="External"/><Relationship Id="rId1598" Type="http://schemas.openxmlformats.org/officeDocument/2006/relationships/hyperlink" Target="http://sgo.cit73.ru" TargetMode="External"/><Relationship Id="rId1115" Type="http://schemas.openxmlformats.org/officeDocument/2006/relationships/hyperlink" Target="https://www.unian.net/lite/holidays/kogda-pasha-2023-tochnaya-data-budet-li-vyhodnoy-12098343.html" TargetMode="External"/><Relationship Id="rId1599" Type="http://schemas.openxmlformats.org/officeDocument/2006/relationships/hyperlink" Target="https://region.zabedu.ru/about.html" TargetMode="External"/><Relationship Id="rId1116" Type="http://schemas.openxmlformats.org/officeDocument/2006/relationships/hyperlink" Target="http://www.unian.net" TargetMode="External"/><Relationship Id="rId1117" Type="http://schemas.openxmlformats.org/officeDocument/2006/relationships/hyperlink" Target="https://iz.ru/1498098/2023-04-16/paskha-2023-kak-pravoslavnye-otmechaiut-svetloe-voskresenie-chto-mozhno-i-nelzia-delat" TargetMode="External"/><Relationship Id="rId1118" Type="http://schemas.openxmlformats.org/officeDocument/2006/relationships/hyperlink" Target="http://iz.ru" TargetMode="External"/><Relationship Id="rId1119" Type="http://schemas.openxmlformats.org/officeDocument/2006/relationships/hyperlink" Target="https://only.bible/tools/calendar/resurrection/" TargetMode="External"/><Relationship Id="rId525" Type="http://schemas.openxmlformats.org/officeDocument/2006/relationships/hyperlink" Target="http://cvetovik.com" TargetMode="External"/><Relationship Id="rId524" Type="http://schemas.openxmlformats.org/officeDocument/2006/relationships/hyperlink" Target="https://cvetovik.com/catalog/tsveti/gipsofila/" TargetMode="External"/><Relationship Id="rId523" Type="http://schemas.openxmlformats.org/officeDocument/2006/relationships/hyperlink" Target="http://9046065.ru" TargetMode="External"/><Relationship Id="rId522" Type="http://schemas.openxmlformats.org/officeDocument/2006/relationships/hyperlink" Target="https://9046065.ru/cveti/gipsofila-spb/" TargetMode="External"/><Relationship Id="rId529" Type="http://schemas.openxmlformats.org/officeDocument/2006/relationships/hyperlink" Target="http://buketonline-msk.ru" TargetMode="External"/><Relationship Id="rId528" Type="http://schemas.openxmlformats.org/officeDocument/2006/relationships/hyperlink" Target="https://buketonline-msk.ru/cvety/gipsofila/" TargetMode="External"/><Relationship Id="rId527" Type="http://schemas.openxmlformats.org/officeDocument/2006/relationships/hyperlink" Target="http://www.grand-kapriz.ru" TargetMode="External"/><Relationship Id="rId526" Type="http://schemas.openxmlformats.org/officeDocument/2006/relationships/hyperlink" Target="https://www.grand-kapriz.ru/product/buket-iz-rozovoy-gipsofily" TargetMode="External"/><Relationship Id="rId1590" Type="http://schemas.openxmlformats.org/officeDocument/2006/relationships/hyperlink" Target="https://sbbol.bps-sberbank.by/" TargetMode="External"/><Relationship Id="rId1591" Type="http://schemas.openxmlformats.org/officeDocument/2006/relationships/hyperlink" Target="http://sbbol.bps-sberbank.by" TargetMode="External"/><Relationship Id="rId1592" Type="http://schemas.openxmlformats.org/officeDocument/2006/relationships/hyperlink" Target="https://www.sravni.ru/enciklopediya/info/kak-zaregistrirovatsya-v-sberbank-onlajn/" TargetMode="External"/><Relationship Id="rId1593" Type="http://schemas.openxmlformats.org/officeDocument/2006/relationships/hyperlink" Target="http://www.sravni.ru" TargetMode="External"/><Relationship Id="rId521" Type="http://schemas.openxmlformats.org/officeDocument/2006/relationships/hyperlink" Target="http://roza101.ru" TargetMode="External"/><Relationship Id="rId1110" Type="http://schemas.openxmlformats.org/officeDocument/2006/relationships/hyperlink" Target="http://www.linkedin.com" TargetMode="External"/><Relationship Id="rId1594" Type="http://schemas.openxmlformats.org/officeDocument/2006/relationships/hyperlink" Target="https://www.forbes.ru/finansy/475069-zamenausee-sberbank-onlajn-prilozenie-iscezlo-iz-app-store" TargetMode="External"/><Relationship Id="rId520" Type="http://schemas.openxmlformats.org/officeDocument/2006/relationships/hyperlink" Target="https://roza101.ru/cvety/gipsofily" TargetMode="External"/><Relationship Id="rId1111" Type="http://schemas.openxmlformats.org/officeDocument/2006/relationships/hyperlink" Target="https://iz.ru/1496595/2023-04-11/paskha-2023-chto-za-prazdnik-16-aprelia-chto-nelzia-delat" TargetMode="External"/><Relationship Id="rId1595" Type="http://schemas.openxmlformats.org/officeDocument/2006/relationships/hyperlink" Target="http://www.forbes.ru" TargetMode="External"/><Relationship Id="rId1112" Type="http://schemas.openxmlformats.org/officeDocument/2006/relationships/hyperlink" Target="http://iz.ru" TargetMode="External"/><Relationship Id="rId1596" Type="http://schemas.openxmlformats.org/officeDocument/2006/relationships/hyperlink" Target="https://domclick.ru/ipoteka" TargetMode="External"/><Relationship Id="rId1113" Type="http://schemas.openxmlformats.org/officeDocument/2006/relationships/hyperlink" Target="https://www.rbc.ua/ukr/styler/velikden-2023-koli-svyatkuvatimemo-pravoslavnim-1663816465.html" TargetMode="External"/><Relationship Id="rId1597" Type="http://schemas.openxmlformats.org/officeDocument/2006/relationships/hyperlink" Target="https://sgo.cit73.ru/" TargetMode="External"/><Relationship Id="rId1103" Type="http://schemas.openxmlformats.org/officeDocument/2006/relationships/hyperlink" Target="http://books.google.com" TargetMode="External"/><Relationship Id="rId1587" Type="http://schemas.openxmlformats.org/officeDocument/2006/relationships/hyperlink" Target="https://sberbankins.ru/" TargetMode="External"/><Relationship Id="rId1104" Type="http://schemas.openxmlformats.org/officeDocument/2006/relationships/hyperlink" Target="https://books.google.com/books?id=4TYyp30DcGEC&amp;pg=PA149&amp;lpg=PA149&amp;dq=%D0%BE%D0%B7%D0%BE%D0%BD&amp;source=bl&amp;ots=sXCP25tQBl&amp;sig=ACfU3U080l1fZ4jsLgR_U0SXHca3D7xmYA&amp;hl=ru&amp;sa=X&amp;ved=2ahUKEwiB4KDNjruCAxUPtokEHcKvAHsQ6AF6BAg2EAM" TargetMode="External"/><Relationship Id="rId1588" Type="http://schemas.openxmlformats.org/officeDocument/2006/relationships/hyperlink" Target="https://34gaz.ru/one-stop-shop/manual_sber/" TargetMode="External"/><Relationship Id="rId1105" Type="http://schemas.openxmlformats.org/officeDocument/2006/relationships/hyperlink" Target="http://books.google.com" TargetMode="External"/><Relationship Id="rId1589" Type="http://schemas.openxmlformats.org/officeDocument/2006/relationships/hyperlink" Target="http://34gaz.ru" TargetMode="External"/><Relationship Id="rId1106" Type="http://schemas.openxmlformats.org/officeDocument/2006/relationships/hyperlink" Target="https://books.google.com/books?id=A8qjgBCgPSgC&amp;pg=PA157&amp;lpg=PA157&amp;dq=%D0%BE%D0%B7%D0%BE%D0%BD&amp;source=bl&amp;ots=8L7Grlriaz&amp;sig=ACfU3U0T4l14v25jX6qmNWjPMggOaJQAOQ&amp;hl=ru&amp;sa=X&amp;ved=2ahUKEwiB4KDNjruCAxUPtokEHcKvAHsQ6AF6BAg1EAM" TargetMode="External"/><Relationship Id="rId1107" Type="http://schemas.openxmlformats.org/officeDocument/2006/relationships/hyperlink" Target="http://books.google.com" TargetMode="External"/><Relationship Id="rId1108" Type="http://schemas.openxmlformats.org/officeDocument/2006/relationships/hyperlink" Target="http://ozon.ru" TargetMode="External"/><Relationship Id="rId1109" Type="http://schemas.openxmlformats.org/officeDocument/2006/relationships/hyperlink" Target="https://www.linkedin.com/company/llc-internet-solutions-ozon-ru-" TargetMode="External"/><Relationship Id="rId519" Type="http://schemas.openxmlformats.org/officeDocument/2006/relationships/hyperlink" Target="https://xn----7sbbzcf1abmgo.xn--p1ai/%D0%B1%D1%83%D0%BA%D0%B5%D1%82%D1%8B/%D0%B1%D1%83%D0%BA%D0%B5%D1%82%D1%8B-%D0%B8%D0%B7-%D0%B3%D0%B8%D0%BF%D1%81%D0%BE%D1%84%D0%B8%D0%BB%D1%8B/" TargetMode="External"/><Relationship Id="rId514" Type="http://schemas.openxmlformats.org/officeDocument/2006/relationships/hyperlink" Target="http://flawery.ru" TargetMode="External"/><Relationship Id="rId998" Type="http://schemas.openxmlformats.org/officeDocument/2006/relationships/hyperlink" Target="http://play.google.com" TargetMode="External"/><Relationship Id="rId513" Type="http://schemas.openxmlformats.org/officeDocument/2006/relationships/hyperlink" Target="https://flawery.ru/samara/bouquets/flowers-gipsofila/" TargetMode="External"/><Relationship Id="rId997" Type="http://schemas.openxmlformats.org/officeDocument/2006/relationships/hyperlink" Target="https://play.google.com/store/apps/details?id=ru.ok.android&amp;hl=ru&amp;gl=US" TargetMode="External"/><Relationship Id="rId512" Type="http://schemas.openxmlformats.org/officeDocument/2006/relationships/hyperlink" Target="https://www.ozon.ru/category/bukety-iz-gipsofil/" TargetMode="External"/><Relationship Id="rId996" Type="http://schemas.openxmlformats.org/officeDocument/2006/relationships/hyperlink" Target="http://ok.ru" TargetMode="External"/><Relationship Id="rId511" Type="http://schemas.openxmlformats.org/officeDocument/2006/relationships/hyperlink" Target="https://flowwow.com/moscow/gipsofila-flowers/" TargetMode="External"/><Relationship Id="rId995" Type="http://schemas.openxmlformats.org/officeDocument/2006/relationships/hyperlink" Target="https://ok.ru/" TargetMode="External"/><Relationship Id="rId518" Type="http://schemas.openxmlformats.org/officeDocument/2006/relationships/hyperlink" Target="http://magicalflower.ru" TargetMode="External"/><Relationship Id="rId517" Type="http://schemas.openxmlformats.org/officeDocument/2006/relationships/hyperlink" Target="https://magicalflower.ru/tsvety/gipsofila/" TargetMode="External"/><Relationship Id="rId516" Type="http://schemas.openxmlformats.org/officeDocument/2006/relationships/hyperlink" Target="http://floralavka.ru" TargetMode="External"/><Relationship Id="rId515" Type="http://schemas.openxmlformats.org/officeDocument/2006/relationships/hyperlink" Target="https://floralavka.ru/monobuket-iz-gipsofily" TargetMode="External"/><Relationship Id="rId999" Type="http://schemas.openxmlformats.org/officeDocument/2006/relationships/hyperlink" Target="https://ru.wikipedia.org/wiki/%D0%9E%D0%B4%D0%BD%D0%BE%D0%BA%D0%BB%D0%B0%D1%81%D1%81%D0%BD%D0%B8%D0%BA%D0%B8_(%D1%81%D0%BE%D1%86%D0%B8%D0%B0%D0%BB%D1%8C%D0%BD%D0%B0%D1%8F_%D1%81%D0%B5%D1%82%D1%8C)" TargetMode="External"/><Relationship Id="rId990" Type="http://schemas.openxmlformats.org/officeDocument/2006/relationships/hyperlink" Target="http://www.kremlin.ru/events/president/news" TargetMode="External"/><Relationship Id="rId1580" Type="http://schemas.openxmlformats.org/officeDocument/2006/relationships/hyperlink" Target="https://ria.ru/product_Sberbank_Onlajjn/" TargetMode="External"/><Relationship Id="rId1581" Type="http://schemas.openxmlformats.org/officeDocument/2006/relationships/hyperlink" Target="https://www.forbes.ru/tekhnologii/479393-zamenausee-sberbank-onlajn-prilozenie-vnov-poavilos-v-app-store" TargetMode="External"/><Relationship Id="rId1582" Type="http://schemas.openxmlformats.org/officeDocument/2006/relationships/hyperlink" Target="http://www.forbes.ru" TargetMode="External"/><Relationship Id="rId510" Type="http://schemas.openxmlformats.org/officeDocument/2006/relationships/hyperlink" Target="https://cvetov.ru/grozny/catalog/bukety/192417/" TargetMode="External"/><Relationship Id="rId994" Type="http://schemas.openxmlformats.org/officeDocument/2006/relationships/hyperlink" Target="http://russian.rt.com" TargetMode="External"/><Relationship Id="rId1583" Type="http://schemas.openxmlformats.org/officeDocument/2006/relationships/hyperlink" Target="https://instagro.ru/instructions/kak-oplatit-zakaz-cherez-prilozhenie-sberbank-onlajn-na-telefone/" TargetMode="External"/><Relationship Id="rId993" Type="http://schemas.openxmlformats.org/officeDocument/2006/relationships/hyperlink" Target="https://russian.rt.com/news" TargetMode="External"/><Relationship Id="rId1100" Type="http://schemas.openxmlformats.org/officeDocument/2006/relationships/hyperlink" Target="https://en.ozonweb.com/" TargetMode="External"/><Relationship Id="rId1584" Type="http://schemas.openxmlformats.org/officeDocument/2006/relationships/hyperlink" Target="http://instagro.ru" TargetMode="External"/><Relationship Id="rId992" Type="http://schemas.openxmlformats.org/officeDocument/2006/relationships/hyperlink" Target="http://www.reuters.com" TargetMode="External"/><Relationship Id="rId1101" Type="http://schemas.openxmlformats.org/officeDocument/2006/relationships/hyperlink" Target="http://en.ozonweb.com" TargetMode="External"/><Relationship Id="rId1585" Type="http://schemas.openxmlformats.org/officeDocument/2006/relationships/hyperlink" Target="https://online.prisbank.com/" TargetMode="External"/><Relationship Id="rId991" Type="http://schemas.openxmlformats.org/officeDocument/2006/relationships/hyperlink" Target="https://www.reuters.com/" TargetMode="External"/><Relationship Id="rId1102" Type="http://schemas.openxmlformats.org/officeDocument/2006/relationships/hyperlink" Target="https://books.google.com/books?id=qwkrDwAAQBAJ&amp;pg=PT5&amp;lpg=PT5&amp;dq=%D0%BE%D0%B7%D0%BE%D0%BD&amp;source=bl&amp;ots=fxyKF3l9pL&amp;sig=ACfU3U3LTLTaBV3-GFMasVR_VwBMxOK_6w&amp;hl=ru&amp;sa=X&amp;ved=2ahUKEwiB4KDNjruCAxUPtokEHcKvAHsQ6AF6BAg0EAM" TargetMode="External"/><Relationship Id="rId1586" Type="http://schemas.openxmlformats.org/officeDocument/2006/relationships/hyperlink" Target="http://online.prisbank.com" TargetMode="External"/><Relationship Id="rId1532" Type="http://schemas.openxmlformats.org/officeDocument/2006/relationships/hyperlink" Target="https://apps.sber.ru/apps/sberbank-online/" TargetMode="External"/><Relationship Id="rId1533" Type="http://schemas.openxmlformats.org/officeDocument/2006/relationships/hyperlink" Target="http://apps.sber.ru" TargetMode="External"/><Relationship Id="rId1534" Type="http://schemas.openxmlformats.org/officeDocument/2006/relationships/hyperlink" Target="https://ria.ru/organization_Sberbank_Rossii/" TargetMode="External"/><Relationship Id="rId1535" Type="http://schemas.openxmlformats.org/officeDocument/2006/relationships/hyperlink" Target="https://twitter.com/sberbank" TargetMode="External"/><Relationship Id="rId1536" Type="http://schemas.openxmlformats.org/officeDocument/2006/relationships/hyperlink" Target="http://twitter.com" TargetMode="External"/><Relationship Id="rId1537" Type="http://schemas.openxmlformats.org/officeDocument/2006/relationships/hyperlink" Target="https://books.google.com/books?id=Bea1AAAAQBAJ&amp;pg=PT177&amp;lpg=PT177&amp;dq=%D1%81%D0%B1%D0%B5%D1%80%D0%B1%D0%B0%D0%BD%D0%BA&amp;source=bl&amp;ots=vA7nsbgnnj&amp;sig=ACfU3U2MFNXNJ9ryCZ9GK_8MSfbZF_HsqQ&amp;hl=ru&amp;sa=X&amp;ved=2ahUKEwjM9q7GoryCAxX6mokEHTLEDkAQ6AF6BAhFEAM" TargetMode="External"/><Relationship Id="rId1538" Type="http://schemas.openxmlformats.org/officeDocument/2006/relationships/hyperlink" Target="http://books.google.com" TargetMode="External"/><Relationship Id="rId1539" Type="http://schemas.openxmlformats.org/officeDocument/2006/relationships/hyperlink" Target="https://books.google.com/books?id=xRfKCQAAQBAJ&amp;pg=PA15&amp;lpg=PA15&amp;dq=%D1%81%D0%B1%D0%B5%D1%80%D0%B1%D0%B0%D0%BD%D0%BA&amp;source=bl&amp;ots=9LAJf-Kemz&amp;sig=ACfU3U18yZzj_7r2n0OWgzJ2h-fU2mj4HQ&amp;hl=ru&amp;sa=X&amp;ved=2ahUKEwjM9q7GoryCAxX6mokEHTLEDkAQ6AF6BAhHEAM" TargetMode="External"/><Relationship Id="rId949" Type="http://schemas.openxmlformats.org/officeDocument/2006/relationships/hyperlink" Target="https://news.mail.ru/" TargetMode="External"/><Relationship Id="rId948" Type="http://schemas.openxmlformats.org/officeDocument/2006/relationships/hyperlink" Target="https://www.rbc.ru/" TargetMode="External"/><Relationship Id="rId943" Type="http://schemas.openxmlformats.org/officeDocument/2006/relationships/hyperlink" Target="http://ngs.ru" TargetMode="External"/><Relationship Id="rId942" Type="http://schemas.openxmlformats.org/officeDocument/2006/relationships/hyperlink" Target="https://ngs.ru/text/job/2023/04/10/72203609/" TargetMode="External"/><Relationship Id="rId941" Type="http://schemas.openxmlformats.org/officeDocument/2006/relationships/hyperlink" Target="http://www.interfax.ru" TargetMode="External"/><Relationship Id="rId940" Type="http://schemas.openxmlformats.org/officeDocument/2006/relationships/hyperlink" Target="https://www.interfax.ru/proizvodstvennyy-kalendar.html" TargetMode="External"/><Relationship Id="rId947" Type="http://schemas.openxmlformats.org/officeDocument/2006/relationships/hyperlink" Target="https://ria.ru/lenta/" TargetMode="External"/><Relationship Id="rId946" Type="http://schemas.openxmlformats.org/officeDocument/2006/relationships/hyperlink" Target="http://lenta.ru" TargetMode="External"/><Relationship Id="rId945" Type="http://schemas.openxmlformats.org/officeDocument/2006/relationships/hyperlink" Target="https://lenta.ru/" TargetMode="External"/><Relationship Id="rId944" Type="http://schemas.openxmlformats.org/officeDocument/2006/relationships/hyperlink" Target="https://ria.ru/" TargetMode="External"/><Relationship Id="rId1530" Type="http://schemas.openxmlformats.org/officeDocument/2006/relationships/hyperlink" Target="http://sbermobile.ru" TargetMode="External"/><Relationship Id="rId1531" Type="http://schemas.openxmlformats.org/officeDocument/2006/relationships/hyperlink" Target="https://www.banki.ru/banks/bank/sberbank/" TargetMode="External"/><Relationship Id="rId1521" Type="http://schemas.openxmlformats.org/officeDocument/2006/relationships/hyperlink" Target="http://vk.com" TargetMode="External"/><Relationship Id="rId1522" Type="http://schemas.openxmlformats.org/officeDocument/2006/relationships/hyperlink" Target="http://sbrf.ru" TargetMode="External"/><Relationship Id="rId1523" Type="http://schemas.openxmlformats.org/officeDocument/2006/relationships/hyperlink" Target="http://www.sbrf.ru/" TargetMode="External"/><Relationship Id="rId1524" Type="http://schemas.openxmlformats.org/officeDocument/2006/relationships/hyperlink" Target="https://www.facebook.com/sberbank/?locale=ru_RU" TargetMode="External"/><Relationship Id="rId1525" Type="http://schemas.openxmlformats.org/officeDocument/2006/relationships/hyperlink" Target="http://www.facebook.com" TargetMode="External"/><Relationship Id="rId1526" Type="http://schemas.openxmlformats.org/officeDocument/2006/relationships/hyperlink" Target="https://www.instagram.com/sberbank/" TargetMode="External"/><Relationship Id="rId1527" Type="http://schemas.openxmlformats.org/officeDocument/2006/relationships/hyperlink" Target="http://www.instagram.com" TargetMode="External"/><Relationship Id="rId1528" Type="http://schemas.openxmlformats.org/officeDocument/2006/relationships/hyperlink" Target="https://www.sberbank-ast.ru/" TargetMode="External"/><Relationship Id="rId1529" Type="http://schemas.openxmlformats.org/officeDocument/2006/relationships/hyperlink" Target="https://sbermobile.ru/" TargetMode="External"/><Relationship Id="rId939" Type="http://schemas.openxmlformats.org/officeDocument/2006/relationships/hyperlink" Target="http://mintrud.gov.ru" TargetMode="External"/><Relationship Id="rId938" Type="http://schemas.openxmlformats.org/officeDocument/2006/relationships/hyperlink" Target="https://mintrud.gov.ru/labour/70" TargetMode="External"/><Relationship Id="rId937" Type="http://schemas.openxmlformats.org/officeDocument/2006/relationships/hyperlink" Target="http://duma.gov.ru/news/55144/" TargetMode="External"/><Relationship Id="rId932" Type="http://schemas.openxmlformats.org/officeDocument/2006/relationships/hyperlink" Target="http://www.consultant.ru" TargetMode="External"/><Relationship Id="rId931" Type="http://schemas.openxmlformats.org/officeDocument/2006/relationships/hyperlink" Target="https://www.consultant.ru/law/ref/calendar/proizvodstvennye/2023/" TargetMode="External"/><Relationship Id="rId930" Type="http://schemas.openxmlformats.org/officeDocument/2006/relationships/hyperlink" Target="https://www.business-class.su/news/2023/04/25/dlinnye-vyhodnye-kak-otdyhaem-v-mae-i-iyune-2023-goda" TargetMode="External"/><Relationship Id="rId936" Type="http://schemas.openxmlformats.org/officeDocument/2006/relationships/hyperlink" Target="http://sutochno.ru" TargetMode="External"/><Relationship Id="rId935" Type="http://schemas.openxmlformats.org/officeDocument/2006/relationships/hyperlink" Target="https://sutochno.ru/info/may-v-rossii-sng" TargetMode="External"/><Relationship Id="rId934" Type="http://schemas.openxmlformats.org/officeDocument/2006/relationships/hyperlink" Target="http://iz.ru" TargetMode="External"/><Relationship Id="rId933" Type="http://schemas.openxmlformats.org/officeDocument/2006/relationships/hyperlink" Target="https://iz.ru/1355481/2022-06-27/mintrud-obiavil-daty-vykhodnykh-na-maiskie-prazdniki-v-2023-godu" TargetMode="External"/><Relationship Id="rId1520" Type="http://schemas.openxmlformats.org/officeDocument/2006/relationships/hyperlink" Target="https://vk.com/sber" TargetMode="External"/><Relationship Id="rId1554" Type="http://schemas.openxmlformats.org/officeDocument/2006/relationships/hyperlink" Target="https://online.sberbank.ru/" TargetMode="External"/><Relationship Id="rId1555" Type="http://schemas.openxmlformats.org/officeDocument/2006/relationships/hyperlink" Target="http://online.sberbank.ru" TargetMode="External"/><Relationship Id="rId1556" Type="http://schemas.openxmlformats.org/officeDocument/2006/relationships/hyperlink" Target="http://www.sberbank.ru/ru/person/dist_services/inner_sbol" TargetMode="External"/><Relationship Id="rId1557" Type="http://schemas.openxmlformats.org/officeDocument/2006/relationships/hyperlink" Target="http://www.sberbank.ru/ru/person" TargetMode="External"/><Relationship Id="rId1558" Type="http://schemas.openxmlformats.org/officeDocument/2006/relationships/hyperlink" Target="https://www.sber-bank.by/loginsbol" TargetMode="External"/><Relationship Id="rId1559" Type="http://schemas.openxmlformats.org/officeDocument/2006/relationships/hyperlink" Target="http://www.sber-bank.by" TargetMode="External"/><Relationship Id="rId965" Type="http://schemas.openxmlformats.org/officeDocument/2006/relationships/hyperlink" Target="https://iz.ru/news" TargetMode="External"/><Relationship Id="rId964" Type="http://schemas.openxmlformats.org/officeDocument/2006/relationships/hyperlink" Target="http://meduza.io" TargetMode="External"/><Relationship Id="rId963" Type="http://schemas.openxmlformats.org/officeDocument/2006/relationships/hyperlink" Target="https://meduza.io/" TargetMode="External"/><Relationship Id="rId962" Type="http://schemas.openxmlformats.org/officeDocument/2006/relationships/hyperlink" Target="http://news.google.com" TargetMode="External"/><Relationship Id="rId969" Type="http://schemas.openxmlformats.org/officeDocument/2006/relationships/hyperlink" Target="https://www.1tv.ru/news" TargetMode="External"/><Relationship Id="rId968" Type="http://schemas.openxmlformats.org/officeDocument/2006/relationships/hyperlink" Target="http://iz.ru" TargetMode="External"/><Relationship Id="rId967" Type="http://schemas.openxmlformats.org/officeDocument/2006/relationships/hyperlink" Target="https://iz.ru/" TargetMode="External"/><Relationship Id="rId966" Type="http://schemas.openxmlformats.org/officeDocument/2006/relationships/hyperlink" Target="http://iz.ru" TargetMode="External"/><Relationship Id="rId961" Type="http://schemas.openxmlformats.org/officeDocument/2006/relationships/hyperlink" Target="https://news.google.com/?hl=ru" TargetMode="External"/><Relationship Id="rId1550" Type="http://schemas.openxmlformats.org/officeDocument/2006/relationships/hyperlink" Target="https://books.google.com/books?id=F5cnCAAAQBAJ&amp;pg=PA37&amp;lpg=PA37&amp;dq=%D1%81%D0%B1%D0%B5%D1%80%D0%B1%D0%B0%D0%BD%D0%BA&amp;source=bl&amp;ots=v8rcTc_zAy&amp;sig=ACfU3U2q1gdEX9zumRNbA-QYiWST9aNCGg&amp;hl=ru&amp;sa=X&amp;ved=2ahUKEwiMwbbDpryCAxWWlIkEHWnwDAoQ6AF6BAhbEAM" TargetMode="External"/><Relationship Id="rId960" Type="http://schemas.openxmlformats.org/officeDocument/2006/relationships/hyperlink" Target="http://www.kommersant.ru" TargetMode="External"/><Relationship Id="rId1551" Type="http://schemas.openxmlformats.org/officeDocument/2006/relationships/hyperlink" Target="http://books.google.com" TargetMode="External"/><Relationship Id="rId1552" Type="http://schemas.openxmlformats.org/officeDocument/2006/relationships/hyperlink" Target="https://twitter.com/sberbank" TargetMode="External"/><Relationship Id="rId1553" Type="http://schemas.openxmlformats.org/officeDocument/2006/relationships/hyperlink" Target="http://twitter.com" TargetMode="External"/><Relationship Id="rId1543" Type="http://schemas.openxmlformats.org/officeDocument/2006/relationships/hyperlink" Target="https://www.banki.ru/banks/bank/sberbank/" TargetMode="External"/><Relationship Id="rId1544" Type="http://schemas.openxmlformats.org/officeDocument/2006/relationships/hyperlink" Target="https://vk.com/sber" TargetMode="External"/><Relationship Id="rId1545" Type="http://schemas.openxmlformats.org/officeDocument/2006/relationships/hyperlink" Target="http://vk.com" TargetMode="External"/><Relationship Id="rId1546" Type="http://schemas.openxmlformats.org/officeDocument/2006/relationships/hyperlink" Target="https://rabota.sber.ru/" TargetMode="External"/><Relationship Id="rId1547" Type="http://schemas.openxmlformats.org/officeDocument/2006/relationships/hyperlink" Target="http://rabota.sber.ru" TargetMode="External"/><Relationship Id="rId1548" Type="http://schemas.openxmlformats.org/officeDocument/2006/relationships/hyperlink" Target="https://sberbankins.ru/" TargetMode="External"/><Relationship Id="rId1549" Type="http://schemas.openxmlformats.org/officeDocument/2006/relationships/hyperlink" Target="https://sberbank-ast.ru/" TargetMode="External"/><Relationship Id="rId959" Type="http://schemas.openxmlformats.org/officeDocument/2006/relationships/hyperlink" Target="https://www.kommersant.ru/" TargetMode="External"/><Relationship Id="rId954" Type="http://schemas.openxmlformats.org/officeDocument/2006/relationships/hyperlink" Target="http://www.gazeta.ru" TargetMode="External"/><Relationship Id="rId953" Type="http://schemas.openxmlformats.org/officeDocument/2006/relationships/hyperlink" Target="https://www.gazeta.ru/" TargetMode="External"/><Relationship Id="rId952" Type="http://schemas.openxmlformats.org/officeDocument/2006/relationships/hyperlink" Target="http://www.interfax.ru" TargetMode="External"/><Relationship Id="rId951" Type="http://schemas.openxmlformats.org/officeDocument/2006/relationships/hyperlink" Target="https://www.interfax.ru/" TargetMode="External"/><Relationship Id="rId958" Type="http://schemas.openxmlformats.org/officeDocument/2006/relationships/hyperlink" Target="http://www.rg.ru" TargetMode="External"/><Relationship Id="rId957" Type="http://schemas.openxmlformats.org/officeDocument/2006/relationships/hyperlink" Target="https://www.rg.ru/news.html" TargetMode="External"/><Relationship Id="rId956" Type="http://schemas.openxmlformats.org/officeDocument/2006/relationships/hyperlink" Target="http://tass.ru" TargetMode="External"/><Relationship Id="rId955" Type="http://schemas.openxmlformats.org/officeDocument/2006/relationships/hyperlink" Target="https://tass.ru/" TargetMode="External"/><Relationship Id="rId950" Type="http://schemas.openxmlformats.org/officeDocument/2006/relationships/hyperlink" Target="http://news.mail.ru" TargetMode="External"/><Relationship Id="rId1540" Type="http://schemas.openxmlformats.org/officeDocument/2006/relationships/hyperlink" Target="http://books.google.com" TargetMode="External"/><Relationship Id="rId1541" Type="http://schemas.openxmlformats.org/officeDocument/2006/relationships/hyperlink" Target="https://ru.wikipedia.org/wiki/%D0%A1%D0%B1%D0%B5%D1%80%D0%B1%D0%B0%D0%BD%D0%BA_%D0%A0%D0%BE%D1%81%D1%81%D0%B8%D0%B8" TargetMode="External"/><Relationship Id="rId1542" Type="http://schemas.openxmlformats.org/officeDocument/2006/relationships/hyperlink" Target="http://ru.wikipedia.org" TargetMode="External"/><Relationship Id="rId590" Type="http://schemas.openxmlformats.org/officeDocument/2006/relationships/hyperlink" Target="https://gosuslugi.bashkortostan.ru/" TargetMode="External"/><Relationship Id="rId107" Type="http://schemas.openxmlformats.org/officeDocument/2006/relationships/hyperlink" Target="http://books.google.ru" TargetMode="External"/><Relationship Id="rId106" Type="http://schemas.openxmlformats.org/officeDocument/2006/relationships/hyperlink" Target="https://books.google.ru/books?id=YnmDDwAAQBAJ&amp;pg=PA2011&amp;lpg=PA2011&amp;dq=youtube&amp;source=bl&amp;ots=TkmbnD1Umk&amp;sig=ACfU3U29fZzHEYCkLXShwbQhIu6PLUehqQ&amp;hl=ru&amp;sa=X&amp;ved=2ahUKEwi3-s7Pqr2CAxVFlYkEHdSYDAsQ6AF6BAgxEAM" TargetMode="External"/><Relationship Id="rId105" Type="http://schemas.openxmlformats.org/officeDocument/2006/relationships/hyperlink" Target="http://books.google.ru" TargetMode="External"/><Relationship Id="rId589" Type="http://schemas.openxmlformats.org/officeDocument/2006/relationships/hyperlink" Target="http://rospatent.gov.ru" TargetMode="External"/><Relationship Id="rId104" Type="http://schemas.openxmlformats.org/officeDocument/2006/relationships/hyperlink" Target="https://books.google.ru/books?id=vsS_EAAAQBAJ&amp;pg=PT292&amp;lpg=PT292&amp;dq=youtube&amp;source=bl&amp;ots=WQHLXAoj-V&amp;sig=ACfU3U1Wfks5N7DmWNNuVSPSqaRskMo_gg&amp;hl=ru&amp;sa=X&amp;ved=2ahUKEwi3-s7Pqr2CAxVFlYkEHdSYDAsQ6AF6BAgyEAM" TargetMode="External"/><Relationship Id="rId588" Type="http://schemas.openxmlformats.org/officeDocument/2006/relationships/hyperlink" Target="https://rospatent.gov.ru/ru/stateservices" TargetMode="External"/><Relationship Id="rId109" Type="http://schemas.openxmlformats.org/officeDocument/2006/relationships/hyperlink" Target="https://books.google.ru/books?id=TENTDAAAQBAJ&amp;pg=PT235&amp;lpg=PT235&amp;dq=youtube&amp;source=bl&amp;ots=kj1XP-jK3W&amp;sig=ACfU3U0ruU0GBxsYF5qWK6wY6_W1xgOtqQ&amp;hl=ru&amp;sa=X&amp;ved=2ahUKEwi3-s7Pqr2CAxVFlYkEHdSYDAsQ6AF6BAgvEAM" TargetMode="External"/><Relationship Id="rId1170" Type="http://schemas.openxmlformats.org/officeDocument/2006/relationships/hyperlink" Target="https://alconost.com/ru/nitro" TargetMode="External"/><Relationship Id="rId108" Type="http://schemas.openxmlformats.org/officeDocument/2006/relationships/hyperlink" Target="https://ria.ru/20231111/youtube-1908793764.html" TargetMode="External"/><Relationship Id="rId1171" Type="http://schemas.openxmlformats.org/officeDocument/2006/relationships/hyperlink" Target="http://alconost.com" TargetMode="External"/><Relationship Id="rId583" Type="http://schemas.openxmlformats.org/officeDocument/2006/relationships/hyperlink" Target="http://26gosuslugi.ru" TargetMode="External"/><Relationship Id="rId1172" Type="http://schemas.openxmlformats.org/officeDocument/2006/relationships/hyperlink" Target="https://support.google.com/chrome/answer/173424?hl=ru&amp;co=GENIE.Platform%3DAndroid" TargetMode="External"/><Relationship Id="rId582" Type="http://schemas.openxmlformats.org/officeDocument/2006/relationships/hyperlink" Target="https://26gosuslugi.ru/" TargetMode="External"/><Relationship Id="rId1173" Type="http://schemas.openxmlformats.org/officeDocument/2006/relationships/hyperlink" Target="http://support.google.com" TargetMode="External"/><Relationship Id="rId581" Type="http://schemas.openxmlformats.org/officeDocument/2006/relationships/hyperlink" Target="http://uslugi.admtyumen.ru" TargetMode="External"/><Relationship Id="rId1174" Type="http://schemas.openxmlformats.org/officeDocument/2006/relationships/hyperlink" Target="https://www.un.org/dgacm/ru/content/translation" TargetMode="External"/><Relationship Id="rId580" Type="http://schemas.openxmlformats.org/officeDocument/2006/relationships/hyperlink" Target="https://uslugi.admtyumen.ru/" TargetMode="External"/><Relationship Id="rId1175" Type="http://schemas.openxmlformats.org/officeDocument/2006/relationships/hyperlink" Target="http://www.un.org" TargetMode="External"/><Relationship Id="rId103" Type="http://schemas.openxmlformats.org/officeDocument/2006/relationships/hyperlink" Target="https://www.rbc.ru/rbcfreenews/654f29799a794763fb726e29" TargetMode="External"/><Relationship Id="rId587" Type="http://schemas.openxmlformats.org/officeDocument/2006/relationships/hyperlink" Target="https://gosuslugi.pnzreg.ru/" TargetMode="External"/><Relationship Id="rId1176" Type="http://schemas.openxmlformats.org/officeDocument/2006/relationships/hyperlink" Target="https://dictionary.cambridge.org/ru/translate/" TargetMode="External"/><Relationship Id="rId102" Type="http://schemas.openxmlformats.org/officeDocument/2006/relationships/hyperlink" Target="http://www.vedomosti.ru" TargetMode="External"/><Relationship Id="rId586" Type="http://schemas.openxmlformats.org/officeDocument/2006/relationships/hyperlink" Target="https://www.gosuslugi71.ru/" TargetMode="External"/><Relationship Id="rId1177" Type="http://schemas.openxmlformats.org/officeDocument/2006/relationships/hyperlink" Target="http://dictionary.cambridge.org" TargetMode="External"/><Relationship Id="rId101" Type="http://schemas.openxmlformats.org/officeDocument/2006/relationships/hyperlink" Target="https://www.vedomosti.ru/media/news/2023/11/11/1005325-youtube-zablokiroval" TargetMode="External"/><Relationship Id="rId585" Type="http://schemas.openxmlformats.org/officeDocument/2006/relationships/hyperlink" Target="http://gosuslugi41.ru" TargetMode="External"/><Relationship Id="rId1178" Type="http://schemas.openxmlformats.org/officeDocument/2006/relationships/hyperlink" Target="https://translate.google.com/?hl=ru" TargetMode="External"/><Relationship Id="rId100" Type="http://schemas.openxmlformats.org/officeDocument/2006/relationships/hyperlink" Target="http://support.google.com" TargetMode="External"/><Relationship Id="rId584" Type="http://schemas.openxmlformats.org/officeDocument/2006/relationships/hyperlink" Target="https://gosuslugi41.ru/" TargetMode="External"/><Relationship Id="rId1179" Type="http://schemas.openxmlformats.org/officeDocument/2006/relationships/hyperlink" Target="http://translate.google.com" TargetMode="External"/><Relationship Id="rId1169" Type="http://schemas.openxmlformats.org/officeDocument/2006/relationships/hyperlink" Target="http://aws.amazon.com" TargetMode="External"/><Relationship Id="rId579" Type="http://schemas.openxmlformats.org/officeDocument/2006/relationships/hyperlink" Target="https://gu.spb.ru/" TargetMode="External"/><Relationship Id="rId578" Type="http://schemas.openxmlformats.org/officeDocument/2006/relationships/hyperlink" Target="http://ru.wikipedia.org" TargetMode="External"/><Relationship Id="rId577" Type="http://schemas.openxmlformats.org/officeDocument/2006/relationships/hyperlink" Target="https://ru.wikipedia.org/wiki/%D0%9F%D0%BE%D1%80%D1%82%D0%B0%D0%BB_%D0%B3%D0%BE%D1%81%D1%83%D0%B4%D0%B0%D1%80%D1%81%D1%82%D0%B2%D0%B5%D0%BD%D0%BD%D1%8B%D1%85_%D1%83%D1%81%D0%BB%D1%83%D0%B3_%D0%A0%D0%BE%D1%81%D1%81%D0%B8%D0%B9%D1%81%D0%BA%D0%BE%D0%B9_%D0%A4%D0%B5%D0%B4%D0%B5%D1%80%D0%B0%D1%86%D0%B8%D0%B8" TargetMode="External"/><Relationship Id="rId1160" Type="http://schemas.openxmlformats.org/officeDocument/2006/relationships/hyperlink" Target="http://apps.apple.com" TargetMode="External"/><Relationship Id="rId572" Type="http://schemas.openxmlformats.org/officeDocument/2006/relationships/hyperlink" Target="https://t.me/gosuslugi" TargetMode="External"/><Relationship Id="rId1161" Type="http://schemas.openxmlformats.org/officeDocument/2006/relationships/hyperlink" Target="https://ru.wikipedia.org/wiki/%D0%9F%D0%B5%D1%80%D0%B5%D0%B2%D0%BE%D0%B4" TargetMode="External"/><Relationship Id="rId571" Type="http://schemas.openxmlformats.org/officeDocument/2006/relationships/hyperlink" Target="http://apps.apple.com" TargetMode="External"/><Relationship Id="rId1162" Type="http://schemas.openxmlformats.org/officeDocument/2006/relationships/hyperlink" Target="http://ru.wikipedia.org" TargetMode="External"/><Relationship Id="rId570" Type="http://schemas.openxmlformats.org/officeDocument/2006/relationships/hyperlink" Target="https://apps.apple.com/ru/app/%D0%B3%D0%BE%D1%81%D1%83%D1%81%D0%BB%D1%83%D0%B3%D0%B8/id1367959794" TargetMode="External"/><Relationship Id="rId1163" Type="http://schemas.openxmlformats.org/officeDocument/2006/relationships/hyperlink" Target="https://www.babla.ru/%D1%80%D1%83%D1%81%D1%81%D0%BA%D0%B8%D0%B9-%D0%B0%D0%BD%D0%B3%D0%BB%D0%B8%D0%B9%D1%81%D0%BA%D0%B8%D0%B9/%D0%BF%D0%B5%D1%80%D0%B5%D0%B2%D0%BE%D0%B4" TargetMode="External"/><Relationship Id="rId1164" Type="http://schemas.openxmlformats.org/officeDocument/2006/relationships/hyperlink" Target="https://en.wiktionary.org/wiki/%D0%BF%D0%B5%D1%80%D0%B5%D0%B2%D0%BE%D0%B4" TargetMode="External"/><Relationship Id="rId576" Type="http://schemas.openxmlformats.org/officeDocument/2006/relationships/hyperlink" Target="https://uslugi.tatarstan.ru/" TargetMode="External"/><Relationship Id="rId1165" Type="http://schemas.openxmlformats.org/officeDocument/2006/relationships/hyperlink" Target="http://en.wiktionary.org" TargetMode="External"/><Relationship Id="rId575" Type="http://schemas.openxmlformats.org/officeDocument/2006/relationships/hyperlink" Target="https://uslugi.mosreg.ru/" TargetMode="External"/><Relationship Id="rId1166" Type="http://schemas.openxmlformats.org/officeDocument/2006/relationships/hyperlink" Target="https://www.linguee.com/russian-english/translation/%D0%BF%D0%B5%D1%80%D0%B5%D0%B2%D0%BE%D0%B4.html" TargetMode="External"/><Relationship Id="rId574" Type="http://schemas.openxmlformats.org/officeDocument/2006/relationships/hyperlink" Target="https://www.mos.ru/uslugi/" TargetMode="External"/><Relationship Id="rId1167" Type="http://schemas.openxmlformats.org/officeDocument/2006/relationships/hyperlink" Target="http://www.linguee.com" TargetMode="External"/><Relationship Id="rId573" Type="http://schemas.openxmlformats.org/officeDocument/2006/relationships/hyperlink" Target="http://t.me" TargetMode="External"/><Relationship Id="rId1168" Type="http://schemas.openxmlformats.org/officeDocument/2006/relationships/hyperlink" Target="https://aws.amazon.com/ru/translate/" TargetMode="External"/><Relationship Id="rId129" Type="http://schemas.openxmlformats.org/officeDocument/2006/relationships/hyperlink" Target="http://en.wikipedia.org" TargetMode="External"/><Relationship Id="rId128" Type="http://schemas.openxmlformats.org/officeDocument/2006/relationships/hyperlink" Target="https://en.wikipedia.org/wiki/YouTube" TargetMode="External"/><Relationship Id="rId127" Type="http://schemas.openxmlformats.org/officeDocument/2006/relationships/hyperlink" Target="http://www.youtube.com" TargetMode="External"/><Relationship Id="rId126" Type="http://schemas.openxmlformats.org/officeDocument/2006/relationships/hyperlink" Target="https://www.youtube.com/" TargetMode="External"/><Relationship Id="rId1190" Type="http://schemas.openxmlformats.org/officeDocument/2006/relationships/hyperlink" Target="http://ru.wikipedia.org" TargetMode="External"/><Relationship Id="rId1191" Type="http://schemas.openxmlformats.org/officeDocument/2006/relationships/hyperlink" Target="https://dictionary.cambridge.org/ru/translate/" TargetMode="External"/><Relationship Id="rId1192" Type="http://schemas.openxmlformats.org/officeDocument/2006/relationships/hyperlink" Target="http://dictionary.cambridge.org" TargetMode="External"/><Relationship Id="rId1193" Type="http://schemas.openxmlformats.org/officeDocument/2006/relationships/hyperlink" Target="https://www.translate.ru/%D0%BF%D0%B5%D1%80%D0%B5%D0%B2%D0%BE%D0%B4" TargetMode="External"/><Relationship Id="rId121" Type="http://schemas.openxmlformats.org/officeDocument/2006/relationships/hyperlink" Target="https://www.epravda.com.ua/rus/news/2023/11/7/706338/" TargetMode="External"/><Relationship Id="rId1194" Type="http://schemas.openxmlformats.org/officeDocument/2006/relationships/hyperlink" Target="http://www.translate.ru" TargetMode="External"/><Relationship Id="rId120" Type="http://schemas.openxmlformats.org/officeDocument/2006/relationships/hyperlink" Target="http://books.google.ru" TargetMode="External"/><Relationship Id="rId1195" Type="http://schemas.openxmlformats.org/officeDocument/2006/relationships/hyperlink" Target="https://apps.apple.com/ru/app/%D1%8F%D0%BD%D0%B4%D0%B5%D0%BA%D1%81-%D0%BF%D0%B5%D1%80%D0%B5%D0%B2%D0%BE%D0%B4%D1%87%D0%B8%D0%BA/id584291439" TargetMode="External"/><Relationship Id="rId1196" Type="http://schemas.openxmlformats.org/officeDocument/2006/relationships/hyperlink" Target="http://apps.apple.com" TargetMode="External"/><Relationship Id="rId1197" Type="http://schemas.openxmlformats.org/officeDocument/2006/relationships/hyperlink" Target="https://chrome.google.com/webstore/detail/google-translate/aapbdbdomjkkjkaonfhkkikfgjllcleb?hl=ru" TargetMode="External"/><Relationship Id="rId125" Type="http://schemas.openxmlformats.org/officeDocument/2006/relationships/hyperlink" Target="http://books.google.ru" TargetMode="External"/><Relationship Id="rId1198" Type="http://schemas.openxmlformats.org/officeDocument/2006/relationships/hyperlink" Target="http://chrome.google.com" TargetMode="External"/><Relationship Id="rId124" Type="http://schemas.openxmlformats.org/officeDocument/2006/relationships/hyperlink" Target="https://books.google.ru/books?id=Mj86AQAAMAAJ&amp;pg=RA31-PA27&amp;lpg=RA31-PA27&amp;dq=youtube&amp;source=bl&amp;ots=2AJHUblo31&amp;sig=ACfU3U3EJwoUJgDdcMCXPjOsHK9EInGD9Q&amp;hl=ru&amp;sa=X&amp;ved=2ahUKEwi3-s7Pqr2CAxVFlYkEHdSYDAsQ6AF6BAguEAM" TargetMode="External"/><Relationship Id="rId1199" Type="http://schemas.openxmlformats.org/officeDocument/2006/relationships/hyperlink" Target="https://www.ozon.ru/category/elektronnye-perevodchiki-i-slovari-1646/" TargetMode="External"/><Relationship Id="rId123" Type="http://schemas.openxmlformats.org/officeDocument/2006/relationships/hyperlink" Target="http://books.google.ru" TargetMode="External"/><Relationship Id="rId122" Type="http://schemas.openxmlformats.org/officeDocument/2006/relationships/hyperlink" Target="https://books.google.ru/books?id=xmpBAQAAMAAJ&amp;pg=PT112&amp;lpg=PT112&amp;dq=youtube&amp;source=bl&amp;ots=yviMQJ_D8s&amp;sig=ACfU3U3sEgjEG-FZcfWQDQBf7_DXq9Txgg&amp;hl=ru&amp;sa=X&amp;ved=2ahUKEwi3-s7Pqr2CAxVFlYkEHdSYDAsQ6AF6BAgwEAM" TargetMode="External"/><Relationship Id="rId118" Type="http://schemas.openxmlformats.org/officeDocument/2006/relationships/hyperlink" Target="http://books.google.ru" TargetMode="External"/><Relationship Id="rId117" Type="http://schemas.openxmlformats.org/officeDocument/2006/relationships/hyperlink" Target="https://books.google.ru/books?id=9NUXAQAAIAAJ&amp;pg=PA390-IA3&amp;lpg=PA390-IA3&amp;dq=youtube&amp;source=bl&amp;ots=rF1Kyt-gyk&amp;sig=ACfU3U3irsaPEnN2T25KeOeCL2W2Mw_TsQ&amp;hl=ru&amp;sa=X&amp;ved=2ahUKEwi3-s7Pqr2CAxVFlYkEHdSYDAsQ6AF6BAg3EAM" TargetMode="External"/><Relationship Id="rId116" Type="http://schemas.openxmlformats.org/officeDocument/2006/relationships/hyperlink" Target="http://tass.ru" TargetMode="External"/><Relationship Id="rId115" Type="http://schemas.openxmlformats.org/officeDocument/2006/relationships/hyperlink" Target="https://tass.ru/ekonomika/19255577" TargetMode="External"/><Relationship Id="rId599" Type="http://schemas.openxmlformats.org/officeDocument/2006/relationships/hyperlink" Target="https://eservice.gu.spb.ru/portalFront/resources/portal.html" TargetMode="External"/><Relationship Id="rId1180" Type="http://schemas.openxmlformats.org/officeDocument/2006/relationships/hyperlink" Target="https://translate.yandex.ru/" TargetMode="External"/><Relationship Id="rId1181" Type="http://schemas.openxmlformats.org/officeDocument/2006/relationships/hyperlink" Target="http://translate.yandex.ru" TargetMode="External"/><Relationship Id="rId119" Type="http://schemas.openxmlformats.org/officeDocument/2006/relationships/hyperlink" Target="https://books.google.ru/books?id=VyIZAAAAYAAJ&amp;pg=RA4-PA116&amp;lpg=RA4-PA116&amp;dq=youtube&amp;source=bl&amp;ots=awshVP0y90&amp;sig=ACfU3U3MF4KLOI7_nvNAI4S9xKtO7qJ5zg&amp;hl=ru&amp;sa=X&amp;ved=2ahUKEwi3-s7Pqr2CAxVFlYkEHdSYDAsQ6AF6BAgzEAM" TargetMode="External"/><Relationship Id="rId1182" Type="http://schemas.openxmlformats.org/officeDocument/2006/relationships/hyperlink" Target="https://www.deepl.com/ru/translator" TargetMode="External"/><Relationship Id="rId110" Type="http://schemas.openxmlformats.org/officeDocument/2006/relationships/hyperlink" Target="http://books.google.ru" TargetMode="External"/><Relationship Id="rId594" Type="http://schemas.openxmlformats.org/officeDocument/2006/relationships/hyperlink" Target="http://play.google.com" TargetMode="External"/><Relationship Id="rId1183" Type="http://schemas.openxmlformats.org/officeDocument/2006/relationships/hyperlink" Target="http://www.deepl.com" TargetMode="External"/><Relationship Id="rId593" Type="http://schemas.openxmlformats.org/officeDocument/2006/relationships/hyperlink" Target="https://play.google.com/store/apps/details?id=ru.rostel&amp;hl=ru&amp;gl=US" TargetMode="External"/><Relationship Id="rId1184" Type="http://schemas.openxmlformats.org/officeDocument/2006/relationships/hyperlink" Target="https://www.reverso.net/%D0%BF%D0%B5%D1%80%D0%B5%D0%B2%D0%BE%D0%B4-%D1%82%D0%B5%D0%BA%D1%81%D1%82%D0%B0" TargetMode="External"/><Relationship Id="rId592" Type="http://schemas.openxmlformats.org/officeDocument/2006/relationships/hyperlink" Target="http://cabinet.ruobr.ru" TargetMode="External"/><Relationship Id="rId1185" Type="http://schemas.openxmlformats.org/officeDocument/2006/relationships/hyperlink" Target="https://www.deepl.com/ru/translator-mobile/pt-BR/Opa!/en" TargetMode="External"/><Relationship Id="rId591" Type="http://schemas.openxmlformats.org/officeDocument/2006/relationships/hyperlink" Target="https://cabinet.ruobr.ru/" TargetMode="External"/><Relationship Id="rId1186" Type="http://schemas.openxmlformats.org/officeDocument/2006/relationships/hyperlink" Target="http://www.deepl.com" TargetMode="External"/><Relationship Id="rId114" Type="http://schemas.openxmlformats.org/officeDocument/2006/relationships/hyperlink" Target="http://www.kommersant.ru" TargetMode="External"/><Relationship Id="rId598" Type="http://schemas.openxmlformats.org/officeDocument/2006/relationships/hyperlink" Target="http://t.me" TargetMode="External"/><Relationship Id="rId1187" Type="http://schemas.openxmlformats.org/officeDocument/2006/relationships/hyperlink" Target="https://play.google.com/store/apps/details?id=ru.yandex.translate&amp;hl=ru&amp;gl=US" TargetMode="External"/><Relationship Id="rId113" Type="http://schemas.openxmlformats.org/officeDocument/2006/relationships/hyperlink" Target="https://www.kommersant.ru/doc/6335225" TargetMode="External"/><Relationship Id="rId597" Type="http://schemas.openxmlformats.org/officeDocument/2006/relationships/hyperlink" Target="https://t.me/s/gosuslugi" TargetMode="External"/><Relationship Id="rId1188" Type="http://schemas.openxmlformats.org/officeDocument/2006/relationships/hyperlink" Target="http://play.google.com" TargetMode="External"/><Relationship Id="rId112" Type="http://schemas.openxmlformats.org/officeDocument/2006/relationships/hyperlink" Target="http://autogrodno.by" TargetMode="External"/><Relationship Id="rId596" Type="http://schemas.openxmlformats.org/officeDocument/2006/relationships/hyperlink" Target="http://apps.apple.com" TargetMode="External"/><Relationship Id="rId1189" Type="http://schemas.openxmlformats.org/officeDocument/2006/relationships/hyperlink" Target="https://ru.wikipedia.org/wiki/%D0%9F%D0%B5%D1%80%D0%B5%D0%B2%D0%BE%D0%B4%D1%87%D0%B8%D0%BA" TargetMode="External"/><Relationship Id="rId111" Type="http://schemas.openxmlformats.org/officeDocument/2006/relationships/hyperlink" Target="https://autogrodno.by/news/30590-utrom-prosnulas-zvezdoj-youtube-konflikt-na-granice.html" TargetMode="External"/><Relationship Id="rId595" Type="http://schemas.openxmlformats.org/officeDocument/2006/relationships/hyperlink" Target="https://apps.apple.com/ru/app/%D0%B3%D0%BE%D1%81%D1%83%D1%81%D0%BB%D1%83%D0%B3%D0%B8-%D0%B4%D0%BE%D0%BC/id1616550510" TargetMode="External"/><Relationship Id="rId1136" Type="http://schemas.openxmlformats.org/officeDocument/2006/relationships/hyperlink" Target="http://tsn.ua" TargetMode="External"/><Relationship Id="rId1137" Type="http://schemas.openxmlformats.org/officeDocument/2006/relationships/hyperlink" Target="https://almaty.tv/news/obschestvo/1504-paskha-2023-kogda-i-kak-otmechayut-glavnyy-khristianskiy-prazdnik" TargetMode="External"/><Relationship Id="rId1138" Type="http://schemas.openxmlformats.org/officeDocument/2006/relationships/hyperlink" Target="https://spbvedomosti.ru/news/questions/kogda-otmechaetsya-pravoslavnaya-paskha-v-2021-godu6877/" TargetMode="External"/><Relationship Id="rId1139" Type="http://schemas.openxmlformats.org/officeDocument/2006/relationships/hyperlink" Target="https://www.eli.ru/articles/352/" TargetMode="External"/><Relationship Id="rId547" Type="http://schemas.openxmlformats.org/officeDocument/2006/relationships/hyperlink" Target="http://flowers.ua" TargetMode="External"/><Relationship Id="rId546" Type="http://schemas.openxmlformats.org/officeDocument/2006/relationships/hyperlink" Target="https://flowers.ua/ru/articles/gipsofila-vidy-posadka-razmnozhenie-i-uhod" TargetMode="External"/><Relationship Id="rId545" Type="http://schemas.openxmlformats.org/officeDocument/2006/relationships/hyperlink" Target="http://flawery.ru" TargetMode="External"/><Relationship Id="rId544" Type="http://schemas.openxmlformats.org/officeDocument/2006/relationships/hyperlink" Target="https://flawery.ru/moscow/bouquets/flowers-gipsofila/" TargetMode="External"/><Relationship Id="rId549" Type="http://schemas.openxmlformats.org/officeDocument/2006/relationships/hyperlink" Target="http://moreroz.by" TargetMode="External"/><Relationship Id="rId548" Type="http://schemas.openxmlformats.org/officeDocument/2006/relationships/hyperlink" Target="https://moreroz.by/product-category/flowers/bukety-iz-gipsofily/" TargetMode="External"/><Relationship Id="rId1130" Type="http://schemas.openxmlformats.org/officeDocument/2006/relationships/hyperlink" Target="https://www.pravmir.ru/pasha-v-2024-godu/" TargetMode="External"/><Relationship Id="rId1131" Type="http://schemas.openxmlformats.org/officeDocument/2006/relationships/hyperlink" Target="http://www.pravmir.ru" TargetMode="External"/><Relationship Id="rId543" Type="http://schemas.openxmlformats.org/officeDocument/2006/relationships/hyperlink" Target="https://flowwow.com/moscow/gipsofila-flowers/" TargetMode="External"/><Relationship Id="rId1132" Type="http://schemas.openxmlformats.org/officeDocument/2006/relationships/hyperlink" Target="https://1prof.by/news/stil-zhizni/kogda-v-2023-godu-hristiane-otprazdnuyut-pashu/" TargetMode="External"/><Relationship Id="rId542" Type="http://schemas.openxmlformats.org/officeDocument/2006/relationships/hyperlink" Target="http://market-flora.ru" TargetMode="External"/><Relationship Id="rId1133" Type="http://schemas.openxmlformats.org/officeDocument/2006/relationships/hyperlink" Target="http://1prof.by" TargetMode="External"/><Relationship Id="rId541" Type="http://schemas.openxmlformats.org/officeDocument/2006/relationships/hyperlink" Target="https://market-flora.ru/stati/gipsofila.html" TargetMode="External"/><Relationship Id="rId1134" Type="http://schemas.openxmlformats.org/officeDocument/2006/relationships/hyperlink" Target="https://novy.tv/ru/g-space/layfhaki/2023/04/16/kogda-pasha-2022-data-prazdnovanyya-v-ukrayne/" TargetMode="External"/><Relationship Id="rId540" Type="http://schemas.openxmlformats.org/officeDocument/2006/relationships/hyperlink" Target="http://www.prostocvet.ru" TargetMode="External"/><Relationship Id="rId1135" Type="http://schemas.openxmlformats.org/officeDocument/2006/relationships/hyperlink" Target="https://tsn.ua/ru/ukrayina/kogda-pasha-2023-goda-istoriya-i-tradicii-narodnye-primety-i-silnaya-molitva-2245162.html" TargetMode="External"/><Relationship Id="rId1125" Type="http://schemas.openxmlformats.org/officeDocument/2006/relationships/hyperlink" Target="http://news.vtomske.ru" TargetMode="External"/><Relationship Id="rId1126" Type="http://schemas.openxmlformats.org/officeDocument/2006/relationships/hyperlink" Target="https://www.tvtomsk.ru/news/75645-pravoslavnaja-pasha-2023-kakogo-chisla-projdet-kak-podgotovitsja.html" TargetMode="External"/><Relationship Id="rId1127" Type="http://schemas.openxmlformats.org/officeDocument/2006/relationships/hyperlink" Target="http://www.tvtomsk.ru" TargetMode="External"/><Relationship Id="rId1128" Type="http://schemas.openxmlformats.org/officeDocument/2006/relationships/hyperlink" Target="https://budilki.ru/timer/%D0%BF%D0%B0%D1%81%D1%85%D0%B0/2023/" TargetMode="External"/><Relationship Id="rId1129" Type="http://schemas.openxmlformats.org/officeDocument/2006/relationships/hyperlink" Target="http://budilki.ru" TargetMode="External"/><Relationship Id="rId536" Type="http://schemas.openxmlformats.org/officeDocument/2006/relationships/hyperlink" Target="http://rozavam.ru" TargetMode="External"/><Relationship Id="rId535" Type="http://schemas.openxmlformats.org/officeDocument/2006/relationships/hyperlink" Target="https://rozavam.ru/katalog-tovara/cvety/gipsofila/" TargetMode="External"/><Relationship Id="rId534" Type="http://schemas.openxmlformats.org/officeDocument/2006/relationships/hyperlink" Target="http://mybloom.ru" TargetMode="External"/><Relationship Id="rId533" Type="http://schemas.openxmlformats.org/officeDocument/2006/relationships/hyperlink" Target="https://mybloom.ru/catalog/tsvety/sukhotsvet/gipsofila/" TargetMode="External"/><Relationship Id="rId539" Type="http://schemas.openxmlformats.org/officeDocument/2006/relationships/hyperlink" Target="https://www.prostocvet.ru/catalog/bukety/gipsofila/" TargetMode="External"/><Relationship Id="rId538" Type="http://schemas.openxmlformats.org/officeDocument/2006/relationships/hyperlink" Target="http://florcat.ru" TargetMode="External"/><Relationship Id="rId537" Type="http://schemas.openxmlformats.org/officeDocument/2006/relationships/hyperlink" Target="https://florcat.ru/catalog/gipsofila/buket_iz_5_rozovykh_gipsofil/" TargetMode="External"/><Relationship Id="rId1120" Type="http://schemas.openxmlformats.org/officeDocument/2006/relationships/hyperlink" Target="https://ria.ru/20230327/paskha-1784063287.html" TargetMode="External"/><Relationship Id="rId532" Type="http://schemas.openxmlformats.org/officeDocument/2006/relationships/hyperlink" Target="https://cvetov.ru/grozny/catalog/bukety/192394/" TargetMode="External"/><Relationship Id="rId1121" Type="http://schemas.openxmlformats.org/officeDocument/2006/relationships/hyperlink" Target="https://www.kp.ru/family/prazdniki/paskha/" TargetMode="External"/><Relationship Id="rId531" Type="http://schemas.openxmlformats.org/officeDocument/2006/relationships/hyperlink" Target="http://venusinfleurs.ru" TargetMode="External"/><Relationship Id="rId1122" Type="http://schemas.openxmlformats.org/officeDocument/2006/relationships/hyperlink" Target="http://www.kp.ru" TargetMode="External"/><Relationship Id="rId530" Type="http://schemas.openxmlformats.org/officeDocument/2006/relationships/hyperlink" Target="https://venusinfleurs.ru/buket-iz-51-gipsofily/" TargetMode="External"/><Relationship Id="rId1123" Type="http://schemas.openxmlformats.org/officeDocument/2006/relationships/hyperlink" Target="https://vikna.tv/ru/styl-zhyttya/podorozhi/kogda-pasha-v-2023-godu-po-pravoslavnomu-i-katolicheskomu-kalendaryu/" TargetMode="External"/><Relationship Id="rId1124" Type="http://schemas.openxmlformats.org/officeDocument/2006/relationships/hyperlink" Target="https://news.vtomske.ru/news/197268-pasha-2023-tradicii-i-simvoly-glavnogo-hristianskogo-prazdnika" TargetMode="External"/><Relationship Id="rId1158" Type="http://schemas.openxmlformats.org/officeDocument/2006/relationships/hyperlink" Target="http://ru.pons.com" TargetMode="External"/><Relationship Id="rId1159" Type="http://schemas.openxmlformats.org/officeDocument/2006/relationships/hyperlink" Target="https://apps.apple.com/ru/app/google-%D0%BF%D0%B5%D1%80%D0%B5%D0%B2%D0%BE%D0%B4%D1%87%D0%B8%D0%BA/id414706506" TargetMode="External"/><Relationship Id="rId569" Type="http://schemas.openxmlformats.org/officeDocument/2006/relationships/hyperlink" Target="http://vk.com" TargetMode="External"/><Relationship Id="rId568" Type="http://schemas.openxmlformats.org/officeDocument/2006/relationships/hyperlink" Target="https://vk.com/gosuslugi" TargetMode="External"/><Relationship Id="rId567" Type="http://schemas.openxmlformats.org/officeDocument/2006/relationships/hyperlink" Target="http://play.google.com" TargetMode="External"/><Relationship Id="rId566" Type="http://schemas.openxmlformats.org/officeDocument/2006/relationships/hyperlink" Target="https://play.google.com/store/apps/details?id=ru.rostel&amp;hl=en_US" TargetMode="External"/><Relationship Id="rId561" Type="http://schemas.openxmlformats.org/officeDocument/2006/relationships/hyperlink" Target="http://bloomflowers.pl" TargetMode="External"/><Relationship Id="rId1150" Type="http://schemas.openxmlformats.org/officeDocument/2006/relationships/hyperlink" Target="http://www.deepl.com" TargetMode="External"/><Relationship Id="rId560" Type="http://schemas.openxmlformats.org/officeDocument/2006/relationships/hyperlink" Target="https://bloomflowers.pl/produkt/bukiet-gipsowki/?lang=ru" TargetMode="External"/><Relationship Id="rId1151" Type="http://schemas.openxmlformats.org/officeDocument/2006/relationships/hyperlink" Target="https://www.reverso.net/%D0%BF%D0%B5%D1%80%D0%B5%D0%B2%D0%BE%D0%B4-%D1%82%D0%B5%D0%BA%D1%81%D1%82%D0%B0" TargetMode="External"/><Relationship Id="rId1152" Type="http://schemas.openxmlformats.org/officeDocument/2006/relationships/hyperlink" Target="https://context.reverso.net/%D0%BF%D0%B5%D1%80%D0%B5%D0%B2%D0%BE%D0%B4/%D1%80%D1%83%D1%81%D1%81%D0%BA%D0%B8%D0%B9-%D0%B0%D0%BD%D0%B3%D0%BB%D0%B8%D0%B9%D1%81%D0%BA%D0%B8%D0%B9/" TargetMode="External"/><Relationship Id="rId1153" Type="http://schemas.openxmlformats.org/officeDocument/2006/relationships/hyperlink" Target="https://www.translate.ru/%D0%BF%D0%B5%D1%80%D0%B5%D0%B2%D0%BE%D0%B4" TargetMode="External"/><Relationship Id="rId565" Type="http://schemas.openxmlformats.org/officeDocument/2006/relationships/hyperlink" Target="http://www.gosuslugi.ru" TargetMode="External"/><Relationship Id="rId1154" Type="http://schemas.openxmlformats.org/officeDocument/2006/relationships/hyperlink" Target="http://www.translate.ru" TargetMode="External"/><Relationship Id="rId564" Type="http://schemas.openxmlformats.org/officeDocument/2006/relationships/hyperlink" Target="https://www.gosuslugi.ru/" TargetMode="External"/><Relationship Id="rId1155" Type="http://schemas.openxmlformats.org/officeDocument/2006/relationships/hyperlink" Target="https://play.google.com/store/apps/details?id=com.google.android.apps.translate&amp;hl=ru&amp;gl=US" TargetMode="External"/><Relationship Id="rId563" Type="http://schemas.openxmlformats.org/officeDocument/2006/relationships/hyperlink" Target="http://kvitna.ua" TargetMode="External"/><Relationship Id="rId1156" Type="http://schemas.openxmlformats.org/officeDocument/2006/relationships/hyperlink" Target="http://play.google.com" TargetMode="External"/><Relationship Id="rId562" Type="http://schemas.openxmlformats.org/officeDocument/2006/relationships/hyperlink" Target="https://kvitna.ua/collection/all/gypsophila?lang=ru" TargetMode="External"/><Relationship Id="rId1157" Type="http://schemas.openxmlformats.org/officeDocument/2006/relationships/hyperlink" Target="https://ru.pons.com/%D0%BF%D0%B5%D1%80%D0%B5%D0%B2%D0%BE%D0%B4-%D1%82%D0%B5%D0%BA%D1%81%D1%82%D0%B0" TargetMode="External"/><Relationship Id="rId1147" Type="http://schemas.openxmlformats.org/officeDocument/2006/relationships/hyperlink" Target="https://translate.yandex.ru/" TargetMode="External"/><Relationship Id="rId1148" Type="http://schemas.openxmlformats.org/officeDocument/2006/relationships/hyperlink" Target="http://translate.yandex.ru" TargetMode="External"/><Relationship Id="rId1149" Type="http://schemas.openxmlformats.org/officeDocument/2006/relationships/hyperlink" Target="https://www.deepl.com/ru/translator" TargetMode="External"/><Relationship Id="rId558" Type="http://schemas.openxmlformats.org/officeDocument/2006/relationships/hyperlink" Target="https://dolinaroz.by/catalog/bukety-cvetov/bukety-iz-gipsofily" TargetMode="External"/><Relationship Id="rId557" Type="http://schemas.openxmlformats.org/officeDocument/2006/relationships/hyperlink" Target="http://www.grand-kapriz.ru" TargetMode="External"/><Relationship Id="rId556" Type="http://schemas.openxmlformats.org/officeDocument/2006/relationships/hyperlink" Target="https://www.grand-kapriz.ru/product/buket-iz-gipsofily-oblachko" TargetMode="External"/><Relationship Id="rId555" Type="http://schemas.openxmlformats.org/officeDocument/2006/relationships/hyperlink" Target="http://flowersvalley.ru" TargetMode="External"/><Relationship Id="rId559" Type="http://schemas.openxmlformats.org/officeDocument/2006/relationships/hyperlink" Target="http://dolinaroz.by" TargetMode="External"/><Relationship Id="rId550" Type="http://schemas.openxmlformats.org/officeDocument/2006/relationships/hyperlink" Target="https://vk.com/@cvetypodarki_spb-preimuschestva-i-nedostatki-kompozicii-iz-gipsofily" TargetMode="External"/><Relationship Id="rId1140" Type="http://schemas.openxmlformats.org/officeDocument/2006/relationships/hyperlink" Target="http://www.eli.ru" TargetMode="External"/><Relationship Id="rId1141" Type="http://schemas.openxmlformats.org/officeDocument/2006/relationships/hyperlink" Target="https://kalendar.pp.ua/ru/easter-2023.html" TargetMode="External"/><Relationship Id="rId1142" Type="http://schemas.openxmlformats.org/officeDocument/2006/relationships/hyperlink" Target="http://kalendar.pp.ua" TargetMode="External"/><Relationship Id="rId554" Type="http://schemas.openxmlformats.org/officeDocument/2006/relationships/hyperlink" Target="https://flowersvalley.ru/blog/cvetochnoe-vdohnovenie/cvetnaya-gipsofila-trend-2021-goda" TargetMode="External"/><Relationship Id="rId1143" Type="http://schemas.openxmlformats.org/officeDocument/2006/relationships/hyperlink" Target="https://1plus1.ua/ru/novyny/koli-velikden-2023-data-tradicii-i-prikmeti" TargetMode="External"/><Relationship Id="rId553" Type="http://schemas.openxmlformats.org/officeDocument/2006/relationships/hyperlink" Target="http://magicalflower.ru" TargetMode="External"/><Relationship Id="rId1144" Type="http://schemas.openxmlformats.org/officeDocument/2006/relationships/hyperlink" Target="http://1plus1.ua" TargetMode="External"/><Relationship Id="rId552" Type="http://schemas.openxmlformats.org/officeDocument/2006/relationships/hyperlink" Target="https://magicalflower.ru/tsvety/gipsofila/raznocvetnye-gipsofily/" TargetMode="External"/><Relationship Id="rId1145" Type="http://schemas.openxmlformats.org/officeDocument/2006/relationships/hyperlink" Target="https://translate.google.com/?hl=ru" TargetMode="External"/><Relationship Id="rId551" Type="http://schemas.openxmlformats.org/officeDocument/2006/relationships/hyperlink" Target="http://vk.com" TargetMode="External"/><Relationship Id="rId1146" Type="http://schemas.openxmlformats.org/officeDocument/2006/relationships/hyperlink" Target="http://translate.google.com" TargetMode="External"/><Relationship Id="rId495" Type="http://schemas.openxmlformats.org/officeDocument/2006/relationships/hyperlink" Target="http://kzgdz.com" TargetMode="External"/><Relationship Id="rId494" Type="http://schemas.openxmlformats.org/officeDocument/2006/relationships/hyperlink" Target="https://kzgdz.com/" TargetMode="External"/><Relationship Id="rId493" Type="http://schemas.openxmlformats.org/officeDocument/2006/relationships/hyperlink" Target="https://gdz-putina.info/" TargetMode="External"/><Relationship Id="rId492" Type="http://schemas.openxmlformats.org/officeDocument/2006/relationships/hyperlink" Target="http://megashpora.com" TargetMode="External"/><Relationship Id="rId499" Type="http://schemas.openxmlformats.org/officeDocument/2006/relationships/hyperlink" Target="https://play.google.com/store/apps/details?id=com.gdzme&amp;hl=ru&amp;gl=US" TargetMode="External"/><Relationship Id="rId498" Type="http://schemas.openxmlformats.org/officeDocument/2006/relationships/hyperlink" Target="https://shkola.obozrevatel.com/gdz/" TargetMode="External"/><Relationship Id="rId497" Type="http://schemas.openxmlformats.org/officeDocument/2006/relationships/hyperlink" Target="https://resheba.top/" TargetMode="External"/><Relationship Id="rId496" Type="http://schemas.openxmlformats.org/officeDocument/2006/relationships/hyperlink" Target="https://gdz.red/" TargetMode="External"/><Relationship Id="rId1610" Type="http://schemas.openxmlformats.org/officeDocument/2006/relationships/hyperlink" Target="http://sgo.tvobr.ru" TargetMode="External"/><Relationship Id="rId1611" Type="http://schemas.openxmlformats.org/officeDocument/2006/relationships/hyperlink" Target="https://sgo.edu-74.ru/" TargetMode="External"/><Relationship Id="rId1612" Type="http://schemas.openxmlformats.org/officeDocument/2006/relationships/hyperlink" Target="http://sgo.edu-74.ru" TargetMode="External"/><Relationship Id="rId1613" Type="http://schemas.openxmlformats.org/officeDocument/2006/relationships/hyperlink" Target="https://sgo.mari-el.gov.ru/" TargetMode="External"/><Relationship Id="rId1614" Type="http://schemas.openxmlformats.org/officeDocument/2006/relationships/hyperlink" Target="http://sgo.mari-el.gov.ru" TargetMode="External"/><Relationship Id="rId1615" Type="http://schemas.openxmlformats.org/officeDocument/2006/relationships/hyperlink" Target="https://netcity.admsakhalin.ru:11111/" TargetMode="External"/><Relationship Id="rId1616" Type="http://schemas.openxmlformats.org/officeDocument/2006/relationships/hyperlink" Target="https://sgo.egov66.ru/" TargetMode="External"/><Relationship Id="rId907" Type="http://schemas.openxmlformats.org/officeDocument/2006/relationships/hyperlink" Target="https://www.dailymail.co.uk/home/index.html" TargetMode="External"/><Relationship Id="rId1617" Type="http://schemas.openxmlformats.org/officeDocument/2006/relationships/hyperlink" Target="https://netschool.edu22.info/" TargetMode="External"/><Relationship Id="rId906" Type="http://schemas.openxmlformats.org/officeDocument/2006/relationships/hyperlink" Target="http://www.mail-tester.com" TargetMode="External"/><Relationship Id="rId1618" Type="http://schemas.openxmlformats.org/officeDocument/2006/relationships/hyperlink" Target="http://netschool.edu22.info" TargetMode="External"/><Relationship Id="rId905" Type="http://schemas.openxmlformats.org/officeDocument/2006/relationships/hyperlink" Target="https://www.mail-tester.com/" TargetMode="External"/><Relationship Id="rId1619" Type="http://schemas.openxmlformats.org/officeDocument/2006/relationships/hyperlink" Target="https://sgo.prim-edu.ru/" TargetMode="External"/><Relationship Id="rId904" Type="http://schemas.openxmlformats.org/officeDocument/2006/relationships/hyperlink" Target="http://ru.wikipedia.org" TargetMode="External"/><Relationship Id="rId909" Type="http://schemas.openxmlformats.org/officeDocument/2006/relationships/hyperlink" Target="https://vk.com/mailru" TargetMode="External"/><Relationship Id="rId908" Type="http://schemas.openxmlformats.org/officeDocument/2006/relationships/hyperlink" Target="http://www.dailymail.co.uk" TargetMode="External"/><Relationship Id="rId903" Type="http://schemas.openxmlformats.org/officeDocument/2006/relationships/hyperlink" Target="https://ru.wikipedia.org/wiki/Mail.ru" TargetMode="External"/><Relationship Id="rId902" Type="http://schemas.openxmlformats.org/officeDocument/2006/relationships/hyperlink" Target="http://www.zoho.com" TargetMode="External"/><Relationship Id="rId901" Type="http://schemas.openxmlformats.org/officeDocument/2006/relationships/hyperlink" Target="https://www.zoho.com/mail/" TargetMode="External"/><Relationship Id="rId900" Type="http://schemas.openxmlformats.org/officeDocument/2006/relationships/hyperlink" Target="http://www.icloud.com" TargetMode="External"/><Relationship Id="rId1600" Type="http://schemas.openxmlformats.org/officeDocument/2006/relationships/hyperlink" Target="http://region.zabedu.ru" TargetMode="External"/><Relationship Id="rId1601" Type="http://schemas.openxmlformats.org/officeDocument/2006/relationships/hyperlink" Target="https://www.sgo41.ru/" TargetMode="External"/><Relationship Id="rId1602" Type="http://schemas.openxmlformats.org/officeDocument/2006/relationships/hyperlink" Target="http://www.sgo41.ru" TargetMode="External"/><Relationship Id="rId1603" Type="http://schemas.openxmlformats.org/officeDocument/2006/relationships/hyperlink" Target="https://net-school.cap.ru/" TargetMode="External"/><Relationship Id="rId1604" Type="http://schemas.openxmlformats.org/officeDocument/2006/relationships/hyperlink" Target="http://net-school.cap.ru" TargetMode="External"/><Relationship Id="rId1605" Type="http://schemas.openxmlformats.org/officeDocument/2006/relationships/hyperlink" Target="https://sgo.yanao.ru/" TargetMode="External"/><Relationship Id="rId1606" Type="http://schemas.openxmlformats.org/officeDocument/2006/relationships/hyperlink" Target="https://sgo.rso23.ru/" TargetMode="External"/><Relationship Id="rId1607" Type="http://schemas.openxmlformats.org/officeDocument/2006/relationships/hyperlink" Target="http://sgo.rso23.ru" TargetMode="External"/><Relationship Id="rId1608" Type="http://schemas.openxmlformats.org/officeDocument/2006/relationships/hyperlink" Target="https://sgo.volganet.ru/" TargetMode="External"/><Relationship Id="rId1609" Type="http://schemas.openxmlformats.org/officeDocument/2006/relationships/hyperlink" Target="https://sgo.tvobr.ru/" TargetMode="External"/><Relationship Id="rId1631" Type="http://schemas.openxmlformats.org/officeDocument/2006/relationships/hyperlink" Target="https://sgo.tomedu.ru/" TargetMode="External"/><Relationship Id="rId1632" Type="http://schemas.openxmlformats.org/officeDocument/2006/relationships/hyperlink" Target="http://sgo.tomedu.ru" TargetMode="External"/><Relationship Id="rId1633" Type="http://schemas.openxmlformats.org/officeDocument/2006/relationships/hyperlink" Target="https://edu.admoblkaluga.ru:444/about.html" TargetMode="External"/><Relationship Id="rId1634" Type="http://schemas.openxmlformats.org/officeDocument/2006/relationships/hyperlink" Target="https://netcity.admsakhalin.ru:11111/about.html" TargetMode="External"/><Relationship Id="rId1635" Type="http://schemas.openxmlformats.org/officeDocument/2006/relationships/hyperlink" Target="https://netschool.eduportal44.ru/about.html" TargetMode="External"/><Relationship Id="rId1636" Type="http://schemas.openxmlformats.org/officeDocument/2006/relationships/hyperlink" Target="http://netschool.eduportal44.ru" TargetMode="External"/><Relationship Id="rId1637" Type="http://schemas.openxmlformats.org/officeDocument/2006/relationships/hyperlink" Target="https://region.obramur.ru/" TargetMode="External"/><Relationship Id="rId1638" Type="http://schemas.openxmlformats.org/officeDocument/2006/relationships/hyperlink" Target="https://web.telegram.org/" TargetMode="External"/><Relationship Id="rId929" Type="http://schemas.openxmlformats.org/officeDocument/2006/relationships/hyperlink" Target="http://its.1c.ru" TargetMode="External"/><Relationship Id="rId1639" Type="http://schemas.openxmlformats.org/officeDocument/2006/relationships/hyperlink" Target="http://web.telegram.org" TargetMode="External"/><Relationship Id="rId928" Type="http://schemas.openxmlformats.org/officeDocument/2006/relationships/hyperlink" Target="https://its.1c.ru/db/answersstaff/content/4749/hdoc" TargetMode="External"/><Relationship Id="rId927" Type="http://schemas.openxmlformats.org/officeDocument/2006/relationships/hyperlink" Target="http://www.sravni.ru" TargetMode="External"/><Relationship Id="rId926" Type="http://schemas.openxmlformats.org/officeDocument/2006/relationships/hyperlink" Target="https://www.sravni.ru/text/kak-otdyhaem-na-majskie-prazdniki-v-2023-godu/" TargetMode="External"/><Relationship Id="rId921" Type="http://schemas.openxmlformats.org/officeDocument/2006/relationships/hyperlink" Target="http://www.garant.ru" TargetMode="External"/><Relationship Id="rId920" Type="http://schemas.openxmlformats.org/officeDocument/2006/relationships/hyperlink" Target="https://www.garant.ru/news/1621587/" TargetMode="External"/><Relationship Id="rId925" Type="http://schemas.openxmlformats.org/officeDocument/2006/relationships/hyperlink" Target="http://ufacity.info" TargetMode="External"/><Relationship Id="rId924" Type="http://schemas.openxmlformats.org/officeDocument/2006/relationships/hyperlink" Target="https://ufacity.info/press/news/481326.html" TargetMode="External"/><Relationship Id="rId923" Type="http://schemas.openxmlformats.org/officeDocument/2006/relationships/hyperlink" Target="http://artist.ru" TargetMode="External"/><Relationship Id="rId922" Type="http://schemas.openxmlformats.org/officeDocument/2006/relationships/hyperlink" Target="https://artist.ru/prazdniki/majskie-prazdniki/" TargetMode="External"/><Relationship Id="rId1630" Type="http://schemas.openxmlformats.org/officeDocument/2006/relationships/hyperlink" Target="https://sgo.volganet.ru/about.html" TargetMode="External"/><Relationship Id="rId1620" Type="http://schemas.openxmlformats.org/officeDocument/2006/relationships/hyperlink" Target="https://sgo.e-mordovia.ru/" TargetMode="External"/><Relationship Id="rId1621" Type="http://schemas.openxmlformats.org/officeDocument/2006/relationships/hyperlink" Target="http://sgo.e-mordovia.ru" TargetMode="External"/><Relationship Id="rId1622" Type="http://schemas.openxmlformats.org/officeDocument/2006/relationships/hyperlink" Target="https://edu.admoblkaluga.ru:444/" TargetMode="External"/><Relationship Id="rId1623" Type="http://schemas.openxmlformats.org/officeDocument/2006/relationships/hyperlink" Target="https://sgo.e-yakutia.ru/" TargetMode="External"/><Relationship Id="rId1624" Type="http://schemas.openxmlformats.org/officeDocument/2006/relationships/hyperlink" Target="http://sgo.e-yakutia.ru" TargetMode="External"/><Relationship Id="rId1625" Type="http://schemas.openxmlformats.org/officeDocument/2006/relationships/hyperlink" Target="https://sgo.edu71.ru/" TargetMode="External"/><Relationship Id="rId1626" Type="http://schemas.openxmlformats.org/officeDocument/2006/relationships/hyperlink" Target="https://giseo.rkomi.ru/about.html" TargetMode="External"/><Relationship Id="rId1627" Type="http://schemas.openxmlformats.org/officeDocument/2006/relationships/hyperlink" Target="http://schoolroo.ru/" TargetMode="External"/><Relationship Id="rId918" Type="http://schemas.openxmlformats.org/officeDocument/2006/relationships/hyperlink" Target="https://www.infullbroker.ru/articles/mayskiye-prazdniki-2023/" TargetMode="External"/><Relationship Id="rId1628" Type="http://schemas.openxmlformats.org/officeDocument/2006/relationships/hyperlink" Target="https://region.zabedu.ru/" TargetMode="External"/><Relationship Id="rId917" Type="http://schemas.openxmlformats.org/officeDocument/2006/relationships/hyperlink" Target="http://skillbox.ru" TargetMode="External"/><Relationship Id="rId1629" Type="http://schemas.openxmlformats.org/officeDocument/2006/relationships/hyperlink" Target="http://region.zabedu.ru" TargetMode="External"/><Relationship Id="rId916" Type="http://schemas.openxmlformats.org/officeDocument/2006/relationships/hyperlink" Target="https://skillbox.ru/media/management/ofitsialnye-mayskie-vykhodnye-v-2023-godu-spisok-nerabochikh-dney-i-sovety-yurista/" TargetMode="External"/><Relationship Id="rId915" Type="http://schemas.openxmlformats.org/officeDocument/2006/relationships/hyperlink" Target="https://www.mos.ru/otvet-rabota/kakie-dni-v-2023-godu-nerabochie/" TargetMode="External"/><Relationship Id="rId919" Type="http://schemas.openxmlformats.org/officeDocument/2006/relationships/hyperlink" Target="http://www.infullbroker.ru" TargetMode="External"/><Relationship Id="rId910" Type="http://schemas.openxmlformats.org/officeDocument/2006/relationships/hyperlink" Target="http://vk.com" TargetMode="External"/><Relationship Id="rId914" Type="http://schemas.openxmlformats.org/officeDocument/2006/relationships/hyperlink" Target="https://xn--h1alcedd.xn--d1aqf.xn--p1ai/news/kak-otdykhaem-v-2023-godu-mayskie-prazdniki-i-drugie-dlinnye-vykhodnye/" TargetMode="External"/><Relationship Id="rId913" Type="http://schemas.openxmlformats.org/officeDocument/2006/relationships/hyperlink" Target="https://ria.ru/20230413/may-1855644309.html" TargetMode="External"/><Relationship Id="rId912" Type="http://schemas.openxmlformats.org/officeDocument/2006/relationships/hyperlink" Target="https://www.rbc.ru/life/news/63ff0b8f9a79474eebf84e1c" TargetMode="External"/><Relationship Id="rId911" Type="http://schemas.openxmlformats.org/officeDocument/2006/relationships/hyperlink" Target="https://www.fastmail.com/" TargetMode="External"/><Relationship Id="rId1213" Type="http://schemas.openxmlformats.org/officeDocument/2006/relationships/hyperlink" Target="http://www.microsoft.com" TargetMode="External"/><Relationship Id="rId1697" Type="http://schemas.openxmlformats.org/officeDocument/2006/relationships/hyperlink" Target="https://premier.one/show/cheburashka-2023" TargetMode="External"/><Relationship Id="rId1214" Type="http://schemas.openxmlformats.org/officeDocument/2006/relationships/hyperlink" Target="https://books.google.ru/books?id=5yQ0EAAAQBAJ&amp;pg=PT23&amp;lpg=PT23&amp;dq=%D0%BF%D0%B5%D1%80%D0%B5%D0%B2%D0%BE%D0%B4%D1%87%D0%B8%D0%BA&amp;source=bl&amp;ots=oPMCyVf0Rv&amp;sig=ACfU3U0beAAkFqdbWDplYGRWeV4-OWaqzg&amp;hl=ru&amp;sa=X&amp;ved=2ahUKEwjP9qymqL2CAxVAHTQIHfCWC88Q6AF6BAguEAM" TargetMode="External"/><Relationship Id="rId1698" Type="http://schemas.openxmlformats.org/officeDocument/2006/relationships/hyperlink" Target="https://www.imdb.com/title/tt16550628/" TargetMode="External"/><Relationship Id="rId1215" Type="http://schemas.openxmlformats.org/officeDocument/2006/relationships/hyperlink" Target="http://books.google.ru" TargetMode="External"/><Relationship Id="rId1699" Type="http://schemas.openxmlformats.org/officeDocument/2006/relationships/hyperlink" Target="http://www.imdb.com" TargetMode="External"/><Relationship Id="rId1216" Type="http://schemas.openxmlformats.org/officeDocument/2006/relationships/hyperlink" Target="https://books.google.ru/books?id=exR9DwAAQBAJ&amp;pg=PT297&amp;lpg=PT297&amp;dq=%D0%BF%D0%B5%D1%80%D0%B5%D0%B2%D0%BE%D0%B4%D1%87%D0%B8%D0%BA&amp;source=bl&amp;ots=CAoeod5882&amp;sig=ACfU3U1dANzPnft0r0H48gM1YsTdA4ANBw&amp;hl=ru&amp;sa=X&amp;ved=2ahUKEwjP9qymqL2CAxVAHTQIHfCWC88Q6AF6BAhCEAM" TargetMode="External"/><Relationship Id="rId1217" Type="http://schemas.openxmlformats.org/officeDocument/2006/relationships/hyperlink" Target="http://books.google.ru" TargetMode="External"/><Relationship Id="rId1218" Type="http://schemas.openxmlformats.org/officeDocument/2006/relationships/hyperlink" Target="https://www.deepl.com/ru/translator-mobile" TargetMode="External"/><Relationship Id="rId1219" Type="http://schemas.openxmlformats.org/officeDocument/2006/relationships/hyperlink" Target="http://www.deepl.com" TargetMode="External"/><Relationship Id="rId866" Type="http://schemas.openxmlformats.org/officeDocument/2006/relationships/hyperlink" Target="http://www.tinkoff.ru" TargetMode="External"/><Relationship Id="rId865" Type="http://schemas.openxmlformats.org/officeDocument/2006/relationships/hyperlink" Target="https://www.tinkoff.ru/invest/currencies/USDRUB/" TargetMode="External"/><Relationship Id="rId864" Type="http://schemas.openxmlformats.org/officeDocument/2006/relationships/hyperlink" Target="https://www.finam.ru/quote/forex/usdrub/" TargetMode="External"/><Relationship Id="rId863" Type="http://schemas.openxmlformats.org/officeDocument/2006/relationships/hyperlink" Target="http://www.sberometer.ru" TargetMode="External"/><Relationship Id="rId869" Type="http://schemas.openxmlformats.org/officeDocument/2006/relationships/hyperlink" Target="https://www.moex.com/ru/issue/USD000UTSTOM/CETS" TargetMode="External"/><Relationship Id="rId868" Type="http://schemas.openxmlformats.org/officeDocument/2006/relationships/hyperlink" Target="http://tass.ru" TargetMode="External"/><Relationship Id="rId867" Type="http://schemas.openxmlformats.org/officeDocument/2006/relationships/hyperlink" Target="https://tass.ru/ekonomika/19254905" TargetMode="External"/><Relationship Id="rId1690" Type="http://schemas.openxmlformats.org/officeDocument/2006/relationships/hyperlink" Target="http://soyuzmultfilm.fandom.com" TargetMode="External"/><Relationship Id="rId1691" Type="http://schemas.openxmlformats.org/officeDocument/2006/relationships/hyperlink" Target="https://www.ivi.ru/watch/121614" TargetMode="External"/><Relationship Id="rId1692" Type="http://schemas.openxmlformats.org/officeDocument/2006/relationships/hyperlink" Target="http://www.ivi.ru" TargetMode="External"/><Relationship Id="rId862" Type="http://schemas.openxmlformats.org/officeDocument/2006/relationships/hyperlink" Target="https://www.sberometer.ru/" TargetMode="External"/><Relationship Id="rId1693" Type="http://schemas.openxmlformats.org/officeDocument/2006/relationships/hyperlink" Target="https://www.amazon.com/cheburashka/s?k=cheburashka" TargetMode="External"/><Relationship Id="rId861" Type="http://schemas.openxmlformats.org/officeDocument/2006/relationships/hyperlink" Target="http://myfin.by" TargetMode="External"/><Relationship Id="rId1210" Type="http://schemas.openxmlformats.org/officeDocument/2006/relationships/hyperlink" Target="https://www.babla.ru/%D1%80%D1%83%D1%81%D1%81%D0%BA%D0%B8%D0%B9-%D0%B0%D0%BD%D0%B3%D0%BB%D0%B8%D0%B9%D1%81%D0%BA%D0%B8%D0%B9/%D0%BF%D0%B5%D1%80%D0%B5%D0%B2%D0%BE%D0%B4%D1%87%D0%B8%D0%BA" TargetMode="External"/><Relationship Id="rId1694" Type="http://schemas.openxmlformats.org/officeDocument/2006/relationships/hyperlink" Target="http://www.amazon.com" TargetMode="External"/><Relationship Id="rId860" Type="http://schemas.openxmlformats.org/officeDocument/2006/relationships/hyperlink" Target="https://myfin.by/currency/usd/russia" TargetMode="External"/><Relationship Id="rId1211" Type="http://schemas.openxmlformats.org/officeDocument/2006/relationships/hyperlink" Target="https://www.babla.ru/%D0%BF%D0%B5%D1%80%D0%B5%D0%B2%D0%BE%D0%B4%D1%87%D0%B8%D0%BA/" TargetMode="External"/><Relationship Id="rId1695" Type="http://schemas.openxmlformats.org/officeDocument/2006/relationships/hyperlink" Target="https://ru.wiktionary.org/wiki/%D0%A7%D0%B5%D0%B1%D1%83%D1%80%D0%B0%D1%88%D0%BA%D0%B0" TargetMode="External"/><Relationship Id="rId1212" Type="http://schemas.openxmlformats.org/officeDocument/2006/relationships/hyperlink" Target="https://www.microsoft.com/ru-ru/translator/business/trial/" TargetMode="External"/><Relationship Id="rId1696" Type="http://schemas.openxmlformats.org/officeDocument/2006/relationships/hyperlink" Target="http://ru.wiktionary.org" TargetMode="External"/><Relationship Id="rId1202" Type="http://schemas.openxmlformats.org/officeDocument/2006/relationships/hyperlink" Target="https://support.google.com/translate/answer/6142468?hl=ru&amp;co=GENIE.Platform%3DAndroid" TargetMode="External"/><Relationship Id="rId1686" Type="http://schemas.openxmlformats.org/officeDocument/2006/relationships/hyperlink" Target="https://www.forbes.ru/forbeslife/484124-sekret-ceburaski-pocemu-fil-m-s-garmasom-b-et-rekordy-prokata-v-rossii" TargetMode="External"/><Relationship Id="rId1203" Type="http://schemas.openxmlformats.org/officeDocument/2006/relationships/hyperlink" Target="http://support.google.com" TargetMode="External"/><Relationship Id="rId1687" Type="http://schemas.openxmlformats.org/officeDocument/2006/relationships/hyperlink" Target="http://www.forbes.ru" TargetMode="External"/><Relationship Id="rId1204" Type="http://schemas.openxmlformats.org/officeDocument/2006/relationships/hyperlink" Target="https://ru.pons.com/%D0%BF%D0%B5%D1%80%D0%B5%D0%B2%D0%BE%D0%B4-%D1%82%D0%B5%D0%BA%D1%81%D1%82%D0%B0" TargetMode="External"/><Relationship Id="rId1688" Type="http://schemas.openxmlformats.org/officeDocument/2006/relationships/hyperlink" Target="https://www.rbc.ru/life/news/63d89e6b9a7947514d98f34a" TargetMode="External"/><Relationship Id="rId1205" Type="http://schemas.openxmlformats.org/officeDocument/2006/relationships/hyperlink" Target="http://ru.pons.com" TargetMode="External"/><Relationship Id="rId1689" Type="http://schemas.openxmlformats.org/officeDocument/2006/relationships/hyperlink" Target="https://soyuzmultfilm.fandom.com/ru/wiki/%D0%A7%D0%B5%D0%B1%D1%83%D1%80%D0%B0%D1%88%D0%BA%D0%B0" TargetMode="External"/><Relationship Id="rId1206" Type="http://schemas.openxmlformats.org/officeDocument/2006/relationships/hyperlink" Target="https://www.native-english.ru/translate" TargetMode="External"/><Relationship Id="rId1207" Type="http://schemas.openxmlformats.org/officeDocument/2006/relationships/hyperlink" Target="http://www.native-english.ru" TargetMode="External"/><Relationship Id="rId1208" Type="http://schemas.openxmlformats.org/officeDocument/2006/relationships/hyperlink" Target="https://habr.com/ru/articles/689580/" TargetMode="External"/><Relationship Id="rId1209" Type="http://schemas.openxmlformats.org/officeDocument/2006/relationships/hyperlink" Target="http://habr.com" TargetMode="External"/><Relationship Id="rId855" Type="http://schemas.openxmlformats.org/officeDocument/2006/relationships/hyperlink" Target="https://www.cbr.ru/currency_base/daily/" TargetMode="External"/><Relationship Id="rId854" Type="http://schemas.openxmlformats.org/officeDocument/2006/relationships/hyperlink" Target="http://quote.rbc.ru" TargetMode="External"/><Relationship Id="rId853" Type="http://schemas.openxmlformats.org/officeDocument/2006/relationships/hyperlink" Target="https://quote.rbc.ru/ticker/72413" TargetMode="External"/><Relationship Id="rId852" Type="http://schemas.openxmlformats.org/officeDocument/2006/relationships/hyperlink" Target="http://news.mail.ru" TargetMode="External"/><Relationship Id="rId859" Type="http://schemas.openxmlformats.org/officeDocument/2006/relationships/hyperlink" Target="http://quote.ru" TargetMode="External"/><Relationship Id="rId858" Type="http://schemas.openxmlformats.org/officeDocument/2006/relationships/hyperlink" Target="https://quote.ru/ticker/59111" TargetMode="External"/><Relationship Id="rId857" Type="http://schemas.openxmlformats.org/officeDocument/2006/relationships/hyperlink" Target="http://www.finmarket.ru/currency/USD/" TargetMode="External"/><Relationship Id="rId856" Type="http://schemas.openxmlformats.org/officeDocument/2006/relationships/hyperlink" Target="http://www.cbr.ru" TargetMode="External"/><Relationship Id="rId1680" Type="http://schemas.openxmlformats.org/officeDocument/2006/relationships/hyperlink" Target="https://ru.wikipedia.org/wiki/%D0%A7%D0%B5%D0%B1%D1%83%D1%80%D0%B0%D1%88%D0%BA%D0%B0_(%D0%BC%D1%83%D0%BB%D1%8C%D1%82%D1%84%D0%B8%D0%BB%D1%8C%D0%BC,_2013)" TargetMode="External"/><Relationship Id="rId1681" Type="http://schemas.openxmlformats.org/officeDocument/2006/relationships/hyperlink" Target="http://ru.wikipedia.org" TargetMode="External"/><Relationship Id="rId851" Type="http://schemas.openxmlformats.org/officeDocument/2006/relationships/hyperlink" Target="https://news.mail.ru/currency/src/CBRF/charcode/USD/" TargetMode="External"/><Relationship Id="rId1682" Type="http://schemas.openxmlformats.org/officeDocument/2006/relationships/hyperlink" Target="https://www.culture.ru/s/cheburashka/" TargetMode="External"/><Relationship Id="rId850" Type="http://schemas.openxmlformats.org/officeDocument/2006/relationships/hyperlink" Target="https://ru.investing.com/currencies/usd-rub" TargetMode="External"/><Relationship Id="rId1683" Type="http://schemas.openxmlformats.org/officeDocument/2006/relationships/hyperlink" Target="http://www.culture.ru" TargetMode="External"/><Relationship Id="rId1200" Type="http://schemas.openxmlformats.org/officeDocument/2006/relationships/hyperlink" Target="https://www.youtube.com/watch?v=HaFBmR7kT84" TargetMode="External"/><Relationship Id="rId1684" Type="http://schemas.openxmlformats.org/officeDocument/2006/relationships/hyperlink" Target="https://www.kinopoisk.ru/film/839110/" TargetMode="External"/><Relationship Id="rId1201" Type="http://schemas.openxmlformats.org/officeDocument/2006/relationships/hyperlink" Target="http://www.youtube.com" TargetMode="External"/><Relationship Id="rId1685" Type="http://schemas.openxmlformats.org/officeDocument/2006/relationships/hyperlink" Target="http://www.kinopoisk.ru" TargetMode="External"/><Relationship Id="rId1235" Type="http://schemas.openxmlformats.org/officeDocument/2006/relationships/hyperlink" Target="http://books.google.com" TargetMode="External"/><Relationship Id="rId1236" Type="http://schemas.openxmlformats.org/officeDocument/2006/relationships/hyperlink" Target="https://lingvanex.com/translation/russian-to-english" TargetMode="External"/><Relationship Id="rId1237" Type="http://schemas.openxmlformats.org/officeDocument/2006/relationships/hyperlink" Target="http://lingvanex.com" TargetMode="External"/><Relationship Id="rId1238" Type="http://schemas.openxmlformats.org/officeDocument/2006/relationships/hyperlink" Target="https://books.google.com/books?id=oaYVEAAAQBAJ&amp;pg=PT220&amp;lpg=PT220&amp;dq=%D0%BF%D0%B5%D1%80%D0%B5%D0%B2%D0%BE%D0%B4%D1%87%D0%B8%D0%BA&amp;source=bl&amp;ots=esqyAik1MZ&amp;sig=ACfU3U0f-WufxzTrfgno_m-99xJPnMuPDw&amp;hl=ru&amp;sa=X&amp;ved=2ahUKEwijxYfZjbuCAxVFrokEHY2zC-gQ6AF6BAg2EAM" TargetMode="External"/><Relationship Id="rId1239" Type="http://schemas.openxmlformats.org/officeDocument/2006/relationships/hyperlink" Target="http://books.google.com" TargetMode="External"/><Relationship Id="rId409" Type="http://schemas.openxmlformats.org/officeDocument/2006/relationships/hyperlink" Target="http://m.vk.com" TargetMode="External"/><Relationship Id="rId404" Type="http://schemas.openxmlformats.org/officeDocument/2006/relationships/hyperlink" Target="http://books.google.com" TargetMode="External"/><Relationship Id="rId888" Type="http://schemas.openxmlformats.org/officeDocument/2006/relationships/hyperlink" Target="http://mail.proton.me" TargetMode="External"/><Relationship Id="rId403" Type="http://schemas.openxmlformats.org/officeDocument/2006/relationships/hyperlink" Target="https://books.google.com/books?id=QoEcEAAAQBAJ&amp;pg=PT7&amp;lpg=PT7&amp;dq=%D0%B2%D0%BA&amp;source=bl&amp;ots=bx5JpEVTdW&amp;sig=ACfU3U2AP4jiM7Lv1WlC4obt5gpEojYKoA&amp;hl=ru&amp;sa=X&amp;ved=2ahUKEwjdmLn6jbuCAxWZlYkEHf8EA4AQ6AF6BAgkEAM" TargetMode="External"/><Relationship Id="rId887" Type="http://schemas.openxmlformats.org/officeDocument/2006/relationships/hyperlink" Target="https://mail.proton.me/" TargetMode="External"/><Relationship Id="rId402" Type="http://schemas.openxmlformats.org/officeDocument/2006/relationships/hyperlink" Target="http://books.google.com" TargetMode="External"/><Relationship Id="rId886" Type="http://schemas.openxmlformats.org/officeDocument/2006/relationships/hyperlink" Target="http://apps.apple.com" TargetMode="External"/><Relationship Id="rId401" Type="http://schemas.openxmlformats.org/officeDocument/2006/relationships/hyperlink" Target="https://books.google.com/books?id=EoEcEAAAQBAJ&amp;pg=PT3&amp;lpg=PT3&amp;dq=%D0%B2%D0%BA&amp;source=bl&amp;ots=EDc8QyxqTs&amp;sig=ACfU3U3dfoXYvlRCLe0VTwzuI9vGdWuZbQ&amp;hl=ru&amp;sa=X&amp;ved=2ahUKEwjdmLn6jbuCAxWZlYkEHf8EA4AQ6AF6BAgmEAM" TargetMode="External"/><Relationship Id="rId885" Type="http://schemas.openxmlformats.org/officeDocument/2006/relationships/hyperlink" Target="https://apps.apple.com/us/app/mail/id1108187098" TargetMode="External"/><Relationship Id="rId408" Type="http://schemas.openxmlformats.org/officeDocument/2006/relationships/hyperlink" Target="https://m.vk.com/" TargetMode="External"/><Relationship Id="rId407" Type="http://schemas.openxmlformats.org/officeDocument/2006/relationships/hyperlink" Target="https://education.vk.company/" TargetMode="External"/><Relationship Id="rId406" Type="http://schemas.openxmlformats.org/officeDocument/2006/relationships/hyperlink" Target="http://ru.wikipedia.org" TargetMode="External"/><Relationship Id="rId405" Type="http://schemas.openxmlformats.org/officeDocument/2006/relationships/hyperlink" Target="https://ru.wikipedia.org/wiki/VK_(%D0%BA%D0%BE%D0%BC%D0%BF%D0%B0%D0%BD%D0%B8%D1%8F)" TargetMode="External"/><Relationship Id="rId889" Type="http://schemas.openxmlformats.org/officeDocument/2006/relationships/hyperlink" Target="https://play.google.com/store/apps/details?id=ru.mail.mailapp&amp;hl=en_US" TargetMode="External"/><Relationship Id="rId880" Type="http://schemas.openxmlformats.org/officeDocument/2006/relationships/hyperlink" Target="http://mail.google.com" TargetMode="External"/><Relationship Id="rId1230" Type="http://schemas.openxmlformats.org/officeDocument/2006/relationships/hyperlink" Target="https://books.google.com/books?id=5yQ0EAAAQBAJ&amp;pg=PT32&amp;lpg=PT32&amp;dq=%D0%BF%D0%B5%D1%80%D0%B5%D0%B2%D0%BE%D0%B4%D1%87%D0%B8%D0%BA&amp;source=bl&amp;ots=oPMCxXi2Rq&amp;sig=ACfU3U2-C744uuEMKnOaS9FCXFcpmPOSZw&amp;hl=ru&amp;sa=X&amp;ved=2ahUKEwjZ0v6WiruCAxVakokEHVpXB38Q6AF6BAgbEAM" TargetMode="External"/><Relationship Id="rId400" Type="http://schemas.openxmlformats.org/officeDocument/2006/relationships/hyperlink" Target="http://books.google.com" TargetMode="External"/><Relationship Id="rId884" Type="http://schemas.openxmlformats.org/officeDocument/2006/relationships/hyperlink" Target="http://mail.yahoo.com" TargetMode="External"/><Relationship Id="rId1231" Type="http://schemas.openxmlformats.org/officeDocument/2006/relationships/hyperlink" Target="http://books.google.com" TargetMode="External"/><Relationship Id="rId883" Type="http://schemas.openxmlformats.org/officeDocument/2006/relationships/hyperlink" Target="https://mail.yahoo.com/" TargetMode="External"/><Relationship Id="rId1232" Type="http://schemas.openxmlformats.org/officeDocument/2006/relationships/hyperlink" Target="https://www.courts.state.md.us/sites/default/files/import/video/docs/tipsheetworkwithinterpreterrus.pdf" TargetMode="External"/><Relationship Id="rId882" Type="http://schemas.openxmlformats.org/officeDocument/2006/relationships/hyperlink" Target="http://www.mail.com" TargetMode="External"/><Relationship Id="rId1233" Type="http://schemas.openxmlformats.org/officeDocument/2006/relationships/hyperlink" Target="http://www.courts.state.md.us" TargetMode="External"/><Relationship Id="rId881" Type="http://schemas.openxmlformats.org/officeDocument/2006/relationships/hyperlink" Target="https://www.mail.com/" TargetMode="External"/><Relationship Id="rId1234" Type="http://schemas.openxmlformats.org/officeDocument/2006/relationships/hyperlink" Target="https://books.google.com/books?id=exR9DwAAQBAJ&amp;pg=PT225&amp;lpg=PT225&amp;dq=%D0%BF%D0%B5%D1%80%D0%B5%D0%B2%D0%BE%D0%B4%D1%87%D0%B8%D0%BA&amp;source=bl&amp;ots=CAoenf8a8Z&amp;sig=ACfU3U3JNWt12kgPooK8I2R5DC-X7gt0SQ&amp;hl=ru&amp;sa=X&amp;ved=2ahUKEwjZ0v6WiruCAxVakokEHVpXB38Q6AF6BAgcEAM" TargetMode="External"/><Relationship Id="rId1224" Type="http://schemas.openxmlformats.org/officeDocument/2006/relationships/hyperlink" Target="https://translate.meta.ua/" TargetMode="External"/><Relationship Id="rId1225" Type="http://schemas.openxmlformats.org/officeDocument/2006/relationships/hyperlink" Target="https://ru.wikipedia.org/wiki/wikt:%D0%BF%D0%B5%D1%80%D0%B5%D0%B2%D0%BE%D0%B4%D1%87%D0%B8%D0%BA" TargetMode="External"/><Relationship Id="rId1226" Type="http://schemas.openxmlformats.org/officeDocument/2006/relationships/hyperlink" Target="http://ru.wikipedia.org" TargetMode="External"/><Relationship Id="rId1227" Type="http://schemas.openxmlformats.org/officeDocument/2006/relationships/hyperlink" Target="https://www.bing.com/translator" TargetMode="External"/><Relationship Id="rId1228" Type="http://schemas.openxmlformats.org/officeDocument/2006/relationships/hyperlink" Target="http://www.bing.com" TargetMode="External"/><Relationship Id="rId1229" Type="http://schemas.openxmlformats.org/officeDocument/2006/relationships/hyperlink" Target="https://www.politicalasylumusa.com/ru/%D0%BF%D0%BE%D0%BB%D1%83%D1%87%D0%B5%D0%BD%D0%B8%D0%B5-%D1%83%D0%B1%D0%B5%D0%B6%D0%B8%D1%89%D0%B0-%D0%B0%D0%BC%D0%B5%D1%80%D0%B8%D0%BA%D0%B0/%D0%BF%D0%B5%D1%80%D0%B5%D0%B2%D0%BE%D0%B4%D1%87%D0%B8%D0%BA/" TargetMode="External"/><Relationship Id="rId877" Type="http://schemas.openxmlformats.org/officeDocument/2006/relationships/hyperlink" Target="https://mail.ru/" TargetMode="External"/><Relationship Id="rId876" Type="http://schemas.openxmlformats.org/officeDocument/2006/relationships/hyperlink" Target="http://www.cbr.ru" TargetMode="External"/><Relationship Id="rId875" Type="http://schemas.openxmlformats.org/officeDocument/2006/relationships/hyperlink" Target="https://www.cbr.ru/" TargetMode="External"/><Relationship Id="rId874" Type="http://schemas.openxmlformats.org/officeDocument/2006/relationships/hyperlink" Target="http://www.irs.gov" TargetMode="External"/><Relationship Id="rId879" Type="http://schemas.openxmlformats.org/officeDocument/2006/relationships/hyperlink" Target="https://mail.google.com/mail/u/0/" TargetMode="External"/><Relationship Id="rId878" Type="http://schemas.openxmlformats.org/officeDocument/2006/relationships/hyperlink" Target="http://mail.ru" TargetMode="External"/><Relationship Id="rId873" Type="http://schemas.openxmlformats.org/officeDocument/2006/relationships/hyperlink" Target="https://www.irs.gov/ru/individuals/international-taxpayers/yearly-average-currency-exchange-rates" TargetMode="External"/><Relationship Id="rId1220" Type="http://schemas.openxmlformats.org/officeDocument/2006/relationships/hyperlink" Target="https://play.google.com/store/apps/details?id=com.google.android.apps.translate&amp;hl=ru&amp;gl=US" TargetMode="External"/><Relationship Id="rId872" Type="http://schemas.openxmlformats.org/officeDocument/2006/relationships/hyperlink" Target="https://base.garant.ru/555501/" TargetMode="External"/><Relationship Id="rId1221" Type="http://schemas.openxmlformats.org/officeDocument/2006/relationships/hyperlink" Target="http://play.google.com" TargetMode="External"/><Relationship Id="rId871" Type="http://schemas.openxmlformats.org/officeDocument/2006/relationships/hyperlink" Target="http://minfin.com.ua" TargetMode="External"/><Relationship Id="rId1222" Type="http://schemas.openxmlformats.org/officeDocument/2006/relationships/hyperlink" Target="https://apps.apple.com/us/app/google-%D0%BF%D0%B5%D1%80%D0%B5%D0%B2%D0%BE%D0%B4%D1%87%D0%B8%D0%BA/id414706506?l=ru" TargetMode="External"/><Relationship Id="rId870" Type="http://schemas.openxmlformats.org/officeDocument/2006/relationships/hyperlink" Target="https://minfin.com.ua/currency/usd/" TargetMode="External"/><Relationship Id="rId1223" Type="http://schemas.openxmlformats.org/officeDocument/2006/relationships/hyperlink" Target="http://apps.apple.com" TargetMode="External"/><Relationship Id="rId1653" Type="http://schemas.openxmlformats.org/officeDocument/2006/relationships/hyperlink" Target="http://www.telegram.com" TargetMode="External"/><Relationship Id="rId1654" Type="http://schemas.openxmlformats.org/officeDocument/2006/relationships/hyperlink" Target="https://t.me/telegram" TargetMode="External"/><Relationship Id="rId1655" Type="http://schemas.openxmlformats.org/officeDocument/2006/relationships/hyperlink" Target="http://t.me" TargetMode="External"/><Relationship Id="rId1656" Type="http://schemas.openxmlformats.org/officeDocument/2006/relationships/hyperlink" Target="https://github.com/telegramdesktop/tdesktop" TargetMode="External"/><Relationship Id="rId1657" Type="http://schemas.openxmlformats.org/officeDocument/2006/relationships/hyperlink" Target="http://github.com" TargetMode="External"/><Relationship Id="rId1658" Type="http://schemas.openxmlformats.org/officeDocument/2006/relationships/hyperlink" Target="https://tlgrm.ru/" TargetMode="External"/><Relationship Id="rId1659" Type="http://schemas.openxmlformats.org/officeDocument/2006/relationships/hyperlink" Target="http://tlgrm.ru" TargetMode="External"/><Relationship Id="rId829" Type="http://schemas.openxmlformats.org/officeDocument/2006/relationships/hyperlink" Target="http://normativ.kontur.ru" TargetMode="External"/><Relationship Id="rId828" Type="http://schemas.openxmlformats.org/officeDocument/2006/relationships/hyperlink" Target="https://normativ.kontur.ru/calculators/vacation" TargetMode="External"/><Relationship Id="rId827" Type="http://schemas.openxmlformats.org/officeDocument/2006/relationships/hyperlink" Target="https://pecom.ru/services-are/shipping-request/" TargetMode="External"/><Relationship Id="rId822" Type="http://schemas.openxmlformats.org/officeDocument/2006/relationships/hyperlink" Target="https://apps.apple.com/ru/app/%D0%BA%D0%B0%D0%BB%D1%8C%D0%BA%D1%83%D0%BB%D1%8F%D1%82%D0%BE%D1%80/id1069511488" TargetMode="External"/><Relationship Id="rId821" Type="http://schemas.openxmlformats.org/officeDocument/2006/relationships/hyperlink" Target="http://apps.apple.com" TargetMode="External"/><Relationship Id="rId820" Type="http://schemas.openxmlformats.org/officeDocument/2006/relationships/hyperlink" Target="https://apps.apple.com/ru/app/%D0%BA%D0%B0%D0%BB%D1%8C%D0%BA%D1%83%D0%BB%D1%8F%D1%82%D0%BE%D1%80/id398129933" TargetMode="External"/><Relationship Id="rId826" Type="http://schemas.openxmlformats.org/officeDocument/2006/relationships/hyperlink" Target="http://fincult.info" TargetMode="External"/><Relationship Id="rId825" Type="http://schemas.openxmlformats.org/officeDocument/2006/relationships/hyperlink" Target="https://fincult.info/calc/deposit/" TargetMode="External"/><Relationship Id="rId824" Type="http://schemas.openxmlformats.org/officeDocument/2006/relationships/hyperlink" Target="http://www.gosuslugi.ru/325191/1" TargetMode="External"/><Relationship Id="rId823" Type="http://schemas.openxmlformats.org/officeDocument/2006/relationships/hyperlink" Target="http://apps.apple.com" TargetMode="External"/><Relationship Id="rId1650" Type="http://schemas.openxmlformats.org/officeDocument/2006/relationships/hyperlink" Target="https://webogram.org/" TargetMode="External"/><Relationship Id="rId1651" Type="http://schemas.openxmlformats.org/officeDocument/2006/relationships/hyperlink" Target="http://webogram.org" TargetMode="External"/><Relationship Id="rId1652" Type="http://schemas.openxmlformats.org/officeDocument/2006/relationships/hyperlink" Target="https://www.telegram.com/" TargetMode="External"/><Relationship Id="rId1642" Type="http://schemas.openxmlformats.org/officeDocument/2006/relationships/hyperlink" Target="https://apps.apple.com/us/app/telegram-messenger/id686449807" TargetMode="External"/><Relationship Id="rId1643" Type="http://schemas.openxmlformats.org/officeDocument/2006/relationships/hyperlink" Target="http://apps.apple.com" TargetMode="External"/><Relationship Id="rId1644" Type="http://schemas.openxmlformats.org/officeDocument/2006/relationships/hyperlink" Target="https://play.google.com/store/apps/details?id=org.telegram.messenger&amp;hl=ru&amp;gl=US" TargetMode="External"/><Relationship Id="rId1645" Type="http://schemas.openxmlformats.org/officeDocument/2006/relationships/hyperlink" Target="http://play.google.com" TargetMode="External"/><Relationship Id="rId1646" Type="http://schemas.openxmlformats.org/officeDocument/2006/relationships/hyperlink" Target="https://ru.wikipedia.org/wiki/Telegram" TargetMode="External"/><Relationship Id="rId1647" Type="http://schemas.openxmlformats.org/officeDocument/2006/relationships/hyperlink" Target="http://ru.wikipedia.org" TargetMode="External"/><Relationship Id="rId1648" Type="http://schemas.openxmlformats.org/officeDocument/2006/relationships/hyperlink" Target="https://xn--80affa3aj0al.xn--80asehdb/" TargetMode="External"/><Relationship Id="rId1649" Type="http://schemas.openxmlformats.org/officeDocument/2006/relationships/hyperlink" Target="https://web.tlgrm.app/" TargetMode="External"/><Relationship Id="rId819" Type="http://schemas.openxmlformats.org/officeDocument/2006/relationships/hyperlink" Target="http://www.online-calculator.com" TargetMode="External"/><Relationship Id="rId818" Type="http://schemas.openxmlformats.org/officeDocument/2006/relationships/hyperlink" Target="https://www.online-calculator.com/" TargetMode="External"/><Relationship Id="rId817" Type="http://schemas.openxmlformats.org/officeDocument/2006/relationships/hyperlink" Target="http://www.calc.ru" TargetMode="External"/><Relationship Id="rId816" Type="http://schemas.openxmlformats.org/officeDocument/2006/relationships/hyperlink" Target="https://www.calc.ru/" TargetMode="External"/><Relationship Id="rId811" Type="http://schemas.openxmlformats.org/officeDocument/2006/relationships/hyperlink" Target="https://www.gosuslugi.ru/325191/1/form" TargetMode="External"/><Relationship Id="rId810" Type="http://schemas.openxmlformats.org/officeDocument/2006/relationships/hyperlink" Target="http://calculators-online.ru" TargetMode="External"/><Relationship Id="rId815" Type="http://schemas.openxmlformats.org/officeDocument/2006/relationships/hyperlink" Target="https://www.vseinstrumenti.ru/category/kalkulyatory-169736/" TargetMode="External"/><Relationship Id="rId814" Type="http://schemas.openxmlformats.org/officeDocument/2006/relationships/hyperlink" Target="http://exprint.info" TargetMode="External"/><Relationship Id="rId813" Type="http://schemas.openxmlformats.org/officeDocument/2006/relationships/hyperlink" Target="https://exprint.info/calc" TargetMode="External"/><Relationship Id="rId812" Type="http://schemas.openxmlformats.org/officeDocument/2006/relationships/hyperlink" Target="http://www.gosuslugi.ru" TargetMode="External"/><Relationship Id="rId1640" Type="http://schemas.openxmlformats.org/officeDocument/2006/relationships/hyperlink" Target="https://play.google.com/store/apps/details?id=org.telegram.messenger&amp;hl=en_US" TargetMode="External"/><Relationship Id="rId1641" Type="http://schemas.openxmlformats.org/officeDocument/2006/relationships/hyperlink" Target="http://play.google.com" TargetMode="External"/><Relationship Id="rId1675" Type="http://schemas.openxmlformats.org/officeDocument/2006/relationships/hyperlink" Target="https://www.ivi.ru/watch/498269" TargetMode="External"/><Relationship Id="rId1676" Type="http://schemas.openxmlformats.org/officeDocument/2006/relationships/hyperlink" Target="http://www.ivi.ru" TargetMode="External"/><Relationship Id="rId1677" Type="http://schemas.openxmlformats.org/officeDocument/2006/relationships/hyperlink" Target="https://www.afisha.ru/movie/cheburashka-269634/" TargetMode="External"/><Relationship Id="rId1678" Type="http://schemas.openxmlformats.org/officeDocument/2006/relationships/hyperlink" Target="http://www.afisha.ru" TargetMode="External"/><Relationship Id="rId1679" Type="http://schemas.openxmlformats.org/officeDocument/2006/relationships/hyperlink" Target="https://okko.tv/movie/cheburashka-93168361" TargetMode="External"/><Relationship Id="rId849" Type="http://schemas.openxmlformats.org/officeDocument/2006/relationships/hyperlink" Target="https://1prime.ru/charts_usd_cb/" TargetMode="External"/><Relationship Id="rId844" Type="http://schemas.openxmlformats.org/officeDocument/2006/relationships/hyperlink" Target="http://books.google.com" TargetMode="External"/><Relationship Id="rId843" Type="http://schemas.openxmlformats.org/officeDocument/2006/relationships/hyperlink" Target="https://books.google.com/books?id=n9JzDgAAQBAJ&amp;pg=PT24&amp;lpg=PT24&amp;dq=%D0%BA%D0%B0%D0%BB%D1%8C%D0%BA%D1%83%D0%BB%D1%8F%D1%82%D0%BE%D1%80&amp;source=bl&amp;ots=FZK5V0U6wO&amp;sig=ACfU3U2Grph_TfeTM3MnLNsnULfgNd2oRw&amp;hl=ru&amp;sa=X&amp;ved=2ahUKEwiAmISBkLuCAxVZjYkEHZgLA_0Q6AF6BAhEEAM" TargetMode="External"/><Relationship Id="rId842" Type="http://schemas.openxmlformats.org/officeDocument/2006/relationships/hyperlink" Target="http://chrome.google.com" TargetMode="External"/><Relationship Id="rId841" Type="http://schemas.openxmlformats.org/officeDocument/2006/relationships/hyperlink" Target="https://chrome.google.com/webstore/detail/%D0%BA%D0%B0%D0%BB%D1%8C%D0%BA%D1%83%D0%BB%D1%8F%D1%82%D0%BE%D1%80/gminfkdpejmfkjnelbapfofhkpkomcap" TargetMode="External"/><Relationship Id="rId848" Type="http://schemas.openxmlformats.org/officeDocument/2006/relationships/hyperlink" Target="http://www.profinance.ru" TargetMode="External"/><Relationship Id="rId847" Type="http://schemas.openxmlformats.org/officeDocument/2006/relationships/hyperlink" Target="https://www.profinance.ru/currency_usd.asp" TargetMode="External"/><Relationship Id="rId846" Type="http://schemas.openxmlformats.org/officeDocument/2006/relationships/hyperlink" Target="https://finance.rambler.ru/currencies/USD/" TargetMode="External"/><Relationship Id="rId845" Type="http://schemas.openxmlformats.org/officeDocument/2006/relationships/hyperlink" Target="https://www.banki.ru/products/currency/usd/" TargetMode="External"/><Relationship Id="rId1670" Type="http://schemas.openxmlformats.org/officeDocument/2006/relationships/hyperlink" Target="http://www.kinopoisk.ru" TargetMode="External"/><Relationship Id="rId840" Type="http://schemas.openxmlformats.org/officeDocument/2006/relationships/hyperlink" Target="http://www.vtb.ru" TargetMode="External"/><Relationship Id="rId1671" Type="http://schemas.openxmlformats.org/officeDocument/2006/relationships/hyperlink" Target="https://ru.wikipedia.org/wiki/%D0%A7%D0%B5%D0%B1%D1%83%D1%80%D0%B0%D1%88%D0%BA%D0%B0" TargetMode="External"/><Relationship Id="rId1672" Type="http://schemas.openxmlformats.org/officeDocument/2006/relationships/hyperlink" Target="http://ru.wikipedia.org" TargetMode="External"/><Relationship Id="rId1673" Type="http://schemas.openxmlformats.org/officeDocument/2006/relationships/hyperlink" Target="https://ru.wikipedia.org/wiki/%D0%A7%D0%B5%D0%B1%D1%83%D1%80%D0%B0%D1%88%D0%BA%D0%B0_(%D1%84%D0%B8%D0%BB%D1%8C%D0%BC)" TargetMode="External"/><Relationship Id="rId1674" Type="http://schemas.openxmlformats.org/officeDocument/2006/relationships/hyperlink" Target="http://ru.wikipedia.org" TargetMode="External"/><Relationship Id="rId1664" Type="http://schemas.openxmlformats.org/officeDocument/2006/relationships/hyperlink" Target="http://www.linkedin.com" TargetMode="External"/><Relationship Id="rId1665" Type="http://schemas.openxmlformats.org/officeDocument/2006/relationships/hyperlink" Target="https://books.google.com/books?id=uS1YEAAAQBAJ&amp;pg=PT14&amp;lpg=PT14&amp;dq=%D1%82%D0%B5%D0%BB%D0%B5%D0%B3%D1%80%D0%B0%D0%BC&amp;source=bl&amp;ots=KxwM5UEgzN&amp;sig=ACfU3U1LiWCnOWWzptcqiYh3x84Q1xedrg&amp;hl=ru&amp;sa=X&amp;ved=2ahUKEwiHhOG3kLuCAxWCtokEHekzBQkQ6AF6BAhREAM" TargetMode="External"/><Relationship Id="rId1666" Type="http://schemas.openxmlformats.org/officeDocument/2006/relationships/hyperlink" Target="http://books.google.com" TargetMode="External"/><Relationship Id="rId1667" Type="http://schemas.openxmlformats.org/officeDocument/2006/relationships/hyperlink" Target="https://nsarchive2.gwu.edu/coldwar/documents/episode-1/kennan.htm" TargetMode="External"/><Relationship Id="rId1668" Type="http://schemas.openxmlformats.org/officeDocument/2006/relationships/hyperlink" Target="http://nsarchive2.gwu.edu" TargetMode="External"/><Relationship Id="rId1669" Type="http://schemas.openxmlformats.org/officeDocument/2006/relationships/hyperlink" Target="https://www.kinopoisk.ru/film/4370148/" TargetMode="External"/><Relationship Id="rId839" Type="http://schemas.openxmlformats.org/officeDocument/2006/relationships/hyperlink" Target="https://www.vtb.ru/personal/ipoteka/ipotechnyj-kalkulyator/" TargetMode="External"/><Relationship Id="rId838" Type="http://schemas.openxmlformats.org/officeDocument/2006/relationships/hyperlink" Target="http://www.calculator.net" TargetMode="External"/><Relationship Id="rId833" Type="http://schemas.openxmlformats.org/officeDocument/2006/relationships/hyperlink" Target="http://books.google.com" TargetMode="External"/><Relationship Id="rId832" Type="http://schemas.openxmlformats.org/officeDocument/2006/relationships/hyperlink" Target="https://books.google.com/books?id=SYvMAAAAQBAJ&amp;pg=PT283&amp;lpg=PT283&amp;dq=%D0%BA%D0%B0%D0%BB%D1%8C%D0%BA%D1%83%D0%BB%D1%8F%D1%82%D0%BE%D1%80&amp;source=bl&amp;ots=_8Tio77P7n&amp;sig=ACfU3U1_ECvfd1BA-OGKWO_or6ia3FM9QQ&amp;hl=ru&amp;sa=X&amp;ved=2ahUKEwicv6W7jLuCAxVsmIkEHZmXAbAQ6AF6BAg6EAM" TargetMode="External"/><Relationship Id="rId831" Type="http://schemas.openxmlformats.org/officeDocument/2006/relationships/hyperlink" Target="http://books.google.com" TargetMode="External"/><Relationship Id="rId830" Type="http://schemas.openxmlformats.org/officeDocument/2006/relationships/hyperlink" Target="https://books.google.com/books?id=n9JzDgAAQBAJ&amp;pg=PT24&amp;lpg=PT24&amp;dq=%D0%BA%D0%B0%D0%BB%D1%8C%D0%BA%D1%83%D0%BB%D1%8F%D1%82%D0%BE%D1%80&amp;source=bl&amp;ots=FZK5V0T7rM&amp;sig=ACfU3U0yXivmzg8j8fw4gBJfxoMiGoTofQ&amp;hl=ru&amp;sa=X&amp;ved=2ahUKEwicv6W7jLuCAxVsmIkEHZmXAbAQ6AF6BAg7EAM" TargetMode="External"/><Relationship Id="rId837" Type="http://schemas.openxmlformats.org/officeDocument/2006/relationships/hyperlink" Target="https://www.calculator.net/" TargetMode="External"/><Relationship Id="rId836" Type="http://schemas.openxmlformats.org/officeDocument/2006/relationships/hyperlink" Target="http://fincalculator.ru" TargetMode="External"/><Relationship Id="rId835" Type="http://schemas.openxmlformats.org/officeDocument/2006/relationships/hyperlink" Target="https://fincalculator.ru/" TargetMode="External"/><Relationship Id="rId834" Type="http://schemas.openxmlformats.org/officeDocument/2006/relationships/hyperlink" Target="https://www.sodra.lt/ru/calculators" TargetMode="External"/><Relationship Id="rId1660" Type="http://schemas.openxmlformats.org/officeDocument/2006/relationships/hyperlink" Target="https://www.star-telegram.com/" TargetMode="External"/><Relationship Id="rId1661" Type="http://schemas.openxmlformats.org/officeDocument/2006/relationships/hyperlink" Target="https://www.presstelegram.com/" TargetMode="External"/><Relationship Id="rId1662" Type="http://schemas.openxmlformats.org/officeDocument/2006/relationships/hyperlink" Target="http://www.presstelegram.com" TargetMode="External"/><Relationship Id="rId1663" Type="http://schemas.openxmlformats.org/officeDocument/2006/relationships/hyperlink" Target="https://www.linkedin.com/company/telegram-messenger" TargetMode="External"/><Relationship Id="rId469" Type="http://schemas.openxmlformats.org/officeDocument/2006/relationships/hyperlink" Target="https://megaresheba.ru/" TargetMode="External"/><Relationship Id="rId468" Type="http://schemas.openxmlformats.org/officeDocument/2006/relationships/hyperlink" Target="http://gdz.fm" TargetMode="External"/><Relationship Id="rId467" Type="http://schemas.openxmlformats.org/officeDocument/2006/relationships/hyperlink" Target="https://gdz.fm/" TargetMode="External"/><Relationship Id="rId1290" Type="http://schemas.openxmlformats.org/officeDocument/2006/relationships/hyperlink" Target="https://www.gismeteo.ru/weather-novorossysk-5214/" TargetMode="External"/><Relationship Id="rId1291" Type="http://schemas.openxmlformats.org/officeDocument/2006/relationships/hyperlink" Target="http://www.gismeteo.ru" TargetMode="External"/><Relationship Id="rId1292" Type="http://schemas.openxmlformats.org/officeDocument/2006/relationships/hyperlink" Target="https://meteoinfo.ru/" TargetMode="External"/><Relationship Id="rId462" Type="http://schemas.openxmlformats.org/officeDocument/2006/relationships/hyperlink" Target="https://books.google.com/books?id=uf0UEAAAQBAJ&amp;pg=PP1&amp;lpg=PP1&amp;dq=%D0%B2%D0%BA%D0%BE%D0%BD%D1%82%D0%B0%D0%BA%D1%82%D0%B5&amp;source=bl&amp;ots=hZxIs89r_V&amp;sig=ACfU3U1khgnkrwLDs7pAQnGS1b3-_iA3zA&amp;hl=ru&amp;sa=X&amp;ved=2ahUKEwjPl9LJkLuCAxUmkYkEHVT0BykQ6AF6BAhcEAM" TargetMode="External"/><Relationship Id="rId1293" Type="http://schemas.openxmlformats.org/officeDocument/2006/relationships/hyperlink" Target="http://meteoinfo.ru" TargetMode="External"/><Relationship Id="rId461" Type="http://schemas.openxmlformats.org/officeDocument/2006/relationships/hyperlink" Target="http://books.google.com" TargetMode="External"/><Relationship Id="rId1294" Type="http://schemas.openxmlformats.org/officeDocument/2006/relationships/hyperlink" Target="https://weather.rambler.ru/" TargetMode="External"/><Relationship Id="rId460" Type="http://schemas.openxmlformats.org/officeDocument/2006/relationships/hyperlink" Target="https://books.google.com/books?id=geX3zaFHfpIC&amp;pg=PA8&amp;lpg=PA8&amp;dq=%D0%B2%D0%BA%D0%BE%D0%BD%D1%82%D0%B0%D0%BA%D1%82%D0%B5&amp;source=bl&amp;ots=t-YpedatQI&amp;sig=ACfU3U1OFyHHJSFUyyGEziIMp3UMd4XNJA&amp;hl=ru&amp;sa=X&amp;ved=2ahUKEwjPl9LJkLuCAxUmkYkEHVT0BykQ6AF6BAhbEAM" TargetMode="External"/><Relationship Id="rId1295" Type="http://schemas.openxmlformats.org/officeDocument/2006/relationships/hyperlink" Target="http://weather.rambler.ru" TargetMode="External"/><Relationship Id="rId1296" Type="http://schemas.openxmlformats.org/officeDocument/2006/relationships/hyperlink" Target="https://www.pogoda.com/" TargetMode="External"/><Relationship Id="rId466" Type="http://schemas.openxmlformats.org/officeDocument/2006/relationships/hyperlink" Target="https://gdz.ru/" TargetMode="External"/><Relationship Id="rId1297" Type="http://schemas.openxmlformats.org/officeDocument/2006/relationships/hyperlink" Target="http://www.pogoda.com" TargetMode="External"/><Relationship Id="rId465" Type="http://schemas.openxmlformats.org/officeDocument/2006/relationships/hyperlink" Target="http://ngs.ru" TargetMode="External"/><Relationship Id="rId1298" Type="http://schemas.openxmlformats.org/officeDocument/2006/relationships/hyperlink" Target="https://world-weather.ru/pogoda/russia/sochi/" TargetMode="External"/><Relationship Id="rId464" Type="http://schemas.openxmlformats.org/officeDocument/2006/relationships/hyperlink" Target="https://ngs.ru/text/gorod/2023/11/08/72891146/" TargetMode="External"/><Relationship Id="rId1299" Type="http://schemas.openxmlformats.org/officeDocument/2006/relationships/hyperlink" Target="https://world-weather.ru/pogoda/russia/moscow/" TargetMode="External"/><Relationship Id="rId463" Type="http://schemas.openxmlformats.org/officeDocument/2006/relationships/hyperlink" Target="http://books.google.com" TargetMode="External"/><Relationship Id="rId459" Type="http://schemas.openxmlformats.org/officeDocument/2006/relationships/hyperlink" Target="http://books.google.com" TargetMode="External"/><Relationship Id="rId458" Type="http://schemas.openxmlformats.org/officeDocument/2006/relationships/hyperlink" Target="https://books.google.com/books?id=iXcDDAAAQBAJ&amp;pg=PA214&amp;lpg=PA214&amp;dq=%D0%B2%D0%BA%D0%BE%D0%BD%D1%82%D0%B0%D0%BA%D1%82%D0%B5&amp;source=bl&amp;ots=TziDPWZt5H&amp;sig=ACfU3U0FGgfnlJNXt1jJ8sj7o3sGPWRMwQ&amp;hl=ru&amp;sa=X&amp;ved=2ahUKEwjPl9LJkLuCAxUmkYkEHVT0BykQ6AF6BAgKEAM" TargetMode="External"/><Relationship Id="rId457" Type="http://schemas.openxmlformats.org/officeDocument/2006/relationships/hyperlink" Target="https://www.crunchbase.com/organization/vk" TargetMode="External"/><Relationship Id="rId456" Type="http://schemas.openxmlformats.org/officeDocument/2006/relationships/hyperlink" Target="http://www.facebook.com" TargetMode="External"/><Relationship Id="rId1280" Type="http://schemas.openxmlformats.org/officeDocument/2006/relationships/hyperlink" Target="https://www.gismeteo.ru/weather-yekaterinburg-4517/10-days/" TargetMode="External"/><Relationship Id="rId1281" Type="http://schemas.openxmlformats.org/officeDocument/2006/relationships/hyperlink" Target="http://www.gismeteo.ru" TargetMode="External"/><Relationship Id="rId451" Type="http://schemas.openxmlformats.org/officeDocument/2006/relationships/hyperlink" Target="https://apps.apple.com/us/app/vk-social-network-messenger/id564177498" TargetMode="External"/><Relationship Id="rId1282" Type="http://schemas.openxmlformats.org/officeDocument/2006/relationships/hyperlink" Target="https://www.gismeteo.ru/weather-yekaterinburg-4517/" TargetMode="External"/><Relationship Id="rId450" Type="http://schemas.openxmlformats.org/officeDocument/2006/relationships/hyperlink" Target="http://play.google.com" TargetMode="External"/><Relationship Id="rId1283" Type="http://schemas.openxmlformats.org/officeDocument/2006/relationships/hyperlink" Target="http://www.gismeteo.ru" TargetMode="External"/><Relationship Id="rId1284" Type="http://schemas.openxmlformats.org/officeDocument/2006/relationships/hyperlink" Target="https://www.gismeteo.ru/weather-ulan-ude-4804/" TargetMode="External"/><Relationship Id="rId1285" Type="http://schemas.openxmlformats.org/officeDocument/2006/relationships/hyperlink" Target="http://www.gismeteo.ru" TargetMode="External"/><Relationship Id="rId455" Type="http://schemas.openxmlformats.org/officeDocument/2006/relationships/hyperlink" Target="https://www.facebook.com/vkcomteam/" TargetMode="External"/><Relationship Id="rId1286" Type="http://schemas.openxmlformats.org/officeDocument/2006/relationships/hyperlink" Target="https://www.gismeteo.ru/weather-ivanovo-4318/" TargetMode="External"/><Relationship Id="rId454" Type="http://schemas.openxmlformats.org/officeDocument/2006/relationships/hyperlink" Target="http://en.wikipedia.org" TargetMode="External"/><Relationship Id="rId1287" Type="http://schemas.openxmlformats.org/officeDocument/2006/relationships/hyperlink" Target="http://www.gismeteo.ru" TargetMode="External"/><Relationship Id="rId453" Type="http://schemas.openxmlformats.org/officeDocument/2006/relationships/hyperlink" Target="https://en.wikipedia.org/wiki/VK_(service)" TargetMode="External"/><Relationship Id="rId1288" Type="http://schemas.openxmlformats.org/officeDocument/2006/relationships/hyperlink" Target="https://pogoda.mail.ru/prognoz/moskva/" TargetMode="External"/><Relationship Id="rId452" Type="http://schemas.openxmlformats.org/officeDocument/2006/relationships/hyperlink" Target="http://apps.apple.com" TargetMode="External"/><Relationship Id="rId1289" Type="http://schemas.openxmlformats.org/officeDocument/2006/relationships/hyperlink" Target="http://pogoda.mail.ru" TargetMode="External"/><Relationship Id="rId491" Type="http://schemas.openxmlformats.org/officeDocument/2006/relationships/hyperlink" Target="https://megashpora.com/" TargetMode="External"/><Relationship Id="rId490" Type="http://schemas.openxmlformats.org/officeDocument/2006/relationships/hyperlink" Target="https://reshutka.ru/" TargetMode="External"/><Relationship Id="rId489" Type="http://schemas.openxmlformats.org/officeDocument/2006/relationships/hyperlink" Target="http://gdzbezmoroki.com" TargetMode="External"/><Relationship Id="rId484" Type="http://schemas.openxmlformats.org/officeDocument/2006/relationships/hyperlink" Target="http://vk.com" TargetMode="External"/><Relationship Id="rId483" Type="http://schemas.openxmlformats.org/officeDocument/2006/relationships/hyperlink" Target="https://vk.com/reshebnik" TargetMode="External"/><Relationship Id="rId482" Type="http://schemas.openxmlformats.org/officeDocument/2006/relationships/hyperlink" Target="http://play.google.com" TargetMode="External"/><Relationship Id="rId481" Type="http://schemas.openxmlformats.org/officeDocument/2006/relationships/hyperlink" Target="https://play.google.com/store/apps/details?id=skyeng.skysmart.solutions&amp;hl=ru&amp;gl=US" TargetMode="External"/><Relationship Id="rId488" Type="http://schemas.openxmlformats.org/officeDocument/2006/relationships/hyperlink" Target="https://gdzbezmoroki.com/" TargetMode="External"/><Relationship Id="rId487" Type="http://schemas.openxmlformats.org/officeDocument/2006/relationships/hyperlink" Target="http://reshebnik.com" TargetMode="External"/><Relationship Id="rId486" Type="http://schemas.openxmlformats.org/officeDocument/2006/relationships/hyperlink" Target="https://reshebnik.com/" TargetMode="External"/><Relationship Id="rId485" Type="http://schemas.openxmlformats.org/officeDocument/2006/relationships/hyperlink" Target="https://gdz.pub/" TargetMode="External"/><Relationship Id="rId480" Type="http://schemas.openxmlformats.org/officeDocument/2006/relationships/hyperlink" Target="https://gdz.ltd/" TargetMode="External"/><Relationship Id="rId479" Type="http://schemas.openxmlformats.org/officeDocument/2006/relationships/hyperlink" Target="http://play.google.com" TargetMode="External"/><Relationship Id="rId478" Type="http://schemas.openxmlformats.org/officeDocument/2006/relationships/hyperlink" Target="https://play.google.com/store/apps/details?id=com.gdz_ru&amp;hl=ru&amp;gl=US" TargetMode="External"/><Relationship Id="rId473" Type="http://schemas.openxmlformats.org/officeDocument/2006/relationships/hyperlink" Target="https://pomogalka.me/" TargetMode="External"/><Relationship Id="rId472" Type="http://schemas.openxmlformats.org/officeDocument/2006/relationships/hyperlink" Target="https://xn--c1acj.xn--p1ai/" TargetMode="External"/><Relationship Id="rId471" Type="http://schemas.openxmlformats.org/officeDocument/2006/relationships/hyperlink" Target="https://reshak.ru/" TargetMode="External"/><Relationship Id="rId470" Type="http://schemas.openxmlformats.org/officeDocument/2006/relationships/hyperlink" Target="http://megaresheba.ru" TargetMode="External"/><Relationship Id="rId477" Type="http://schemas.openxmlformats.org/officeDocument/2006/relationships/hyperlink" Target="http://www.euroki.org" TargetMode="External"/><Relationship Id="rId476" Type="http://schemas.openxmlformats.org/officeDocument/2006/relationships/hyperlink" Target="https://www.euroki.org/" TargetMode="External"/><Relationship Id="rId475" Type="http://schemas.openxmlformats.org/officeDocument/2006/relationships/hyperlink" Target="http://resh.skysmart.ru" TargetMode="External"/><Relationship Id="rId474" Type="http://schemas.openxmlformats.org/officeDocument/2006/relationships/hyperlink" Target="https://resh.skysmart.ru/" TargetMode="External"/><Relationship Id="rId1257" Type="http://schemas.openxmlformats.org/officeDocument/2006/relationships/hyperlink" Target="http://www.gismeteo.ru" TargetMode="External"/><Relationship Id="rId1258" Type="http://schemas.openxmlformats.org/officeDocument/2006/relationships/hyperlink" Target="https://www.gismeteo.ru/weather-sankt-peterburg-4079/" TargetMode="External"/><Relationship Id="rId1259" Type="http://schemas.openxmlformats.org/officeDocument/2006/relationships/hyperlink" Target="http://www.gismeteo.ru" TargetMode="External"/><Relationship Id="rId426" Type="http://schemas.openxmlformats.org/officeDocument/2006/relationships/hyperlink" Target="http://books.google.ru" TargetMode="External"/><Relationship Id="rId425" Type="http://schemas.openxmlformats.org/officeDocument/2006/relationships/hyperlink" Target="https://books.google.ru/books?id=o9IeEAAAQBAJ&amp;pg=PT65&amp;lpg=PT65&amp;dq=%D0%B2%D0%BA%D0%BE%D0%BD%D1%82%D0%B0%D0%BA%D1%82%D0%B5&amp;source=bl&amp;ots=u-Eh1_FqgI&amp;sig=ACfU3U1kVlJvxNLsN6tuPdM326mNg6tTVQ&amp;hl=ru&amp;sa=X&amp;ved=2ahUKEwj35-n8pr2CAxWYIDQIHZUEDmYQ6AF6BAg3EAM" TargetMode="External"/><Relationship Id="rId424" Type="http://schemas.openxmlformats.org/officeDocument/2006/relationships/hyperlink" Target="https://vk.company/" TargetMode="External"/><Relationship Id="rId423" Type="http://schemas.openxmlformats.org/officeDocument/2006/relationships/hyperlink" Target="http://whoiswho.dp.ru" TargetMode="External"/><Relationship Id="rId429" Type="http://schemas.openxmlformats.org/officeDocument/2006/relationships/hyperlink" Target="https://rb.ru/tag/vk/" TargetMode="External"/><Relationship Id="rId428" Type="http://schemas.openxmlformats.org/officeDocument/2006/relationships/hyperlink" Target="http://www.m.vk.ru/" TargetMode="External"/><Relationship Id="rId427" Type="http://schemas.openxmlformats.org/officeDocument/2006/relationships/hyperlink" Target="http://www.m.vk.ru/" TargetMode="External"/><Relationship Id="rId1250" Type="http://schemas.openxmlformats.org/officeDocument/2006/relationships/hyperlink" Target="https://www.gismeteo.ru/weather-naberezhnye-chelny-4534/" TargetMode="External"/><Relationship Id="rId1251" Type="http://schemas.openxmlformats.org/officeDocument/2006/relationships/hyperlink" Target="http://www.gismeteo.ru" TargetMode="External"/><Relationship Id="rId1252" Type="http://schemas.openxmlformats.org/officeDocument/2006/relationships/hyperlink" Target="https://www.gismeteo.ru/weather-krasnodar-5136/" TargetMode="External"/><Relationship Id="rId422" Type="http://schemas.openxmlformats.org/officeDocument/2006/relationships/hyperlink" Target="https://whoiswho.dp.ru/cart/company/2888981" TargetMode="External"/><Relationship Id="rId1253" Type="http://schemas.openxmlformats.org/officeDocument/2006/relationships/hyperlink" Target="http://www.gismeteo.ru" TargetMode="External"/><Relationship Id="rId421" Type="http://schemas.openxmlformats.org/officeDocument/2006/relationships/hyperlink" Target="https://ria.ru/product_VKontakte/" TargetMode="External"/><Relationship Id="rId1254" Type="http://schemas.openxmlformats.org/officeDocument/2006/relationships/hyperlink" Target="https://www.gismeteo.ru/weather-ulyanovsk-4407/" TargetMode="External"/><Relationship Id="rId420" Type="http://schemas.openxmlformats.org/officeDocument/2006/relationships/hyperlink" Target="http://vk.me" TargetMode="External"/><Relationship Id="rId1255" Type="http://schemas.openxmlformats.org/officeDocument/2006/relationships/hyperlink" Target="http://www.gismeteo.ru" TargetMode="External"/><Relationship Id="rId1256" Type="http://schemas.openxmlformats.org/officeDocument/2006/relationships/hyperlink" Target="https://www.gismeteo.ru/weather-tambov-4440/" TargetMode="External"/><Relationship Id="rId1246" Type="http://schemas.openxmlformats.org/officeDocument/2006/relationships/hyperlink" Target="https://yandex.ru/pogoda/mountain-view" TargetMode="External"/><Relationship Id="rId1247" Type="http://schemas.openxmlformats.org/officeDocument/2006/relationships/hyperlink" Target="http://yandex.ru" TargetMode="External"/><Relationship Id="rId1248" Type="http://schemas.openxmlformats.org/officeDocument/2006/relationships/hyperlink" Target="https://www.gismeteo.ru/" TargetMode="External"/><Relationship Id="rId1249" Type="http://schemas.openxmlformats.org/officeDocument/2006/relationships/hyperlink" Target="http://www.gismeteo.ru" TargetMode="External"/><Relationship Id="rId415" Type="http://schemas.openxmlformats.org/officeDocument/2006/relationships/hyperlink" Target="http://apps.apple.com" TargetMode="External"/><Relationship Id="rId899" Type="http://schemas.openxmlformats.org/officeDocument/2006/relationships/hyperlink" Target="https://www.icloud.com/mail" TargetMode="External"/><Relationship Id="rId414" Type="http://schemas.openxmlformats.org/officeDocument/2006/relationships/hyperlink" Target="https://apps.apple.com/ru/app/%D0%B2%D0%BA%D0%BE%D0%BD%D1%82%D0%B0%D0%BA%D1%82%D0%B5-%D1%81%D0%BE%D0%BE%D0%B1%D1%89%D0%B5%D0%BD%D0%B8%D1%8F-%D0%B2%D0%B8%D0%B4%D0%B5%D0%BE%D1%87%D0%B0%D1%82/id564177498" TargetMode="External"/><Relationship Id="rId898" Type="http://schemas.openxmlformats.org/officeDocument/2006/relationships/hyperlink" Target="http://mail.yandex.ru" TargetMode="External"/><Relationship Id="rId413" Type="http://schemas.openxmlformats.org/officeDocument/2006/relationships/hyperlink" Target="http://ru.wikipedia.org" TargetMode="External"/><Relationship Id="rId897" Type="http://schemas.openxmlformats.org/officeDocument/2006/relationships/hyperlink" Target="https://mail.yandex.ru/" TargetMode="External"/><Relationship Id="rId412" Type="http://schemas.openxmlformats.org/officeDocument/2006/relationships/hyperlink" Target="https://ru.wikipedia.org/wiki/%D0%92%D0%9A%D0%BE%D0%BD%D1%82%D0%B0%D0%BA%D1%82%D0%B5" TargetMode="External"/><Relationship Id="rId896" Type="http://schemas.openxmlformats.org/officeDocument/2006/relationships/hyperlink" Target="http://mailchimp.com" TargetMode="External"/><Relationship Id="rId419" Type="http://schemas.openxmlformats.org/officeDocument/2006/relationships/hyperlink" Target="https://vk.me/app" TargetMode="External"/><Relationship Id="rId418" Type="http://schemas.openxmlformats.org/officeDocument/2006/relationships/hyperlink" Target="http://twitter.com" TargetMode="External"/><Relationship Id="rId417" Type="http://schemas.openxmlformats.org/officeDocument/2006/relationships/hyperlink" Target="https://twitter.com/vkontakte?lang=ru" TargetMode="External"/><Relationship Id="rId416" Type="http://schemas.openxmlformats.org/officeDocument/2006/relationships/hyperlink" Target="https://trk.mail.ru/c/xyn8o1?mt_campaign=mainvkmail_ok&amp;mt_adset=&amp;mt_network=1" TargetMode="External"/><Relationship Id="rId891" Type="http://schemas.openxmlformats.org/officeDocument/2006/relationships/hyperlink" Target="https://mail.aol.com/" TargetMode="External"/><Relationship Id="rId890" Type="http://schemas.openxmlformats.org/officeDocument/2006/relationships/hyperlink" Target="http://play.google.com" TargetMode="External"/><Relationship Id="rId1240" Type="http://schemas.openxmlformats.org/officeDocument/2006/relationships/hyperlink" Target="https://books.google.com/books?id=exR9DwAAQBAJ&amp;pg=PT297&amp;lpg=PT297&amp;dq=%D0%BF%D0%B5%D1%80%D0%B5%D0%B2%D0%BE%D0%B4%D1%87%D0%B8%D0%BA&amp;source=bl&amp;ots=CAoenf99c1&amp;sig=ACfU3U3zBdv5IwAfcHHdQ3DH0hfDChGC4g&amp;hl=ru&amp;sa=X&amp;ved=2ahUKEwijxYfZjbuCAxVFrokEHY2zC-gQ6AF6BAg3EAM" TargetMode="External"/><Relationship Id="rId1241" Type="http://schemas.openxmlformats.org/officeDocument/2006/relationships/hyperlink" Target="http://books.google.com" TargetMode="External"/><Relationship Id="rId411" Type="http://schemas.openxmlformats.org/officeDocument/2006/relationships/hyperlink" Target="http://play.google.com" TargetMode="External"/><Relationship Id="rId895" Type="http://schemas.openxmlformats.org/officeDocument/2006/relationships/hyperlink" Target="https://mailchimp.com/" TargetMode="External"/><Relationship Id="rId1242" Type="http://schemas.openxmlformats.org/officeDocument/2006/relationships/hyperlink" Target="https://www.nccourts.gov/languages/informaciya-na-russkom-yazyke/vam-neobkhodim-sudebnyy-perevodchik" TargetMode="External"/><Relationship Id="rId410" Type="http://schemas.openxmlformats.org/officeDocument/2006/relationships/hyperlink" Target="https://play.google.com/store/apps/details?id=com.vkontakte.android&amp;hl=ru&amp;gl=US" TargetMode="External"/><Relationship Id="rId894" Type="http://schemas.openxmlformats.org/officeDocument/2006/relationships/hyperlink" Target="http://play.google.com" TargetMode="External"/><Relationship Id="rId1243" Type="http://schemas.openxmlformats.org/officeDocument/2006/relationships/hyperlink" Target="http://www.nccourts.gov" TargetMode="External"/><Relationship Id="rId893" Type="http://schemas.openxmlformats.org/officeDocument/2006/relationships/hyperlink" Target="https://play.google.com/store/apps/details?id=ru.mail.mailapp&amp;hl=ru&amp;gl=US" TargetMode="External"/><Relationship Id="rId1244" Type="http://schemas.openxmlformats.org/officeDocument/2006/relationships/hyperlink" Target="https://yandex.ru/pogoda" TargetMode="External"/><Relationship Id="rId892" Type="http://schemas.openxmlformats.org/officeDocument/2006/relationships/hyperlink" Target="http://mail.aol.com" TargetMode="External"/><Relationship Id="rId1245" Type="http://schemas.openxmlformats.org/officeDocument/2006/relationships/hyperlink" Target="http://yandex.ru" TargetMode="External"/><Relationship Id="rId1279" Type="http://schemas.openxmlformats.org/officeDocument/2006/relationships/hyperlink" Target="http://www.gismeteo.ru" TargetMode="External"/><Relationship Id="rId448" Type="http://schemas.openxmlformats.org/officeDocument/2006/relationships/hyperlink" Target="http://books.google.com" TargetMode="External"/><Relationship Id="rId447" Type="http://schemas.openxmlformats.org/officeDocument/2006/relationships/hyperlink" Target="https://books.google.com/books?id=j2OnEAAAQBAJ&amp;pg=PT275&amp;lpg=PT275&amp;dq=%D0%B2%D0%BA%D0%BE%D0%BD%D1%82%D0%B0%D0%BA%D1%82%D0%B5&amp;source=bl&amp;ots=cP9BrDo5tT&amp;sig=ACfU3U3VngmY0OvNCYS71thObKdkovgM6w&amp;hl=ru&amp;sa=X&amp;ved=2ahUKEwiPnqPLjLuCAxVFv4kEHT4bBGwQ6AF6BAhBEAM" TargetMode="External"/><Relationship Id="rId446" Type="http://schemas.openxmlformats.org/officeDocument/2006/relationships/hyperlink" Target="http://books.google.com" TargetMode="External"/><Relationship Id="rId445" Type="http://schemas.openxmlformats.org/officeDocument/2006/relationships/hyperlink" Target="https://books.google.com/books?id=Ka61AAAAQBAJ&amp;pg=PT95&amp;lpg=PT95&amp;dq=%D0%B2%D0%BA%D0%BE%D0%BD%D1%82%D0%B0%D0%BA%D1%82%D0%B5&amp;source=bl&amp;ots=flgSBjWUl5&amp;sig=ACfU3U1T9C-t4szoSGxTjtqXD63jXTisWg&amp;hl=ru&amp;sa=X&amp;ved=2ahUKEwiPnqPLjLuCAxVFv4kEHT4bBGwQ6AF6BAhUEAM" TargetMode="External"/><Relationship Id="rId449" Type="http://schemas.openxmlformats.org/officeDocument/2006/relationships/hyperlink" Target="https://play.google.com/store/apps/details?id=com.vkontakte.android&amp;hl=en_US" TargetMode="External"/><Relationship Id="rId1270" Type="http://schemas.openxmlformats.org/officeDocument/2006/relationships/hyperlink" Target="https://www.gismeteo.ru/weather-ufa-4588/" TargetMode="External"/><Relationship Id="rId440" Type="http://schemas.openxmlformats.org/officeDocument/2006/relationships/hyperlink" Target="http://books.google.com" TargetMode="External"/><Relationship Id="rId1271" Type="http://schemas.openxmlformats.org/officeDocument/2006/relationships/hyperlink" Target="http://www.gismeteo.ru" TargetMode="External"/><Relationship Id="rId1272" Type="http://schemas.openxmlformats.org/officeDocument/2006/relationships/hyperlink" Target="https://www.gismeteo.ru/weather-krasnoyarsk-4674/" TargetMode="External"/><Relationship Id="rId1273" Type="http://schemas.openxmlformats.org/officeDocument/2006/relationships/hyperlink" Target="http://www.gismeteo.ru" TargetMode="External"/><Relationship Id="rId1274" Type="http://schemas.openxmlformats.org/officeDocument/2006/relationships/hyperlink" Target="https://www.gismeteo.ru/weather-irkutsk-4787/" TargetMode="External"/><Relationship Id="rId444" Type="http://schemas.openxmlformats.org/officeDocument/2006/relationships/hyperlink" Target="http://books.google.com" TargetMode="External"/><Relationship Id="rId1275" Type="http://schemas.openxmlformats.org/officeDocument/2006/relationships/hyperlink" Target="http://www.gismeteo.ru" TargetMode="External"/><Relationship Id="rId443" Type="http://schemas.openxmlformats.org/officeDocument/2006/relationships/hyperlink" Target="https://books.google.com/books?id=o9IeEAAAQBAJ&amp;pg=PT27&amp;lpg=PT27&amp;dq=%D0%B2%D0%BA%D0%BE%D0%BD%D1%82%D0%B0%D0%BA%D1%82%D0%B5&amp;source=bl&amp;ots=u-Eh00JsgG&amp;sig=ACfU3U3p2o0fR8QW4K9_vFT4WQMJ8Q2byQ&amp;hl=ru&amp;sa=X&amp;ved=2ahUKEwiPnqPLjLuCAxVFv4kEHT4bBGwQ6AF6BAhNEAM" TargetMode="External"/><Relationship Id="rId1276" Type="http://schemas.openxmlformats.org/officeDocument/2006/relationships/hyperlink" Target="https://www.gismeteo.ru/weather-nizhny-novgorod-4355/" TargetMode="External"/><Relationship Id="rId442" Type="http://schemas.openxmlformats.org/officeDocument/2006/relationships/hyperlink" Target="http://books.google.com" TargetMode="External"/><Relationship Id="rId1277" Type="http://schemas.openxmlformats.org/officeDocument/2006/relationships/hyperlink" Target="http://www.gismeteo.ru" TargetMode="External"/><Relationship Id="rId441" Type="http://schemas.openxmlformats.org/officeDocument/2006/relationships/hyperlink" Target="https://books.google.com/books?id=geX3zaFHfpIC&amp;pg=PA49&amp;lpg=PA49&amp;dq=%D0%B2%D0%BA%D0%BE%D0%BD%D1%82%D0%B0%D0%BA%D1%82%D0%B5&amp;source=bl&amp;ots=t-Yped9sTI&amp;sig=ACfU3U0GY7muTOVzK3ch4TCOAeDChM6Jbw&amp;hl=ru&amp;sa=X&amp;ved=2ahUKEwiPnqPLjLuCAxVFv4kEHT4bBGwQ6AF6BAhJEAM" TargetMode="External"/><Relationship Id="rId1278" Type="http://schemas.openxmlformats.org/officeDocument/2006/relationships/hyperlink" Target="https://www.gismeteo.ru/weather-sankt-peterburg-4079/3-days/" TargetMode="External"/><Relationship Id="rId1268" Type="http://schemas.openxmlformats.org/officeDocument/2006/relationships/hyperlink" Target="https://www.gismeteo.ru/weather-tomsk-4652/" TargetMode="External"/><Relationship Id="rId1269" Type="http://schemas.openxmlformats.org/officeDocument/2006/relationships/hyperlink" Target="http://www.gismeteo.ru" TargetMode="External"/><Relationship Id="rId437" Type="http://schemas.openxmlformats.org/officeDocument/2006/relationships/hyperlink" Target="https://4pda.to/forum/index.php?showtopic=246233" TargetMode="External"/><Relationship Id="rId436" Type="http://schemas.openxmlformats.org/officeDocument/2006/relationships/hyperlink" Target="http://adindex.ru" TargetMode="External"/><Relationship Id="rId435" Type="http://schemas.openxmlformats.org/officeDocument/2006/relationships/hyperlink" Target="https://adindex.ru/publication/analitics/channels/2023/11/10/317153.phtml" TargetMode="External"/><Relationship Id="rId434" Type="http://schemas.openxmlformats.org/officeDocument/2006/relationships/hyperlink" Target="http://books.google.ru" TargetMode="External"/><Relationship Id="rId439" Type="http://schemas.openxmlformats.org/officeDocument/2006/relationships/hyperlink" Target="https://books.google.com/books?id=1SiBDwAAQBAJ&amp;pg=PA230&amp;lpg=PA230&amp;dq=%D0%B2%D0%BA%D0%BE%D0%BD%D1%82%D0%B0%D0%BA%D1%82%D0%B5&amp;source=bl&amp;ots=8eiscguiLp&amp;sig=ACfU3U3Myl-LNiXqfTeWxbR8zghWdhCkRQ&amp;hl=ru&amp;sa=X&amp;ved=2ahUKEwiPnqPLjLuCAxVFv4kEHT4bBGwQ6AF6BAgYEAM" TargetMode="External"/><Relationship Id="rId438" Type="http://schemas.openxmlformats.org/officeDocument/2006/relationships/hyperlink" Target="http://4pda.to" TargetMode="External"/><Relationship Id="rId1260" Type="http://schemas.openxmlformats.org/officeDocument/2006/relationships/hyperlink" Target="https://www.gismeteo.ru/weather-rostov-na-donu-5110/" TargetMode="External"/><Relationship Id="rId1261" Type="http://schemas.openxmlformats.org/officeDocument/2006/relationships/hyperlink" Target="http://www.gismeteo.ru" TargetMode="External"/><Relationship Id="rId1262" Type="http://schemas.openxmlformats.org/officeDocument/2006/relationships/hyperlink" Target="https://www.gismeteo.ru/weather-samara-4618/" TargetMode="External"/><Relationship Id="rId1263" Type="http://schemas.openxmlformats.org/officeDocument/2006/relationships/hyperlink" Target="http://www.gismeteo.ru" TargetMode="External"/><Relationship Id="rId433" Type="http://schemas.openxmlformats.org/officeDocument/2006/relationships/hyperlink" Target="https://books.google.ru/books?id=Y9OtEAAAQBAJ&amp;pg=PT9&amp;lpg=PT9&amp;dq=%D0%B2%D0%BA%D0%BE%D0%BD%D1%82%D0%B0%D0%BA%D1%82%D0%B5&amp;source=bl&amp;ots=mbXxJfFjik&amp;sig=ACfU3U0kploxm3bon0laFG4PxPbraGjEhw&amp;hl=ru&amp;sa=X&amp;ved=2ahUKEwj35-n8pr2CAxWYIDQIHZUEDmYQ6AF6BAg2EAM" TargetMode="External"/><Relationship Id="rId1264" Type="http://schemas.openxmlformats.org/officeDocument/2006/relationships/hyperlink" Target="https://www.gismeteo.ru/weather-moscow-4368/" TargetMode="External"/><Relationship Id="rId432" Type="http://schemas.openxmlformats.org/officeDocument/2006/relationships/hyperlink" Target="http://books.google.ru" TargetMode="External"/><Relationship Id="rId1265" Type="http://schemas.openxmlformats.org/officeDocument/2006/relationships/hyperlink" Target="http://www.gismeteo.ru" TargetMode="External"/><Relationship Id="rId431" Type="http://schemas.openxmlformats.org/officeDocument/2006/relationships/hyperlink" Target="https://books.google.ru/books?id=AAdEDwAAQBAJ&amp;pg=PP6&amp;lpg=PP6&amp;dq=%D0%B2%D0%BA%D0%BE%D0%BD%D1%82%D0%B0%D0%BA%D1%82%D0%B5&amp;source=bl&amp;ots=Cbmv1q1O_4&amp;sig=ACfU3U3r2bGFqqfsyKL2QN4cb7S0F-ZCUw&amp;hl=ru&amp;sa=X&amp;ved=2ahUKEwj35-n8pr2CAxWYIDQIHZUEDmYQ6AF6BAg4EAM" TargetMode="External"/><Relationship Id="rId1266" Type="http://schemas.openxmlformats.org/officeDocument/2006/relationships/hyperlink" Target="https://www.gismeteo.ru/weather-novosibirsk-4690/" TargetMode="External"/><Relationship Id="rId430" Type="http://schemas.openxmlformats.org/officeDocument/2006/relationships/hyperlink" Target="http://rb.ru" TargetMode="External"/><Relationship Id="rId1267" Type="http://schemas.openxmlformats.org/officeDocument/2006/relationships/hyperlink" Target="http://www.gismeteo.ru"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2" max="2" width="16.75"/>
    <col customWidth="1" min="3" max="3" width="23.25"/>
    <col customWidth="1" min="4" max="4" width="6.88"/>
    <col customWidth="1" min="5" max="5" width="25.25"/>
    <col customWidth="1" min="6" max="6" width="5.63"/>
    <col customWidth="1" min="8" max="8" width="21.63"/>
    <col customWidth="1" min="11" max="11" width="50.63"/>
    <col customWidth="1" min="12" max="12" width="153.25"/>
    <col customWidth="1" min="13" max="13" width="42314.13"/>
  </cols>
  <sheetData>
    <row r="1">
      <c r="A1" s="1" t="s">
        <v>0</v>
      </c>
      <c r="B1" s="1" t="s">
        <v>1</v>
      </c>
      <c r="C1" s="1" t="s">
        <v>2</v>
      </c>
      <c r="D1" s="1" t="s">
        <v>3</v>
      </c>
      <c r="E1" s="1" t="s">
        <v>4</v>
      </c>
      <c r="F1" s="1" t="s">
        <v>5</v>
      </c>
      <c r="G1" s="1" t="s">
        <v>6</v>
      </c>
      <c r="H1" s="1" t="s">
        <v>7</v>
      </c>
      <c r="I1" s="2" t="s">
        <v>8</v>
      </c>
      <c r="J1" s="1" t="s">
        <v>9</v>
      </c>
      <c r="K1" s="3" t="s">
        <v>10</v>
      </c>
      <c r="L1" s="1" t="s">
        <v>11</v>
      </c>
      <c r="M1" s="1" t="s">
        <v>12</v>
      </c>
    </row>
    <row r="2">
      <c r="A2" s="1" t="s">
        <v>13</v>
      </c>
      <c r="B2" s="1" t="s">
        <v>14</v>
      </c>
      <c r="D2" s="1">
        <v>1.0</v>
      </c>
      <c r="E2" s="4" t="s">
        <v>15</v>
      </c>
      <c r="F2" s="1" t="s">
        <v>16</v>
      </c>
      <c r="I2" s="2">
        <v>0.0</v>
      </c>
      <c r="J2" s="5" t="str">
        <f>IFERROR(__xludf.DUMMYFUNCTION("GOOGLETRANSLATE(A2)"),"atomic heart")</f>
        <v>atomic heart</v>
      </c>
      <c r="K2" s="6" t="str">
        <f>IFERROR(__xludf.DUMMYFUNCTION("GOOGLETRANSLATE(B2)"),"Atomic Heart – Atomic Heart")</f>
        <v>Atomic Heart – Atomic Heart</v>
      </c>
      <c r="M2" s="5" t="str">
        <f>IFERROR(__xludf.DUMMYFUNCTION("GOOGLETRANSLATE(G2)"),"#VALUE!")</f>
        <v>#VALUE!</v>
      </c>
    </row>
    <row r="3">
      <c r="A3" s="1" t="s">
        <v>13</v>
      </c>
      <c r="B3" s="1" t="s">
        <v>17</v>
      </c>
      <c r="D3" s="1">
        <v>2.0</v>
      </c>
      <c r="E3" s="4" t="s">
        <v>18</v>
      </c>
      <c r="F3" s="1" t="s">
        <v>16</v>
      </c>
      <c r="G3" s="1" t="s">
        <v>19</v>
      </c>
      <c r="H3" s="4" t="s">
        <v>20</v>
      </c>
      <c r="I3" s="2">
        <v>1.0</v>
      </c>
      <c r="J3" s="5" t="str">
        <f>IFERROR(__xludf.DUMMYFUNCTION("GOOGLETRANSLATE(A3)"),"atomic heart")</f>
        <v>atomic heart</v>
      </c>
      <c r="K3" s="6" t="str">
        <f>IFERROR(__xludf.DUMMYFUNCTION("GOOGLETRANSLATE(B3)"),"Atomic Heart on Steam")</f>
        <v>Atomic Heart on Steam</v>
      </c>
      <c r="M3" s="5" t="str">
        <f>IFERROR(__xludf.DUMMYFUNCTION("GOOGLETRANSLATE(G3)"),"Welcome to Steam									Login										Store	HomeDiscovery QueueWishlistPoints ShopNewsStats			Community		HomeDiscussionsWorkshopMarketBroadcasts		Support										Change language																		View desktop website																	© Valve Corporation."&amp;" All rights reserved. All trademarks are property of their respective owners in the US and other countries.								Privacy Policy									 |  Legal									 |  Steam Subscriber Agreement									 |  Refunds		STORE	HomeDiscovery QueueWishlistPoints ShopNew"&amp;"sStats			COMMUNITY		HomeDiscussionsWorkshopMarketBroadcasts				About					SUPPORT								Install Steam						login											 | 						language简体中文 (Simplified Chinese)繁體中文 (Traditional Chinese)日本語 (Japanese)한국어 (Korean)ไทย (Thai)Български (Bulgarian)Čeština"&amp;" (Czech)Dansk (Danish)Deutsch (German)Español - España (Spanish - Spain)Español - Latinoamérica (Spanish - Latin America)Ελληνικά (Greek)Français (French)Italiano (Italian)Bahasa Indonesia (Indonesian)Magyar (Hungarian)Nederlands (Dutch)Norsk (Norwegian)P"&amp;"olski (Polish)Português (Portuguese - Portugal)Português - Brasil (Portuguese - Brazil)Română (Romanian)Русский (Russian)Suomi (Finnish)Svenska (Swedish)Türkçe (Turkish)Tiếng Việt (Vietnamese)Українська (Ukrainian)Report a translation problem						Steam D"&amp;"eck											Get Yours Now											Steam Gift Cards											Give the Gift of Game					Recently ViewedYour TagsRecommendedBy FriendsBy CuratorsTagsBrowse CategoriesTop SellersNew ReleasesUpcoming SpecialsVR TitlesController-FriendlyGreat on DeckHardwa"&amp;"reSteam DeckSteam Deck DockVR HardwareBrowse by genre							Free to Play													Early Access													Action													Adventure													Casual													Indie													Massively Multiplayer													Racing													RPG											"&amp;"		Simulation													Sports													Strategy															Cart									(0)								Your StoreYour Store										Home									                                            Community Recommendations                                        										Re"&amp;"cently Viewed									                                            Steam Curators                                        New &amp; NoteworthyNew &amp; NoteworthyPopular											Top Sellers																					Most Played																					New Releases									"&amp;"												Upcoming Releases										News &amp; Updates											Recently Updated										Promos &amp; Events											Special Offers																					Sale Events																					Steam Replay 2022																					Steam Next Fest										Categorie"&amp;"sCategoriesSpecial Sections														Free to Play													Demos														Early Access													Steam DeckGreat on DeckController-FriendlyRemote PlayVR TitlesVR Hardware                                                Software																"&amp;"							Soundtracks																								macOS																									SteamOS + Linux												For PC Cafés													Genres																										Action																												Action														Arcade &amp; RhythmFighting &amp; Martial ArtsFirst-P"&amp;"erson ShooterHack &amp; SlashPlatformer &amp; RunnerThird-Person Shootershmup														Adventure																												Adventure														Adventure RPGCasualHidden ObjectMetroidvaniaPuzzleStory-RichVisual Novel 														Role-Playing													"&amp;"															Role-Playing														Action RPGAdventure RPGJRPGParty-BasedRogue-LikeStrategy RPGTurn-Based														Simulation																												Simulation														Building &amp; AutomationDatingFarming &amp; CraftingHobby &amp; JobLife &amp; Immer"&amp;"siveSandbox &amp; PhysicsSpace &amp; Flight 														Strategy																												Strategy														Card &amp; BoardCity &amp; SettlementGrand &amp; 4XMilitaryReal-Time StrategyTower DefenseTurn-Based Strategy														Sports &amp; Racing																					"&amp;"							Sports &amp; Racing														All SportsFishing &amp; HuntingIndividual SportsRacingRacing SimSports SimTeam Sports 														Themes																											Themes													AnimeHorrorMystery &amp; DetectiveOpen WorldSci-Fi &amp; CyberpunkSpaceSurvival"&amp;" 														Player Support																											Player Support													Co-OperativeLANLocal &amp; PartyMMOMultiplayerOnline CompetitiveSingleplayer Points ShopNewsLabsFeatured &amp; RecommendedSpecial Offers									Browse More									More									Li"&amp;"veFree WeekendOffer ends Nov 13 @ 10:00am.-70%$39.99$11.99 Weekend DealOffer ends Nov 16 @ 10:00am.-65 - 85% Today's deal!-20%$24.99$19.99 Today's deal!-50%$39.99$19.99 Weekend DealOffer ends Nov 16 @ 10:00am.-50%$49.99$24.99 LiveFree WeekendOffer ends No"&amp;"v 21 @ 9:59am.-67%$29.99$9.89 Weekend DealOffer ends Nov 20 @ 10:00am.-33%$29.99$20.09 Weekend DealOffer ends Nov 13 @ 9:00am.-30%$34.99$24.49       Browse by categorySign in to view personalized recommendationsSign In                        Or sign up an"&amp;"d join Steam for free                                        Recommended based on the games you play                                                    More                                Explore and Customize					Your Discovery Queue					Learn MoreSign i"&amp;"n to view and browse your personalized Discovery QueueSign In						Or sign up and join Steam for free												Click here to begin exploring your queue						Explore Your QueueYou have viewed all the productsin your Discovery Queue for today.You have fin"&amp;"ished your list for today but if you're eager for more you can click below to generate another set.Start another queue &gt;&gt;Browse Steam                    New Releases                                    Specials                                    Free Games"&amp;"                                    By User Tags                					Recently Updated					Browse All										More														From developers and publishers that you know				Browse all                                More                                B"&amp;"rowse All                                More                                                POPULAR VR GAMESNew &amp; TrendingTop SellersPopular UpcomingSpecialsNew &amp; TrendingFree To Play Vegas Infinite by PokerStarsVR Supported Free to Play Casual Strategy "&amp;"VRFree Gatekeeper: Infinity Action Roguelite Roguelike Shooter-10%$19.99$17.99 Strike Force Heroes Action Shooter 2D Arena Shooter$69.99 Call of Duty®: Modern Warfare® III Action FPS Shooter Multiplayer$69.99 Call of Duty®: Modern Warfare® III Action FPS "&amp;"Shooter MultiplayerFree I Wanna Maker Precision Platformer Level Editor 2D Platformer Free to Play$49.99 Dungeons 4 Simulation Strategy RTS City Builder-10%$24.99$22.49 Cuisineer Action Roguelike Cooking Casual Wholesome-20%$24.99$19.99 Spells &amp; Secrets A"&amp;"ction Controller Singleplayer Roguelite-25%$39.99$29.99 Colony Ship: A Post-Earth Role Playing Game Turn-Based Tactical RPG Choices Matter Party-Based RPG-15%$14.99$12.74 Risk of Rain Returns Online Co-Op Multiplayer Action Roguelike PvE-10%$14.99$13.49 D"&amp;"oomsday Paradise Anime LGBTQ+ Dating Sim Dark Humor-10%$19.99$17.99 Cobalt Core Roguelike Deckbuilder Strategy Card Game Roguelike$49.99 Like a Dragon Gaiden: The Man Who Erased His Name Action Beat 'em up Action RPG Action-Adventure$49.99 Like a Dragon G"&amp;"aiden: The Man Who Erased His Name Action Beat 'em up Action RPG Action-Adventure$49.99 Nickelodeon All-Star Brawl 2 Action 2D Fighter Arcade Beat 'em up-10%$14.99$13.49 Stronghold: Definitive Edition Real Time Tactics City Builder Sandbox Colony Sim-20%$"&amp;"24.99$19.99 Roboquest FPS Action Roguelike Roguelite Co-op$59.99 Football Manager 2024 Simulation Sports Strategy Football (Soccer)$29.99 The Invincible Adventure Robots Singleplayer FuturisticFree to Play Cards and Castles 2 Strategy Turn-Based Tactics C"&amp;"ard Game Card Battler$24.99 Ranch Simulator - Build Farm Hunt Simulation Multiplayer Online Co-Op Open World$24.99 For The King II Adventure RPG Strategy Board Game$49.99 RoboCop: Rogue City Action FPS First-Person Singleplayer$49.99 STAR OCEAN THE SECOND"&amp;" STORY R RPG JRPG Action Action RPG$29.99 The Talos Principle 2 Puzzle Puzzle Platformer Sci-fi Exploration$39.99 My Time at Sandrock Life Sim Building Sandbox Farming Sim$19.99 Alien Hominid Invasion Online Co-Op Multiplayer Action Roguelike Shoot 'Em Up"&amp;"$24.99 This Bed We Made Mystery Third Person Cinematic Story Rich$19.99 Headbangers: Rhythm Royale Casual Rhythm Battle Royale Character Customization							See more:							New ReleasesTop Sellers										Include free to play items																			Incl"&amp;"ude items in my library									 Call of Duty® FPS Multiplayer Shooter ActionFree to Play Counter-Strike 2 FPS Shooter Multiplayer Competitive$9.99 Lethal Company Early Access Online Co-Op Horror PvE$59.99 Baldur's Gate 3 RPG Choices Matter Character Cust"&amp;"omization Story Rich-15%$14.99$12.74 Risk of Rain Returns Online Co-Op Multiplayer Action Roguelike PvE$349.00 Steam Deck Free to Play War ThunderVR Supported Free to Play Vehicular Combat Combat World War II$44.99 ARK: Survival Ascended Early Access Surv"&amp;"ival Open World DinosaursFree to Play Apex Legends™ Free to Play Battle Royale Multiplayer Shooter$29.99 Call of Duty®: Modern Warfare® II - BlackCell (Season 06) Action Gore Violent Capitalism$49.99 Cities: Skylines II Simulation City Builder Building Si"&amp;"ngleplayer$59.99 Cyberpunk 2077 Cyberpunk Open World Nudity RPG-50%$49.99$24.99 Crusader Kings III Strategy Simulation RPG Medieval$19.99 Dead by Daylight Horror Survival Horror Multiplayer Online Co-Op$39.99 Rust Survival Crafting Multiplayer Open WorldF"&amp;"ree To Play Lost Ark MMORPG Free to Play Action RPG MultiplayerFree to Play Warframe Free to Play Action RPG Looter Shooter Third-Person ShooterFree to Play PUBG: BATTLEGROUNDS Survival Shooter Battle Royale Multiplayer$69.99 Mortal Kombat 1 Action Gore F"&amp;"ighting Blood$19.99 Party Animals Casual Funny Multiplayer Cute$29.99 Cyberpunk 2077: Phantom Liberty RPG Story Rich Cyberpunk Open World$69.99 EA SPORTS FC™ 24 Sports Football (Soccer) Controller PvP$19.99 Tom Clancy's Rainbow Six® Siege FPS PvP eSports "&amp;"Shooter-30%$34.99$24.49 Stranded: Alien Dawn Survival Base Building Simulation Strategy$39.99 New World Massively Multiplayer Open World MMORPG RPG Grand Theft Auto V Open World Action Multiplayer Crime$39.99 Warhammer 40000: Darktide Warhammer 40K Gore A"&amp;"dventure Online Co-Op$49.99 RoboCop: Rogue City Action FPS First-Person Singleplayer$69.99 Starfield Space Singleplayer Open World RPG$24.99 For The King II Adventure RPG Strategy Board Game								See more:																	Top Sellers																				"&amp;"	or											Global Top SellersTop Sellers																					or											Global Top SellersPopular Upcoming CD 2: Trap Master Early Access Roguelike Roguelike Deckbuilder Adventure Dream Town Island Simulation Strategy Casual City Builder Microciviliz"&amp;"ation 4X Clicker Base Building Resource ManagementFree Disco Simulator: Prologue Casual Simulation Management Party Minigame Madness Early Access Multiplayer Minigames Funny Estate Agent Simulator Simulation Life Sim Trading FPS Spirittea RPG Life Sim Sim"&amp;"ulation Fantasy March of Shrooms Strategy Action Action RTS 2D Bzzzt Precision Platformer Indie Action 2D Broken Roads RPG Post-apocalyptic Isometric Philosophical-10%$39.99$35.99 SUPER CRAZY RHYTHM CASTLE Puzzle Rhythm Action Music Misty's Shining Blacks"&amp;"mithing Sexual Content Nudity Adventure RPG Refind Self: The Personality Test Game Casual Adventure Pixel Graphics Choices Matter The Dot Adventure Story Rich Walking Simulator Exploration Invincible Presents: Atom Eve Adventure Action Visual Novel Story "&amp;"Rich Dune: Imperium Early Access Strategy Board Game Deckbuilding Ticket to Ride Board Game Tabletop Strategy Trains$39.99 UFO ROBOT GRENDIZER – The Feast of the Wolves Action Adventure Action-Adventure Beat 'em up-25%$9.99$7.49 KarmaZoo Action Casual Pla"&amp;"tformer Puzzle Death Must Die Early Access RPG Action Roguelike Bullet Hell Skybreakers Action Roguelike Action RPG Bullet Hell RogueliteFree To Play PHANTOM GALAXIES™ Action Adventure Anime Mechs Naheulbeuk's Dungeon Master Simulation Management Funny Re"&amp;"play Value The Last Faith Metroidvania Souls-like Violent Pixel Graphics American Arcadia Story Rich Atmospheric Puzzle Exploration Wizordum Early Access Action FPS Shooter Checkmate Showdown Fighting Competitive PvP Local Multiplayer Waifu Fighter -Famil"&amp;"y Friendly Casual Sexual Content Interactive Fiction Dating Sim 7th Domain RPG Action Action-Adventure Action Roguelike YOHANE THE PARHELION -BLAZE in the DEEPBLUE- Action Adventure Metroidvania Anime							See more:							Upcoming ReleasesSpecials-67%$29"&amp;".99$9.89 Deep Rock Galactic Co-op PvE FPS Procedural Generation-50%$49.99$24.99 Crusader Kings III Strategy Simulation RPG Medieval-30%$34.99$24.49 Stranded: Alien Dawn Survival Base Building Simulation Strategy-75%$59.99$14.99 Tiny Tina's Wonderlands Loo"&amp;"t Adventure Shooter Looter Shooter-30%$49.99$34.99 Mount &amp; Blade II: Bannerlord Medieval Strategy Open World RPG-60%$69.99$27.99 F1® 23VR Supported VR Racing Driving Sports-20%$21.99$17.59 Void Crew Adventure Action Online Co-Op Multiplayer-67%$59.99$19.7"&amp;"9 Mafia Trilogy Action Open World Crime Story Rich-20%$74.99$59.99 Crusader Kings III Royal Edition Strategy Simulation RPG Medieval-75%$59.99$14.99 Tiny Tina's Wonderlands Loot Adventure Shooter Looter Shooter-30%$49.99$34.99 Age of Wonders 4 Strategy 4X"&amp;" Choices Matter Character Customization-85%$59.99$8.99 Far Cry® 5 Action-Adventure Open World FPS Shooter-70%$29.99$8.99 Dying Light Enhanced Edition Action Zombies RPG Parkour-75%$24.99$6.24 Overcooked! 2 Multiplayer Online Co-Op Local Co-Op Co-op-33%$29"&amp;".99$20.09 Trepang2 Gore FPS Violent Action-85%$59.99$8.99 Watch Dogs®: Legion Action Adventure RPG Shooter-20%$24.99$19.99 ULTRAKILL Early Access FPS Arena Shooter Spectacle fighter-67%$29.99$9.89 Isonzo War Atmospheric Indie Simulation-85%$49.99$7.49 Wat"&amp;"ch_Dogs® 2 Open World Hacking Illuminati Parkour-85%$59.99$8.99 Borderlands 3 RPG Action Looter Shooter Multiplayer-20%$24.99$19.99 HYPERCHARGE: Unboxed Action-Adventure Co-op Campaign Singleplayer Third-Person Shooter-20%$29.99$23.99 Crusader Kings III: "&amp;"Tours &amp; Tournaments Strategy RPG Simulation Medieval-67%$14.99$4.94 Golf With Your Friends Multiplayer Casual Mini Golf Sports-75%$39.99$9.99 Riders Republic Racing Open World Massively Multiplayer Sports-70%$19.99$5.99 Grand Theft Auto IV: The Complete E"&amp;"dition Open World Action Automobile Sim Multiplayer-20%$19.99$15.99 Shadows of Doubt Early Access Detective Immersive Sim Sandbox-50%$39.99$19.99 Way of the Hunter Adventure Shooter Hunting Exploration-20%$29.99$23.99 Sengoku Dynasty Early Access Adventur"&amp;"e Life Sim Simulation-50%$59.99$29.99 Grand Theft Auto: The Trilogy – The Definitive Edition Action Third-Person Shooter Open World Adventure-25%$14.99$11.24 Escape Simulator Puzzle Co-op Escape Room Multiplayer-80%$99.99$19.99 ACE COMBAT™ 7: SKIES UNKNOW"&amp;"N - TOP GUN: Maverick Ultimate Edition Simulation Action Flight Jet-20%$19.99$15.99 Chants of Sennaar Adventure Singleplayer Puzzle Colorful-77%$84.99$19.54 DRAGON BALL Z: KAKAROT Action RPG Anime Open World-80%$29.99$5.99 Far Cry® 4 Open World Action FPS"&amp;" Co-op-75%$39.99$9.99 Mafia: Definitive Edition Open World Action Story Rich Crime-85%$29.99$4.49 Watch_Dogs™ Open World Hacking Action Multiplayer-20%$29.99$23.99 Tainted Grail: The Fall of Avalon Early Access RPG Open World Dark Fantasy-20%$19.99$15.99 "&amp;"Dinkum Early Access Farming Sim Life Sim Online Co-Op-75%$79.99$19.99 Borderlands 3: Super Deluxe Edition Action RPG Looter Shooter Gore-60%$99.99$39.99 WWE 2K23 Sports Simulation Wrestling Multiplayer							See more:							SpecialsView all               "&amp;"             More                            Games streaming now				TRENDING AMONG FRIENDS				Browse All                                More                                					Under $10                    Under $10Under $5Updates and Offers  Keep scrolli"&amp;"ng for more recommendationsBelow you'll find a variety of titles that you may be interested in from categories across SteamLooking for recommendations?Sign in to view personalized recommendationsSign In						Or sign up and join Steam for free					© 2023 V"&amp;"alve Corporation.  All rights reserved.  All trademarks are property of their respective owners in the US and other countries.VAT included in all prices where applicable.              Privacy Policy              |              Legal              |        "&amp;"      Steam Subscriber Agreement              |              Refunds              |              CookiesView mobile websiteAbout Valve          |  Jobs          |  Steamworks          |  Steam Distribution          |  Support                          |  R"&amp;"ecycling                		  |  Gift Cards		  |   Steam		  |   @steam We're out of personalized recommendations for you right nowWe can recommend some different titles once you've played more games.Still looking for more? Check out a random game.We don't h"&amp;"ave any recommendations to show you here.This might be an error or it might be that you don't have any playtime on record.You can hit refresh or come back once you've played a game.Perhaps you'd like to check out a random game?Loading more content...")</f>
        <v>Welcome to Steam									Login										Store	HomeDiscovery QueueWishlistPoints ShopNewsStats			Community		HomeDiscussionsWorkshopMarketBroadcasts		Support										Change language																		View desktop website																	© Valve Corporation. All rights reserved. All trademarks are property of their respective owners in the US and other countries.								Privacy Policy									 |  Legal									 |  Steam Subscriber Agreement									 |  Refunds		STORE	HomeDiscovery QueueWishlistPoints ShopNewsStats			COMMUNITY		HomeDiscussionsWorkshopMarketBroadcasts				About					SUPPORT								Install Steam						login											 | 						language简体中文 (Simplified Chinese)繁體中文 (Traditional Chinese)日本語 (Japanese)한국어 (Korean)ไทย (Thai)Български (Bulgarian)Čeština (Czech)Dansk (Danish)Deutsch (German)Español - España (Spanish - Spain)Español - Latinoamérica (Spanish - Latin America)Ελληνικά (Greek)Français (French)Italiano (Italian)Bahasa Indonesia (Indonesian)Magyar (Hungarian)Nederlands (Dutch)Norsk (Norwegian)Polski (Polish)Português (Portuguese - Portugal)Português - Brasil (Portuguese - Brazil)Română (Romanian)Русский (Russian)Suomi (Finnish)Svenska (Swedish)Türkçe (Turkish)Tiếng Việt (Vietnamese)Українська (Ukrainian)Report a translation problem						Steam Deck											Get Yours Now											Steam Gift Cards											Give the Gift of Game					Recently ViewedYour TagsRecommendedBy FriendsBy CuratorsTagsBrowse CategoriesTop SellersNew ReleasesUpcoming SpecialsVR TitlesController-FriendlyGreat on DeckHardwareSteam DeckSteam Deck DockVR HardwareBrowse by genre							Free to Play													Early Access													Action													Adventure													Casual													Indie													Massively Multiplayer													Racing													RPG													Simulation													Sports													Strategy															Cart									(0)								Your StoreYour Store										Home									                                            Community Recommendations                                        										Recently Viewed									                                            Steam Curators                                        New &amp; NoteworthyNew &amp; NoteworthyPopular											Top Sellers																					Most Played																					New Releases																					Upcoming Releases										News &amp; Updates											Recently Updated										Promos &amp; Events											Special Offers																					Sale Events																					Steam Replay 2022																					Steam Next Fest										CategoriesCategoriesSpecial Sections														Free to Play													Demos														Early Access													Steam DeckGreat on DeckController-FriendlyRemote PlayVR TitlesVR Hardware                                                Software																							Soundtracks																								macOS																									SteamOS + Linux												For PC Cafés													Genres																										Action																												Action														Arcade &amp; RhythmFighting &amp; Martial ArtsFirst-Person ShooterHack &amp; SlashPlatformer &amp; RunnerThird-Person Shootershmup														Adventure																												Adventure														Adventure RPGCasualHidden ObjectMetroidvaniaPuzzleStory-RichVisual Novel 														Role-Playing																												Role-Playing														Action RPGAdventure RPGJRPGParty-BasedRogue-LikeStrategy RPGTurn-Based														Simulation																												Simulation														Building &amp; AutomationDatingFarming &amp; CraftingHobby &amp; JobLife &amp; ImmersiveSandbox &amp; PhysicsSpace &amp; Flight 														Strategy																												Strategy														Card &amp; BoardCity &amp; SettlementGrand &amp; 4XMilitaryReal-Time StrategyTower DefenseTurn-Based Strategy														Sports &amp; Racing																												Sports &amp; Racing														All SportsFishing &amp; HuntingIndividual SportsRacingRacing SimSports SimTeam Sports 														Themes																											Themes													AnimeHorrorMystery &amp; DetectiveOpen WorldSci-Fi &amp; CyberpunkSpaceSurvival 														Player Support																											Player Support													Co-OperativeLANLocal &amp; PartyMMOMultiplayerOnline CompetitiveSingleplayer Points ShopNewsLabsFeatured &amp; RecommendedSpecial Offers									Browse More									More									LiveFree WeekendOffer ends Nov 13 @ 10:00am.-70%$39.99$11.99 Weekend DealOffer ends Nov 16 @ 10:00am.-65 - 85% Today's deal!-20%$24.99$19.99 Today's deal!-50%$39.99$19.99 Weekend DealOffer ends Nov 16 @ 10:00am.-50%$49.99$24.99 LiveFree WeekendOffer ends Nov 21 @ 9:59am.-67%$29.99$9.89 Weekend DealOffer ends Nov 20 @ 10:00am.-33%$29.99$20.09 Weekend DealOffer ends Nov 13 @ 9:00am.-30%$34.99$24.49       Browse by categorySign in to view personalized recommendationsSign In                        Or sign up and join Steam for free                                        Recommended based on the games you play                                                    More                                Explore and Customize					Your Discovery Queue					Learn MoreSign in to view and browse your personalized Discovery QueueSign In						Or sign up and join Steam for free												Click here to begin exploring your queue						Explore Your QueueYou have viewed all the productsin your Discovery Queue for today.You have finished your list for today but if you're eager for more you can click below to generate another set.Start another queue &gt;&gt;Browse Steam                    New Releases                                    Specials                                    Free Games                                    By User Tags                					Recently Updated					Browse All										More														From developers and publishers that you know				Browse all                                More                                Browse All                                More                                                POPULAR VR GAMESNew &amp; TrendingTop SellersPopular UpcomingSpecialsNew &amp; TrendingFree To Play Vegas Infinite by PokerStarsVR Supported Free to Play Casual Strategy VRFree Gatekeeper: Infinity Action Roguelite Roguelike Shooter-10%$19.99$17.99 Strike Force Heroes Action Shooter 2D Arena Shooter$69.99 Call of Duty®: Modern Warfare® III Action FPS Shooter Multiplayer$69.99 Call of Duty®: Modern Warfare® III Action FPS Shooter MultiplayerFree I Wanna Maker Precision Platformer Level Editor 2D Platformer Free to Play$49.99 Dungeons 4 Simulation Strategy RTS City Builder-10%$24.99$22.49 Cuisineer Action Roguelike Cooking Casual Wholesome-20%$24.99$19.99 Spells &amp; Secrets Action Controller Singleplayer Roguelite-25%$39.99$29.99 Colony Ship: A Post-Earth Role Playing Game Turn-Based Tactical RPG Choices Matter Party-Based RPG-15%$14.99$12.74 Risk of Rain Returns Online Co-Op Multiplayer Action Roguelike PvE-10%$14.99$13.49 Doomsday Paradise Anime LGBTQ+ Dating Sim Dark Humor-10%$19.99$17.99 Cobalt Core Roguelike Deckbuilder Strategy Card Game Roguelike$49.99 Like a Dragon Gaiden: The Man Who Erased His Name Action Beat 'em up Action RPG Action-Adventure$49.99 Like a Dragon Gaiden: The Man Who Erased His Name Action Beat 'em up Action RPG Action-Adventure$49.99 Nickelodeon All-Star Brawl 2 Action 2D Fighter Arcade Beat 'em up-10%$14.99$13.49 Stronghold: Definitive Edition Real Time Tactics City Builder Sandbox Colony Sim-20%$24.99$19.99 Roboquest FPS Action Roguelike Roguelite Co-op$59.99 Football Manager 2024 Simulation Sports Strategy Football (Soccer)$29.99 The Invincible Adventure Robots Singleplayer FuturisticFree to Play Cards and Castles 2 Strategy Turn-Based Tactics Card Game Card Battler$24.99 Ranch Simulator - Build Farm Hunt Simulation Multiplayer Online Co-Op Open World$24.99 For The King II Adventure RPG Strategy Board Game$49.99 RoboCop: Rogue City Action FPS First-Person Singleplayer$49.99 STAR OCEAN THE SECOND STORY R RPG JRPG Action Action RPG$29.99 The Talos Principle 2 Puzzle Puzzle Platformer Sci-fi Exploration$39.99 My Time at Sandrock Life Sim Building Sandbox Farming Sim$19.99 Alien Hominid Invasion Online Co-Op Multiplayer Action Roguelike Shoot 'Em Up$24.99 This Bed We Made Mystery Third Person Cinematic Story Rich$19.99 Headbangers: Rhythm Royale Casual Rhythm Battle Royale Character Customization							See more:							New ReleasesTop Sellers										Include free to play items																			Include items in my library									 Call of Duty® FPS Multiplayer Shooter ActionFree to Play Counter-Strike 2 FPS Shooter Multiplayer Competitive$9.99 Lethal Company Early Access Online Co-Op Horror PvE$59.99 Baldur's Gate 3 RPG Choices Matter Character Customization Story Rich-15%$14.99$12.74 Risk of Rain Returns Online Co-Op Multiplayer Action Roguelike PvE$349.00 Steam Deck Free to Play War ThunderVR Supported Free to Play Vehicular Combat Combat World War II$44.99 ARK: Survival Ascended Early Access Survival Open World DinosaursFree to Play Apex Legends™ Free to Play Battle Royale Multiplayer Shooter$29.99 Call of Duty®: Modern Warfare® II - BlackCell (Season 06) Action Gore Violent Capitalism$49.99 Cities: Skylines II Simulation City Builder Building Singleplayer$59.99 Cyberpunk 2077 Cyberpunk Open World Nudity RPG-50%$49.99$24.99 Crusader Kings III Strategy Simulation RPG Medieval$19.99 Dead by Daylight Horror Survival Horror Multiplayer Online Co-Op$39.99 Rust Survival Crafting Multiplayer Open WorldFree To Play Lost Ark MMORPG Free to Play Action RPG MultiplayerFree to Play Warframe Free to Play Action RPG Looter Shooter Third-Person ShooterFree to Play PUBG: BATTLEGROUNDS Survival Shooter Battle Royale Multiplayer$69.99 Mortal Kombat 1 Action Gore Fighting Blood$19.99 Party Animals Casual Funny Multiplayer Cute$29.99 Cyberpunk 2077: Phantom Liberty RPG Story Rich Cyberpunk Open World$69.99 EA SPORTS FC™ 24 Sports Football (Soccer) Controller PvP$19.99 Tom Clancy's Rainbow Six® Siege FPS PvP eSports Shooter-30%$34.99$24.49 Stranded: Alien Dawn Survival Base Building Simulation Strategy$39.99 New World Massively Multiplayer Open World MMORPG RPG Grand Theft Auto V Open World Action Multiplayer Crime$39.99 Warhammer 40000: Darktide Warhammer 40K Gore Adventure Online Co-Op$49.99 RoboCop: Rogue City Action FPS First-Person Singleplayer$69.99 Starfield Space Singleplayer Open World RPG$24.99 For The King II Adventure RPG Strategy Board Game								See more:																	Top Sellers																					or											Global Top SellersTop Sellers																					or											Global Top SellersPopular Upcoming CD 2: Trap Master Early Access Roguelike Roguelike Deckbuilder Adventure Dream Town Island Simulation Strategy Casual City Builder Microcivilization 4X Clicker Base Building Resource ManagementFree Disco Simulator: Prologue Casual Simulation Management Party Minigame Madness Early Access Multiplayer Minigames Funny Estate Agent Simulator Simulation Life Sim Trading FPS Spirittea RPG Life Sim Simulation Fantasy March of Shrooms Strategy Action Action RTS 2D Bzzzt Precision Platformer Indie Action 2D Broken Roads RPG Post-apocalyptic Isometric Philosophical-10%$39.99$35.99 SUPER CRAZY RHYTHM CASTLE Puzzle Rhythm Action Music Misty's Shining Blacksmithing Sexual Content Nudity Adventure RPG Refind Self: The Personality Test Game Casual Adventure Pixel Graphics Choices Matter The Dot Adventure Story Rich Walking Simulator Exploration Invincible Presents: Atom Eve Adventure Action Visual Novel Story Rich Dune: Imperium Early Access Strategy Board Game Deckbuilding Ticket to Ride Board Game Tabletop Strategy Trains$39.99 UFO ROBOT GRENDIZER – The Feast of the Wolves Action Adventure Action-Adventure Beat 'em up-25%$9.99$7.49 KarmaZoo Action Casual Platformer Puzzle Death Must Die Early Access RPG Action Roguelike Bullet Hell Skybreakers Action Roguelike Action RPG Bullet Hell RogueliteFree To Play PHANTOM GALAXIES™ Action Adventure Anime Mechs Naheulbeuk's Dungeon Master Simulation Management Funny Replay Value The Last Faith Metroidvania Souls-like Violent Pixel Graphics American Arcadia Story Rich Atmospheric Puzzle Exploration Wizordum Early Access Action FPS Shooter Checkmate Showdown Fighting Competitive PvP Local Multiplayer Waifu Fighter -Family Friendly Casual Sexual Content Interactive Fiction Dating Sim 7th Domain RPG Action Action-Adventure Action Roguelike YOHANE THE PARHELION -BLAZE in the DEEPBLUE- Action Adventure Metroidvania Anime							See more:							Upcoming ReleasesSpecials-67%$29.99$9.89 Deep Rock Galactic Co-op PvE FPS Procedural Generation-50%$49.99$24.99 Crusader Kings III Strategy Simulation RPG Medieval-30%$34.99$24.49 Stranded: Alien Dawn Survival Base Building Simulation Strategy-75%$59.99$14.99 Tiny Tina's Wonderlands Loot Adventure Shooter Looter Shooter-30%$49.99$34.99 Mount &amp; Blade II: Bannerlord Medieval Strategy Open World RPG-60%$69.99$27.99 F1® 23VR Supported VR Racing Driving Sports-20%$21.99$17.59 Void Crew Adventure Action Online Co-Op Multiplayer-67%$59.99$19.79 Mafia Trilogy Action Open World Crime Story Rich-20%$74.99$59.99 Crusader Kings III Royal Edition Strategy Simulation RPG Medieval-75%$59.99$14.99 Tiny Tina's Wonderlands Loot Adventure Shooter Looter Shooter-30%$49.99$34.99 Age of Wonders 4 Strategy 4X Choices Matter Character Customization-85%$59.99$8.99 Far Cry® 5 Action-Adventure Open World FPS Shooter-70%$29.99$8.99 Dying Light Enhanced Edition Action Zombies RPG Parkour-75%$24.99$6.24 Overcooked! 2 Multiplayer Online Co-Op Local Co-Op Co-op-33%$29.99$20.09 Trepang2 Gore FPS Violent Action-85%$59.99$8.99 Watch Dogs®: Legion Action Adventure RPG Shooter-20%$24.99$19.99 ULTRAKILL Early Access FPS Arena Shooter Spectacle fighter-67%$29.99$9.89 Isonzo War Atmospheric Indie Simulation-85%$49.99$7.49 Watch_Dogs® 2 Open World Hacking Illuminati Parkour-85%$59.99$8.99 Borderlands 3 RPG Action Looter Shooter Multiplayer-20%$24.99$19.99 HYPERCHARGE: Unboxed Action-Adventure Co-op Campaign Singleplayer Third-Person Shooter-20%$29.99$23.99 Crusader Kings III: Tours &amp; Tournaments Strategy RPG Simulation Medieval-67%$14.99$4.94 Golf With Your Friends Multiplayer Casual Mini Golf Sports-75%$39.99$9.99 Riders Republic Racing Open World Massively Multiplayer Sports-70%$19.99$5.99 Grand Theft Auto IV: The Complete Edition Open World Action Automobile Sim Multiplayer-20%$19.99$15.99 Shadows of Doubt Early Access Detective Immersive Sim Sandbox-50%$39.99$19.99 Way of the Hunter Adventure Shooter Hunting Exploration-20%$29.99$23.99 Sengoku Dynasty Early Access Adventure Life Sim Simulation-50%$59.99$29.99 Grand Theft Auto: The Trilogy – The Definitive Edition Action Third-Person Shooter Open World Adventure-25%$14.99$11.24 Escape Simulator Puzzle Co-op Escape Room Multiplayer-80%$99.99$19.99 ACE COMBAT™ 7: SKIES UNKNOWN - TOP GUN: Maverick Ultimate Edition Simulation Action Flight Jet-20%$19.99$15.99 Chants of Sennaar Adventure Singleplayer Puzzle Colorful-77%$84.99$19.54 DRAGON BALL Z: KAKAROT Action RPG Anime Open World-80%$29.99$5.99 Far Cry® 4 Open World Action FPS Co-op-75%$39.99$9.99 Mafia: Definitive Edition Open World Action Story Rich Crime-85%$29.99$4.49 Watch_Dogs™ Open World Hacking Action Multiplayer-20%$29.99$23.99 Tainted Grail: The Fall of Avalon Early Access RPG Open World Dark Fantasy-20%$19.99$15.99 Dinkum Early Access Farming Sim Life Sim Online Co-Op-75%$79.99$19.99 Borderlands 3: Super Deluxe Edition Action RPG Looter Shooter Gore-60%$99.99$39.99 WWE 2K23 Sports Simulation Wrestling Multiplayer							See more:							SpecialsView all                            More                            Games streaming now				TRENDING AMONG FRIENDS				Browse All                                More                                					Under $10                    Under $10Under $5Updates and Offers  Keep scrolling for more recommendationsBelow you'll find a variety of titles that you may be interested in from categories across SteamLooking for recommendations?Sign in to view personalized recommendationsSign In						Or sign up and join Steam for free					© 2023 Valve Corporation.  All rights reserved.  All trademarks are property of their respective owners in the US and other countries.VAT included in all prices where applicable.              Privacy Policy              |              Legal              |              Steam Subscriber Agreement              |              Refunds              |              CookiesView mobile websiteAbout Valve          |  Jobs          |  Steamworks          |  Steam Distribution          |  Support                          |  Recycling                		  |  Gift Cards		  |   Steam		  |   @steam We're out of personalized recommendations for you right nowWe can recommend some different titles once you've played more games.Still looking for more? Check out a random game.We don't have any recommendations to show you here.This might be an error or it might be that you don't have any playtime on record.You can hit refresh or come back once you've played a game.Perhaps you'd like to check out a random game?Loading more content...</v>
      </c>
    </row>
    <row r="4">
      <c r="A4" s="1" t="s">
        <v>13</v>
      </c>
      <c r="B4" s="1" t="s">
        <v>21</v>
      </c>
      <c r="D4" s="1">
        <v>3.0</v>
      </c>
      <c r="E4" s="4" t="s">
        <v>22</v>
      </c>
      <c r="F4" s="1" t="s">
        <v>16</v>
      </c>
      <c r="G4" s="1" t="s">
        <v>23</v>
      </c>
      <c r="H4" s="4" t="s">
        <v>24</v>
      </c>
      <c r="I4" s="2">
        <v>1.0</v>
      </c>
      <c r="J4" s="5" t="str">
        <f>IFERROR(__xludf.DUMMYFUNCTION("GOOGLETRANSLATE(A4)"),"atomic heart")</f>
        <v>atomic heart</v>
      </c>
      <c r="K4" s="6" t="str">
        <f>IFERROR(__xludf.DUMMYFUNCTION("GOOGLETRANSLATE(B4)"),"Atomic Heart | Exclusively on VK Play")</f>
        <v>Atomic Heart | Exclusively on VK Play</v>
      </c>
      <c r="M4" s="5" t="str">
        <f>IFERROR(__xludf.DUMMYFUNCTION("GOOGLETRANSLATE(G4)"),"Atomic Heart | Exclusively at VK Playige, it has already been available to the list of the desired VK Playob IgresSSR. You are the P-3 Major your task is to eliminate the consequences of the global catastrophe and restrain the leakage of classified inform"&amp;"ation that threatened the destruction of the whole world. Use a large arsenal of weapons as well as the superpowers of your polymer glove. Turn everything into a weapon: objects around your body and even your enemies! Each battle is unique. Less -in -the "&amp;"-manage to play the game, study all game locations. Huge research complexes many testing grounds and a deadly threat at every step. Examine all corners of the premises and you can find many interesting facts about the life and work of employees of leading"&amp;" research of varying degrees of secrecy. Unless of course you can survive. The “collective” is connected by the neuroglobal neural network to a single network of all flying and ground robots on the surface and in underground complexes. If you are noticed,"&amp;" reinforcements will quickly arrive from the nearest auto -factory to eliminate you. Play in Stealth mode and do not raise anxiety or run ahead and destroy enemies-the choice is yours! To join the atomic clubpin access to exclusive content to special offe"&amp;"rs and learn about the upcoming updates and events are the first to join VK © 2023 Astrum LLC. All rights reserved. All trademarks are the property of their owners. 18+ATOMIC HEART Privacy Policy General licensing agreement of the confidentiality center o"&amp;"f support")</f>
        <v>Atomic Heart | Exclusively at VK Playige, it has already been available to the list of the desired VK Playob IgresSSR. You are the P-3 Major your task is to eliminate the consequences of the global catastrophe and restrain the leakage of classified information that threatened the destruction of the whole world. Use a large arsenal of weapons as well as the superpowers of your polymer glove. Turn everything into a weapon: objects around your body and even your enemies! Each battle is unique. Less -in -the -manage to play the game, study all game locations. Huge research complexes many testing grounds and a deadly threat at every step. Examine all corners of the premises and you can find many interesting facts about the life and work of employees of leading research of varying degrees of secrecy. Unless of course you can survive. The “collective” is connected by the neuroglobal neural network to a single network of all flying and ground robots on the surface and in underground complexes. If you are noticed, reinforcements will quickly arrive from the nearest auto -factory to eliminate you. Play in Stealth mode and do not raise anxiety or run ahead and destroy enemies-the choice is yours! To join the atomic clubpin access to exclusive content to special offers and learn about the upcoming updates and events are the first to join VK © 2023 Astrum LLC. All rights reserved. All trademarks are the property of their owners. 18+ATOMIC HEART Privacy Policy General licensing agreement of the confidentiality center of support</v>
      </c>
    </row>
    <row r="5">
      <c r="A5" s="1" t="s">
        <v>13</v>
      </c>
      <c r="B5" s="1" t="s">
        <v>25</v>
      </c>
      <c r="D5" s="1">
        <v>4.0</v>
      </c>
      <c r="E5" s="4" t="s">
        <v>26</v>
      </c>
      <c r="F5" s="1" t="s">
        <v>16</v>
      </c>
      <c r="G5" s="1" t="s">
        <v>27</v>
      </c>
      <c r="H5" s="4" t="s">
        <v>28</v>
      </c>
      <c r="I5" s="2">
        <v>2.0</v>
      </c>
      <c r="J5" s="5" t="str">
        <f>IFERROR(__xludf.DUMMYFUNCTION("GOOGLETRANSLATE(A5)"),"atomic heart")</f>
        <v>atomic heart</v>
      </c>
      <c r="K5" s="6" t="str">
        <f>IFERROR(__xludf.DUMMYFUNCTION("GOOGLETRANSLATE(B5)"),"Atomic Heart")</f>
        <v>Atomic Heart</v>
      </c>
      <c r="M5" s="5" t="str">
        <f>IFERROR(__xludf.DUMMYFUNCTION("GOOGLETRANSLATE(G5)"),"Wikipedia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6">
      <c r="A6" s="1" t="s">
        <v>13</v>
      </c>
      <c r="B6" s="1" t="s">
        <v>25</v>
      </c>
      <c r="C6" s="1" t="s">
        <v>29</v>
      </c>
      <c r="D6" s="1">
        <v>5.0</v>
      </c>
      <c r="E6" s="4" t="s">
        <v>30</v>
      </c>
      <c r="F6" s="1" t="s">
        <v>16</v>
      </c>
      <c r="G6" s="1" t="s">
        <v>31</v>
      </c>
      <c r="H6" s="4" t="s">
        <v>32</v>
      </c>
      <c r="I6" s="2">
        <v>2.0</v>
      </c>
      <c r="J6" s="5" t="str">
        <f>IFERROR(__xludf.DUMMYFUNCTION("GOOGLETRANSLATE(A6)"),"atomic heart")</f>
        <v>atomic heart</v>
      </c>
      <c r="K6" s="6" t="str">
        <f>IFERROR(__xludf.DUMMYFUNCTION("GOOGLETRANSLATE(B6)"),"Atomic Heart")</f>
        <v>Atomic Heart</v>
      </c>
      <c r="L6" s="5" t="str">
        <f>IFERROR(__xludf.DUMMYFUNCTION("GOOGLETRANSLATE(C6)"),"Atomic Heart (from English - “Atomic Heart”) - a computer game in the genre of the first -person shooter with elements of role -playing game developed by the Russian studio ...")</f>
        <v>Atomic Heart (from English - “Atomic Heart”) - a computer game in the genre of the first -person shooter with elements of role -playing game developed by the Russian studio ...</v>
      </c>
      <c r="M6" s="5" t="str">
        <f>IFERROR(__xludf.DUMMYFUNCTION("GOOGLETRANSLATE(G6)"),"Wikipedia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7">
      <c r="A7" s="1" t="s">
        <v>13</v>
      </c>
      <c r="B7" s="1" t="s">
        <v>25</v>
      </c>
      <c r="D7" s="1">
        <v>6.0</v>
      </c>
      <c r="E7" s="4" t="s">
        <v>33</v>
      </c>
      <c r="F7" s="1" t="s">
        <v>16</v>
      </c>
      <c r="G7" s="1" t="s">
        <v>34</v>
      </c>
      <c r="H7" s="4" t="s">
        <v>35</v>
      </c>
      <c r="I7" s="2">
        <v>3.0</v>
      </c>
      <c r="J7" s="5" t="str">
        <f>IFERROR(__xludf.DUMMYFUNCTION("GOOGLETRANSLATE(A7)"),"atomic heart")</f>
        <v>atomic heart</v>
      </c>
      <c r="K7" s="6" t="str">
        <f>IFERROR(__xludf.DUMMYFUNCTION("GOOGLETRANSLATE(B7)"),"Atomic Heart")</f>
        <v>Atomic Heart</v>
      </c>
      <c r="M7" s="5" t="str">
        <f>IFERROR(__xludf.DUMMYFUNCTION("GOOGLETRANSLATE(G7)"),"VK.com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8">
      <c r="A8" s="1" t="s">
        <v>13</v>
      </c>
      <c r="B8" s="1" t="s">
        <v>25</v>
      </c>
      <c r="C8" s="1" t="s">
        <v>36</v>
      </c>
      <c r="D8" s="1">
        <v>7.0</v>
      </c>
      <c r="E8" s="4" t="s">
        <v>37</v>
      </c>
      <c r="F8" s="1" t="s">
        <v>16</v>
      </c>
      <c r="G8" s="1" t="s">
        <v>38</v>
      </c>
      <c r="H8" s="4" t="s">
        <v>39</v>
      </c>
      <c r="I8" s="2">
        <v>1.0</v>
      </c>
      <c r="J8" s="5" t="str">
        <f>IFERROR(__xludf.DUMMYFUNCTION("GOOGLETRANSLATE(A8)"),"atomic heart")</f>
        <v>atomic heart</v>
      </c>
      <c r="K8" s="6" t="str">
        <f>IFERROR(__xludf.DUMMYFUNCTION("GOOGLETRANSLATE(B8)"),"Atomic Heart")</f>
        <v>Atomic Heart</v>
      </c>
      <c r="L8" s="5" t="str">
        <f>IFERROR(__xludf.DUMMYFUNCTION("GOOGLETRANSLATE(C8)"),"Welcome to the official channel of Mundfish studio and Atomic Heart game!Atomic Heart, the first-person action-RPG set in the mad utopia of fictional 1955, ...")</f>
        <v>Welcome to the official channel of Mundfish studio and Atomic Heart game!Atomic Heart, the first-person action-RPG set in the mad utopia of fictional 1955, ...</v>
      </c>
      <c r="M8" s="5" t="str">
        <f>IFERROR(__xludf.DUMMYFUNCTION("GOOGLETRANSLATE(G8)"),"YouTubeAboutPressCopyrightContact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9">
      <c r="A9" s="1" t="s">
        <v>13</v>
      </c>
      <c r="B9" s="1" t="s">
        <v>25</v>
      </c>
      <c r="C9" s="1" t="s">
        <v>40</v>
      </c>
      <c r="D9" s="1">
        <v>8.0</v>
      </c>
      <c r="E9" s="4" t="s">
        <v>41</v>
      </c>
      <c r="F9" s="1" t="s">
        <v>16</v>
      </c>
      <c r="G9" s="1" t="s">
        <v>38</v>
      </c>
      <c r="H9" s="4" t="s">
        <v>39</v>
      </c>
      <c r="I9" s="2">
        <v>1.0</v>
      </c>
      <c r="J9" s="5" t="str">
        <f>IFERROR(__xludf.DUMMYFUNCTION("GOOGLETRANSLATE(A9)"),"atomic heart")</f>
        <v>atomic heart</v>
      </c>
      <c r="K9" s="6" t="str">
        <f>IFERROR(__xludf.DUMMYFUNCTION("GOOGLETRANSLATE(B9)"),"Atomic Heart")</f>
        <v>Atomic Heart</v>
      </c>
      <c r="L9" s="5" t="str">
        <f>IFERROR(__xludf.DUMMYFUNCTION("GOOGLETRANSLATE(C9)"),"Welcome to the official channel of Mundfish studio and Atomic Heart game! mundfish.com/enand 5 more links. Subscribe. Home. Videos. Shorts. Playlists.")</f>
        <v>Welcome to the official channel of Mundfish studio and Atomic Heart game! mundfish.com/enand 5 more links. Subscribe. Home. Videos. Shorts. Playlists.</v>
      </c>
      <c r="M9" s="5" t="str">
        <f>IFERROR(__xludf.DUMMYFUNCTION("GOOGLETRANSLATE(G9)"),"YouTubeAboutPressCopyrightContact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0">
      <c r="A10" s="1" t="s">
        <v>13</v>
      </c>
      <c r="B10" s="1" t="s">
        <v>25</v>
      </c>
      <c r="D10" s="1">
        <v>4.0</v>
      </c>
      <c r="E10" s="4" t="s">
        <v>42</v>
      </c>
      <c r="F10" s="1" t="s">
        <v>43</v>
      </c>
      <c r="I10" s="2">
        <v>0.0</v>
      </c>
      <c r="J10" s="5" t="str">
        <f>IFERROR(__xludf.DUMMYFUNCTION("GOOGLETRANSLATE(A10)"),"atomic heart")</f>
        <v>atomic heart</v>
      </c>
      <c r="K10" s="6" t="str">
        <f>IFERROR(__xludf.DUMMYFUNCTION("GOOGLETRANSLATE(B10)"),"Atomic Heart")</f>
        <v>Atomic Heart</v>
      </c>
      <c r="M10" s="5" t="str">
        <f>IFERROR(__xludf.DUMMYFUNCTION("GOOGLETRANSLATE(G10)"),"#VALUE!")</f>
        <v>#VALUE!</v>
      </c>
    </row>
    <row r="11">
      <c r="A11" s="1" t="s">
        <v>13</v>
      </c>
      <c r="B11" s="1" t="s">
        <v>25</v>
      </c>
      <c r="D11" s="1">
        <v>5.0</v>
      </c>
      <c r="E11" s="4" t="s">
        <v>44</v>
      </c>
      <c r="F11" s="1" t="s">
        <v>43</v>
      </c>
      <c r="G11" s="1" t="s">
        <v>45</v>
      </c>
      <c r="H11" s="4" t="s">
        <v>46</v>
      </c>
      <c r="I11" s="2">
        <v>1.0</v>
      </c>
      <c r="J11" s="5" t="str">
        <f>IFERROR(__xludf.DUMMYFUNCTION("GOOGLETRANSLATE(A11)"),"atomic heart")</f>
        <v>atomic heart</v>
      </c>
      <c r="K11" s="6" t="str">
        <f>IFERROR(__xludf.DUMMYFUNCTION("GOOGLETRANSLATE(B11)"),"Atomic Heart")</f>
        <v>Atomic Heart</v>
      </c>
      <c r="M11" s="5" t="str">
        <f>IFERROR(__xludf.DUMMYFUNCTION("GOOGLETRANSLATE(G11)"),"Home - Focus EntertainmentBanishers: Ghosts of New EdenLife to the living death to the dead. Watch the Gameplay Overview for an in-depth look at the poignant narrative-driven action-RPG releasing Feb 13.Watch the trailerPre-order nowSpace Marine 2Watch th"&amp;"e Extended Gameplay Trailer and sign up to get a chance to participate to upcoming beta.Pre-order nowWatch the trailerMy Time at SandrockMy Time at Sandrock is now available in its 1.0 version! Play now with co-op multiplayer on PC.Watch the trailerPlay N"&amp;"owExpeditions: A MudRunner GameEmbark on scientific expeditions with this new off-road adventure game!Wishlist nowWatch the trailerAliens: Dark DescentThe real-time squad-based tactical action game set in the iconic Alien universe is available on consoles"&amp;" and PC!Play NowWatch the trailer                Featured games            Banishers: Ghosts of New Eden - Édition CollectorPre-order the Collector’s Edition of Banishers: Ghosts of New Eden now to get a modular statuette of Red and Antea the game’s offic"&amp;"ial book a Steelbook® two Banishers signet rings and the game on the platform of your choice with the Wanderer Set DLC!Go to Store                Latest news            Become a Focus member!Create your Focus account to get the latest info and upcoming ex"&amp;"clusive offers for the whole Focus catalogue.Sign up now        	;    Latest videos Follow usFacebookTwitterYoutubeTwitchInstagram                        Company                                                    About                                     "&amp;"                       Jobs                                                            Investors                                                            Presskits                                                            Support                       "&amp;"                                     Playtest                                                            Beta                                                    Legals                                                    Privacy policy                      "&amp;"                                      Cookies policy                                                            Legal                                                            EULA                                                            YouTube terms "&amp;"for monetizing our games                                                            Data Subjects Rights Form                                                    Services                                                    Media relations                   "&amp;"                                         Business opportunities                                                Never miss a good deal by subscribing to our newsletter!                                    I want to receive awesome news about all your games "&amp;"merch and collector editions!                                © 2023 Focus Entertainment")</f>
        <v>Home - Focus EntertainmentBanishers: Ghosts of New EdenLife to the living death to the dead. Watch the Gameplay Overview for an in-depth look at the poignant narrative-driven action-RPG releasing Feb 13.Watch the trailerPre-order nowSpace Marine 2Watch the Extended Gameplay Trailer and sign up to get a chance to participate to upcoming beta.Pre-order nowWatch the trailerMy Time at SandrockMy Time at Sandrock is now available in its 1.0 version! Play now with co-op multiplayer on PC.Watch the trailerPlay NowExpeditions: A MudRunner GameEmbark on scientific expeditions with this new off-road adventure game!Wishlist nowWatch the trailerAliens: Dark DescentThe real-time squad-based tactical action game set in the iconic Alien universe is available on consoles and PC!Play NowWatch the trailer                Featured games            Banishers: Ghosts of New Eden - Édition CollectorPre-order the Collector’s Edition of Banishers: Ghosts of New Eden now to get a modular statuette of Red and Antea the game’s official book a Steelbook® two Banishers signet rings and the game on the platform of your choice with the Wanderer Set DLC!Go to Store                Latest news            Become a Focus member!Create your Focus account to get the latest info and upcoming exclusive offers for the whole Focus catalogue.Sign up now        	;    Latest videos Follow usFacebookTwitterYoutubeTwitchInstagram                        Company                                                    About                                                            Jobs                                                            Investors                                                            Presskits                                                            Support                                                            Playtest                                                            Beta                                                    Legals                                                    Privacy policy                                                            Cookies policy                                                            Legal                                                            EULA                                                            YouTube terms for monetizing our games                                                            Data Subjects Rights Form                                                    Services                                                    Media relations                                                            Business opportunities                                                Never miss a good deal by subscribing to our newsletter!                                    I want to receive awesome news about all your games merch and collector editions!                                © 2023 Focus Entertainment</v>
      </c>
    </row>
    <row r="12">
      <c r="A12" s="1" t="s">
        <v>13</v>
      </c>
      <c r="B12" s="1" t="s">
        <v>25</v>
      </c>
      <c r="D12" s="1">
        <v>6.0</v>
      </c>
      <c r="E12" s="4" t="s">
        <v>47</v>
      </c>
      <c r="F12" s="1" t="s">
        <v>43</v>
      </c>
      <c r="G12" s="1" t="s">
        <v>48</v>
      </c>
      <c r="H12" s="4" t="s">
        <v>49</v>
      </c>
      <c r="I12" s="2">
        <v>1.0</v>
      </c>
      <c r="J12" s="5" t="str">
        <f>IFERROR(__xludf.DUMMYFUNCTION("GOOGLETRANSLATE(A12)"),"atomic heart")</f>
        <v>atomic heart</v>
      </c>
      <c r="K12" s="6" t="str">
        <f>IFERROR(__xludf.DUMMYFUNCTION("GOOGLETRANSLATE(B12)"),"Atomic Heart")</f>
        <v>Atomic Heart</v>
      </c>
      <c r="M12" s="5" t="str">
        <f>IFERROR(__xludf.DUMMYFUNCTION("GOOGLETRANSLATE(G12)"),"Xbox Official Site: Consoles Games and Community | Xbox Skip to main contentMicrosoftXboxXbox Home Home Game Pass​Join Game PassBrowse Games​​Game Pass UltimatePC Game Pass​​Game Pass Core​Deals with Game Pass​Xbox Cloud Gaming (Beta)​ GamesGames homeShop"&amp;" all console gamesShop all PC gamesCloud gamesFree to play gamesOptimized gamesBackward compatible gamesSales &amp; SpecialsRedeem Code Devices​ConsolesConsolesXbox consolesXbox Series XXbox Series SXbox All AccessShop all consolesHelp Me ChooseWhere to buyAc"&amp;"cessoriesAccessoriesShop all accessoriesDesign your controllerControllersHeadsetsHard drives &amp; storageMobile gaming accessoriesPC DevicesPC DevicesGaming PCs PlayCommunityCommunityCommunityXbox communityXbox NewsSustainabilityFor EveryoneFor EveryoneOur p"&amp;"hilosophyFamily hubAccessible gamingCommunity standardsXbox Gear ShopXbox Gear ShopShop gearApps &amp; EntertainmentApps &amp; EntertainmentXbox app for mobileXbox app for Windows PCXbox app for smart TVXbox Game Pass mobile appXbox Family Settings appConsole ent"&amp;"ertainment apps SupportSupport homeXbox statusHelp topicsHelp topicsAccount &amp; profileSubscriptions &amp; billingHardware &amp; networkingFamily &amp; online safetyGames &amp; appsFriends &amp; social activityAccessible gamingXbox system updates My XboxHomeProfileRewardsWish "&amp;"list DevelopersGamesDesigned for XboxMore  All MicrosoftGlobalMicrosoft 365TeamsWindowsSurfaceXboxDealsSmall BusinessSupportSoftwareSoftwareWindows AppsAIOutlookOneDriveMicrosoft TeamsOneNoteMicrosoft EdgeSkypePCs &amp; Devices  PCs &amp; Devices  ComputersShop X"&amp;"boxAccessoriesVR &amp; mixed realityCertified RefurbishedTrade-in for cashEntertainmentEntertainmentXbox Game Pass UltimatePC Game PassXbox gamesPC and Windows gamesMovies &amp; TVBusinessBusinessMicrosoft CloudMicrosoft SecurityDynamics 365Microsoft 365 for busi"&amp;"nessMicrosoft Power PlatformWindows 365Microsoft IndustrySmall BusinessDeveloper &amp; IT  Developer &amp; IT  AzureDeveloper CenterDocumentationMicrosoft LearnMicrosoft Tech CommunityAzure MarketplaceAppSourceVisual StudioOtherOtherMicrosoft Rewards Free downloa"&amp;"ds &amp; securityEducationGift cardsHoliday giftsLicensingUnlocked storiesView SitemapSearchSearch Xbox.com No resultsCancel0Cart0 items in shopping cartSign inUse the arrow keys to navigate through the slides and tab to focus on focusable content inside a sl"&amp;"ide section          Shop for more xbox products or sign in to your xbox accountXXFollow Xbox BrowseXbox consolesXbox gamesXbox Game PassXbox accessoriesResourcesXbox NewsXbox SupportFeedbackCommunity StandardsPhotosensitive Seizure WarningUser Research a"&amp;"t XboxMicrosoft StoreMicrosoft accountMicrosoft Store SupportReturnsOrders trackingStore locationsFor DevelopersGamesDesigned for XboxEnglish (United States)California Consumer Privacy Act (CCPA) Opt-Out IconYour Privacy ChoicesCalifornia Consumer Privacy"&amp;" Act (CCPA) Opt-Out IconYour Privacy ChoicesSitemapContact MicrosoftPrivacy &amp; CookiesManage cookiesTerms of useTrademarksThird Party NoticesSafety &amp; ecoAbout our ads© Microsoft 2023")</f>
        <v>Xbox Official Site: Consoles Games and Community | Xbox Skip to main contentMicrosoftXboxXbox Home Home Game Pass​Join Game PassBrowse Games​​Game Pass UltimatePC Game Pass​​Game Pass Core​Deals with Game Pass​Xbox Cloud Gaming (Beta)​ GamesGames homeShop all console gamesShop all PC gamesCloud gamesFree to play gamesOptimized gamesBackward compatible gamesSales &amp; SpecialsRedeem Code Devices​ConsolesConsolesXbox consolesXbox Series XXbox Series SXbox All AccessShop all consolesHelp Me ChooseWhere to buyAccessoriesAccessoriesShop all accessoriesDesign your controllerControllersHeadsetsHard drives &amp; storageMobile gaming accessoriesPC DevicesPC DevicesGaming PCs PlayCommunityCommunityCommunityXbox communityXbox NewsSustainabilityFor EveryoneFor EveryoneOur philosophyFamily hubAccessible gamingCommunity standardsXbox Gear ShopXbox Gear ShopShop gearApps &amp; EntertainmentApps &amp; EntertainmentXbox app for mobileXbox app for Windows PCXbox app for smart TVXbox Game Pass mobile appXbox Family Settings appConsole entertainment apps SupportSupport homeXbox statusHelp topicsHelp topicsAccount &amp; profileSubscriptions &amp; billingHardware &amp; networkingFamily &amp; online safetyGames &amp; appsFriends &amp; social activityAccessible gamingXbox system updates My XboxHomeProfileRewardsWish list DevelopersGamesDesigned for XboxMore  All MicrosoftGlobalMicrosoft 365TeamsWindowsSurfaceXboxDealsSmall BusinessSupportSoftwareSoftwareWindows AppsAIOutlookOneDriveMicrosoft TeamsOneNoteMicrosoft EdgeSkypePCs &amp; Devices  PCs &amp; Devices  ComputersShop XboxAccessoriesVR &amp; mixed realityCertified RefurbishedTrade-in for cashEntertainmentEntertainmentXbox Game Pass UltimatePC Game PassXbox gamesPC and Windows gamesMovies &amp; TVBusinessBusinessMicrosoft CloudMicrosoft SecurityDynamics 365Microsoft 365 for businessMicrosoft Power PlatformWindows 365Microsoft IndustrySmall BusinessDeveloper &amp; IT  Developer &amp; IT  AzureDeveloper CenterDocumentationMicrosoft LearnMicrosoft Tech CommunityAzure MarketplaceAppSourceVisual StudioOtherOtherMicrosoft Rewards Free downloads &amp; securityEducationGift cardsHoliday giftsLicensingUnlocked storiesView SitemapSearchSearch Xbox.com No resultsCancel0Cart0 items in shopping cartSign inUse the arrow keys to navigate through the slides and tab to focus on focusable content inside a slide section          Shop for more xbox products or sign in to your xbox accountXXFollow Xbox BrowseXbox consolesXbox gamesXbox Game PassXbox accessoriesResourcesXbox NewsXbox SupportFeedbackCommunity StandardsPhotosensitive Seizure WarningUser Research at XboxMicrosoft StoreMicrosoft accountMicrosoft Store SupportReturnsOrders trackingStore locationsFor DevelopersGamesDesigned for XboxEnglish (United States)California Consumer Privacy Act (CCPA) Opt-Out IconYour Privacy ChoicesCalifornia Consumer Privacy Act (CCPA) Opt-Out IconYour Privacy ChoicesSitemapContact MicrosoftPrivacy &amp; CookiesManage cookiesTerms of useTrademarksThird Party NoticesSafety &amp; ecoAbout our ads© Microsoft 2023</v>
      </c>
    </row>
    <row r="13">
      <c r="A13" s="1" t="s">
        <v>13</v>
      </c>
      <c r="B13" s="1" t="s">
        <v>25</v>
      </c>
      <c r="C13" s="1" t="s">
        <v>50</v>
      </c>
      <c r="D13" s="1">
        <v>7.0</v>
      </c>
      <c r="E13" s="4" t="s">
        <v>51</v>
      </c>
      <c r="F13" s="1" t="s">
        <v>43</v>
      </c>
      <c r="G13" s="1" t="s">
        <v>52</v>
      </c>
      <c r="H13" s="4" t="s">
        <v>53</v>
      </c>
      <c r="I13" s="2">
        <v>2.0</v>
      </c>
      <c r="J13" s="5" t="str">
        <f>IFERROR(__xludf.DUMMYFUNCTION("GOOGLETRANSLATE(A13)"),"atomic heart")</f>
        <v>atomic heart</v>
      </c>
      <c r="K13" s="6" t="str">
        <f>IFERROR(__xludf.DUMMYFUNCTION("GOOGLETRANSLATE(B13)"),"Atomic Heart")</f>
        <v>Atomic Heart</v>
      </c>
      <c r="L13" s="5" t="str">
        <f>IFERROR(__xludf.DUMMYFUNCTION("GOOGLETRANSLATE(C13)"),"Atomic Heart is a colorful title with a gripping story and powerful dialogue. Its universe between Bioshock and Wolfenstein absorbs you and takes you on a fast- ...")</f>
        <v>Atomic Heart is a colorful title with a gripping story and powerful dialogue. Its universe between Bioshock and Wolfenstein absorbs you and takes you on a fast- ...</v>
      </c>
      <c r="M13" s="5" t="str">
        <f>IFERROR(__xludf.DUMMYFUNCTION("GOOGLETRANSLATE(G13)"),"Movie Reviews TV Reviews Game Reviews and Music Reviews - Metacritic                                                                                                                                                                                    X   Clo"&amp;"se Ad       Games        Explore Games                 Games Home                          Best Games This Year                          Best Games of All Time                          Upcoming Releases                          New PS5 Games              "&amp;"            New Xbox Series X/S Games                          New Switch Games                          New PC Games                          See All                 New Games                 New &amp; Upcoming Games                          Free &amp; Subscript"&amp;"ion Games                          Call of Duty: Modern Warfare III                          Alan Wake II                          Like a Dragon Gaiden: The Man Who Erased His Name                          RoboCop: Rogue City                          The "&amp;"Invincible                          Star Ocean: The Second Story R                          Marvel's Spider-Man 2                          Super Mario Bros. Wonder                          See All                  Movies        Explore Movies             "&amp;"    Movies Home                          Coming Soon to Theaters                          DVD/Blu-ray: New &amp; Upcoming                          Best Movies This Year                          Best Movies of All Time                          Best Movies on N"&amp;"etflix                          Best Movies on Hulu                          Best Movies on Prime Video                          Best Movies on Max                          Best Movies on Paramount+                          See All                 New Mov"&amp;"ies in Theaters                 November Movie Preview                          The Hunger Games: The Ballad of Songbirds and Snakes                          The Marvels                          Dream Scenario                          The Holdovers       "&amp;"                   The Killer                          Priscilla                          Five Nights at Freddy's                          Killers of the Flower Moon                          Taylor Swift: The Eras Tour                          See All    "&amp;"              TV Shows        Explore TV                 TV Home                          Best TV Shows This Year                          Apple TV+: New &amp; Upcoming                          Disney+: New &amp; Upcoming                          Hulu: New &amp; Upco"&amp;"ming                          Max: New &amp; Upcoming                          Netflix: New &amp; Upcoming                          Paramount+: New &amp; Upcoming                          Peacock: New &amp; Upcoming                          Prime Video: New &amp; Upcoming   "&amp;"                       See All                 New TV Shows                 TV Premiere Calendar                          TV Renew/Cancel Scorecard                          Fargo S5                          The Curse                          For All Manki"&amp;"nd S4                          Rap Sh!t S2                          The Buccaneers                          Robbie Williams                          Lawmen: Bass Reeves                          Blue Eye Samurai                          See All            "&amp;"      Music        New Albums                 Christ Stapleton: HIgher                          PinkPantheress: Heaven Knows                          Jung Kook: Golden                          Taylor Swift: 1989 (Taylor's Version)                         "&amp;" The Beatles: ""Now and Then""                          The Rolling Stones: Hackney Diamonds                          Blink-182: One More Time...                          Bad Bunny: Nadie Sabe                          Offset: Set it Off                   "&amp;"       Drake: For All the Dogs                          See All                  News         Register          Register           New and Notable                         The Hunger Games: The Ballad of Songbirds and Snakes     movie         Metascore    "&amp;"              Mixed or Average         Based on 22 Critic Reviews 53             The Marvels     movie         Metascore                  Mixed or Average         Based on 53 Critic Reviews 50             Call of Duty: Modern Warfare III     game         "&amp;"Metascore                  Mixed or Average         Based on 31 Critic Reviews 53             The Curse (2023)     tv show         Metascore                  Generally Favorable         Based on 28 Critic Reviews 75             Dream Scenario     movie   "&amp;"      Metascore                  Generally Favorable         Based on 37 Critic Reviews 72             Alan Wake II     game         Metascore                  Generally Favorable         Based on 65 Critic Reviews 87             The Holdovers     movie  "&amp;"       Metascore                  Universal Acclaim         Based on 54 Critic Reviews 81             The Buccaneers (2023)     tv show         Metascore                  Generally Favorable         Based on 17 Critic Reviews 74             Like a Dragon "&amp;"Gaiden: The Man Who Erased His Name     game         Metascore                  Generally Favorable         Based on 56 Critic Reviews 78             Blue Eye Samurai     tv show         Metascore                  Universal Acclaim         Based on 5 Crit"&amp;"ic Reviews 86             Lawmen: Bass Reeves     tv show         Metascore                  Generally Favorable         Based on 16 Critic Reviews 65             Marvel's Spider-Man 2     game         Metascore                  Universal Acclaim         "&amp;"Based on 145 Critic Reviews 90             RoboCop: Rogue City     game         Metascore                  Mixed or Average         Based on 47 Critic Reviews 72             Five Nights at Freddy's     movie         Metascore                  Generally Un"&amp;"favorable         Based on 38 Critic Reviews 33             Killers of the Flower Moon     movie         Metascore                  Universal Acclaim         Based on 63 Critic Reviews 89               Editorial Spotlight                         List of R"&amp;"enewed and Canceled TV Shows for 2023-24 Season (with Metascores)                 Jason Dietz         Below are all new and returning primetime and streaming shows expected to air during the 2023-24 television season (beginning with the summer of 2023). M"&amp;"etascores premiere dates and renewal status will be updated frequently throughout the season. tv show           November 2023 Movie Preview: The Marvels Hunger Games Maestro Napoleon and More Films to See                 Keith Kimbell         The packed m"&amp;"onth ahead will bring a new chapter in The Hunger Games saga a return to the MCU Disney's latest animated original plus new films from Hayao Miyazaki Sofia Coppola Bradley Cooper Ridley Scott Todd Haynes Emerald Fennell and more. To help you plan your mov"&amp;"iegoing options our editors have selected the most notable films releasing in November 2023 listed in alphabetical order. movie           Notable Video Game Releases: New and Upcoming                 Jason Dietz         Find release dates and scores for e"&amp;"very major upcoming and recent video game release for all platforms updated weekly. game           2023-2024 TV Premiere Calendar                 Jason Dietz         Find a frequently updated calendar of premiere dates for all upcoming new and returning t"&amp;"elevision shows on broadcast streaming and cable plus TV movies and specials. tv show           What to Watch on Netflix Right Now                 Jason Dietz         Get a list of the best movies and TV shows recently added (and coming soon) to Netflix u"&amp;"pdated frequently. You can also find a list of titles leaving Netflix this month. tv show           DVD/Blu-ray Releases: New &amp; Upcoming                 Jason Dietz         Find a list of new movie and TV releases on DVD and Blu-ray (updated weekly) as we"&amp;"ll as a calendar of upcoming releases on home video. movie            Latest Videos                               Fargo             tv show         Metascore                  Universal Acclaim         Based on 148 Critic Reviews 85          Metascore     "&amp;"             Universal Acclaim         Based on 148 Critic Reviews 85      1:59 Now Playing: Fargo: Season 5    1:08 Now Playing: The Marvels: Friend Of Yours?    3:21 Now Playing: The Fall Guy    7:43 Now Playing: Alone in the Dark | Looking For Jeremy G"&amp;"ameplay Trailer    0:30 Now Playing: Call of Duty: Modern Warfare III - Official Campaign Cinematic Trailer           Games                     Games Home               New Releases Top Critics' Picks Most Popular               Movies                     "&amp;"Movies Home               New Releases Top Critics' Picks Most Popular              TV Shows                     TV Home               New Releases Top Critics' Picks Most Popular                 The Gold Standard in Critical Analysis       The Metascore "&amp;"Breakdown    We collect reviews from the world's top critics.Each review is scored based on its overall quality.The summarized weighted average captures the essence of critical opinion.         Learn More              Overview About Help Center Careers Pr"&amp;"ivacy Policy Terms of Use Cookie Settings Follow Us        Video and Images from IVA &amp; Xperi   Movie title data credits and poster art provided by      © 2023 FANDOM INC. ALL RIGHTS RESERVED.   Explore Other Brands      Video and Images from IVA &amp; Xperi  "&amp;" Movie title data credits and poster art provided by      © 2023 FANDOM INC. ALL RIGHTS RESERVED.   ")</f>
        <v>Movie Reviews TV Reviews Game Reviews and Music Reviews - Metacritic                                                                                                                                                                                    X   Close Ad       Games        Explore Games                 Games Home                          Best Games This Year                          Best Games of All Time                          Upcoming Releases                          New PS5 Games                          New Xbox Series X/S Games                          New Switch Games                          New PC Games                          See All                 New Games                 New &amp; Upcoming Games                          Free &amp; Subscription Games                          Call of Duty: Modern Warfare III                          Alan Wake II                          Like a Dragon Gaiden: The Man Who Erased His Name                          RoboCop: Rogue City                          The Invincible                          Star Ocean: The Second Story R                          Marvel's Spider-Man 2                          Super Mario Bros. Wonder                          See All                  Movies        Explore Movies                 Movies Home                          Coming Soon to Theaters                          DVD/Blu-ray: New &amp; Upcoming                          Best Movies This Year                          Best Movies of All Time                          Best Movies on Netflix                          Best Movies on Hulu                          Best Movies on Prime Video                          Best Movies on Max                          Best Movies on Paramount+                          See All                 New Movies in Theaters                 November Movie Preview                          The Hunger Games: The Ballad of Songbirds and Snakes                          The Marvels                          Dream Scenario                          The Holdovers                          The Killer                          Priscilla                          Five Nights at Freddy's                          Killers of the Flower Moon                          Taylor Swift: The Eras Tour                          See All                  TV Shows        Explore TV                 TV Home                          Best TV Shows This Year                          Apple TV+: New &amp; Upcoming                          Disney+: New &amp; Upcoming                          Hulu: New &amp; Upcoming                          Max: New &amp; Upcoming                          Netflix: New &amp; Upcoming                          Paramount+: New &amp; Upcoming                          Peacock: New &amp; Upcoming                          Prime Video: New &amp; Upcoming                          See All                 New TV Shows                 TV Premiere Calendar                          TV Renew/Cancel Scorecard                          Fargo S5                          The Curse                          For All Mankind S4                          Rap Sh!t S2                          The Buccaneers                          Robbie Williams                          Lawmen: Bass Reeves                          Blue Eye Samurai                          See All                  Music        New Albums                 Christ Stapleton: HIgher                          PinkPantheress: Heaven Knows                          Jung Kook: Golden                          Taylor Swift: 1989 (Taylor's Version)                          The Beatles: "Now and Then"                          The Rolling Stones: Hackney Diamonds                          Blink-182: One More Time...                          Bad Bunny: Nadie Sabe                          Offset: Set it Off                          Drake: For All the Dogs                          See All                  News         Register          Register           New and Notable                         The Hunger Games: The Ballad of Songbirds and Snakes     movie         Metascore                  Mixed or Average         Based on 22 Critic Reviews 53             The Marvels     movie         Metascore                  Mixed or Average         Based on 53 Critic Reviews 50             Call of Duty: Modern Warfare III     game         Metascore                  Mixed or Average         Based on 31 Critic Reviews 53             The Curse (2023)     tv show         Metascore                  Generally Favorable         Based on 28 Critic Reviews 75             Dream Scenario     movie         Metascore                  Generally Favorable         Based on 37 Critic Reviews 72             Alan Wake II     game         Metascore                  Generally Favorable         Based on 65 Critic Reviews 87             The Holdovers     movie         Metascore                  Universal Acclaim         Based on 54 Critic Reviews 81             The Buccaneers (2023)     tv show         Metascore                  Generally Favorable         Based on 17 Critic Reviews 74             Like a Dragon Gaiden: The Man Who Erased His Name     game         Metascore                  Generally Favorable         Based on 56 Critic Reviews 78             Blue Eye Samurai     tv show         Metascore                  Universal Acclaim         Based on 5 Critic Reviews 86             Lawmen: Bass Reeves     tv show         Metascore                  Generally Favorable         Based on 16 Critic Reviews 65             Marvel's Spider-Man 2     game         Metascore                  Universal Acclaim         Based on 145 Critic Reviews 90             RoboCop: Rogue City     game         Metascore                  Mixed or Average         Based on 47 Critic Reviews 72             Five Nights at Freddy's     movie         Metascore                  Generally Unfavorable         Based on 38 Critic Reviews 33             Killers of the Flower Moon     movie         Metascore                  Universal Acclaim         Based on 63 Critic Reviews 89               Editorial Spotlight                         List of Renewed and Canceled TV Shows for 2023-24 Season (with Metascores)                 Jason Dietz         Below are all new and returning primetime and streaming shows expected to air during the 2023-24 television season (beginning with the summer of 2023). Metascores premiere dates and renewal status will be updated frequently throughout the season. tv show           November 2023 Movie Preview: The Marvels Hunger Games Maestro Napoleon and More Films to See                 Keith Kimbell         The packed month ahead will bring a new chapter in The Hunger Games saga a return to the MCU Disney's latest animated original plus new films from Hayao Miyazaki Sofia Coppola Bradley Cooper Ridley Scott Todd Haynes Emerald Fennell and more. To help you plan your moviegoing options our editors have selected the most notable films releasing in November 2023 listed in alphabetical order. movie           Notable Video Game Releases: New and Upcoming                 Jason Dietz         Find release dates and scores for every major upcoming and recent video game release for all platforms updated weekly. game           2023-2024 TV Premiere Calendar                 Jason Dietz         Find a frequently updated calendar of premiere dates for all upcoming new and returning television shows on broadcast streaming and cable plus TV movies and specials. tv show           What to Watch on Netflix Right Now                 Jason Dietz         Get a list of the best movies and TV shows recently added (and coming soon) to Netflix updated frequently. You can also find a list of titles leaving Netflix this month. tv show           DVD/Blu-ray Releases: New &amp; Upcoming                 Jason Dietz         Find a list of new movie and TV releases on DVD and Blu-ray (updated weekly) as well as a calendar of upcoming releases on home video. movie            Latest Videos                               Fargo             tv show         Metascore                  Universal Acclaim         Based on 148 Critic Reviews 85          Metascore                  Universal Acclaim         Based on 148 Critic Reviews 85      1:59 Now Playing: Fargo: Season 5    1:08 Now Playing: The Marvels: Friend Of Yours?    3:21 Now Playing: The Fall Guy    7:43 Now Playing: Alone in the Dark | Looking For Jeremy Gameplay Trailer    0:30 Now Playing: Call of Duty: Modern Warfare III - Official Campaign Cinematic Trailer           Games                     Games Home               New Releases Top Critics' Picks Most Popular               Movies                     Movies Home               New Releases Top Critics' Picks Most Popular              TV Shows                     TV Home               New Releases Top Critics' Picks Most Popular                 The Gold Standard in Critical Analysis       The Metascore Breakdown    We collect reviews from the world's top critics.Each review is scored based on its overall quality.The summarized weighted average captures the essence of critical opinion.         Learn More              Overview About Help Center Careers Privacy Policy Terms of Use Cookie Settings Follow Us        Video and Images from IVA &amp; Xperi   Movie title data credits and poster art provided by      © 2023 FANDOM INC. ALL RIGHTS RESERVED.   Explore Other Brands      Video and Images from IVA &amp; Xperi   Movie title data credits and poster art provided by      © 2023 FANDOM INC. ALL RIGHTS RESERVED.   </v>
      </c>
    </row>
    <row r="14">
      <c r="A14" s="1" t="s">
        <v>54</v>
      </c>
      <c r="B14" s="1" t="s">
        <v>55</v>
      </c>
      <c r="C14" s="1" t="s">
        <v>56</v>
      </c>
      <c r="D14" s="1">
        <v>1.0</v>
      </c>
      <c r="E14" s="4" t="s">
        <v>57</v>
      </c>
      <c r="F14" s="1" t="s">
        <v>16</v>
      </c>
      <c r="G14" s="1" t="s">
        <v>58</v>
      </c>
      <c r="H14" s="4" t="s">
        <v>59</v>
      </c>
      <c r="I14" s="2">
        <v>1.0</v>
      </c>
      <c r="J14" s="5" t="str">
        <f>IFERROR(__xludf.DUMMYFUNCTION("GOOGLETRANSLATE(A14)"),"chatgpt")</f>
        <v>chatgpt</v>
      </c>
      <c r="K14" s="6" t="str">
        <f>IFERROR(__xludf.DUMMYFUNCTION("GOOGLETRANSLATE(B14)"),"ChatGPT")</f>
        <v>ChatGPT</v>
      </c>
      <c r="L14" s="5" t="str">
        <f>IFERROR(__xludf.DUMMYFUNCTION("GOOGLETRANSLATE(C14)"),"ChatGPT is a free-to-use AI system. Use it for engaging conversations, gain insights, automate tasks, and witness the future of AI, all in one place.")</f>
        <v>ChatGPT is a free-to-use AI system. Use it for engaging conversations, gain insights, automate tasks, and witness the future of AI, all in one place.</v>
      </c>
      <c r="M14" s="5" t="str">
        <f>IFERROR(__xludf.DUMMYFUNCTION("GOOGLETRANSLATE(G14)"),"ChatGPTChatGPT ●Help me picka gift for my dad who loves fishing●an outfit that will look good on camera●Summarize this articleinto three key points●as a table of pros and cons●Write a textthat goes with a kitten gif for a friend having a rough day●asking "&amp;"a friend to be my plus-one at a wedding●Plan a tripto experience Seoul like a local●to see the northern lights in Norway●Help me debuga Python script automating daily reports●why the linked list appears empty after I've reversed it●Suggest fun activitiesf"&amp;"or a team-building day with remote employees●for a family of 4 to do indoors on a rainy day●Give me ideasfor a customer loyalty program in a small bookstore●for what to do with my kids' art●Write a thank-you noteto my interviewer●to our babysitter for the"&amp;" last-minute help●Brainstorm namesfor my fantasy football team●for an orange cat we're adopting from the shelter●Recommend a dishto bring to a potluck●to impress a date who's a picky eater●Draft an emailto request a quote from local plumbers●requesting a "&amp;"deadline extension for my project●Improve my postfor selling a used vacuum in good condition●for hiring a store associate●ChatGPT ●Get startedLog inSign upTerms of use|Privacy policy")</f>
        <v>ChatGPTChatGPT ●Help me picka gift for my dad who loves fishing●an outfit that will look good on camera●Summarize this articleinto three key points●as a table of pros and cons●Write a textthat goes with a kitten gif for a friend having a rough day●asking a friend to be my plus-one at a wedding●Plan a tripto experience Seoul like a local●to see the northern lights in Norway●Help me debuga Python script automating daily reports●why the linked list appears empty after I've reversed it●Suggest fun activitiesfor a team-building day with remote employees●for a family of 4 to do indoors on a rainy day●Give me ideasfor a customer loyalty program in a small bookstore●for what to do with my kids' art●Write a thank-you noteto my interviewer●to our babysitter for the last-minute help●Brainstorm namesfor my fantasy football team●for an orange cat we're adopting from the shelter●Recommend a dishto bring to a potluck●to impress a date who's a picky eater●Draft an emailto request a quote from local plumbers●requesting a deadline extension for my project●Improve my postfor selling a used vacuum in good condition●for hiring a store associate●ChatGPT ●Get startedLog inSign upTerms of use|Privacy policy</v>
      </c>
    </row>
    <row r="15">
      <c r="A15" s="1" t="s">
        <v>54</v>
      </c>
      <c r="B15" s="1" t="s">
        <v>60</v>
      </c>
      <c r="C15" s="1" t="s">
        <v>61</v>
      </c>
      <c r="D15" s="1">
        <v>2.0</v>
      </c>
      <c r="E15" s="4" t="s">
        <v>62</v>
      </c>
      <c r="F15" s="1" t="s">
        <v>16</v>
      </c>
      <c r="G15" s="1" t="s">
        <v>63</v>
      </c>
      <c r="H15" s="4" t="s">
        <v>64</v>
      </c>
      <c r="I15" s="2">
        <v>3.0</v>
      </c>
      <c r="J15" s="5" t="str">
        <f>IFERROR(__xludf.DUMMYFUNCTION("GOOGLETRANSLATE(A15)"),"chatgpt")</f>
        <v>chatgpt</v>
      </c>
      <c r="K15" s="6" t="str">
        <f>IFERROR(__xludf.DUMMYFUNCTION("GOOGLETRANSLATE(B15)"),"ChatGPT in Russian")</f>
        <v>ChatGPT in Russian</v>
      </c>
      <c r="L15" s="5" t="str">
        <f>IFERROR(__xludf.DUMMYFUNCTION("GOOGLETRANSLATE(C15)"),"ChatGPT is an artificial intelligence that can generate texts on various topics, answer questions and even maintain conversations in different languages, including ...")</f>
        <v>ChatGPT is an artificial intelligence that can generate texts on various topics, answer questions and even maintain conversations in different languages, including ...</v>
      </c>
      <c r="M15" s="5" t="str">
        <f>IFERROR(__xludf.DUMMYFUNCTION("GOOGLETRANSLATE(G15)"),"ChatGPT on Russian TryChatGpt -free we? Blog about neurosetpromtytes to sign up on Telegram to support the design of the design, we are about the Neurosetpromtypot Trying to sign up for Telegram to support the projectchatgpt - your intellectual chat bottl"&amp;"e. Based on the advanced technologies of artificial intelligence from Openai, our chat bot is ready to answer any of your questions. It has knowledge in various fields, including the history of technology science and much more. Try ChatGPT now and be surp"&amp;"rised at its abilities! Without VPN stops and numbers. Trychatgpt on RussianChatgpt - your intellectual chat bot. Based on the advanced technologies of artificial intelligence from Openai, our chat bot is ready to answer any of your questions. It has know"&amp;"ledge in various fields, including the history of technology science and much more. Try ChatGPT now and be surprised at its abilities! Without VPN stops and numbers. Trying a bout uses a model: GPT-3.5-Turbo and remembers the context of the dialog for res"&amp;"et press the button. If suddenly the answer comes for too long. Try to update the page and repeat the request. The chatbot uses the model: GPT-3.5-Turbo and remembers the context of the dialog for reset press the button. If suddenly the answer comes for t"&amp;"oo long. Try to update the page and repeat the request.Chatgpt prints ... reset the Dialogue Understand the Chat Signing on the Telegram Chat How can you use ChatGPT? ChatGPT is designed to solve a variety of problems. It is a powerful tool that can be us"&amp;"eful both at work in business in study and in programming. Creating a textane chatbot based on a neural network will help you competently write and create texts online. It is free and offers a variety of means for creating a text including techniques of a"&amp;"rtistic spelling. Our program will help you make an inscription or write a text by providing accuracy and relevance. Creating ideas-models are a source of inspiration for various projects and solutions. They are able to generate ideas that can be applied "&amp;"in marketing by science of the art of technology and other areas. These ideas become a starting point for innovative approaches and help to achieve success in various fields of activity. Studies for questions from thechatgpt - trained on large amounts of "&amp;"data - a chatbot capable of understanding a natural language and answering questions. He finds application in various fields, including medicine, the right of science and others providing quick and accurate answers to user questions. This tool greatly fac"&amp;"ilitates access to information and helps people get the necessary help and advice in various fields. As a translator-boot, it has the ability to analyze texts and perform translation into other languages ​​while maintaining their meaning and context. This"&amp;" functionality can be useful in various situations, including the translation of scientific articles of texts of texts for educational purposes and even songs. Due to the possibility of an online transmission, the chatbot provides a quick and convenient w"&amp;"ay to get a translation of the desired word of sentence or text. You can write a code that will help you automate tasks and optimize processes. ChatGPT trained on large amounts of data has a neural network model for writing code including Python programmi"&amp;"ng. This tool understands various programming languages ​​and helps to create a code that meets the requirements and conditions for solving a variety of tasks. The information analysis of information is able to analyze information and draw conclusions bas"&amp;"ed on the information contained in the texts. It collects and analysis of information recognizes the keywords of the phrase and context to determine what information in the text is the most significant and relevant. This allows you to use a chatbot for an"&amp;" effective analysis of information and obtaining valuable conclusions. What is convenient TryChatgpt.ru? Support for the Russian language, without a VPN and registration, you need a telephone number of the accelerated answer to ChatGPT Language: Russian 简"&amp;"体 中文 English 한국어 español فار#الmympة Italiano پښ Mear Hello! Welcome to the page about Chatgpt, the developed company Openi. ChatGPT is an artificial intelligence capable of generating texts on various topics to answer questions and even maintain conversa"&amp;"tions in different languages, including Russian.Chatgpt, already available in Russia and you can use it for free. Sometimes Chatgpt can be uploaded to full power, so you may need a little Wait to start using it. In order to start using ChatGPT, you do not"&amp;" need to be an expert in the field of artificial intelligence - just ask a question or write a message and the bot will begin to generate answers. If you want to know more about how to use CHATGPT you can find a lot of useful information On our site. In g"&amp;"eneral, ChatGPT is a powerful and universal tool that can be useful for a wide range of tasks. If you have questions or need help, do not hesitate to contact our support service. © 2023 TryChatgpt Ruengesitcoiraran © 2023 TryChatgpt upmade on tilda")</f>
        <v>ChatGPT on Russian TryChatGpt -free we? Blog about neurosetpromtytes to sign up on Telegram to support the design of the design, we are about the Neurosetpromtypot Trying to sign up for Telegram to support the projectchatgpt - your intellectual chat bottle. Based on the advanced technologies of artificial intelligence from Openai, our chat bot is ready to answer any of your questions. It has knowledge in various fields, including the history of technology science and much more. Try ChatGPT now and be surprised at its abilities! Without VPN stops and numbers. Trychatgpt on RussianChatgpt - your intellectual chat bot. Based on the advanced technologies of artificial intelligence from Openai, our chat bot is ready to answer any of your questions. It has knowledge in various fields, including the history of technology science and much more. Try ChatGPT now and be surprised at its abilities! Without VPN stops and numbers. Trying a bout uses a model: GPT-3.5-Turbo and remembers the context of the dialog for reset press the button. If suddenly the answer comes for too long. Try to update the page and repeat the request. The chatbot uses the model: GPT-3.5-Turbo and remembers the context of the dialog for reset press the button. If suddenly the answer comes for too long. Try to update the page and repeat the request.Chatgpt prints ... reset the Dialogue Understand the Chat Signing on the Telegram Chat How can you use ChatGPT? ChatGPT is designed to solve a variety of problems. It is a powerful tool that can be useful both at work in business in study and in programming. Creating a textane chatbot based on a neural network will help you competently write and create texts online. It is free and offers a variety of means for creating a text including techniques of artistic spelling. Our program will help you make an inscription or write a text by providing accuracy and relevance. Creating ideas-models are a source of inspiration for various projects and solutions. They are able to generate ideas that can be applied in marketing by science of the art of technology and other areas. These ideas become a starting point for innovative approaches and help to achieve success in various fields of activity. Studies for questions from thechatgpt - trained on large amounts of data - a chatbot capable of understanding a natural language and answering questions. He finds application in various fields, including medicine, the right of science and others providing quick and accurate answers to user questions. This tool greatly facilitates access to information and helps people get the necessary help and advice in various fields. As a translator-boot, it has the ability to analyze texts and perform translation into other languages ​​while maintaining their meaning and context. This functionality can be useful in various situations, including the translation of scientific articles of texts of texts for educational purposes and even songs. Due to the possibility of an online transmission, the chatbot provides a quick and convenient way to get a translation of the desired word of sentence or text. You can write a code that will help you automate tasks and optimize processes. ChatGPT trained on large amounts of data has a neural network model for writing code including Python programming. This tool understands various programming languages ​​and helps to create a code that meets the requirements and conditions for solving a variety of tasks. The information analysis of information is able to analyze information and draw conclusions based on the information contained in the texts. It collects and analysis of information recognizes the keywords of the phrase and context to determine what information in the text is the most significant and relevant. This allows you to use a chatbot for an effective analysis of information and obtaining valuable conclusions. What is convenient TryChatgpt.ru? Support for the Russian language, without a VPN and registration, you need a telephone number of the accelerated answer to ChatGPT Language: Russian 简体 中文 English 한국어 español فار#الmympة Italiano پښ Mear Hello! Welcome to the page about Chatgpt, the developed company Openi. ChatGPT is an artificial intelligence capable of generating texts on various topics to answer questions and even maintain conversations in different languages, including Russian.Chatgpt, already available in Russia and you can use it for free. Sometimes Chatgpt can be uploaded to full power, so you may need a little Wait to start using it. In order to start using ChatGPT, you do not need to be an expert in the field of artificial intelligence - just ask a question or write a message and the bot will begin to generate answers. If you want to know more about how to use CHATGPT you can find a lot of useful information On our site. In general, ChatGPT is a powerful and universal tool that can be useful for a wide range of tasks. If you have questions or need help, do not hesitate to contact our support service. © 2023 TryChatgpt Ruengesitcoiraran © 2023 TryChatgpt upmade on tilda</v>
      </c>
    </row>
    <row r="16">
      <c r="A16" s="1" t="s">
        <v>54</v>
      </c>
      <c r="B16" s="1" t="s">
        <v>65</v>
      </c>
      <c r="D16" s="1">
        <v>3.0</v>
      </c>
      <c r="E16" s="4" t="s">
        <v>66</v>
      </c>
      <c r="F16" s="1" t="s">
        <v>16</v>
      </c>
      <c r="G16" s="1" t="s">
        <v>67</v>
      </c>
      <c r="H16" s="4" t="s">
        <v>68</v>
      </c>
      <c r="I16" s="2">
        <v>3.0</v>
      </c>
      <c r="J16" s="5" t="str">
        <f>IFERROR(__xludf.DUMMYFUNCTION("GOOGLETRANSLATE(A16)"),"chatgpt")</f>
        <v>chatgpt</v>
      </c>
      <c r="K16" s="6" t="str">
        <f>IFERROR(__xludf.DUMMYFUNCTION("GOOGLETRANSLATE(B16)"),"CHAD | ChatGPT in Russian")</f>
        <v>CHAD | ChatGPT in Russian</v>
      </c>
      <c r="M16" s="5" t="str">
        <f>IFERROR(__xludf.DUMMYFUNCTION("GOOGLETRANSLATE(G16)"),"  CHAD | ChatGPT in Russian input, that the businessbog is working as a businessablog work, what can work as a work of business -calling in CHADCHAD - ChatGPT on the Russian service with popular neural networks. He writes texts code and draws pictures. It"&amp;" works without VPN and numbers. Use free ChatGPT access to GPT-3.5 and GPT-4 versions of the neural network. To work with text and code. Midjorney and Dalle artificial intelligence will draw a picture of the description. Midjorney V5 and Dall-E 3. Library"&amp;" Prosmes Library templates with high-quality answers are available in the bot. You can add yours. How does CHAD work? We connect to the paid version of the Chat GPT from Openai and other popular neural networks adapt them for Russia and make them open. CH"&amp;"AD supports the Russian language and the interface of fast answers without queue and stops for an hour access without a VPN do not need a phone number and a foreign card interface in English blocks Russian users paid version of $ 20 with a foreign card in"&amp;" the peak workload does not work time save your time to decide Routine tasks using ready -made templates Create content create unique images and text for any social networks Improve the text use in learning, edit any text increase the originality Create t"&amp;"he best text for any tasks, look for any information, create tests in one click Create code edit and create any code Learn the new and correct errors support for updates and reviews about the service in Telegram Chat Community and reviews of a really cool"&amp;" bot !!! I steamed with a scientific for half a year I bought a Turkish card for registration then translated from English ... And here it is quickly without a queue without any troubles! @StllGeekin Danil used to program at the university on Python every"&amp;"thing works clearly thank you @denisshvts Denis very quickly and everything works conveniently that now you don’t need to steam with VPN)! It works faster than the original and in Russian the answers are much better! @Rthdxbully Sasha Super product. Simpl"&amp;"ifies many tasks. This will become the most comfortable mechanism for those who have been postponing frost with registration on the original site all the time. @solo_maa Masha Krutyak! I use to write a code for the university. Functional is enough. Suppor"&amp;"ts different programming languages. No registration problems do not need Fake Simka @Dancerflexerr Misha thanks for the bot! I used for a copy in social networks I threw cool ideas for rubrics) it works faster than the usual one and does not dull since it"&amp;" doesn’t need vpn @wintervi Vita Vita View CHADS Use the service from the tablet mobile device or on the computer. Google Play does not work? Download CHAD use the service from a tablet mobile device or on a computer. Google Play does not work? Tariffs pr"&amp;"ovide 10 free queries for the service test for access without limits or personal account for the team write to the manager in Telegram Plus 1690 rubles/month to start for free ~ 450,000 words of processed or written GPT-3.5 access to GPT-4 creation of ima"&amp;"ges priority access to new capabilities priority priority Technical support is suitable for serious volumetric work optimum to start for free ~ 150,000 words of processed or written GPT-3.5 access to GPT-4 Creation of images Priority access to new capabil"&amp;"ities. Technical support is suitable for work and daily use 590 rubles/month mini mines free ~ 45,000 words Processed or written GPT-3.5 is suitable for rare use and infrequent tasks of 290 rubles/month all basic functions Creating images. Frequent questi"&amp;"ons as and on which version work CHAD? Is this a chatbot based on the original GPT-35 language model from Openai. The model was taught using an array of texts from the Internet and the human learning system. ChatGPT can sometimes give incorrect answers to"&amp;" unpopular local requests in Russia or questions until 2021. We recommend checking whether the answers of the model are accurate and use it for popular questions. GPT-4 is also available: it gives better answers but works slower and when it is used is con"&amp;"sumed 15 times more words. Now this is the most advanced text neural network. For images, the Midjourney 5.2 Stable Diffusion and Dall · E 3. So that the bot draws the image, just ask him about it (for example, “Draw a bridge over the river”). What will h"&amp;"appen if it will happen if the limit of the end of the month is used up before the end of the month ? In this case, you can re -register without waiting for the next month. You can take the same tariff plan or another. The limit will be expanded immediate"&amp;"ly and the next write -off of the funds will be made a month after the last (just designed) payment. How is the number of words indicated in the tariffs? It is taken into account: the introduced text; the text generated by the neural network; the text of "&amp;"the previous messages is necessary for the neural network to take into account the context of the dialogue and learned. By default, the neural network in a particular chat remembers and processes the last 2000-16,000 characters (250 - 2000 words) dependin"&amp;"g on the settings. When the history is disconnected (the ""Settings"" button to the left of the input field), the neural network will not spend strength on the upper messages - will be considered Only the introduced and generated text. In the GPT-4 mode, "&amp;"15 times more words are consumed from actually processed. When generating pictures, the number of words from the text sent by the text plus a fixed number of words for generating the picture itself: for midjourney 5.2 (for one request = 4 pictures ) - 320"&amp;"0 words; for Stable Diffusion (for one request = 4 pictures) - 3200 words; for dall · e 3 (for one request = one picture) - 3600 words; for dall · e 3 hd (for one request = one picture ) - 7200 words. Why is the service paid? We use a paid priority versio"&amp;"n of the Openai Chat GPT. We pay for it with abroad and provide in Russia for those who are inconvenient to limit yourself to waiting in line for processing and using VPN. If I will have questions or difficulties will help me? Yes, you can ask a question "&amp;"or write a technical problem in Telegram chat in the Support section and we We answer. How to turn off the subscription? To turn off the automotive, you need to go into your personal account and click the ""Cancel Auto -Supply"" button. When paying for SB"&amp;"P, the automotage is not issued, therefore, the option of turning off is not visible. After the automotive dodging, the already paid subscription will still continue to work until the end of the validity of the words.Hello@Chadgpt.ru © 2022 - 2023 “CHAD G"&amp;"PT” all rights are protected By paying for the tariff and/or starting to use this service, you agree with the terms of the offer. Permanent link to the offer: https://chadgpt.ru/offer Review that it may work as a business sanctuary")</f>
        <v>  CHAD | ChatGPT in Russian input, that the businessbog is working as a businessablog work, what can work as a work of business -calling in CHADCHAD - ChatGPT on the Russian service with popular neural networks. He writes texts code and draws pictures. It works without VPN and numbers. Use free ChatGPT access to GPT-3.5 and GPT-4 versions of the neural network. To work with text and code. Midjorney and Dalle artificial intelligence will draw a picture of the description. Midjorney V5 and Dall-E 3. Library Prosmes Library templates with high-quality answers are available in the bot. You can add yours. How does CHAD work? We connect to the paid version of the Chat GPT from Openai and other popular neural networks adapt them for Russia and make them open. CHAD supports the Russian language and the interface of fast answers without queue and stops for an hour access without a VPN do not need a phone number and a foreign card interface in English blocks Russian users paid version of $ 20 with a foreign card in the peak workload does not work time save your time to decide Routine tasks using ready -made templates Create content create unique images and text for any social networks Improve the text use in learning, edit any text increase the originality Create the best text for any tasks, look for any information, create tests in one click Create code edit and create any code Learn the new and correct errors support for updates and reviews about the service in Telegram Chat Community and reviews of a really cool bot !!! I steamed with a scientific for half a year I bought a Turkish card for registration then translated from English ... And here it is quickly without a queue without any troubles! @StllGeekin Danil used to program at the university on Python everything works clearly thank you @denisshvts Denis very quickly and everything works conveniently that now you don’t need to steam with VPN)! It works faster than the original and in Russian the answers are much better! @Rthdxbully Sasha Super product. Simplifies many tasks. This will become the most comfortable mechanism for those who have been postponing frost with registration on the original site all the time. @solo_maa Masha Krutyak! I use to write a code for the university. Functional is enough. Supports different programming languages. No registration problems do not need Fake Simka @Dancerflexerr Misha thanks for the bot! I used for a copy in social networks I threw cool ideas for rubrics) it works faster than the usual one and does not dull since it doesn’t need vpn @wintervi Vita Vita View CHADS Use the service from the tablet mobile device or on the computer. Google Play does not work? Download CHAD use the service from a tablet mobile device or on a computer. Google Play does not work? Tariffs provide 10 free queries for the service test for access without limits or personal account for the team write to the manager in Telegram Plus 1690 rubles/month to start for free ~ 450,000 words of processed or written GPT-3.5 access to GPT-4 creation of images priority access to new capabilities priority priority Technical support is suitable for serious volumetric work optimum to start for free ~ 150,000 words of processed or written GPT-3.5 access to GPT-4 Creation of images Priority access to new capabilities. Technical support is suitable for work and daily use 590 rubles/month mini mines free ~ 45,000 words Processed or written GPT-3.5 is suitable for rare use and infrequent tasks of 290 rubles/month all basic functions Creating images. Frequent questions as and on which version work CHAD? Is this a chatbot based on the original GPT-35 language model from Openai. The model was taught using an array of texts from the Internet and the human learning system. ChatGPT can sometimes give incorrect answers to unpopular local requests in Russia or questions until 2021. We recommend checking whether the answers of the model are accurate and use it for popular questions. GPT-4 is also available: it gives better answers but works slower and when it is used is consumed 15 times more words. Now this is the most advanced text neural network. For images, the Midjourney 5.2 Stable Diffusion and Dall · E 3. So that the bot draws the image, just ask him about it (for example, “Draw a bridge over the river”). What will happen if it will happen if the limit of the end of the month is used up before the end of the month ? In this case, you can re -register without waiting for the next month. You can take the same tariff plan or another. The limit will be expanded immediately and the next write -off of the funds will be made a month after the last (just designed) payment. How is the number of words indicated in the tariffs? It is taken into account: the introduced text; the text generated by the neural network; the text of the previous messages is necessary for the neural network to take into account the context of the dialogue and learned. By default, the neural network in a particular chat remembers and processes the last 2000-16,000 characters (250 - 2000 words) depending on the settings. When the history is disconnected (the "Settings" button to the left of the input field), the neural network will not spend strength on the upper messages - will be considered Only the introduced and generated text. In the GPT-4 mode, 15 times more words are consumed from actually processed. When generating pictures, the number of words from the text sent by the text plus a fixed number of words for generating the picture itself: for midjourney 5.2 (for one request = 4 pictures ) - 3200 words; for Stable Diffusion (for one request = 4 pictures) - 3200 words; for dall · e 3 (for one request = one picture) - 3600 words; for dall · e 3 hd (for one request = one picture ) - 7200 words. Why is the service paid? We use a paid priority version of the Openai Chat GPT. We pay for it with abroad and provide in Russia for those who are inconvenient to limit yourself to waiting in line for processing and using VPN. If I will have questions or difficulties will help me? Yes, you can ask a question or write a technical problem in Telegram chat in the Support section and we We answer. How to turn off the subscription? To turn off the automotive, you need to go into your personal account and click the "Cancel Auto -Supply" button. When paying for SBP, the automotage is not issued, therefore, the option of turning off is not visible. After the automotive dodging, the already paid subscription will still continue to work until the end of the validity of the words.Hello@Chadgpt.ru © 2022 - 2023 “CHAD GPT” all rights are protected By paying for the tariff and/or starting to use this service, you agree with the terms of the offer. Permanent link to the offer: https://chadgpt.ru/offer Review that it may work as a business sanctuary</v>
      </c>
    </row>
    <row r="17">
      <c r="A17" s="1" t="s">
        <v>54</v>
      </c>
      <c r="B17" s="1" t="s">
        <v>55</v>
      </c>
      <c r="D17" s="1">
        <v>4.0</v>
      </c>
      <c r="E17" s="4" t="s">
        <v>69</v>
      </c>
      <c r="F17" s="1" t="s">
        <v>16</v>
      </c>
      <c r="G17" s="1" t="s">
        <v>31</v>
      </c>
      <c r="H17" s="4" t="s">
        <v>32</v>
      </c>
      <c r="I17" s="2">
        <v>0.0</v>
      </c>
      <c r="J17" s="5" t="str">
        <f>IFERROR(__xludf.DUMMYFUNCTION("GOOGLETRANSLATE(A17)"),"chatgpt")</f>
        <v>chatgpt</v>
      </c>
      <c r="K17" s="6" t="str">
        <f>IFERROR(__xludf.DUMMYFUNCTION("GOOGLETRANSLATE(B17)"),"ChatGPT")</f>
        <v>ChatGPT</v>
      </c>
      <c r="M17" s="5" t="str">
        <f>IFERROR(__xludf.DUMMYFUNCTION("GOOGLETRANSLATE(G17)"),"Wikipedia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8">
      <c r="A18" s="1" t="s">
        <v>54</v>
      </c>
      <c r="B18" s="1" t="s">
        <v>70</v>
      </c>
      <c r="D18" s="1">
        <v>5.0</v>
      </c>
      <c r="E18" s="4" t="s">
        <v>71</v>
      </c>
      <c r="F18" s="1" t="s">
        <v>16</v>
      </c>
      <c r="G18" s="1" t="s">
        <v>72</v>
      </c>
      <c r="H18" s="4" t="s">
        <v>73</v>
      </c>
      <c r="I18" s="2">
        <v>1.0</v>
      </c>
      <c r="J18" s="5" t="str">
        <f>IFERROR(__xludf.DUMMYFUNCTION("GOOGLETRANSLATE(A18)"),"chatgpt")</f>
        <v>chatgpt</v>
      </c>
      <c r="K18" s="6" t="str">
        <f>IFERROR(__xludf.DUMMYFUNCTION("GOOGLETRANSLATE(B18)"),"Chat GPT: a neural network in Russian. Online service ...")</f>
        <v>Chat GPT: a neural network in Russian. Online service ...</v>
      </c>
      <c r="M18" s="5" t="str">
        <f>IFERROR(__xludf.DUMMYFUNCTION("GOOGLETRANSLATE(G18)"),"You need to enable JS support in a browser to visit this site.")</f>
        <v>You need to enable JS support in a browser to visit this site.</v>
      </c>
    </row>
    <row r="19">
      <c r="A19" s="1" t="s">
        <v>54</v>
      </c>
      <c r="B19" s="1" t="s">
        <v>74</v>
      </c>
      <c r="C19" s="1" t="s">
        <v>75</v>
      </c>
      <c r="D19" s="1">
        <v>6.0</v>
      </c>
      <c r="E19" s="4" t="s">
        <v>76</v>
      </c>
      <c r="F19" s="1" t="s">
        <v>16</v>
      </c>
      <c r="G19" s="1" t="s">
        <v>77</v>
      </c>
      <c r="H19" s="4" t="s">
        <v>78</v>
      </c>
      <c r="I19" s="2">
        <v>2.0</v>
      </c>
      <c r="J19" s="5" t="str">
        <f>IFERROR(__xludf.DUMMYFUNCTION("GOOGLETRANSLATE(A19)"),"chatgpt")</f>
        <v>chatgpt</v>
      </c>
      <c r="K19" s="6" t="str">
        <f>IFERROR(__xludf.DUMMYFUNCTION("GOOGLETRANSLATE(B19)"),"ChatGPT in Russian: free and without registration")</f>
        <v>ChatGPT in Russian: free and without registration</v>
      </c>
      <c r="L19" s="5" t="str">
        <f>IFERROR(__xludf.DUMMYFUNCTION("GOOGLETRANSLATE(C19)"),"ChatGPT neural network is available in Russia. Use the Openai chatbot in Russian completely free and without registration.")</f>
        <v>ChatGPT neural network is available in Russia. Use the Openai chatbot in Russian completely free and without registration.</v>
      </c>
      <c r="M19" s="5" t="str">
        <f>IFERROR(__xludf.DUMMYFUNCTION("GOOGLETRANSLATE(G19)"),"208.75.19.153 12.11.2023 06:45:11Sorry your request has been denied.")</f>
        <v>208.75.19.153 12.11.2023 06:45:11Sorry your request has been denied.</v>
      </c>
    </row>
    <row r="20">
      <c r="A20" s="1" t="s">
        <v>54</v>
      </c>
      <c r="B20" s="1" t="s">
        <v>79</v>
      </c>
      <c r="C20" s="1" t="s">
        <v>80</v>
      </c>
      <c r="D20" s="1">
        <v>7.0</v>
      </c>
      <c r="E20" s="4" t="s">
        <v>81</v>
      </c>
      <c r="F20" s="1" t="s">
        <v>16</v>
      </c>
      <c r="G20" s="1" t="s">
        <v>82</v>
      </c>
      <c r="H20" s="4" t="s">
        <v>83</v>
      </c>
      <c r="I20" s="2">
        <v>1.0</v>
      </c>
      <c r="J20" s="5" t="str">
        <f>IFERROR(__xludf.DUMMYFUNCTION("GOOGLETRANSLATE(A20)"),"chatgpt")</f>
        <v>chatgpt</v>
      </c>
      <c r="K20" s="6" t="str">
        <f>IFERROR(__xludf.DUMMYFUNCTION("GOOGLETRANSLATE(B20)"),"The creator of Chatgpt told what future he is us ...")</f>
        <v>The creator of Chatgpt told what future he is us ...</v>
      </c>
      <c r="L20" s="5" t="str">
        <f>IFERROR(__xludf.DUMMYFUNCTION("GOOGLETRANSLATE(C20)"),"19 hours ago -")</f>
        <v>19 hours ago -</v>
      </c>
      <c r="M20" s="5" t="str">
        <f>IFERROR(__xludf.DUMMYFUNCTION("GOOGLETRANSLATE(G20)"),"All articles in a row / Habr    Habr  β              How to become an author                        All streams                 Development                  Admin                  Design                  Management                  Marketing              "&amp;"    PopSci         Search     Profile          Pull to refresh      All streams            Articles                 Posts                 News                 Hubs                 Authors               All   Dropdown  Copy RSS link          Show first    "&amp;"         New          Top             Rating limit             All          ≥0          ≥10          ≥25          ≥50          ≥100               Level of difficulty                       All                          Easy                          Medium  "&amp;"                        Hard                     Apply                PaulKarol        Nov  10  at 17:56  Building an IT website aimed at America and the West  Reading time      3 min   Views  148 IT Infrastructure *IT Standards *Research and forecasts in"&amp;" IT *GTD *IT career     My last article stirred up some definite comments and even questions about different things in business. I’m going to keep giving you as much information as I can so that you can continue to do business as IT professionals outside "&amp;"of Russia with other countries. How do you design a website that will be viewed in the west and appreciated by the people there?What are the most important elementsfor America and other western markets?   Read more  Rating  0  Add to bookmarks      3     "&amp;"Comments        0               PaulKarol        Nov  7  at 12:32  Marketing your Mindset  Reading time      2 min   Views  177 IT Infrastructure *IT Standards *Research and forecasts in IT *GTD *IT career     Information shared below is exactly how I wor"&amp;"k with my IT professionals who are going to be participating in pre-sales to America. I tell them exactly this and it helps prepare them to successfully sell the the United States companies.As developers and IT companies we must sell our software. What ca"&amp;"n give you an edge in this very competitive market place?Please if you would allow me to let me explain why this is important and how this can make your company more successful.  There’s a certain type of thinking that is conducive to working as a softwar"&amp;"e developer. This is a very practical mindset but it goes beyond that. If you have the mindset of direct thinking.Here are examples:I see the target a target and I don’t see obstaclesВижу цель не вижу препятствийThis is an example of the practical mindset"&amp;" how is approaches the problem of development. It makes people who have this mindset the best developers in the world.Example of mindset:Problem……………… find a solution………… No problem.Notice how this looks exactly like a line of code?This is well-known arou"&amp;"nd the world in places where you would like to sell your software the United States Germany Belgium and the Middle East.Countries where people have this mindset have the best developers. now let’s talk about your competition:Americans: during the center p"&amp;"rocess “find a solution” Americans are overly concerned about responsibility. This slows them down in the decision making process.    Read more  Total votes 1: ↑0 and ↓1  -1  Add to bookmarks      3     Comments        2               kaze_no_saga        "&amp;"Nov  7  at 06:03  PostgreSQL 17: Part 2 or Commitfest 2023-09  Reading time      11 min   Views  384 Postgres Professional corporate blog PostgreSQL *SQL *     Digest       Translation     We continue to follow the news of the PostgreSQL 17 development. L"&amp;"et's find out what the September commitfest brings to the table.If you missed our July commitfest review you can check it out here: 2023-07.Removed the parameter old_snapshot_thresholdNew parameter event_triggersNew functions to_bin and to_octNew system v"&amp;"iew pg_wait_eventsEXPLAIN: a JIT compilation time counter for tuple deformingPlanner: better estimate of the initial cost of the WindowAgg nodepg_constraint: NOT NULL constraintsNormalization of CALL DEALLOCATE and two-phase commit control commandsunaccen"&amp;"t: the target rule expressions now support values in quotation marksCOPY FROM: FORCE_NOT_NULL * and FORCE_NULL *Audit of connections without authenticationpg_stat_subscription: new column worker_typeThe behaviour of pg_promote in case of unsuccessful swit"&amp;"chover to a replicaChoosing the disk synchronization method in server utilitiespg_restore: optimization of parallel recovery of a large number of tablespg_basebackup and pg_receivewal with the parameter dbnameParameter names for a number of built-in funct"&amp;"ionspsql: watch min_rows   Read more →  Total votes 3: ↑3 and ↓0  +3  Add to bookmarks      2     Comments        1               SpringJava        Nov  4  at 12:34  How to Use Throw and Throws in Java Level of difficulty      Easy   Reading time      2 m"&amp;"in   Views  347 Programming *Java *     Tutorial      Exception handling in Java is the most effective way to handle runtime errors occurring in the application. This is used to protect the abnormal flow of the execution of the application and continue th"&amp;"e application in normal flow. This is the process of handling runtime errors such as ClassNotFoundException IOException etc. The throw and throws keywords are used to handle exceptions in Java.In this topic we will learn how to use throw and throws keywor"&amp;"ds in Java with examples.   Read more  Total votes 3: ↑3 and ↓0  +3  Add to bookmarks      0     Comments        0               PaulKarol        Nov  3  at 14:20  The key to Sales Conversion of an American CEO or CFO  Reading time      1 min   Views  405"&amp;" IT Infrastructure *IT Standards *Research and forecasts in IT *GTD *IT career     i’m writing this series articles to spearhead the new marketing campaign for into the American market. I will be covering a wide range of topics that will allow us to posit"&amp;"ion the company in the proper way so that is excepted as a provider of High-quality software in America.The key to converting an American CEO or CFO is the trigger point for the American business culture. The trigger point for America is responsibility.  "&amp;" This means in business you must be responsible. You also look for business partners that are responsible.  But let’s take this into the newest more powerful view that we need to have now.  The scene from the point of you of the CFO sitting at the head of"&amp;" the financial controls of a large hospital conglomerate. Put yourself in the mind of the CFO. What are they concerned about?  As an American CFO they will be very concerned about whether they are being responsible in their job and responsible to the hosp"&amp;"ital staff shareholders patients and the management above them. And this is how we get our foot in the door in this American niche market. If we present ourselves as offering something that “May” give an answer to specific problems that they know that the"&amp;"y have they must give us a chance to present a Presale. The reason is because they are responsible and if there is a solution as an American Director you must explore that solution.It would be irresponsible to not explore a potential solution.Then it’s a "&amp;"simple case to actually give value in the presale meeting and convince them that we can deliver some thing that will benefit their business and profits.   Read more  Total votes 6: ↑0 and ↓6  -6  Add to bookmarks      4     Comments        2              "&amp;" SpringJava        Nov  3  at 10:20  One-to-One Bidirectional Mapping in Spring Boot JPA Level of difficulty      Easy   Reading time      8 min   Views  237 Programming *Java *System Programming *Systems engineering *     Tutorial      This topic will te"&amp;"ach us to implement one-to-one(@OneToOne annotation) bidirectional mapping using Spring Boot Hibernate and Spring Data JPA.   Read more  Rating  0  Add to bookmarks      0     Comments        0               RahulKumarsree        Oct  30  at 17:40  Top 10"&amp;" Best Free Partition Manager Software for Windows PC/Laptop Level of difficulty      Medium   Reading time      12 min   Views  598 Development for Windows *Technical Writing *     Opinion       From sandbox     If you are searching for free partition man"&amp;"ager software for your Windows PC then Download the Top and best Partition Manager Software on Windows PC/Laptop.It is a software program that lets us create delete shrink expand split or merge partitions on our hard drives or other storage devices. Witho"&amp;"ut extra software a hard drive will be partitioned into Windows. But we can’t resize or combine them without any extra help.The important aspect of owning a PC is to manage your hard-drive partitions very effectively. Based on categories it divides data t"&amp;"o allow people. For example you can keep your multimedia files work folders and your programs in different partitions and install them on your system drive.If you use your PC to double or triple-boot into various operating systems as a power user. Your SS"&amp;"D or HDD must be divided into smaller partitions; otherwise it is impossible.In 2020 in managing software partitions effectively. We help you with Windows and Linux by compiling a list of the best free partition software. So let’s read more to get the fre"&amp;"e partition manager Windows 10/8/7.   Read more  Rating  0  Add to bookmarks      4     Comments        1               SpringJava        Oct  30  at 16:37  List in Java | Interface Methods Example Level of difficulty      Easy   Reading time      4 min  "&amp;" Views  260 Java *      From sandbox     In this topic we will learn about what is a List in Java. How to create a List in Java? What are the methods of List in Java? The List is an interface in Java. It is extending the Collection interface in Java. This"&amp;" List interface is present in the java.util package in Java. A list represents a group of individual objects as a single entity where duplicates are allowed and insertion order is preserved.   Read more  Rating  0  Add to bookmarks      1     Comments    "&amp;"    0               ENCRY        Oct  30  at 15:25  Anonymous identification for groups Level of difficulty      Hard   Reading time      13 min   Views  231 Information Security *    The identification protocol based on the pairing function resistant to "&amp;"impersonation and compatible with the instant digital signature (IDS) mode was studied in this article. This protocol uses prover's and verifier's public keys. As a result there is no anonymity since certificates including personal data of their owners ar"&amp;"e issued for the mentioned keys. This article contains a description and analysis of new anonymous identification protocols for groups.   Read more  Rating  0  Add to bookmarks      2     Comments        0               Liga_Stavok        Oct  30  at 15:1"&amp;"3  Roadmap for Managing Chaos — Planing Migration from a Monolith to Microservices  Reading time      22 min   Views  378 Liga Stavok corporate blog      Roadmap      Roadmap for Managing Chaos - Planing Migration from a Monolith to Microservices This art"&amp;"icle tries to provide some insight into the complexities of transitioning from monolithic architectures to microservices. Our goal is to offer a high view perspective on the various considerations and challenges that arise during such migrations terms and"&amp;" keywords you will encounter and their role in this endeavor.    Read more  Rating  0  Add to bookmarks      1     Comments        0               ArcaneGamingcom        Oct  30  at 11:55  UX Designer Job Interview: 10 questions to answer 5 questions to a"&amp;"sk Level of difficulty      Easy   Reading time      6 min   Views  261 SQL *IT Standards *Usability *GitHub *Data Engineering *     Retrospective       Recovery Mode     No matter how many degrees you have or how high your experience level is your recrui"&amp;"ters need to evaluate your knowledge of UX design as a whole. But keep in mind that a job interview is not an exam so here you are expected not to recite the textbook definitions learned by heart but rather share your personal understanding of UX and your"&amp;" role as a designer in general. Consider talking about how you define UX what creates value in the design what are the necessary parts of a UX design process what are the current trends in UX. You might also be asked to explain the difference between UI a"&amp;"nd UX to see how you understand the role of each in the development process.   Read more  Rating  0  Add to bookmarks      0     Comments        0               brdnicolas        Oct  28  at 12:46  React — Higher Order Components (HOC) Level of difficulty"&amp;"      Medium   Reading time      5 min   Views  1.1K JavaScript *ReactJS *      From sandbox     In the ever-evolving realm of web development mastering advanced concepts is essential for creating robust and flexible applications. In this article we'll de"&amp;"lve into one of these foundational React concepts: Higher-Order Components commonly known as HOCs. Whether you're a seasoned developer seeking advanced techniques or a curious beginner eager to learn we'll walk through the creation and application of HOCs"&amp;" step by step. Get ready to enrich your development toolkit with this powerful approach while discovering how to enhance the readability reusability and maintainability of your code.   Learn it  Rating  0  Add to bookmarks      4     Comments        0    "&amp;"           Gonchar_POTT        Oct  26  at 08:42  Python Lives in Excel Level of difficulty      Medium   Reading time      5 min   Views  679 Python *Software      Case       Translation     There was already news on Habr about this significant event. In"&amp;"deed it resembles a retelling of the official Microsoft press release but that's how the 'news' should be.   Read more  Rating  0  Add to bookmarks      2     Comments        0               BarsMonster        Oct  22  at 22:09  Doing 10 minute task in 2 "&amp;"hours using ChatGPT Level of difficulty      Easy   Reading time      4 min   Views  1.8K Programming *Machine learning *Artificial Intelligence      Case      Many of us have heard stories where one was able to complete days worth of work in minutes usin"&amp;"g AI even being outside of one's area of expertise. Indeed often LLM's do (almost) miracles but today I had a different experience:   Read more  Total votes 3: ↑3 and ↓0  +3  Add to bookmarks      2     Comments        3               gfx_pro        Oct  "&amp;"21  at 15:21  Do smartphone cameras need 12-bit ADCs or my failed experiment Level of difficulty      Medium   Reading time      3 min   Views  388 Image processing *Gadgets Smartphones Photographic equipment      Analytics       Translation     Among pho"&amp;"tographers it is known that on ""big"" cameras the use of 14-bit readout compared to 12-bit can have a positive impact on shadow detail. How does this apply to small sensors in smartphone cameras?   Let's find out  Rating  0  Add to bookmarks      1     C"&amp;"omments        0               aozeritsky        Oct  19  at 09:00  High-performance network library using C++20 coroutines Level of difficulty      Medium   Reading time      17 min   Views  13K Programming *C++ *Development for MacOS *Development for Li"&amp;"nux *     Tutorial      Asynchronous programming is commonly employed for efficient implementation of network interactions in C++. The essence of this approach lies in the fact that the results of socket read/write functions are not immediately available "&amp;"but become accessible after some time. This approach allows for loading the processor with useful work during the wait for data. Various implementations of this approach exist such as callbacks actors future/promise coroutines. In C++ these implementation"&amp;"s are available as libraries from third-party developers or can be implemented independently.Coroutines are the most challenging to implement as they require writing platform-dependent code. However the recent version of the C++ 20 language standard intro"&amp;"duces support for coroutines at the compiler and standard library levels. Coroutines are functions that can suspend their execution preserving their state and later return to that state to resume the function's work. The compiler automatically creates a c"&amp;"heckpoint with the coroutine's state.For a comprehensive understanding of C++ 20 coroutines refer to this article. Below we examine a code example using coroutines and describe important points applied during implementation.   Read more  Total votes 6: ↑4"&amp;" and ↓2  +2  Add to bookmarks      7     Comments        11               vda19999        Oct  15  at 11:52  How sqlalchemy uses greenlet to call an async Python function from a normal function  Reading time      5 min   Views  538 Python *    The Python "&amp;"language has two kind of functions — normal functions that you would use in most cases and async functions. The latter functions are used when performing network IO in an asynchronous manner. The problem with this division is that async functions can only"&amp;" be called from other async functions. Normal functions on the other hand can be called from any functions — however if you call a normal function that does a blocking operation from an async function it will block the whole event loop and all your corout"&amp;"ines. These limitations usually mean that when writing an using Python`s asyncio you can`t use any of the IO libraries that you use when writing a synchronous application and vice versa unless a library supports usage both in sync and async applications. "&amp;"Now the question is in case you are developing a large and complex library that say allows users to interact with relational databases abstracting away (some of) the differences between the SQL syntax and other aspects of these databases and abstracting a"&amp;"way the differences between the drivers for that database how do you support both sync and async usage of your library without duplicating the code of your library? The way sqlalchemy is organized is that regardless of what database and driver for it you "&amp;"are using you will be calling functions and methods related to Engine Connection etc classes which will do some general work independent of database then apply the logic specific to your database and finally call the functions of your database driver to a"&amp;"ctually communicate with the database. If you are using Python`s asyncio the database driver will expose async functions and methods but the rest of the library that is driver‑independent would ideally remain the same. However the issue is that that you c"&amp;"an`t call the async functions of the driver from the normal functions of the core of the library.    Read more  Total votes 4: ↑4 and ↓0  +4  Add to bookmarks      2     Comments        1               Makeman        Oct  14  at 07:00  GEOMETRY OF SOUND  "&amp;"Reading time      5 min   Views  725 Programming *Algorithms *C# *Mathematics *Software     Surprisingly there are strict mathematical methods that literally allow to hear visual geometric forms and conversely to see the beauty of musical harmonies...[Rea"&amp;"d on Russian]   Read more...  Total votes 3: ↑3 and ↓0  +3  Add to bookmarks      5     Comments        0               Leschev        Oct  11  at 07:30  React Custom Hook: useTimeout Level of difficulty      Medium   Reading time      2 min   Views  1.1K"&amp;" Website development *JavaScript *ReactJS *TypeScript *Visual programming *     Digest      One of the significant advantages of this custom hook is that it ensures the callback function remains up to date even if it changes during component re-renders. B"&amp;"y using a useRef to store the callback reference the hook guarantees that the latest version of the function is always called.   Read more  Total votes 4: ↑2 and ↓2  0  Add to bookmarks      2     Comments        1               gfx_pro        Oct  9  at "&amp;"18:55  A (more) accurate camera sensor dynamic range measurement  Reading time      7 min   Views  504 Photographic equipment Data Engineering *     Analytics       Translation     Hello everyone! In this post let's talk about how to (more) accurately mea"&amp;"sure the dynamic range of a camera sensor and what can be done with these measurements.Of course I am not an expert in computer vision a programmer or a statistician so please feel free to correct me in the comments if I make mistakes in this post. Here m"&amp;"y interest was primarily focused on everyday and practical tasks such as photography but I believe the results may also be useful to computer vision professionals.   Read more  Rating  0  Add to bookmarks      1     Comments        2         Back        H"&amp;"ere            1             2              3               ...              49              50              There     Back                   Your account                         Log in                              Sign up                        Sections "&amp;"                        Articles                              News                              Hubs                              Authors                              Sandbox                        Information                         How it works         "&amp;"                     For authors                              For companies                              Documents                              Agreement                              Confidential                        Services                         Cor"&amp;"porate blogs                              Advertising                              Native advertising                              Education programs                              Startups                              Special projects                Facebo"&amp;"ok Twitter Telegram           Language settings               Support       © 2006–2023  Habr   ")</f>
        <v>All articles in a row / Habr    Habr  β              How to become an author                        All streams                 Development                  Admin                  Design                  Management                  Marketing                  PopSci         Search     Profile          Pull to refresh      All streams            Articles                 Posts                 News                 Hubs                 Authors               All   Dropdown  Copy RSS link          Show first             New          Top             Rating limit             All          ≥0          ≥10          ≥25          ≥50          ≥100               Level of difficulty                       All                          Easy                          Medium                          Hard                     Apply                PaulKarol        Nov  10  at 17:56  Building an IT website aimed at America and the West  Reading time      3 min   Views  148 IT Infrastructure *IT Standards *Research and forecasts in IT *GTD *IT career     My last article stirred up some definite comments and even questions about different things in business. I’m going to keep giving you as much information as I can so that you can continue to do business as IT professionals outside of Russia with other countries. How do you design a website that will be viewed in the west and appreciated by the people there?What are the most important elementsfor America and other western markets?   Read more  Rating  0  Add to bookmarks      3     Comments        0               PaulKarol        Nov  7  at 12:32  Marketing your Mindset  Reading time      2 min   Views  177 IT Infrastructure *IT Standards *Research and forecasts in IT *GTD *IT career     Information shared below is exactly how I work with my IT professionals who are going to be participating in pre-sales to America. I tell them exactly this and it helps prepare them to successfully sell the the United States companies.As developers and IT companies we must sell our software. What can give you an edge in this very competitive market place?Please if you would allow me to let me explain why this is important and how this can make your company more successful.  There’s a certain type of thinking that is conducive to working as a software developer. This is a very practical mindset but it goes beyond that. If you have the mindset of direct thinking.Here are examples:I see the target a target and I don’t see obstaclesВижу цель не вижу препятствийThis is an example of the practical mindset how is approaches the problem of development. It makes people who have this mindset the best developers in the world.Example of mindset:Problem……………… find a solution………… No problem.Notice how this looks exactly like a line of code?This is well-known around the world in places where you would like to sell your software the United States Germany Belgium and the Middle East.Countries where people have this mindset have the best developers. now let’s talk about your competition:Americans: during the center process “find a solution” Americans are overly concerned about responsibility. This slows them down in the decision making process.    Read more  Total votes 1: ↑0 and ↓1  -1  Add to bookmarks      3     Comments        2               kaze_no_saga        Nov  7  at 06:03  PostgreSQL 17: Part 2 or Commitfest 2023-09  Reading time      11 min   Views  384 Postgres Professional corporate blog PostgreSQL *SQL *     Digest       Translation     We continue to follow the news of the PostgreSQL 17 development. Let's find out what the September commitfest brings to the table.If you missed our July commitfest review you can check it out here: 2023-07.Removed the parameter old_snapshot_thresholdNew parameter event_triggersNew functions to_bin and to_octNew system view pg_wait_eventsEXPLAIN: a JIT compilation time counter for tuple deformingPlanner: better estimate of the initial cost of the WindowAgg nodepg_constraint: NOT NULL constraintsNormalization of CALL DEALLOCATE and two-phase commit control commandsunaccent: the target rule expressions now support values in quotation marksCOPY FROM: FORCE_NOT_NULL * and FORCE_NULL *Audit of connections without authenticationpg_stat_subscription: new column worker_typeThe behaviour of pg_promote in case of unsuccessful switchover to a replicaChoosing the disk synchronization method in server utilitiespg_restore: optimization of parallel recovery of a large number of tablespg_basebackup and pg_receivewal with the parameter dbnameParameter names for a number of built-in functionspsql: watch min_rows   Read more →  Total votes 3: ↑3 and ↓0  +3  Add to bookmarks      2     Comments        1               SpringJava        Nov  4  at 12:34  How to Use Throw and Throws in Java Level of difficulty      Easy   Reading time      2 min   Views  347 Programming *Java *     Tutorial      Exception handling in Java is the most effective way to handle runtime errors occurring in the application. This is used to protect the abnormal flow of the execution of the application and continue the application in normal flow. This is the process of handling runtime errors such as ClassNotFoundException IOException etc. The throw and throws keywords are used to handle exceptions in Java.In this topic we will learn how to use throw and throws keywords in Java with examples.   Read more  Total votes 3: ↑3 and ↓0  +3  Add to bookmarks      0     Comments        0               PaulKarol        Nov  3  at 14:20  The key to Sales Conversion of an American CEO or CFO  Reading time      1 min   Views  405 IT Infrastructure *IT Standards *Research and forecasts in IT *GTD *IT career     i’m writing this series articles to spearhead the new marketing campaign for into the American market. I will be covering a wide range of topics that will allow us to position the company in the proper way so that is excepted as a provider of High-quality software in America.The key to converting an American CEO or CFO is the trigger point for the American business culture. The trigger point for America is responsibility.   This means in business you must be responsible. You also look for business partners that are responsible.  But let’s take this into the newest more powerful view that we need to have now.  The scene from the point of you of the CFO sitting at the head of the financial controls of a large hospital conglomerate. Put yourself in the mind of the CFO. What are they concerned about?  As an American CFO they will be very concerned about whether they are being responsible in their job and responsible to the hospital staff shareholders patients and the management above them. And this is how we get our foot in the door in this American niche market. If we present ourselves as offering something that “May” give an answer to specific problems that they know that they have they must give us a chance to present a Presale. The reason is because they are responsible and if there is a solution as an American Director you must explore that solution.It would be irresponsible to not explore a potential solution.Then it’s a simple case to actually give value in the presale meeting and convince them that we can deliver some thing that will benefit their business and profits.   Read more  Total votes 6: ↑0 and ↓6  -6  Add to bookmarks      4     Comments        2               SpringJava        Nov  3  at 10:20  One-to-One Bidirectional Mapping in Spring Boot JPA Level of difficulty      Easy   Reading time      8 min   Views  237 Programming *Java *System Programming *Systems engineering *     Tutorial      This topic will teach us to implement one-to-one(@OneToOne annotation) bidirectional mapping using Spring Boot Hibernate and Spring Data JPA.   Read more  Rating  0  Add to bookmarks      0     Comments        0               RahulKumarsree        Oct  30  at 17:40  Top 10 Best Free Partition Manager Software for Windows PC/Laptop Level of difficulty      Medium   Reading time      12 min   Views  598 Development for Windows *Technical Writing *     Opinion       From sandbox     If you are searching for free partition manager software for your Windows PC then Download the Top and best Partition Manager Software on Windows PC/Laptop.It is a software program that lets us create delete shrink expand split or merge partitions on our hard drives or other storage devices. Without extra software a hard drive will be partitioned into Windows. But we can’t resize or combine them without any extra help.The important aspect of owning a PC is to manage your hard-drive partitions very effectively. Based on categories it divides data to allow people. For example you can keep your multimedia files work folders and your programs in different partitions and install them on your system drive.If you use your PC to double or triple-boot into various operating systems as a power user. Your SSD or HDD must be divided into smaller partitions; otherwise it is impossible.In 2020 in managing software partitions effectively. We help you with Windows and Linux by compiling a list of the best free partition software. So let’s read more to get the free partition manager Windows 10/8/7.   Read more  Rating  0  Add to bookmarks      4     Comments        1               SpringJava        Oct  30  at 16:37  List in Java | Interface Methods Example Level of difficulty      Easy   Reading time      4 min   Views  260 Java *      From sandbox     In this topic we will learn about what is a List in Java. How to create a List in Java? What are the methods of List in Java? The List is an interface in Java. It is extending the Collection interface in Java. This List interface is present in the java.util package in Java. A list represents a group of individual objects as a single entity where duplicates are allowed and insertion order is preserved.   Read more  Rating  0  Add to bookmarks      1     Comments        0               ENCRY        Oct  30  at 15:25  Anonymous identification for groups Level of difficulty      Hard   Reading time      13 min   Views  231 Information Security *    The identification protocol based on the pairing function resistant to impersonation and compatible with the instant digital signature (IDS) mode was studied in this article. This protocol uses prover's and verifier's public keys. As a result there is no anonymity since certificates including personal data of their owners are issued for the mentioned keys. This article contains a description and analysis of new anonymous identification protocols for groups.   Read more  Rating  0  Add to bookmarks      2     Comments        0               Liga_Stavok        Oct  30  at 15:13  Roadmap for Managing Chaos — Planing Migration from a Monolith to Microservices  Reading time      22 min   Views  378 Liga Stavok corporate blog      Roadmap      Roadmap for Managing Chaos - Planing Migration from a Monolith to Microservices This article tries to provide some insight into the complexities of transitioning from monolithic architectures to microservices. Our goal is to offer a high view perspective on the various considerations and challenges that arise during such migrations terms and keywords you will encounter and their role in this endeavor.    Read more  Rating  0  Add to bookmarks      1     Comments        0               ArcaneGamingcom        Oct  30  at 11:55  UX Designer Job Interview: 10 questions to answer 5 questions to ask Level of difficulty      Easy   Reading time      6 min   Views  261 SQL *IT Standards *Usability *GitHub *Data Engineering *     Retrospective       Recovery Mode     No matter how many degrees you have or how high your experience level is your recruiters need to evaluate your knowledge of UX design as a whole. But keep in mind that a job interview is not an exam so here you are expected not to recite the textbook definitions learned by heart but rather share your personal understanding of UX and your role as a designer in general. Consider talking about how you define UX what creates value in the design what are the necessary parts of a UX design process what are the current trends in UX. You might also be asked to explain the difference between UI and UX to see how you understand the role of each in the development process.   Read more  Rating  0  Add to bookmarks      0     Comments        0               brdnicolas        Oct  28  at 12:46  React — Higher Order Components (HOC) Level of difficulty      Medium   Reading time      5 min   Views  1.1K JavaScript *ReactJS *      From sandbox     In the ever-evolving realm of web development mastering advanced concepts is essential for creating robust and flexible applications. In this article we'll delve into one of these foundational React concepts: Higher-Order Components commonly known as HOCs. Whether you're a seasoned developer seeking advanced techniques or a curious beginner eager to learn we'll walk through the creation and application of HOCs step by step. Get ready to enrich your development toolkit with this powerful approach while discovering how to enhance the readability reusability and maintainability of your code.   Learn it  Rating  0  Add to bookmarks      4     Comments        0               Gonchar_POTT        Oct  26  at 08:42  Python Lives in Excel Level of difficulty      Medium   Reading time      5 min   Views  679 Python *Software      Case       Translation     There was already news on Habr about this significant event. Indeed it resembles a retelling of the official Microsoft press release but that's how the 'news' should be.   Read more  Rating  0  Add to bookmarks      2     Comments        0               BarsMonster        Oct  22  at 22:09  Doing 10 minute task in 2 hours using ChatGPT Level of difficulty      Easy   Reading time      4 min   Views  1.8K Programming *Machine learning *Artificial Intelligence      Case      Many of us have heard stories where one was able to complete days worth of work in minutes using AI even being outside of one's area of expertise. Indeed often LLM's do (almost) miracles but today I had a different experience:   Read more  Total votes 3: ↑3 and ↓0  +3  Add to bookmarks      2     Comments        3               gfx_pro        Oct  21  at 15:21  Do smartphone cameras need 12-bit ADCs or my failed experiment Level of difficulty      Medium   Reading time      3 min   Views  388 Image processing *Gadgets Smartphones Photographic equipment      Analytics       Translation     Among photographers it is known that on "big" cameras the use of 14-bit readout compared to 12-bit can have a positive impact on shadow detail. How does this apply to small sensors in smartphone cameras?   Let's find out  Rating  0  Add to bookmarks      1     Comments        0               aozeritsky        Oct  19  at 09:00  High-performance network library using C++20 coroutines Level of difficulty      Medium   Reading time      17 min   Views  13K Programming *C++ *Development for MacOS *Development for Linux *     Tutorial      Asynchronous programming is commonly employed for efficient implementation of network interactions in C++. The essence of this approach lies in the fact that the results of socket read/write functions are not immediately available but become accessible after some time. This approach allows for loading the processor with useful work during the wait for data. Various implementations of this approach exist such as callbacks actors future/promise coroutines. In C++ these implementations are available as libraries from third-party developers or can be implemented independently.Coroutines are the most challenging to implement as they require writing platform-dependent code. However the recent version of the C++ 20 language standard introduces support for coroutines at the compiler and standard library levels. Coroutines are functions that can suspend their execution preserving their state and later return to that state to resume the function's work. The compiler automatically creates a checkpoint with the coroutine's state.For a comprehensive understanding of C++ 20 coroutines refer to this article. Below we examine a code example using coroutines and describe important points applied during implementation.   Read more  Total votes 6: ↑4 and ↓2  +2  Add to bookmarks      7     Comments        11               vda19999        Oct  15  at 11:52  How sqlalchemy uses greenlet to call an async Python function from a normal function  Reading time      5 min   Views  538 Python *    The Python language has two kind of functions — normal functions that you would use in most cases and async functions. The latter functions are used when performing network IO in an asynchronous manner. The problem with this division is that async functions can only be called from other async functions. Normal functions on the other hand can be called from any functions — however if you call a normal function that does a blocking operation from an async function it will block the whole event loop and all your coroutines. These limitations usually mean that when writing an using Python`s asyncio you can`t use any of the IO libraries that you use when writing a synchronous application and vice versa unless a library supports usage both in sync and async applications. Now the question is in case you are developing a large and complex library that say allows users to interact with relational databases abstracting away (some of) the differences between the SQL syntax and other aspects of these databases and abstracting away the differences between the drivers for that database how do you support both sync and async usage of your library without duplicating the code of your library? The way sqlalchemy is organized is that regardless of what database and driver for it you are using you will be calling functions and methods related to Engine Connection etc classes which will do some general work independent of database then apply the logic specific to your database and finally call the functions of your database driver to actually communicate with the database. If you are using Python`s asyncio the database driver will expose async functions and methods but the rest of the library that is driver‑independent would ideally remain the same. However the issue is that that you can`t call the async functions of the driver from the normal functions of the core of the library.    Read more  Total votes 4: ↑4 and ↓0  +4  Add to bookmarks      2     Comments        1               Makeman        Oct  14  at 07:00  GEOMETRY OF SOUND  Reading time      5 min   Views  725 Programming *Algorithms *C# *Mathematics *Software     Surprisingly there are strict mathematical methods that literally allow to hear visual geometric forms and conversely to see the beauty of musical harmonies...[Read on Russian]   Read more...  Total votes 3: ↑3 and ↓0  +3  Add to bookmarks      5     Comments        0               Leschev        Oct  11  at 07:30  React Custom Hook: useTimeout Level of difficulty      Medium   Reading time      2 min   Views  1.1K Website development *JavaScript *ReactJS *TypeScript *Visual programming *     Digest      One of the significant advantages of this custom hook is that it ensures the callback function remains up to date even if it changes during component re-renders. By using a useRef to store the callback reference the hook guarantees that the latest version of the function is always called.   Read more  Total votes 4: ↑2 and ↓2  0  Add to bookmarks      2     Comments        1               gfx_pro        Oct  9  at 18:55  A (more) accurate camera sensor dynamic range measurement  Reading time      7 min   Views  504 Photographic equipment Data Engineering *     Analytics       Translation     Hello everyone! In this post let's talk about how to (more) accurately measure the dynamic range of a camera sensor and what can be done with these measurements.Of course I am not an expert in computer vision a programmer or a statistician so please feel free to correct me in the comments if I make mistakes in this post. Here my interest was primarily focused on everyday and practical tasks such as photography but I believe the results may also be useful to computer vision professionals.   Read more  Rating  0  Add to bookmarks      1     Comments        2         Back        Here            1             2              3               ...              49              50              There     Back                   Your account                         Log in                              Sign up                        Sections                         Articles                              News                              Hubs                              Authors                              Sandbox                        Information                         How it works                              For authors                              For companies                              Documents                              Agreement                              Confidential                        Services                         Corporate blogs                              Advertising                              Native advertising                              Education programs                              Startups                              Special projects                Facebook Twitter Telegram           Language settings               Support       © 2006–2023  Habr   </v>
      </c>
    </row>
    <row r="21">
      <c r="A21" s="1" t="s">
        <v>54</v>
      </c>
      <c r="B21" s="1" t="s">
        <v>84</v>
      </c>
      <c r="C21" s="1" t="s">
        <v>85</v>
      </c>
      <c r="D21" s="1">
        <v>8.0</v>
      </c>
      <c r="E21" s="4" t="s">
        <v>86</v>
      </c>
      <c r="F21" s="1" t="s">
        <v>16</v>
      </c>
      <c r="G21" s="1" t="s">
        <v>87</v>
      </c>
      <c r="H21" s="4" t="s">
        <v>88</v>
      </c>
      <c r="I21" s="2">
        <v>2.0</v>
      </c>
      <c r="J21" s="5" t="str">
        <f>IFERROR(__xludf.DUMMYFUNCTION("GOOGLETRANSLATE(A21)"),"chatgpt")</f>
        <v>chatgpt</v>
      </c>
      <c r="K21" s="6" t="str">
        <f>IFERROR(__xludf.DUMMYFUNCTION("GOOGLETRANSLATE(B21)"),"Start ChatGPT")</f>
        <v>Start ChatGPT</v>
      </c>
      <c r="L21" s="5" t="str">
        <f>IFERROR(__xludf.DUMMYFUNCTION("GOOGLETRANSLATE(C21)"),"Start ChatGPT from Russia without VPN and without SMS.")</f>
        <v>Start ChatGPT from Russia without VPN and without SMS.</v>
      </c>
      <c r="M21" s="5" t="str">
        <f>IFERROR(__xludf.DUMMYFUNCTION("GOOGLETRANSLATE(G21)"),"ChatGPT for Russian confirmation of OK Camera Code for ChatGPT from Russia Openai without VPN and without SMS format: Web Sitegde is working telephone to any device of the CHATGPT Proceeds can be viewed in the record: 109 rubles per month or 10,000 signs "&amp;"of free of charge! Close go ... cancel the OK to the registration page ... Connection to ChatGPT in Russia without VPN and without CMC.chatgpttbot.ruchatgpt in Russia000 Home Chatgpt Bot Contacts Contacts Contact Documents announcement of the tariff polic"&amp;"y of the Offer data processing - Conditions for using the Code ChatGPT DGNOTE CHATGPT from Russia without VPN and without SMS. It is possible the most intelligent bot in the world. Go to ChatGPTBOTSITION for ChatGPTBOT.ru 109 rubles in the month of 25,000"&amp;" sign up for registration")</f>
        <v>ChatGPT for Russian confirmation of OK Camera Code for ChatGPT from Russia Openai without VPN and without SMS format: Web Sitegde is working telephone to any device of the CHATGPT Proceeds can be viewed in the record: 109 rubles per month or 10,000 signs of free of charge! Close go ... cancel the OK to the registration page ... Connection to ChatGPT in Russia without VPN and without CMC.chatgpttbot.ruchatgpt in Russia000 Home Chatgpt Bot Contacts Contacts Contact Documents announcement of the tariff policy of the Offer data processing - Conditions for using the Code ChatGPT DGNOTE CHATGPT from Russia without VPN and without SMS. It is possible the most intelligent bot in the world. Go to ChatGPTBOTSITION for ChatGPTBOT.ru 109 rubles in the month of 25,000 sign up for registration</v>
      </c>
    </row>
    <row r="22">
      <c r="A22" s="1" t="s">
        <v>54</v>
      </c>
      <c r="B22" s="1" t="s">
        <v>89</v>
      </c>
      <c r="C22" s="1" t="s">
        <v>90</v>
      </c>
      <c r="D22" s="1">
        <v>9.0</v>
      </c>
      <c r="E22" s="4" t="s">
        <v>91</v>
      </c>
      <c r="F22" s="1" t="s">
        <v>16</v>
      </c>
      <c r="G22" s="1" t="s">
        <v>92</v>
      </c>
      <c r="H22" s="4" t="s">
        <v>93</v>
      </c>
      <c r="I22" s="2">
        <v>2.0</v>
      </c>
      <c r="J22" s="5" t="str">
        <f>IFERROR(__xludf.DUMMYFUNCTION("GOOGLETRANSLATE(A22)"),"chatgpt")</f>
        <v>chatgpt</v>
      </c>
      <c r="K22" s="6" t="str">
        <f>IFERROR(__xludf.DUMMYFUNCTION("GOOGLETRANSLATE(B22)"),"ChatGPT: how to use a neural network and what it can")</f>
        <v>ChatGPT: how to use a neural network and what it can</v>
      </c>
      <c r="L22" s="5" t="str">
        <f>IFERROR(__xludf.DUMMYFUNCTION("GOOGLETRANSLATE(C22)"),"7 Apr. 2023. -")</f>
        <v>7 Apr. 2023. -</v>
      </c>
      <c r="M22" s="5" t="str">
        <f>IFERROR(__xludf.DUMMYFUNCTION("GOOGLETRANSLATE(G22)"),"Tinkoff magazine: a magazine about your money T - ZHUCHUCHEBNITRODURECTIONARY -CREETITIONAL History TREATIONARY TREATED DEACKENDICKENDICARICARYSENTRICALS COMPORTATIONS OF THE LAWS TRADENTRARY PRODUCTIONS AND VIDEO VIDIVERSYSHESTASS AND PROSESSIES OF RUNNI"&amp;"ES AND OFFICES OF RIGHTS AND OFFICES OF RUNDERY ACTIVERS OF THE AND EXTERNITY ONE AR Law off the lawnies of traffic jams and video tests and duties on their rights and obligations from money and duties, they take away the readers and take off their residu"&amp;"al Speech, all the quotes You advise you to ride anyone's excellent or terrible book of your favorite thing in the dressing room to make an all-school to simplify your life using neuraltykak to manage personal finances how to invest a tack to communicate "&amp;"and understand each other to examine all the course of the General Director in St. Petersburg with a salary of 70 000 ₽ an assistant general director lives in St. St. Petersburg with a salary of 70 000 ₽676 Bender from the life of a storekeeper in Kazan w"&amp;"ith a salary of 245 000 ₽ of the storekeeper’s life in Kazan with a salary of 245 000 ₽382 I earn more than 400 000 ₽ in two works and by the end of the month I barely make the ends of the end of the end of more than 400,000 ₽ in two works and by the end "&amp;"of the month I barely make ends with the ends of 369kak changed the life of a leading engineer in Moscow with a salary of 120 000 ₽ Changed the life of a leading engineer in Moscow with a salary of 120 000 ₽361-actual diemile Makhmutov 10.11valve showed S"&amp;"team Deck with an OLED screen: the better the old model and when the salevalve showed Steam Deck with the OLED screen: the better the old model and when the sales 4 Skrivpnik 10.11Savva Olluco and LOONA begins: the 10 best restaurants in Moscow according "&amp;"to the Vere to Eat 2023Savva Olluco and Loona: 10 best restors are named new Moscow According to the youth to eat 202310Mihail Boldov 09.11, banks react to the growth of the key rate in 2023: that with deposits and mortgages and mortgages, banks react to "&amp;"the growth of the key rate in 2023: that with deposits and mortgages14 sore 09.11v Turin will be held the final tournament of ATP: the main thing The final of the TURNIV TURIN Tennis season will be held by the final tournament of ATP: the main thing about"&amp;" the final of the tennis season 5 Sasash Kirillov 09.11 Hollywood actors and the studio agreed on the completion of the strike: what is known about the agreement of the Hollywood actors and the studios agreed on the completion of the strike: what is known"&amp;" about the agreement2Mihail Boldov, permitted in the retail inon Vestors exchange blocked Assets: how it will work, the president allowed retail investors to exchange blocked assets: how it will work 333artm Mazanov 09.11 “Yandex” presented the “MIDI stat"&amp;"ion” with new opportunities for managing the MIDI Smart House with new opportunities for managing the smart home28alikhan Israpilov 08.11na UFC 295 two title fights will be held: a landmark against Pereira Pavlovich against Aspinallan UFC 295 will undergo"&amp;" two title fights: a landmark against Pereira Pavlovich against Aspinal Belikova 08.11 Central University from Tinkyff launched a grant competition for bachelor's bachelor's university from Tinkoff for Tinkoff for Tinkoff I launched a competition of grant"&amp;"s for training in Bachelor's bachelor's iglkin Zhulkin 08.11 Deficiency of the budget decreased to 12 trillion rubles: record payments from the oil industry departments of the budget were reduced to 12 trillion rubles: the record payments from oil workers"&amp;" Agafonov 03.11 Little things pot and summer tumors: what to look at the exhibition about the punk culture in the Petersburgelic belongings of the pot and a pot and a pot Studios of Letov: What to see at the exhibition about punk culture in St. Petersburg"&amp;"35Artem Mazanov 03.11 of public services launched a service to verify the authenticity of someone else's passports to public services launched a service to check the authenticity of someone else's passport10Mihail Boldov 02.111SHA. NEW SACKS INTERY-agains"&amp;"t banks of St. Petersburg BiMani and Baumankishas have entered into new sanctions-new sanctions were introduced-new sanctions were introduced. Against the banks of St. Petersburg Birzhi and Baumanki788katerina Miroshkina 02.11, the Arctic mortgage and tax"&amp;"es: what will change in November 2023, the Arctic mortgage and taxes will change: what will change in November 20234 Sasash Kirillov 02.11 times in Russia rose prices for taxi159MARARS SUKHOVSKAYA 01.11ANEVA. Fines in the field of consumer rights: what is"&amp;" waiting for business in November 2023 Laeded fines in the field of consumer rights: what is waiting for a business in November 20235Artem Mazanov 01.11TSB launched an online account of financial literacy on financial literacy15Aleksander Levkin 31.10 Mag"&amp;"nit. In the Far Eastern network, Samburi: what does this give the Magnit buy a share in the Far Eastern Network Samburi: what will it give the company8 discussion11.11, tell you how you were hinted at the bribe 657 Gorod11111DOTAS AND IZUMRUD building: 15"&amp;" amazing objects of modern architecture in Moscow13168 tests13168 tests For those who want to know yourself 26.10, you are worthy of superpower? 19212 discounts 1111111111 Nereiros did not live up to your expectations? Share the indignation of the19 Promo"&amp;"tor resource for novice drivers, the course “How to get the right” can win 100 000 ₽ on the driving school of your car or something else to get involved in the way out of the repair, you don’t advise you to go any excellent or terrible book of your belove"&amp;"d thing in the dressing room, you have experienced the repair, no excellent or terrible book of your beloved things in the dressing room to take all-scrolling to simplify life with the help of neurosetrosaka to manage personal finances how to invest a man"&amp;" to communicate and understand each other to simplify life with the help of neuroseticacus to manage personal finances how to invest a man to communicate and understand each other's courses, the assistant general director in St. Petersburg with a salary o"&amp;"f 70 000 ₽ Lives an assistant general director in St. Petersburg with a salary of 70 000 ₽676. A pantry of the storekeeper in Kazan with a salary of 245,000 ₽, from the life of a storekeeper in Kazan with a salary of 245 000 ₽382, more than 400 000 ₽ in t"&amp;"wo works and barely raised by the end of the month The ends from the end of the time I earn more than 400 000 ₽ in two works and by the end of the month I barely make ends with the ends of 369kak changed the life of a leading engineer in Moscow with a sal"&amp;"ary of 120 000 ₽ Changed the life of a leading engineer in Moscow with a salary of 120 000 ₽361 with Tinkoff for readers with animal design free card in the style of Kish with cashback up to 15%credit card with double cashback for traveling emigration11.1"&amp;"1, I moved to the United States became a pilot and earn $ 140,000 a year774519 Veoughs are repairs11.11 “There was a hole on the wall”: how we make a renovation of Eurodvushka 40 m² and already spent more than 4 million945 discount 09.10, what kind of nei"&amp;"ghbors were injured by you or those around you? 3323ed11.11 “Thought the eyes of the eyes”: 7 very sharp products that were remembered for a long time 619 readers of Pisyutirin Kashirskaya 11.11 rule whether they kept vacation pay from salaries? 11.11 I a"&amp;"m getting off the train in Minsk? Can I get off the train in Minsk? 9 Lepolina Kurtenkova 11.111 What if the self -employed person was paid that exceeded the limit? What if the self -employed person was paid, which exceeded the limit? 3anastasia Vasilieva"&amp;" 11.11 of the unusual stylish clothes I I found on marketplayskhkaya unusual stylish clothes, How to return the money if you find an apartment for rent using the aggregator? How to return the money if you find an apartment for rent with the aggregator? Ho"&amp;"w to return the money if you deceived in the game? How to return the money if you deceived in the game? 7katerina 11.11 What to be with the debt for utilities? How to be with a debt for utilities? 12yulianna boldyreva 11.111 Is it possible to issue a powe"&amp;"r of attorney for a passport? Is it possible to apply for a power of attorney for a passport ? 1AS AKHMEDOVA 11.111 What if the teacher does not watch the educational work? What if the teacher does not watch the educational work? 2an Romanova 11.11 I reco"&amp;"mmend reading: “Angel from Galilee” Laura will read: “Angel from Galilee” Laura Restrepo1111. Does the state belong to the state? What if part of the apartment belongs to the state? ·,, Ramil Galaev 11.11 of the bailiff will look for the debtor if he is a"&amp;"broad? How will the bailiffs look for a debtor if he is abroad? 5mara 11.11 Service reveals the fine data when you check the car. Is it legal? Service reveals the data on fines when you check the car. Is this legal? 1leonid Panteleev 11.11. To establish p"&amp;"aternity if a child in another country? How to establish paternity if a child in another country? 1mikhail 11.11 times if the car is squeezed in the yard? Who will compensate for the car with the gates in the yard? Selivanova 11.11 Express how you were hi"&amp;"nted at a brisk -free telling how you were hinted at a bribe57 technichelium 11.1111 Nonisets did not live up to your expectations? Share in the indignation did not live up to your expectations? Share the indignation of the 9.1111111111111111th: to deal w"&amp;"ith your zone comfortable lesson: to deal with your comfort zone12 Old Lurie 11.11 “There was a hole on the wall”: how we make an Eurodvushka repair of 40 m² and have already spent more than 4 million “There was a hole on the wall”: as we are as we are We"&amp;" are making an EURDOVUSHKA 40 m² and have already spent more than 4 million44ARARINA Lipatnikova 11.11 “I thought my eyes will flow out”: 7 very sharp products that were remembered for a long time “thought my eyes to flow out”: 7 very sharp products that "&amp;"were remembered for a long time, akimov 10.11FOLEBOLBOLBOBOV: the island of ANZER SARGE YAKHTYTOLBOLBOLE: Anzer island from the side of the sailing yacht4Dmitry Dubas 10.111111111111111111111s for the day and the face at night: I combine the two professio"&amp;"ns and (not) I go my mind for sales during the day and the faceting at night: I combine two professions and (not) go crazy26marenzio 10.11 “it is not suitable She is absolutely ”: what if my mother has a dubious boyfriend“ He doesn’t suit her at all ”: wh"&amp;"at if my mother has a dubious boyfriend26arbuse 10.111 I wore braces for 3 years to correct the bruise of Zubovkak, Read: “The Cross Courtyard” by George Orwell, I recommend to read: “The Cross Courtyard” George Orwell18Aleksey Kablukov 10.111kak, return "&amp;"the money if the ordered food was not brought? How to return the money if the ordered food was not brought? 27Roman Khakimov 10.11 I was spent on a person who was not needed that he was not needed that he did not need it that He spent time on a person who"&amp;" was not needed 6th investment10.11Donald Trump-Cinema star: the best roles of the former US President412222222210.11 Russian punk rock: 10 important groups that formed the genre14 ·, 12 Business 01.099999999999 999999999 Share your experience and advise1"&amp;"0.11. Automobile market: What will be the consequences307012 is it to speculate on the dollar? 131410 What US sanctions will affect the transfer of UNISTRAMA 7113 on the Visa and Mastercard card still released? 247219 What will happen to the end of 202311"&amp;"123 What does the ruble fall: experts of experts: experts of experts: experts of experts and forecasts of the course for 20235221547KA to recover the penalty in 2023 If the developer violates the contract1611144KAK Send money from Russia to Kazakhstan1535"&amp;"39kak to download the applications that are not in the App Store? 142265kak, transfer money to Russia 63152KA to transfer money From Russia6187151, Tinkoff was removed from the App Store6022147KAK GAZ Prices to affect Russian supplies 945 Tytinkoff got in"&amp;"to the sanctions list of the European Union71130213021302130213302133021 chatter in Turkey: Economic consequences for Russia1345 What do you need to know about 20235016139Minfin and Central Bank. Market: what will happen to the ruble of1624620 countries t"&amp;"hat issue tourist visas The Russians in 202348112168 WHAT IS The ruble weaken. And what to expect from him in 2023256623VEPEPEPED DEHOUNTION and the ceiling of prices for Russian oil: what the consequences will wait for 464217KAKA Partial mobilization ref"&amp;"lected in the Russian economy338912KA, I opened a banking account in Georgia196063 KOUR Power of attorney should be issued to the mobilized51016 KUSTICA 1835kak I received two bank cards в Казахстане102338215Как я оформил карту в турецком банке за один де"&amp;"нь68232140Почему на российской границе требуют показать чеки на старые гаджеты?367734Сравнятор10.11Настольные посудомойки для дома и дачи: 6 удачных моделей4314Письмо психологу10.11«Он не подходит ей совершенно»: как быть если у мамы появился Doubtful boy"&amp;"friend3262 Decumbria for lunch and daytime sleep on the street: how are the kindergartens in Norway 20459 Brectes of readers10.11 I wore braces 3 years to correct the bustle of teeth6135o, what is important to know the travelers to book housing from Russi"&amp;"a59112103k 36 countries in which banking Maps Russians6385233 CHARCH FLOWERS can be transported in hand luggage? 182432 Countries are open for tourists from Russia184295574AMALIARIARYABILIARY ABAND WEDDEN to sell subsidized tickets for 2023: who can buy t"&amp;"hem212532KAC to get a Green Card US Stage: how much can you spend on the day4558128Pop-culture10. 11 “Invulnerable”: we talk about the second season and answer the main questions about the series111 what to do? 10.111 how to return the money if the ordere"&amp;"d food was not brought? 8272port10.1110 Best Boxing Films: Rocky Balboa Muhammad Ali and Robota2 5 reasons to abandon corporate parties1430 Poddakasts “We are not at all demolished”: for the first time we answer the questions of the audience6 ·,, 121 stup"&amp;"id question about pregnancy3 ·,, 8 sects and the refrigerator-killer: 8 of the most interesting releases of the podcast “Scheme” 5 ·,, 11,000 “This will affect us all”: what do we know about dying and death101118 bikubushka for high a house in Cyprus and "&amp;"traveling to Canaries: a new issue of NKTSD5 ·,, 3 “Only a ruble is cheaper”: how much life is in Russia1378 “What the wife will say that the children will say What will they say at work? ”: the release about HIV624“ Well, how is there with money? ”: we r"&amp;"eturned8 ·,, 1 what students answer questions about money982“ feel irrelevant ”: why we are afraid of old age11814“ you can’t wash longer than three minutes ”: how many Life in Australia is worth it1111 · · · Petya with dad - on a Mercedes and my mother a"&amp;"nd I are on a minibus ”: what do children think about inequality753“ It breaks physically and psychologically ”: how they live with pelvic pain 7,“ Viewer or you or you or you or you player? Time to solve ”: as the“ Blogger-millionaire ”bred subscribers f"&amp;"or money7106“ They came up with taxes on everything ”: how much life costs in the Netherlands10231111110.11111111 Fosagro report for 9 months of 2023: revenue and profits fell despite the growth of sales1,00010 .1111 is right: for which they can be taken "&amp;"what to do after that ·., 1 Corporation of the Internet10.11 What is Girl Math - a meme about how we come up with an unobvious benefit to justify the expenses of 3126 Besit! 10.111111111111111523 have read so many things. It’s time to relax: what superpow"&amp;"ers are you worthy of? 19212 Guess what this child has done1881 in what apartment would you live in a parallel universe? 17261 musical guide: find out in what secret place in Moscow do you need to visit271734 Victor T⁠ -⁠ZH: What do you know about the his"&amp;"tory of money? 2735 KO. Are you a meme about money? 44295 Can you eat 16 million rubles? 31394, we go to the Hasali Shurushki: do you understand the words from different regions of Russia? 42828 Is your money? Or whose? 45263 Could you write a book? 49642"&amp;"6 Hall of hearing10.11 will say that there is no benefit from iodine and Zelenka. True? 5101 discount 10.11 love to go to the library? Tell us why6122 Life in Russia10.11 “I love and hate my city: how I live in the suburbs of Perm13137 Moving10.1111111111"&amp;"11111111111111111s: plastic flowers in the cemetery is a garbage that needs to be prohibited for two indivisions to a man to go on maternity leave92517 I spend more than 400,000 I earn more than 400,000 ₽ in two works and by the end of the month I barely "&amp;"make ends with the ends of 6836920 to save in Moscow thanks to the student ticket125016 “Fast cheap and angrily”: another 11 simple dishes in case you are too lazy to cook3210983MA: the classic “Napoleon” 182650 is worth becoming a surf8222 The best Power"&amp;": 4 high -quality models: 4 high -quality models: 4 high -quality models: 4 high -quality models for different tasks1819528 of popular phrases of parents who infuriate educators in kindergarten1065195 ideas how to arrange an entrance hall in an apartment "&amp;"202133 cosmetic bag: budgetary set of natural cosmetics755 discount10.11 Excuse me that for you include 337110.11 “The procedure for adoption was carried out incomprehensible” I raised four children in the village And at the age of 40 it became a mother a"&amp;"gain2774 What to do? 10.11 Is it possible to buy window samples of electronics? 7142 To invest money money from Fosagro Medical Arts for 9 months of 2023: revenue and profit fell despite the growth of sales1 · the most promising shares on the Mosbirzh in "&amp;"November 2023 . Opinions of investment companies5 ·,, 2 Softline result: the turnover and debt are growing against the backdrop of the growth of sales of their own decisions22 report VK for 9 months of 2023: good operational results but not a word about p"&amp;"rofit. President allowed retail investors to exchange blocked assets: how it will work 7339 report “Positive Groups Groups ""For 9 months of 2023: while losses but profit ahead711"" Now I'm in the plus "": how I invest in the Kazakhstan tenge Kyrgyz catfi"&amp;"sh and Uzbek Summarian securities on the Mosbirzh for October 20233 ·, 11 Sberbank report for 3 quarter of 2023: New Records despite the growth of bets411 “from the good to the Great”: what happened to the best companies from the book by Jim Collins10410 "&amp;"Formation10.11 “We will recreate the Platonic Academy”: how I organize free exit schools in the regions514 Videoigra readers 110.11 “As a good mini-series”: I recommend a simulator Walking through the forest Firewatch1476pop-culture10.11valve showed Steam"&amp;" Deck with an OLED screen: the better the old model and when the sales of the 942 recipe begins10.11 recipe Crak-Paya: the cast from the American restaurant 8617NAYS will be paid for the best calculators for you and When it is more profitable To take? 628"&amp;"18809 Incutant vaccinations do you need adults? 140237462 Caluation consumption, how much do you actually cost the purchase 4522501kalcal for children in 2023292987 What is the product is more profitable? Buyer calculator5451181u you are several loans? Ca"&amp;"lculate how to give them to save on percentages16982275 Motor deduction: how much will you return when buying an apartment? 52145426 How much should you postpone for a rainy day? 565326579 Calculator of social deductions55127342 How much can you spend on "&amp;"the day? 337101558Mozg10.111. 10.11Savva Olluco and Loona: The 10 best restaurants in Moscow are named Versions of the award of the award to to eat 2023101020fent10.1111110 Sidius in the sweater and no sweets: 12 children's advent are 611110pop-culture10."&amp;"11 “Killer”: David Fincher removed the witty thriller about the perfectionist with Michael Fassbender955 Business: Cases and news on the first half Yes Crazy ”: the former marketer opened the Korean-Israeli cafe in Yerevan22139 Hollowed actors and the stu"&amp;"dio agreed to complete the strike: what is known about the agreement1021 how to hire employees on the remotes and manage them: 7 advice of HR expert61219 they opened a bicycle distribution in the garage of the house and earn 100 000 ₽ 100 ₽ in the garage "&amp;"of the house. Month211311 “From the good to the Great”: what happened to the best companies from the book by Jim Collins104107 of free online services from the state that will make life easier for the entrepreneur2120NA fines in the field of consumer righ"&amp;"ts: what is waiting for business in November 20234544444 Production calendar for November 2023 “We grew 10 years Thanks to the community and then many left ”: the story of the“ Black Cooperative ”1919111111111111111111111s and the order of issuing orders:"&amp;" 7 stories about the business that did not live up to expectations 579.11114 types of pasta: how they differ and which one to buy181426 RASTA10.1111 is arranged a divorce from a rally of large sums of large sums of large sums The name of bloggers1085 Goro"&amp;"d10.1111 Advent calendars with cosmetics that will brighten up the expectation of the new year7148 What to do? 10.111 of the airline to cancel the ticket bought at an erroneous tariff? 142 of it is healthy and rich that there is no benefit from iodine and"&amp;" Zelenka. True? 5101, I encountered preeclampsia during pregnancy581 when breastfeeding is not contraindicated: 7 situations6 ·, 16 Dubious Ayurvedic drugs 542 Truths do not make an MRI? 411 “Any infections can lead to a serious illness”: a pediatrician a"&amp;"bout the vaccination of children812 Truth is that something like that additives with a barin improve memory and treat cancer? 422 builds in the chest: why do they arise and when they are associated with the heart8922 Work or not: 6 methods for checking fo"&amp;"r tuberculosis241 What to do if the homeless animal is bite1188888ed10.11 “I remember this dinner so far”: 5 stories about the most impressive campaigns In the restaurant1153pop-culture10.1120 of class games lasting up to 10 hours91015 discount10.11, tell"&amp;" about the most amazing coincidence in your life 3381pop-culture10.11call of duty: Modern Warfare 3 (2023)-3 reasons to skip the plot campaign in payments and state traffic in payments and state traffic 2023 Galgot Mortgage under 7 % can be taken for the "&amp;"purchase or construction of the house112332KAK to apply for free gas supply to the site1961666DAL Payments for the first and second child up to 3 years old I need a Mir card 4816 Rights for the calculation of children's hospital93216 Subsiability Pension "&amp;"and Decree: what has changed in the rules of the mortgage vacation since July 2021159k. For a monthly allowance for children from 8 to 17 years old2857154, July 2021 Families with one child can take a preferential mortgage under 6%93742 The result of a pr"&amp;"eferential mortgage from June 202242216 Prescribes for children from 8 to 17 years old from 2021: The main conditions2932656 Peni for pregnant women in 2022: Basic Conditions510448 INSUBRISTRES10.11 SAME promising shares on the Mosbirzh in November 2023. "&amp;"Opinions of investment companies5 ·,, 2 days of expenses10.11kak changed the life of a leading engineer in Moscow with a salary of 120 000 ₽5736113 Investments 09/09/11 own decisions22 -business for The border 09.11 “The first six months were crazy”: the "&amp;"former marketer opened the Korean-Israeli cafe in Yerevan22139 Real Estate Modeliers can again recover a penalty with developers and make a claim122528kak to accept the apartment of the developer1919127kak to receive an online statement from the USRN91633"&amp;" How to choose a reliable developer 3491887 myths about the purchase of real estate from -for which you can lose millions132970 “I will be unscrupulous but with a whole furniture”: as I punished the tenants to sue98121110 Average for general resources and"&amp;" checks of counters: the Ministry of Construction explained the changes in the housing and communal services of the housing and communal services, and the developers gave the preferential rate for the mortgage21113sberbank during the sale of housing to ma"&amp;"intain the mortgage The taste of the seller: What you should know 82217 Right of burning garbage and breeding bonfires in garden plots255229 Social gasification in Russia became unlimited 83216KAK to receive a tax deduction for the apartment28102335 Devil"&amp;"s Tutkak changed the life of a leading engineer in Moscow with a salary of 120,000 ₽573613. 70 000 ₽5067615 "" Spoiled - consumption compensated ”: 7 reasons to give children pocket money294, a programmer lives in Yerevan with a salary of about 219 000 ₽2"&amp;"43418, from the life of a storekeeper in Kazan with a salary of 245 000 ₽3838215kak changed the life of a technical writer in Moscow with a salary of 100 000 ₽472512kak lives In Nizhny Novgorod with a salary of 100 000 ₽5533013 “I want a career and not to"&amp;" be an eternal student”: 7 stories about how to combine work and study4146KAKS lives an archivist in a bank in the North-Western Federal District with a salary of 54 000 ₽7648814. Rostov Region on maternity leave with a manual of 14 551 ₽491k12pop-culture"&amp;"09.11 “Mask for 250 ₽ Black sheer and a couple of gloves”: 7 unusual costumes for Halloween1286 Accessts in Russia 09.1111111111 of the main attractions of Rostov and the surroundings10136economics 09.111kak Banks react 23 year: what with deposits and mor"&amp;"tgages10142 inractions 09.11 report VK for 9 months of 2023: good operational results but not a word about profit1 Vacancia to the problem of the project of confidentiality of the use of the site “Tinkoff Bank” license No. 2673202320")</f>
        <v>Tinkoff magazine: a magazine about your money T - ZHUCHUCHEBNITRODURECTIONARY -CREETITIONAL History TREATIONARY TREATED DEACKENDICKENDICARICARYSENTRICALS COMPORTATIONS OF THE LAWS TRADENTRARY PRODUCTIONS AND VIDEO VIDIVERSYSHESTASS AND PROSESSIES OF RUNNIES AND OFFICES OF RIGHTS AND OFFICES OF RUNDERY ACTIVERS OF THE AND EXTERNITY ONE AR Law off the lawnies of traffic jams and video tests and duties on their rights and obligations from money and duties, they take away the readers and take off their residual Speech, all the quotes You advise you to ride anyone's excellent or terrible book of your favorite thing in the dressing room to make an all-school to simplify your life using neuraltykak to manage personal finances how to invest a tack to communicate and understand each other to examine all the course of the General Director in St. Petersburg with a salary of 70 000 ₽ an assistant general director lives in St. St. Petersburg with a salary of 70 000 ₽676 Bender from the life of a storekeeper in Kazan with a salary of 245 000 ₽ of the storekeeper’s life in Kazan with a salary of 245 000 ₽382 I earn more than 400 000 ₽ in two works and by the end of the month I barely make the ends of the end of the end of more than 400,000 ₽ in two works and by the end of the month I barely make ends with the ends of 369kak changed the life of a leading engineer in Moscow with a salary of 120 000 ₽ Changed the life of a leading engineer in Moscow with a salary of 120 000 ₽361-actual diemile Makhmutov 10.11valve showed Steam Deck with an OLED screen: the better the old model and when the salevalve showed Steam Deck with the OLED screen: the better the old model and when the sales 4 Skrivpnik 10.11Savva Olluco and LOONA begins: the 10 best restaurants in Moscow according to the Vere to Eat 2023Savva Olluco and Loona: 10 best restors are named new Moscow According to the youth to eat 202310Mihail Boldov 09.11, banks react to the growth of the key rate in 2023: that with deposits and mortgages and mortgages, banks react to the growth of the key rate in 2023: that with deposits and mortgages14 sore 09.11v Turin will be held the final tournament of ATP: the main thing The final of the TURNIV TURIN Tennis season will be held by the final tournament of ATP: the main thing about the final of the tennis season 5 Sasash Kirillov 09.11 Hollywood actors and the studio agreed on the completion of the strike: what is known about the agreement of the Hollywood actors and the studios agreed on the completion of the strike: what is known about the agreement2Mihail Boldov, permitted in the retail inon Vestors exchange blocked Assets: how it will work, the president allowed retail investors to exchange blocked assets: how it will work 333artm Mazanov 09.11 “Yandex” presented the “MIDI station” with new opportunities for managing the MIDI Smart House with new opportunities for managing the smart home28alikhan Israpilov 08.11na UFC 295 two title fights will be held: a landmark against Pereira Pavlovich against Aspinallan UFC 295 will undergo two title fights: a landmark against Pereira Pavlovich against Aspinal Belikova 08.11 Central University from Tinkyff launched a grant competition for bachelor's bachelor's university from Tinkoff for Tinkoff for Tinkoff I launched a competition of grants for training in Bachelor's bachelor's iglkin Zhulkin 08.11 Deficiency of the budget decreased to 12 trillion rubles: record payments from the oil industry departments of the budget were reduced to 12 trillion rubles: the record payments from oil workers Agafonov 03.11 Little things pot and summer tumors: what to look at the exhibition about the punk culture in the Petersburgelic belongings of the pot and a pot and a pot Studios of Letov: What to see at the exhibition about punk culture in St. Petersburg35Artem Mazanov 03.11 of public services launched a service to verify the authenticity of someone else's passports to public services launched a service to check the authenticity of someone else's passport10Mihail Boldov 02.111SHA. NEW SACKS INTERY-against banks of St. Petersburg BiMani and Baumankishas have entered into new sanctions-new sanctions were introduced-new sanctions were introduced. Against the banks of St. Petersburg Birzhi and Baumanki788katerina Miroshkina 02.11, the Arctic mortgage and taxes: what will change in November 2023, the Arctic mortgage and taxes will change: what will change in November 20234 Sasash Kirillov 02.11 times in Russia rose prices for taxi159MARARS SUKHOVSKAYA 01.11ANEVA. Fines in the field of consumer rights: what is waiting for business in November 2023 Laeded fines in the field of consumer rights: what is waiting for a business in November 20235Artem Mazanov 01.11TSB launched an online account of financial literacy on financial literacy15Aleksander Levkin 31.10 Magnit. In the Far Eastern network, Samburi: what does this give the Magnit buy a share in the Far Eastern Network Samburi: what will it give the company8 discussion11.11, tell you how you were hinted at the bribe 657 Gorod11111DOTAS AND IZUMRUD building: 15 amazing objects of modern architecture in Moscow13168 tests13168 tests For those who want to know yourself 26.10, you are worthy of superpower? 19212 discounts 1111111111 Nereiros did not live up to your expectations? Share the indignation of the19 Promotor resource for novice drivers, the course “How to get the right” can win 100 000 ₽ on the driving school of your car or something else to get involved in the way out of the repair, you don’t advise you to go any excellent or terrible book of your beloved thing in the dressing room, you have experienced the repair, no excellent or terrible book of your beloved things in the dressing room to take all-scrolling to simplify life with the help of neurosetrosaka to manage personal finances how to invest a man to communicate and understand each other to simplify life with the help of neuroseticacus to manage personal finances how to invest a man to communicate and understand each other's courses, the assistant general director in St. Petersburg with a salary of 70 000 ₽ Lives an assistant general director in St. Petersburg with a salary of 70 000 ₽676. A pantry of the storekeeper in Kazan with a salary of 245,000 ₽, from the life of a storekeeper in Kazan with a salary of 245 000 ₽382, more than 400 000 ₽ in two works and barely raised by the end of the month The ends from the end of the time I earn more than 400 000 ₽ in two works and by the end of the month I barely make ends with the ends of 369kak changed the life of a leading engineer in Moscow with a salary of 120 000 ₽ Changed the life of a leading engineer in Moscow with a salary of 120 000 ₽361 with Tinkoff for readers with animal design free card in the style of Kish with cashback up to 15%credit card with double cashback for traveling emigration11.11, I moved to the United States became a pilot and earn $ 140,000 a year774519 Veoughs are repairs11.11 “There was a hole on the wall”: how we make a renovation of Eurodvushka 40 m² and already spent more than 4 million945 discount 09.10, what kind of neighbors were injured by you or those around you? 3323ed11.11 “Thought the eyes of the eyes”: 7 very sharp products that were remembered for a long time 619 readers of Pisyutirin Kashirskaya 11.11 rule whether they kept vacation pay from salaries? 11.11 I am getting off the train in Minsk? Can I get off the train in Minsk? 9 Lepolina Kurtenkova 11.111 What if the self -employed person was paid that exceeded the limit? What if the self -employed person was paid, which exceeded the limit? 3anastasia Vasilieva 11.11 of the unusual stylish clothes I I found on marketplayskhkaya unusual stylish clothes, How to return the money if you find an apartment for rent using the aggregator? How to return the money if you find an apartment for rent with the aggregator? How to return the money if you deceived in the game? How to return the money if you deceived in the game? 7katerina 11.11 What to be with the debt for utilities? How to be with a debt for utilities? 12yulianna boldyreva 11.111 Is it possible to issue a power of attorney for a passport? Is it possible to apply for a power of attorney for a passport ? 1AS AKHMEDOVA 11.111 What if the teacher does not watch the educational work? What if the teacher does not watch the educational work? 2an Romanova 11.11 I recommend reading: “Angel from Galilee” Laura will read: “Angel from Galilee” Laura Restrepo1111. Does the state belong to the state? What if part of the apartment belongs to the state? ·,, Ramil Galaev 11.11 of the bailiff will look for the debtor if he is abroad? How will the bailiffs look for a debtor if he is abroad? 5mara 11.11 Service reveals the fine data when you check the car. Is it legal? Service reveals the data on fines when you check the car. Is this legal? 1leonid Panteleev 11.11. To establish paternity if a child in another country? How to establish paternity if a child in another country? 1mikhail 11.11 times if the car is squeezed in the yard? Who will compensate for the car with the gates in the yard? Selivanova 11.11 Express how you were hinted at a brisk -free telling how you were hinted at a bribe57 technichelium 11.1111 Nonisets did not live up to your expectations? Share in the indignation did not live up to your expectations? Share the indignation of the 9.1111111111111111th: to deal with your zone comfortable lesson: to deal with your comfort zone12 Old Lurie 11.11 “There was a hole on the wall”: how we make an Eurodvushka repair of 40 m² and have already spent more than 4 million “There was a hole on the wall”: as we are as we are We are making an EURDOVUSHKA 40 m² and have already spent more than 4 million44ARARINA Lipatnikova 11.11 “I thought my eyes will flow out”: 7 very sharp products that were remembered for a long time “thought my eyes to flow out”: 7 very sharp products that were remembered for a long time, akimov 10.11FOLEBOLBOLBOBOV: the island of ANZER SARGE YAKHTYTOLBOLBOLE: Anzer island from the side of the sailing yacht4Dmitry Dubas 10.111111111111111111111s for the day and the face at night: I combine the two professions and (not) I go my mind for sales during the day and the faceting at night: I combine two professions and (not) go crazy26marenzio 10.11 “it is not suitable She is absolutely ”: what if my mother has a dubious boyfriend“ He doesn’t suit her at all ”: what if my mother has a dubious boyfriend26arbuse 10.111 I wore braces for 3 years to correct the bruise of Zubovkak, Read: “The Cross Courtyard” by George Orwell, I recommend to read: “The Cross Courtyard” George Orwell18Aleksey Kablukov 10.111kak, return the money if the ordered food was not brought? How to return the money if the ordered food was not brought? 27Roman Khakimov 10.11 I was spent on a person who was not needed that he was not needed that he did not need it that He spent time on a person who was not needed 6th investment10.11Donald Trump-Cinema star: the best roles of the former US President412222222210.11 Russian punk rock: 10 important groups that formed the genre14 ·, 12 Business 01.099999999999 999999999 Share your experience and advise10.11. Automobile market: What will be the consequences307012 is it to speculate on the dollar? 131410 What US sanctions will affect the transfer of UNISTRAMA 7113 on the Visa and Mastercard card still released? 247219 What will happen to the end of 202311123 What does the ruble fall: experts of experts: experts of experts: experts of experts and forecasts of the course for 20235221547KA to recover the penalty in 2023 If the developer violates the contract1611144KAK Send money from Russia to Kazakhstan153539kak to download the applications that are not in the App Store? 142265kak, transfer money to Russia 63152KA to transfer money From Russia6187151, Tinkoff was removed from the App Store6022147KAK GAZ Prices to affect Russian supplies 945 Tytinkoff got into the sanctions list of the European Union71130213021302130213302133021 chatter in Turkey: Economic consequences for Russia1345 What do you need to know about 20235016139Minfin and Central Bank. Market: what will happen to the ruble of1624620 countries that issue tourist visas The Russians in 202348112168 WHAT IS The ruble weaken. And what to expect from him in 2023256623VEPEPEPED DEHOUNTION and the ceiling of prices for Russian oil: what the consequences will wait for 464217KAKA Partial mobilization reflected in the Russian economy338912KA, I opened a banking account in Georgia196063 KOUR Power of attorney should be issued to the mobilized51016 KUSTICA 1835kak I received two bank cards в Казахстане102338215Как я оформил карту в турецком банке за один день68232140Почему на российской границе требуют показать чеки на старые гаджеты?367734Сравнятор10.11Настольные посудомойки для дома и дачи: 6 удачных моделей4314Письмо психологу10.11«Он не подходит ей совершенно»: как быть если у мамы появился Doubtful boyfriend3262 Decumbria for lunch and daytime sleep on the street: how are the kindergartens in Norway 20459 Brectes of readers10.11 I wore braces 3 years to correct the bustle of teeth6135o, what is important to know the travelers to book housing from Russia59112103k 36 countries in which banking Maps Russians6385233 CHARCH FLOWERS can be transported in hand luggage? 182432 Countries are open for tourists from Russia184295574AMALIARIARYABILIARY ABAND WEDDEN to sell subsidized tickets for 2023: who can buy them212532KAC to get a Green Card US Stage: how much can you spend on the day4558128Pop-culture10. 11 “Invulnerable”: we talk about the second season and answer the main questions about the series111 what to do? 10.111 how to return the money if the ordered food was not brought? 8272port10.1110 Best Boxing Films: Rocky Balboa Muhammad Ali and Robota2 5 reasons to abandon corporate parties1430 Poddakasts “We are not at all demolished”: for the first time we answer the questions of the audience6 ·,, 121 stupid question about pregnancy3 ·,, 8 sects and the refrigerator-killer: 8 of the most interesting releases of the podcast “Scheme” 5 ·,, 11,000 “This will affect us all”: what do we know about dying and death101118 bikubushka for high a house in Cyprus and traveling to Canaries: a new issue of NKTSD5 ·,, 3 “Only a ruble is cheaper”: how much life is in Russia1378 “What the wife will say that the children will say What will they say at work? ”: the release about HIV624“ Well, how is there with money? ”: we returned8 ·,, 1 what students answer questions about money982“ feel irrelevant ”: why we are afraid of old age11814“ you can’t wash longer than three minutes ”: how many Life in Australia is worth it1111 · · · Petya with dad - on a Mercedes and my mother and I are on a minibus ”: what do children think about inequality753“ It breaks physically and psychologically ”: how they live with pelvic pain 7,“ Viewer or you or you or you or you player? Time to solve ”: as the“ Blogger-millionaire ”bred subscribers for money7106“ They came up with taxes on everything ”: how much life costs in the Netherlands10231111110.11111111 Fosagro report for 9 months of 2023: revenue and profits fell despite the growth of sales1,00010 .1111 is right: for which they can be taken what to do after that ·., 1 Corporation of the Internet10.11 What is Girl Math - a meme about how we come up with an unobvious benefit to justify the expenses of 3126 Besit! 10.111111111111111523 have read so many things. It’s time to relax: what superpowers are you worthy of? 19212 Guess what this child has done1881 in what apartment would you live in a parallel universe? 17261 musical guide: find out in what secret place in Moscow do you need to visit271734 Victor T⁠ -⁠ZH: What do you know about the history of money? 2735 KO. Are you a meme about money? 44295 Can you eat 16 million rubles? 31394, we go to the Hasali Shurushki: do you understand the words from different regions of Russia? 42828 Is your money? Or whose? 45263 Could you write a book? 496426 Hall of hearing10.11 will say that there is no benefit from iodine and Zelenka. True? 5101 discount 10.11 love to go to the library? Tell us why6122 Life in Russia10.11 “I love and hate my city: how I live in the suburbs of Perm13137 Moving10.111111111111111111111111111s: plastic flowers in the cemetery is a garbage that needs to be prohibited for two indivisions to a man to go on maternity leave92517 I spend more than 400,000 I earn more than 400,000 ₽ in two works and by the end of the month I barely make ends with the ends of 6836920 to save in Moscow thanks to the student ticket125016 “Fast cheap and angrily”: another 11 simple dishes in case you are too lazy to cook3210983MA: the classic “Napoleon” 182650 is worth becoming a surf8222 The best Power: 4 high -quality models: 4 high -quality models: 4 high -quality models: 4 high -quality models for different tasks1819528 of popular phrases of parents who infuriate educators in kindergarten1065195 ideas how to arrange an entrance hall in an apartment 202133 cosmetic bag: budgetary set of natural cosmetics755 discount10.11 Excuse me that for you include 337110.11 “The procedure for adoption was carried out incomprehensible” I raised four children in the village And at the age of 40 it became a mother again2774 What to do? 10.11 Is it possible to buy window samples of electronics? 7142 To invest money money from Fosagro Medical Arts for 9 months of 2023: revenue and profit fell despite the growth of sales1 · the most promising shares on the Mosbirzh in November 2023 . Opinions of investment companies5 ·,, 2 Softline result: the turnover and debt are growing against the backdrop of the growth of sales of their own decisions22 report VK for 9 months of 2023: good operational results but not a word about profit. President allowed retail investors to exchange blocked assets: how it will work 7339 report “Positive Groups Groups "For 9 months of 2023: while losses but profit ahead711" Now I'm in the plus ": how I invest in the Kazakhstan tenge Kyrgyz catfish and Uzbek Summarian securities on the Mosbirzh for October 20233 ·, 11 Sberbank report for 3 quarter of 2023: New Records despite the growth of bets411 “from the good to the Great”: what happened to the best companies from the book by Jim Collins10410 Formation10.11 “We will recreate the Platonic Academy”: how I organize free exit schools in the regions514 Videoigra readers 110.11 “As a good mini-series”: I recommend a simulator Walking through the forest Firewatch1476pop-culture10.11valve showed Steam Deck with an OLED screen: the better the old model and when the sales of the 942 recipe begins10.11 recipe Crak-Paya: the cast from the American restaurant 8617NAYS will be paid for the best calculators for you and When it is more profitable To take? 62818809 Incutant vaccinations do you need adults? 140237462 Caluation consumption, how much do you actually cost the purchase 4522501kalcal for children in 2023292987 What is the product is more profitable? Buyer calculator5451181u you are several loans? Calculate how to give them to save on percentages16982275 Motor deduction: how much will you return when buying an apartment? 52145426 How much should you postpone for a rainy day? 565326579 Calculator of social deductions55127342 How much can you spend on the day? 337101558Mozg10.111. 10.11Savva Olluco and Loona: The 10 best restaurants in Moscow are named Versions of the award of the award to to eat 2023101020fent10.1111110 Sidius in the sweater and no sweets: 12 children's advent are 611110pop-culture10.11 “Killer”: David Fincher removed the witty thriller about the perfectionist with Michael Fassbender955 Business: Cases and news on the first half Yes Crazy ”: the former marketer opened the Korean-Israeli cafe in Yerevan22139 Hollowed actors and the studio agreed to complete the strike: what is known about the agreement1021 how to hire employees on the remotes and manage them: 7 advice of HR expert61219 they opened a bicycle distribution in the garage of the house and earn 100 000 ₽ 100 ₽ in the garage of the house. Month211311 “From the good to the Great”: what happened to the best companies from the book by Jim Collins104107 of free online services from the state that will make life easier for the entrepreneur2120NA fines in the field of consumer rights: what is waiting for business in November 20234544444 Production calendar for November 2023 “We grew 10 years Thanks to the community and then many left ”: the story of the“ Black Cooperative ”1919111111111111111111111s and the order of issuing orders: 7 stories about the business that did not live up to expectations 579.11114 types of pasta: how they differ and which one to buy181426 RASTA10.1111 is arranged a divorce from a rally of large sums of large sums of large sums The name of bloggers1085 Gorod10.1111 Advent calendars with cosmetics that will brighten up the expectation of the new year7148 What to do? 10.111 of the airline to cancel the ticket bought at an erroneous tariff? 142 of it is healthy and rich that there is no benefit from iodine and Zelenka. True? 5101, I encountered preeclampsia during pregnancy581 when breastfeeding is not contraindicated: 7 situations6 ·, 16 Dubious Ayurvedic drugs 542 Truths do not make an MRI? 411 “Any infections can lead to a serious illness”: a pediatrician about the vaccination of children812 Truth is that something like that additives with a barin improve memory and treat cancer? 422 builds in the chest: why do they arise and when they are associated with the heart8922 Work or not: 6 methods for checking for tuberculosis241 What to do if the homeless animal is bite1188888ed10.11 “I remember this dinner so far”: 5 stories about the most impressive campaigns In the restaurant1153pop-culture10.1120 of class games lasting up to 10 hours91015 discount10.11, tell about the most amazing coincidence in your life 3381pop-culture10.11call of duty: Modern Warfare 3 (2023)-3 reasons to skip the plot campaign in payments and state traffic in payments and state traffic 2023 Galgot Mortgage under 7 % can be taken for the purchase or construction of the house112332KAK to apply for free gas supply to the site1961666DAL Payments for the first and second child up to 3 years old I need a Mir card 4816 Rights for the calculation of children's hospital93216 Subsiability Pension and Decree: what has changed in the rules of the mortgage vacation since July 2021159k. For a monthly allowance for children from 8 to 17 years old2857154, July 2021 Families with one child can take a preferential mortgage under 6%93742 The result of a preferential mortgage from June 202242216 Prescribes for children from 8 to 17 years old from 2021: The main conditions2932656 Peni for pregnant women in 2022: Basic Conditions510448 INSUBRISTRES10.11 SAME promising shares on the Mosbirzh in November 2023. Opinions of investment companies5 ·,, 2 days of expenses10.11kak changed the life of a leading engineer in Moscow with a salary of 120 000 ₽5736113 Investments 09/09/11 own decisions22 -business for The border 09.11 “The first six months were crazy”: the former marketer opened the Korean-Israeli cafe in Yerevan22139 Real Estate Modeliers can again recover a penalty with developers and make a claim122528kak to accept the apartment of the developer1919127kak to receive an online statement from the USRN91633 How to choose a reliable developer 3491887 myths about the purchase of real estate from -for which you can lose millions132970 “I will be unscrupulous but with a whole furniture”: as I punished the tenants to sue98121110 Average for general resources and checks of counters: the Ministry of Construction explained the changes in the housing and communal services of the housing and communal services, and the developers gave the preferential rate for the mortgage21113sberbank during the sale of housing to maintain the mortgage The taste of the seller: What you should know 82217 Right of burning garbage and breeding bonfires in garden plots255229 Social gasification in Russia became unlimited 83216KAK to receive a tax deduction for the apartment28102335 Devils Tutkak changed the life of a leading engineer in Moscow with a salary of 120,000 ₽573613. 70 000 ₽5067615 " Spoiled - consumption compensated ”: 7 reasons to give children pocket money294, a programmer lives in Yerevan with a salary of about 219 000 ₽243418, from the life of a storekeeper in Kazan with a salary of 245 000 ₽3838215kak changed the life of a technical writer in Moscow with a salary of 100 000 ₽472512kak lives In Nizhny Novgorod with a salary of 100 000 ₽5533013 “I want a career and not to be an eternal student”: 7 stories about how to combine work and study4146KAKS lives an archivist in a bank in the North-Western Federal District with a salary of 54 000 ₽7648814. Rostov Region on maternity leave with a manual of 14 551 ₽491k12pop-culture09.11 “Mask for 250 ₽ Black sheer and a couple of gloves”: 7 unusual costumes for Halloween1286 Accessts in Russia 09.1111111111 of the main attractions of Rostov and the surroundings10136economics 09.111kak Banks react 23 year: what with deposits and mortgages10142 inractions 09.11 report VK for 9 months of 2023: good operational results but not a word about profit1 Vacancia to the problem of the project of confidentiality of the use of the site “Tinkoff Bank” license No. 2673202320</v>
      </c>
    </row>
    <row r="23">
      <c r="A23" s="1" t="s">
        <v>54</v>
      </c>
      <c r="B23" s="1" t="s">
        <v>94</v>
      </c>
      <c r="C23" s="1" t="s">
        <v>95</v>
      </c>
      <c r="D23" s="1">
        <v>10.0</v>
      </c>
      <c r="E23" s="4" t="s">
        <v>96</v>
      </c>
      <c r="F23" s="1" t="s">
        <v>16</v>
      </c>
      <c r="G23" s="1" t="s">
        <v>97</v>
      </c>
      <c r="H23" s="4" t="s">
        <v>98</v>
      </c>
      <c r="I23" s="2">
        <v>0.0</v>
      </c>
      <c r="J23" s="5" t="str">
        <f>IFERROR(__xludf.DUMMYFUNCTION("GOOGLETRANSLATE(A23)"),"chatgpt")</f>
        <v>chatgpt</v>
      </c>
      <c r="K23" s="6" t="str">
        <f>IFERROR(__xludf.DUMMYFUNCTION("GOOGLETRANSLATE(B23)"),"ChatGPT - App Store")</f>
        <v>ChatGPT - App Store</v>
      </c>
      <c r="L23" s="5" t="str">
        <f>IFERROR(__xludf.DUMMYFUNCTION("GOOGLETRANSLATE(C23)"),"12 Sept. 2023. -")</f>
        <v>12 Sept. 2023. -</v>
      </c>
      <c r="M23" s="5" t="str">
        <f>IFERROR(__xludf.DUMMYFUNCTION("GOOGLETRANSLATE(G23)"),"App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4">
      <c r="A24" s="1" t="s">
        <v>54</v>
      </c>
      <c r="B24" s="1" t="s">
        <v>99</v>
      </c>
      <c r="D24" s="1">
        <v>11.0</v>
      </c>
      <c r="E24" s="4" t="s">
        <v>100</v>
      </c>
      <c r="F24" s="1" t="s">
        <v>16</v>
      </c>
      <c r="G24" s="1" t="s">
        <v>101</v>
      </c>
      <c r="H24" s="4" t="s">
        <v>102</v>
      </c>
      <c r="I24" s="2">
        <v>2.0</v>
      </c>
      <c r="J24" s="5" t="str">
        <f>IFERROR(__xludf.DUMMYFUNCTION("GOOGLETRANSLATE(A24)"),"chatgpt")</f>
        <v>chatgpt</v>
      </c>
      <c r="K24" s="6" t="str">
        <f>IFERROR(__xludf.DUMMYFUNCTION("GOOGLETRANSLATE(B24)"),"ChatGPT: What is it, opportunities, how to use from ...")</f>
        <v>ChatGPT: What is it, opportunities, how to use from ...</v>
      </c>
      <c r="M24" s="5" t="str">
        <f>IFERROR(__xludf.DUMMYFUNCTION("GOOGLETRANSLATE(G24)"),"RBC trends - who and how changes the global economics of the Pro TV channel investment of the industry real estate industry Autonews Sports Trends City Crypto RBC Crypt+ Research Club Radings Franchise Gazeta Special projects of St. Petersburg Party Speci"&amp;"al Projects Vytsk -Index Policy Policy Employment Policy Business Technology and Media. Finance RBC Korbk Life ... Hide Banner -Rights Main Forecasts of Future Artificial Intelligence Research and Subjects Self -development Entrance Subscribe to RBC Comfo"&amp;"rt get a newsletter that concerns everyone. The most relevant about personal finance careers and security. Read RBC without advertising banners on the site and in a mobile application. Subscribe for 99 rubles per month input searches of future -artistic i"&amp;"ntellectual investigations and reports of the Summodelitelecanalproine investigation of the measurement of the Autonical Sports of Projects of the Gorodistilkripribk+Discussion Kulbescredit Rategifranhizhizhizhizhizhizhizhizhizhizhizhizhizhizhizhizhizhizh"&amp;"izhizhizhizhizhdazhizpets. Ferences of St. Petersburg Projectives of counterparties Library of Library Economics of Economics of Economics and Media Financial Syrbc LifeRBK of the company Main Male Menyurbriki Main Forecasts Future Intelligence Research a"&amp;"nd Reports of RBCTRODRENDARICAL ENTERSTAROGNoses .0 robot In South Korea, he killed a man by taking him as a box with vegetables. The 4.0 Grok AI industry: how does the neural network Ilona Mask Social Economy Leonida Meteor Economy in 2023: what will it "&amp;"be and when to watch the popular -social economy why the amount of thefts in stores is increasing. Dalle-3 is a new OpenAi algorithm creating pictures from the text Green Economics What is blocking anticyclones and how they worsen the weather social econo"&amp;"my hologram and virtual reality: how modern circuses green economy Reality and Fiction: what scientists think about popular video economics of innovation three myth of replacing a person by robots Futurology overpopulation and extinction: what is humanity"&amp;" awaiting in the future Futurology “James Webb”: how will this telescope change our idea of ​​the Universe of the Social Economy How to deal with the procrastination and why idleness can be useful the latest industry 4.0 Project Kuiper: Another attempt to"&amp;" catch up with the Narbs Mask in space Green Economy The most popular type of bananas can disappear in the Futurology station Tiangun: how the Chinese analogue of the ISS Economics Innovation Economics Grants and Compensation: What support does the busine"&amp;"ss in Moscow grow the Social Economy why the level of cyberbill is growing and how to protect itself from persecution on the network Popularly -social The economy why the amount of thefts in stores is increasing around the world as Dalle-3 draws-the new O"&amp;"penai algorithm creating pictures from the text is green economy what is blocking anticyclones and how they worsen the social economy of the hologram and virtual reality: how modern circuses are green economy reality and fiction: what do scientists think "&amp;"about popular catastrophs of the podging economy why it is interesting to watch how other people enjoy the social economy of the game in which people play: why gaming is normal green economy: what it is and why we need to save our food social Economics E "&amp;"- screen time: how much we stick in the phones of the 4.0VSEKOSMOM Project Kuiper: the next attempt to catch the mask in the cosmos of the neural network GROK AI: how does the neural network Ilon Mask Maxim Eremenko - RBC: “Neural networks will open a sup"&amp;"erpowered person” Robotics robot in South Korea in South Korea He killed a man by taking him as an eco-nomicavsebio-erasous vegetables. The most popular type of banana may disappear Congress “ESG- (P) Evolution” its own path: what will happen to the ESG-p"&amp;"acker in Russia, the bio-erase of why mushrooms are useful for humans and ecology climate changes in tropical storms in The world has become stronger: hurricanes become more frequent in the education of 19% of Russian companies accepted the work of teenag"&amp;"ers of the profession of a future personal guide by education and career growth: how to become HR and the labor market for the year of the vacancies of IT specialists have grown into 18% of the profession of the future who are corporate anthropologists wh"&amp;"o are corporate anthropologists And how to get into this profession of innovation -off -line business loans grants and compensation: what kind of support does the business in Moscow get sustainable development how the market for sustainable finances devel"&amp;"op in Russia and in the world of neural networks of artificial intelligence in the USE: how neural networks are written and testing exams Project Management Pixelizes: as companies Solving the problem of the Futurology Office of Tiangun station to solve t"&amp;"he framework of the Futurology Office: how is the Chinese analogue of the ISS Cosmos Cosmic Misses built: what launches are planned for the coming year as it is arranged, we live in a simulation: arguments of fantastic hypothesis conspiracy the conspiracy"&amp;" in the cinema: what to see about the theories of the conspiracy of socialivsichology why the level Cyberbulling is growing how to protect itself from bullying on the space of the Leonida Meteor Stream in 2023: what will it be and when to look at how it w"&amp;"orks what time is and why scientists are arguing about it and reports what is known about the new strain of the Pyrole coronavirus: symptoms and symptoms and reports The consequences of the sheringweed the fate of the decor: where are the street decoratio"&amp;"ns after the New Year Conscious consumption added value: how do foodshering in Russia develop mediastream of delivery and spectacles: how the economy of subscription services of the alphabet of our time F - Frigiganism: who refuses to pay for food, Subscr"&amp;"ibe to us in the course in the course world trendelegramvontacttube ""Yandex.Zen"" RBKTRANDS Talk about trends in the economy of technology and society that are right now changing our life about the project of the plant-proofurogologiShering industry 4.0 "&amp;"Formation of the RBC Comfort RBC PRO Subscribe Utube ""Yandex.Zen"" © Rosbusinessconsulting JSC 1995–2023 Messages and materials RBC network edition (registered by the Federal Service for Supervision of Information Technologies and Mass Communications (Ro"&amp;"skomnadzor) on 12/03/2021 at the EL number77-82385) are accompanied by a margin of RBC. 18+ letters@rbc.ru found a mistake? Highlight it and click Ctrl+Enter information about the restrictions on the compliance of copyright to the Telegram VKontakte YouTu"&amp;"be ""Yandex.Zen"" Close")</f>
        <v>RBC trends - who and how changes the global economics of the Pro TV channel investment of the industry real estate industry Autonews Sports Trends City Crypto RBC Crypt+ Research Club Radings Franchise Gazeta Special projects of St. Petersburg Party Special Projects Vytsk -Index Policy Policy Employment Policy Business Technology and Media. Finance RBC Korbk Life ... Hide Banner -Rights Main Forecasts of Future Artificial Intelligence Research and Subjects Self -development Entrance Subscribe to RBC Comfort get a newsletter that concerns everyone. The most relevant about personal finance careers and security. Read RBC without advertising banners on the site and in a mobile application. Subscribe for 99 rubles per month input searches of future -artistic intellectual investigations and reports of the Summodelitelecanalproine investigation of the measurement of the Autonical Sports of Projects of the Gorodistilkripribk+Discussion Kulbescredit Rategifranhizhizhizhizhizhizhizhizhizhizhizhizhizhizhizhizhizhizhizhizhizhizhizhdazhizpets. Ferences of St. Petersburg Projectives of counterparties Library of Library Economics of Economics of Economics and Media Financial Syrbc LifeRBK of the company Main Male Menyurbriki Main Forecasts Future Intelligence Research and Reports of RBCTRODRENDARICAL ENTERSTAROGNoses .0 robot In South Korea, he killed a man by taking him as a box with vegetables. The 4.0 Grok AI industry: how does the neural network Ilona Mask Social Economy Leonida Meteor Economy in 2023: what will it be and when to watch the popular -social economy why the amount of thefts in stores is increasing. Dalle-3 is a new OpenAi algorithm creating pictures from the text Green Economics What is blocking anticyclones and how they worsen the weather social economy hologram and virtual reality: how modern circuses green economy Reality and Fiction: what scientists think about popular video economics of innovation three myth of replacing a person by robots Futurology overpopulation and extinction: what is humanity awaiting in the future Futurology “James Webb”: how will this telescope change our idea of ​​the Universe of the Social Economy How to deal with the procrastination and why idleness can be useful the latest industry 4.0 Project Kuiper: Another attempt to catch up with the Narbs Mask in space Green Economy The most popular type of bananas can disappear in the Futurology station Tiangun: how the Chinese analogue of the ISS Economics Innovation Economics Grants and Compensation: What support does the business in Moscow grow the Social Economy why the level of cyberbill is growing and how to protect itself from persecution on the network Popularly -social The economy why the amount of thefts in stores is increasing around the world as Dalle-3 draws-the new Openai algorithm creating pictures from the text is green economy what is blocking anticyclones and how they worsen the social economy of the hologram and virtual reality: how modern circuses are green economy reality and fiction: what do scientists think about popular catastrophs of the podging economy why it is interesting to watch how other people enjoy the social economy of the game in which people play: why gaming is normal green economy: what it is and why we need to save our food social Economics E - screen time: how much we stick in the phones of the 4.0VSEKOSMOM Project Kuiper: the next attempt to catch the mask in the cosmos of the neural network GROK AI: how does the neural network Ilon Mask Maxim Eremenko - RBC: “Neural networks will open a superpowered person” Robotics robot in South Korea in South Korea He killed a man by taking him as an eco-nomicavsebio-erasous vegetables. The most popular type of banana may disappear Congress “ESG- (P) Evolution” its own path: what will happen to the ESG-packer in Russia, the bio-erase of why mushrooms are useful for humans and ecology climate changes in tropical storms in The world has become stronger: hurricanes become more frequent in the education of 19% of Russian companies accepted the work of teenagers of the profession of a future personal guide by education and career growth: how to become HR and the labor market for the year of the vacancies of IT specialists have grown into 18% of the profession of the future who are corporate anthropologists who are corporate anthropologists And how to get into this profession of innovation -off -line business loans grants and compensation: what kind of support does the business in Moscow get sustainable development how the market for sustainable finances develop in Russia and in the world of neural networks of artificial intelligence in the USE: how neural networks are written and testing exams Project Management Pixelizes: as companies Solving the problem of the Futurology Office of Tiangun station to solve the framework of the Futurology Office: how is the Chinese analogue of the ISS Cosmos Cosmic Misses built: what launches are planned for the coming year as it is arranged, we live in a simulation: arguments of fantastic hypothesis conspiracy the conspiracy in the cinema: what to see about the theories of the conspiracy of socialivsichology why the level Cyberbulling is growing how to protect itself from bullying on the space of the Leonida Meteor Stream in 2023: what will it be and when to look at how it works what time is and why scientists are arguing about it and reports what is known about the new strain of the Pyrole coronavirus: symptoms and symptoms and reports The consequences of the sheringweed the fate of the decor: where are the street decorations after the New Year Conscious consumption added value: how do foodshering in Russia develop mediastream of delivery and spectacles: how the economy of subscription services of the alphabet of our time F - Frigiganism: who refuses to pay for food, Subscribe to us in the course in the course world trendelegramvontacttube "Yandex.Zen" RBKTRANDS Talk about trends in the economy of technology and society that are right now changing our life about the project of the plant-proofurogologiShering industry 4.0 Formation of the RBC Comfort RBC PRO Subscribe Utube "Yandex.Zen" © Rosbusinessconsulting JSC 1995–2023 Messages and materials RBC network edition (registered by the Federal Service for Supervision of Information Technologies and Mass Communications (Roskomnadzor) on 12/03/2021 at the EL number77-82385) are accompanied by a margin of RBC. 18+ letters@rbc.ru found a mistake? Highlight it and click Ctrl+Enter information about the restrictions on the compliance of copyright to the Telegram VKontakte YouTube "Yandex.Zen" Close</v>
      </c>
    </row>
    <row r="25">
      <c r="A25" s="1" t="s">
        <v>54</v>
      </c>
      <c r="B25" s="1" t="s">
        <v>103</v>
      </c>
      <c r="D25" s="1">
        <v>12.0</v>
      </c>
      <c r="E25" s="4" t="s">
        <v>104</v>
      </c>
      <c r="F25" s="1" t="s">
        <v>16</v>
      </c>
      <c r="G25" s="1" t="s">
        <v>105</v>
      </c>
      <c r="H25" s="4" t="s">
        <v>106</v>
      </c>
      <c r="I25" s="2">
        <v>1.0</v>
      </c>
      <c r="J25" s="5" t="str">
        <f>IFERROR(__xludf.DUMMYFUNCTION("GOOGLETRANSLATE(A25)"),"chatgpt")</f>
        <v>chatgpt</v>
      </c>
      <c r="K25" s="6" t="str">
        <f>IFERROR(__xludf.DUMMYFUNCTION("GOOGLETRANSLATE(B25)"),"What is ChatGPT? - Management")</f>
        <v>What is ChatGPT? - Management</v>
      </c>
      <c r="M25" s="5" t="str">
        <f>IFERROR(__xludf.DUMMYFUNCTION("GOOGLETRANSLATE(G25)"),"Multi-Channel Marketing Automation Platform | SendPulsetoggle menu                                 Products                            PricingSupport                                 Resources                             Email CampaignsDrag-and-Drop Builde"&amp;"rSubscription FormsTransactional EmailsCampaign AnalyticsEmail VerifierAutomation 360СRMWebsitesOnline Course BuilderLMSChatbot BuilderInstagram ChatbotsWhatsApp ChatbotsViber ChatbotsFacebook ChatbotsTelegram ChatbotsLive ChatChatbots AppSMSViber Campaig"&amp;"nsWeb Push NotificationsPop-upsNPS WidgetsAPIIntegrationsPartner ProgramFind a SendPulse ExpertAll Features →                            Blog                            Discover actionable tips and helpful tools to fuel your growth                        "&amp;"     Knowledge Base                            Learn how to use SendPulse with our in-depth guides                            Platform Updates                            Recent SendPulse updates and new features                            SendPulse Academ"&amp;"y                            Take online courses to grow in-demand marketing skills                            YouTube Channel                            Expand your knowledge with video content from our experts                             Marketing 101  "&amp;"                          Keep up with all the key digital marketing terms and definitionsEnglish                                                                    Українська                                                                                "&amp;"                                                Русский                                                                                                                                Português                                                               "&amp;"                                                                 Türkçe                                                                                                                                Español                                                 "&amp;"                                                                               Français                                                                                                                                Italiano                                "&amp;"                                                        Login                                                            Login                                 Remember me                                or                                                   "&amp;" Sign in with Facebook                                                                                                    Sign in with Google                                                                                Sign Up                           "&amp;"  Accelerate your sales and grow your business on a single platform                                    Get all the multichannel marketing and sales tools you need for increased profits better workflows and happier customers                                "&amp;"Sign up for free                                    Sign in with Google                                15000 free emails3 free chatbotsFree landing page builderFree CRMNo credit card requiredOur customers love us                    4.6                    "&amp;"                /5                                    4.6                                    /5                                    4.6                                    /5                                    4.6                                    /5      "&amp;"                              4.3                                    /5                                    5                                    /5                            Stay in touch with your customers — wherever they areEmail MarketingDeliver valua"&amp;"ble content straight to your audience's inboxesSMSReach your prospects on their mobile phones while they’re on the goChatbotsUse Facebook Messenger Telegram Instagram and WhatsApp chatbots to connect with your audience in real timeWeb PushConnect with you"&amp;"r subscribers no matter what they’re doing online Everything you need to streamline sales and marketing processes.  From start to finishHouse all sales and marketing activities in one placeGet a complete picture of your contacts and workflows collaborate "&amp;"seamlessly and win more customers. All from a single easy-to-manage dashboard.Get full visibilityUse chatbots subscription forms and landing pages to capture contact details. Automatically push new contacts to your CRM and organize your existing contact d"&amp;"ata in lists and Kanban boards so you can be sure that a lead never slips through the cracks again.Fast-track communicationIntegrate CRM with other SendPulse products seamlessly. Reach out to your leads and customers via email or chatbot directly from the"&amp;"ir contact card in your CRM.Make data-driven decisionsHave all of your customer interaction history and insights on hand to build winning sales pipelines and shorten sales cycles.Improve collaborationBring all of your team members under one roof to elimin"&amp;"ate organizational silos assign roles and permissions and keep track of sales and marketing processes. Teach online and monetize your knowledgeCreate professional online courses using our simple visual builder conduct tests add homework assignments and is"&amp;"sue certificates of completion.Enroll students in your course through an auto-generated landing page with the ability to accept online payments and promote your courses using SendPulse's tools.Instructor accountSet up your courses and their pricing choose"&amp;" the format and order of your lessons add teachers and track students' engagement in the learning process.Student accountPass the available courses pay online through popular payment systems communicate with teachers and receive course completion certific"&amp;"ates.Take repetitive tasks off your to-do listUse SendPulse automation features to keep time-wasting tasks on autopilot and get the time you need to focus on high-value work.Automation 360Set up automated email flows paired with messenger chatbots and SMS"&amp;" to advance leads from stage to stage of your sales process and close more deals.Transactional emailsSend automated emails triggered by user behavior to deliver valuable information to your customers at key moments of their journey.ChatbotsLet WhatsApp Fa"&amp;"cebook Messenger Instagram and Telegram chatbots handle routine tasks like giving shopping advice gathering customer data and feedback and much more. Free up your time to focus on growing your business.CRMAutomatically create deals when a new contact is a"&amp;"dded to CRM through email or chatbot flows and never miss a sales opportunity again. Enhance customer satisfactionMake every customer feel special with personalized messages and lightning-fast responsesCRMAnalyze customer interactions throughout their jou"&amp;"rney and tailor your follow-ups to their behaviors and preferences.                            Learn more                                →ChatbotsGood customer service is fast customer service. Use messenger chatbots to speed up response times and never m"&amp;"ake a customer wait again – even outside of business hours.Learn more                                →SegmentationSegment your contact list to deliver the right content to the right people at the right moments of their customer journey.Learn more         "&amp;"                       → Turn prospects into paying customersGet all of the tools you need to capture leads and map out the customer journey from awareness to sale.CRMSee — at a glance — where your prospects are in the sales process and monitor which deal"&amp;"s are most effective.Subscription formsCreate responsive opt-in forms in no time to grow your list of engaged subscribers and convert them into customers.Landing pagesCraft highly-converting landing pages to capture more leads close more sales and take yo"&amp;"ur campaigns to the next level.ChatbotsUse Facebook Telegram Instagram and WhatsApp chatbots to grab fresh leads and nudge them to make purchase decisions.Web push notificationsAdd push notifications to your campaigns to drive visitors back to your websit"&amp;"e keep them in the know about limited-time deals and make more sales.SMSIntegrate SMS into your marketing strategy to catch prospects and customers on the move. Deliver time-sensitive messages and follow-ups.EmailsSell to a targeted list of email subscrib"&amp;"ers cater to their needs and watch sales roll in.Make the creation process hassle-freeUse SendPulse creative tools and professionally designed templates to create compelling emails and powerful landing pages in a matter of minutes.Drag and drop email edit"&amp;"orDesign attention-grabbing emails the easy way. Zero coding skills or HTML experience required.Email templatesSave time and money with over 130+ prebuilt email templates and customize them to match your brand.Landing page builderEasily create responsive "&amp;"landing pages without a single line of code to get more leads and sales. Stay on target with customer insights and campaign analyticsTake the guesswork out of your marketing and sales process with actionable insights to refine your strategyEmail campaign "&amp;"reports and analyticsGet detailed reports on your email campaigns. Tweak them for success and uncover hidden growth opportunities.Learn more                                →A/B testingIdentify what resonates with your audience and fine-tune your marketing"&amp;" and sales strategies.Learn more                                →CRMKnow what’s going on with every deal and never miss a step in your sales or marketing process.Learn more                                →Integrate SendPulse features with your projectAuto"&amp;"mate data transfer and send campaigns directly from your project. Check out the list of CRM CMS and eCommerce systems you can integrate with SendPulse.More than 40 integrationsAPI documentation Get all of the help and resources you need every step of the "&amp;"wayNeed a helping hand?We’re always here to back you up                                 Talk to us 24/7 in 6 languages                        Knowledge BaseAll the answers you need to get to grips with SendPulse toolsBlogActionable marketing insights and "&amp;"tips hot industry trends and moreYouTubeService manuals and digital marketing webinars FAQ                        What is marketing automation?                        It is a set of tools that improve relationships with a massive audience. SendPulse is a "&amp;"marketing automation platform that offers triggered emails chatbots scheduled SMS and web push notifications. Dive deeper into what marketing automation is.                         Why should I use marketing automation?                        Automated ma"&amp;"rketing makes your living easier since some of the crucial processes like purchasing running giveaways onboarding and more can be once set up and run on their own.                          How do I start using marketing automation?                        "&amp;"Define the goals that marketing automation will help you achieve. Choose marketing channels respectively mastering one channel after another. Here is the list of features  SendPulse provides for your marketing automation.                         How much "&amp;"does marketing automation cost?                        The price depends on what tools you use how many clients you have and what features you need. Check out our pricing plans to find out what suits your needs. Reinvent your sales and marketing with Send"&amp;"PulseGet the most out of a powerful CRM platform email marketing and automation tools and much more to skyrocket your sales and business performance.Sign up for free Email Email CampaignsTransactional EmailsDrag-and-Drop BuilderSubscription FormsAutomatio"&amp;"nCampaign AnalyticsFree Email TemplatesFree Chrome ExtensionChatbotsChatbot BuilderInstagram ChatbotsWhatsApp ChatbotsWhatsApp Business APIWhatsApp Сampaigns WhatsApp Link GeneratorViber ChatbotsFacebook ChatbotsTelegram ChatbotsChatbot Signup WidgetsChat"&amp;"bots AppServicesOnline Course BuilderLMSCRMWebsitesBio Link Page SMSViberWeb Push NotificationsSmart Pop-upsNPS WidgetsLive ChatAll-in-one platformAbout Our CompanyOur TeamFeedbackService UpdatesResources SendPulse AcademyKnowledge BaseInternet Marketing "&amp;"101BlogIntegrationsAPIExpert directoryFor PartnersPartner ProgramInvite friendsСertificationTerms of ServicePrivacy PolicyCookie StatementSendPulse SecurityData Processing AgreementCopyright © 2015 - 2023. SendPulse. All rights reservedEnglish            "&amp;"                                                Українська                                                                                                                Русский                                                                              "&amp;"                                  Português                                                                                                                Türkçe                                                                                              "&amp;"                  Español                                                                                                                Français                                                                                                              "&amp;"  Italiano                                                    			     		Get started with SendPulse			     	Create a free account. No credit card requiredPlease enter a valid email addressRequired fieldThe password is too shortYour password should be from "&amp;"8 to 48 characters long contain at least one uppercase letter one lowercase letter and a number.Please enter 3 or more charactersPlease enter your namePlease enter a valid phone numberPlease confirm you are not a robotRegistration domain is blocked       "&amp;"       The user with this email address already exists. You can Login or Restore a password.            Your promo code is invalid              Such phone number is already registered.You can Login or Restore a password.            Looks like you already "&amp;"have an account. Please email us at support@sendpulse.com if you think this is an error.                          Name                                                    Email address                                                  Phone number          "&amp;"                Password                        Password security tips:                                        from 8 to 48 characters long                                                                            contains a digit                        "&amp;"                                                    contains an uppercase character                                                                            contains a lowercase character                                       or                         "&amp;"               Sign up with Facebook                                                                        Sign up with Google                                                            By creating a SendPulse account you agree to our Terms of Service an"&amp;"d Privacy Policy")</f>
        <v>Multi-Channel Marketing Automation Platform | SendPulsetoggle menu                                 Products                            PricingSupport                                 Resources                             Email CampaignsDrag-and-Drop BuilderSubscription FormsTransactional EmailsCampaign AnalyticsEmail VerifierAutomation 360СRMWebsitesOnline Course BuilderLMSChatbot BuilderInstagram ChatbotsWhatsApp ChatbotsViber ChatbotsFacebook ChatbotsTelegram ChatbotsLive ChatChatbots AppSMSViber CampaignsWeb Push NotificationsPop-upsNPS WidgetsAPIIntegrationsPartner ProgramFind a SendPulse ExpertAll Features →                            Blog                            Discover actionable tips and helpful tools to fuel your growth                             Knowledge Base                            Learn how to use SendPulse with our in-depth guides                            Platform Updates                            Recent SendPulse updates and new features                            SendPulse Academy                            Take online courses to grow in-demand marketing skills                            YouTube Channel                            Expand your knowledge with video content from our experts                             Marketing 101                            Keep up with all the key digital marketing terms and definitionsEnglish                                                                    Українська                                                                                                                                Русский                                                                                                                                Português                                                                                                                                Türkçe                                                                                                                                Español                                                                                                                                Français                                                                                                                                Italiano                                                                                        Login                                                            Login                                 Remember me                                or                                                    Sign in with Facebook                                                                                                    Sign in with Google                                                                                Sign Up                             Accelerate your sales and grow your business on a single platform                                    Get all the multichannel marketing and sales tools you need for increased profits better workflows and happier customers                                Sign up for free                                    Sign in with Google                                15000 free emails3 free chatbotsFree landing page builderFree CRMNo credit card requiredOur customers love us                    4.6                                    /5                                    4.6                                    /5                                    4.6                                    /5                                    4.6                                    /5                                    4.3                                    /5                                    5                                    /5                            Stay in touch with your customers — wherever they areEmail MarketingDeliver valuable content straight to your audience's inboxesSMSReach your prospects on their mobile phones while they’re on the goChatbotsUse Facebook Messenger Telegram Instagram and WhatsApp chatbots to connect with your audience in real timeWeb PushConnect with your subscribers no matter what they’re doing online Everything you need to streamline sales and marketing processes.  From start to finishHouse all sales and marketing activities in one placeGet a complete picture of your contacts and workflows collaborate seamlessly and win more customers. All from a single easy-to-manage dashboard.Get full visibilityUse chatbots subscription forms and landing pages to capture contact details. Automatically push new contacts to your CRM and organize your existing contact data in lists and Kanban boards so you can be sure that a lead never slips through the cracks again.Fast-track communicationIntegrate CRM with other SendPulse products seamlessly. Reach out to your leads and customers via email or chatbot directly from their contact card in your CRM.Make data-driven decisionsHave all of your customer interaction history and insights on hand to build winning sales pipelines and shorten sales cycles.Improve collaborationBring all of your team members under one roof to eliminate organizational silos assign roles and permissions and keep track of sales and marketing processes. Teach online and monetize your knowledgeCreate professional online courses using our simple visual builder conduct tests add homework assignments and issue certificates of completion.Enroll students in your course through an auto-generated landing page with the ability to accept online payments and promote your courses using SendPulse's tools.Instructor accountSet up your courses and their pricing choose the format and order of your lessons add teachers and track students' engagement in the learning process.Student accountPass the available courses pay online through popular payment systems communicate with teachers and receive course completion certificates.Take repetitive tasks off your to-do listUse SendPulse automation features to keep time-wasting tasks on autopilot and get the time you need to focus on high-value work.Automation 360Set up automated email flows paired with messenger chatbots and SMS to advance leads from stage to stage of your sales process and close more deals.Transactional emailsSend automated emails triggered by user behavior to deliver valuable information to your customers at key moments of their journey.ChatbotsLet WhatsApp Facebook Messenger Instagram and Telegram chatbots handle routine tasks like giving shopping advice gathering customer data and feedback and much more. Free up your time to focus on growing your business.CRMAutomatically create deals when a new contact is added to CRM through email or chatbot flows and never miss a sales opportunity again. Enhance customer satisfactionMake every customer feel special with personalized messages and lightning-fast responsesCRMAnalyze customer interactions throughout their journey and tailor your follow-ups to their behaviors and preferences.                            Learn more                                →ChatbotsGood customer service is fast customer service. Use messenger chatbots to speed up response times and never make a customer wait again – even outside of business hours.Learn more                                →SegmentationSegment your contact list to deliver the right content to the right people at the right moments of their customer journey.Learn more                                → Turn prospects into paying customersGet all of the tools you need to capture leads and map out the customer journey from awareness to sale.CRMSee — at a glance — where your prospects are in the sales process and monitor which deals are most effective.Subscription formsCreate responsive opt-in forms in no time to grow your list of engaged subscribers and convert them into customers.Landing pagesCraft highly-converting landing pages to capture more leads close more sales and take your campaigns to the next level.ChatbotsUse Facebook Telegram Instagram and WhatsApp chatbots to grab fresh leads and nudge them to make purchase decisions.Web push notificationsAdd push notifications to your campaigns to drive visitors back to your website keep them in the know about limited-time deals and make more sales.SMSIntegrate SMS into your marketing strategy to catch prospects and customers on the move. Deliver time-sensitive messages and follow-ups.EmailsSell to a targeted list of email subscribers cater to their needs and watch sales roll in.Make the creation process hassle-freeUse SendPulse creative tools and professionally designed templates to create compelling emails and powerful landing pages in a matter of minutes.Drag and drop email editorDesign attention-grabbing emails the easy way. Zero coding skills or HTML experience required.Email templatesSave time and money with over 130+ prebuilt email templates and customize them to match your brand.Landing page builderEasily create responsive landing pages without a single line of code to get more leads and sales. Stay on target with customer insights and campaign analyticsTake the guesswork out of your marketing and sales process with actionable insights to refine your strategyEmail campaign reports and analyticsGet detailed reports on your email campaigns. Tweak them for success and uncover hidden growth opportunities.Learn more                                →A/B testingIdentify what resonates with your audience and fine-tune your marketing and sales strategies.Learn more                                →CRMKnow what’s going on with every deal and never miss a step in your sales or marketing process.Learn more                                →Integrate SendPulse features with your projectAutomate data transfer and send campaigns directly from your project. Check out the list of CRM CMS and eCommerce systems you can integrate with SendPulse.More than 40 integrationsAPI documentation Get all of the help and resources you need every step of the wayNeed a helping hand?We’re always here to back you up                                 Talk to us 24/7 in 6 languages                        Knowledge BaseAll the answers you need to get to grips with SendPulse toolsBlogActionable marketing insights and tips hot industry trends and moreYouTubeService manuals and digital marketing webinars FAQ                        What is marketing automation?                        It is a set of tools that improve relationships with a massive audience. SendPulse is a marketing automation platform that offers triggered emails chatbots scheduled SMS and web push notifications. Dive deeper into what marketing automation is.                         Why should I use marketing automation?                        Automated marketing makes your living easier since some of the crucial processes like purchasing running giveaways onboarding and more can be once set up and run on their own.                          How do I start using marketing automation?                        Define the goals that marketing automation will help you achieve. Choose marketing channels respectively mastering one channel after another. Here is the list of features  SendPulse provides for your marketing automation.                         How much does marketing automation cost?                        The price depends on what tools you use how many clients you have and what features you need. Check out our pricing plans to find out what suits your needs. Reinvent your sales and marketing with SendPulseGet the most out of a powerful CRM platform email marketing and automation tools and much more to skyrocket your sales and business performance.Sign up for free Email Email CampaignsTransactional EmailsDrag-and-Drop BuilderSubscription FormsAutomationCampaign AnalyticsFree Email TemplatesFree Chrome ExtensionChatbotsChatbot BuilderInstagram ChatbotsWhatsApp ChatbotsWhatsApp Business APIWhatsApp Сampaigns WhatsApp Link GeneratorViber ChatbotsFacebook ChatbotsTelegram ChatbotsChatbot Signup WidgetsChatbots AppServicesOnline Course BuilderLMSCRMWebsitesBio Link Page SMSViberWeb Push NotificationsSmart Pop-upsNPS WidgetsLive ChatAll-in-one platformAbout Our CompanyOur TeamFeedbackService UpdatesResources SendPulse AcademyKnowledge BaseInternet Marketing 101BlogIntegrationsAPIExpert directoryFor PartnersPartner ProgramInvite friendsСertificationTerms of ServicePrivacy PolicyCookie StatementSendPulse SecurityData Processing AgreementCopyright © 2015 - 2023. SendPulse. All rights reservedEnglish                                                            Українська                                                                                                                Русский                                                                                                                Português                                                                                                                Türkçe                                                                                                                Español                                                                                                                Français                                                                                                                Italiano                                                    			     		Get started with SendPulse			     	Create a free account. No credit card requiredPlease enter a valid email addressRequired fieldThe password is too shortYour password should be from 8 to 48 characters long contain at least one uppercase letter one lowercase letter and a number.Please enter 3 or more charactersPlease enter your namePlease enter a valid phone numberPlease confirm you are not a robotRegistration domain is blocked              The user with this email address already exists. You can Login or Restore a password.            Your promo code is invalid              Such phone number is already registered.You can Login or Restore a password.            Looks like you already have an account. Please email us at support@sendpulse.com if you think this is an error.                          Name                                                    Email address                                                  Phone number                          Password                        Password security tips:                                        from 8 to 48 characters long                                                                            contains a digit                                                                            contains an uppercase character                                                                            contains a lowercase character                                       or                                        Sign up with Facebook                                                                        Sign up with Google                                                            By creating a SendPulse account you agree to our Terms of Service and Privacy Policy</v>
      </c>
    </row>
    <row r="26">
      <c r="A26" s="1" t="s">
        <v>54</v>
      </c>
      <c r="B26" s="1" t="s">
        <v>107</v>
      </c>
      <c r="C26" s="1" t="s">
        <v>108</v>
      </c>
      <c r="D26" s="1">
        <v>13.0</v>
      </c>
      <c r="E26" s="4" t="s">
        <v>109</v>
      </c>
      <c r="F26" s="1" t="s">
        <v>16</v>
      </c>
      <c r="G26" s="1" t="s">
        <v>110</v>
      </c>
      <c r="H26" s="4" t="s">
        <v>111</v>
      </c>
      <c r="I26" s="2">
        <v>1.0</v>
      </c>
      <c r="J26" s="5" t="str">
        <f>IFERROR(__xludf.DUMMYFUNCTION("GOOGLETRANSLATE(A26)"),"chatgpt")</f>
        <v>chatgpt</v>
      </c>
      <c r="K26" s="6" t="str">
        <f>IFERROR(__xludf.DUMMYFUNCTION("GOOGLETRANSLATE(B26)"),"Chat GPT neural network - Artificial intelligence online")</f>
        <v>Chat GPT neural network - Artificial intelligence online</v>
      </c>
      <c r="L26" s="5" t="str">
        <f>IFERROR(__xludf.DUMMYFUNCTION("GOOGLETRANSLATE(C26)"),"The Chat GPT neural network ... a powerful chatbot in Russian, developed by Openai, ChatGPT answers your questions. In order to start using the tool, ...")</f>
        <v>The Chat GPT neural network ... a powerful chatbot in Russian, developed by Openai, ChatGPT answers your questions. In order to start using the tool, ...</v>
      </c>
      <c r="M26" s="5" t="str">
        <f>IFERROR(__xludf.DUMMYFUNCTION("GOOGLETRANSLATE(G26)"),"PR -CY 🔥 Site analysis: Site Service Service - Online tools for webmasters of optimizers and copywriters. Tariffs and prices tools for the country's employment person Seti -owned -owned regional control over the seo are controlled and independently impro"&amp;"ve the positions of your site in search engines to get more traffic and sales. Near the analysis of the site analize the necessary - In one service, we analyze a lot of data for each project daily, which allows you to manage all your and client projects f"&amp;"rom the same place. Daily monitoring allows you to track the positions in the search for organic traffic and quickly respond to errors. Steaming the positions of the web traffic maintenance of the technical condition pages of the domain metric and the tec"&amp;"hnical characteristics of the site of the most necessary tools for the tools-give you full control over projects and strengthen their management so that you can concentrate on you Key tasks. Positioning of positions on the pulse with a daily check of your"&amp;" site’s position in search engines. Two search engines and country-mobile countries and desktop are more in the search for the site of the site with the help of an audit- the service scans the site and shows optimization errors and how to resolve them up "&amp;"to 5000 pages Tags of server answers Technical errors of content on site-stomach data in more detail by the site of the site. Steac of the site that is critical to promote and correct operation of the site, general assessment of the quality of the site an"&amp;"d quick search for errors. History of changes in parameters for email if something goes not tactfully ? Reviews of usersinyakin Sergeysiniakin.ru also have been using the PR-CC service for me as a Internet marketer for more than 3 years-this is one of the"&amp;" main tools that I use to analyze client sites and their competitors to check the positions of internal pages analysis and as a problem planner. Dmitry Stogovi. D. CODEMENCE TOPICIPTION OF CHARACTIONAL CHOOSSHICTIONS TO CREATION AND MOTING THE SITE. Every"&amp;"thing is visual and accessible in the ""for the teapot"" mode. “Drawn” reports of marketerists will no longer pump. Everything on the face is the positions of the keys that is wrong with optimization. No need to shove a million resources the necessary inf"&amp;"ormation is composed in one place! We have been used for a year and only positive emotions. Yakovinainkbuilder is used by Yakovinainkbuilder.su, the first year we use PR-CY tools to analyze data and synchronize our algorithms to calculate the promotion bu"&amp;"dget. Conducting the responsiveness of the caliper for our requests competitive prices and the relevance of the information received. An important point - the service is constantly developing new functions and the interface improves. The guys are always o"&amp;"n the pulse of new technologies. The Ibrahim KadirovintegerService is used regularly with its help brought two projects to the top. Quickly finds mistakes to quickly correct them. They would especially like to note the analysis of internal pages is very c"&amp;"onvenient. The main advantage is the full monitoring of the site promotion. Kyrill Nikolaevbigtime.ventureSkak from the point of view of the agency and from the point of view of the Inhaus-specialist “Website analysis” is indispensable. Inchestrations for"&amp;" a quick assessment of the general condition of the patient are needed almost every day - both for primary analysis and for intermediate reports. One of the few in Runet who checks not only the main but also internal pages. Quickly with proper ability to "&amp;"analyze the data obtained, it is very convenient. You can pay $ 200 for analogues, but why? Ruslan Fathutdinovreaspekt.ru Sopasibo for the guys for the service. We use a large amount of data from the API analysis to build reports and marketing tasks. Alek"&amp;"sey Makhmethazhievloading.express tool has established itself as a reliable service for analysis of the most important indicators of the site. After updates on our website, we always use a test in PR-CY so that nothing to miss from what can help us to be "&amp;"in the top of search engines. Thank you and good luck in development! Alexander Chepukaitisant-team.ruPr-cy.ru is an indispensable tool in work. I often have to communicate with new customers and build a strategy at the initial stage while we still do not"&amp;" have detailed audits. At this moment, I use PR-CY tools, they help me quickly find growth points and based on this to form a strategy for further work. It is also useful to check the internal pages immediately gives a complete picture of the state of the"&amp;" site. Andrey Pikuzopug Web -Hasteful Service. I use it to quickly analyze the sites of my customers. I also really like in PR-Cy the ability to maintain projects to monitor the positions of keywords to compare projects with competitors. Maxim Matveevjcat"&amp;"a Democratic service for monitoring the SEO work on the site. Visual reports weekly by mail. Sinyakin Sergeysiniakin.ru, I have been using the PR-CY service for me for more than 3 years as an Internet marketer-this is one of the main tools that I use to a"&amp;"nalyze customer sites and their competitors to verify the positions of the analysis of internal pages and how Planner of tasks. Dmitry Stogovi.d. CODEMENCE TOPICIPTION OF CHARACTIONAL CHOOSSHICTIONS TO CREATION AND MOTING THE SITE. Everything is visual an"&amp;"d accessible in the ""for the teapot"" mode. “Drawn” reports of marketerists will no longer pump. Everything on the face is the positions of the keys that is wrong with optimization. No need to shove a million resources the necessary information is compos"&amp;"ed in one place! We have been used for a year and only positive emotions. Yakovinainkbuilder is used by Yakovinainkbuilder.su, the first year we use PR-CY tools to analyze data and synchronize our algorithms to calculate the promotion budget. Conducting t"&amp;"he responsiveness of the caliper for our requests competitive prices and the relevance of the information received. An important point - the service is constantly developing new functions and the interface improves. The guys are always on the pulse of new"&amp;" technologies. The Ibrahim KadirovintegerService is used regularly with its help brought two projects to the top. Quickly finds mistakes to quickly correct them. They would especially like to note the analysis of internal pages is very convenient. The mai"&amp;"n advantage is the full monitoring of the site promotion. Kyrill Nikolaevbigtime.ventureSkak from the point of view of the agency and from the point of view of the Inhaus-specialist “Website analysis” is indispensable. Inchestrations for a quick assessmen"&amp;"t of the general condition of the patient are needed almost every day - both for primary analysis and for intermediate reports. One of the few in Runet who checks not only the main but also internal pages. Quickly with proper ability to analyze the data o"&amp;"btained, it is very convenient. You can pay $ 200 for analogues, but why? Ruslan Fathutdinovreaspekt.ru Sopasibo for the guys for the service. We use a large amount of data from the API analysis to build reports and marketing tasks. Aleksey Makhmethazhiev"&amp;"loading.express tool has established itself as a reliable service for analysis of the most important indicators of the site. After updates on our website, we always use a test in PR-CY so that nothing to miss from what can help us to be in the top of sear"&amp;"ch engines. Thank you and good luck in development! Alexander Chepukaitisant-team.ruPr-cy.ru is an indispensable tool in work. I often have to communicate with new customers and build a strategy at the initial stage while we still do not have detailed aud"&amp;"its. At this moment, I use PR-CY tools, they help me quickly find growth points and based on this to form a strategy for further work. It is also useful to check the internal pages immediately gives a complete picture of the state of the site. Andrey Piku"&amp;"zopug Web -Hasteful Service. I use it to quickly analyze the sites of my customers. I also really like in PR-Cy the ability to maintain projects to monitor the positions of keywords to compare projects with competitors. Maxim Matveevjcata Democratic servi"&amp;"ce for monitoring the SEO work on the site. Visual reports weekly by mail. Sinyakin Sergeysiniakin.ru, I have been using the PR-CY service for me for more than 3 years as an Internet marketer-this is one of the main tools that I use to analyze customer si"&amp;"tes and their competitors to verify the positions of the analysis of internal pages and how Task planner. 12345678910 Popular tools analyzing the site MACH MARTROL: Analysis of positions and audit of the site. Protection of attendance attendance and traff"&amp;"ic sources. Massion verification of the domain verification of traffic and SEO parameters for the list of domains. TZ for your keywords. Words without captcha. SEO Analysis of the page of the page of the page for optimization by the key word.chatgpt on th"&amp;"e Russian chassis artificial intellectualize the textiles of keywords in the text Analysis of the text. The text of the text to generate the authorship of the text: AI or person. Brand a check of the position of the position of positions on the list of ke"&amp;"ywords. Selection of key intricas of prompts in Google. Sliding words to competitors of the site in search engines. Speech of the URL in the TOP Yandex and Googles Squads of domains on request. Carrying out the page of the page of pages for indexing in Go"&amp;"ogle &amp; Yandex. Antiplagiat Systems. Crossing the speed of the Internet the Internet of your computer. Determination of CMS SETALLED all the technologies on the site. DESTITIONS OF POSSIASES OF ALL links on any page. IIKE IS ICE your browser data. Weching "&amp;"to the site, we can buy a canonical address of the canonical address. IP domain. Follow similar SitePoisk sites with similar traffic. Know the hosting of the Site Verrech the Data Center and the Hoster by IP. Operations DECREAST DELIVE AT ANTISTICTIONALLY"&amp;" OF THE WHOIS. Carrying SSL Certificates and Conducting SSL. Carrying for the response of the response of the HTTP-heads of any page. Robots and X-Robots to manage indexing manually conduct a clustering of semantic nucleus requests What is Google Discover"&amp;" and how to get there to the question of a primary analysis of your site or competitor? For a quick free analysis of any site, enter its domain in the form on the main page on the main page and the pressure of the “Analysis” . How to check for errors the "&amp;"entire site? The entire site, including internal pages, can be checked at the paid tariffs of the Site Analysis service. He will look for errors in metathas and encoding will analyze the server response speed and number of links. Why are paid tariffs bett"&amp;"er than a free check? For free, the service gives a surface check. At paid tariffs, expanded API Creating PDF reports are available an increased number of tests in other PR-CY tools. Tariffs are suitable to monitor the state of the site on an ongoing basi"&amp;"s. How do I not miss important events and errors on the site? Notifications are available on the tariffs: if something happens with the site, for example, it will fly out of the index or get into the register of prohibited sites, the service will receive "&amp;"a notification to E -mail. You can also connect a weekly letter with a summary of important indicators. How to use the results of the audit? Pay attention to errors and warnings about which the analysis writes. They can be conveyed to an optimization spec"&amp;"ialist or plan a task for yourself. To improve the site, the service offers a general checklist of 80 tasks, execution can be noted directly in the interface. You can help fix the errors that the service found? We develop services to facilitate the work o"&amp;"f seoshniks and webmers but do not engage in sites and do not take customers. You can find tips on improving sites in our blog. I need two or three checks per week why buy a tariff for a month? The main advantage of the service is that even if you do not "&amp;"go daily, it automatically updates all the data on your site and collects information. For example, the level of indexation or traffic does not make sense to consider in the moment these indicators make sense only in dynamics. In addition, if something ha"&amp;"ppens to the site when you are busy with other things, we will send you a notification. All in one place is the main tasks of promoting your site you can do in one place at a fixed price. Understand © 2006–2023 PR-CruENALIALISS SETASEO-analysis Pageraza c"&amp;"heck of the positions of the athletgpt test of the attendability of the site site ipwhois Democrate TSI (Line) SEO Extension for chromeinformation by nashpracaochevertacondupdentism")</f>
        <v>PR -CY 🔥 Site analysis: Site Service Service - Online tools for webmasters of optimizers and copywriters. Tariffs and prices tools for the country's employment person Seti -owned -owned regional control over the seo are controlled and independently improve the positions of your site in search engines to get more traffic and sales. Near the analysis of the site analize the necessary - In one service, we analyze a lot of data for each project daily, which allows you to manage all your and client projects from the same place. Daily monitoring allows you to track the positions in the search for organic traffic and quickly respond to errors. Steaming the positions of the web traffic maintenance of the technical condition pages of the domain metric and the technical characteristics of the site of the most necessary tools for the tools-give you full control over projects and strengthen their management so that you can concentrate on you Key tasks. Positioning of positions on the pulse with a daily check of your site’s position in search engines. Two search engines and country-mobile countries and desktop are more in the search for the site of the site with the help of an audit- the service scans the site and shows optimization errors and how to resolve them up to 5000 pages Tags of server answers Technical errors of content on site-stomach data in more detail by the site of the site. Steac of the site that is critical to promote and correct operation of the site, general assessment of the quality of the site and quick search for errors. History of changes in parameters for email if something goes not tactfully ? Reviews of usersinyakin Sergeysiniakin.ru also have been using the PR-CC service for me as a Internet marketer for more than 3 years-this is one of the main tools that I use to analyze client sites and their competitors to check the positions of internal pages analysis and as a problem planner. Dmitry Stogovi. D. CODEMENCE TOPICIPTION OF CHARACTIONAL CHOOSSHICTIONS TO CREATION AND MOTING THE SITE. Everything is visual and accessible in the "for the teapot" mode. “Drawn” reports of marketerists will no longer pump. Everything on the face is the positions of the keys that is wrong with optimization. No need to shove a million resources the necessary information is composed in one place! We have been used for a year and only positive emotions. Yakovinainkbuilder is used by Yakovinainkbuilder.su, the first year we use PR-CY tools to analyze data and synchronize our algorithms to calculate the promotion budget. Conducting the responsiveness of the caliper for our requests competitive prices and the relevance of the information received. An important point - the service is constantly developing new functions and the interface improves. The guys are always on the pulse of new technologies. The Ibrahim KadirovintegerService is used regularly with its help brought two projects to the top. Quickly finds mistakes to quickly correct them. They would especially like to note the analysis of internal pages is very convenient. The main advantage is the full monitoring of the site promotion. Kyrill Nikolaevbigtime.ventureSkak from the point of view of the agency and from the point of view of the Inhaus-specialist “Website analysis” is indispensable. Inchestrations for a quick assessment of the general condition of the patient are needed almost every day - both for primary analysis and for intermediate reports. One of the few in Runet who checks not only the main but also internal pages. Quickly with proper ability to analyze the data obtained, it is very convenient. You can pay $ 200 for analogues, but why? Ruslan Fathutdinovreaspekt.ru Sopasibo for the guys for the service. We use a large amount of data from the API analysis to build reports and marketing tasks. Aleksey Makhmethazhievloading.express tool has established itself as a reliable service for analysis of the most important indicators of the site. After updates on our website, we always use a test in PR-CY so that nothing to miss from what can help us to be in the top of search engines. Thank you and good luck in development! Alexander Chepukaitisant-team.ruPr-cy.ru is an indispensable tool in work. I often have to communicate with new customers and build a strategy at the initial stage while we still do not have detailed audits. At this moment, I use PR-CY tools, they help me quickly find growth points and based on this to form a strategy for further work. It is also useful to check the internal pages immediately gives a complete picture of the state of the site. Andrey Pikuzopug Web -Hasteful Service. I use it to quickly analyze the sites of my customers. I also really like in PR-Cy the ability to maintain projects to monitor the positions of keywords to compare projects with competitors. Maxim Matveevjcata Democratic service for monitoring the SEO work on the site. Visual reports weekly by mail. Sinyakin Sergeysiniakin.ru, I have been using the PR-CY service for me for more than 3 years as an Internet marketer-this is one of the main tools that I use to analyze customer sites and their competitors to verify the positions of the analysis of internal pages and how Planner of tasks. Dmitry Stogovi.d. CODEMENCE TOPICIPTION OF CHARACTIONAL CHOOSSHICTIONS TO CREATION AND MOTING THE SITE. Everything is visual and accessible in the "for the teapot" mode. “Drawn” reports of marketerists will no longer pump. Everything on the face is the positions of the keys that is wrong with optimization. No need to shove a million resources the necessary information is composed in one place! We have been used for a year and only positive emotions. Yakovinainkbuilder is used by Yakovinainkbuilder.su, the first year we use PR-CY tools to analyze data and synchronize our algorithms to calculate the promotion budget. Conducting the responsiveness of the caliper for our requests competitive prices and the relevance of the information received. An important point - the service is constantly developing new functions and the interface improves. The guys are always on the pulse of new technologies. The Ibrahim KadirovintegerService is used regularly with its help brought two projects to the top. Quickly finds mistakes to quickly correct them. They would especially like to note the analysis of internal pages is very convenient. The main advantage is the full monitoring of the site promotion. Kyrill Nikolaevbigtime.ventureSkak from the point of view of the agency and from the point of view of the Inhaus-specialist “Website analysis” is indispensable. Inchestrations for a quick assessment of the general condition of the patient are needed almost every day - both for primary analysis and for intermediate reports. One of the few in Runet who checks not only the main but also internal pages. Quickly with proper ability to analyze the data obtained, it is very convenient. You can pay $ 200 for analogues, but why? Ruslan Fathutdinovreaspekt.ru Sopasibo for the guys for the service. We use a large amount of data from the API analysis to build reports and marketing tasks. Aleksey Makhmethazhievloading.express tool has established itself as a reliable service for analysis of the most important indicators of the site. After updates on our website, we always use a test in PR-CY so that nothing to miss from what can help us to be in the top of search engines. Thank you and good luck in development! Alexander Chepukaitisant-team.ruPr-cy.ru is an indispensable tool in work. I often have to communicate with new customers and build a strategy at the initial stage while we still do not have detailed audits. At this moment, I use PR-CY tools, they help me quickly find growth points and based on this to form a strategy for further work. It is also useful to check the internal pages immediately gives a complete picture of the state of the site. Andrey Pikuzopug Web -Hasteful Service. I use it to quickly analyze the sites of my customers. I also really like in PR-Cy the ability to maintain projects to monitor the positions of keywords to compare projects with competitors. Maxim Matveevjcata Democratic service for monitoring the SEO work on the site. Visual reports weekly by mail. Sinyakin Sergeysiniakin.ru, I have been using the PR-CY service for me for more than 3 years as an Internet marketer-this is one of the main tools that I use to analyze customer sites and their competitors to verify the positions of the analysis of internal pages and how Task planner. 12345678910 Popular tools analyzing the site MACH MARTROL: Analysis of positions and audit of the site. Protection of attendance attendance and traffic sources. Massion verification of the domain verification of traffic and SEO parameters for the list of domains. TZ for your keywords. Words without captcha. SEO Analysis of the page of the page of the page for optimization by the key word.chatgpt on the Russian chassis artificial intellectualize the textiles of keywords in the text Analysis of the text. The text of the text to generate the authorship of the text: AI or person. Brand a check of the position of the position of positions on the list of keywords. Selection of key intricas of prompts in Google. Sliding words to competitors of the site in search engines. Speech of the URL in the TOP Yandex and Googles Squads of domains on request. Carrying out the page of the page of pages for indexing in Google &amp; Yandex. Antiplagiat Systems. Crossing the speed of the Internet the Internet of your computer. Determination of CMS SETALLED all the technologies on the site. DESTITIONS OF POSSIASES OF ALL links on any page. IIKE IS ICE your browser data. Weching to the site, we can buy a canonical address of the canonical address. IP domain. Follow similar SitePoisk sites with similar traffic. Know the hosting of the Site Verrech the Data Center and the Hoster by IP. Operations DECREAST DELIVE AT ANTISTICTIONALLY OF THE WHOIS. Carrying SSL Certificates and Conducting SSL. Carrying for the response of the response of the HTTP-heads of any page. Robots and X-Robots to manage indexing manually conduct a clustering of semantic nucleus requests What is Google Discover and how to get there to the question of a primary analysis of your site or competitor? For a quick free analysis of any site, enter its domain in the form on the main page on the main page and the pressure of the “Analysis” . How to check for errors the entire site? The entire site, including internal pages, can be checked at the paid tariffs of the Site Analysis service. He will look for errors in metathas and encoding will analyze the server response speed and number of links. Why are paid tariffs better than a free check? For free, the service gives a surface check. At paid tariffs, expanded API Creating PDF reports are available an increased number of tests in other PR-CY tools. Tariffs are suitable to monitor the state of the site on an ongoing basis. How do I not miss important events and errors on the site? Notifications are available on the tariffs: if something happens with the site, for example, it will fly out of the index or get into the register of prohibited sites, the service will receive a notification to E -mail. You can also connect a weekly letter with a summary of important indicators. How to use the results of the audit? Pay attention to errors and warnings about which the analysis writes. They can be conveyed to an optimization specialist or plan a task for yourself. To improve the site, the service offers a general checklist of 80 tasks, execution can be noted directly in the interface. You can help fix the errors that the service found? We develop services to facilitate the work of seoshniks and webmers but do not engage in sites and do not take customers. You can find tips on improving sites in our blog. I need two or three checks per week why buy a tariff for a month? The main advantage of the service is that even if you do not go daily, it automatically updates all the data on your site and collects information. For example, the level of indexation or traffic does not make sense to consider in the moment these indicators make sense only in dynamics. In addition, if something happens to the site when you are busy with other things, we will send you a notification. All in one place is the main tasks of promoting your site you can do in one place at a fixed price. Understand © 2006–2023 PR-CruENALIALISS SETASEO-analysis Pageraza check of the positions of the athletgpt test of the attendability of the site site ipwhois Democrate TSI (Line) SEO Extension for chromeinformation by nashpracaochevertacondupdentism</v>
      </c>
    </row>
    <row r="27">
      <c r="A27" s="1" t="s">
        <v>54</v>
      </c>
      <c r="B27" s="1" t="s">
        <v>112</v>
      </c>
      <c r="C27" s="1" t="s">
        <v>113</v>
      </c>
      <c r="D27" s="1">
        <v>14.0</v>
      </c>
      <c r="E27" s="4" t="s">
        <v>114</v>
      </c>
      <c r="F27" s="1" t="s">
        <v>16</v>
      </c>
      <c r="G27" s="1" t="s">
        <v>115</v>
      </c>
      <c r="H27" s="4" t="s">
        <v>116</v>
      </c>
      <c r="I27" s="2">
        <v>4.0</v>
      </c>
      <c r="J27" s="5" t="str">
        <f>IFERROR(__xludf.DUMMYFUNCTION("GOOGLETRANSLATE(A27)"),"chatgpt")</f>
        <v>chatgpt</v>
      </c>
      <c r="K27" s="6" t="str">
        <f>IFERROR(__xludf.DUMMYFUNCTION("GOOGLETRANSLATE(B27)"),"Microsoft forbade employees to use ChatGPT ...")</f>
        <v>Microsoft forbade employees to use ChatGPT ...</v>
      </c>
      <c r="L27" s="5" t="str">
        <f>IFERROR(__xludf.DUMMYFUNCTION("GOOGLETRANSLATE(C27)"),"1 day ago -")</f>
        <v>1 day ago -</v>
      </c>
      <c r="M27" s="5" t="str">
        <f>IFERROR(__xludf.DUMMYFUNCTION("GOOGLETRANSLATE(G27)"),"All the most interesting of the world of the IT industry 🇷🇺🇰🇿 Today is November 12, 2023 18+MWC 201820computExifa 2018, SitereklamazklakkontaktattovostovostovostovostovostovostovostiovostiOFSANALIDICAVIDOCAVUK and acoustics of the BP and oclaigent aMa"&amp;"ternipers and projectors of the electronical power supply system and pmperiferioplanshtyta support for processors and memory and communications SMARARTFONAURALARY DOCTIONS AND VIDEO CART RSS/Social Networks The distribution of vacancies [New!] The main su"&amp;"rvey dozens of massive stars are hastily leaving our galaxy and now scientists have found out why vast astrometric observations of the sky began in the early 2000s that gave an accurate idea of ​​the speed and direction of the stars. We began to see the u"&amp;"niverse around us in dynamics. About 20 years ago, the first star leaving our galaxy was discovered. It turned out that there were a lot of stars-stars and most of them showed the study in the early Universe a reduced copy of our galaxy-scientists do not "&amp;"understand how the James Webb space telescope appeared there, which has not yet lended to scientific explanation. The new discovery was the detection of the Galaxy very similar to the Milky Way of only 2 billion years after the Big Bang. Such a spiral gal"&amp;"axy simply could not be in that place and at that time astronomers declare. She simply would not have time to develop to such perfect forms of Alan Wake 2 - he waited for thirteen years! In a dark place! The Review of the Return of Alan Waika, many player"&amp;"s were waiting for their breath. Each Easter in Control, hinting at the fate of the famous writer, became a ray of hope. And with the release of AWE, the studio almost officially confirmed - it will definitely return! Thirteen years later, Alana brought t"&amp;"o the shore of Lake Koldron. Was it worth waiting for him? Definitely yes ... Gamesblender No. 648: PS5 Slim opening in Microsoft Games BlizzCon 2023 Announcements and the start of “Troubles” with you Gamesblender Video Dazhest of the News of the Game Ind"&amp;"ustry from 3Dnews.ru. Today we will tell you what we showed on BlizzCon and when to wait for the new Mass Effect and also look inside the lightweight PlayStation 5 model. Let's go! In trend • On Intel, they sued billions of processors with a defect of whi"&amp;"ch she knew and did nothing • “Thank you to developers now I’m not a pirate”: STRONGHOLD: Definitive Edition for the first three days, they pleased the creators • IFIXIT found out how Apple succeeded to achieve the radical black color of the MacBook Pro c"&amp;"ase • Ton’s cryptocurrency wallet began to be added to Telegram around the world • Superduper: Gigaio SuperDupernode allows you to unite 64 accelerator Hardware News • Historical Society not to build a landing station for the Nuvem Internet Cabbel for the"&amp;" Nuvam. The place of the memorial is second World War • Galax released a rare single-sloping video card of the GeForce RTX 4060 Ti Max from 16 GB of memory • SPACEX DRAGON ship delivered to the ISS a laser space communication apparatus and a lot of other "&amp;"equipment • From the beginning of 2024, 160 state and other organizations will connect 160 state and other organizations to the all-Russian anti-attacked system. • Apple promised not to increase prices to compensate for its expenses on increasing environm"&amp;"ental friendliness • Tronsmart T7 Tronsmart T7 Lite and Tronsmart Bang wireless speakers will turn any party into a real light show • Ilife L100 robot and humid cleaning with the function of laser scanning • the parking lot will not be the parking lot. : "&amp;"Mars-proceedings and even a helicopter will continue to collect data even in the absence of a connection with the Earth • Ilife T10S robot vertebrae with a self-cleaning station and Ilife W90 wireless vacuum cleaner will add comfort and efficiency • Space"&amp;"X is preparing Starship for launch on November 17, but the approval of the regulator has not yet received • for successes SpaceX discovered the prohibitive injuries of workers and a disregard for safety precautions • Ugreen has released the Porta Porta Po"&amp;"rta Hitune Max 5 wireless headphones with noise reducing and a 255 W-off • TPL NXTPAPER 11-a tablet with a bright IPS -cryise • Cruise is forced to proceed to reduce the personnel of the unmanned taxi that has served it • In October, TSMC revenue grew by "&amp;"348 % immediately • One-Netbook introduced the external Radeon RX 7600M XT video card with a built-in SSD • AOC presented a 27-inch game game game The Q27G10E monitor with a resolution of 1440P and the update frequency of 180 Hz • Galax will release 50 ex"&amp;"clusive GEFORCE RTX 4090 20TH Anniversary Carbon Fiber Edition for $ 2880 Software News: Alan Wake 2 - thirteen years old! In a dark place! Review • New Article: Gamesblender No. 648: Opening PS5 SLIM AI in Microsoft games announcements Blizzcon 2023 and "&amp;"start of pre -order “Troubles” • Celebrating the first anniversary of the action of Warhammer 40000: Darktide for two months • Hackers published confidential data from Boeeing. Backing • Authors The cooperative action of The First Descendant promises to c"&amp;"orrect all the shortcomings of the beta testing revealed during the beta-testing • Apple iPhone 15 Pro learned to shoot a 3D video for the Vision Pro headset • Meta✴ offered Europeans Instagram✴ and Facebook✴ without advertising but it costs this. Evo • T"&amp;"urok 3: Shadow of Oblivion from Nightdive will be released later than the promised - a new release date is disclosed • New article: The Invincible - Flies with us. Рецензия • Критический успех: Baldur's Gate 3 не оставила шанса конкурентам на Golden Joyst"&amp;"ick Awards 2023 • IBM инвестирует $500 млн в ИИ-стартапы ориентированные на корпоративных клиентов • В 2024 году в Steam выйдет Exilium — атмосферный российский квест про экзорцизм и демонов с геймплеем в духе “How to get a neighbor” • From Shisha to Sagi"&amp;"ttarius: Troubles Developers explained how the images of Yuri Miloslavsky differ from the classes and what they give • The social network X was very lagging behind competitors in the moderation of the EU content • Microsoft forbade employees to use Chatgp"&amp;"t from security reasons The adventure action of Senua's Saga: Hellblade II will not be released earlier than mid -2024 • Binance will stop supporting deposits in Russian rubles from November 15 • Google will not be able to turn off the support of third -p"&amp;"arty COOKIE until 2025 New Article: Alan Wake 2 - thirteen years old ! In a dark place! Soft Review • New Article: Gamesblender No. 648: Opening PS5 SLIM AI in Microsoft games announcements BlizzCon 2023 and the start of “Troubles” pre-orders of Servernew"&amp;"s • Historical Society asked Google not to build a nuvem landing station on the site of the Second World War Memorial SOF T • celebration The first anniversary of the action of the Warhammer 40000: Darktide will stretch for two months Soft • Hackers publi"&amp;"shed confidential Boeing data after refusing Hard • Galax released a rare single -sloping GEFORCE RTX 4060 Ti Max with 16 Gbytes of Soft Memory • Authors of Cooperative Equen Acshen The Fir ST Descendant promise to fix all the shortcomings Hard detected d"&amp;"uring beta testing • The SpaceX Dragon ship delivered to the ISS the laser space communication apparatus and a mass of other Servernews equipment • From the beginning of 2024, 160 state and other SOFT organizations have been connected to the All-Russian A"&amp;"nti-Atam system • Apple iphone 15 Pro taught the 3D 3D 3D -Video for the Vision Pro headset-the first videos impressed the Hard • Apple journalists not to increase prices to compensate for their expenses to increase the environmental friendliness of Hard "&amp;"• Tronsmart T7 Tronsmart T7 Lite and TronSmart Bang wireless columns will turn any party into real Hard show. With iLife L100 for dry and humid cleaning with the function of laser scanning HARD • There will be no vacation: Mars-Roads and even a helicopter"&amp;" will continue to collect data even in the absence of the Hard land • Ilife T10S Robot Delivery and the Ilife W90 wireless vacuum cleaner will add comfort and efficiency of HARD • SpaceX prepares Starship for launch on November 17, but the approval of the"&amp;" regulator has not yet received Soft • META✴ offered Europeans Instagram✴ and Facebook✴ without advertising, but it costs a short -haired Hard • The SPACEX success has discovered an outrageous traumatism of employees and the impulsive attitude to the safe"&amp;"ty technique of Hard • Ugreen released Hitune Max 5 wireless headphones concentrator “10-in-1” wireless headphones with noise-disposal and a jumper at 25,000 mAh and 145 W Hard • TPL NXTPAPER 11-a tablet with a bright Hard IPS screen HARD taxi • In Octobe"&amp;"r, TSMC revenue consistently increased by 348 % Hard • One-Netbook introduced the external video card Radeon RX 7600M XT with the built-in slot M.2 for SSD Soft • Remaster Turok 3: Shadow of Oblivion from Nightdide will be released later-a new Release dat"&amp;"e Soft • New article: The Invincible - Flies with us. Soft Review • Critical Success: Baldur's Gate 3 did not leave a chance to competitors on Golden JoyStick Awards 2023 Hard • AOC introduced a 27-inch Q27G10P gaming monitor with a resolution of 1440P an"&amp;"d the frequency of 180 Hz Hard • Galax will release 50 exclusive GEFORCE video cards RTX 4090 20TH Anniversary Carbon Fiber Edition for $ 2880 Servernews • IBM invests $ 500 million in AI-Startapa oriented to corporate customers Hard • Products of PC and "&amp;"smartphones expect the excitement around the AI ​​will raise their sales Hard • Russian Progress helped the ISS dodging Soft cosmic garbage • in 2024 in Steam Exilium will be released - an atmospheric Russian quest about exorcism and demons with gameplay "&amp;"in the spirit of “how to get a neighbor” Hard • Valve: the technologies have not yet developed enough for the appearance of Steam Deck 2.0 Soft • from Shisha to Sagittarius: the developers of “Troubles” explained how the images of Yuri Miloslavsky differe"&amp;"d from classes and what they give Hard • Tests identified a narrow place in the new younger MacBook Pro - these are praised 8 GB of memory of Soft • Social network X is very lagging behind competitors in the moderation of content in the EU Hard • All Chin"&amp;"ese flagship smartphones will receive support for Hard • Intel investigated Millions of dollars in Stability AI-developer of AI artist Stable Diffusion Soft • Microsoft forbade employees to use Chatgpt for Soft Security Relations • Adventure fighter Senua"&amp;"'s Saga: Hellblade II will not be released earlier than the middle of 2024. BR 2023 119v Apple said 8 GB of RAM in MacBook Pro is similar to 16 GB in the usual PC 104Microsoft will not allow you to close OneDrive until the user explains the cause of 57 Ka"&amp;"mAZ showed an unmanned dump truck for Robokop - it will be sent to mine 42novy in the reviews of the game November 111, 2023The Innovin Cable - flies we have. Reviews of solid science fiction is what we love what we missed and what we practically do not e"&amp;"xpect from contemporary art. After all, now this is already an unmary retro. But the grains sown in us with classics will inevitably give out seedlings. And a game will appear on the basis of a seemingly not adapted novel by Stanislav Lem. The idea doomed"&amp;" to failure? Or vice versa, a chance to disrupt a jackpot in a sparse atmosphere of serious science fiction games? The software on November10, 2023 Robots are closed: 10 applications for automating tasks on Android using a smartphone, we often perform the"&amp;" same actions to delegate the implementation of which can be specialized programs. They are able to replace a person in terms of routine tasks and release the time for more important matters smartphones on November 09, 2023 Oppo Find N3 Review: Flexible s"&amp;"martphone with the best camera Folding smartphones with flexible screens appeared long ago and already firmly settled on the market. Despite the initial skepticism, they become more and more popular and manufacturers not only enter this race but also cons"&amp;"tantly improve devices. A striking example of this is the company Oppo as if only yesterday made its first folding smartphone and already producing it the third generation with very detailed work on the mistakes of the laptop and PC08 on November 2023 com"&amp;"pensation of the month - November 2023 The penalty of the “Computer of the month” is again dedicated to answers to often Questions and criticism from our readers. We have selected relevant interesting and to some extent provocative comments related to gam"&amp;"e assemblies and rubric as a whole on November 107, 2023, MSI MSI MPG B650 Carbon WiFi: when there is everything that you need MSI MPG B650 Carbon WiFi-an example of which may be on the basis A system unit is assembled. It will be a game assembly or works"&amp;"tation - to solve its owner. In any case, he will receive the device that is relevant throughout the life cycle of the AM5 PRODUMSORS and memory on November06, 2023 Is it true that 64-gbet sets of DDR5 is faster than 32 gB? We check the example of the Pat"&amp;"riot Viper Venom DDR5-6400 2 × 32 GB of the DDR5 modules with a volume of 32 GB, unlike 16-GB of brothers, have a double-ranking architecture. But how does this affect performance? We understand comparing with each other in characteristics the DDR5-6400 s"&amp;"ets with a volume of 32 and 64 GB of the game 05 November 2023Song of Nunu: A League of Legends Story-the legends of the north. Review of multi -sized League of Legends continues to expand tirelessly. This time, we have a fascinating game-adventure of an "&amp;"inseparable “tank” tandem Nunu and Vilumpa, which is not shy about spying on God of War and Uncharted. How entertaining it turned out to be learned from our review of the game 04 November 2023Gamesblender No. 647: Team Spirit Championship dismissal at Son"&amp;"y Capcom against mods and Avatar: Frontiers of Pandora with you Gamesblender Video Dazhah of the Game Industry News from 3Dnews.ru. Today we will tell you how Capcom did not please the mods what kind of nuisance awaits the owners of the Xbox and where the"&amp;" Yakut The Day Before Games is disappeared on November04, 2023THE FINALS - the coming hit from people in love with shooters. A preliminary review in the Steam alone, the beta version of The Finals tested hundreds of thousands of players, and yet it is als"&amp;"o available on consoles. What did the coming shooter deserve such attention and did he deserve? For a while we broke away from the game and tell how it is good smartphones on November03, 2023 ITEL S23+: the most inexpensive smartphone with a curved OLED s"&amp;"creen we talked a lot about the smartphones of two brands Transion Holdings-Tecno and Infinix. But the third brand was not concerned before this day. Well, the time has come and Itel-and we will begin to get acquainted immediately with the local flagship "&amp;"of the ITEL S23+ model+ pulling into the budget segment, the elements of the BP case and cooling on November02, 2023 Overview of the 1stPlayer NGDP HA-1000BA3 power supply: white luxury NGDP-expensive power supply units built On the branded hardware platf"&amp;"orm. But they fully fulfill their price with certification of 80 Plus Platinum and cables in the braids of the Maternal board, November 101, 2023 Assus Rog Crosshair X670e Hero Maternal board: Welcome to the family such as ASUS ROG Crosshair X670E Hero us"&amp;"ually bought ilter. And for a long time. AMD platforms are famous for their long -term support - there are all the prerequisites that with AM5 there will also be smartphones on October 31, 2023, the Infinix Zero 30 4G Review: a thoroughbred smartphone in "&amp;"a holy place does not have a place in the void. Let the expected outflow of brands from the smartphone market over the past year and a half has not happened, but some place on it (primarily at the expense of Samsung) was released-and now, according to the"&amp;" law, Archimedes is filled. Transsion Holdings and in particular the Infinix brand is especially trying. The new Zero 30 4G is positioned as a kind of flagship - let's see how it is good for software on October30, 2023VO inclusive: 15 little -known applie"&amp;"d programs from the Windows set in the bowels of the Windows operating system hidden many useful applications and the existence of which sometimes even the most experienced users are not aware of the existence. We open the cards and talk about the softwar"&amp;"e built into the platform, which is exactly worth taking a note of the game on October 29, 2023 Marvel’s Spider-Man 2-two friendly neighbors. Review per day, the new Marvel’s Spider-Man 2 diverged two million copies. After the deafening success of the fir"&amp;"st part, it was expected, but did the novelty deserve such sales or the audience just bought a familiar brand? The answer is obvious, but we still talk about the game in the game’s review October 28, 2023Gamesblender No. 646: horrors of optimization of CI"&amp;"TIES: SkyLines II show “The plot” Starcitizen ARK: Survival Ascented and the heir to Planet Annihilation with you Gamesblender The gesture of news of the gaming industry from 3dnews.ru. Somewhere the first frosts were already hit and slightly zahalloidige"&amp;" glasses, which means November is close. In this issue, we will plunge into the horrors of the optimization of the CITIES: SkyLines II will tell you why the “green” Steam and arrange a particularly cruel verbal-semantic slasher of the game on October28, 2"&amp;"023station to Station-far from the bustle. Review of the train of monstrous autumn releases has already gained move. I would like to take a breath from all this noise in some pacifying indie game. And we were lucky. The location of the station is a cute p"&amp;"uzzle about the Station To Station Off Subnanka on October 27, 2023Maging of hard drives: how many terabytes will fit in 35 inches? Bully slow, energetically voracious - what kind of derogatory epithets are not used by SSD adherents to the old good magnet"&amp;"ic disc drivers! However, are there so old technologies of modern HDD technologies-and why do nand-based data carriers do not replace the Winchesters in any way from the Data Centers or from the home/office NAS nor from desktop PCs? Smartphones October 26"&amp;", 2023 Honor 90 Lite: A caring smartphone, we are used to that smartphone manufacturers trying to highlight their products on the backdrop of competitors rely on the camera sometimes on the design sometimes for autonomy. Honor 90 Lite stands out by its sa"&amp;"fety (not forgetting the truth about other elements). What is this expressed - let's talk in the review of the BP case and cooling October25, 2023 Overview and testing of the APNX C1 case: No to the screws! In our test laboratory there is an original and "&amp;"roomy case with fast -fast panels by four pre -installed fans with dust filters illumination and the possibility of a vertical installation of a video card. Let's try to understand the features of its design. We test the effectiveness of cooling and measu"&amp;"re the noise level reviews 26.10.2023 Honor 90 Lite: Careful smartphone 10.10.2023 Rent and testing of the APNX C1 case: No screws! 10.24.2023 computer of the month Special issue. What is more profitable to buy in the era ""dollar at 100"": a gaming lapto"&amp;"p or a system unit? 10/23/2023 Video cards AMD Radeon RX 7700 XT and Radeon RX 7800 XT: Step to normality 10.10.2023LORLORDS of the FALEN - attempt number two. Review on 10.2023Gamesblender No. 645: Closing the Microsoft and Activision Blizzard transactio"&amp;"n Death Death and Non-Make Lollipop Chainsaw 21.10.2023Forza Motorsport (2023)-insomnia. Review on 10/20/2023 The review of the Apple iPhone 15 Pro Max smartphone: why are we giving three hundred thousand? 19.10.2023 Harzor of Huawei Freebuds Pro 3: when "&amp;"you don’t need to change something on 10/18/2023 Tecno Phantom V Flip: how flexible smartphones become massive on 10.10.2023Top-10 smartphones up to 20 thousand rubles (2023) 16.10.2023 Beware of 48 GB of DDR5 sets? We understand the example of G.Skill Tr"&amp;"ident Z5 RGB DDR5-6400 CL40 2 × 24 GB 15.10.2023Call of Duty Modern Warfare 3 (2023)-and is that all? Preliminary review 14.10.2023Gamesblender No. 644: Thin PS5 Start of the QueSt 3 Departure of the head of the Unity Cyberpunk 2 and Return of Commandos 1"&amp;"4.10.2023assin’s Creed Mirage - they received what they received. Reviews 13.10.2023Microelectromechanics - the right path to “smart dust”? 12.10.2023 UwQHD monitor MSI MSI MSI 342C QD-OLED: The holiday comes to us 10.10.2023 REALME SMARTFON 11: on the ba"&amp;"lance 10.10.2023 Windows 11-set points over ""I"" 09.10.2023 Group testing 42 video cards in Starfield: RED Light Green GPU 08.10.2023Gamesblender No. 643: launch of AMD FSR 3.0 Problems Counter-Strike 2 Upcetic Epic Games and Retro-Anons Realms Deep 2023"&amp;" 08.10.2023COCOCON-into the piggy bank of the best adventure puzzles. Review 07.10.2023CYBERPUNK 2077: Phantom Liberty - life contrary. Review 06.10.2023 ADATA Legend 970 1 TB: PCIE 5.0-drive with a motor 05.10.2023 Maibenben P415 laptop review: I wonder "&amp;"how it may not be a cool authorization cabinet $ eth $ ltc $ ltc $ show Putnowagutorize the name of the user: and Password: Involistrationvideo on 3DNEWS Subscribe activities ""; About the website of the website of the site of the Zavkarekopiratescravers "&amp;"are posted in Hostkey © 1997–2023 Electronic periodical ""3 Dnyus"" | Certificate of registration of the media EL FS 77-2224 Vydananano by the Federal Service for Supervision of Compliance with the Legislation in the field of mass communications and the p"&amp;"rotection of the cultural heritage of citation of the document Link to the site with the indication of the author is required. The complete borrowing of the document is a violation of the Russian and international legislation and is possible only with the"&amp;" consent of the 3DNews editorial office. Window-Ned-KontaktaktiSkhrema School of Multitrands 🔥 Partia of multitles for hackers Flipper Zero for $ 200 thousand. Destroyed German customs and destroyed its scientific transistors from the water-they will ope"&amp;"n the path to processors with a frequency of more than 1 TCC “It looks very impressive: enthusiasts added the tracing of rays to Ho. Alf-Life 2 and Max Payne using the Portal with RTX Pubility of the launch of the world's first methane orbital missile “Zh"&amp;"utse-2”, China failed, the 14 satellite head Binance stated that the situation with the withdrawal of funds was stabilized but the prediction of the “Boldery” Prescription Article: Alan WAKE 2-thirteen-thirteen He was waiting for years! In a dark place! R"&amp;"eview 7 h. New article: Gamesblender No. 648: Opening PS5 SLIM AI in Microsoft Games Blizzcon 2023 and Start of pre -orders of “Troubles” 7 h. The first anniversary of the action of the action Warhammer 40000: Darktide will be extended for two months 13 h"&amp;"ours of 13 hours Oeing After the discharge of 14 hours, the authors of the cooperative action of The First Descendant promise to correct all the shortcomings of the 14-t at the beta testing of 14 teaspoon iPhone 15 Pro learned to shoot a 3D video for the "&amp;"Vision Pro headset-the first videos impressed the 4th tp VK Cloud increased in 9 months of 2023 by 58 % 16 h. Meta offered Europeans Instagram and Facebook without advertising, but it is not a time of 19 h. Ton's Crippical Wallet began to add 20 hours of "&amp;"Turok 3: Shadow of oblivion from the world. Nightdive will be released later than the promised one-the new release date is disclosed 11-11 00: 26 Superduper: Gigaio SuperDupernode allows you to unite by PCIE 64 accelerator 7 h. The Hogle Hoogle did not bu"&amp;"ild a landing station for the NuVEM Internet Cabel at the Memorial of the Second World War 9. Galax has released a rare monosyllabic video card of the GeForce RTX 4060 Ti Max with 16 GB of memory of 14 h. SPACEX DRAGON brought to the ISS a laser space com"&amp;"munication apparatus and a lot of other equipment of the beginning of 2024 to the All-Russian DDOS ATOM system will connect 160 state and other state and other state organizations 16 h. Mlperf: Intel improved the performance of the Gaudi2 but the leader r"&amp;"emains NVIDIA H100 16 h. The quarterly revenue of the SUPERMICRO has increased, but the net profit fell 16 tspls not to increase prices to compensate for its expenses for 17 hours of Tronsmart TronSmart. T7 Lite and Tronsmart Bang will turn any party into"&amp;" a real light show of 17 h. In the iFixit, they found out how Apple managed to achieve a radically black MacBook Pro hull.")</f>
        <v>All the most interesting of the world of the IT industry 🇷🇺🇰🇿 Today is November 12, 2023 18+MWC 201820computExifa 2018, SitereklamazklakkontaktattovostovostovostovostovostovostovostiovostiOFSANALIDICAVIDOCAVUK and acoustics of the BP and oclaigent aMaternipers and projectors of the electronical power supply system and pmperiferioplanshtyta support for processors and memory and communications SMARARTFONAURALARY DOCTIONS AND VIDEO CART RSS/Social Networks The distribution of vacancies [New!] The main survey dozens of massive stars are hastily leaving our galaxy and now scientists have found out why vast astrometric observations of the sky began in the early 2000s that gave an accurate idea of ​​the speed and direction of the stars. We began to see the universe around us in dynamics. About 20 years ago, the first star leaving our galaxy was discovered. It turned out that there were a lot of stars-stars and most of them showed the study in the early Universe a reduced copy of our galaxy-scientists do not understand how the James Webb space telescope appeared there, which has not yet lended to scientific explanation. The new discovery was the detection of the Galaxy very similar to the Milky Way of only 2 billion years after the Big Bang. Such a spiral galaxy simply could not be in that place and at that time astronomers declare. She simply would not have time to develop to such perfect forms of Alan Wake 2 - he waited for thirteen years! In a dark place! The Review of the Return of Alan Waika, many players were waiting for their breath. Each Easter in Control, hinting at the fate of the famous writer, became a ray of hope. And with the release of AWE, the studio almost officially confirmed - it will definitely return! Thirteen years later, Alana brought to the shore of Lake Koldron. Was it worth waiting for him? Definitely yes ... Gamesblender No. 648: PS5 Slim opening in Microsoft Games BlizzCon 2023 Announcements and the start of “Troubles” with you Gamesblender Video Dazhest of the News of the Game Industry from 3Dnews.ru. Today we will tell you what we showed on BlizzCon and when to wait for the new Mass Effect and also look inside the lightweight PlayStation 5 model. Let's go! In trend • On Intel, they sued billions of processors with a defect of which she knew and did nothing • “Thank you to developers now I’m not a pirate”: STRONGHOLD: Definitive Edition for the first three days, they pleased the creators • IFIXIT found out how Apple succeeded to achieve the radical black color of the MacBook Pro case • Ton’s cryptocurrency wallet began to be added to Telegram around the world • Superduper: Gigaio SuperDupernode allows you to unite 64 accelerator Hardware News • Historical Society not to build a landing station for the Nuvem Internet Cabbel for the Nuvam. The place of the memorial is second World War • Galax released a rare single-sloping video card of the GeForce RTX 4060 Ti Max from 16 GB of memory • SPACEX DRAGON ship delivered to the ISS a laser space communication apparatus and a lot of other equipment • From the beginning of 2024, 160 state and other organizations will connect 160 state and other organizations to the all-Russian anti-attacked system. • Apple promised not to increase prices to compensate for its expenses on increasing environmental friendliness • Tronsmart T7 Tronsmart T7 Lite and Tronsmart Bang wireless speakers will turn any party into a real light show • Ilife L100 robot and humid cleaning with the function of laser scanning • the parking lot will not be the parking lot. : Mars-proceedings and even a helicopter will continue to collect data even in the absence of a connection with the Earth • Ilife T10S robot vertebrae with a self-cleaning station and Ilife W90 wireless vacuum cleaner will add comfort and efficiency • SpaceX is preparing Starship for launch on November 17, but the approval of the regulator has not yet received • for successes SpaceX discovered the prohibitive injuries of workers and a disregard for safety precautions • Ugreen has released the Porta Porta Porta Hitune Max 5 wireless headphones with noise reducing and a 255 W-off • TPL NXTPAPER 11-a tablet with a bright IPS -cryise • Cruise is forced to proceed to reduce the personnel of the unmanned taxi that has served it • In October, TSMC revenue grew by 348 % immediately • One-Netbook introduced the external Radeon RX 7600M XT video card with a built-in SSD • AOC presented a 27-inch game game game The Q27G10E monitor with a resolution of 1440P and the update frequency of 180 Hz • Galax will release 50 exclusive GEFORCE RTX 4090 20TH Anniversary Carbon Fiber Edition for $ 2880 Software News: Alan Wake 2 - thirteen years old! In a dark place! Review • New Article: Gamesblender No. 648: Opening PS5 SLIM AI in Microsoft games announcements Blizzcon 2023 and start of pre -order “Troubles” • Celebrating the first anniversary of the action of Warhammer 40000: Darktide for two months • Hackers published confidential data from Boeeing. Backing • Authors The cooperative action of The First Descendant promises to correct all the shortcomings of the beta testing revealed during the beta-testing • Apple iPhone 15 Pro learned to shoot a 3D video for the Vision Pro headset • Meta✴ offered Europeans Instagram✴ and Facebook✴ without advertising but it costs this. Evo • Turok 3: Shadow of Oblivion from Nightdive will be released later than the promised - a new release date is disclosed • New article: The Invincible - Flies with us. Рецензия • Критический успех: Baldur's Gate 3 не оставила шанса конкурентам на Golden Joystick Awards 2023 • IBM инвестирует $500 млн в ИИ-стартапы ориентированные на корпоративных клиентов • В 2024 году в Steam выйдет Exilium — атмосферный российский квест про экзорцизм и демонов с геймплеем в духе “How to get a neighbor” • From Shisha to Sagittarius: Troubles Developers explained how the images of Yuri Miloslavsky differ from the classes and what they give • The social network X was very lagging behind competitors in the moderation of the EU content • Microsoft forbade employees to use Chatgpt from security reasons The adventure action of Senua's Saga: Hellblade II will not be released earlier than mid -2024 • Binance will stop supporting deposits in Russian rubles from November 15 • Google will not be able to turn off the support of third -party COOKIE until 2025 New Article: Alan Wake 2 - thirteen years old ! In a dark place! Soft Review • New Article: Gamesblender No. 648: Opening PS5 SLIM AI in Microsoft games announcements BlizzCon 2023 and the start of “Troubles” pre-orders of Servernews • Historical Society asked Google not to build a nuvem landing station on the site of the Second World War Memorial SOF T • celebration The first anniversary of the action of the Warhammer 40000: Darktide will stretch for two months Soft • Hackers published confidential Boeing data after refusing Hard • Galax released a rare single -sloping GEFORCE RTX 4060 Ti Max with 16 Gbytes of Soft Memory • Authors of Cooperative Equen Acshen The Fir ST Descendant promise to fix all the shortcomings Hard detected during beta testing • The SpaceX Dragon ship delivered to the ISS the laser space communication apparatus and a mass of other Servernews equipment • From the beginning of 2024, 160 state and other SOFT organizations have been connected to the All-Russian Anti-Atam system • Apple iphone 15 Pro taught the 3D 3D 3D -Video for the Vision Pro headset-the first videos impressed the Hard • Apple journalists not to increase prices to compensate for their expenses to increase the environmental friendliness of Hard • Tronsmart T7 Tronsmart T7 Lite and TronSmart Bang wireless columns will turn any party into real Hard show. With iLife L100 for dry and humid cleaning with the function of laser scanning HARD • There will be no vacation: Mars-Roads and even a helicopter will continue to collect data even in the absence of the Hard land • Ilife T10S Robot Delivery and the Ilife W90 wireless vacuum cleaner will add comfort and efficiency of HARD • SpaceX prepares Starship for launch on November 17, but the approval of the regulator has not yet received Soft • META✴ offered Europeans Instagram✴ and Facebook✴ without advertising, but it costs a short -haired Hard • The SPACEX success has discovered an outrageous traumatism of employees and the impulsive attitude to the safety technique of Hard • Ugreen released Hitune Max 5 wireless headphones concentrator “10-in-1” wireless headphones with noise-disposal and a jumper at 25,000 mAh and 145 W Hard • TPL NXTPAPER 11-a tablet with a bright Hard IPS screen HARD taxi • In October, TSMC revenue consistently increased by 348 % Hard • One-Netbook introduced the external video card Radeon RX 7600M XT with the built-in slot M.2 for SSD Soft • Remaster Turok 3: Shadow of Oblivion from Nightdide will be released later-a new Release date Soft • New article: The Invincible - Flies with us. Soft Review • Critical Success: Baldur's Gate 3 did not leave a chance to competitors on Golden JoyStick Awards 2023 Hard • AOC introduced a 27-inch Q27G10P gaming monitor with a resolution of 1440P and the frequency of 180 Hz Hard • Galax will release 50 exclusive GEFORCE video cards RTX 4090 20TH Anniversary Carbon Fiber Edition for $ 2880 Servernews • IBM invests $ 500 million in AI-Startapa oriented to corporate customers Hard • Products of PC and smartphones expect the excitement around the AI ​​will raise their sales Hard • Russian Progress helped the ISS dodging Soft cosmic garbage • in 2024 in Steam Exilium will be released - an atmospheric Russian quest about exorcism and demons with gameplay in the spirit of “how to get a neighbor” Hard • Valve: the technologies have not yet developed enough for the appearance of Steam Deck 2.0 Soft • from Shisha to Sagittarius: the developers of “Troubles” explained how the images of Yuri Miloslavsky differed from classes and what they give Hard • Tests identified a narrow place in the new younger MacBook Pro - these are praised 8 GB of memory of Soft • Social network X is very lagging behind competitors in the moderation of content in the EU Hard • All Chinese flagship smartphones will receive support for Hard • Intel investigated Millions of dollars in Stability AI-developer of AI artist Stable Diffusion Soft • Microsoft forbade employees to use Chatgpt for Soft Security Relations • Adventure fighter Senua's Saga: Hellblade II will not be released earlier than the middle of 2024. BR 2023 119v Apple said 8 GB of RAM in MacBook Pro is similar to 16 GB in the usual PC 104Microsoft will not allow you to close OneDrive until the user explains the cause of 57 KamAZ showed an unmanned dump truck for Robokop - it will be sent to mine 42novy in the reviews of the game November 111, 2023The Innovin Cable - flies we have. Reviews of solid science fiction is what we love what we missed and what we practically do not expect from contemporary art. After all, now this is already an unmary retro. But the grains sown in us with classics will inevitably give out seedlings. And a game will appear on the basis of a seemingly not adapted novel by Stanislav Lem. The idea doomed to failure? Or vice versa, a chance to disrupt a jackpot in a sparse atmosphere of serious science fiction games? The software on November10, 2023 Robots are closed: 10 applications for automating tasks on Android using a smartphone, we often perform the same actions to delegate the implementation of which can be specialized programs. They are able to replace a person in terms of routine tasks and release the time for more important matters smartphones on November 09, 2023 Oppo Find N3 Review: Flexible smartphone with the best camera Folding smartphones with flexible screens appeared long ago and already firmly settled on the market. Despite the initial skepticism, they become more and more popular and manufacturers not only enter this race but also constantly improve devices. A striking example of this is the company Oppo as if only yesterday made its first folding smartphone and already producing it the third generation with very detailed work on the mistakes of the laptop and PC08 on November 2023 compensation of the month - November 2023 The penalty of the “Computer of the month” is again dedicated to answers to often Questions and criticism from our readers. We have selected relevant interesting and to some extent provocative comments related to game assemblies and rubric as a whole on November 107, 2023, MSI MSI MPG B650 Carbon WiFi: when there is everything that you need MSI MPG B650 Carbon WiFi-an example of which may be on the basis A system unit is assembled. It will be a game assembly or workstation - to solve its owner. In any case, he will receive the device that is relevant throughout the life cycle of the AM5 PRODUMSORS and memory on November06, 2023 Is it true that 64-gbet sets of DDR5 is faster than 32 gB? We check the example of the Patriot Viper Venom DDR5-6400 2 × 32 GB of the DDR5 modules with a volume of 32 GB, unlike 16-GB of brothers, have a double-ranking architecture. But how does this affect performance? We understand comparing with each other in characteristics the DDR5-6400 sets with a volume of 32 and 64 GB of the game 05 November 2023Song of Nunu: A League of Legends Story-the legends of the north. Review of multi -sized League of Legends continues to expand tirelessly. This time, we have a fascinating game-adventure of an inseparable “tank” tandem Nunu and Vilumpa, which is not shy about spying on God of War and Uncharted. How entertaining it turned out to be learned from our review of the game 04 November 2023Gamesblender No. 647: Team Spirit Championship dismissal at Sony Capcom against mods and Avatar: Frontiers of Pandora with you Gamesblender Video Dazhah of the Game Industry News from 3Dnews.ru. Today we will tell you how Capcom did not please the mods what kind of nuisance awaits the owners of the Xbox and where the Yakut The Day Before Games is disappeared on November04, 2023THE FINALS - the coming hit from people in love with shooters. A preliminary review in the Steam alone, the beta version of The Finals tested hundreds of thousands of players, and yet it is also available on consoles. What did the coming shooter deserve such attention and did he deserve? For a while we broke away from the game and tell how it is good smartphones on November03, 2023 ITEL S23+: the most inexpensive smartphone with a curved OLED screen we talked a lot about the smartphones of two brands Transion Holdings-Tecno and Infinix. But the third brand was not concerned before this day. Well, the time has come and Itel-and we will begin to get acquainted immediately with the local flagship of the ITEL S23+ model+ pulling into the budget segment, the elements of the BP case and cooling on November02, 2023 Overview of the 1stPlayer NGDP HA-1000BA3 power supply: white luxury NGDP-expensive power supply units built On the branded hardware platform. But they fully fulfill their price with certification of 80 Plus Platinum and cables in the braids of the Maternal board, November 101, 2023 Assus Rog Crosshair X670e Hero Maternal board: Welcome to the family such as ASUS ROG Crosshair X670E Hero usually bought ilter. And for a long time. AMD platforms are famous for their long -term support - there are all the prerequisites that with AM5 there will also be smartphones on October 31, 2023, the Infinix Zero 30 4G Review: a thoroughbred smartphone in a holy place does not have a place in the void. Let the expected outflow of brands from the smartphone market over the past year and a half has not happened, but some place on it (primarily at the expense of Samsung) was released-and now, according to the law, Archimedes is filled. Transsion Holdings and in particular the Infinix brand is especially trying. The new Zero 30 4G is positioned as a kind of flagship - let's see how it is good for software on October30, 2023VO inclusive: 15 little -known applied programs from the Windows set in the bowels of the Windows operating system hidden many useful applications and the existence of which sometimes even the most experienced users are not aware of the existence. We open the cards and talk about the software built into the platform, which is exactly worth taking a note of the game on October 29, 2023 Marvel’s Spider-Man 2-two friendly neighbors. Review per day, the new Marvel’s Spider-Man 2 diverged two million copies. After the deafening success of the first part, it was expected, but did the novelty deserve such sales or the audience just bought a familiar brand? The answer is obvious, but we still talk about the game in the game’s review October 28, 2023Gamesblender No. 646: horrors of optimization of CITIES: SkyLines II show “The plot” Starcitizen ARK: Survival Ascented and the heir to Planet Annihilation with you Gamesblender The gesture of news of the gaming industry from 3dnews.ru. Somewhere the first frosts were already hit and slightly zahalloidige glasses, which means November is close. In this issue, we will plunge into the horrors of the optimization of the CITIES: SkyLines II will tell you why the “green” Steam and arrange a particularly cruel verbal-semantic slasher of the game on October28, 2023station to Station-far from the bustle. Review of the train of monstrous autumn releases has already gained move. I would like to take a breath from all this noise in some pacifying indie game. And we were lucky. The location of the station is a cute puzzle about the Station To Station Off Subnanka on October 27, 2023Maging of hard drives: how many terabytes will fit in 35 inches? Bully slow, energetically voracious - what kind of derogatory epithets are not used by SSD adherents to the old good magnetic disc drivers! However, are there so old technologies of modern HDD technologies-and why do nand-based data carriers do not replace the Winchesters in any way from the Data Centers or from the home/office NAS nor from desktop PCs? Smartphones October 26, 2023 Honor 90 Lite: A caring smartphone, we are used to that smartphone manufacturers trying to highlight their products on the backdrop of competitors rely on the camera sometimes on the design sometimes for autonomy. Honor 90 Lite stands out by its safety (not forgetting the truth about other elements). What is this expressed - let's talk in the review of the BP case and cooling October25, 2023 Overview and testing of the APNX C1 case: No to the screws! In our test laboratory there is an original and roomy case with fast -fast panels by four pre -installed fans with dust filters illumination and the possibility of a vertical installation of a video card. Let's try to understand the features of its design. We test the effectiveness of cooling and measure the noise level reviews 26.10.2023 Honor 90 Lite: Careful smartphone 10.10.2023 Rent and testing of the APNX C1 case: No screws! 10.24.2023 computer of the month Special issue. What is more profitable to buy in the era "dollar at 100": a gaming laptop or a system unit? 10/23/2023 Video cards AMD Radeon RX 7700 XT and Radeon RX 7800 XT: Step to normality 10.10.2023LORLORDS of the FALEN - attempt number two. Review on 10.2023Gamesblender No. 645: Closing the Microsoft and Activision Blizzard transaction Death Death and Non-Make Lollipop Chainsaw 21.10.2023Forza Motorsport (2023)-insomnia. Review on 10/20/2023 The review of the Apple iPhone 15 Pro Max smartphone: why are we giving three hundred thousand? 19.10.2023 Harzor of Huawei Freebuds Pro 3: when you don’t need to change something on 10/18/2023 Tecno Phantom V Flip: how flexible smartphones become massive on 10.10.2023Top-10 smartphones up to 20 thousand rubles (2023) 16.10.2023 Beware of 48 GB of DDR5 sets? We understand the example of G.Skill Trident Z5 RGB DDR5-6400 CL40 2 × 24 GB 15.10.2023Call of Duty Modern Warfare 3 (2023)-and is that all? Preliminary review 14.10.2023Gamesblender No. 644: Thin PS5 Start of the QueSt 3 Departure of the head of the Unity Cyberpunk 2 and Return of Commandos 14.10.2023assin’s Creed Mirage - they received what they received. Reviews 13.10.2023Microelectromechanics - the right path to “smart dust”? 12.10.2023 UwQHD monitor MSI MSI MSI 342C QD-OLED: The holiday comes to us 10.10.2023 REALME SMARTFON 11: on the balance 10.10.2023 Windows 11-set points over "I" 09.10.2023 Group testing 42 video cards in Starfield: RED Light Green GPU 08.10.2023Gamesblender No. 643: launch of AMD FSR 3.0 Problems Counter-Strike 2 Upcetic Epic Games and Retro-Anons Realms Deep 2023 08.10.2023COCOCON-into the piggy bank of the best adventure puzzles. Review 07.10.2023CYBERPUNK 2077: Phantom Liberty - life contrary. Review 06.10.2023 ADATA Legend 970 1 TB: PCIE 5.0-drive with a motor 05.10.2023 Maibenben P415 laptop review: I wonder how it may not be a cool authorization cabinet $ eth $ ltc $ ltc $ show Putnowagutorize the name of the user: and Password: Involistrationvideo on 3DNEWS Subscribe activities "; About the website of the website of the site of the Zavkarekopiratescravers are posted in Hostkey © 1997–2023 Electronic periodical "3 Dnyus" | Certificate of registration of the media EL FS 77-2224 Vydananano by the Federal Service for Supervision of Compliance with the Legislation in the field of mass communications and the protection of the cultural heritage of citation of the document Link to the site with the indication of the author is required. The complete borrowing of the document is a violation of the Russian and international legislation and is possible only with the consent of the 3DNews editorial office. Window-Ned-KontaktaktiSkhrema School of Multitrands 🔥 Partia of multitles for hackers Flipper Zero for $ 200 thousand. Destroyed German customs and destroyed its scientific transistors from the water-they will open the path to processors with a frequency of more than 1 TCC “It looks very impressive: enthusiasts added the tracing of rays to Ho. Alf-Life 2 and Max Payne using the Portal with RTX Pubility of the launch of the world's first methane orbital missile “Zhutse-2”, China failed, the 14 satellite head Binance stated that the situation with the withdrawal of funds was stabilized but the prediction of the “Boldery” Prescription Article: Alan WAKE 2-thirteen-thirteen He was waiting for years! In a dark place! Review 7 h. New article: Gamesblender No. 648: Opening PS5 SLIM AI in Microsoft Games Blizzcon 2023 and Start of pre -orders of “Troubles” 7 h. The first anniversary of the action of the action Warhammer 40000: Darktide will be extended for two months 13 hours of 13 hours Oeing After the discharge of 14 hours, the authors of the cooperative action of The First Descendant promise to correct all the shortcomings of the 14-t at the beta testing of 14 teaspoon iPhone 15 Pro learned to shoot a 3D video for the Vision Pro headset-the first videos impressed the 4th tp VK Cloud increased in 9 months of 2023 by 58 % 16 h. Meta offered Europeans Instagram and Facebook without advertising, but it is not a time of 19 h. Ton's Crippical Wallet began to add 20 hours of Turok 3: Shadow of oblivion from the world. Nightdive will be released later than the promised one-the new release date is disclosed 11-11 00: 26 Superduper: Gigaio SuperDupernode allows you to unite by PCIE 64 accelerator 7 h. The Hogle Hoogle did not build a landing station for the NuVEM Internet Cabel at the Memorial of the Second World War 9. Galax has released a rare monosyllabic video card of the GeForce RTX 4060 Ti Max with 16 GB of memory of 14 h. SPACEX DRAGON brought to the ISS a laser space communication apparatus and a lot of other equipment of the beginning of 2024 to the All-Russian DDOS ATOM system will connect 160 state and other state and other state organizations 16 h. Mlperf: Intel improved the performance of the Gaudi2 but the leader remains NVIDIA H100 16 h. The quarterly revenue of the SUPERMICRO has increased, but the net profit fell 16 tspls not to increase prices to compensate for its expenses for 17 hours of Tronsmart TronSmart. T7 Lite and Tronsmart Bang will turn any party into a real light show of 17 h. In the iFixit, they found out how Apple managed to achieve a radically black MacBook Pro hull.</v>
      </c>
    </row>
    <row r="28">
      <c r="A28" s="1" t="s">
        <v>54</v>
      </c>
      <c r="B28" s="1" t="s">
        <v>117</v>
      </c>
      <c r="C28" s="1" t="s">
        <v>118</v>
      </c>
      <c r="D28" s="1">
        <v>15.0</v>
      </c>
      <c r="E28" s="4" t="s">
        <v>119</v>
      </c>
      <c r="F28" s="1" t="s">
        <v>16</v>
      </c>
      <c r="G28" s="1" t="s">
        <v>120</v>
      </c>
      <c r="H28" s="4" t="s">
        <v>121</v>
      </c>
      <c r="I28" s="2">
        <v>3.0</v>
      </c>
      <c r="J28" s="5" t="str">
        <f>IFERROR(__xludf.DUMMYFUNCTION("GOOGLETRANSLATE(A28)"),"chatgpt")</f>
        <v>chatgpt</v>
      </c>
      <c r="K28" s="6" t="str">
        <f>IFERROR(__xludf.DUMMYFUNCTION("GOOGLETRANSLATE(B28)"),"ChatGPT - Apps on Google Play")</f>
        <v>ChatGPT - Apps on Google Play</v>
      </c>
      <c r="L28" s="5" t="str">
        <f>IFERROR(__xludf.DUMMYFUNCTION("GOOGLETRANSLATE(C28)"),"With ChatGPT, find instant answers, professional input, and creative inspiration.")</f>
        <v>With ChatGPT, find instant answers, professional input, and creative inspiration.</v>
      </c>
      <c r="M28" s="5" t="str">
        <f>IFERROR(__xludf.DUMMYFUNCTION("GOOGLETRANSLATE(G28)"),"Android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9">
      <c r="A29" s="1" t="s">
        <v>54</v>
      </c>
      <c r="B29" s="1" t="s">
        <v>122</v>
      </c>
      <c r="C29" s="1" t="s">
        <v>123</v>
      </c>
      <c r="D29" s="1">
        <v>16.0</v>
      </c>
      <c r="E29" s="4" t="s">
        <v>124</v>
      </c>
      <c r="F29" s="1" t="s">
        <v>16</v>
      </c>
      <c r="G29" s="1" t="s">
        <v>125</v>
      </c>
      <c r="H29" s="4" t="s">
        <v>126</v>
      </c>
      <c r="I29" s="2">
        <v>1.0</v>
      </c>
      <c r="J29" s="5" t="str">
        <f>IFERROR(__xludf.DUMMYFUNCTION("GOOGLETRANSLATE(A29)"),"chatgpt")</f>
        <v>chatgpt</v>
      </c>
      <c r="K29" s="6" t="str">
        <f>IFERROR(__xludf.DUMMYFUNCTION("GOOGLETRANSLATE(B29)"),"What is ChatGPT chat boot and how to use it from ...")</f>
        <v>What is ChatGPT chat boot and how to use it from ...</v>
      </c>
      <c r="L29" s="5" t="str">
        <f>IFERROR(__xludf.DUMMYFUNCTION("GOOGLETRANSLATE(C29)"),"Jul 15. 2023. -")</f>
        <v>Jul 15. 2023. -</v>
      </c>
      <c r="M29" s="5" t="str">
        <f>IFERROR(__xludf.DUMMYFUNCTION("GOOGLETRANSLATE(G29)"),"Lenta.ru - News of Russia and the world today -Russian -Russian USSR EconomicCasil structures and technician cultural sporting and enlightenment of travel of the life of the environment of the habitat of the habitat of sebelevidei -Opet -design. Click! Re"&amp;"turn to the usual tape? Initial Russia was explained by Armenia's attempts to spoil relations with Moscow05: 50 Vyuchkin reduced the lag behind Gretzky in the list of the best snipers of the NHL06: 42V Ancient Egyptian tomb found a tumor with teeth06: 41V"&amp;"VS of Jordan, they threw gums for the Hospital for a hospital in Gaza06: 38v China of China China. Lee About the unexpected service of Poland for Russia06: 35v Italy, Leo fled the circus and walked around the city for several hours: 35 Doctors called the "&amp;"ways to survive a magnetic storm06: 16sha and Ukraine discussed plans to meet a contact group06: 09 Ryads of the loss of the Armed Forces of the Armed Forces under Kupyanskoye05: 47Bayden predicted an inconvenient situation from the inconvenient situation"&amp;" from -Serail05: 14 rangers The consequences of recognition of a slave on the failure of the Armed Forces of the Armed Forces of the Armed Forces of the Armed Forces of the Armed Forces: 56 Oblose Kvazars hidden by clouds of dust04: 42V European Union spo"&amp;"ke about the threat from Ukraine04: 09, the News Workers all over the world refuse to return from the remotes. How does the desire to work at home hits the economy of large cities? 00: 01 cult David Fincher removed the “killer” with Fassbender as a killer"&amp;". What is surprising this stylish and witty thriller? 00: 01 Israel attacked objects in Syria05: 31b Bellator, the absence of plans to deprive Nurmagomedov title04: 19 Germanican will significantly increase military assistance to Kiev03: 34th Russia allow"&amp;"ed a change in the procedure for renting apartments for the daily house 03: 09 in the White House criticized the plan to defend the shuttle In the USA02: 28 It was a condition for establishing peace with Israel02: 02: 02 Merged Strepe divorced her husband"&amp;" after 45 years of marriage. Why did one of the strongest pairs of Hollywood break up? 00: 01 main news of the Ministry of Cyphra explained the principle of blocking the VPN in the Russian Ukrainian colonel is accused of coordinating attacks on Sozdotoki."&amp;" What else was the officer imprisoned in the Kiev pre -trial detention center? Ukraine was offered to accept in NATO within new borders without Crimea and Donbass. Why does the West need this? SK opened a criminal case of a terrorist attack after a train "&amp;"from the rails near Ryazanyupo Kyiv swept a series of explosions. In Ukraine, they talked about the first in 52 days a missile strike on the capital train went off the rails after the explosion near Ryazan. What is known about what had happened? In Kolomn"&amp;"a there was an explosion. What is known about the shot down drone of the Armed Forces of Ukraine over the defense enterprise near Moscow? The court arrested the ex-head of the Khoroshevsky department of the IC of Moscow in the case of a bribe. Who is behi"&amp;"nd the crime? David stars appeared on dozens of houses of Paris. France found in this “Russian trace” Moscow is extremely outraged “70 meters have already run” in Kyiv appreciated the course of hostilities in Ukraine. And they gave the forecast how they c"&amp;"an end with Stalin's popular manner. Marshal Budyonny loved the people and were afraid of enemies. What helped him to survive the terror of the 1930s? 00: 02 on October 26, 2023 “The smell of gunpowder and blood is everywhere” Palestinians-about the bombi"&amp;"ng of the Gaza, who terrified the world of tragedy in the hospital and constant fear00: October 19, 2023500 kilometers underground. Why did Hamas build a secret city under the gas and how is the Israeli Army going to storm it? 00: 01 October 22, 2023 “Her"&amp;"e the Pitch Hell is the inhabitants of Israel and the Russians who were saved from the execution of terrorists and fear for life 00: 08 October 10, 2023 October of the most expensive The cities of the world are rapidly empty. Why do San Francisco leave th"&amp;"e rich and capture the homeless? 00: 01 October 2, 2023 Gynecologist for years mocked hundreds of patients. The story of the most high -profile investigation of sexual violence in medicine00: 02 October 14, 2023 ""Durov really does or join?"" The founder "&amp;"of Telegram was the legend of Runet. Why are they laughing at him now? 00: 01 on October 29, 2023, Israel and Palestine fight: history and reasons. As a conflict in the Middle East will affect Mir16: 32 October 10, 2023 Liders Hamas bathe in luxury while "&amp;"the Palestinian people live in poverty. Who are they and how did they become billionaires? 00: 04 October 15, 2023 “We are on the verge of a global war” Why Israel was not ready for Hamas attack and what is the danger of a conflict in the gas sector? 00: "&amp;"02 October 10, 2023 “If I break here, he is here - he сломается там» Как волонтеры Камчатки помогают семьям участников СВО00:01Байдену потребовалась помощь караула на кладбище01:56Украинский сервис такси разрешил жалобы на «антиукраинских» водителей01:27В"&amp;" Израиле заявили о потере контроля ХАМАС над Газой01:24Раскрыты подробности о любимом напитке москвичей в XIX веке01:23Арабские And the Islamic countries spoke about the future of the GAZ sector: 22 Bellator made a statement about the failure doping test "&amp;"of brother Nurmagomedov01: 11 “Hitler portraits hung in each class” Like Ukrainians from the SS division “Galicia” fled from the NKVD and hid in Canada? On November 2023, it is known about the preparation of the slave for a long conflict with Russia01: 01"&amp;" Russian military tore off the landing of the Armed Forces on the left bank of the Dnieper. 11 Morpokhs were captured19: 20 November 11, 2023 Tonnahu announced Israeli's plans to ensure control over security in Gaza00: 57 days of the Moscow Airport resume"&amp;"d full -time work after restrictions on flights00: 45 popular video -relevant Kia Carnival videos: Ultra -Ruscular version00: 29 scientists officially named the mummies of alien from the pen. Ru are genuine . Did the aliens really discovered on Earth? 23:"&amp;" 07 on November 10, 2023, Russia arose a stir for crossovers Geely Monjaro00: 29 Federal Protection Service purchased Chinese vans and pickups00: 29 aleonardo DiCaprio - 49. How he spends millions of dollars on luxurious rest with models and? Shark? 00: 0"&amp;"1 on November 11, 2023, the first crossover Ferrari was estimated in rubles: how much it costs 00: 29 Izrail rejected the possibility of resuming settlement activities in Gaza00: 25 ordering the possible existence of life in ice water on exoplanets00: 10 "&amp;"in the United States talked about the hostage lists between Israel and hamas23: On November 11, 2023, Ukraine predicted new economic conflicts with the European Union23: 54 November 11, 2023 Home on a maniac war with bandits and a fight with a lion: which"&amp;" became famous for the most famous policemen of the USSR and Russia00: November 11, 2023 Nurmagomedov, they will deprive the Bellator champion for doping23: 44 on November 11 on November 11 on November 11 2023 Druzes and partners ""I liked all the veins!"&amp;""" Like 450 years ago, tea appeared in Moscow and why Muscovites without it were not able to be: 05 times such Tucker Carlson and why they love him in Russia and hety in the United States. “Sexist” “Racist” and defender of freedom of speech08: November 11"&amp;", 2023 What is “Black Friday” when it passes and how to save with its help in 2023. Simple words 08: 31 November 11, 2023 This is not Matiz: how do you know Fiat Lucciola? 30 years ago, Italians tried to revive the old legend but created a new09: 48 Novem"&amp;"ber 10, 2023 What is the Law on Silence and when it is impossible to make noise. In simple words 08: 03 November 10, 2023 What is a social rating and why they want to implement it in Russia. Simple words 08: 03 November 10, 2023 ""Each time going out into"&amp;" the street you risk your life!"" The history of the Muscovite who abandoned everything and went to Naples00: November 10, 2023Muzhsky intimate plastic: 7 patients of patients performed the procedure16: November 12 9, 2023 Walls with a small engine, two-l"&amp;"iter G-Wagen and other cars that have something to be ashamed09: 48 November 9, 2023 What is a magnetic storm And how it affects people. Simple words08: 02 November 9, 2023 What is reflection and how to reflect correctly. Simple words 08: 02 November 9, 2"&amp;"023 “We got married as mature people” Lyudmila Chursina - about the love of death of Moscow and St. Petersburg00: 07 November 9, 2023 What is a protein diet and what is its benefit and harm. In simple words 08: 00 November 8, 2023 What is vitamin B12 why "&amp;"the body needs it and in what products it is contained. Simple words08: 00 November 8, 2023 ""They will also pay for this garbage!"" How to get rid of unnecessary things in Moscow and earn money on this00: 05 November 8, 2023 “You can’t do anything” a wel"&amp;"l-known ophthalmologist spoke about the most difficult moments and unique methods of treatment13: November 7, 2023-Turned in America, the 80s Pontiac which was almost able Hot Hatch Shelby and other unusual models10: 19 November 7, 2023 “Fire against Schu"&amp;"sev repaid Beria” The story of the legendary architect born 150 years ago, November 6, 6, 2023 “My nerves ended” as an employee of the landfill, became business lane00: 10 4423 Cupcubs of charts Acquaintance with Shatunov and the curse of Razin interviews"&amp;" with singer Andrei Timofeev15: 16 November 2, 2023 Russian -Russian warned about fraud on dating sites23: November 11, 2023, explained the rejection of the title fight in UFC23: November 11, 2023 “Not a step backward - followed by the morgue” as in us. T"&amp;"he Donbass prepare future attack aircraft for the realities of the modern war? 00: 01 on November 10, 2023v Kiev revealed a way to resolve the conflict in Ukraine23: November 11, 2023 in Russia, a new way of fraud appeared. What is the secret of a multi -"&amp;"route scheme with ads services? 17: 42 November 10, 2023v Israel "" Hezbollah ”from joining conflict23: 21 November 11, 2023 Hellair,“ Hezbollah ”addressed the Biden administration22: 47 November 11, 2023 Russian -Russian Pavlovich described the secret of"&amp;" success in UFC22: 41 on November 11, 2023 Russian Russians warned about the magnetic storm on the night of Sunday 22: 34 11 on November 11 on November 11 2023 It is known about the plans of Colonel of the Armed Forces of Ukraine to captivate Wagner in 20"&amp;"2022: November 11, 2023, the Internet was captured by Taliban and surprised everyone. He spent a great time and called the terrorists to the brothers00: November 10, 2023 Hungry proposed creating a new security system in Europe22: 15 on November 11, 2023 "&amp;"The series “The Word of the Boanding” about the youth gangs of the collapse of the USSR. Why is it worth it to look at it? 11: 52 on November 10, 2023, the Israeli air defense seized the “suspicious target” 21:56 November 11, 2023 Eendocrinologist Pavlova"&amp;" revealed the personal principles of food21: 56 November 11, 2023, Ukraine announced the coming of Russia at Kupyansk21: 44 November 11, 2023 “Zenit” And “Krasnodar” was tied in the RPL21: November 118, 2023 APU, the Armed Forces of the Armed Forces were "&amp;"called the coordinator of the attack on “Northern Streams” 21:19 on November 11, 2023 The defense of Ukraine told Pentagon about the needs of Kiev21: 17 11, 2023 “Three -leaf native!” The Russian rifle Mosin passed all the wars of the 20th century. How di"&amp;"d this legendary weapon appear? 00: 01 on November 10, 2023, the Navigation of Ukraine was called a disappointment for the Allies of Zelensky21: 15 on November 11, 2023 “A loser one who does not get up from the ass” as a British plaster fell to the Olympi"&amp;"cs, he lost but became a celebrity 20: 01, 2023, the defense of Croatian defense, the Croatian minister He was in a car accident21: 05 on November 11, 2023VSU fired at the Russian border city 20: 59 November 11, 2023 Russian skater-champion spoke about th"&amp;"e desire to record a song 20: 54 on November 11, 2023 INO MASK wants to implant a dangerous chip in the brain of tens of thousands of people. Animals with such chips spent the rest of their lives in agony22: 54 on November 9, 2023 Beyrut predicted a repet"&amp;"ition of the fate of the Gaza under one condition 20: 51 on November 11, 2023 -Russians, he beat her20: 40 on November 11, 2023 “This is a blow to the unity of Russia” 30 years ago Yeltsin liquidated Yeltsin Ural Republic. Why was he frightened by his fel"&amp;"low countrymen? 00: 01 November 9, 2023, Britain announced the deficiency of “patriots” in Russian car dealerships 20: 10 November 2023NO SUBARU Forester, which was broken due to failures at the front of Zelensky 20: 24 on November 11, 2023 On November 20"&amp;"23Chery, she began selling cars on a “ozone” with solid discounts 20: 10 November 11, 2023 Chines, showed minivan with sun lust and a huge leg reserve 20: 10 November 11, 2023 Medical Media Medical Media could know in advance about Hamas attack on Israel."&amp;" They invaded the country along with terrorists18: November 9, 2023 in London, 92 protesters during a rally in support of Palestine 20: 09 on November 11, 2023 Ukrainian journalist announced the words of the head of the European Commission of the ears 20:"&amp;" 00 on November 11, 2023v Finland refused to let the Russians on bicycles19: 55 11: 55 11: 55 11: 55 11: 55 11: 55 11: 55 11 On November 2023, they began to dump home -made cassette ammunition into Russia. What is known about the new tactics of Ukrainians"&amp;"? 13: 59 on November 9, 2023, Lokomotiv announced the desire to return Miranchuk19: November 11, 2023 Pentagon spends millions in search of werewolves and Congress discusses UFOs. Why in the USA was obsessed with the supernatural? 00: 01 on November 9, 20"&amp;"23 in Moscow, the courier scammers took the safe from the pensioner with money19: November 11, 2023, Japan announced the most serious threat to the country since the Second World War19: November 11, 2023 Kazakhstan blogger challenged the son of Kadyrov19:"&amp;" On November 11, 2023, Russia spoke about the importance of the world recognition of Moscow’s victory over Kiev19: 22 November 11, 2023, Iceland, a few days later predicted the eruption of volcanoes19: 06 November 11, 2023v Okko - the series “Magic Plot” "&amp;"on the fighting of the police with evil heroes of Russian fairy tales. Why is this Russian answer “Deadpool”? 00: 01 November 9, 2023 Rykransk, a multi -million -dollar price tag and Ryder Meladze for a performance in Moscow18: 52 November 11, 2023 articu"&amp;"lar intelligence “hand” and self -cleaning. What else is surprised by the Dreame robot vacuum cleaner? 19: 51 on November 9, 2023, the NATO Secretary General of NATO proposed to accept Ukraine in the alliance in new borders18: 49 November 11, 2023, the wo"&amp;"man suffered from the shelling of the Russian region from Ukraine18: 47 on November 11, 2023v, explosions occurred18: 46 on November 11, November 11 2023odna from countries wanted to double the military assistance to Ukraine18: 46 November 11, 2023Pol nat"&amp;"ionalists staged a march in Warsaw18: 35 November 11, 2023citroen showed a “sports” version of the My Ami18 quadricated: November 11, 2023 Truth protects from all diseases and strengthens immunity? Doctors dispelled myths about the benefits and dangers of"&amp;" the bath05: 00 November 9, 2023Toyota BZ4X will patrol parks and cemeteries18: 33 November 11, 2023 Prigozhina, Prigozhin is considered the chief heir to the founder of the PMC Vagner. What does he know about him and what business does he get? 00: 01 Nov"&amp;"ember 8, 2023electrikhana Two: published the trailer for the last video with Ken Blok18: November 11, 2023, 2023 Rock Star, put up for auction18: November 11, 2023Dontition-Contracts. SS of the use of a policy of confidentiality of the application of reco"&amp;"mmendatory technologies © 1999–2023 LLC ""Lenta.ru"" found a typo? PLACTRL+ENTER18+The feed of good is deactivated. FOR HAVED to the real world. New Materials News")</f>
        <v>Lenta.ru - News of Russia and the world today -Russian -Russian USSR EconomicCasil structures and technician cultural sporting and enlightenment of travel of the life of the environment of the habitat of the habitat of sebelevidei -Opet -design. Click! Return to the usual tape? Initial Russia was explained by Armenia's attempts to spoil relations with Moscow05: 50 Vyuchkin reduced the lag behind Gretzky in the list of the best snipers of the NHL06: 42V Ancient Egyptian tomb found a tumor with teeth06: 41VVS of Jordan, they threw gums for the Hospital for a hospital in Gaza06: 38v China of China China. Lee About the unexpected service of Poland for Russia06: 35v Italy, Leo fled the circus and walked around the city for several hours: 35 Doctors called the ways to survive a magnetic storm06: 16sha and Ukraine discussed plans to meet a contact group06: 09 Ryads of the loss of the Armed Forces of the Armed Forces under Kupyanskoye05: 47Bayden predicted an inconvenient situation from the inconvenient situation from -Serail05: 14 rangers The consequences of recognition of a slave on the failure of the Armed Forces of the Armed Forces of the Armed Forces of the Armed Forces of the Armed Forces: 56 Oblose Kvazars hidden by clouds of dust04: 42V European Union spoke about the threat from Ukraine04: 09, the News Workers all over the world refuse to return from the remotes. How does the desire to work at home hits the economy of large cities? 00: 01 cult David Fincher removed the “killer” with Fassbender as a killer. What is surprising this stylish and witty thriller? 00: 01 Israel attacked objects in Syria05: 31b Bellator, the absence of plans to deprive Nurmagomedov title04: 19 Germanican will significantly increase military assistance to Kiev03: 34th Russia allowed a change in the procedure for renting apartments for the daily house 03: 09 in the White House criticized the plan to defend the shuttle In the USA02: 28 It was a condition for establishing peace with Israel02: 02: 02 Merged Strepe divorced her husband after 45 years of marriage. Why did one of the strongest pairs of Hollywood break up? 00: 01 main news of the Ministry of Cyphra explained the principle of blocking the VPN in the Russian Ukrainian colonel is accused of coordinating attacks on Sozdotoki. What else was the officer imprisoned in the Kiev pre -trial detention center? Ukraine was offered to accept in NATO within new borders without Crimea and Donbass. Why does the West need this? SK opened a criminal case of a terrorist attack after a train from the rails near Ryazanyupo Kyiv swept a series of explosions. In Ukraine, they talked about the first in 52 days a missile strike on the capital train went off the rails after the explosion near Ryazan. What is known about what had happened? In Kolomna there was an explosion. What is known about the shot down drone of the Armed Forces of Ukraine over the defense enterprise near Moscow? The court arrested the ex-head of the Khoroshevsky department of the IC of Moscow in the case of a bribe. Who is behind the crime? David stars appeared on dozens of houses of Paris. France found in this “Russian trace” Moscow is extremely outraged “70 meters have already run” in Kyiv appreciated the course of hostilities in Ukraine. And they gave the forecast how they can end with Stalin's popular manner. Marshal Budyonny loved the people and were afraid of enemies. What helped him to survive the terror of the 1930s? 00: 02 on October 26, 2023 “The smell of gunpowder and blood is everywhere” Palestinians-about the bombing of the Gaza, who terrified the world of tragedy in the hospital and constant fear00: October 19, 2023500 kilometers underground. Why did Hamas build a secret city under the gas and how is the Israeli Army going to storm it? 00: 01 October 22, 2023 “Here the Pitch Hell is the inhabitants of Israel and the Russians who were saved from the execution of terrorists and fear for life 00: 08 October 10, 2023 October of the most expensive The cities of the world are rapidly empty. Why do San Francisco leave the rich and capture the homeless? 00: 01 October 2, 2023 Gynecologist for years mocked hundreds of patients. The story of the most high -profile investigation of sexual violence in medicine00: 02 October 14, 2023 "Durov really does or join?" The founder of Telegram was the legend of Runet. Why are they laughing at him now? 00: 01 on October 29, 2023, Israel and Palestine fight: history and reasons. As a conflict in the Middle East will affect Mir16: 32 October 10, 2023 Liders Hamas bathe in luxury while the Palestinian people live in poverty. Who are they and how did they become billionaires? 00: 04 October 15, 2023 “We are on the verge of a global war” Why Israel was not ready for Hamas attack and what is the danger of a conflict in the gas sector? 00: 02 October 10, 2023 “If I break here, he is here - he сломается там» Как волонтеры Камчатки помогают семьям участников СВО00:01Байдену потребовалась помощь караула на кладбище01:56Украинский сервис такси разрешил жалобы на «антиукраинских» водителей01:27В Израиле заявили о потере контроля ХАМАС над Газой01:24Раскрыты подробности о любимом напитке москвичей в XIX веке01:23Арабские And the Islamic countries spoke about the future of the GAZ sector: 22 Bellator made a statement about the failure doping test of brother Nurmagomedov01: 11 “Hitler portraits hung in each class” Like Ukrainians from the SS division “Galicia” fled from the NKVD and hid in Canada? On November 2023, it is known about the preparation of the slave for a long conflict with Russia01: 01 Russian military tore off the landing of the Armed Forces on the left bank of the Dnieper. 11 Morpokhs were captured19: 20 November 11, 2023 Tonnahu announced Israeli's plans to ensure control over security in Gaza00: 57 days of the Moscow Airport resumed full -time work after restrictions on flights00: 45 popular video -relevant Kia Carnival videos: Ultra -Ruscular version00: 29 scientists officially named the mummies of alien from the pen. Ru are genuine . Did the aliens really discovered on Earth? 23: 07 on November 10, 2023, Russia arose a stir for crossovers Geely Monjaro00: 29 Federal Protection Service purchased Chinese vans and pickups00: 29 aleonardo DiCaprio - 49. How he spends millions of dollars on luxurious rest with models and? Shark? 00: 01 on November 11, 2023, the first crossover Ferrari was estimated in rubles: how much it costs 00: 29 Izrail rejected the possibility of resuming settlement activities in Gaza00: 25 ordering the possible existence of life in ice water on exoplanets00: 10 in the United States talked about the hostage lists between Israel and hamas23: On November 11, 2023, Ukraine predicted new economic conflicts with the European Union23: 54 November 11, 2023 Home on a maniac war with bandits and a fight with a lion: which became famous for the most famous policemen of the USSR and Russia00: November 11, 2023 Nurmagomedov, they will deprive the Bellator champion for doping23: 44 on November 11 on November 11 on November 11 2023 Druzes and partners "I liked all the veins!" Like 450 years ago, tea appeared in Moscow and why Muscovites without it were not able to be: 05 times such Tucker Carlson and why they love him in Russia and hety in the United States. “Sexist” “Racist” and defender of freedom of speech08: November 11, 2023 What is “Black Friday” when it passes and how to save with its help in 2023. Simple words 08: 31 November 11, 2023 This is not Matiz: how do you know Fiat Lucciola? 30 years ago, Italians tried to revive the old legend but created a new09: 48 November 10, 2023 What is the Law on Silence and when it is impossible to make noise. In simple words 08: 03 November 10, 2023 What is a social rating and why they want to implement it in Russia. Simple words 08: 03 November 10, 2023 "Each time going out into the street you risk your life!" The history of the Muscovite who abandoned everything and went to Naples00: November 10, 2023Muzhsky intimate plastic: 7 patients of patients performed the procedure16: November 12 9, 2023 Walls with a small engine, two-liter G-Wagen and other cars that have something to be ashamed09: 48 November 9, 2023 What is a magnetic storm And how it affects people. Simple words08: 02 November 9, 2023 What is reflection and how to reflect correctly. Simple words 08: 02 November 9, 2023 “We got married as mature people” Lyudmila Chursina - about the love of death of Moscow and St. Petersburg00: 07 November 9, 2023 What is a protein diet and what is its benefit and harm. In simple words 08: 00 November 8, 2023 What is vitamin B12 why the body needs it and in what products it is contained. Simple words08: 00 November 8, 2023 "They will also pay for this garbage!" How to get rid of unnecessary things in Moscow and earn money on this00: 05 November 8, 2023 “You can’t do anything” a well-known ophthalmologist spoke about the most difficult moments and unique methods of treatment13: November 7, 2023-Turned in America, the 80s Pontiac which was almost able Hot Hatch Shelby and other unusual models10: 19 November 7, 2023 “Fire against Schusev repaid Beria” The story of the legendary architect born 150 years ago, November 6, 6, 2023 “My nerves ended” as an employee of the landfill, became business lane00: 10 4423 Cupcubs of charts Acquaintance with Shatunov and the curse of Razin interviews with singer Andrei Timofeev15: 16 November 2, 2023 Russian -Russian warned about fraud on dating sites23: November 11, 2023, explained the rejection of the title fight in UFC23: November 11, 2023 “Not a step backward - followed by the morgue” as in us. The Donbass prepare future attack aircraft for the realities of the modern war? 00: 01 on November 10, 2023v Kiev revealed a way to resolve the conflict in Ukraine23: November 11, 2023 in Russia, a new way of fraud appeared. What is the secret of a multi -route scheme with ads services? 17: 42 November 10, 2023v Israel " Hezbollah ”from joining conflict23: 21 November 11, 2023 Hellair,“ Hezbollah ”addressed the Biden administration22: 47 November 11, 2023 Russian -Russian Pavlovich described the secret of success in UFC22: 41 on November 11, 2023 Russian Russians warned about the magnetic storm on the night of Sunday 22: 34 11 on November 11 on November 11 2023 It is known about the plans of Colonel of the Armed Forces of Ukraine to captivate Wagner in 202022: November 11, 2023, the Internet was captured by Taliban and surprised everyone. He spent a great time and called the terrorists to the brothers00: November 10, 2023 Hungry proposed creating a new security system in Europe22: 15 on November 11, 2023 The series “The Word of the Boanding” about the youth gangs of the collapse of the USSR. Why is it worth it to look at it? 11: 52 on November 10, 2023, the Israeli air defense seized the “suspicious target” 21:56 November 11, 2023 Eendocrinologist Pavlova revealed the personal principles of food21: 56 November 11, 2023, Ukraine announced the coming of Russia at Kupyansk21: 44 November 11, 2023 “Zenit” And “Krasnodar” was tied in the RPL21: November 118, 2023 APU, the Armed Forces of the Armed Forces were called the coordinator of the attack on “Northern Streams” 21:19 on November 11, 2023 The defense of Ukraine told Pentagon about the needs of Kiev21: 17 11, 2023 “Three -leaf native!” The Russian rifle Mosin passed all the wars of the 20th century. How did this legendary weapon appear? 00: 01 on November 10, 2023, the Navigation of Ukraine was called a disappointment for the Allies of Zelensky21: 15 on November 11, 2023 “A loser one who does not get up from the ass” as a British plaster fell to the Olympics, he lost but became a celebrity 20: 01, 2023, the defense of Croatian defense, the Croatian minister He was in a car accident21: 05 on November 11, 2023VSU fired at the Russian border city 20: 59 November 11, 2023 Russian skater-champion spoke about the desire to record a song 20: 54 on November 11, 2023 INO MASK wants to implant a dangerous chip in the brain of tens of thousands of people. Animals with such chips spent the rest of their lives in agony22: 54 on November 9, 2023 Beyrut predicted a repetition of the fate of the Gaza under one condition 20: 51 on November 11, 2023 -Russians, he beat her20: 40 on November 11, 2023 “This is a blow to the unity of Russia” 30 years ago Yeltsin liquidated Yeltsin Ural Republic. Why was he frightened by his fellow countrymen? 00: 01 November 9, 2023, Britain announced the deficiency of “patriots” in Russian car dealerships 20: 10 November 2023NO SUBARU Forester, which was broken due to failures at the front of Zelensky 20: 24 on November 11, 2023 On November 2023Chery, she began selling cars on a “ozone” with solid discounts 20: 10 November 11, 2023 Chines, showed minivan with sun lust and a huge leg reserve 20: 10 November 11, 2023 Medical Media Medical Media could know in advance about Hamas attack on Israel. They invaded the country along with terrorists18: November 9, 2023 in London, 92 protesters during a rally in support of Palestine 20: 09 on November 11, 2023 Ukrainian journalist announced the words of the head of the European Commission of the ears 20: 00 on November 11, 2023v Finland refused to let the Russians on bicycles19: 55 11: 55 11: 55 11: 55 11: 55 11: 55 11: 55 11 On November 2023, they began to dump home -made cassette ammunition into Russia. What is known about the new tactics of Ukrainians? 13: 59 on November 9, 2023, Lokomotiv announced the desire to return Miranchuk19: November 11, 2023 Pentagon spends millions in search of werewolves and Congress discusses UFOs. Why in the USA was obsessed with the supernatural? 00: 01 on November 9, 2023 in Moscow, the courier scammers took the safe from the pensioner with money19: November 11, 2023, Japan announced the most serious threat to the country since the Second World War19: November 11, 2023 Kazakhstan blogger challenged the son of Kadyrov19: On November 11, 2023, Russia spoke about the importance of the world recognition of Moscow’s victory over Kiev19: 22 November 11, 2023, Iceland, a few days later predicted the eruption of volcanoes19: 06 November 11, 2023v Okko - the series “Magic Plot” on the fighting of the police with evil heroes of Russian fairy tales. Why is this Russian answer “Deadpool”? 00: 01 November 9, 2023 Rykransk, a multi -million -dollar price tag and Ryder Meladze for a performance in Moscow18: 52 November 11, 2023 articular intelligence “hand” and self -cleaning. What else is surprised by the Dreame robot vacuum cleaner? 19: 51 on November 9, 2023, the NATO Secretary General of NATO proposed to accept Ukraine in the alliance in new borders18: 49 November 11, 2023, the woman suffered from the shelling of the Russian region from Ukraine18: 47 on November 11, 2023v, explosions occurred18: 46 on November 11, November 11 2023odna from countries wanted to double the military assistance to Ukraine18: 46 November 11, 2023Pol nationalists staged a march in Warsaw18: 35 November 11, 2023citroen showed a “sports” version of the My Ami18 quadricated: November 11, 2023 Truth protects from all diseases and strengthens immunity? Doctors dispelled myths about the benefits and dangers of the bath05: 00 November 9, 2023Toyota BZ4X will patrol parks and cemeteries18: 33 November 11, 2023 Prigozhina, Prigozhin is considered the chief heir to the founder of the PMC Vagner. What does he know about him and what business does he get? 00: 01 November 8, 2023electrikhana Two: published the trailer for the last video with Ken Blok18: November 11, 2023, 2023 Rock Star, put up for auction18: November 11, 2023Dontition-Contracts. SS of the use of a policy of confidentiality of the application of recommendatory technologies © 1999–2023 LLC "Lenta.ru" found a typo? PLACTRL+ENTER18+The feed of good is deactivated. FOR HAVED to the real world. New Materials News</v>
      </c>
    </row>
    <row r="30">
      <c r="A30" s="1" t="s">
        <v>54</v>
      </c>
      <c r="B30" s="1" t="s">
        <v>127</v>
      </c>
      <c r="D30" s="1">
        <v>17.0</v>
      </c>
      <c r="E30" s="4" t="s">
        <v>128</v>
      </c>
      <c r="F30" s="1" t="s">
        <v>16</v>
      </c>
      <c r="G30" s="1" t="s">
        <v>129</v>
      </c>
      <c r="H30" s="4" t="s">
        <v>130</v>
      </c>
      <c r="I30" s="2">
        <v>2.0</v>
      </c>
      <c r="J30" s="5" t="str">
        <f>IFERROR(__xludf.DUMMYFUNCTION("GOOGLETRANSLATE(A30)"),"chatgpt")</f>
        <v>chatgpt</v>
      </c>
      <c r="K30" s="6" t="str">
        <f>IFERROR(__xludf.DUMMYFUNCTION("GOOGLETRANSLATE(B30)"),"Free ChatGPT combines search engine ...")</f>
        <v>Free ChatGPT combines search engine ...</v>
      </c>
      <c r="M30" s="5" t="str">
        <f>IFERROR(__xludf.DUMMYFUNCTION("GOOGLETRANSLATE(G30)"),"GPTGO - ChatGPT Free combined Search EngineBlogDiscordLanguage EnglishFrenchGermanIndonesianPortugueseSpanish; Cast...TurkishVietnameseArabicChineseCzechHindiItalianJapaneseKoreanMalayPersianRussianThaiUkrainian Free ChatGPT and Search EngineDefaultEnglis"&amp;"hFrenchGermanIndonesianPortugueseSpanish; Cast...TurkishVietnameseAbkhazAfarAfrikaansAkanAlbanianAmharicArabicAragoneseArmenianAssameseAvaricAvestanAymaraAzerbaijaniBambaraBashkirBasqueBelarusianBengaliBihariBislamaBosnianBretonBulgarianBurmeseCatalan; Va"&amp;"le...ChamorroChechenChichewa; Che...ChineseChuvashCornishCorsicanCreeCroatianCzechDanishDivehi; Dhive...DutchEsperantoEstonianEweFaroeseFijianFinnishFula; Fulah; ...GalicianGeorgianGreek ModernGuaraníGujaratiHaitian; Hait...HausaHebrew (moder...HereroHind"&amp;"iHiri MotuHungarianInterlinguaInterlingueIrishIgboInupiaqIdoIcelandicItalianInuktitutJapaneseJavaneseKalaallisut ...KannadaKanuriKashmiriKazakhKhmerKikuyu Gikuy...KinyarwandaKirghiz Kyrg...KomiKongoKoreanKurdishKwanyama Kua...LatinLuxembourgish...LugandaL"&amp;"imburgish L...LingalaLaoLithuanianLuba-KatangaLatvianManxMacedonianMalagasyMalayMalayalamMalteseMāoriMarathi (Mar�...MarshalleseMongolianNauruNavajo Navah...Norwegian Bok...North NdebeleNepaliNdongaNorwegian Nyn...NorwegianNuosuSouth NdebeleOccitanOjibwe "&amp;"Ojibw...Old Church Sl...OromoOriyaOssetian Oss...Panjabi Punj...PāliPersianPolishPashto Pusht...QuechuaRomanshKirundiRomanian Mol...RussianSanskrit (Sa�...SardinianSindhiNorthern SamiSamoanSangoSerbianScottish Gael...ShonaSinhala Sinh...SlovakSloveneSomal"&amp;"iSouthern Soth...SundaneseSwahiliSwatiSwedishTamilTeluguTajikThaiTigrinyaTibetan Stand...TurkmenTagalogTswanaTonga (Tonga ...TsongaTatarTwiTahitianUighur Uyghu...UkrainianUrduUzbekVendaVolapükWalloonWelshWolofWestern Frisi...XhosaYiddishYorubaZhuang Chuan"&amp;"...  Ask GPT Search &amp; Ask GPTChatGPT Cancel...ChatGPT usually responds in 10 seconds. Press try again if waiting too long...  Search &amp; Ask GPTCopyAsk more questionsADVERTISEMENTFrequently Asked QuestionsHow is GPTGO different from regular search? GPTGO st"&amp;"ill returns search results as usual but adds a chatGPT query feature so the results will also include ChatGPT answers.Do I need a ChatGPT account or sign up to use it? No you don't need a ChatGPT account or anything we have integrated a premium ChatGPT ac"&amp;"count for you to use completely for free.Do I have to pay to use GPTGO? GPTGO is completely free you can use search combined with an unlimited paid ChatGPT account and do not have to pay any fees.What devices can I use GPTGO on? GPTGO can be used on any d"&amp;"evice: iPhone/iPad Android PC Tablet... you only need a web browser and an internet connection to use GPTGO.How accurate are the chatbot answers provided by GPTGO? GPTGO's chatbot integrates the real-time API of Google search and Chatgpt so the accuracy i"&amp;"s ensured for both companies.What makes GPTGO different from other search tools? In addition to the search results of the current leading search engine Google GPTGO also has ChatGPT search information to give you the fastest and most accurate results.Does"&amp;" GPTGO have an Android/iOS app or any way to access your website faster? GPTGo has a mobile app called Go AI available on both Android and iOS you can download it at the link on the website. Btw you can access GPTGO faster by: Setting GPTGO as the default"&amp;" search or Bookmarking in your favorites list if you dont want to install the app.How does GPTGO ensure user privacy and security? GPTGO.AI does not store or track any user information all user actions are anonymous and protected.Does GPTGO work on all de"&amp;"vices and browsers? Yes GPTGO can be used on any web browser (Chrome Firefox Microsoft Edge...) as well as on any device (Desktop Mobile phone iPhone iPad Laptop...) and any operating system (Android iOS...)Can I suggest improvements to GPTGO's search alg"&amp;"orithm? Certainly you can send us anything (Feedback Bugs Advanced Suggestions ...) and we will be very grateful for that.Privacy &amp; Terms.© 2023 by GPTGO 2.0Close")</f>
        <v>GPTGO - ChatGPT Free combined Search EngineBlogDiscordLanguage EnglishFrenchGermanIndonesianPortugueseSpanish; Cast...TurkishVietnameseArabicChineseCzechHindiItalianJapaneseKoreanMalayPersianRussianThaiUkrainian Free ChatGPT and Search EngineDefaultEnglishFrenchGermanIndonesianPortugueseSpanish; Cast...TurkishVietnameseAbkhazAfarAfrikaansAkanAlbanianAmharicArabicAragoneseArmenianAssameseAvaricAvestanAymaraAzerbaijaniBambaraBashkirBasqueBelarusianBengaliBihariBislamaBosnianBretonBulgarianBurmeseCatalan; Vale...ChamorroChechenChichewa; Che...ChineseChuvashCornishCorsicanCreeCroatianCzechDanishDivehi; Dhive...DutchEsperantoEstonianEweFaroeseFijianFinnishFula; Fulah; ...GalicianGeorgianGreek ModernGuaraníGujaratiHaitian; Hait...HausaHebrew (moder...HereroHindiHiri MotuHungarianInterlinguaInterlingueIrishIgboInupiaqIdoIcelandicItalianInuktitutJapaneseJavaneseKalaallisut ...KannadaKanuriKashmiriKazakhKhmerKikuyu Gikuy...KinyarwandaKirghiz Kyrg...KomiKongoKoreanKurdishKwanyama Kua...LatinLuxembourgish...LugandaLimburgish L...LingalaLaoLithuanianLuba-KatangaLatvianManxMacedonianMalagasyMalayMalayalamMalteseMāoriMarathi (Mar�...MarshalleseMongolianNauruNavajo Navah...Norwegian Bok...North NdebeleNepaliNdongaNorwegian Nyn...NorwegianNuosuSouth NdebeleOccitanOjibwe Ojibw...Old Church Sl...OromoOriyaOssetian Oss...Panjabi Punj...PāliPersianPolishPashto Pusht...QuechuaRomanshKirundiRomanian Mol...RussianSanskrit (Sa�...SardinianSindhiNorthern SamiSamoanSangoSerbianScottish Gael...ShonaSinhala Sinh...SlovakSloveneSomaliSouthern Soth...SundaneseSwahiliSwatiSwedishTamilTeluguTajikThaiTigrinyaTibetan Stand...TurkmenTagalogTswanaTonga (Tonga ...TsongaTatarTwiTahitianUighur Uyghu...UkrainianUrduUzbekVendaVolapükWalloonWelshWolofWestern Frisi...XhosaYiddishYorubaZhuang Chuan...  Ask GPT Search &amp; Ask GPTChatGPT Cancel...ChatGPT usually responds in 10 seconds. Press try again if waiting too long...  Search &amp; Ask GPTCopyAsk more questionsADVERTISEMENTFrequently Asked QuestionsHow is GPTGO different from regular search? GPTGO still returns search results as usual but adds a chatGPT query feature so the results will also include ChatGPT answers.Do I need a ChatGPT account or sign up to use it? No you don't need a ChatGPT account or anything we have integrated a premium ChatGPT account for you to use completely for free.Do I have to pay to use GPTGO? GPTGO is completely free you can use search combined with an unlimited paid ChatGPT account and do not have to pay any fees.What devices can I use GPTGO on? GPTGO can be used on any device: iPhone/iPad Android PC Tablet... you only need a web browser and an internet connection to use GPTGO.How accurate are the chatbot answers provided by GPTGO? GPTGO's chatbot integrates the real-time API of Google search and Chatgpt so the accuracy is ensured for both companies.What makes GPTGO different from other search tools? In addition to the search results of the current leading search engine Google GPTGO also has ChatGPT search information to give you the fastest and most accurate results.Does GPTGO have an Android/iOS app or any way to access your website faster? GPTGo has a mobile app called Go AI available on both Android and iOS you can download it at the link on the website. Btw you can access GPTGO faster by: Setting GPTGO as the default search or Bookmarking in your favorites list if you dont want to install the app.How does GPTGO ensure user privacy and security? GPTGO.AI does not store or track any user information all user actions are anonymous and protected.Does GPTGO work on all devices and browsers? Yes GPTGO can be used on any web browser (Chrome Firefox Microsoft Edge...) as well as on any device (Desktop Mobile phone iPhone iPad Laptop...) and any operating system (Android iOS...)Can I suggest improvements to GPTGO's search algorithm? Certainly you can send us anything (Feedback Bugs Advanced Suggestions ...) and we will be very grateful for that.Privacy &amp; Terms.© 2023 by GPTGO 2.0Close</v>
      </c>
    </row>
    <row r="31">
      <c r="A31" s="1" t="s">
        <v>54</v>
      </c>
      <c r="B31" s="1" t="s">
        <v>131</v>
      </c>
      <c r="D31" s="1">
        <v>18.0</v>
      </c>
      <c r="E31" s="4" t="s">
        <v>132</v>
      </c>
      <c r="F31" s="1" t="s">
        <v>16</v>
      </c>
      <c r="I31" s="2">
        <v>1.0</v>
      </c>
      <c r="J31" s="5" t="str">
        <f>IFERROR(__xludf.DUMMYFUNCTION("GOOGLETRANSLATE(A31)"),"chatgpt")</f>
        <v>chatgpt</v>
      </c>
      <c r="K31" s="6" t="str">
        <f>IFERROR(__xludf.DUMMYFUNCTION("GOOGLETRANSLATE(B31)"),"What is ChatGPT? How AI changes the rules of the game in ...")</f>
        <v>What is ChatGPT? How AI changes the rules of the game in ...</v>
      </c>
      <c r="M31" s="5" t="str">
        <f>IFERROR(__xludf.DUMMYFUNCTION("GOOGLETRANSLATE(G31)"),"#VALUE!")</f>
        <v>#VALUE!</v>
      </c>
    </row>
    <row r="32">
      <c r="A32" s="1" t="s">
        <v>54</v>
      </c>
      <c r="B32" s="1" t="s">
        <v>133</v>
      </c>
      <c r="D32" s="1">
        <v>19.0</v>
      </c>
      <c r="E32" s="4" t="s">
        <v>134</v>
      </c>
      <c r="F32" s="1" t="s">
        <v>16</v>
      </c>
      <c r="G32" s="1" t="s">
        <v>135</v>
      </c>
      <c r="H32" s="4" t="s">
        <v>136</v>
      </c>
      <c r="I32" s="2">
        <v>1.0</v>
      </c>
      <c r="J32" s="5" t="str">
        <f>IFERROR(__xludf.DUMMYFUNCTION("GOOGLETRANSLATE(A32)"),"chatgpt")</f>
        <v>chatgpt</v>
      </c>
      <c r="K32" s="6" t="str">
        <f>IFERROR(__xludf.DUMMYFUNCTION("GOOGLETRANSLATE(B32)"),"who invented ChatGPT and where do they lead it")</f>
        <v>who invented ChatGPT and where do they lead it</v>
      </c>
      <c r="M32" s="5" t="str">
        <f>IFERROR(__xludf.DUMMYFUNCTION("GOOGLETRANSLATE(G32)"),"Forbes.ru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33">
      <c r="A33" s="1" t="s">
        <v>54</v>
      </c>
      <c r="B33" s="1" t="s">
        <v>137</v>
      </c>
      <c r="C33" s="1" t="s">
        <v>138</v>
      </c>
      <c r="D33" s="1">
        <v>20.0</v>
      </c>
      <c r="E33" s="4" t="s">
        <v>139</v>
      </c>
      <c r="F33" s="1" t="s">
        <v>16</v>
      </c>
      <c r="G33" s="1" t="s">
        <v>140</v>
      </c>
      <c r="H33" s="4" t="s">
        <v>141</v>
      </c>
      <c r="I33" s="2">
        <v>1.0</v>
      </c>
      <c r="J33" s="5" t="str">
        <f>IFERROR(__xludf.DUMMYFUNCTION("GOOGLETRANSLATE(A33)"),"chatgpt")</f>
        <v>chatgpt</v>
      </c>
      <c r="K33" s="6" t="str">
        <f>IFERROR(__xludf.DUMMYFUNCTION("GOOGLETRANSLATE(B33)"),"Chat GPT neural network")</f>
        <v>Chat GPT neural network</v>
      </c>
      <c r="L33" s="5" t="str">
        <f>IFERROR(__xludf.DUMMYFUNCTION("GOOGLETRANSLATE(C33)"),"Chat GPT is a chatbot neural network that is capable of conducting a dialogue. GPT-4 Chat (Chat GPT) is looking for errors in the code, writes a diploma. Register and enter Chat GPT in ...")</f>
        <v>Chat GPT is a chatbot neural network that is capable of conducting a dialogue. GPT-4 Chat (Chat GPT) is looking for errors in the code, writes a diploma. Register and enter Chat GPT in ...</v>
      </c>
      <c r="M33" s="5" t="str">
        <f>IFERROR(__xludf.DUMMYFUNCTION("GOOGLETRANSLATE(G33)"),"Chat GPT - neural network Chat GPTSKIP to ContentChat GPTneRCE Chat GPTSearch: enter the ChatGPTSION CHATGPUN CHATGPTCHATGPT 4 PLUSAPIDYDALL · E 2MIDJURNEVPN for Chat GPT Telephone for ChatGPT contactsquest 3sites Partners need help in study? Try Chatgpt!"&amp;" Chatgpt-4 for free and without restrictions on the generation of images of the online registration of ChatGPT in Russia 02/01/2023 Katgoria: Toolmate: GPT Chat 120 Registration in Russia and other countries recently ChatGPT is very popular, but when regi"&amp;"stering in Russia, many are faced with the problem of the lack of service region. We’ll analyze the step -by -step ... read the ChatGPT01.02.2023 Kapategoria account: Tools Author: GPT Chat 31 Provide you the ready -made Chat GPT account with a login and "&amp;"password. Personal account* Chat GPT - 1000 rubles. - 499 rub. General account ** Chat GPT - 159 rubles. Buy ... read Dlayekak Connect ChatGPT-431.01.2023 Katgoria: Tools: GPT Chat 13 recognize with detailed guidelines for access to the first-class Openai"&amp;" service. In this article, we will give step-by-step instructions on how to use ChatGPT-4. With our clear instructions, it will be easy for you to reveal a huge potential ... Read more ChatGPT - example of tips28.01.2023 Katgoria: Tools: GPT Chat 1 Drive "&amp;"to the repository ""Amazing Hints of ChatGPT""! This is a set of examples of prompts for use with the ChatGPT model. The ChatGPT model is a large language model trained Openai capable of generating humanoid text. Providing him with a hint ... Read more th"&amp;"an 5 of the best alternatives to ChatGPT27.01.2023 Katgoria: Articles: GPT Chat 315 The best alternatives to Chatgpt, including free models, users seek ChatGPT alternatives for various reasons, including considerations of the CHATGPT of a slow -time respo"&amp;"nse of the capacity of the capacity or simply from the daily. nuni. Regardless ... to read Dlayekak to use Chatgpt25.01.2023 Katgoria: Tools: GPT Chat 6th language processing tool using AI has become popular from the moment of its launch at the end of las"&amp;"t year, but how do you use it and why? Do not want to understand ... Read the Free VPN Suitable Chat GPT24.01.2023 Katgoria: Tools Author: GPT Chat 38KAC Set VPN in the Chrome browser Suitable Chat GPT to start a couple of words about where to download ad"&amp;"ditions (extensions) for a google browser. Everything is simple: click on three points ... Read the Dlayekak to get the ChatGPT23.01.2023 Kapetegoria API-key: The Apart Tools: GPT Chat 7 API key is the first step to access to the powerful capabilities of "&amp;"the ChatGPT language. Using the API key, you can easily integrate ChatGPT into your website mobile application ... Read more than 4 Turbo 07.11.2023 Katgoria: Articles: GPT Chat 0 What is GPT-4 Turbo? GPT-4 Turbo is our last generation model. It has a mor"&amp;"e functional level of knowledge as of April 2023 and represents a contextual ... Read the ChatGPT can analyze files 02.11.2023 Kategoria: Articles: GPT Chat 0 Relaxes ChatGPT PLUS now have the opportunity to download and check the files in the latest beta"&amp;" version. In addition, they can freely use functions such as viewing using bing since the chat boot reasonably defines the best mode ... Read more chassis and chasses and challenges of the modern economy 10.10.2023 of the: Article: GPT Chat 0 Modern World"&amp;" Economy is faced with many problems and challenges that affect Its stability and development. In this article, we will consider 25 key problems of the modern economy using subtitles ... Read more, GPT-4 is not inferior to the GPT-4 in its capabilities 10"&amp;"/19/2023 Kategoria: Article-author: GPT Chat 0 Kittean Internet giant Baidu presented the updated version of its Ernie Bot chat. By power with GPT-4 from Openai. During the presentation, AI-Service demonstrated an understanding of complex questions The ab"&amp;"ility to create images and the implementation of elementary arithmetic ... Read the STRUP 10 Neurosete: Alternative Chat GPT19.10.2023 Caves: Article-author: GPT Chat 0Chat GPT revolutionized our use and programming more accessible to everyone. However, d"&amp;"ue to its global popularity, there are sometimes problems with the overload of the system that leads ... to read the Dlayekalcal with the ChatGPT-4V16.10.2023 Category code: Article-author: GPT Chat 0alvaro Sintas finally gained access to ChatGPT using Vi"&amp;"sion. The first thing he wanted to check was the possibility of encoding using the image and the results were stunning. Sending only the screenshot of the iOS heel, he ... Read more-Openai will study the possibility of creating its own artificial intellig"&amp;"ence chips16.10.2023 Katgoria: Articles: GPT Chat 0 Stracks report that Openai is considering the possibility of deepening the artificial intelligence chips and even carefully studied the potential prospects for acquisition. Although the final decision ha"&amp;"s not yet been made by Openai discusses the decisions ... Read more21 ChatGPT offer for business in 2023 10/16/2023 Katgoria: Articles: GPT Chat 021 ChatGPT, prompt to develop business in 2023. Hint: Create a comprehensive marketing plan for [company name"&amp;"] to increase the brand recognition and attract new potential customers. Hint: Create a list ... Read more. We represent the Dall-E 3 inside ChatGPT16.10.2023 Katgoria: Tools Author: GPT Chat 0C today Dall-E 3 Available inside ChatGPT. That is why Dall-E "&amp;"3 will improve faster than Midjourney: a multi-way dialogue multi-way dialogue is an excellent user interface for collecting people's reviews. People will explain that it is not ... Read more, can now gain access to the Internet 10/16/2023 Katgoria: Tools"&amp;" -author: GPT Chat 0 allows him to do what was not possible before. Here are 8 examples of what you can do using this Internet integration. Before we start paying attention: you can activate ... Read the dalenavigation by records12 ... 26th place of the C"&amp;"hatGPTANDRIDAPIPI GPT-4AUTOGPTCHATGPTGPT-5ChatGPT APICHATGPT ENTERPRISE status. CHATGPT PLUSCHAT GPT in Russiachatgpt prohibitingchatgpt how to usechat GPT Neurosetdallegleglegoogle bardgpt-4gpt-5gpt 4iosiphonekaiber aiopenaipalmappwhispergagglate Skursyp"&amp;"lagin Chatgpt Professaexyelation of the images are blocking the unrealistic-based articular articular articles of the articles ChatGPT can analyze the fileshatgpt: crises and calls of modern economics is not inferior to GPT-4 in its capabilities of 10 neu"&amp;"ral networks: alternative Chat GPTRUBRICS Video GPTRAMENTIONARYSTATIONALITIES in the CHATGPTCUNT CHETGPTCHATGPT 4 PLASAPI Promtygaydydyddall · E 2midjourneyvpn for ChatGPTTTELPHETENEPHPTTTECTELENT CCATCTACTTACTS CHEARTS 3S PARTERSENTS CHATGPTKACK TREATED "&amp;"CHATGPT What is CHATGPTOSHKA CHETGPT. Chat GPT1 of the best ChatGPTVPN plugins for Chat GPTKA to install ChatGPT on the iPhone5 of the best alternatives to ChatGPTATSTSTStattattattattatttatttatttatttatttatttatttatttatttesion Pro AppleCyberpunk 2077 © 2023"&amp;" Chat GPT Chat GPT-the neural network of the chatbot which is capable of conducting a dialogue. GPT-4 Chat (Chat GPT) is looking for errors in the code writes a diploma. You can register and enter the Chat GPT in Russia and in Russian on the website ChatG"&amp;"PT/ CEO.Chatgpt@gmail.com")</f>
        <v>Chat GPT - neural network Chat GPTSKIP to ContentChat GPTneRCE Chat GPTSearch: enter the ChatGPTSION CHATGPUN CHATGPTCHATGPT 4 PLUSAPIDYDALL · E 2MIDJURNEVPN for Chat GPT Telephone for ChatGPT contactsquest 3sites Partners need help in study? Try Chatgpt! Chatgpt-4 for free and without restrictions on the generation of images of the online registration of ChatGPT in Russia 02/01/2023 Katgoria: Toolmate: GPT Chat 120 Registration in Russia and other countries recently ChatGPT is very popular, but when registering in Russia, many are faced with the problem of the lack of service region. We’ll analyze the step -by -step ... read the ChatGPT01.02.2023 Kapategoria account: Tools Author: GPT Chat 31 Provide you the ready -made Chat GPT account with a login and password. Personal account* Chat GPT - 1000 rubles. - 499 rub. General account ** Chat GPT - 159 rubles. Buy ... read Dlayekak Connect ChatGPT-431.01.2023 Katgoria: Tools: GPT Chat 13 recognize with detailed guidelines for access to the first-class Openai service. In this article, we will give step-by-step instructions on how to use ChatGPT-4. With our clear instructions, it will be easy for you to reveal a huge potential ... Read more ChatGPT - example of tips28.01.2023 Katgoria: Tools: GPT Chat 1 Drive to the repository "Amazing Hints of ChatGPT"! This is a set of examples of prompts for use with the ChatGPT model. The ChatGPT model is a large language model trained Openai capable of generating humanoid text. Providing him with a hint ... Read more than 5 of the best alternatives to ChatGPT27.01.2023 Katgoria: Articles: GPT Chat 315 The best alternatives to Chatgpt, including free models, users seek ChatGPT alternatives for various reasons, including considerations of the CHATGPT of a slow -time response of the capacity of the capacity or simply from the daily. nuni. Regardless ... to read Dlayekak to use Chatgpt25.01.2023 Katgoria: Tools: GPT Chat 6th language processing tool using AI has become popular from the moment of its launch at the end of last year, but how do you use it and why? Do not want to understand ... Read the Free VPN Suitable Chat GPT24.01.2023 Katgoria: Tools Author: GPT Chat 38KAC Set VPN in the Chrome browser Suitable Chat GPT to start a couple of words about where to download additions (extensions) for a google browser. Everything is simple: click on three points ... Read the Dlayekak to get the ChatGPT23.01.2023 Kapetegoria API-key: The Apart Tools: GPT Chat 7 API key is the first step to access to the powerful capabilities of the ChatGPT language. Using the API key, you can easily integrate ChatGPT into your website mobile application ... Read more than 4 Turbo 07.11.2023 Katgoria: Articles: GPT Chat 0 What is GPT-4 Turbo? GPT-4 Turbo is our last generation model. It has a more functional level of knowledge as of April 2023 and represents a contextual ... Read the ChatGPT can analyze files 02.11.2023 Kategoria: Articles: GPT Chat 0 Relaxes ChatGPT PLUS now have the opportunity to download and check the files in the latest beta version. In addition, they can freely use functions such as viewing using bing since the chat boot reasonably defines the best mode ... Read more chassis and chasses and challenges of the modern economy 10.10.2023 of the: Article: GPT Chat 0 Modern World Economy is faced with many problems and challenges that affect Its stability and development. In this article, we will consider 25 key problems of the modern economy using subtitles ... Read more, GPT-4 is not inferior to the GPT-4 in its capabilities 10/19/2023 Kategoria: Article-author: GPT Chat 0 Kittean Internet giant Baidu presented the updated version of its Ernie Bot chat. By power with GPT-4 from Openai. During the presentation, AI-Service demonstrated an understanding of complex questions The ability to create images and the implementation of elementary arithmetic ... Read the STRUP 10 Neurosete: Alternative Chat GPT19.10.2023 Caves: Article-author: GPT Chat 0Chat GPT revolutionized our use and programming more accessible to everyone. However, due to its global popularity, there are sometimes problems with the overload of the system that leads ... to read the Dlayekalcal with the ChatGPT-4V16.10.2023 Category code: Article-author: GPT Chat 0alvaro Sintas finally gained access to ChatGPT using Vision. The first thing he wanted to check was the possibility of encoding using the image and the results were stunning. Sending only the screenshot of the iOS heel, he ... Read more-Openai will study the possibility of creating its own artificial intelligence chips16.10.2023 Katgoria: Articles: GPT Chat 0 Stracks report that Openai is considering the possibility of deepening the artificial intelligence chips and even carefully studied the potential prospects for acquisition. Although the final decision has not yet been made by Openai discusses the decisions ... Read more21 ChatGPT offer for business in 2023 10/16/2023 Katgoria: Articles: GPT Chat 021 ChatGPT, prompt to develop business in 2023. Hint: Create a comprehensive marketing plan for [company name] to increase the brand recognition and attract new potential customers. Hint: Create a list ... Read more. We represent the Dall-E 3 inside ChatGPT16.10.2023 Katgoria: Tools Author: GPT Chat 0C today Dall-E 3 Available inside ChatGPT. That is why Dall-E 3 will improve faster than Midjourney: a multi-way dialogue multi-way dialogue is an excellent user interface for collecting people's reviews. People will explain that it is not ... Read more, can now gain access to the Internet 10/16/2023 Katgoria: Tools -author: GPT Chat 0 allows him to do what was not possible before. Here are 8 examples of what you can do using this Internet integration. Before we start paying attention: you can activate ... Read the dalenavigation by records12 ... 26th place of the ChatGPTANDRIDAPIPI GPT-4AUTOGPTCHATGPTGPT-5ChatGPT APICHATGPT ENTERPRISE status. CHATGPT PLUSCHAT GPT in Russiachatgpt prohibitingchatgpt how to usechat GPT Neurosetdallegleglegoogle bardgpt-4gpt-5gpt 4iosiphonekaiber aiopenaipalmappwhispergagglate Skursyplagin Chatgpt Professaexyelation of the images are blocking the unrealistic-based articular articular articles of the articles ChatGPT can analyze the fileshatgpt: crises and calls of modern economics is not inferior to GPT-4 in its capabilities of 10 neural networks: alternative Chat GPTRUBRICS Video GPTRAMENTIONARYSTATIONALITIES in the CHATGPTCUNT CHETGPTCHATGPT 4 PLASAPI Promtygaydydyddall · E 2midjourneyvpn for ChatGPTTTELPHETENEPHPTTTECTELENT CCATCTACTTACTS CHEARTS 3S PARTERSENTS CHATGPTKACK TREATED CHATGPT What is CHATGPTOSHKA CHETGPT. Chat GPT1 of the best ChatGPTVPN plugins for Chat GPTKA to install ChatGPT on the iPhone5 of the best alternatives to ChatGPTATSTSTStattattattattatttatttatttatttatttatttatttatttatttesion Pro AppleCyberpunk 2077 © 2023 Chat GPT Chat GPT-the neural network of the chatbot which is capable of conducting a dialogue. GPT-4 Chat (Chat GPT) is looking for errors in the code writes a diploma. You can register and enter the Chat GPT in Russia and in Russian on the website ChatGPT/ CEO.Chatgpt@gmail.com</v>
      </c>
    </row>
    <row r="34">
      <c r="A34" s="1" t="s">
        <v>54</v>
      </c>
      <c r="B34" s="1" t="s">
        <v>142</v>
      </c>
      <c r="C34" s="1" t="s">
        <v>143</v>
      </c>
      <c r="D34" s="1">
        <v>2.0</v>
      </c>
      <c r="E34" s="4" t="s">
        <v>144</v>
      </c>
      <c r="F34" s="1" t="s">
        <v>43</v>
      </c>
      <c r="G34" s="1" t="s">
        <v>145</v>
      </c>
      <c r="H34" s="4" t="s">
        <v>146</v>
      </c>
      <c r="I34" s="2">
        <v>0.0</v>
      </c>
      <c r="J34" s="5" t="str">
        <f>IFERROR(__xludf.DUMMYFUNCTION("GOOGLETRANSLATE(A34)"),"chatgpt")</f>
        <v>chatgpt</v>
      </c>
      <c r="K34" s="6" t="str">
        <f>IFERROR(__xludf.DUMMYFUNCTION("GOOGLETRANSLATE(B34)"),"Introducing ChatGPT")</f>
        <v>Introducing ChatGPT</v>
      </c>
      <c r="L34" s="5" t="str">
        <f>IFERROR(__xludf.DUMMYFUNCTION("GOOGLETRANSLATE(C34)"),"November 30. 2022 -")</f>
        <v>November 30. 2022 -</v>
      </c>
      <c r="M34" s="5" t="str">
        <f>IFERROR(__xludf.DUMMYFUNCTION("GOOGLETRANSLATE(G34)"),"OpenAICloseSearch Submit Skip to main contentSite NavigationResearchOverviewIndexGPT-4DALL·E 3APIOverviewData privacyPricingDocsChatGPTOverviewEnterpriseTry ChatGPTSafetyCompanyAboutBlogCareersResidencyCharterSecurityCustomer storiesSearch Navigation quic"&amp;"k links Log inTry ChatGPTMenu Mobile Navigation CloseSite NavigationResearchOverviewIndexGPT-4DALL·E 3APIOverviewData privacyPricingDocsChatGPTOverviewEnterpriseTry ChatGPTSafetyCompanyAboutBlogCareersResidencyCharterSecurityCustomer stories Quick Links L"&amp;"og inTry ChatGPTSearch Submit  Your browser does not support the video tag. Creating safe AGI that benefits all of humanityQuicklinksLearn about OpenAIPioneering research on the path to AGILearn about our researchTransforming work and creativity with AIEx"&amp;"plore our productsJoin us in shaping the future of technologyView careersSafety &amp; responsibilityOur work to create safe and beneficial AI requires a deep understanding of the potential risks and benefits as well as careful consideration of the impact.Lear"&amp;"n about safetyResearchWe research generative models and how to align them with human values.Learn about our researchDALL·E 3 system cardOct 3 2023October 3 2023GPT-4V(ision) system cardSep 25 2023September 25 2023Confidence-Building Measures for Artificia"&amp;"l Intelligence: Workshop proceedingsAug 1 2023August 1 2023Frontier AI regulation: Managing emerging risks to public safetyJul 6 2023July 6 2023ProductsOur API platform offers our latest models and guides for safety best practices.Explore our productsCare"&amp;"ers at OpenAIDeveloping safe and beneficial AI requires people from a wide range of disciplines and backgrounds.View careersI encourage my team to keep learning. Ideas in different topics or fields can often inspire new ideas and broaden the potential sol"&amp;"ution space.Lilian WengApplied AI at OpenAIResearchOverviewIndexGPT-4DALL·E 3APIOverviewData privacyPricingDocsChatGPTOverviewEnterpriseTry ChatGPTCompanyAboutBlogCareersCharterSecurityCustomer storiesSafetyOpenAI © 2015 – 2023Terms &amp; policiesPrivacy poli"&amp;"cyBrand guidelinesSocialTwitterYouTubeGitHubSoundCloudLinkedInBack to top")</f>
        <v>OpenAICloseSearch Submit Skip to main contentSite NavigationResearchOverviewIndexGPT-4DALL·E 3APIOverviewData privacyPricingDocsChatGPTOverviewEnterpriseTry ChatGPTSafetyCompanyAboutBlogCareersResidencyCharterSecurityCustomer storiesSearch Navigation quick links Log inTry ChatGPTMenu Mobile Navigation CloseSite NavigationResearchOverviewIndexGPT-4DALL·E 3APIOverviewData privacyPricingDocsChatGPTOverviewEnterpriseTry ChatGPTSafetyCompanyAboutBlogCareersResidencyCharterSecurityCustomer stories Quick Links Log inTry ChatGPTSearch Submit  Your browser does not support the video tag. Creating safe AGI that benefits all of humanityQuicklinksLearn about OpenAIPioneering research on the path to AGILearn about our researchTransforming work and creativity with AIExplore our productsJoin us in shaping the future of technologyView careersSafety &amp; responsibilityOur work to create safe and beneficial AI requires a deep understanding of the potential risks and benefits as well as careful consideration of the impact.Learn about safetyResearchWe research generative models and how to align them with human values.Learn about our researchDALL·E 3 system cardOct 3 2023October 3 2023GPT-4V(ision) system cardSep 25 2023September 25 2023Confidence-Building Measures for Artificial Intelligence: Workshop proceedingsAug 1 2023August 1 2023Frontier AI regulation: Managing emerging risks to public safetyJul 6 2023July 6 2023ProductsOur API platform offers our latest models and guides for safety best practices.Explore our productsCareers at OpenAIDeveloping safe and beneficial AI requires people from a wide range of disciplines and backgrounds.View careersI encourage my team to keep learning. Ideas in different topics or fields can often inspire new ideas and broaden the potential solution space.Lilian WengApplied AI at OpenAIResearchOverviewIndexGPT-4DALL·E 3APIOverviewData privacyPricingDocsChatGPTOverviewEnterpriseTry ChatGPTCompanyAboutBlogCareersCharterSecurityCustomer storiesSafetyOpenAI © 2015 – 2023Terms &amp; policiesPrivacy policyBrand guidelinesSocialTwitterYouTubeGitHubSoundCloudLinkedInBack to top</v>
      </c>
    </row>
    <row r="35">
      <c r="A35" s="1" t="s">
        <v>54</v>
      </c>
      <c r="B35" s="1" t="s">
        <v>147</v>
      </c>
      <c r="C35" s="1" t="s">
        <v>148</v>
      </c>
      <c r="D35" s="1">
        <v>3.0</v>
      </c>
      <c r="E35" s="4" t="s">
        <v>149</v>
      </c>
      <c r="F35" s="1" t="s">
        <v>43</v>
      </c>
      <c r="G35" s="1" t="s">
        <v>145</v>
      </c>
      <c r="H35" s="4" t="s">
        <v>146</v>
      </c>
      <c r="I35" s="2">
        <v>0.0</v>
      </c>
      <c r="J35" s="5" t="str">
        <f>IFERROR(__xludf.DUMMYFUNCTION("GOOGLETRANSLATE(A35)"),"chatgpt")</f>
        <v>chatgpt</v>
      </c>
      <c r="K35" s="6" t="str">
        <f>IFERROR(__xludf.DUMMYFUNCTION("GOOGLETRANSLATE(B35)"),"Openai")</f>
        <v>Openai</v>
      </c>
      <c r="L35" s="5" t="str">
        <f>IFERROR(__xludf.DUMMYFUNCTION("GOOGLETRANSLATE(C35)"),"DALL·E 3 is now available in ChatGPT Plus and Enterprise. Oct 19, 2023October 19, 2023. ChatGPT Can Now See Hear And Speak. ChatGPT can now see, hear, and speak.")</f>
        <v>DALL·E 3 is now available in ChatGPT Plus and Enterprise. Oct 19, 2023October 19, 2023. ChatGPT Can Now See Hear And Speak. ChatGPT can now see, hear, and speak.</v>
      </c>
      <c r="M35" s="5" t="str">
        <f>IFERROR(__xludf.DUMMYFUNCTION("GOOGLETRANSLATE(G35)"),"OpenAICloseSearch Submit Skip to main contentSite NavigationResearchOverviewIndexGPT-4DALL·E 3APIOverviewData privacyPricingDocsChatGPTOverviewEnterpriseTry ChatGPTSafetyCompanyAboutBlogCareersResidencyCharterSecurityCustomer storiesSearch Navigation quic"&amp;"k links Log inTry ChatGPTMenu Mobile Navigation CloseSite NavigationResearchOverviewIndexGPT-4DALL·E 3APIOverviewData privacyPricingDocsChatGPTOverviewEnterpriseTry ChatGPTSafetyCompanyAboutBlogCareersResidencyCharterSecurityCustomer stories Quick Links L"&amp;"og inTry ChatGPTSearch Submit  Your browser does not support the video tag. Creating safe AGI that benefits all of humanityQuicklinksLearn about OpenAIPioneering research on the path to AGILearn about our researchTransforming work and creativity with AIEx"&amp;"plore our productsJoin us in shaping the future of technologyView careersSafety &amp; responsibilityOur work to create safe and beneficial AI requires a deep understanding of the potential risks and benefits as well as careful consideration of the impact.Lear"&amp;"n about safetyResearchWe research generative models and how to align them with human values.Learn about our researchDALL·E 3 system cardOct 3 2023October 3 2023GPT-4V(ision) system cardSep 25 2023September 25 2023Confidence-Building Measures for Artificia"&amp;"l Intelligence: Workshop proceedingsAug 1 2023August 1 2023Frontier AI regulation: Managing emerging risks to public safetyJul 6 2023July 6 2023ProductsOur API platform offers our latest models and guides for safety best practices.Explore our productsCare"&amp;"ers at OpenAIDeveloping safe and beneficial AI requires people from a wide range of disciplines and backgrounds.View careersI encourage my team to keep learning. Ideas in different topics or fields can often inspire new ideas and broaden the potential sol"&amp;"ution space.Lilian WengApplied AI at OpenAIResearchOverviewIndexGPT-4DALL·E 3APIOverviewData privacyPricingDocsChatGPTOverviewEnterpriseTry ChatGPTCompanyAboutBlogCareersCharterSecurityCustomer storiesSafetyOpenAI © 2015 – 2023Terms &amp; policiesPrivacy poli"&amp;"cyBrand guidelinesSocialTwitterYouTubeGitHubSoundCloudLinkedInBack to top")</f>
        <v>OpenAICloseSearch Submit Skip to main contentSite NavigationResearchOverviewIndexGPT-4DALL·E 3APIOverviewData privacyPricingDocsChatGPTOverviewEnterpriseTry ChatGPTSafetyCompanyAboutBlogCareersResidencyCharterSecurityCustomer storiesSearch Navigation quick links Log inTry ChatGPTMenu Mobile Navigation CloseSite NavigationResearchOverviewIndexGPT-4DALL·E 3APIOverviewData privacyPricingDocsChatGPTOverviewEnterpriseTry ChatGPTSafetyCompanyAboutBlogCareersResidencyCharterSecurityCustomer stories Quick Links Log inTry ChatGPTSearch Submit  Your browser does not support the video tag. Creating safe AGI that benefits all of humanityQuicklinksLearn about OpenAIPioneering research on the path to AGILearn about our researchTransforming work and creativity with AIExplore our productsJoin us in shaping the future of technologyView careersSafety &amp; responsibilityOur work to create safe and beneficial AI requires a deep understanding of the potential risks and benefits as well as careful consideration of the impact.Learn about safetyResearchWe research generative models and how to align them with human values.Learn about our researchDALL·E 3 system cardOct 3 2023October 3 2023GPT-4V(ision) system cardSep 25 2023September 25 2023Confidence-Building Measures for Artificial Intelligence: Workshop proceedingsAug 1 2023August 1 2023Frontier AI regulation: Managing emerging risks to public safetyJul 6 2023July 6 2023ProductsOur API platform offers our latest models and guides for safety best practices.Explore our productsCareers at OpenAIDeveloping safe and beneficial AI requires people from a wide range of disciplines and backgrounds.View careersI encourage my team to keep learning. Ideas in different topics or fields can often inspire new ideas and broaden the potential solution space.Lilian WengApplied AI at OpenAIResearchOverviewIndexGPT-4DALL·E 3APIOverviewData privacyPricingDocsChatGPTOverviewEnterpriseTry ChatGPTCompanyAboutBlogCareersCharterSecurityCustomer storiesSafetyOpenAI © 2015 – 2023Terms &amp; policiesPrivacy policyBrand guidelinesSocialTwitterYouTubeGitHubSoundCloudLinkedInBack to top</v>
      </c>
    </row>
    <row r="36">
      <c r="A36" s="1" t="s">
        <v>54</v>
      </c>
      <c r="B36" s="1" t="s">
        <v>55</v>
      </c>
      <c r="C36" s="1" t="s">
        <v>150</v>
      </c>
      <c r="D36" s="1">
        <v>4.0</v>
      </c>
      <c r="E36" s="4" t="s">
        <v>151</v>
      </c>
      <c r="F36" s="1" t="s">
        <v>43</v>
      </c>
      <c r="G36" s="1" t="s">
        <v>27</v>
      </c>
      <c r="H36" s="4" t="s">
        <v>28</v>
      </c>
      <c r="I36" s="2">
        <v>0.0</v>
      </c>
      <c r="J36" s="5" t="str">
        <f>IFERROR(__xludf.DUMMYFUNCTION("GOOGLETRANSLATE(A36)"),"chatgpt")</f>
        <v>chatgpt</v>
      </c>
      <c r="K36" s="6" t="str">
        <f>IFERROR(__xludf.DUMMYFUNCTION("GOOGLETRANSLATE(B36)"),"ChatGPT")</f>
        <v>ChatGPT</v>
      </c>
      <c r="L36" s="5" t="str">
        <f>IFERROR(__xludf.DUMMYFUNCTION("GOOGLETRANSLATE(C36)"),"ChatGPT, which stands for Chat Generative Pre-trained Transformer, is a large language model-based chatbot developed by OpenAI and launched on November 30, ...")</f>
        <v>ChatGPT, which stands for Chat Generative Pre-trained Transformer, is a large language model-based chatbot developed by OpenAI and launched on November 30, ...</v>
      </c>
      <c r="M36" s="5" t="str">
        <f>IFERROR(__xludf.DUMMYFUNCTION("GOOGLETRANSLATE(G36)"),"Wikipedia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37">
      <c r="A37" s="1" t="s">
        <v>54</v>
      </c>
      <c r="B37" s="1" t="s">
        <v>152</v>
      </c>
      <c r="C37" s="1" t="s">
        <v>153</v>
      </c>
      <c r="D37" s="1">
        <v>6.0</v>
      </c>
      <c r="E37" s="4" t="s">
        <v>154</v>
      </c>
      <c r="F37" s="1" t="s">
        <v>43</v>
      </c>
      <c r="G37" s="1" t="s">
        <v>97</v>
      </c>
      <c r="H37" s="4" t="s">
        <v>98</v>
      </c>
      <c r="I37" s="2">
        <v>0.0</v>
      </c>
      <c r="J37" s="5" t="str">
        <f>IFERROR(__xludf.DUMMYFUNCTION("GOOGLETRANSLATE(A37)"),"chatgpt")</f>
        <v>chatgpt</v>
      </c>
      <c r="K37" s="6" t="str">
        <f>IFERROR(__xludf.DUMMYFUNCTION("GOOGLETRANSLATE(B37)"),"ChatGPT on the App Store")</f>
        <v>ChatGPT on the App Store</v>
      </c>
      <c r="L37" s="5" t="str">
        <f>IFERROR(__xludf.DUMMYFUNCTION("GOOGLETRANSLATE(C37)"),"3 days ago -")</f>
        <v>3 days ago -</v>
      </c>
      <c r="M37" s="5" t="str">
        <f>IFERROR(__xludf.DUMMYFUNCTION("GOOGLETRANSLATE(G37)"),"App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8">
      <c r="A38" s="1" t="s">
        <v>54</v>
      </c>
      <c r="B38" s="1" t="s">
        <v>155</v>
      </c>
      <c r="C38" s="1" t="s">
        <v>156</v>
      </c>
      <c r="D38" s="1">
        <v>7.0</v>
      </c>
      <c r="E38" s="4" t="s">
        <v>157</v>
      </c>
      <c r="F38" s="1" t="s">
        <v>43</v>
      </c>
      <c r="G38" s="1" t="s">
        <v>158</v>
      </c>
      <c r="H38" s="4" t="s">
        <v>159</v>
      </c>
      <c r="I38" s="2">
        <v>1.0</v>
      </c>
      <c r="J38" s="5" t="str">
        <f>IFERROR(__xludf.DUMMYFUNCTION("GOOGLETRANSLATE(A38)"),"chatgpt")</f>
        <v>chatgpt</v>
      </c>
      <c r="K38" s="6" t="str">
        <f>IFERROR(__xludf.DUMMYFUNCTION("GOOGLETRANSLATE(B38)"),"What Is ChatGPT? Everything You Need to Know")</f>
        <v>What Is ChatGPT? Everything You Need to Know</v>
      </c>
      <c r="L38" s="5" t="str">
        <f>IFERROR(__xludf.DUMMYFUNCTION("GOOGLETRANSLATE(C38)"),"ChatGPT is a form of generative AI -- a tool that lets users enter prompts to receive humanlike images, text or videos that are created by AI.")</f>
        <v>ChatGPT is a form of generative AI -- a tool that lets users enter prompts to receive humanlike images, text or videos that are created by AI.</v>
      </c>
      <c r="M38" s="5" t="str">
        <f>IFERROR(__xludf.DUMMYFUNCTION("GOOGLETRANSLATE(G38)"),"Purchase Intent Data for Enterprise Tech Sales and Marketing | TechTarget    Why TechTargetBackWhy TechTarget									Audiences																	Intent Data																	Engines of Business Outcomes																	Supporting Your GTM																	Th"&amp;"e TechTarget Brands								View Our CapabilitiesSolutionsBackSolutions							Strategy &amp; GTM Expertise																	Improve GTM Strategy and Execution																					Continuously Leverage Market Experts										More About Strategy &amp; GTM ExpertiseE"&amp;"nterprise Strategy Group: Go-to-market Expertise to Help You Win Watch the Video							ABM/ABX																	Enhance Target Account Lists																					Prioritize Target Account Lists																					Engage Target Accounts																					"&amp;"Build Up Your Own Audiences																					Uncover Buying Team Contacts																					Measure Success										More About ABM/ABX							Tech Marketing																	Enhance Your Contact Database																					Build Awareness												"&amp;"									Generate Better Leads																					Drive In-Person Event Attendance																					Deliver Better Webinars and Virtual Events																					Convert Website Visitors																					Enable Sales &amp; Channel										More About "&amp;"Tech Marketing							Partner Marketing																	Strategy Services																					Content Services																					Demand Services																					Channel Marketing																					Partner Marketing Visionaries Community										Mo"&amp;"re About Partner Marketing			The Partner Marketing Visionaries™ Summit Explores Key Areas Within Strategic Partnerships							Watch Now							Tech Sales																	Prioritize Outreach																					Reach the Right Prospects																					"&amp;"Improve Response Rates																					Access Live Projects																					Generate Meetings &amp; Opps										More About Tech SalesView Our SolutionsProductsBackProducts							Digital Advertising																	Data-Driven Display																"&amp;"					Custom &amp; Native Web Sites																					BrightTALK Summits										Digital Advertising							Demand Gen &amp; ABM																	Priority Engine																					Lead Generation																					Custom Content																					BrightTALK"&amp;" Portfolio																					Contact Data Services										Demand Gen &amp; ABM							Sales Enablement																	Sales-Quality Leads																					Priority Engine																					Custom Content										Sales Enablement							Strategic Serv"&amp;"ices																	Research Advisory &amp; Consulting																					Custom Research &amp; Consulting																					Strategic Buyer Insights																					BrightTALK Studios Video Production										Strategic ServicesEnterprise Strategy Group:"&amp;" Go-to-market Expertise to Help You Win Watch the VideoView Our ProductsCustomersBackCase StudiesReviewsAward ProgramsResourcesBackResource LibraryBlogCompanyBackAbout TechTargetPress RoomCareersEditorialContact UsInvestor RelationsProduct DemoEditorialPr"&amp;"iority Engine LoginGlobalBackFrançaisDeutschGlobal MarketsEditorialPriority Engine LoginGlobalFrançaisDeutschGlobal Markets  Why TechTargetWhy TechTarget										Audiences																			Intent Data																			Engines of Business Outcomes						"&amp;"													Supporting Your GTM																			The TechTarget Brands									View Our CapabilitiesCloseAudiencesConnect with more active buying teams and shape the decisions they make																					Learn More																			TechTarget and Bri"&amp;"ghtTALK: The Best Audience for Your Enterprise Tech Watch the VideoCloseIntent DataA competitive advantage available only at TechTarget																					Learn More																						Making Sense of B2B Purchase Intent Data and Putting It to Use					"&amp;"		Download the E-bookCloseEngines of Business OutcomesMuch more than technology we guide you and help you to scale																					Learn More																			CloseSupporting Your GTMFrom build through execution to optimization we’re there for you			"&amp;"																		Learn More																			CloseThe TechTarget BrandsWith more tech buyers doing more pre-purchase research here than anywhere else we’ve built a better context to support your GTM objectives.																					Learn More												"&amp;"							SolutionsSolutions										Strategy &amp; GTM Expertise																			ABM/ABX																			Tech Marketing																			Partner Marketing																			Tech Sales									View Our SolutionsStrategy &amp; GTM Expertise											Improve GT"&amp;"M Strategy and Execution																					Continuously Leverage Market Experts										More About Strategy &amp; GTM ExpertiseCloseImprove GTM Strategy and ExecutionWe help you get the strategy right and then execute it better.																							Learn"&amp;" More																					Enterprise Strategy Group: Go-to-market Expertise to Help You Win Watch the VideoCloseContinuously Leverage Market ExpertsWhen you can stop guessing every action becomes more effective.																							Learn More											"&amp;"										Technology Spending Intentions and Buyer Behavior in an Uncertain Economic ClimateWatch the VideoABM/ABX											Enhance Target Account Lists																					Prioritize Target Account Lists																					Engage Target Accounts							"&amp;"														Build Up Your Own Audiences																					Uncover Buying Team Contacts																					Measure Success										More About ABM/ABXCloseEnhance Target Account ListsBeyond lookalikes we show you what's actually happening in your mark"&amp;"ets.																							Learn More																					Better ABM: Five Lessons Developer Marketing Can Teach All ABMersDownload the E-bookClosePrioritize Target Account ListsHealthier pipelines come fastest from jumping on the demand that’s active now"&amp;".																							Learn More																					ABM Success Is Driven by PeopleDownload the E-bookCloseEngage Target AccountsBetter ways to be present and relevant to the people that matter.																							Learn More																					A Sh"&amp;"ort End-to-End Guide to ABM EngagementDownload the E-bookCloseBuild Up Your Own AudiencesUnique content channels that help you achieve long-term scalable yields from your target accounts																							Learn More																					CloseUncover Bu"&amp;"ying Team ContactsPractical de-anonymization for marketing and sales.																							Learn More																					3 C's for Understanding Real Intent Data: Context Content and Contacts Download the E-bookCloseMeasure SuccessTrack alignment progre"&amp;"ss and opportunity.																							Learn More																					Capitalizing on ABM Engagement: Measure Right then OptimizePlay the webinarTech Marketing											Enhance Your Contact Database																					Build Awareness																	"&amp;"				Generate Better Leads																					Drive In-Person Event Attendance																					Deliver Better Webinars and Virtual Events																					Convert Website Visitors																					Enable Sales &amp; Channel										More About Tech "&amp;"MarketingCloseEnhance Your Contact DatabaseCleanse and append as needed.																							Learn More																					The Right Contacts Clean and CompleteDownload the Product SheetCloseBuild AwarenessBe in front of the best audience hyper-targete"&amp;"d and hyper-efficient.																							Learn More																					Tap into the Power of Brand AdvertisingDownload the E-bookCloseGenerate Better LeadsQuality comes from the right audience in the right context.																							Learn More			"&amp;"																		The Modern Demand Gen Engine: Everything You Need to Know to SucceedDownload the E-bookCloseDrive In-Person Event AttendanceEvents pay off when you get more of the right people to attend.																							Learn More																	"&amp;"				Using Intent Data to Improve Event MarketingDownload the E-bookCloseDeliver Better Webinars and Virtual EventsPresence and relevance where more buyers want you to be.																							Learn More																					Flip the Switch on Virtual Even"&amp;"ts Download the E-bookCloseConvert Website VisitorsWe illuminate the engaged web visitors that remain anonymous to you so can convert more of them.																							Learn More																					Convert More Web Visits to Leads with Priority Engine™"&amp;" Inbound ConverterDownload the InfographicCloseEnable Sales &amp; ChannelBecause many Sales and Partner organizations require more.																							Learn More																								Accelerate Your Pipeline with High-Quality Leads and Confirmed Projects"&amp;"™							Download the Product SheetPartner Marketing											Strategy Services																					Content Services																					Demand Services																					Channel Marketing																					Partner Marketing Visionaries Community					"&amp;"					More About Partner MarketingCloseStrategy ServicesExpert guidance to inform joint GTM strategy and messaging																							Learn More																					Marketing with and through Partners: The Power of Co-MarketingPlay the WebinarCloseConte"&amp;"nt ServicesCompelling joint content for every stage of the buyer’s journey																							Learn More																					Developing and Activating Your Content Strategy With and Through Partners Play the WebinarCloseDemand ServicesAccess and influe"&amp;"nce active buyers to drive partner pipeline																							Learn More																								Guiding the IT Buying Journey: Strategies for Partner Marketing							Play the WebinarCloseChannel MarketingRecruit and enable channel partners to grow you"&amp;"r ecosystem																							Learn More																					Achieving Channel Growth by Recruiting Influential MSPsDownload the E-bookClosePartner Marketing Visionaries CommunityInsights and best practices from the top Partner Marketers in B2B tech		"&amp;"																					Learn More																								The Partner Marketing Visionaries™ Summit Explores Key Areas Within Strategic Partnerships							Watch NowTech Sales											Prioritize Outreach																					Reach the Right Prospects								"&amp;"													Improve Response Rates																					Access Live Projects																					Generate Meetings &amp; Opps										More About Tech SalesClosePrioritize OutreachYour direct route to productivity improvement.																							Learn More"&amp;"																					How Does Your Sales Development Program Measure Up?Download the E-bookCloseReach the Right ProspectsOptimize effort for higher total returns.																							Learn More																					Is Bad Outreach Killing Your Business?D"&amp;"ownload the InfographicCloseImprove Response RatesMaximize conversion by being relevant.																							Learn More																								Frightening Realities: Improve SDR Impact							Download the E-bookCloseAccess Live ProjectsPenetrate solution"&amp;" projects you can't otherwise see.																							Learn More																					Accelerate Pipeline with TechTarget’s Confirmed Projects™Download the Product SheetCloseGenerate Meetings &amp; OppsOutreach that's on-point for real buyers.														"&amp;"									Learn More																					Inside Sales: It's Time to Bury Your Cold Contact List Download the E-bookProductsProducts										Digital Advertising																			Demand Gen &amp; ABM																			Sales Enablement																			Strateg"&amp;"ic Services									View Our ProductsDigital Advertising											Data-Driven Display																					Custom &amp; Native Web Sites																					BrightTALK Summits										View Our ProductsCloseData-Driven DisplayTargeted advertising solutions re"&amp;"aching the Web’s most active B2B tech buyers																							Learn More																								The Death of Third-Party Cookies: What’s Next for Intent-Based Digital Advertising?							Read the BlogCloseCustom &amp; Native Web SitesCustomized online env"&amp;"ironments for deep user engagement																							Learn More																					3 C's for Understanding Real Intent Data: Context Content and Contacts Download the E-bookCloseBrightTALK SummitsOnline sponsorable enterprise tech Summits keynoted by"&amp;" leading industry experts																							Learn More																								Webinar Series for ABM: An 8-Step Planning Framework							Download the E-bookDemand Gen &amp; ABM											Priority Engine																					Lead Generation																	"&amp;"				Custom Content																					BrightTALK Portfolio																					Contact Data Services										View Our ProductsClosePriority EngineThe industry’s most powerful Prospect-Level Intent™ data																							Learn More																		"&amp;"						Making Sense of B2B Purchase Intent Data and Putting It to Use							Download the E-bookCloseLead GenerationAI-driven contextually precise syndication leads that convert																							Learn More																					Beware of ROI Killers: Boo"&amp;"st Lead Generation With Intelligent AutomationPlay the WebinarCloseCustom ContentTrusted research-based content by experts coupled with superior production assistance engages prospects more productively across your GTM																							Learn More				"&amp;"																				What Is Great Content for Buyers and Why's It So Hard?							Download the E-bookCloseBrightTALK PortfolioFrom webinars to virtual events leverage our unrivaled B2B audience easy-to-use platform and robust services to engage professiona"&amp;"ls in the ways they prefer																							Learn More																					Build a Better Webinar: Creating a Promotion Plan Download the E-bookCloseContact Data ServicesOver 70 million high-quality U.S. contacts to enrich your database														"&amp;"									Learn More																					The Right Contacts Clean and CompleteDownload the Product SheetSales Enablement											Sales-Quality Leads																					Priority Engine																					Custom Content										View Our ProductsCloseSal"&amp;"es-Quality LeadsVerified active deal reports detailing confirmed tech-project plans																							Learn More																								Accelerate Your Pipeline with High-Quality Leads and Confirmed Projects™							Download the Product SheetClosePrior"&amp;"ity EngineThe industry’s most powerful Prospect-Level Intent™ data																							Learn More																								Making Sense of B2B Purchase Intent Data and Putting It to Use							Download the E-bookCloseCustom ContentTrusted research-based co"&amp;"ntent by experts coupled with superior production assistance engages prospects more productively across your GTM																							Learn More																								What Is Great Content for Buyers and Why's It So Hard?							Download the E-bookStrate"&amp;"gic Services											Research Advisory &amp; Consulting																					Custom Research &amp; Consulting																					Strategic Buyer Insights																					BrightTALK Studios Video Production										View Our ProductsCloseResearch Advisory &amp; "&amp;"ConsultingExpert guidance for strategic planning product development messaging ideation and positioning to improve GTM execution																							Learn More																					Enterprise Strategy Group: Go-to-market Expertise to Help You Win Watch t"&amp;"he VideoCloseCustom Research &amp; ConsultingCompetitive analysis partner program optimization and other custom services that deliver client-specific insights to increase GTM opportunities																							Learn More																					Enterprise Strate"&amp;"gy Group: Go-to-market Expertise to Help You Win Watch the VideoCloseStrategic Buyer InsightsCustomized reports combining buyer intent data market trends and research to guide your GTM																							Learn More																								What Is Great "&amp;"Content for Buyers and Why's It So Hard?							Download the E-bookCloseBrightTALK Studios Video ProductionFull-service video production and management to ensure your brand stands out																							Learn More																					CustomersCase Studi"&amp;"esReviewsAward ProgramsResourcesResource LibraryBlogCompanyAbout TechTargetPress RoomCareersEditorialContact UsInvestor Relations 								Product Demo							 ✕More Go for Your Go-to-MarketThe right insights. The right actions. Fuel and precision tuning fo"&amp;"r every part of your engine.✕More Go for Your Go-to-MarketThe right insights. The right actions. Fuel and precision tuning for every part of your engine.The context of modern tech businessMaximum GTM performance requires doing all the right things in exac"&amp;"tly the right context. If you aren’t where the buyers are buying you’re inefficient. On TechTarget’s network of 150+ websites and 1100+ content channels we create the modern digital buying context. That’s why more of your buyers are doing purchase researc"&amp;"h here than anywhere else. Then we provide the perfect combination of capabilities to intercept many more of them much faster.Show me the dataShow me active buyer volumes in my categoryCloser to your ICPsYou can’t do more business without engaging more of"&amp;" the right people. Because of our content publishing model even when the buyers you want aren’t on your website they are active on ours. With 30M+ opt-in tech professionals your critical targets are researching with us right now. And since they’re already"&amp;" engaging with us in a buying context it’s why we can make so many of your GTM jobs much much easier. learn moreExplore Our WebsitesHow TechTarget’s audiences align with your marketExample: Endpoint Security9600+ accounts active164100+ activities taken595"&amp;"0+ leads deliveredConnected to real buyersA cold contact supplier can only tell you who might be the right people leaving you to pound away at low-quality high-volume outreach. That’s what the intent data revolution is all about. Active prospects are doin"&amp;"g purchase research with us right now using the proprietary content we build. So we can tell you precisely who you should prioritize and what to say. We share more real buying team members in the context of more real purchases directly with you.Learn more"&amp;"150+technology websites#1in Google for B2B tech1000+full-time editors and contributors410Kindexed Google pages20+industry analysts19Mmonthly visitsSearch for active demand in your category30M+ opt-in tech prospects and growing. Priority Engine™ gives you "&amp;"direct access to the most active buyers in your space. Download full listAsk an expert#1in Intent Data forEnterpriseTechSearch (e.g. Cloud Network Storage Security)Search				TechTarget offers insight about the following market categories			﻿CATEGORY NAME "&amp;"TOTAL COMPANIES  YEARLY CATEGORY ACTIVITY  TOTAL PROSPECTS Showing 20 out of 0 matched results			We could not find any results matching that criteria.		talk to an expertSearch for active demand in your category30M+ opt-in tech prospects and growing. Prior"&amp;"ity Engine™ gives you direct access to the most active buyers in your space. Download full listAsk an expert#1in Intent Data forEnterpriseTechSearch (e.g. Cloud Network Storage Security)Search				TechTarget offers insight about the following market catego"&amp;"ries			﻿CATEGORY NAME TOTAL COMPANIES  YEARLY CATEGORY ACTIVITY  TOTAL PROSPECTS Showing 20 out of 0 matched results			We could not find any results matching that criteria.		talk to an expertConnected to real buyersScalable at speedYou want better yields "&amp;"from your plans. We’ll help you magnify them for maximum impact. From hyper-granular awareness-building advertising solutions to precision intent data and specialized lead types we energize any campaign or target account list for sales and marketing alike"&amp;". Armed with the best data in the world our platforms and full-range services can turbo-charge your programs to win.Learn moreAligned for better businessTo maximize GTM potential you need three core elements working perfectly together:You’ve got to perfec"&amp;"tly position for your ICPs.You have to optimize execution across multiple channels.And you’ve got to stay pipeline-productive even as you scale.Since weakness in one GTM area can undermine the whole we’ve built TechTarget to help you strengthen each criti"&amp;"cal function. We help your teams deliver better for each other and better for the business end-to-end.Learn moreBuilt to give you leverageTechTarget’s offerings meet every client where they are from start-ups to the world’s most sophisticated players. Tha"&amp;"t’s why more than 3000 of the best companies in every tech category look to us for the best ways to build on what they’ve already got. We can integrate our platforms into your stack or you can use them as standalones. We can build programs for you from sc"&amp;"ratch or help make what you’ve built out-perform past ROIs.learn moreWorld’s largest proprietary networkToo many tech marketing teams waste time and ad dollars scouring the web for disconnected crumbs. The internet doesn’t actually function that way! Buye"&amp;"rs go to the sites they already use or they search for the information that reputable outlets are known to supply. That’s why TechTarget’s content usually shows up right on the first page of any Google search for enterprise tech. It’s why we’ve structured"&amp;" our network to cover the solution topics that matter most. So don’t get stuck fumbling around in some AI-scraped dark funnel because we’re constantly shining a light on more business for you right now. Explore the TechTarget NetworkAI BI and Big Data + S"&amp;"how More- Show LessBrightTALK by TechTarget: Big Data and Data Management CommunityBrightTALK by TechTarget: Business Intelligence and Analytics CommunityEnterprise Strategy Group by TechTarget: Data Analytics and AI Enterprise Strategy Group by TechTarge"&amp;"t: Data Management TechTarget BI ChinaTechTarget Business AnalyticsTechTarget ComputerWeekly.comTechTarget ComputerWeekly.com.brTechTarget ComputerWeekly.deTechTarget ComputerWeekly.esTechTarget Database ChinaTechTarget Data ManagementTechTarget Data Scie"&amp;"nce CentralTechTarget Enterprise AITechTarget Information System JapanTechTarget IoT AgendaTechTarget LeMagITTechTarget Search OracleTechTarget Search SAPTechTarget SMB JapanApplication Development + Show More- Show LessBrightTALK by TechTarget: Applicati"&amp;"on Development Community BrightTALK by TechTarget: Application Management CommunityEnterprise Strategy Group by TechTarget: Application ModernizationTechTarget App ArchitectureTechTarget ComputerWeekly.comTechTarget ComputerWeekly.com.brTechTarget Compute"&amp;"rWeekly.deTechTarget ComputerWeekly.esTechTarget Develop JapanTechTarget LeMagIT TechTarget Software QualityTechTarget TheServerSideBusiness Applications + Show More- Show LessBrightTALK by TechTarget: Business Management CommunityBrightTALK by TechTarget"&amp;": Enterprise Applications CommunityBrightTALK by TechTarget: Finance CommunityBrightTALK by TechTarget: HR CommunityBrightTALK by TechTarget: Legal CommunityBrightTALK by TechTarget: Marketing CommunityBrightTALK by TechTarget: Sales CommunityTechTarget C"&amp;"omputerWeekly.comTechTarget ComputerWeekly.com.brTechTarget ComputerWeekly.deTechTarget ComputerWeekly.esTechTarget Content ManagementTechTarget Customer ExperienceTechTarget Customer Experience JapanTechTarget Database ChinaTechTarget ERPTechTarget ERP J"&amp;"apanTechTarget HR SoftwareTechTarget LeMagIT TechTarget Search OracleTechTarget Search SAPTechTarget SMB JapanCIO and IT Strategy + Show More- Show LessBrightTALK by TechTarget: IT Governance Risk and Compliance CommunityTechTarget CIOTechTarget CIO China"&amp;"TechTarget Educational IT JapanTechTarget Management and IT JapanTechTarget SMB JapanCloud Infrastructureand IT Operations+ Show More- Show LessBrightTALK by TechTarget: Cloud Computing CommunityBrightTALK by TechTarget: Help Desk and Support CommunityBri"&amp;"ghtTALK by TechTarget: IT Project Management CommunityEnterprise Strategy Group by TechTarget: InfrastructureEnterprise Strategy Group by TechTarget: OperationsTechTarget Cloud ComputingTechTarget Cloud Computing ChinaTechTarget Cloud JapanTechTarget Comp"&amp;"uterWeekly.comTechTarget ComputerWeekly.com.brTechTarget ComputerWeekly.deTechTarget ComputerWeekly.esTechTarget IT OperationsTechTarget LeMagIT TechTarget Search AWSTechTarget Systems Develop JapanTechTarget Systems Operation Management JapanCustomer Exp"&amp;"erience + Show More- Show LessBrightTALK by TechTarget: Customer Experience CommunityEnterprise Strategy Group by TechTarget: Customer ExperienceTechTarget ComputerWeekly.comTechTarget ComputerWeekly.com.brTechTarget ComputerWeekly.deTechTarget ComputerWe"&amp;"ekly.esTechTarget LeMagIT TechTarget Customer ExperienceTechTarget Customer Experience JapanData Center and Virtualization + Show More- Show LessBrightTALK by TechTarget: Data Center Management CommunityBrightTALK by TechTarget: Virtualization CommunityEn"&amp;"terprise Strategy Group by TechTarget TechTarget ComputerWeekly.comTechTarget ComputerWeekly.com.brTechTarget ComputerWeekly.deTechTarget ComputerWeekly.esTechTarget Data Analysis JapanTechTarget Data CenterTechTarget Data Center ChinaTechTarget Data Cent"&amp;"er ItalyTechTarget LeMagIT TechTarget Search VMwareTechTarget Search Windows ServerTechTarget Servers and Storage JapanTechTarget SMB JapanTechTarget Sustainability and ESGTechTarget Virtual ChinaTechTarget Virtualization JapanEnd User Computing + Show Mo"&amp;"re- Show LessBrightTALK by TechTarget: End User Computing CommunityBrightTALK by TechTarget: Mobile Computing CommunityEnterprise Strategy Group by TechTarget: End User ComputingTechTarget ComputerWeekly.comTechTarget ComputerWeekly.com.brTechTarget Compu"&amp;"terWeekly.deTechTarget ComputerWeekly.esTechTarget Enterprise DesktopTechTarget LeMagIT TechTarget Mobile ComputingTechTarget Smart Mobile JapanTechTarget Virtual ChinaTechTarget Virtual DesktopData Protection and Storage + Show More- Show LessBrightTALK "&amp;"by TechTarget: Business Continuity/Disaster Recovery CommunityBrightTALK by TechTarget: Storage CommunityEnterprise Strategy Group by TechTarget: Data ProtectionTechTarget ComputerWeekly.comTechTarget ComputerWeekly.com.brTechTarget ComputerWeekly.deTechT"&amp;"arget ComputerWeekly.esTechTarget Data BackupTechTarget Disaster RecoveryTechTarget LeMagIT TechTarget Servers and Storage JapanTechTarget SMB JapanTechTarget StorageTechTarget Storage ChinaTechTarget Virtual ChinaTechTarget Virtualization Japan Health IT"&amp;" + Show More- Show LessBrightTALK by TechTarget: Health IT CommunityTechTarget EHRIntelligenceTechTarget HealthCareExecIntelligenceTechTarget Health ITTechTarget HealthITAnalyticsTechTarget HealthITSecurityTechTarget HealthPayerIntelligenceTechTarget HITI"&amp;"nfrastructureTechTarget LifeSciencesIntelligenceTechTarget Medical IT JapanTechTarget mHealthIntelligenceTechTarget PatientEngagementHITTechTarget PharmaNewsIntelligenceTechTarget RevCycleIntelligenceTechTarget Xtelligent Healthcare Media Security + Show "&amp;"More- Show LessBrightTALK by TechTarget: IT Security CommunityEnterprise Strategy Group by TechTarget: CybersecurityTechTarget ComputerWeekly.comTechTarget ComputerWeekly.com.brTechTarget ComputerWeekly.deTechTarget ComputerWeekly.esTechTarget IoT AgendaT"&amp;"echTarget SecurityTechTarget Security ChinaTechTarget Security ItalyTechTarget Security JapanTechTarget SMB JapanNetworking + Show More- Show LessBrightTALK by TechTarget: Network Infrastructure CommunityEnterprise Strategy Group by TechTarget: Networking"&amp;"TechTarget ComputerWeekly.comTechTarget ComputerWeekly.com.brTechTarget ComputerWeekly.deTechTarget ComputerWeekly.esTechTarget IoT AgendaTechTarget LeMagIT TechTarget NetworkingTechTarget Networking ChinaTechTarget Network JapanTechTarget SMB JapanUnifie"&amp;"d Communicationsand Collaboration+ Show More- Show LessBrightTALK by TechTarget: Collaboration and UC CommunityEnterprise Strategy Group by TechTarget: UC and CollaborationTechTarget ComputerWeekly.comTechTarget ComputerWeekly.com.brTechTarget ComputerWee"&amp;"kly.deTechTarget ComputerWeekly.esTechTarget LeMagIT TechTarget Unified CommunicationsTechTarget Unified Communications JapanChannel Resources + Show More- Show LessBrightTALK by TechTarget Enterprise Strategy Group by TechTargetTechTarget IT ChannelTechT"&amp;"arget  MicroScope.co.ukTechnology Content Libraries + Show More- Show LessBrightTALK by TechTarget TechTarget Bitpipe ChinaTechTarget Bitpipe.comTechTarget Bitpipe.com.brTechTarget Bitpipe.frTechTarget de.Bitpipe.comTechTarget es.Bitpipe.comTechTarget kr."&amp;"Bitpipe.comTechTarget WhatIs3000 clients already crushing itWe build our buyer audiences for companies like yours. We see where markets are going because our publishing business depends on it. If your space is new we educate the audience. If you’re defend"&amp;"ing a legacy position we support your specific situation.View Case StudiesAI BI &amp; Big DataApplication DevelopmentBusiness ApplicationsCloud Infrastructure &amp; IT OpsData Center &amp; VirtualizationData Protection &amp; StorageDistribution/Channel PartnersEnd User C"&amp;"omputingNetworkingSecurityUC &amp; CollaborationBy company size:By company sizeSmallMidLargeIn diverse categories like AI BI &amp; Big Data more vendors turn to TechTarget because of the hyper-specificity we can provide. Leaders in cloud-native architectures low-"&amp;" and no-code platforms and more turn to TechTarget to strengthen their GTMs. CRM. CX. SCM. HCM. ERP. ECM. Whatever your acronym we capture the audiences that help more innovative business application vendors succeed. Just as Cloud &amp; DevOps go hand-in-hand"&amp;" all of the top 5 cloud application vendors and all of the top 15 hybrid cloud vendors turn to TechTarget. The top vendors winning in the Data Center &amp; Virtualization space depend on TechTarget to fuel their pipelines. As Storage technology continues to a"&amp;"dvance Storage players know that TechTarget captures their audiences. Channel players are quickly discovering there’s incredible value in real purchase intent for growing more business faster. As EUC continues to evolve more innovative companies continuou"&amp;"sly rely on TechTarget. We connect more great networking vendors to more great networking customers than anyone else. In the exploding Security space the top players turn to TechTarget. Unified Communications Collaboration and Call Center tech have never "&amp;"been more important. That’s why industry leaders use TechTarget to compete. More fast-moving disrupters choose TechTarget to outpace their competitionFor mid-sized companies TechTarget provides the right combination of actionable insights and easy-to-use "&amp;"services to scale.Audiences and insights the world's most successful tech companies depend on.Latest sales &amp; marketing thinking Visit resourcesVisit resources 									Webinars/Events								Demand GenerationHow Infinidat Drove Pipeline Through Third-Part"&amp;"y Validation 									Video								Intent DataBreak Through with Real Personalization: Priority Engine’s IntentMail AI 									Blog Post								Partner Marketing3 Steps to Make the Most of Your Partner Marketing Budget in 2024 									Webinars/Events			"&amp;"					Intent DataLast-Mile Personalization: Intent Insights and Sales Outreach				Contact Sales							Contact Sales			CompanyLeadershipCareersPress RoomContact UsInvestor RelationsPrivacy and Security Trust CenterCustomer SuccessWhy TechTargetAudiencesInte"&amp;"nt DataEngines of Business OutcomesSupporting Your GTMThe TechTarget BrandsSolutionsStrategy &amp; GTM ExpertiseABM/ABXTech MarketingPartner MarketingTech SalesProductsPriority EngineData-Driven DisplaySales-Quality LeadsLead GenerationCustom ContentResearch "&amp;"Advisory &amp; ConsultingStrategic Buyer InsightGlobalFrançaisDeutschGlobal Markets Privacy PolicyLegalDO NOT SELL OR SHARE MY PERSONAL INFORMATIONCookie PreferencesCookie Preferences© 2023 TECHTARGET")</f>
        <v>Purchase Intent Data for Enterprise Tech Sales and Marketing | TechTarget    Why TechTargetBackWhy TechTarget									Audiences																	Intent Data																	Engines of Business Outcomes																	Supporting Your GTM																	The TechTarget Brands								View Our CapabilitiesSolutionsBackSolutions							Strategy &amp; GTM Expertise																	Improve GTM Strategy and Execution																					Continuously Leverage Market Experts										More About Strategy &amp; GTM ExpertiseEnterprise Strategy Group: Go-to-market Expertise to Help You Win Watch the Video							ABM/ABX																	Enhance Target Account Lists																					Prioritize Target Account Lists																					Engage Target Accounts																					Build Up Your Own Audiences																					Uncover Buying Team Contacts																					Measure Success										More About ABM/ABX							Tech Marketing																	Enhance Your Contact Database																					Build Awareness																					Generate Better Leads																					Drive In-Person Event Attendance																					Deliver Better Webinars and Virtual Events																					Convert Website Visitors																					Enable Sales &amp; Channel										More About Tech Marketing							Partner Marketing																	Strategy Services																					Content Services																					Demand Services																					Channel Marketing																					Partner Marketing Visionaries Community										More About Partner Marketing			The Partner Marketing Visionaries™ Summit Explores Key Areas Within Strategic Partnerships							Watch Now							Tech Sales																	Prioritize Outreach																					Reach the Right Prospects																					Improve Response Rates																					Access Live Projects																					Generate Meetings &amp; Opps										More About Tech SalesView Our SolutionsProductsBackProducts							Digital Advertising																	Data-Driven Display																					Custom &amp; Native Web Sites																					BrightTALK Summits										Digital Advertising							Demand Gen &amp; ABM																	Priority Engine																					Lead Generation																					Custom Content																					BrightTALK Portfolio																					Contact Data Services										Demand Gen &amp; ABM							Sales Enablement																	Sales-Quality Leads																					Priority Engine																					Custom Content										Sales Enablement							Strategic Services																	Research Advisory &amp; Consulting																					Custom Research &amp; Consulting																					Strategic Buyer Insights																					BrightTALK Studios Video Production										Strategic ServicesEnterprise Strategy Group: Go-to-market Expertise to Help You Win Watch the VideoView Our ProductsCustomersBackCase StudiesReviewsAward ProgramsResourcesBackResource LibraryBlogCompanyBackAbout TechTargetPress RoomCareersEditorialContact UsInvestor RelationsProduct DemoEditorialPriority Engine LoginGlobalBackFrançaisDeutschGlobal MarketsEditorialPriority Engine LoginGlobalFrançaisDeutschGlobal Markets  Why TechTargetWhy TechTarget										Audiences																			Intent Data																			Engines of Business Outcomes																			Supporting Your GTM																			The TechTarget Brands									View Our CapabilitiesCloseAudiencesConnect with more active buying teams and shape the decisions they make																					Learn More																			TechTarget and BrightTALK: The Best Audience for Your Enterprise Tech Watch the VideoCloseIntent DataA competitive advantage available only at TechTarget																					Learn More																						Making Sense of B2B Purchase Intent Data and Putting It to Use							Download the E-bookCloseEngines of Business OutcomesMuch more than technology we guide you and help you to scale																					Learn More																			CloseSupporting Your GTMFrom build through execution to optimization we’re there for you																					Learn More																			CloseThe TechTarget BrandsWith more tech buyers doing more pre-purchase research here than anywhere else we’ve built a better context to support your GTM objectives.																					Learn More																			SolutionsSolutions										Strategy &amp; GTM Expertise																			ABM/ABX																			Tech Marketing																			Partner Marketing																			Tech Sales									View Our SolutionsStrategy &amp; GTM Expertise											Improve GTM Strategy and Execution																					Continuously Leverage Market Experts										More About Strategy &amp; GTM ExpertiseCloseImprove GTM Strategy and ExecutionWe help you get the strategy right and then execute it better.																							Learn More																					Enterprise Strategy Group: Go-to-market Expertise to Help You Win Watch the VideoCloseContinuously Leverage Market ExpertsWhen you can stop guessing every action becomes more effective.																							Learn More																					Technology Spending Intentions and Buyer Behavior in an Uncertain Economic ClimateWatch the VideoABM/ABX											Enhance Target Account Lists																					Prioritize Target Account Lists																					Engage Target Accounts																					Build Up Your Own Audiences																					Uncover Buying Team Contacts																					Measure Success										More About ABM/ABXCloseEnhance Target Account ListsBeyond lookalikes we show you what's actually happening in your markets.																							Learn More																					Better ABM: Five Lessons Developer Marketing Can Teach All ABMersDownload the E-bookClosePrioritize Target Account ListsHealthier pipelines come fastest from jumping on the demand that’s active now.																							Learn More																					ABM Success Is Driven by PeopleDownload the E-bookCloseEngage Target AccountsBetter ways to be present and relevant to the people that matter.																							Learn More																					A Short End-to-End Guide to ABM EngagementDownload the E-bookCloseBuild Up Your Own AudiencesUnique content channels that help you achieve long-term scalable yields from your target accounts																							Learn More																					CloseUncover Buying Team ContactsPractical de-anonymization for marketing and sales.																							Learn More																					3 C's for Understanding Real Intent Data: Context Content and Contacts Download the E-bookCloseMeasure SuccessTrack alignment progress and opportunity.																							Learn More																					Capitalizing on ABM Engagement: Measure Right then OptimizePlay the webinarTech Marketing											Enhance Your Contact Database																					Build Awareness																					Generate Better Leads																					Drive In-Person Event Attendance																					Deliver Better Webinars and Virtual Events																					Convert Website Visitors																					Enable Sales &amp; Channel										More About Tech MarketingCloseEnhance Your Contact DatabaseCleanse and append as needed.																							Learn More																					The Right Contacts Clean and CompleteDownload the Product SheetCloseBuild AwarenessBe in front of the best audience hyper-targeted and hyper-efficient.																							Learn More																					Tap into the Power of Brand AdvertisingDownload the E-bookCloseGenerate Better LeadsQuality comes from the right audience in the right context.																							Learn More																					The Modern Demand Gen Engine: Everything You Need to Know to SucceedDownload the E-bookCloseDrive In-Person Event AttendanceEvents pay off when you get more of the right people to attend.																							Learn More																					Using Intent Data to Improve Event MarketingDownload the E-bookCloseDeliver Better Webinars and Virtual EventsPresence and relevance where more buyers want you to be.																							Learn More																					Flip the Switch on Virtual Events Download the E-bookCloseConvert Website VisitorsWe illuminate the engaged web visitors that remain anonymous to you so can convert more of them.																							Learn More																					Convert More Web Visits to Leads with Priority Engine™ Inbound ConverterDownload the InfographicCloseEnable Sales &amp; ChannelBecause many Sales and Partner organizations require more.																							Learn More																								Accelerate Your Pipeline with High-Quality Leads and Confirmed Projects™							Download the Product SheetPartner Marketing											Strategy Services																					Content Services																					Demand Services																					Channel Marketing																					Partner Marketing Visionaries Community										More About Partner MarketingCloseStrategy ServicesExpert guidance to inform joint GTM strategy and messaging																							Learn More																					Marketing with and through Partners: The Power of Co-MarketingPlay the WebinarCloseContent ServicesCompelling joint content for every stage of the buyer’s journey																							Learn More																					Developing and Activating Your Content Strategy With and Through Partners Play the WebinarCloseDemand ServicesAccess and influence active buyers to drive partner pipeline																							Learn More																								Guiding the IT Buying Journey: Strategies for Partner Marketing							Play the WebinarCloseChannel MarketingRecruit and enable channel partners to grow your ecosystem																							Learn More																					Achieving Channel Growth by Recruiting Influential MSPsDownload the E-bookClosePartner Marketing Visionaries CommunityInsights and best practices from the top Partner Marketers in B2B tech																							Learn More																								The Partner Marketing Visionaries™ Summit Explores Key Areas Within Strategic Partnerships							Watch NowTech Sales											Prioritize Outreach																					Reach the Right Prospects																					Improve Response Rates																					Access Live Projects																					Generate Meetings &amp; Opps										More About Tech SalesClosePrioritize OutreachYour direct route to productivity improvement.																							Learn More																					How Does Your Sales Development Program Measure Up?Download the E-bookCloseReach the Right ProspectsOptimize effort for higher total returns.																							Learn More																					Is Bad Outreach Killing Your Business?Download the InfographicCloseImprove Response RatesMaximize conversion by being relevant.																							Learn More																								Frightening Realities: Improve SDR Impact							Download the E-bookCloseAccess Live ProjectsPenetrate solution projects you can't otherwise see.																							Learn More																					Accelerate Pipeline with TechTarget’s Confirmed Projects™Download the Product SheetCloseGenerate Meetings &amp; OppsOutreach that's on-point for real buyers.																							Learn More																					Inside Sales: It's Time to Bury Your Cold Contact List Download the E-bookProductsProducts										Digital Advertising																			Demand Gen &amp; ABM																			Sales Enablement																			Strategic Services									View Our ProductsDigital Advertising											Data-Driven Display																					Custom &amp; Native Web Sites																					BrightTALK Summits										View Our ProductsCloseData-Driven DisplayTargeted advertising solutions reaching the Web’s most active B2B tech buyers																							Learn More																								The Death of Third-Party Cookies: What’s Next for Intent-Based Digital Advertising?							Read the BlogCloseCustom &amp; Native Web SitesCustomized online environments for deep user engagement																							Learn More																					3 C's for Understanding Real Intent Data: Context Content and Contacts Download the E-bookCloseBrightTALK SummitsOnline sponsorable enterprise tech Summits keynoted by leading industry experts																							Learn More																								Webinar Series for ABM: An 8-Step Planning Framework							Download the E-bookDemand Gen &amp; ABM											Priority Engine																					Lead Generation																					Custom Content																					BrightTALK Portfolio																					Contact Data Services										View Our ProductsClosePriority EngineThe industry’s most powerful Prospect-Level Intent™ data																							Learn More																								Making Sense of B2B Purchase Intent Data and Putting It to Use							Download the E-bookCloseLead GenerationAI-driven contextually precise syndication leads that convert																							Learn More																					Beware of ROI Killers: Boost Lead Generation With Intelligent AutomationPlay the WebinarCloseCustom ContentTrusted research-based content by experts coupled with superior production assistance engages prospects more productively across your GTM																							Learn More																								What Is Great Content for Buyers and Why's It So Hard?							Download the E-bookCloseBrightTALK PortfolioFrom webinars to virtual events leverage our unrivaled B2B audience easy-to-use platform and robust services to engage professionals in the ways they prefer																							Learn More																					Build a Better Webinar: Creating a Promotion Plan Download the E-bookCloseContact Data ServicesOver 70 million high-quality U.S. contacts to enrich your database																							Learn More																					The Right Contacts Clean and CompleteDownload the Product SheetSales Enablement											Sales-Quality Leads																					Priority Engine																					Custom Content										View Our ProductsCloseSales-Quality LeadsVerified active deal reports detailing confirmed tech-project plans																							Learn More																								Accelerate Your Pipeline with High-Quality Leads and Confirmed Projects™							Download the Product SheetClosePriority EngineThe industry’s most powerful Prospect-Level Intent™ data																							Learn More																								Making Sense of B2B Purchase Intent Data and Putting It to Use							Download the E-bookCloseCustom ContentTrusted research-based content by experts coupled with superior production assistance engages prospects more productively across your GTM																							Learn More																								What Is Great Content for Buyers and Why's It So Hard?							Download the E-bookStrategic Services											Research Advisory &amp; Consulting																					Custom Research &amp; Consulting																					Strategic Buyer Insights																					BrightTALK Studios Video Production										View Our ProductsCloseResearch Advisory &amp; ConsultingExpert guidance for strategic planning product development messaging ideation and positioning to improve GTM execution																							Learn More																					Enterprise Strategy Group: Go-to-market Expertise to Help You Win Watch the VideoCloseCustom Research &amp; ConsultingCompetitive analysis partner program optimization and other custom services that deliver client-specific insights to increase GTM opportunities																							Learn More																					Enterprise Strategy Group: Go-to-market Expertise to Help You Win Watch the VideoCloseStrategic Buyer InsightsCustomized reports combining buyer intent data market trends and research to guide your GTM																							Learn More																								What Is Great Content for Buyers and Why's It So Hard?							Download the E-bookCloseBrightTALK Studios Video ProductionFull-service video production and management to ensure your brand stands out																							Learn More																					CustomersCase StudiesReviewsAward ProgramsResourcesResource LibraryBlogCompanyAbout TechTargetPress RoomCareersEditorialContact UsInvestor Relations 								Product Demo							 ✕More Go for Your Go-to-MarketThe right insights. The right actions. Fuel and precision tuning for every part of your engine.✕More Go for Your Go-to-MarketThe right insights. The right actions. Fuel and precision tuning for every part of your engine.The context of modern tech businessMaximum GTM performance requires doing all the right things in exactly the right context. If you aren’t where the buyers are buying you’re inefficient. On TechTarget’s network of 150+ websites and 1100+ content channels we create the modern digital buying context. That’s why more of your buyers are doing purchase research here than anywhere else. Then we provide the perfect combination of capabilities to intercept many more of them much faster.Show me the dataShow me active buyer volumes in my categoryCloser to your ICPsYou can’t do more business without engaging more of the right people. Because of our content publishing model even when the buyers you want aren’t on your website they are active on ours. With 30M+ opt-in tech professionals your critical targets are researching with us right now. And since they’re already engaging with us in a buying context it’s why we can make so many of your GTM jobs much much easier. learn moreExplore Our WebsitesHow TechTarget’s audiences align with your marketExample: Endpoint Security9600+ accounts active164100+ activities taken5950+ leads deliveredConnected to real buyersA cold contact supplier can only tell you who might be the right people leaving you to pound away at low-quality high-volume outreach. That’s what the intent data revolution is all about. Active prospects are doing purchase research with us right now using the proprietary content we build. So we can tell you precisely who you should prioritize and what to say. We share more real buying team members in the context of more real purchases directly with you.Learn more150+technology websites#1in Google for B2B tech1000+full-time editors and contributors410Kindexed Google pages20+industry analysts19Mmonthly visitsSearch for active demand in your category30M+ opt-in tech prospects and growing. Priority Engine™ gives you direct access to the most active buyers in your space. Download full listAsk an expert#1in Intent Data forEnterpriseTechSearch (e.g. Cloud Network Storage Security)Search				TechTarget offers insight about the following market categories			﻿CATEGORY NAME TOTAL COMPANIES  YEARLY CATEGORY ACTIVITY  TOTAL PROSPECTS Showing 20 out of 0 matched results			We could not find any results matching that criteria.		talk to an expertSearch for active demand in your category30M+ opt-in tech prospects and growing. Priority Engine™ gives you direct access to the most active buyers in your space. Download full listAsk an expert#1in Intent Data forEnterpriseTechSearch (e.g. Cloud Network Storage Security)Search				TechTarget offers insight about the following market categories			﻿CATEGORY NAME TOTAL COMPANIES  YEARLY CATEGORY ACTIVITY  TOTAL PROSPECTS Showing 20 out of 0 matched results			We could not find any results matching that criteria.		talk to an expertConnected to real buyersScalable at speedYou want better yields from your plans. We’ll help you magnify them for maximum impact. From hyper-granular awareness-building advertising solutions to precision intent data and specialized lead types we energize any campaign or target account list for sales and marketing alike. Armed with the best data in the world our platforms and full-range services can turbo-charge your programs to win.Learn moreAligned for better businessTo maximize GTM potential you need three core elements working perfectly together:You’ve got to perfectly position for your ICPs.You have to optimize execution across multiple channels.And you’ve got to stay pipeline-productive even as you scale.Since weakness in one GTM area can undermine the whole we’ve built TechTarget to help you strengthen each critical function. We help your teams deliver better for each other and better for the business end-to-end.Learn moreBuilt to give you leverageTechTarget’s offerings meet every client where they are from start-ups to the world’s most sophisticated players. That’s why more than 3000 of the best companies in every tech category look to us for the best ways to build on what they’ve already got. We can integrate our platforms into your stack or you can use them as standalones. We can build programs for you from scratch or help make what you’ve built out-perform past ROIs.learn moreWorld’s largest proprietary networkToo many tech marketing teams waste time and ad dollars scouring the web for disconnected crumbs. The internet doesn’t actually function that way! Buyers go to the sites they already use or they search for the information that reputable outlets are known to supply. That’s why TechTarget’s content usually shows up right on the first page of any Google search for enterprise tech. It’s why we’ve structured our network to cover the solution topics that matter most. So don’t get stuck fumbling around in some AI-scraped dark funnel because we’re constantly shining a light on more business for you right now. Explore the TechTarget NetworkAI BI and Big Data + Show More- Show LessBrightTALK by TechTarget: Big Data and Data Management CommunityBrightTALK by TechTarget: Business Intelligence and Analytics CommunityEnterprise Strategy Group by TechTarget: Data Analytics and AI Enterprise Strategy Group by TechTarget: Data Management TechTarget BI ChinaTechTarget Business AnalyticsTechTarget ComputerWeekly.comTechTarget ComputerWeekly.com.brTechTarget ComputerWeekly.deTechTarget ComputerWeekly.esTechTarget Database ChinaTechTarget Data ManagementTechTarget Data Science CentralTechTarget Enterprise AITechTarget Information System JapanTechTarget IoT AgendaTechTarget LeMagITTechTarget Search OracleTechTarget Search SAPTechTarget SMB JapanApplication Development + Show More- Show LessBrightTALK by TechTarget: Application Development Community BrightTALK by TechTarget: Application Management CommunityEnterprise Strategy Group by TechTarget: Application ModernizationTechTarget App ArchitectureTechTarget ComputerWeekly.comTechTarget ComputerWeekly.com.brTechTarget ComputerWeekly.deTechTarget ComputerWeekly.esTechTarget Develop JapanTechTarget LeMagIT TechTarget Software QualityTechTarget TheServerSideBusiness Applications + Show More- Show LessBrightTALK by TechTarget: Business Management CommunityBrightTALK by TechTarget: Enterprise Applications CommunityBrightTALK by TechTarget: Finance CommunityBrightTALK by TechTarget: HR CommunityBrightTALK by TechTarget: Legal CommunityBrightTALK by TechTarget: Marketing CommunityBrightTALK by TechTarget: Sales CommunityTechTarget ComputerWeekly.comTechTarget ComputerWeekly.com.brTechTarget ComputerWeekly.deTechTarget ComputerWeekly.esTechTarget Content ManagementTechTarget Customer ExperienceTechTarget Customer Experience JapanTechTarget Database ChinaTechTarget ERPTechTarget ERP JapanTechTarget HR SoftwareTechTarget LeMagIT TechTarget Search OracleTechTarget Search SAPTechTarget SMB JapanCIO and IT Strategy + Show More- Show LessBrightTALK by TechTarget: IT Governance Risk and Compliance CommunityTechTarget CIOTechTarget CIO ChinaTechTarget Educational IT JapanTechTarget Management and IT JapanTechTarget SMB JapanCloud Infrastructureand IT Operations+ Show More- Show LessBrightTALK by TechTarget: Cloud Computing CommunityBrightTALK by TechTarget: Help Desk and Support CommunityBrightTALK by TechTarget: IT Project Management CommunityEnterprise Strategy Group by TechTarget: InfrastructureEnterprise Strategy Group by TechTarget: OperationsTechTarget Cloud ComputingTechTarget Cloud Computing ChinaTechTarget Cloud JapanTechTarget ComputerWeekly.comTechTarget ComputerWeekly.com.brTechTarget ComputerWeekly.deTechTarget ComputerWeekly.esTechTarget IT OperationsTechTarget LeMagIT TechTarget Search AWSTechTarget Systems Develop JapanTechTarget Systems Operation Management JapanCustomer Experience + Show More- Show LessBrightTALK by TechTarget: Customer Experience CommunityEnterprise Strategy Group by TechTarget: Customer ExperienceTechTarget ComputerWeekly.comTechTarget ComputerWeekly.com.brTechTarget ComputerWeekly.deTechTarget ComputerWeekly.esTechTarget LeMagIT TechTarget Customer ExperienceTechTarget Customer Experience JapanData Center and Virtualization + Show More- Show LessBrightTALK by TechTarget: Data Center Management CommunityBrightTALK by TechTarget: Virtualization CommunityEnterprise Strategy Group by TechTarget TechTarget ComputerWeekly.comTechTarget ComputerWeekly.com.brTechTarget ComputerWeekly.deTechTarget ComputerWeekly.esTechTarget Data Analysis JapanTechTarget Data CenterTechTarget Data Center ChinaTechTarget Data Center ItalyTechTarget LeMagIT TechTarget Search VMwareTechTarget Search Windows ServerTechTarget Servers and Storage JapanTechTarget SMB JapanTechTarget Sustainability and ESGTechTarget Virtual ChinaTechTarget Virtualization JapanEnd User Computing + Show More- Show LessBrightTALK by TechTarget: End User Computing CommunityBrightTALK by TechTarget: Mobile Computing CommunityEnterprise Strategy Group by TechTarget: End User ComputingTechTarget ComputerWeekly.comTechTarget ComputerWeekly.com.brTechTarget ComputerWeekly.deTechTarget ComputerWeekly.esTechTarget Enterprise DesktopTechTarget LeMagIT TechTarget Mobile ComputingTechTarget Smart Mobile JapanTechTarget Virtual ChinaTechTarget Virtual DesktopData Protection and Storage + Show More- Show LessBrightTALK by TechTarget: Business Continuity/Disaster Recovery CommunityBrightTALK by TechTarget: Storage CommunityEnterprise Strategy Group by TechTarget: Data ProtectionTechTarget ComputerWeekly.comTechTarget ComputerWeekly.com.brTechTarget ComputerWeekly.deTechTarget ComputerWeekly.esTechTarget Data BackupTechTarget Disaster RecoveryTechTarget LeMagIT TechTarget Servers and Storage JapanTechTarget SMB JapanTechTarget StorageTechTarget Storage ChinaTechTarget Virtual ChinaTechTarget Virtualization Japan Health IT + Show More- Show LessBrightTALK by TechTarget: Health IT CommunityTechTarget EHRIntelligenceTechTarget HealthCareExecIntelligenceTechTarget Health ITTechTarget HealthITAnalyticsTechTarget HealthITSecurityTechTarget HealthPayerIntelligenceTechTarget HITInfrastructureTechTarget LifeSciencesIntelligenceTechTarget Medical IT JapanTechTarget mHealthIntelligenceTechTarget PatientEngagementHITTechTarget PharmaNewsIntelligenceTechTarget RevCycleIntelligenceTechTarget Xtelligent Healthcare Media Security + Show More- Show LessBrightTALK by TechTarget: IT Security CommunityEnterprise Strategy Group by TechTarget: CybersecurityTechTarget ComputerWeekly.comTechTarget ComputerWeekly.com.brTechTarget ComputerWeekly.deTechTarget ComputerWeekly.esTechTarget IoT AgendaTechTarget SecurityTechTarget Security ChinaTechTarget Security ItalyTechTarget Security JapanTechTarget SMB JapanNetworking + Show More- Show LessBrightTALK by TechTarget: Network Infrastructure CommunityEnterprise Strategy Group by TechTarget: NetworkingTechTarget ComputerWeekly.comTechTarget ComputerWeekly.com.brTechTarget ComputerWeekly.deTechTarget ComputerWeekly.esTechTarget IoT AgendaTechTarget LeMagIT TechTarget NetworkingTechTarget Networking ChinaTechTarget Network JapanTechTarget SMB JapanUnified Communicationsand Collaboration+ Show More- Show LessBrightTALK by TechTarget: Collaboration and UC CommunityEnterprise Strategy Group by TechTarget: UC and CollaborationTechTarget ComputerWeekly.comTechTarget ComputerWeekly.com.brTechTarget ComputerWeekly.deTechTarget ComputerWeekly.esTechTarget LeMagIT TechTarget Unified CommunicationsTechTarget Unified Communications JapanChannel Resources + Show More- Show LessBrightTALK by TechTarget Enterprise Strategy Group by TechTargetTechTarget IT ChannelTechTarget  MicroScope.co.ukTechnology Content Libraries + Show More- Show LessBrightTALK by TechTarget TechTarget Bitpipe ChinaTechTarget Bitpipe.comTechTarget Bitpipe.com.brTechTarget Bitpipe.frTechTarget de.Bitpipe.comTechTarget es.Bitpipe.comTechTarget kr.Bitpipe.comTechTarget WhatIs3000 clients already crushing itWe build our buyer audiences for companies like yours. We see where markets are going because our publishing business depends on it. If your space is new we educate the audience. If you’re defending a legacy position we support your specific situation.View Case StudiesAI BI &amp; Big DataApplication DevelopmentBusiness ApplicationsCloud Infrastructure &amp; IT OpsData Center &amp; VirtualizationData Protection &amp; StorageDistribution/Channel PartnersEnd User ComputingNetworkingSecurityUC &amp; CollaborationBy company size:By company sizeSmallMidLargeIn diverse categories like AI BI &amp; Big Data more vendors turn to TechTarget because of the hyper-specificity we can provide. Leaders in cloud-native architectures low- and no-code platforms and more turn to TechTarget to strengthen their GTMs. CRM. CX. SCM. HCM. ERP. ECM. Whatever your acronym we capture the audiences that help more innovative business application vendors succeed. Just as Cloud &amp; DevOps go hand-in-hand all of the top 5 cloud application vendors and all of the top 15 hybrid cloud vendors turn to TechTarget. The top vendors winning in the Data Center &amp; Virtualization space depend on TechTarget to fuel their pipelines. As Storage technology continues to advance Storage players know that TechTarget captures their audiences. Channel players are quickly discovering there’s incredible value in real purchase intent for growing more business faster. As EUC continues to evolve more innovative companies continuously rely on TechTarget. We connect more great networking vendors to more great networking customers than anyone else. In the exploding Security space the top players turn to TechTarget. Unified Communications Collaboration and Call Center tech have never been more important. That’s why industry leaders use TechTarget to compete. More fast-moving disrupters choose TechTarget to outpace their competitionFor mid-sized companies TechTarget provides the right combination of actionable insights and easy-to-use services to scale.Audiences and insights the world's most successful tech companies depend on.Latest sales &amp; marketing thinking Visit resourcesVisit resources 									Webinars/Events								Demand GenerationHow Infinidat Drove Pipeline Through Third-Party Validation 									Video								Intent DataBreak Through with Real Personalization: Priority Engine’s IntentMail AI 									Blog Post								Partner Marketing3 Steps to Make the Most of Your Partner Marketing Budget in 2024 									Webinars/Events								Intent DataLast-Mile Personalization: Intent Insights and Sales Outreach				Contact Sales							Contact Sales			CompanyLeadershipCareersPress RoomContact UsInvestor RelationsPrivacy and Security Trust CenterCustomer SuccessWhy TechTargetAudiencesIntent DataEngines of Business OutcomesSupporting Your GTMThe TechTarget BrandsSolutionsStrategy &amp; GTM ExpertiseABM/ABXTech MarketingPartner MarketingTech SalesProductsPriority EngineData-Driven DisplaySales-Quality LeadsLead GenerationCustom ContentResearch Advisory &amp; ConsultingStrategic Buyer InsightGlobalFrançaisDeutschGlobal Markets Privacy PolicyLegalDO NOT SELL OR SHARE MY PERSONAL INFORMATIONCookie PreferencesCookie Preferences© 2023 TECHTARGET</v>
      </c>
    </row>
    <row r="39">
      <c r="A39" s="1" t="s">
        <v>54</v>
      </c>
      <c r="B39" s="1" t="s">
        <v>160</v>
      </c>
      <c r="C39" s="1" t="s">
        <v>161</v>
      </c>
      <c r="D39" s="1">
        <v>8.0</v>
      </c>
      <c r="E39" s="4" t="s">
        <v>162</v>
      </c>
      <c r="F39" s="1" t="s">
        <v>43</v>
      </c>
      <c r="G39" s="1" t="s">
        <v>163</v>
      </c>
      <c r="H39" s="4" t="s">
        <v>164</v>
      </c>
      <c r="I39" s="2">
        <v>1.0</v>
      </c>
      <c r="J39" s="5" t="str">
        <f>IFERROR(__xludf.DUMMYFUNCTION("GOOGLETRANSLATE(A39)"),"chatgpt")</f>
        <v>chatgpt</v>
      </c>
      <c r="K39" s="6" t="str">
        <f>IFERROR(__xludf.DUMMYFUNCTION("GOOGLETRANSLATE(B39)"),"What is ChatGPT and why does it matter? Here's what you ...")</f>
        <v>What is ChatGPT and why does it matter? Here's what you ...</v>
      </c>
      <c r="L39" s="5" t="str">
        <f>IFERROR(__xludf.DUMMYFUNCTION("GOOGLETRANSLATE(C39)"),"15 Sept. 2023. -")</f>
        <v>15 Sept. 2023. -</v>
      </c>
      <c r="M39" s="5" t="str">
        <f>IFERROR(__xludf.DUMMYFUNCTION("GOOGLETRANSLATE(G39)"),"News and Advice on the World's Latest Innovations | ZDNET                                         /&gt;                                                                                                                                                           "&amp;"                                        X     Trending    Best early Black Friday deals: Amazon Walmart Best Buy and More Best early Black Friday Walmart deals 2023 Best early Black Friday Apple deals 2023 Best early Black Friday steaming deals 2023 Best "&amp;"early Black Friday Apple watch deals 2023 Best early Black Friday AirPod deals  Best early Black Friday Sam's Club deals 2023 Best early Black Friday TV deals 2023 Best early Black Friday headphone deals 2023 Best early Black Friday robot vacuum deals 202"&amp;"3 Best early Black Friday tablet deals 2023 Best early Black Friday Amazon deals 2023  Best laptops Best VPNs Best TVs Best Headphones Best robot vacuums ZDNET Recommends  Tech    Gaming Headphones Laptops Mobile Accessories Networking PCs  Printers Smart"&amp;"phones Smart Watches Speakers Streaming Devices Streaming Services  Tablets TVs Wearables  Kitchen &amp; Household Office Furniture Office Hardware &amp; Appliances Smart Home Smart Lighting Yard &amp; Outdoors  Innovation    Artificial Intelligence AR + VR Cloud Dig"&amp;"ital Transformation Energy  Robotics Sustainability Transportation Work Life  Accelerate your tech game Paid Content How the New Space Race Will Drive Innovation How the metaverse will change the future of work and society  Managing the Multicloud The Fut"&amp;"ure of the Internet The New Rules of Work The Tech Trends to Watch in 2023  Business    See all Business Amazon Apple Developer E-Commerce  Edge Computing Enterprise Software Executive Google Microsoft  Professional Development Social Media SMB Windows  D"&amp;"igital transformation: Trends and insights for success Software development: Emerging trends and changing roles  Security      See all Security Cyber Threats Password Manager Ransomware VPN  Cybersecurity: Let's get tactical Securing the Cloud  Advice    "&amp;"  Deals How-to Product Comparisons Product Spotlights Reviews  Buying Guides    See all Buying Guides Best all-in-one computers Best budget TVs Best gaming CPUs Best gaming laptops Best gaming PCs  Best headphones Best iPads Best iPhones Best laptops Best"&amp;" large tablets Best OLED TVs  Best robot vacuum mops Best rugged tablets Best Samsung phones Best smart rings Best smartphones Best smartwatches  Best speakers Best tablets Best travel VPNs Best TVs Best VPNs   tomorrow belongs to those who embrace it tod"&amp;"ay                 Asia                  Australia                  Europe                  India                  United Kingdom                  United States         ZDNET France ZDNET Germany ZDNET Korea ZDNET Japan        Go  Most Popular          Se"&amp;"e all Topics Finance Education Health  Special Features ZDNET In Depth ZDNET Recommends  Newsletters Videos Editorial Guidelines        Trending  Best early Black Friday deals: Amazon Walmart Best Buy and More Best early Black Friday Walmart deals 2023 Be"&amp;"st early Black Friday Apple deals 2023 Best early Black Friday steaming deals 2023 Best early Black Friday Apple watch deals 2023 Best early Black Friday AirPod deals Best early Black Friday Sam's Club deals 2023 Best early Black Friday TV deals 2023 Best"&amp;" early Black Friday headphone deals 2023 Best early Black Friday robot vacuum deals 2023 Best early Black Friday tablet deals 2023 Best early Black Friday Amazon deals 2023 Best laptops Best VPNs Best TVs Best Headphones Best robot vacuums ZDNET Recommend"&amp;"s Tech  Gaming Headphones Laptops Mobile Accessories Networking PCs Printers Smartphones Smart Watches Speakers Streaming Devices Streaming Services Tablets TVs Wearables Kitchen &amp; Household Office Furniture Office Hardware &amp; Appliances Smart Home Smart L"&amp;"ighting Yard &amp; Outdoors Innovation  Artificial Intelligence AR + VR Cloud Digital Transformation Energy Robotics Sustainability Transportation Work Life Accelerate your tech game Paid Content How the New Space Race Will Drive Innovation How the metaverse "&amp;"will change the future of work and society Managing the Multicloud The Future of the Internet The New Rules of Work The Tech Trends to Watch in 2023 Business  See all Business Amazon Apple Developer E-Commerce Edge Computing Enterprise Software Executive "&amp;"Google Microsoft Professional Development Social Media SMB Windows Digital transformation: Trends and insights for success Software development: Emerging trends and changing roles Security  See all Security Cyber Threats Password Manager Ransomware VPN Cy"&amp;"bersecurity: Let's get tactical Securing the Cloud Advice  Deals How-to Product Comparisons Product Spotlights Reviews Buying Guides  See all Buying Guides Best all-in-one computers Best budget TVs Best gaming CPUs Best gaming laptops Best gaming PCs Best"&amp;" headphones Best iPads Best iPhones Best laptops Best large tablets Best OLED TVs Best robot vacuum mops Best rugged tablets Best Samsung phones Best smart rings Best smartphones Best smartwatches Best speakers Best tablets Best travel VPNs Best TVs Best "&amp;"VPNs More  See all Topics Finance Education Health Special Features ZDNET In Depth ZDNET Recommends Newsletters Videos Editorial Guidelines  today         The 67 best early Black Friday Amazon deals 2023       9 hours ago        I did not expect this $180"&amp;" Android tablet to be as impressive as it is       13 hours ago        I tested the world's smallest smart robot vacuum and it left a big impression       14 hours ago        Vision Pro led Samsung to reboot VR headset plans. It's now targeting end of 202"&amp;"4: report       14 hours ago        You should buy Samsung's most confusing phone this year for these reasons and these reasons only       15 hours ago        The best early Black Friday deals: Amazon Best Buy Walmart and more       15 hours ago        Ge"&amp;"t these comfy stereo wireless headphones for just $25       1 day ago        The 20 best early Black Friday Dell deals available now       1 day ago        In the race to innovate with generative AI your competitive advantage isn't just speed—it's also yo"&amp;"ur data       Paid Content            AR + VR       Vision Pro led Samsung to reboot VR headset plans. It's now targeting end of 2024: report    5 essential traits that tomorrow's AI leader must have            The 36 best early Black Friday Sam's Club de"&amp;"als you can get now       1 day ago        Apple is now paying more for your used Apple Watches and iPads       1 day ago        Why Microsoft temporarily blocked ChatGPT from employees on Thursday       1 day ago        The best early Black Friday Newegg"&amp;" deals       1 day ago        The metaverse has virtually disappeared. Here's why it's generative AI's fault       1 day ago        The best early Black Friday storage and SSD deals of 2023       1 day ago        The best early Black Friday TV deals 2023 "&amp;"      1 day ago        The 15 best early Black Friday 2023 Samsung deals       1 day ago        The 17 best early Black Friday robot vacuum deals       1 day ago        Buy 1 month of Xbox Game Pass Ultimate for just $10 right now       1 day ago  Top Sto"&amp;"ries this Week       01     Humane may be launching a $699 AI-powered projector to replace your phone. That's not the craziest part June Wan       02     You can buy four of these very fine Android tablets for the price of one iPad Adrian Kingsley-Hughes "&amp;"      03     Samsung and Google reboot VR headset plans to challenge Vision Pro now targeting end of 2024: report Jason Hiner  ZDNET recommends Our editors believe in innovation that helps you succeed in work and life. They research and review so you can "&amp;"move forward today. Read our Editorial Guidelines      see all recommended              Everything you need to upgrade to a smart kitchen                      The best early Black Friday Amazon deals                      The best iPhone power banks for re"&amp;"charging                 see all recommended            The best early Black Friday security camera deals available now       1 day ago        Read more with Headway Premium on sale for $60       1 day ago        The 16 best early Black Friday 2023 headph"&amp;"ones deals       1 day ago        Samsung may debut an affordable $400 foldable phone next year and I've got questions       1 day ago        The best early Black Friday deals under $100       1 day ago        Red Hat goes to the edge       1 day ago     "&amp;"   The 14 best early Black Friday HP deals you can get now       1 day ago        The 15 best early Black Friday 2023 phone deals       1 day ago        The 20 best early Black Friday deals under $30       1 day ago            Smartphones       I found ev"&amp;"ery buying reason for Samsung's most confusing phone this year    From automated to autonomous will the real robots please stand up?            The best holiday tech gifts under $50       1 day ago        The best early Black Friday VPN deals 2023       1"&amp;" day ago        Get Windows 11 Pro for the record-low price of $25       1 day ago        Here's how to create your own custom chatbots using ChatGPT       1 day ago        The 10 best tech gifts of 2023       1 day ago        The 61 best Walmart Black Fr"&amp;"iday deals: iPads robot vacuums and more       1 day ago        The best early Black Friday iPad deals 2023       1 day ago        The best early Black Friday Apple deals 2023       1 day ago        The best early Black Friday monitor deals available now "&amp;"      1 day ago         See all latest meet the experts  Our editors believe in innovation that helps you succeed in work and life. They research and review so you can move forward today.      see all experts         see all experts           Kitchen &amp; Ho"&amp;"usehold       Everything you need to upgrade to a smart kitchen         ZDNET we equip you to harness the power of disruptive innovation at work and at home. TopicsGalleriesVideosDo Not Sell or Share My Personal Information about ZDNETMeet The TeamSitemap"&amp;"Reprint Policy Join |    Log InNewslettersSite AssistanceLicensing       © 2023 ZDNET A Red Ventures company. All rights reserved. Privacy Policy |  Cookie Settings |  Advertise |  Terms of Use")</f>
        <v>News and Advice on the World's Latest Innovations | ZDNET                                         /&gt;                                                                                                                                                                                                   X     Trending    Best early Black Friday deals: Amazon Walmart Best Buy and More Best early Black Friday Walmart deals 2023 Best early Black Friday Apple deals 2023 Best early Black Friday steaming deals 2023 Best early Black Friday Apple watch deals 2023 Best early Black Friday AirPod deals  Best early Black Friday Sam's Club deals 2023 Best early Black Friday TV deals 2023 Best early Black Friday headphone deals 2023 Best early Black Friday robot vacuum deals 2023 Best early Black Friday tablet deals 2023 Best early Black Friday Amazon deals 2023  Best laptops Best VPNs Best TVs Best Headphones Best robot vacuums ZDNET Recommends  Tech    Gaming Headphones Laptops Mobile Accessories Networking PCs  Printers Smartphones Smart Watches Speakers Streaming Devices Streaming Services  Tablets TVs Wearables  Kitchen &amp; Household Office Furniture Office Hardware &amp; Appliances Smart Home Smart Lighting Yard &amp; Outdoors  Innovation    Artificial Intelligence AR + VR Cloud Digital Transformation Energy  Robotics Sustainability Transportation Work Life  Accelerate your tech game Paid Content How the New Space Race Will Drive Innovation How the metaverse will change the future of work and society  Managing the Multicloud The Future of the Internet The New Rules of Work The Tech Trends to Watch in 2023  Business    See all Business Amazon Apple Developer E-Commerce  Edge Computing Enterprise Software Executive Google Microsoft  Professional Development Social Media SMB Windows  Digital transformation: Trends and insights for success Software development: Emerging trends and changing roles  Security      See all Security Cyber Threats Password Manager Ransomware VPN  Cybersecurity: Let's get tactical Securing the Cloud  Advice      Deals How-to Product Comparisons Product Spotlights Reviews  Buying Guides    See all Buying Guides Best all-in-one computers Best budget TVs Best gaming CPUs Best gaming laptops Best gaming PCs  Best headphones Best iPads Best iPhones Best laptops Best large tablets Best OLED TVs  Best robot vacuum mops Best rugged tablets Best Samsung phones Best smart rings Best smartphones Best smartwatches  Best speakers Best tablets Best travel VPNs Best TVs Best VPNs   tomorrow belongs to those who embrace it today                 Asia                  Australia                  Europe                  India                  United Kingdom                  United States         ZDNET France ZDNET Germany ZDNET Korea ZDNET Japan        Go  Most Popular          See all Topics Finance Education Health  Special Features ZDNET In Depth ZDNET Recommends  Newsletters Videos Editorial Guidelines        Trending  Best early Black Friday deals: Amazon Walmart Best Buy and More Best early Black Friday Walmart deals 2023 Best early Black Friday Apple deals 2023 Best early Black Friday steaming deals 2023 Best early Black Friday Apple watch deals 2023 Best early Black Friday AirPod deals Best early Black Friday Sam's Club deals 2023 Best early Black Friday TV deals 2023 Best early Black Friday headphone deals 2023 Best early Black Friday robot vacuum deals 2023 Best early Black Friday tablet deals 2023 Best early Black Friday Amazon deals 2023 Best laptops Best VPNs Best TVs Best Headphones Best robot vacuums ZDNET Recommends Tech  Gaming Headphones Laptops Mobile Accessories Networking PCs Printers Smartphones Smart Watches Speakers Streaming Devices Streaming Services Tablets TVs Wearables Kitchen &amp; Household Office Furniture Office Hardware &amp; Appliances Smart Home Smart Lighting Yard &amp; Outdoors Innovation  Artificial Intelligence AR + VR Cloud Digital Transformation Energy Robotics Sustainability Transportation Work Life Accelerate your tech game Paid Content How the New Space Race Will Drive Innovation How the metaverse will change the future of work and society Managing the Multicloud The Future of the Internet The New Rules of Work The Tech Trends to Watch in 2023 Business  See all Business Amazon Apple Developer E-Commerce Edge Computing Enterprise Software Executive Google Microsoft Professional Development Social Media SMB Windows Digital transformation: Trends and insights for success Software development: Emerging trends and changing roles Security  See all Security Cyber Threats Password Manager Ransomware VPN Cybersecurity: Let's get tactical Securing the Cloud Advice  Deals How-to Product Comparisons Product Spotlights Reviews Buying Guides  See all Buying Guides Best all-in-one computers Best budget TVs Best gaming CPUs Best gaming laptops Best gaming PCs Best headphones Best iPads Best iPhones Best laptops Best large tablets Best OLED TVs Best robot vacuum mops Best rugged tablets Best Samsung phones Best smart rings Best smartphones Best smartwatches Best speakers Best tablets Best travel VPNs Best TVs Best VPNs More  See all Topics Finance Education Health Special Features ZDNET In Depth ZDNET Recommends Newsletters Videos Editorial Guidelines  today         The 67 best early Black Friday Amazon deals 2023       9 hours ago        I did not expect this $180 Android tablet to be as impressive as it is       13 hours ago        I tested the world's smallest smart robot vacuum and it left a big impression       14 hours ago        Vision Pro led Samsung to reboot VR headset plans. It's now targeting end of 2024: report       14 hours ago        You should buy Samsung's most confusing phone this year for these reasons and these reasons only       15 hours ago        The best early Black Friday deals: Amazon Best Buy Walmart and more       15 hours ago        Get these comfy stereo wireless headphones for just $25       1 day ago        The 20 best early Black Friday Dell deals available now       1 day ago        In the race to innovate with generative AI your competitive advantage isn't just speed—it's also your data       Paid Content            AR + VR       Vision Pro led Samsung to reboot VR headset plans. It's now targeting end of 2024: report    5 essential traits that tomorrow's AI leader must have            The 36 best early Black Friday Sam's Club deals you can get now       1 day ago        Apple is now paying more for your used Apple Watches and iPads       1 day ago        Why Microsoft temporarily blocked ChatGPT from employees on Thursday       1 day ago        The best early Black Friday Newegg deals       1 day ago        The metaverse has virtually disappeared. Here's why it's generative AI's fault       1 day ago        The best early Black Friday storage and SSD deals of 2023       1 day ago        The best early Black Friday TV deals 2023       1 day ago        The 15 best early Black Friday 2023 Samsung deals       1 day ago        The 17 best early Black Friday robot vacuum deals       1 day ago        Buy 1 month of Xbox Game Pass Ultimate for just $10 right now       1 day ago  Top Stories this Week       01     Humane may be launching a $699 AI-powered projector to replace your phone. That's not the craziest part June Wan       02     You can buy four of these very fine Android tablets for the price of one iPad Adrian Kingsley-Hughes       03     Samsung and Google reboot VR headset plans to challenge Vision Pro now targeting end of 2024: report Jason Hiner  ZDNET recommends Our editors believe in innovation that helps you succeed in work and life. They research and review so you can move forward today. Read our Editorial Guidelines      see all recommended              Everything you need to upgrade to a smart kitchen                      The best early Black Friday Amazon deals                      The best iPhone power banks for recharging                 see all recommended            The best early Black Friday security camera deals available now       1 day ago        Read more with Headway Premium on sale for $60       1 day ago        The 16 best early Black Friday 2023 headphones deals       1 day ago        Samsung may debut an affordable $400 foldable phone next year and I've got questions       1 day ago        The best early Black Friday deals under $100       1 day ago        Red Hat goes to the edge       1 day ago        The 14 best early Black Friday HP deals you can get now       1 day ago        The 15 best early Black Friday 2023 phone deals       1 day ago        The 20 best early Black Friday deals under $30       1 day ago            Smartphones       I found every buying reason for Samsung's most confusing phone this year    From automated to autonomous will the real robots please stand up?            The best holiday tech gifts under $50       1 day ago        The best early Black Friday VPN deals 2023       1 day ago        Get Windows 11 Pro for the record-low price of $25       1 day ago        Here's how to create your own custom chatbots using ChatGPT       1 day ago        The 10 best tech gifts of 2023       1 day ago        The 61 best Walmart Black Friday deals: iPads robot vacuums and more       1 day ago        The best early Black Friday iPad deals 2023       1 day ago        The best early Black Friday Apple deals 2023       1 day ago        The best early Black Friday monitor deals available now       1 day ago         See all latest meet the experts  Our editors believe in innovation that helps you succeed in work and life. They research and review so you can move forward today.      see all experts         see all experts           Kitchen &amp; Household       Everything you need to upgrade to a smart kitchen         ZDNET we equip you to harness the power of disruptive innovation at work and at home. TopicsGalleriesVideosDo Not Sell or Share My Personal Information about ZDNETMeet The TeamSitemapReprint Policy Join |    Log InNewslettersSite AssistanceLicensing       © 2023 ZDNET A Red Ventures company. All rights reserved. Privacy Policy |  Cookie Settings |  Advertise |  Terms of Use</v>
      </c>
    </row>
    <row r="40">
      <c r="A40" s="1" t="s">
        <v>54</v>
      </c>
      <c r="B40" s="1" t="s">
        <v>165</v>
      </c>
      <c r="D40" s="1">
        <v>9.0</v>
      </c>
      <c r="E40" s="4" t="s">
        <v>166</v>
      </c>
      <c r="F40" s="1" t="s">
        <v>43</v>
      </c>
      <c r="G40" s="1" t="s">
        <v>167</v>
      </c>
      <c r="H40" s="4" t="s">
        <v>168</v>
      </c>
      <c r="I40" s="2">
        <v>2.0</v>
      </c>
      <c r="J40" s="5" t="str">
        <f>IFERROR(__xludf.DUMMYFUNCTION("GOOGLETRANSLATE(A40)"),"chatgpt")</f>
        <v>chatgpt</v>
      </c>
      <c r="K40" s="6" t="str">
        <f>IFERROR(__xludf.DUMMYFUNCTION("GOOGLETRANSLATE(B40)"),"ChatGPT: the latest news, controversies, and helpful tips")</f>
        <v>ChatGPT: the latest news, controversies, and helpful tips</v>
      </c>
      <c r="M40" s="5" t="str">
        <f>IFERROR(__xludf.DUMMYFUNCTION("GOOGLETRANSLATE(G40)"),"Digital Trends | Tech News Reviews Deals and How-To's Skip to main content 			Menu		ComputingMobileGamingEntertainmentAudio / VideoYouTube			Search		ComputingComputingSee All ComputingTrending TopicsLaptopsSoftwarePC GamingGraphics CardsArtificial Intelli"&amp;"genceTrending GuidesChatGPTWhat is a Chromebook?How to Choose a LaptopWindows 11 vs Windows 10Download YouTube VideosMobileMobileSee All MobileTrending Topics5GAppsiPhoneAndroidWearablesTrending GuidesWhat is 5G?How to Unlock a PhoneHow to Stop Spam Calls"&amp;"How to Use WhatsApp WebShare a Wi-Fi Password on iPhoneGamingGamingSee All GamingTrending TopicsXboxPlayStationPC GamingCloud GamingNintendo SwitchTrending GuidesWordle TodayXbox Series X vs PS5Upcoming PS5 GamesAll Cross-Platform GamesUpcoming Switch Gam"&amp;"esEntertainmentEntertainmentSee All EntertainmentTrending TopicsSci-FiActionMarvelFantasyDC ComicsTrending GuidesBest New MoviesBest New ShowsBest Shows on NetflixBest Movies on NetflixBest Shows on Disney Plus‎What to WatchBest Movies on Disney PlusBest "&amp;"Shows on Amazon PrimeBest Movies on Amazon PrimeMost Popular Movies on NetflixSee All Streaming GuidesBrowse by TypeEntertainment NewsEntertainment GuidesEntertainment FeaturesEntertainment ReviewsEntertainment DealsAudio / VideoAudio / VideoSee All Audio"&amp;" / VideoTrending TopicsTVSpeakersSoundbarsHeadphonesStreaming ServicesTrending GuidesFuboTVSling TVYouTube TVQLED vs OLEDWhat is Sonos?Smart HomeSmart HomeSee All Smart HomeTrending TopicsGoogle NestAmazon AlexaHome SecurityVideo DoorbellRobot VacuumsBrow"&amp;"se by TypeSmart Home NewsSmart Home GuidesSmart Home FeaturesSmart Home ReviewsSmart Home DealsCarsCarsSee All CarsTrending ReviewsToyota Prius Prime ReviewLexus RZ 450e ReviewMercedes EQE AMG SUV ReviewBMW XM ReviewHyundai Ioniq 6 ReviewTrending GuidesNA"&amp;"CS chargingEV tax creditsBest Level 2 EV chargersRivian R2 SUVVolvo EX90 SUVBrowse by TypeCar NewsCar GuidesCar FeaturesCar ReviewsCar DealsBest ProductsBest ProductsSee All Best ProductsBest Computing ProductsBest LaptopsBest ChromebooksBest Graphics Car"&amp;"dsBest Gaming LaptopsBest Desktop ComputerBest Mobile ProductsBest PhonesBest TabletsBest SmartwatchesBest Fitness TrackersBest Samsung PhonesBest Audio / Video ProductsBest TVsBest SpeakersBest ProjectorsBest SoundbarsBest HeadphonesBest Video GamesBest "&amp;"Mac GamesBest PS5 GamesBest Games on PS PlusBest Xbox Series X GamesBest Nintendo Switch GamesBlack Friday DealsBlack Friday DealsBest Black Friday DealsComputingBlack Friday Laptop DealsBlack Friday Gaming Laptop DealsRetailersDell Black Friday DealsWalm"&amp;"art Black Friday DealsReviewsReviewsSee All ReviewsComputing ReviewsMac ReviewsPrinter ReviewsLaptop ReviewsMonitor ReviewsDesktop ReviewsMobile ReviewsPhone ReviewsTablet ReviewsSmartwatch ReviewsFitness Tracker ReviewsiPhone and iPad ReviewsAudio / Vide"&amp;"o ReviewsTV ReviewsSpeaker ReviewsSoundbar ReviewsHeadphone ReviewsMedia Streamer ReviewsMore ReviewsGame ReviewsMovie and TV Show ReviewsSmart Home ReviewsPower Station ReviewseBike ReviewsNewsMoreMoreBrandsDellAppleGoogleSamsungMicrosoftDealsTV DealsPho"&amp;"ne DealsLaptop DealsGaming PC DealsSee All Tech DealsOriginal SeriesReSpecLife on MarsGenius HomeTech for ChangeSee All Original SeriesMore TopicsSpaceOutdoorsPortable Power StationsVersusBusinessSee All TopicsYouTube Trending:Windows 12Nintendo Switch 2G"&amp;"TA 5 CheatsGoogle Pixel 8 Pro ReviewBose QuietComfort Ultra Headphones ReviewGoogle Pixel Watch 2 ReviewDisney+ Free TrialBest Mouse for MacBest Mac AppsGoogle Pixel 8 ReviewiPhone 15 Review  JBL PartyBox Ultimate speaker review: there’s no party it can’t"&amp;" power					The JBL PartyBox Ultimate is the company's biggest and loudest party speaker yet but its sound is remarkably clean and its Wi-Fi connectivity gives it an edge.				Audio / VideoDerek Malcolm The HP Omen 16 is an unfortunate pricing mishapComputi"&amp;"ngJacob Roach8 hours agoComputingJacob Roach8 hours ago I figured out how to protect my iPhone without an ugly caseMobileAndy Boxall9 hours agoMobileAndy Boxall9 hours agoUSC Trojans vs. Oregon Ducks live stream: watch college football for freeEntertainme"&amp;"ntDan Girolamo9 minutes agoNetflix subscribers are getting one of the decade’s best gamesGamingGeorge Yang5 hours agoWhat channel is the UFC fight on today? Watch UFC 295 liveEntertainmentNoah McGraw7 hours ago3 underrated shows on Netflix you need to wat"&amp;"ch in NovemberEntertainmentDan Girolamo8 hours agoThe 10 most popular shows on Max right nowEntertainmentBlair Marnell8 hours agoChristmas and holiday program guide 2023: Movies and shows to watchEntertainmentDan Girolamo9 hours agoTesla Model S vs. Porsc"&amp;"he Taycan: turning heads and snapping necksCarsChristian de Looper9 hours ago What went wrong with The Marvels? 5 reasons why the MCU is in troubleEntertainmentBlair Marnell9 hours agoEntertainmentBlair Marnell9 hours ago Dream Scenario review: a one-note"&amp;" nightmare comedyEntertainmentAlex Welch14 hours agoEntertainmentAlex Welch14 hours ago				Original Series			      Best new movies to stream on Netflix Hulu Prime Video Max (HBO) and more						The best new movies to stream this week include David Fincher'"&amp;"s The Killer on Netflix and The League and Fool's Paradise on Hulu.					EntertainmentNick Perry10 hours ago The best MCU sequels ranked						While The Marvels isn't one of them the MCU has produced many great sequels over the years. DT ranks the 10 best M"&amp;"arvel sequels ever.					EntertainmentAnthony Orlando10 hours ago Here’s more proof that Apple is wrong about MacBook memory						Some new testing has been published that calls into question Apple's defense of the amount of memory it puts in its high-end M"&amp;"acBook Pro.					ComputingLuke Larsen10 hours ago iOS 17: How to add a different home screen wallpaper on your iPhone						With iOS 17 you can customize your iPhone lock screen like never before and it's also still really easy to select a unique home scree"&amp;"n wallpaper.					MobileJesse Hollington11 hours ago JLab jumps into hi-res and Bluetooth LE audio with $200 Epic Lab Edition earbudsSponsored						JLab's latest wireless earbuds promise its best audio quality yet with hi-res support and compatibility with"&amp;" Bluetooth LE Audio.					Presented by What time is the UFC fight tonight? Full UFC 295 schedule						 Jiří Procházka and Alex Pereira face off in a light heavyweight match this weekend. Here's the full schedule.					EntertainmentNoah McGraw12 hours ago 5 "&amp;"movies to watch if you liked The Marvels						Did you enjoy the latest MCU movie The Marvels with Brie Larson and are looking for more like it? Then these five movies should be on your list to watch.					EntertainmentJoe Allen12 hours ago How to remove a "&amp;"language on Duolingo						Duolingo offers over 30 languages you can learn. When you want to remove a language from your account here's how to do it for both iPhone and Android. 					MobileBryan M. Wolfe13 hours ago 7 best cosmic Marvel characters ever ran"&amp;"ked						There are more heroes in space than The Marvels. Let's dive into the seven best cosmic Marvel characters most of whom aren't in the MCU!					EntertainmentBlair Marnell14 hours ago All of David Fincher’s movies ranked from worst to best						From "&amp;"The Social Network and Gone Girl to Fight Club and Seven here are all of David Fincher's movies ranked from worst to best.					EntertainmentAlex Welch15 hours ago The best Samsung Galaxy S23 Plus cases: 21 you can’t ignore						The Galaxy S23 Plus is a gr"&amp;"eat phone with a big screen and battery — and it's one you should put in a case. Here are the best S23 Plus cases you can buy!					MobileJesse Hollington15 hours ago Call of Duty: Modern Warfare 3 review: little to play and nothing to say						Call of Dut"&amp;"y: Modern Warfare 3 is a pretty game but its bland campaign atrocious UI and irritating multiplayer quirks leave a sour taste in the mouth.					GamingBilly Givens16 hours ago The case for XR at work isn’t going away just yet						VR/XR might finally take "&amp;"off with the help of the enterprise space with many everyday people getting their first taste of virtual reality at work. 					ComputingFionna Agomuoh16 hours ago Michigan Wolverines vs. Penn State Nittany Lions live stream: watch college football for fre"&amp;"e						Michigan and Penn State clash in Happy Valley with huge Big Ten implications on the line. Find out how to watch college football with a free live stream.					EntertainmentDan Girolamo18 hours ago Los Angeles Clippers vs. Dallas Mavericks live strea"&amp;"m: watch the NBA for free						Find out how to watch a free live stream of Friday night's NBA In-Season Tournament game between the Los Angeles Clippers and Dallas Mavericks. 					EntertainmentDan Girolamo1 day ago Arizona Wildcats vs. Duke Blue Devils li"&amp;"ve stream: watch college basketball for free						College basketball fans are in for an early season treat when the Arizona Wildcats play the Duke Blue Devils. Find out how to watch a live stream. 					EntertainmentDan Girolamo1 day ago 4 easy ways to tak"&amp;"e a screenshot on a Windows PC						Taking screenshots on a PC is easier than you think and is an important computing task to know. Here's how to take a screenshot on a PC in a few quick steps.					ComputingAnita George1 day ago Steam Deck OLED vs. Steam "&amp;"Deck: Which should you buy?						The Stem Deck OLED is a mild iteration on the original Steam Deck but is it worth buying? Here's how the Steam Deck OLED and Steam Deck LCD stack up.					ComputingJon Martindale1 day ago 3 underrated shows on Max you need "&amp;"to watch in November						You may have missed a few great TV series during their original runs but these three underrated shows on Max will have you coming back for more.					EntertainmentBlair Marnell1 day ago The iPhone’s futuristic satellite tech isn’t"&amp;" coming to Android any time soon						Qualcomm has killed an ambitious project that sought to bring Apple-like satellite connectivity feature to Android phones but there's still some hope.					MobileNadeem Sarwar1 day ago The best holiday smart lights				"&amp;"		Smart holiday lights use an app on your phone or voice assistant to turn them on change colors or even put on a light show. These are the best options.					Smart HomeTyler Lacoma1 day ago The Marvels: Is it the worst MCU movie ever?						The MCU was onc"&amp;"e untouchable but with The Marvels the studio is at its lowest point. But is it truly awful or are there other Marvel movies that are worse?					EntertainmentDavid Caballero1 day ago ESPN+: Live sports and more you can’t get anywhere else						ESPN Plus o"&amp;"ffers so much more than the mainstream sports and shows on the cable network. Here's everything you need to know about the streaming service.					EntertainmentNick Perry1 day ago1234567 Next Latest Reviews JBL PartyBox Ultimate speaker review: there's no "&amp;"party it can't power8 hours ago The HP Omen 16 is an unfortunate pricing mishap8 hours ago Dream Scenario review: a one-note nightmare comedy14 hours ago Call of Duty: Modern Warfare 3 review: little to play and nothing to say16 hours ago This basic Broth"&amp;"er printer is a fast fix for home office needs1 day ago The Marvels review: the MCU’s shortest film is its biggest mess1 day ago The Killer review: David Fincher stylishly roasts himself1 day ago Lenovo Legion Go review: portable PC takes the right ideas "&amp;"from Nintendo Switch2 days agoMore Reviews DEALS The best projector Black Friday deals from only $70Audio / Video5 hours ago Shark Black Friday sale: Save on vacuums air purifiers and moreSmart Home6 hours ago The best gaming keyboard Black Friday deals o"&amp;"n Logitech and moreComputing6 hours ago There’s a Black Friday deal on Dyson’s Zone purifying headphonesAudio / Video7 hours ago The best Dyson cordless vacuum Black Friday deals available nowSmart Home7 hours ago The best gaming laptop deals in Best Buy'"&amp;"s Black Friday saleComputing7 hours ago The best gaming chair Black Friday deals you can shop nowGaming7 hours ago The best OLED TV Black Friday deals from Samsung Sony and LGAudio / Video7 hours agoMore DealsRECENT HOW TO`S iOS 17: How to add a different"&amp;" home screen wallpaper on your iPhoneMobile11 hours ago How to remove a language on DuolingoMobile13 hours ago 4 easy ways to take a screenshot on a Windows PCComputing1 day ago The best perks in Modern Warfare 3Gaming1 day ago These are the 6 biggest Goo"&amp;"gle Pixel 8 problems (and how to fix them)Mobile1 day ago How to add and use desktop widgets in macOS SonomaComputing2 days ago How to find your BitLocker recovery keyComputing3 days ago How to turn keyboard lighting on and offComputing3 days agoMore How "&amp;"To`sWHAT TO STREAM The 50 best movies on Netflix right now (November 2023)Entertainment1 day ago The best movies on Disney+ right now (November 2023)Entertainment2 days ago The best movies on Amazon Prime Video (November 2023)Entertainment1 day ago The be"&amp;"st movies on Hulu right now (October 2023)EntertainmentOctober 11Stream MoreUpgrade your lifestyleDigital Trends helps readers keep tabs on the fast-paced world of tech with all the latest news fun product reviews insightful editorials and one-of-a-kind s"&amp;"neak peeks.FacebookInstagramTwitterYouTubePinterestLinkedInTikTokMobileComputingGamingAudio / VideoSmart HomeEntertainmentAutomotiveSpaceStreaming GuidesOriginal ShowsDownloadsHow-ToAbout UsContact UsEditorial GuidelinesLogo &amp; Accolade LicensingSubscribe "&amp;"to our NewsletterSponsored ContentDigital Trends WallpapersDigital Trends in Spanish  PortlandNew YorkChicagoDetroitLos AngelesTorontoCareers Advertise With Us Work With Us Diversity &amp; Inclusion Terms of Use Privacy Policy Do Not Sell or Share My Informat"&amp;"ion Manage cookie preferences Press Room Sitemap Digital Trends Media Group may earn a commission when you buy through links on our sites.©2023 Digital Trends Media Group a Designtechnica Company. All rights reserved.")</f>
        <v>Digital Trends | Tech News Reviews Deals and How-To's Skip to main content 			Menu		ComputingMobileGamingEntertainmentAudio / VideoYouTube			Search		ComputingComputingSee All ComputingTrending TopicsLaptopsSoftwarePC GamingGraphics CardsArtificial IntelligenceTrending GuidesChatGPTWhat is a Chromebook?How to Choose a LaptopWindows 11 vs Windows 10Download YouTube VideosMobileMobileSee All MobileTrending Topics5GAppsiPhoneAndroidWearablesTrending GuidesWhat is 5G?How to Unlock a PhoneHow to Stop Spam CallsHow to Use WhatsApp WebShare a Wi-Fi Password on iPhoneGamingGamingSee All GamingTrending TopicsXboxPlayStationPC GamingCloud GamingNintendo SwitchTrending GuidesWordle TodayXbox Series X vs PS5Upcoming PS5 GamesAll Cross-Platform GamesUpcoming Switch GamesEntertainmentEntertainmentSee All EntertainmentTrending TopicsSci-FiActionMarvelFantasyDC ComicsTrending GuidesBest New MoviesBest New ShowsBest Shows on NetflixBest Movies on NetflixBest Shows on Disney Plus‎What to WatchBest Movies on Disney PlusBest Shows on Amazon PrimeBest Movies on Amazon PrimeMost Popular Movies on NetflixSee All Streaming GuidesBrowse by TypeEntertainment NewsEntertainment GuidesEntertainment FeaturesEntertainment ReviewsEntertainment DealsAudio / VideoAudio / VideoSee All Audio / VideoTrending TopicsTVSpeakersSoundbarsHeadphonesStreaming ServicesTrending GuidesFuboTVSling TVYouTube TVQLED vs OLEDWhat is Sonos?Smart HomeSmart HomeSee All Smart HomeTrending TopicsGoogle NestAmazon AlexaHome SecurityVideo DoorbellRobot VacuumsBrowse by TypeSmart Home NewsSmart Home GuidesSmart Home FeaturesSmart Home ReviewsSmart Home DealsCarsCarsSee All CarsTrending ReviewsToyota Prius Prime ReviewLexus RZ 450e ReviewMercedes EQE AMG SUV ReviewBMW XM ReviewHyundai Ioniq 6 ReviewTrending GuidesNACS chargingEV tax creditsBest Level 2 EV chargersRivian R2 SUVVolvo EX90 SUVBrowse by TypeCar NewsCar GuidesCar FeaturesCar ReviewsCar DealsBest ProductsBest ProductsSee All Best ProductsBest Computing ProductsBest LaptopsBest ChromebooksBest Graphics CardsBest Gaming LaptopsBest Desktop ComputerBest Mobile ProductsBest PhonesBest TabletsBest SmartwatchesBest Fitness TrackersBest Samsung PhonesBest Audio / Video ProductsBest TVsBest SpeakersBest ProjectorsBest SoundbarsBest HeadphonesBest Video GamesBest Mac GamesBest PS5 GamesBest Games on PS PlusBest Xbox Series X GamesBest Nintendo Switch GamesBlack Friday DealsBlack Friday DealsBest Black Friday DealsComputingBlack Friday Laptop DealsBlack Friday Gaming Laptop DealsRetailersDell Black Friday DealsWalmart Black Friday DealsReviewsReviewsSee All ReviewsComputing ReviewsMac ReviewsPrinter ReviewsLaptop ReviewsMonitor ReviewsDesktop ReviewsMobile ReviewsPhone ReviewsTablet ReviewsSmartwatch ReviewsFitness Tracker ReviewsiPhone and iPad ReviewsAudio / Video ReviewsTV ReviewsSpeaker ReviewsSoundbar ReviewsHeadphone ReviewsMedia Streamer ReviewsMore ReviewsGame ReviewsMovie and TV Show ReviewsSmart Home ReviewsPower Station ReviewseBike ReviewsNewsMoreMoreBrandsDellAppleGoogleSamsungMicrosoftDealsTV DealsPhone DealsLaptop DealsGaming PC DealsSee All Tech DealsOriginal SeriesReSpecLife on MarsGenius HomeTech for ChangeSee All Original SeriesMore TopicsSpaceOutdoorsPortable Power StationsVersusBusinessSee All TopicsYouTube Trending:Windows 12Nintendo Switch 2GTA 5 CheatsGoogle Pixel 8 Pro ReviewBose QuietComfort Ultra Headphones ReviewGoogle Pixel Watch 2 ReviewDisney+ Free TrialBest Mouse for MacBest Mac AppsGoogle Pixel 8 ReviewiPhone 15 Review  JBL PartyBox Ultimate speaker review: there’s no party it can’t power					The JBL PartyBox Ultimate is the company's biggest and loudest party speaker yet but its sound is remarkably clean and its Wi-Fi connectivity gives it an edge.				Audio / VideoDerek Malcolm The HP Omen 16 is an unfortunate pricing mishapComputingJacob Roach8 hours agoComputingJacob Roach8 hours ago I figured out how to protect my iPhone without an ugly caseMobileAndy Boxall9 hours agoMobileAndy Boxall9 hours agoUSC Trojans vs. Oregon Ducks live stream: watch college football for freeEntertainmentDan Girolamo9 minutes agoNetflix subscribers are getting one of the decade’s best gamesGamingGeorge Yang5 hours agoWhat channel is the UFC fight on today? Watch UFC 295 liveEntertainmentNoah McGraw7 hours ago3 underrated shows on Netflix you need to watch in NovemberEntertainmentDan Girolamo8 hours agoThe 10 most popular shows on Max right nowEntertainmentBlair Marnell8 hours agoChristmas and holiday program guide 2023: Movies and shows to watchEntertainmentDan Girolamo9 hours agoTesla Model S vs. Porsche Taycan: turning heads and snapping necksCarsChristian de Looper9 hours ago What went wrong with The Marvels? 5 reasons why the MCU is in troubleEntertainmentBlair Marnell9 hours agoEntertainmentBlair Marnell9 hours ago Dream Scenario review: a one-note nightmare comedyEntertainmentAlex Welch14 hours agoEntertainmentAlex Welch14 hours ago				Original Series			      Best new movies to stream on Netflix Hulu Prime Video Max (HBO) and more						The best new movies to stream this week include David Fincher's The Killer on Netflix and The League and Fool's Paradise on Hulu.					EntertainmentNick Perry10 hours ago The best MCU sequels ranked						While The Marvels isn't one of them the MCU has produced many great sequels over the years. DT ranks the 10 best Marvel sequels ever.					EntertainmentAnthony Orlando10 hours ago Here’s more proof that Apple is wrong about MacBook memory						Some new testing has been published that calls into question Apple's defense of the amount of memory it puts in its high-end MacBook Pro.					ComputingLuke Larsen10 hours ago iOS 17: How to add a different home screen wallpaper on your iPhone						With iOS 17 you can customize your iPhone lock screen like never before and it's also still really easy to select a unique home screen wallpaper.					MobileJesse Hollington11 hours ago JLab jumps into hi-res and Bluetooth LE audio with $200 Epic Lab Edition earbudsSponsored						JLab's latest wireless earbuds promise its best audio quality yet with hi-res support and compatibility with Bluetooth LE Audio.					Presented by What time is the UFC fight tonight? Full UFC 295 schedule						 Jiří Procházka and Alex Pereira face off in a light heavyweight match this weekend. Here's the full schedule.					EntertainmentNoah McGraw12 hours ago 5 movies to watch if you liked The Marvels						Did you enjoy the latest MCU movie The Marvels with Brie Larson and are looking for more like it? Then these five movies should be on your list to watch.					EntertainmentJoe Allen12 hours ago How to remove a language on Duolingo						Duolingo offers over 30 languages you can learn. When you want to remove a language from your account here's how to do it for both iPhone and Android. 					MobileBryan M. Wolfe13 hours ago 7 best cosmic Marvel characters ever ranked						There are more heroes in space than The Marvels. Let's dive into the seven best cosmic Marvel characters most of whom aren't in the MCU!					EntertainmentBlair Marnell14 hours ago All of David Fincher’s movies ranked from worst to best						From The Social Network and Gone Girl to Fight Club and Seven here are all of David Fincher's movies ranked from worst to best.					EntertainmentAlex Welch15 hours ago The best Samsung Galaxy S23 Plus cases: 21 you can’t ignore						The Galaxy S23 Plus is a great phone with a big screen and battery — and it's one you should put in a case. Here are the best S23 Plus cases you can buy!					MobileJesse Hollington15 hours ago Call of Duty: Modern Warfare 3 review: little to play and nothing to say						Call of Duty: Modern Warfare 3 is a pretty game but its bland campaign atrocious UI and irritating multiplayer quirks leave a sour taste in the mouth.					GamingBilly Givens16 hours ago The case for XR at work isn’t going away just yet						VR/XR might finally take off with the help of the enterprise space with many everyday people getting their first taste of virtual reality at work. 					ComputingFionna Agomuoh16 hours ago Michigan Wolverines vs. Penn State Nittany Lions live stream: watch college football for free						Michigan and Penn State clash in Happy Valley with huge Big Ten implications on the line. Find out how to watch college football with a free live stream.					EntertainmentDan Girolamo18 hours ago Los Angeles Clippers vs. Dallas Mavericks live stream: watch the NBA for free						Find out how to watch a free live stream of Friday night's NBA In-Season Tournament game between the Los Angeles Clippers and Dallas Mavericks. 					EntertainmentDan Girolamo1 day ago Arizona Wildcats vs. Duke Blue Devils live stream: watch college basketball for free						College basketball fans are in for an early season treat when the Arizona Wildcats play the Duke Blue Devils. Find out how to watch a live stream. 					EntertainmentDan Girolamo1 day ago 4 easy ways to take a screenshot on a Windows PC						Taking screenshots on a PC is easier than you think and is an important computing task to know. Here's how to take a screenshot on a PC in a few quick steps.					ComputingAnita George1 day ago Steam Deck OLED vs. Steam Deck: Which should you buy?						The Stem Deck OLED is a mild iteration on the original Steam Deck but is it worth buying? Here's how the Steam Deck OLED and Steam Deck LCD stack up.					ComputingJon Martindale1 day ago 3 underrated shows on Max you need to watch in November						You may have missed a few great TV series during their original runs but these three underrated shows on Max will have you coming back for more.					EntertainmentBlair Marnell1 day ago The iPhone’s futuristic satellite tech isn’t coming to Android any time soon						Qualcomm has killed an ambitious project that sought to bring Apple-like satellite connectivity feature to Android phones but there's still some hope.					MobileNadeem Sarwar1 day ago The best holiday smart lights						Smart holiday lights use an app on your phone or voice assistant to turn them on change colors or even put on a light show. These are the best options.					Smart HomeTyler Lacoma1 day ago The Marvels: Is it the worst MCU movie ever?						The MCU was once untouchable but with The Marvels the studio is at its lowest point. But is it truly awful or are there other Marvel movies that are worse?					EntertainmentDavid Caballero1 day ago ESPN+: Live sports and more you can’t get anywhere else						ESPN Plus offers so much more than the mainstream sports and shows on the cable network. Here's everything you need to know about the streaming service.					EntertainmentNick Perry1 day ago1234567 Next Latest Reviews JBL PartyBox Ultimate speaker review: there's no party it can't power8 hours ago The HP Omen 16 is an unfortunate pricing mishap8 hours ago Dream Scenario review: a one-note nightmare comedy14 hours ago Call of Duty: Modern Warfare 3 review: little to play and nothing to say16 hours ago This basic Brother printer is a fast fix for home office needs1 day ago The Marvels review: the MCU’s shortest film is its biggest mess1 day ago The Killer review: David Fincher stylishly roasts himself1 day ago Lenovo Legion Go review: portable PC takes the right ideas from Nintendo Switch2 days agoMore Reviews DEALS The best projector Black Friday deals from only $70Audio / Video5 hours ago Shark Black Friday sale: Save on vacuums air purifiers and moreSmart Home6 hours ago The best gaming keyboard Black Friday deals on Logitech and moreComputing6 hours ago There’s a Black Friday deal on Dyson’s Zone purifying headphonesAudio / Video7 hours ago The best Dyson cordless vacuum Black Friday deals available nowSmart Home7 hours ago The best gaming laptop deals in Best Buy's Black Friday saleComputing7 hours ago The best gaming chair Black Friday deals you can shop nowGaming7 hours ago The best OLED TV Black Friday deals from Samsung Sony and LGAudio / Video7 hours agoMore DealsRECENT HOW TO`S iOS 17: How to add a different home screen wallpaper on your iPhoneMobile11 hours ago How to remove a language on DuolingoMobile13 hours ago 4 easy ways to take a screenshot on a Windows PCComputing1 day ago The best perks in Modern Warfare 3Gaming1 day ago These are the 6 biggest Google Pixel 8 problems (and how to fix them)Mobile1 day ago How to add and use desktop widgets in macOS SonomaComputing2 days ago How to find your BitLocker recovery keyComputing3 days ago How to turn keyboard lighting on and offComputing3 days agoMore How To`sWHAT TO STREAM The 50 best movies on Netflix right now (November 2023)Entertainment1 day ago The best movies on Disney+ right now (November 2023)Entertainment2 days ago The best movies on Amazon Prime Video (November 2023)Entertainment1 day ago The best movies on Hulu right now (October 2023)EntertainmentOctober 11Stream MoreUpgrade your lifestyleDigital Trends helps readers keep tabs on the fast-paced world of tech with all the latest news fun product reviews insightful editorials and one-of-a-kind sneak peeks.FacebookInstagramTwitterYouTubePinterestLinkedInTikTokMobileComputingGamingAudio / VideoSmart HomeEntertainmentAutomotiveSpaceStreaming GuidesOriginal ShowsDownloadsHow-ToAbout UsContact UsEditorial GuidelinesLogo &amp; Accolade LicensingSubscribe to our NewsletterSponsored ContentDigital Trends WallpapersDigital Trends in Spanish  PortlandNew YorkChicagoDetroitLos AngelesTorontoCareers Advertise With Us Work With Us Diversity &amp; Inclusion Terms of Use Privacy Policy Do Not Sell or Share My Information Manage cookie preferences Press Room Sitemap Digital Trends Media Group may earn a commission when you buy through links on our sites.©2023 Digital Trends Media Group a Designtechnica Company. All rights reserved.</v>
      </c>
    </row>
    <row r="41">
      <c r="A41" s="1" t="s">
        <v>54</v>
      </c>
      <c r="B41" s="1" t="s">
        <v>169</v>
      </c>
      <c r="D41" s="1">
        <v>10.0</v>
      </c>
      <c r="E41" s="4" t="s">
        <v>170</v>
      </c>
      <c r="F41" s="1" t="s">
        <v>43</v>
      </c>
      <c r="G41" s="1" t="s">
        <v>171</v>
      </c>
      <c r="H41" s="4" t="s">
        <v>172</v>
      </c>
      <c r="I41" s="2">
        <v>1.0</v>
      </c>
      <c r="J41" s="5" t="str">
        <f>IFERROR(__xludf.DUMMYFUNCTION("GOOGLETRANSLATE(A41)"),"chatgpt")</f>
        <v>chatgpt</v>
      </c>
      <c r="K41" s="6" t="str">
        <f>IFERROR(__xludf.DUMMYFUNCTION("GOOGLETRANSLATE(B41)"),"What Is ChatGPT? Everything You Need to Know About ...")</f>
        <v>What Is ChatGPT? Everything You Need to Know About ...</v>
      </c>
      <c r="M41" s="5" t="str">
        <f>IFERROR(__xludf.DUMMYFUNCTION("GOOGLETRANSLATE(G41)"),"Insider  Jump toMain contentSearchAccountMenu iconA vertical stack of three evenly spaced horizontal lines. Search iconA magnifying glass. It indicates ""Click to perform a search"". Insider logoThe word ""Insider"". BusinessThe word Business Insider logo"&amp;"The word ""Insider"".                           Newsletters                                                  Subscribe                         Account iconAn icon in the shape of a person's head and shoulders. It often indicates a user profile. Log in Acc"&amp;"ount iconAn icon in the shape of a person's head and shoulders. It often indicates a user profile.                        Subscribe                                      Tech                              Finance                              Markets        "&amp;"                      Strategy                              Retail                              Advertising                              Healthcare                              Premium                              Video                                Busi"&amp;"ness                TechFinanceMarketsStrategyRetailAdvertisingHealthcarePremium                  Life                EntertainmentCultureTravelFoodHealthParentingBeautyStyle                  News                PoliticsMilitary &amp; DefenseSportsOpinion    "&amp;"              Reviews                TechStreamingHomeKitchenStyleBeautyGiftsDealsPetsParentingCouponsHealthLearningHobbies &amp; CraftsTravel                  Video                                  All                A-ZAdvertisingBusinessCareersCouponsDoorD"&amp;"ashWalmartDellStaplesUnder ArmourCultureDesignEntertainmentExecutive LifestyleFinanceFoodHealthHealthcareIntelligenceLatestLifeMarkets InsiderMediaMilitary &amp; DefenseNewsOpinionPeoplePersonal FinanceBankingCredit CardsInsuranceInvestingLoansMortgagesPoliti"&amp;"csPremiumRetailReviewsScienceSportsStrategyTechTransportationTravelFeaturedTalent InsiderAboutAboutAdvertiseCareersCode of EthicsContact UsCorporateCorrections PolicyFollowRSSSitemapFacebookTwitterInstagramYouTubeLinkedInSubscriptionsIntelligencePremiumCl"&amp;"ose iconTwo crossed lines that form an 'X'. It indicates a way to close an interaction or dismiss a notification.             US Markets Loading...hms                            Military &amp; Defense                             Israel is looking to World War"&amp;" II in its Gaza fight and it risks taking lessons from the wrong warVictory in Israel's deadly Gaza invasion may turn on the same factors the US blundered in its post-9/11 wars.  Weight-loss drugs just got cheaper — and betterWait the Trumps are testifyin"&amp;"g again in the NY civil fraud trial?We watched 1000 TikToks for science Billionaire FBI informant Peter Thiel dished about two Kremlin invites to private Putin meetingsA Florida boomer said he 'can't move back to California fast enough.' Here's why.Why st"&amp;"rikes are working and which industries could be next                                        Tech                                       Miss out on the limited-edition Kendrick Lamar 'dumb' phone? Don't worry — you can get a very similar model for $299 If "&amp;"you missed Kendrick Lamar's pgLang phone drop the Light Phone 2 could be the next best ""dumb"" phone — for the same $299 price.                                       Personal Finance                                       Verizon and AT&amp;T are now requirin"&amp;"g debit card payments to get the full autopay discount. Here's how to decide if it's worth it.Verizon and AT&amp;T are offering discounts for paying bills via bank account. Before you switch make sure you won't miss out on rewards and protections.            "&amp;"                           Military &amp; Defense                                       Gaza's last pediatric hospital has been surrounded by Israeli tanks as hospitals across enclave come under siege reports sayFour major hospitals in Gaza are now effectivel"&amp;"y on the front line of fighting between the IDF and Hamas the BBC reported. Video                                    Real Estate                                   A tenant stopped paying rent and listed his landlord's home on Airbnb. The landlord is now s"&amp;"tuck living in his van.                                   Economy                                   Here's one area of California where people aren't leaving and the population is actually growing                                   Media                   "&amp;"                Scooter Braun's right-hand man wanted to make Camila Sterling a star. After she died in his hotel room he wanted the world to forget.  Most popular You're all set enjoy your Insider access!Go to newsletter preferencesThanks for signing up!"&amp;"We take you inside the companies and the topics that matter to you.                    Download the app                     NEW LOOKSign up to get the inside scoop on today’s biggest stories in markets tech and business — delivered daily.                 "&amp;"       Read preview Email                          Sign up                         By clicking “Sign Up” you accept our Terms                            of Service and Privacy                            Policy. You can opt-out at any time.LoadingSomething"&amp;" is loading.                                Real Estate                               A tenant stopped paying rent and listed his landlord's home on Airbnb. The landlord is now stuck living in his van.                               Economy                "&amp;"               Here's one area of California where people aren't leaving and the population is actually growing                               Media                               Scooter Braun's right-hand man wanted to make Camila Sterling a star. After s"&amp;"he died in his hotel room he wanted the world to forget.  Most popular                             Food                            Eating around the world in New York's most diverse borough                                      Food                        "&amp;"              I host Friendsgiving every year. Here are 3 tips for a successful dinner party.                                Insider's reporter has hosted Friendsgiving with her roommates for three years.                                                   "&amp;"              Tech                                      Humane's AI Pin probably can't replace your phone                                The $699 AI-powered device is very cool but using its voice-powered functions in public is anti-social.               "&amp;"                                                   News                                       Pope Francis ousted a Texas bishop signaling he may finally be done with ultraconservative US Catholics                                Pope Francis and Texas Bis"&amp;"hop Joseph Strickland clashed over issues of same-sex couples and the ordination of women. Pope Francis has described some American Catholics as ""backward.""                                                                  Travel                         "&amp;"              I've visited 59 of the 63 US national parks. Here are 10 of my all-time favorites.                                 After traveling to 59 of the 63 major US national parks destinations like Grand Teton Acadia and Glacier National Park were my"&amp;" favorites.                                                                   Markets                                      'The hard part is over': Here's what Goldman Sachs sees in the year ahead as markets and the economy return to pre-2008 conditions T"&amp;"he best offers from Insider Coupons                       Start your new project today with the best Home Depot coupon codes.                                           Shop exclusive savings every week at Staples.com.                                      "&amp;"     Put your best foot forward with our best DSW offers.                                           Spoil your pets with deals just for them at Chewy.                    Advertisement Advertisement                       Markets                      Loadin"&amp;"gSomething is loading. Advertisement Advertisement                       Tech                      LoadingSomething is loading. Advertisement Advertisement                       Finance                      LoadingSomething is loading. Advertisement Adver"&amp;"tisement                       Strategy                      LoadingSomething is loading. Advertisement Advertisement                       Personal Finance                      LoadingSomething is loading. Advertisement Advertisement                     "&amp;"  Reviews                      LoadingSomething is loading. Video Advertisement The best offers from Insider Coupons                                 Start your new project today with the best Home Depot coupon codes.                                       "&amp;"                        Shop exclusive savings every week at Staples.com.                                                               Put your best foot forward with our best DSW offers.                                                               Spoi"&amp;"l your pets with deals just for them at Chewy.                              AdvertisementAdvertisementAdvertisement Close iconTwo crossed lines that form an 'X'. It indicates a way to close an interaction or dismiss a notification.     Follow us on:      "&amp;"                    *                  Copyright © 2023                  Insider Inc. All rights reserved.                  Registration on or use of this site constitutes acceptance of our Terms of ServiceandPrivacy Policy.                Contact UsMasth"&amp;"eadSitemapDisclaimerAccessibilityCommerce PolicyAdvertising PoliciesCouponsMade in NYCJobs @ Insider                  Stock quotes by                  finanzen.netReprints &amp; Permissions            Your Privacy Choices              International Editions:U"&amp;"nited StatesUSInternationalINTLAsiaASDeutschland &amp; ÖsterreichATDeutschlandDEEspañaESIndiaINJapanJPMéxicoMXNetherlandsNLPolskaPL    ")</f>
        <v>Insider  Jump toMain contentSearchAccountMenu iconA vertical stack of three evenly spaced horizontal lines. Search iconA magnifying glass. It indicates "Click to perform a search". Insider logoThe word "Insider". BusinessThe word Business Insider logoThe word "Insider".                           Newsletters                                                  Subscribe                         Account iconAn icon in the shape of a person's head and shoulders. It often indicates a user profile. Log in Account iconAn icon in the shape of a person's head and shoulders. It often indicates a user profile.                        Subscribe                                      Tech                              Finance                              Markets                              Strategy                              Retail                              Advertising                              Healthcare                              Premium                              Video                                Business                TechFinanceMarketsStrategyRetailAdvertisingHealthcarePremium                  Life                EntertainmentCultureTravelFoodHealthParentingBeautyStyle                  News                PoliticsMilitary &amp; DefenseSportsOpinion                  Reviews                TechStreamingHomeKitchenStyleBeautyGiftsDealsPetsParentingCouponsHealthLearningHobbies &amp; CraftsTravel                  Video                                  All                A-ZAdvertisingBusinessCareersCouponsDoorDashWalmartDellStaplesUnder ArmourCultureDesignEntertainmentExecutive LifestyleFinanceFoodHealthHealthcareIntelligenceLatestLifeMarkets InsiderMediaMilitary &amp; DefenseNewsOpinionPeoplePersonal FinanceBankingCredit CardsInsuranceInvestingLoansMortgagesPoliticsPremiumRetailReviewsScienceSportsStrategyTechTransportationTravelFeaturedTalent InsiderAboutAboutAdvertiseCareersCode of EthicsContact UsCorporateCorrections PolicyFollowRSSSitemapFacebookTwitterInstagramYouTubeLinkedInSubscriptionsIntelligencePremiumClose iconTwo crossed lines that form an 'X'. It indicates a way to close an interaction or dismiss a notification.             US Markets Loading...hms                            Military &amp; Defense                             Israel is looking to World War II in its Gaza fight and it risks taking lessons from the wrong warVictory in Israel's deadly Gaza invasion may turn on the same factors the US blundered in its post-9/11 wars.  Weight-loss drugs just got cheaper — and betterWait the Trumps are testifying again in the NY civil fraud trial?We watched 1000 TikToks for science Billionaire FBI informant Peter Thiel dished about two Kremlin invites to private Putin meetingsA Florida boomer said he 'can't move back to California fast enough.' Here's why.Why strikes are working and which industries could be next                                        Tech                                       Miss out on the limited-edition Kendrick Lamar 'dumb' phone? Don't worry — you can get a very similar model for $299 If you missed Kendrick Lamar's pgLang phone drop the Light Phone 2 could be the next best "dumb" phone — for the same $299 price.                                       Personal Finance                                       Verizon and AT&amp;T are now requiring debit card payments to get the full autopay discount. Here's how to decide if it's worth it.Verizon and AT&amp;T are offering discounts for paying bills via bank account. Before you switch make sure you won't miss out on rewards and protections.                                       Military &amp; Defense                                       Gaza's last pediatric hospital has been surrounded by Israeli tanks as hospitals across enclave come under siege reports sayFour major hospitals in Gaza are now effectively on the front line of fighting between the IDF and Hamas the BBC reported. Video                                    Real Estate                                   A tenant stopped paying rent and listed his landlord's home on Airbnb. The landlord is now stuck living in his van.                                   Economy                                   Here's one area of California where people aren't leaving and the population is actually growing                                   Media                                   Scooter Braun's right-hand man wanted to make Camila Sterling a star. After she died in his hotel room he wanted the world to forget.  Most popular You're all set enjoy your Insider access!Go to newsletter preferencesThanks for signing up!We take you inside the companies and the topics that matter to you.                    Download the app                     NEW LOOKSign up to get the inside scoop on today’s biggest stories in markets tech and business — delivered daily.                        Read preview Email                          Sign up                         By clicking “Sign Up” you accept our Terms                            of Service and Privacy                            Policy. You can opt-out at any time.LoadingSomething is loading.                                Real Estate                               A tenant stopped paying rent and listed his landlord's home on Airbnb. The landlord is now stuck living in his van.                               Economy                               Here's one area of California where people aren't leaving and the population is actually growing                               Media                               Scooter Braun's right-hand man wanted to make Camila Sterling a star. After she died in his hotel room he wanted the world to forget.  Most popular                             Food                            Eating around the world in New York's most diverse borough                                      Food                                      I host Friendsgiving every year. Here are 3 tips for a successful dinner party.                                Insider's reporter has hosted Friendsgiving with her roommates for three years.                                                                 Tech                                      Humane's AI Pin probably can't replace your phone                                The $699 AI-powered device is very cool but using its voice-powered functions in public is anti-social.                                                                  News                                       Pope Francis ousted a Texas bishop signaling he may finally be done with ultraconservative US Catholics                                Pope Francis and Texas Bishop Joseph Strickland clashed over issues of same-sex couples and the ordination of women. Pope Francis has described some American Catholics as "backward."                                                                  Travel                                       I've visited 59 of the 63 US national parks. Here are 10 of my all-time favorites.                                 After traveling to 59 of the 63 major US national parks destinations like Grand Teton Acadia and Glacier National Park were my favorites.                                                                   Markets                                      'The hard part is over': Here's what Goldman Sachs sees in the year ahead as markets and the economy return to pre-2008 conditions The best offers from Insider Coupons                       Start your new project today with the best Home Depot coupon codes.                                           Shop exclusive savings every week at Staples.com.                                           Put your best foot forward with our best DSW offers.                                           Spoil your pets with deals just for them at Chewy.                    Advertisement Advertisement                       Markets                      LoadingSomething is loading. Advertisement Advertisement                       Tech                      LoadingSomething is loading. Advertisement Advertisement                       Finance                      LoadingSomething is loading. Advertisement Advertisement                       Strategy                      LoadingSomething is loading. Advertisement Advertisement                       Personal Finance                      LoadingSomething is loading. Advertisement Advertisement                       Reviews                      LoadingSomething is loading. Video Advertisement The best offers from Insider Coupons                                 Start your new project today with the best Home Depot coupon codes.                                                               Shop exclusive savings every week at Staples.com.                                                               Put your best foot forward with our best DSW offers.                                                               Spoil your pets with deals just for them at Chewy.                              AdvertisementAdvertisementAdvertisement Close iconTwo crossed lines that form an 'X'. It indicates a way to close an interaction or dismiss a notification.     Follow us on:                          *                  Copyright © 2023                  Insider Inc. All rights reserved.                  Registration on or use of this site constitutes acceptance of our Terms of ServiceandPrivacy Policy.                Contact UsMastheadSitemapDisclaimerAccessibilityCommerce PolicyAdvertising PoliciesCouponsMade in NYCJobs @ Insider                  Stock quotes by                  finanzen.netReprints &amp; Permissions            Your Privacy Choices              International Editions:United StatesUSInternationalINTLAsiaASDeutschland &amp; ÖsterreichATDeutschlandDEEspañaESIndiaINJapanJPMéxicoMXNetherlandsNLPolskaPL    </v>
      </c>
    </row>
    <row r="42">
      <c r="A42" s="1" t="s">
        <v>54</v>
      </c>
      <c r="B42" s="1" t="s">
        <v>173</v>
      </c>
      <c r="C42" s="1" t="s">
        <v>174</v>
      </c>
      <c r="D42" s="1">
        <v>11.0</v>
      </c>
      <c r="E42" s="4" t="s">
        <v>175</v>
      </c>
      <c r="F42" s="1" t="s">
        <v>43</v>
      </c>
      <c r="G42" s="1" t="s">
        <v>176</v>
      </c>
      <c r="H42" s="4" t="s">
        <v>177</v>
      </c>
      <c r="I42" s="2">
        <v>1.0</v>
      </c>
      <c r="J42" s="5" t="str">
        <f>IFERROR(__xludf.DUMMYFUNCTION("GOOGLETRANSLATE(A42)"),"chatgpt")</f>
        <v>chatgpt</v>
      </c>
      <c r="K42" s="6" t="str">
        <f>IFERROR(__xludf.DUMMYFUNCTION("GOOGLETRANSLATE(B42)"),"What Is ChatGPT Doing … and Why Does It Work?")</f>
        <v>What Is ChatGPT Doing … and Why Does It Work?</v>
      </c>
      <c r="L42" s="5" t="str">
        <f>IFERROR(__xludf.DUMMYFUNCTION("GOOGLETRANSLATE(C42)"),"14 Fevr. 2023. -")</f>
        <v>14 Fevr. 2023. -</v>
      </c>
      <c r="M42" s="5" t="str">
        <f>IFERROR(__xludf.DUMMYFUNCTION("GOOGLETRANSLATE(G42)"),"Stephen Wolfram Writings≡Stephen Wolfram                Writings            ABOUTWRITINGSPUBLICATIONSMEDIASCRAPBOOKCONTACTRecent |                        CategoriesArtificial IntelligenceBig PictureCompanies and BusinessComputational ScienceComputational "&amp;"ThinkingData ScienceEducationFuture PerspectivesHistorical PerspectivesLanguage and CommunicationLife and TimesLife ScienceMathematicaMathematicsNew Kind of ScienceNew TechnologyPersonal AnalyticsPhilosophyPhysicsRuliologySoftware DesignWolfram|AlphaWolfr"&amp;"am|OneWolfram LanguageOther |× Aggregation and Tiling as Multicomputational ProcessesNovember 3 2023The Importance of Multiway SystemsIt’s all about systems where there can in effect be many possible paths of history. In a typical standard computational s"&amp;"ystem like a cellular automaton there’s always just one path defined by evolution from one state to the next. But in a multiway system there can be many possible next states—and thus many possible paths of history. Multiway systems have a central role in "&amp;"our Physics Project particularly in connection with quantum mechanics. But what’s now emerging is that multiway systems in fact serve as a quite general foundation for a whole new “multicomputational” paradigm for modeling.My objective here is twofold. Fi"&amp;"rst I want to use multiway systems as minimal models for growth processes based on aggregation and tiling. And second I want to use this concrete application as a way to develop further intuition about multiway systems in general. Elsewhere I have explore"&amp;"d multiway systems for strings multiway systems based on numbers multiway Turing machines multiway combinators multiway expression evaluation and multiway systems based on games and puzzles. But in studying multiway systems for aggregation  and tiling we’"&amp;"ll be dealing with something that is immediately more physical and tangible. Continue readingHow to Think Computationally about AI the Universe and EverythingOctober 27 2023Transcript of a talk at TED AI on October 17 2023 in San FranciscoHuman language. "&amp;"Mathematics. Logic. These are all ways to formalize the world. And in our century there’s a new and yet more powerful one: computation. And for nearly 50 years I’ve had the great privilege of building an ever taller tower of science and technology based o"&amp;"n that idea of computation. And today I want to tell you some of what that’s led to. There’s a lot to talk about—so I’m going to go quickly… sometimes with just a sentence summarizing what I’ve written a whole book about. Continue readingExpression Evalua"&amp;"tion and Fundamental PhysicsSeptember 29 2023An Unexpected CorrespondenceEnter any expression and it’ll get evaluated:  And internally—say in the Wolfram Language—what’s going on is that the expression is progressively being transformed using all availabl"&amp;"e rules until no more rules apply. Here the process can be represented like this:  We can think of the yellow boxes in this picture as corresponding to “evaluation events” that transform one “state of the expression” (represented by a blue box) to another"&amp;" eventually reaching the “fixed point” 12.And so far this may all seem very simple. But actually there are many surprisingly complicated and deep issues and questions. For example to what extent can the evaluation events be applied in different orders or "&amp;"in parallel? Does one always get the same answer? What about non-terminating sequences of events? And so on. Continue readingRemembering Doug Lenat (1950–2023) and His Quest to Capture the World with LogicSeptember 5 2023Logic Math and AIIn many ways the "&amp;"great quest of Doug Lenat’s life was an attempt to follow on directly from the work of Aristotle and Leibniz. For what Doug was fundamentally trying to do over the forty years he spent developing his CYC system was to use the framework of logic—in more or"&amp;" less the same form that Aristotle and Leibniz had it—to capture what happens in the world. It was a noble effort and an impressive example of long-term intellectual tenacity. And while I never managed to actually use CYC myself I consider it a magnificen"&amp;"t experiment—that if nothing else ultimately served to demonstrate the importance of building frameworks beyond logic alone in usefully representing and reasoning about the world. Continue readingRemembering the Improbable Life of Ed Fredkin (1934–2023) a"&amp;"nd His World of Ideas and StoriesAugust 22 2023Programmer of the Universe“OK so let me tell you…” And so it would begin. A long and colorful story. An elaborate description of a wild idea. In the forty years I knew Ed Fredkin I heard countless wild ideas "&amp;"and colorful stories from him. He always radiated a certain adventurous joy—together with supreme almost-childlike confidence. Ed was someone who wanted to independently figure things out for himself and delighted in presenting his often somewhat-outlandi"&amp;"sh conclusions—whether about technology science business or the world—with dramatic showman-like panache.In all the years I knew Ed I’m not sure he ever really listened to anything I said (though he did use tools I built). He used to like to tell people I"&amp;"’d learned a lot from him. And indeed we had intellectual interests that should have overlapped. But in actuality our ways of thinking about them mostly didn’t connect much at all. But at a personal and social level it was still always a lot of fun being "&amp;"around Ed and being exposed to his unique intense opportunistic energy—with its repeating themes but ever-changing directions. Continue readingGenerative AI Space and the Mental Imagery of Alien MindsJuly 17 2023Click on any image in this post to copy the"&amp;" code that produced it and generate the output on your own computer in a Wolfram notebook.AIs and Alien MindsHow do alien minds perceive the world? It’s an old and oft-debated question in philosophy. And it now turns out to also be a question that rises t"&amp;"o prominence in connection with the concept of the ruliad that’s emerged from our Wolfram Physics Project.I’ve wondered about alien minds for a long time—and tried all sorts of ways to imagine what it might be like to see things from their point of view. "&amp;"But in the past I’ve never really had a way to build my intuition about it. That is until now. So what’s changed? It’s AI. Because in AI we finally have an accessible form of alien mind. Continue readingLLM Tech and a Lot More: Version 13.3 of Wolfram Lan"&amp;"guage and MathematicaJune 28 2023The Leading Edge of 2023 Technology … and BeyondToday we’re launching Version 13.3 of Wolfram Language and Mathematica—both available immediately on desktop and cloud. It’s only been 196 days since we released Version 13.2"&amp;" but there’s a lot that’s new not least a whole subsystem around LLMs. Last Friday (June 23) we celebrated 35 years since Version 1.0 of Mathematica (and what’s now Wolfram Language). And to me it’s incredible how far we’ve come in these 35 years—yet how "&amp;"consistent we’ve been in our mission and goals and how well we’ve been able to just keep building on the foundations we created all those years ago. Continue readingIntroducing Chat Notebooks: Integrating LLMs into the Notebook ParadigmJune 8 2023This is "&amp;"part of an ongoing series about our LLM-related technology:ChatGPT Gets Its “Wolfram Superpowers”!Instant Plugins for ChatGPT: Introducing the Wolfram ChatGPT Plugin KitThe New World of LLM Functions: Integrating LLM Technology into the Wolfram LanguagePr"&amp;"ompts for Work &amp; Play: Launching the Wolfram Prompt RepositoryIntroducing Chat Notebooks: Integrating LLMs into the Notebook ParadigmA New Kind of NotebookWe originally invented the concept of “Notebooks” back in 1987 for Version 1.0 of Mathematica. And o"&amp;"ver the past 36 years Notebooks have proved to be an incredibly convenient medium in which to do—and publish—work (and indeed I for example have created hundreds of thousands of them). And yes eventually the basic concepts of Notebooks were widely copied—"&amp;"though still not even with everything we had back in 1987!Well now there’s a new challenge and opportunity for Notebooks: integrating LLM functionality into them. It’s an interesting design problem and I’m pretty pleased with what we’ve come up with. And "&amp;"today we’re introducing Chat Notebooks as a new kind of Notebook that supports LLM-based chat functionality. Continue readingPrompts for Work &amp; Play: Launching the Wolfram Prompt RepositoryJune 7 2023This is part of an ongoing series about our LLM-related"&amp;" technology:ChatGPT Gets Its “Wolfram Superpowers”!Instant Plugins for ChatGPT: Introducing the Wolfram ChatGPT Plugin KitThe New World of LLM Functions: Integrating LLM Technology into the Wolfram LanguagePrompts for Work &amp; Play: Launching the Wolfram Pr"&amp;"ompt RepositoryIntroducing Chat Notebooks: Integrating LLMs into the Notebook ParadigmBuilding Blocks of “LLM Programming”Prompts are how one channels an LLM to do something. LLMs in a sense always have lots of “latent capability” (e.g. from their trainin"&amp;"g on billions of webpages). But prompts—in a way that’s still scientifically mysterious—are what let one “engineer” what part of that capability to bring out. Continue readingThe New World of LLM Functions: Integrating LLM Technology into the Wolfram Lang"&amp;"uageMay 23 2023This is part of an ongoing series about our LLM-related technology:ChatGPT Gets Its “Wolfram Superpowers”!Instant Plugins for ChatGPT: Introducing the Wolfram ChatGPT Plugin KitThe New World of LLM Functions: Integrating LLM Technology into"&amp;" the Wolfram LanguagePrompts for Work &amp; Play: Launching the Wolfram Prompt RepositoryIntroducing Chat Notebooks: Integrating LLMs into the Notebook ParadigmTurning LLM Capabilities into FunctionsSo far we mostly think of LLMs as things we interact directl"&amp;"y with say through chat interfaces. But what if we could take LLM functionality and “package it up” so that we can routinely use it as a component inside anything we’re doing? Well that’s what our new LLMFunction is about. Continue reading‹Showing 1–10 of"&amp;" 212› Recent WritingsAggregation and Tiling as Multicomputational ProcessesNovember 3 2023How to Think Computationally about AI the Universe and EverythingOctober 27 2023Expression Evaluation and Fundamental PhysicsSeptember 29 2023Remembering Doug Lenat "&amp;"(1950–2023) and His Quest to Capture the World with LogicSeptember 5 2023Remembering the Improbable Life of Ed Fredkin (1934–2023) and His World of Ideas and StoriesAugust 22 2023All by datePopular CategoriesArtificial IntelligenceBig PictureCompanies and"&amp;" BusinessComputational ScienceComputational ThinkingData ScienceEducationFuture PerspectivesHistorical PerspectivesLanguage and CommunicationLife and TimesLife ScienceMathematicaMathematicsNew Kind of ScienceNew TechnologyPersonal AnalyticsPhilosophyPhysi"&amp;"csRuliologySoftware DesignWolfram|AlphaWolfram|OneWolfram LanguageOther Writings by Year20232022202120202019201820172016201520142013201220112010200920082007200620042003 All © Stephen Wolfram LLC | Terms | RSSEnable JavaScript to interact with content and "&amp;"submit forms on Wolfram websites. Learn how »")</f>
        <v>Stephen Wolfram Writings≡Stephen Wolfram                Writings            ABOUTWRITINGSPUBLICATIONSMEDIASCRAPBOOKCONTACTRecent |                        CategoriesArtificial IntelligenceBig PictureCompanies and BusinessComputational ScienceComputational ThinkingData ScienceEducationFuture PerspectivesHistorical PerspectivesLanguage and CommunicationLife and TimesLife ScienceMathematicaMathematicsNew Kind of ScienceNew TechnologyPersonal AnalyticsPhilosophyPhysicsRuliologySoftware DesignWolfram|AlphaWolfram|OneWolfram LanguageOther |× Aggregation and Tiling as Multicomputational ProcessesNovember 3 2023The Importance of Multiway SystemsIt’s all about systems where there can in effect be many possible paths of history. In a typical standard computational system like a cellular automaton there’s always just one path defined by evolution from one state to the next. But in a multiway system there can be many possible next states—and thus many possible paths of history. Multiway systems have a central role in our Physics Project particularly in connection with quantum mechanics. But what’s now emerging is that multiway systems in fact serve as a quite general foundation for a whole new “multicomputational” paradigm for modeling.My objective here is twofold. First I want to use multiway systems as minimal models for growth processes based on aggregation and tiling. And second I want to use this concrete application as a way to develop further intuition about multiway systems in general. Elsewhere I have explored multiway systems for strings multiway systems based on numbers multiway Turing machines multiway combinators multiway expression evaluation and multiway systems based on games and puzzles. But in studying multiway systems for aggregation  and tiling we’ll be dealing with something that is immediately more physical and tangible. Continue readingHow to Think Computationally about AI the Universe and EverythingOctober 27 2023Transcript of a talk at TED AI on October 17 2023 in San FranciscoHuman language. Mathematics. Logic. These are all ways to formalize the world. And in our century there’s a new and yet more powerful one: computation. And for nearly 50 years I’ve had the great privilege of building an ever taller tower of science and technology based on that idea of computation. And today I want to tell you some of what that’s led to. There’s a lot to talk about—so I’m going to go quickly… sometimes with just a sentence summarizing what I’ve written a whole book about. Continue readingExpression Evaluation and Fundamental PhysicsSeptember 29 2023An Unexpected CorrespondenceEnter any expression and it’ll get evaluated:  And internally—say in the Wolfram Language—what’s going on is that the expression is progressively being transformed using all available rules until no more rules apply. Here the process can be represented like this:  We can think of the yellow boxes in this picture as corresponding to “evaluation events” that transform one “state of the expression” (represented by a blue box) to another eventually reaching the “fixed point” 12.And so far this may all seem very simple. But actually there are many surprisingly complicated and deep issues and questions. For example to what extent can the evaluation events be applied in different orders or in parallel? Does one always get the same answer? What about non-terminating sequences of events? And so on. Continue readingRemembering Doug Lenat (1950–2023) and His Quest to Capture the World with LogicSeptember 5 2023Logic Math and AIIn many ways the great quest of Doug Lenat’s life was an attempt to follow on directly from the work of Aristotle and Leibniz. For what Doug was fundamentally trying to do over the forty years he spent developing his CYC system was to use the framework of logic—in more or less the same form that Aristotle and Leibniz had it—to capture what happens in the world. It was a noble effort and an impressive example of long-term intellectual tenacity. And while I never managed to actually use CYC myself I consider it a magnificent experiment—that if nothing else ultimately served to demonstrate the importance of building frameworks beyond logic alone in usefully representing and reasoning about the world. Continue readingRemembering the Improbable Life of Ed Fredkin (1934–2023) and His World of Ideas and StoriesAugust 22 2023Programmer of the Universe“OK so let me tell you…” And so it would begin. A long and colorful story. An elaborate description of a wild idea. In the forty years I knew Ed Fredkin I heard countless wild ideas and colorful stories from him. He always radiated a certain adventurous joy—together with supreme almost-childlike confidence. Ed was someone who wanted to independently figure things out for himself and delighted in presenting his often somewhat-outlandish conclusions—whether about technology science business or the world—with dramatic showman-like panache.In all the years I knew Ed I’m not sure he ever really listened to anything I said (though he did use tools I built). He used to like to tell people I’d learned a lot from him. And indeed we had intellectual interests that should have overlapped. But in actuality our ways of thinking about them mostly didn’t connect much at all. But at a personal and social level it was still always a lot of fun being around Ed and being exposed to his unique intense opportunistic energy—with its repeating themes but ever-changing directions. Continue readingGenerative AI Space and the Mental Imagery of Alien MindsJuly 17 2023Click on any image in this post to copy the code that produced it and generate the output on your own computer in a Wolfram notebook.AIs and Alien MindsHow do alien minds perceive the world? It’s an old and oft-debated question in philosophy. And it now turns out to also be a question that rises to prominence in connection with the concept of the ruliad that’s emerged from our Wolfram Physics Project.I’ve wondered about alien minds for a long time—and tried all sorts of ways to imagine what it might be like to see things from their point of view. But in the past I’ve never really had a way to build my intuition about it. That is until now. So what’s changed? It’s AI. Because in AI we finally have an accessible form of alien mind. Continue readingLLM Tech and a Lot More: Version 13.3 of Wolfram Language and MathematicaJune 28 2023The Leading Edge of 2023 Technology … and BeyondToday we’re launching Version 13.3 of Wolfram Language and Mathematica—both available immediately on desktop and cloud. It’s only been 196 days since we released Version 13.2 but there’s a lot that’s new not least a whole subsystem around LLMs. Last Friday (June 23) we celebrated 35 years since Version 1.0 of Mathematica (and what’s now Wolfram Language). And to me it’s incredible how far we’ve come in these 35 years—yet how consistent we’ve been in our mission and goals and how well we’ve been able to just keep building on the foundations we created all those years ago. Continue readingIntroducing Chat Notebooks: Integrating LLMs into the Notebook ParadigmJune 8 2023This is part of an ongoing series about our LLM-related technology:ChatGPT Gets Its “Wolfram Superpowers”!Instant Plugins for ChatGPT: Introducing the Wolfram ChatGPT Plugin KitThe New World of LLM Functions: Integrating LLM Technology into the Wolfram LanguagePrompts for Work &amp; Play: Launching the Wolfram Prompt RepositoryIntroducing Chat Notebooks: Integrating LLMs into the Notebook ParadigmA New Kind of NotebookWe originally invented the concept of “Notebooks” back in 1987 for Version 1.0 of Mathematica. And over the past 36 years Notebooks have proved to be an incredibly convenient medium in which to do—and publish—work (and indeed I for example have created hundreds of thousands of them). And yes eventually the basic concepts of Notebooks were widely copied—though still not even with everything we had back in 1987!Well now there’s a new challenge and opportunity for Notebooks: integrating LLM functionality into them. It’s an interesting design problem and I’m pretty pleased with what we’ve come up with. And today we’re introducing Chat Notebooks as a new kind of Notebook that supports LLM-based chat functionality. Continue readingPrompts for Work &amp; Play: Launching the Wolfram Prompt RepositoryJune 7 2023This is part of an ongoing series about our LLM-related technology:ChatGPT Gets Its “Wolfram Superpowers”!Instant Plugins for ChatGPT: Introducing the Wolfram ChatGPT Plugin KitThe New World of LLM Functions: Integrating LLM Technology into the Wolfram LanguagePrompts for Work &amp; Play: Launching the Wolfram Prompt RepositoryIntroducing Chat Notebooks: Integrating LLMs into the Notebook ParadigmBuilding Blocks of “LLM Programming”Prompts are how one channels an LLM to do something. LLMs in a sense always have lots of “latent capability” (e.g. from their training on billions of webpages). But prompts—in a way that’s still scientifically mysterious—are what let one “engineer” what part of that capability to bring out. Continue readingThe New World of LLM Functions: Integrating LLM Technology into the Wolfram LanguageMay 23 2023This is part of an ongoing series about our LLM-related technology:ChatGPT Gets Its “Wolfram Superpowers”!Instant Plugins for ChatGPT: Introducing the Wolfram ChatGPT Plugin KitThe New World of LLM Functions: Integrating LLM Technology into the Wolfram LanguagePrompts for Work &amp; Play: Launching the Wolfram Prompt RepositoryIntroducing Chat Notebooks: Integrating LLMs into the Notebook ParadigmTurning LLM Capabilities into FunctionsSo far we mostly think of LLMs as things we interact directly with say through chat interfaces. But what if we could take LLM functionality and “package it up” so that we can routinely use it as a component inside anything we’re doing? Well that’s what our new LLMFunction is about. Continue reading‹Showing 1–10 of 212› Recent WritingsAggregation and Tiling as Multicomputational ProcessesNovember 3 2023How to Think Computationally about AI the Universe and EverythingOctober 27 2023Expression Evaluation and Fundamental PhysicsSeptember 29 2023Remembering Doug Lenat (1950–2023) and His Quest to Capture the World with LogicSeptember 5 2023Remembering the Improbable Life of Ed Fredkin (1934–2023) and His World of Ideas and StoriesAugust 22 2023All by datePopular CategoriesArtificial IntelligenceBig PictureCompanies and BusinessComputational ScienceComputational ThinkingData ScienceEducationFuture PerspectivesHistorical PerspectivesLanguage and CommunicationLife and TimesLife ScienceMathematicaMathematicsNew Kind of ScienceNew TechnologyPersonal AnalyticsPhilosophyPhysicsRuliologySoftware DesignWolfram|AlphaWolfram|OneWolfram LanguageOther Writings by Year20232022202120202019201820172016201520142013201220112010200920082007200620042003 All © Stephen Wolfram LLC | Terms | RSSEnable JavaScript to interact with content and submit forms on Wolfram websites. Learn how »</v>
      </c>
    </row>
    <row r="43">
      <c r="A43" s="1" t="s">
        <v>54</v>
      </c>
      <c r="B43" s="1" t="s">
        <v>178</v>
      </c>
      <c r="C43" s="1" t="s">
        <v>179</v>
      </c>
      <c r="D43" s="1">
        <v>12.0</v>
      </c>
      <c r="E43" s="4" t="s">
        <v>180</v>
      </c>
      <c r="F43" s="1" t="s">
        <v>43</v>
      </c>
      <c r="G43" s="1" t="s">
        <v>181</v>
      </c>
      <c r="H43" s="4" t="s">
        <v>182</v>
      </c>
      <c r="I43" s="2">
        <v>1.0</v>
      </c>
      <c r="J43" s="5" t="str">
        <f>IFERROR(__xludf.DUMMYFUNCTION("GOOGLETRANSLATE(A43)"),"chatgpt")</f>
        <v>chatgpt</v>
      </c>
      <c r="K43" s="6" t="str">
        <f>IFERROR(__xludf.DUMMYFUNCTION("GOOGLETRANSLATE(B43)"),"OpenAI Wants Everyone to Build Their Own Version of ...")</f>
        <v>OpenAI Wants Everyone to Build Their Own Version of ...</v>
      </c>
      <c r="L43" s="5" t="str">
        <f>IFERROR(__xludf.DUMMYFUNCTION("GOOGLETRANSLATE(C43)"),"4 days ago -")</f>
        <v>4 days ago -</v>
      </c>
      <c r="M43" s="5" t="str">
        <f>IFERROR(__xludf.DUMMYFUNCTION("GOOGLETRANSLATE(G43)"),"WIRED - The Latest in Technology Science Culture and Business | WIREDSkip to main contentOpen Navigation MenuMenuStory SavedTo revisit this article visit My Profile then View saved stories.Close AlertWIRED - The Latest in Technology Science Culture and Bu"&amp;"sinessBackchannelBusinessCultureGearIdeasScienceSecurityMerchMoreChevronStory SavedTo revisit this article select My Account then View saved storiesClose AlertSign InSearchSearchBackchannelBusinessCultureGearIdeasScienceSecurityMerchPodcastsVideoArtificia"&amp;"l IntelligenceClimateGamesNewslettersMagazineEventsWired InsiderJobsCouponsWIREDMost RecentToday’s PicksVideo Doom LoopHow Citizen Surveillance Ate San FranciscoWhen a homeless man attacked a former city official footage of the onslaught became a rallying"&amp;" cry. Then came another video and another—and the story turned inside out.Lauren SmileyClimate ChangeSkiing Is Getting RiskierTristan KennedyAction!How Cinematherapy Helped Me Through a Midlife CrisisTammy RabideauSignal Is Finally Testing UsernamesDhruv "&amp;"Mehrotra and Dell CameronBest Cookbooks of 2023 (So Far)Joe RayThe Best Mechanical Keyboards for Work and PlayEric Ravenscraft and Gear TeamWegovy Slashes the Risk of Heart Attack and Stroke in a Landmark TrialEmily MullinScientists Have Been Freezing Cor"&amp;"als for Decades. Now They're Learning How to Wake Them UpBrent M. FosterTrending StoriesTOP STORIES IN THE LAST 48 HOURSGear10 Best Deals at Target’s Black Friday SaleNeed some smart home gadgets or toiletries? Target started its holiday sale early with a"&amp;" price-match guarantee.Medea GiordanoSecurityOmegle Was Forced to Shut Down by a Lawsuit From a Sexual Abuse SurvivorOmegle connected strangers to one another and had a long-standing problem of pairing minors with sexual predators. A legal settlement took"&amp;" it down.Amanda HooverBusinessHumane’s Ai Pin is a $700 Smartphone Alternative You Wear All DayIf you’re willing to clip the Ai Pin to your chest you can talk gesture and tap to take photos or summon a powerful virtual assistant.Paresh DaveScienceSkiing I"&amp;"s Getting RiskierThe threat of avalanches is rising with global warming but technology can help protect skiers on and off the slopes.Tristan KennedyEditors’ Picks404Omegle Was Forced to Shut Down by a Lawsuit From a Sexual Abuse SurvivorAmanda HooverOmegl"&amp;"e connected strangers to one another and had a long-standing problem of pairing minors with sexual predators. A legal settlement took it down.Fox in the Hen HouseThis Is the Ops Manual for the Most Tech-Savvy Animal Liberation Group in the USFourth Amendm"&amp;"entA New US Privacy Bill Seeks to End Warrantless Police and FBI SpyingMissing ConnectionsInternet Blackouts in Gaza Are a New Weapon in the Israel-Hamas WarWolf PackIntensified Israeli Surveillance Has Put the West Bank on LockdownThe Israel-Hamas WarRed"&amp;" FlagsThis New Tool Aims to Keep Terrorism Content Off the InternetDavid GilbertSmall platforms without resources to handle takedown requests have been weaponized by terrorist groups that share their content online. A free new tool is coming to help clean"&amp;" house.Danger ZoneHere’s How Violent Extremists Are Exploiting Generative AI ToolsBad CompanyThe GOP Presidential Debate Is Livestreaming on Rumble Home to White Nationalist Nick FuentesLast ResortsThe UN Hired an AI Company to Untangle the Israeli-Palest"&amp;"inian CrisisPsychological WarfareHow Telegram Became a Terrifying Weapon in the Israel-Hamas WarLongreadsHyper LinksRobotic Putting Greens. Mixed Reality. Loud Spectators. This Is Golf?!Steven LevyTiger Woods and Rory McIlroy are backing a new sports leag"&amp;"ue that's reinventing golf as high-energy made-for-TV entertainment.The Big InterviewTaylor Swift Star Wars Stranger Things and Deadpool Have One Man in CommonNouveau NicheWatch This Guy Work and You’ll Finally Understand the TikTok EraSave Yourself‘Someo"&amp;"ne Is Using Photos of Me to Talk to Men’Game of DronesIn the War Against Russia Some Ukrainians Carry AK-47s. Andrey Liscovich Carries a Shopping ListBusinessFei-Fei Li Started an AI Revolution by Seeing Like an AlgorithmGM’s Cruise Rethinks Its Robotaxi "&amp;"Strategy After Admitting a Software Fault in Gruesome CrashObamacare Call Center Staff Strike Over Steep Health Care Costs and Scarce Bathroom BreaksCultureThe 42 Best Movies on Netflix This WeekThe 43 Best Shows on Netflix Right NowTech Disrupted Hollywo"&amp;"od. AI Almost Destroyed ItGear11 Early Black Friday Deals From WalmartReview: Huawei Freebuds Pro 3 Wireless In-Ear Headphones10 Best Deals at Target’s Black Friday SaleIdeasMy Kid Wants to Be an Influencer. Is That Bad?Generative AI Has Ushered In the Ne"&amp;"xt Phase of Digital SpiritualityAI Chatbots Are Learning to Spout Authoritarian PropagandaScienceCould a Cockroach Survive a Fall From Space?The Long Quest for a Universal Flu Vaccine Finally Takes Its First StepsThe FDA Approves Weight Loss Drug Zepbound"&amp;" a Wegovy and Ozempic RivalSecurityHow to Get Facebook Without Ads—if It’s Available for YouSandworm Hackers Caused Another Blackout in Ukraine—During a Missile StrikePolice Use of Face Recognition Is Sweeping the UKSign up for the WIRED Daily NewsletterO"&amp;"ur biggest stories delivered to your inbox every day. See all newsletters.Your EmailsubmitBy signing up you agree to our User Agreement (including the  class action waiver and arbitration provisions) our Privacy Policy &amp; Cookie Statement and to receive ma"&amp;"rketing and account-related emails from WIRED. You can unsubscribe at any time.Reviews and Buying GuidesTee Us UpWe Asked a Savile Row Tailor to Test All the ‘Best’ T-Shirts You See in Social Media AdsChris HaslamBombarded by social media ads promising th"&amp;"e “perfect” T-shirt whatever your shape WIRED put these claims to the test with world-famous Savile Row tailors Gieves &amp; Hawkes.Product ReviewBowers &amp; Wilkins’ New Bookshelf Speakers SoarBuying GuideThe Best Pickleball Paddles for Beginners and ProsProduc"&amp;"t ReviewYamaha’s True X Bar 50A Is a Great Midrange SoundbarBuying GuideWhich GoPro Hero Camera Should You Buy?WIRED30WIRED30Tech and Games Can Help Curb Youth SuicideAlex MillerIn the face of lackluster mental health support especially for children of ma"&amp;"rginalized groups technology and video games can be used to meet young people where they are.WIRED30Amazon’s AI-Powered Van Inspections Give It a Powerful New Data FeedWIRED30NASA’s Psyche Mission Is Off to Test a Space Laser (for Communications)WIRED30Go"&amp;"ogle’s AI Is Making Traffic Lights More Efficient and Less AnnoyingWIRED30Meet the Next Generation of Doctors—and Their Surgical RobotsWIRED ClassicsMix &amp; MatchWhen the Boss of All Dating Apps Met the PandemicArielle PardesTinder. Hinge. OkCupid. Match. A"&amp;" year ago Shar Dubey became the CEO of a multibillion-dollar matchmaking empire. Then singles everywhere went into lockdown.CryptomaniaInside the Crypto World’s Biggest ScandalSea ChangeA Million Little Pieces: The Race to Rebuild the World’s ReefsMind th"&amp;"e GapsWhy Inventors Misjudge How We’ll Abuse Their CreationsHyperlinksThe Web Is the Power of the PeopleVideosiconPlayAutocomplete InterviewMåneskin Answer the Web's Most Searched QuestionsiconPlay5 LevelsHarvard Professor Explains Algorithms in 5 Levels "&amp;"of DifficultyiconPlayTech Support Physicist Answers Physics Questions From Twitter | Tech SupporticonPlayObsessedWhy This Woman Deconstructs Antique Books To Save ThemiconPlayAutocomplete InterviewCasey Neistat Answers The Web's Most Searched Questions | "&amp;"WIREDiconPlayVideoInside a Funeral Home with Mortician Victor SweeneyiconPlayTech Support Criminologist Answers True Crime Questions From TwittericonPlayLevels9 Levels of Pickpocketing: Easy to ComplexiconPlayAutocomplete InterviewFanum Answers The Web's "&amp;"Most Searched QuestionsiconPlayTech Support Shark Tank's Mark Cuban Answers Business Questions From TwitterChevronChevronWIRED is where tomorrow is realized. It is the essential source of information and ideas that make sense of a world in constant transf"&amp;"ormation. The WIRED conversation illuminates how technology is changing every aspect of our lives—from culture to business science to design. The breakthroughs and innovations that we uncover lead to new ways of thinking new connections and new industries"&amp;".FacebookXPinterestYouTubeInstagramTiktokMore From WIREDSubscribeNewslettersMattressesReviewsFAQWired StaffCouponsEditorial StandardsArchiveContactAdvertiseContact UsCustomer CareJobsPress CenterRSSAccessibility HelpCondé Nast StoreDo Not Sell My Personal"&amp;" Info© 2023 Condé Nast. All rights reserved. Use of this site constitutes acceptance of our User Agreement and Privacy Policy and Cookie Statement and Your California Privacy Rights. WIRED may earn a portion of sales from products that are purchased throu"&amp;"gh our site as part of our Affiliate Partnerships with retailers. The material on this site may not be reproduced distributed transmitted cached or otherwise used except with the prior written permission of Condé Nast. Ad ChoicesSelect international siteU"&amp;"nited StatesLargeChevronUKItaliaJapónCzech Republic &amp; Slovakia")</f>
        <v>WIRED - The Latest in Technology Science Culture and Business | WIREDSkip to main contentOpen Navigation MenuMenuStory SavedTo revisit this article visit My Profile then View saved stories.Close AlertWIRED - The Latest in Technology Science Culture and BusinessBackchannelBusinessCultureGearIdeasScienceSecurityMerchMoreChevronStory SavedTo revisit this article select My Account then View saved storiesClose AlertSign InSearchSearchBackchannelBusinessCultureGearIdeasScienceSecurityMerchPodcastsVideoArtificial IntelligenceClimateGamesNewslettersMagazineEventsWired InsiderJobsCouponsWIREDMost RecentToday’s PicksVideo Doom LoopHow Citizen Surveillance Ate San FranciscoWhen a homeless man attacked a former city official footage of the onslaught became a rallying cry. Then came another video and another—and the story turned inside out.Lauren SmileyClimate ChangeSkiing Is Getting RiskierTristan KennedyAction!How Cinematherapy Helped Me Through a Midlife CrisisTammy RabideauSignal Is Finally Testing UsernamesDhruv Mehrotra and Dell CameronBest Cookbooks of 2023 (So Far)Joe RayThe Best Mechanical Keyboards for Work and PlayEric Ravenscraft and Gear TeamWegovy Slashes the Risk of Heart Attack and Stroke in a Landmark TrialEmily MullinScientists Have Been Freezing Corals for Decades. Now They're Learning How to Wake Them UpBrent M. FosterTrending StoriesTOP STORIES IN THE LAST 48 HOURSGear10 Best Deals at Target’s Black Friday SaleNeed some smart home gadgets or toiletries? Target started its holiday sale early with a price-match guarantee.Medea GiordanoSecurityOmegle Was Forced to Shut Down by a Lawsuit From a Sexual Abuse SurvivorOmegle connected strangers to one another and had a long-standing problem of pairing minors with sexual predators. A legal settlement took it down.Amanda HooverBusinessHumane’s Ai Pin is a $700 Smartphone Alternative You Wear All DayIf you’re willing to clip the Ai Pin to your chest you can talk gesture and tap to take photos or summon a powerful virtual assistant.Paresh DaveScienceSkiing Is Getting RiskierThe threat of avalanches is rising with global warming but technology can help protect skiers on and off the slopes.Tristan KennedyEditors’ Picks404Omegle Was Forced to Shut Down by a Lawsuit From a Sexual Abuse SurvivorAmanda HooverOmegle connected strangers to one another and had a long-standing problem of pairing minors with sexual predators. A legal settlement took it down.Fox in the Hen HouseThis Is the Ops Manual for the Most Tech-Savvy Animal Liberation Group in the USFourth AmendmentA New US Privacy Bill Seeks to End Warrantless Police and FBI SpyingMissing ConnectionsInternet Blackouts in Gaza Are a New Weapon in the Israel-Hamas WarWolf PackIntensified Israeli Surveillance Has Put the West Bank on LockdownThe Israel-Hamas WarRed FlagsThis New Tool Aims to Keep Terrorism Content Off the InternetDavid GilbertSmall platforms without resources to handle takedown requests have been weaponized by terrorist groups that share their content online. A free new tool is coming to help clean house.Danger ZoneHere’s How Violent Extremists Are Exploiting Generative AI ToolsBad CompanyThe GOP Presidential Debate Is Livestreaming on Rumble Home to White Nationalist Nick FuentesLast ResortsThe UN Hired an AI Company to Untangle the Israeli-Palestinian CrisisPsychological WarfareHow Telegram Became a Terrifying Weapon in the Israel-Hamas WarLongreadsHyper LinksRobotic Putting Greens. Mixed Reality. Loud Spectators. This Is Golf?!Steven LevyTiger Woods and Rory McIlroy are backing a new sports league that's reinventing golf as high-energy made-for-TV entertainment.The Big InterviewTaylor Swift Star Wars Stranger Things and Deadpool Have One Man in CommonNouveau NicheWatch This Guy Work and You’ll Finally Understand the TikTok EraSave Yourself‘Someone Is Using Photos of Me to Talk to Men’Game of DronesIn the War Against Russia Some Ukrainians Carry AK-47s. Andrey Liscovich Carries a Shopping ListBusinessFei-Fei Li Started an AI Revolution by Seeing Like an AlgorithmGM’s Cruise Rethinks Its Robotaxi Strategy After Admitting a Software Fault in Gruesome CrashObamacare Call Center Staff Strike Over Steep Health Care Costs and Scarce Bathroom BreaksCultureThe 42 Best Movies on Netflix This WeekThe 43 Best Shows on Netflix Right NowTech Disrupted Hollywood. AI Almost Destroyed ItGear11 Early Black Friday Deals From WalmartReview: Huawei Freebuds Pro 3 Wireless In-Ear Headphones10 Best Deals at Target’s Black Friday SaleIdeasMy Kid Wants to Be an Influencer. Is That Bad?Generative AI Has Ushered In the Next Phase of Digital SpiritualityAI Chatbots Are Learning to Spout Authoritarian PropagandaScienceCould a Cockroach Survive a Fall From Space?The Long Quest for a Universal Flu Vaccine Finally Takes Its First StepsThe FDA Approves Weight Loss Drug Zepbound a Wegovy and Ozempic RivalSecurityHow to Get Facebook Without Ads—if It’s Available for YouSandworm Hackers Caused Another Blackout in Ukraine—During a Missile StrikePolice Use of Face Recognition Is Sweeping the UKSign up for the WIRED Daily NewsletterOur biggest stories delivered to your inbox every day. See all newsletters.Your EmailsubmitBy signing up you agree to our User Agreement (including the  class action waiver and arbitration provisions) our Privacy Policy &amp; Cookie Statement and to receive marketing and account-related emails from WIRED. You can unsubscribe at any time.Reviews and Buying GuidesTee Us UpWe Asked a Savile Row Tailor to Test All the ‘Best’ T-Shirts You See in Social Media AdsChris HaslamBombarded by social media ads promising the “perfect” T-shirt whatever your shape WIRED put these claims to the test with world-famous Savile Row tailors Gieves &amp; Hawkes.Product ReviewBowers &amp; Wilkins’ New Bookshelf Speakers SoarBuying GuideThe Best Pickleball Paddles for Beginners and ProsProduct ReviewYamaha’s True X Bar 50A Is a Great Midrange SoundbarBuying GuideWhich GoPro Hero Camera Should You Buy?WIRED30WIRED30Tech and Games Can Help Curb Youth SuicideAlex MillerIn the face of lackluster mental health support especially for children of marginalized groups technology and video games can be used to meet young people where they are.WIRED30Amazon’s AI-Powered Van Inspections Give It a Powerful New Data FeedWIRED30NASA’s Psyche Mission Is Off to Test a Space Laser (for Communications)WIRED30Google’s AI Is Making Traffic Lights More Efficient and Less AnnoyingWIRED30Meet the Next Generation of Doctors—and Their Surgical RobotsWIRED ClassicsMix &amp; MatchWhen the Boss of All Dating Apps Met the PandemicArielle PardesTinder. Hinge. OkCupid. Match. A year ago Shar Dubey became the CEO of a multibillion-dollar matchmaking empire. Then singles everywhere went into lockdown.CryptomaniaInside the Crypto World’s Biggest ScandalSea ChangeA Million Little Pieces: The Race to Rebuild the World’s ReefsMind the GapsWhy Inventors Misjudge How We’ll Abuse Their CreationsHyperlinksThe Web Is the Power of the PeopleVideosiconPlayAutocomplete InterviewMåneskin Answer the Web's Most Searched QuestionsiconPlay5 LevelsHarvard Professor Explains Algorithms in 5 Levels of DifficultyiconPlayTech Support Physicist Answers Physics Questions From Twitter | Tech SupporticonPlayObsessedWhy This Woman Deconstructs Antique Books To Save ThemiconPlayAutocomplete InterviewCasey Neistat Answers The Web's Most Searched Questions | WIREDiconPlayVideoInside a Funeral Home with Mortician Victor SweeneyiconPlayTech Support Criminologist Answers True Crime Questions From TwittericonPlayLevels9 Levels of Pickpocketing: Easy to ComplexiconPlayAutocomplete InterviewFanum Answers The Web's Most Searched QuestionsiconPlayTech Support Shark Tank's Mark Cuban Answers Business Questions From TwitterChevronChevronWIRED is where tomorrow is realized. It is the essential source of information and ideas that make sense of a world in constant transformation. The WIRED conversation illuminates how technology is changing every aspect of our lives—from culture to business science to design. The breakthroughs and innovations that we uncover lead to new ways of thinking new connections and new industries.FacebookXPinterestYouTubeInstagramTiktokMore From WIREDSubscribeNewslettersMattressesReviewsFAQWired StaffCouponsEditorial StandardsArchiveContactAdvertiseContact UsCustomer CareJobsPress CenterRSSAccessibility HelpCondé Nast StoreDo Not Sell My Personal Info© 2023 Condé Nast. All rights reserved. Use of this site constitutes acceptance of our User Agreement and Privacy Policy and Cookie Statement and Your California Privacy Rights. WIRED may earn a portion of sales from products that are purchased through our site as part of our Affiliate Partnerships with retailers. The material on this site may not be reproduced distributed transmitted cached or otherwise used except with the prior written permission of Condé Nast. Ad ChoicesSelect international siteUnited StatesLargeChevronUKItaliaJapónCzech Republic &amp; Slovakia</v>
      </c>
    </row>
    <row r="44">
      <c r="A44" s="1" t="s">
        <v>54</v>
      </c>
      <c r="B44" s="1" t="s">
        <v>183</v>
      </c>
      <c r="D44" s="1">
        <v>13.0</v>
      </c>
      <c r="E44" s="4" t="s">
        <v>184</v>
      </c>
      <c r="F44" s="1" t="s">
        <v>43</v>
      </c>
      <c r="G44" s="1" t="s">
        <v>185</v>
      </c>
      <c r="H44" s="4" t="s">
        <v>186</v>
      </c>
      <c r="I44" s="2">
        <v>1.0</v>
      </c>
      <c r="J44" s="5" t="str">
        <f>IFERROR(__xludf.DUMMYFUNCTION("GOOGLETRANSLATE(A44)"),"chatgpt")</f>
        <v>chatgpt</v>
      </c>
      <c r="K44" s="6" t="str">
        <f>IFERROR(__xludf.DUMMYFUNCTION("GOOGLETRANSLATE(B44)"),"ChatGPT | Technology")</f>
        <v>ChatGPT | Technology</v>
      </c>
      <c r="M44" s="5" t="str">
        <f>IFERROR(__xludf.DUMMYFUNCTION("GOOGLETRANSLATE(G44)"),"News sport and opinion from the Guardian's US edition | The GuardianSkip to main contentSkip to navigationPrint subscriptions Sign inSearch jobsSearchUS editionUS editionUK editionAustralia editionInternational editionEurope editionThe Guardian - Back to "&amp;"homeThe GuardianNewsOpinionSportCultureLifestyleShowMoreShow MoreNewsView all NewsUS newsWorld newsEnvironmentUS politicsUkraineSoccerBusinessTechScienceNewslettersWellnessOpinionView all OpinionThe Guardian viewColumnistsLettersOpinion videosCartoonsSpor"&amp;"tView all SportSoccerNFLTennisMLBMLSNBANHLF1GolfCultureView all CultureFilmBooksMusicArt &amp; designTV &amp; radioStageClassicalGamesLifestyleView all LifestyleWellnessFashionFoodRecipesLove &amp; sexHome &amp; gardenHealth &amp; fitnessFamilyTravelMoneySearch input google-"&amp;"search SearchSupport usPrint subscriptionsUS editionUK editionAustralia editionInternational editionEurope editionSearch jobsDigital ArchiveGuardian Puzzles appGuardian LicensingThe Guardian appVideoPodcastsPicturesInside the GuardianGuardian WeeklyCrossw"&amp;"ordsWordiplyCorrectionsFacebookTwitterSearch jobsDigital ArchiveGuardian Puzzles appGuardian LicensingUSWorldEnvironmentUS PoliticsUkraineSoccerBusinessTechScienceNewslettersWellnessIsrael-Hamas warHidePalestinians flee south to escape Israel's bombardmen"&amp;"ts of GazaHundreds of thousands of people march for Palestine in LondonSurvivors of the Nova festival at a memorial and remembrance event in Caesarea IsraelPeople salvage belongings from a damaged building after an Israeli bombing on RafahChildren react d"&amp;"uring the funeral of a family killed by Israeli bombardment in the Gaza StripFull reportIsraeli troops in key battle with Hamas gunmen near hospital8h agoAt a glanceWhat we know on day 37LondonHundreds of thousands rally for GazaSaudi ArabiaMiddle East le"&amp;"aders hold emergency summit amid‘Personal and painful’How Gaza war has split families friends and colleagues in Britain11h agoFacial recognitionHow Chinese firm linked to Uyghur repression aids Israeli surveillance in West Bank12h agoHeadlinesNatoEx-chief"&amp;" proposes Ukraine joins without Russian-occupied territoriesFormer secretary general says partial membership would warn Russia it cannot stop Ukraine joining the allianceAnalysisAs counteroffensive stalls Ukraine signals readiness for long warUKHundreds o"&amp;"f thousands rally for Gaza in London as police arrest far-right protesters7h agoVoting rightsLouisiana must draw new congressional map by mid-January for 2024 electionsLost in spaceAstronaut’s toolbag orbits Earth after escaping during spacewalk3h agoOhio"&amp;"Republicans move to exclude judges from interpreting enshrined abortion rightsLiveNWSL final: OL Reign v Gotham FC8m agoCaliforniaControversial police-led recall vote wins key ruling8h agoDonald TrumpEx-president pushes for live broadcast of his trial ove"&amp;"r election subversion11h agoDetroitSuspect in killing of Samantha Woll released from custody without charges12h agoIdahoJudge blocks law stopping adults from helping minors seeking abortionIn focusHide ‘A revenge term’What would another four years of Trum"&amp;"p look like?BrazilHow a prison gang became an international criminal leviathanThe PCC – First Capital Command – arose in the country’s notoriously brutal penitentiaries 30 years ago but now controls a billion-dollar drug trade supplying much of Europe’s c"&amp;"ocaineThe British are coming!US media sees influx of Britons in top rolesWill Lewis’s helming of the Washington Post comes after the Wall Street Journal and CNN hired other UK talent as top brassSpotlightHideCaliforniaCan goats and sheep stop wildfires? T"&amp;"his shepherdess is rallying the flockA rancher in California is training a new generation to fight fires – and foster deeper connections to the land – with farm animalsMichael Winterbottom‘Studying English at Oxford University was a mistake’Pinkpantheress"&amp;"‘I don’t think I’m very brandable. I dress weird. I’m shy’She may have conquered TikTok and then the Billboard charts but the UK pop phenom is still learning how to be herself in public. As she releases her debut album she discusses her rapid rise and whi"&amp;"ch of her viral hits are ‘crap’……Pre-eclampsiaWhy is the condition still causing the deaths of mothers and their babies?The condition affects up to 6% of all pregnancies yet understanding of its causes and how to treat it remains basic……Dream Scenario rev"&amp;"iewNicolas Cage is at his very best in savagely funny comedy……Communal livingFor 50 years I’ve let friends and strangers share my house – this can make for better lives for allParty of the People reviewRepublican strength – and weakness – examined‘It is a"&amp;" beast that needs to be tamed’Leading novelists on how AI could rewrite the futureRead more on living a good life in a complex world.OpinionHideMy life has been defined by genocide of Jewish people. I look on Gaza with concernJason StanleyThe history of m"&amp;"ass killings for me is never ending. And so are the lessons for todayHow did Sam Bankman-Fried attract investors? Well Fomo probably helpedJohn Naughton12h ago……As The Crown ends a gap arises. A tragi-comedy on a dysfunctional family anyone?Martha Gill12h"&amp;" ago……How two-faced Xi Jinping is exploiting war in Gaza to beget China’s new order Simon TisdallThe death of Jezebel is the end of an era of feminism. We’re worse off without itMoira DoneganWill Ukraine really join the EU? The answer lies with the countr"&amp;"ies facing the billDermot Hodson……Sign up to the US opinion emailSportsHideNWSL finalGotham FC edge OL Reign for first title as Rapinoe hurt earlyMegan Rapinoe of the OL Reign was injured early in the NWSL final on Saturday and hobbled off the field in th"&amp;"e last match of her storied career54m agoOL Reign 1-2 Gotham FCRead Beau Dure's rolling reportCollege footballMichigan grinds past Penn State to stay unbeaten despite Jim Harbaugh ban6h agoHoustonEx-NFL player and former college teammates killed in collis"&amp;"ionDJ Hayden who played nine seasons with the Raiders Lions Jaguars and Commanders was in SUV hit by speeding car8h agoMan Utd 1-0 LutonTen Hag says club in ‘very good position’ for top four finish8h agoWill UnwinProsaic win may prove to be another false "&amp;"dawnBournemouth 2-0 NewcastleSolanke doubles up to shoot down Howe's weary side8h ago……‘Very difficult’Father of Luis Díaz speaks for first time after release by Colombia guerillas3h agoSkiingShiffrin places fourth in first World Cup slalom of season afte"&amp;"r training crashArsenal 3-1 BurnleySleepy Gunners awaken to overwhelm toothless Burnley10h ago……Soccer with Jonathan Wilson: The latest on the global game        Play the Guardian's daily word game and share your score with your        friends      Play W"&amp;"ordiply""          Play           Climate crisisHideClimate crisis and China-US rivalryFive top takeaways from the Pacific’s most important summitEuropeEU strikes landmark deal on law to restore and protect nature AlaskaApproval of divisive oil project up"&amp;"held in blow to US climate goalsHazardous chemicalsUS faces almost daily accidents research suggestsAcross the countryHideAttack adsPro-Israel groups target US lawmakers critical of Israel’s war ahead of primariesRashida Tlaib and other Democratic ‘Squad’"&amp;" members – and one Republican – are targets of attack ads as critics support opponentsPhoenixDeadliest year on record as heat fatalities rise by 50%Hottest US city buffeted by extreme temperatures sees 579 heat-related deaths in 2023 with large number amo"&amp;"ng unhoused peopleGeorgiaFederal agency says it stopped measuring water pollution near ‘Cop City’Supreme courtCase heard on reinstating gun possession to people accused of domestic violenceMichiganTwo former officials sue city over ‘unconstitutional’ Prid"&amp;"e flag banEric AdamsPhones and iPad of New York mayor Eric Adams were seized by FBI report saysCaliforniaSon of Hollywood agent in custody after woman’s torso found in dumpsterDonald TrumpEx-president suggests he would use FBI to pursue political rivals i"&amp;"f elected in 2024FloridaOutrage grows after ‘chilling call for genocide’ by Republican lawmakerHollywoodContract for actors includes $40m yearly in streaming bonusesMore Across the countryLoads more stories and moves focus to first new story.Around the wo"&amp;"rldHideAustraliaMalaysian hitman released from immigration detention after high court rulingSirul Azhar Umar sentenced in Malaysia over a politically charged murder cannot be deported by Australia because he would face the death penalty1h agoHong KongGay "&amp;"Games amid China’s growing hostility to LGBTQ+ community‘Unthinkable cruelty’Kenyan expert working at Bristol University denied visa for six-year-old daughterSuella BravermanUK home secretary accused of fuelling far-right violence near war memorial10h ago"&amp;"Oysters and ice creamMenu for dinner on Titanic sold for £830009h agoParkinson’s‘Why did I get it?’: Australian research into early onset disease hopes to give patients answersUK politicsRishi Sunak faces civil war within his party as he holds off sacking"&amp;" home secretary‘It’s like a jungle’London’s pedicab cyclists welcome licenses but not price controlsAmsterdamHas ‘stay away’ tourism experiment worked?Bad drivingBMW Subaru and Porsche drivers ‘more likely to cause a crash’ study findsMore Around the worl"&amp;"dLoads more stories and moves focus to first new story.                        Wake up to a global view on America                                                Get The Guardian's top stories and best reads in one hit. Sign up for First Thing.           "&amp;"                 Read the latest here.Sign upSign upDailyPrivacy Notice: Newsletters may contain info about charities online ads and content funded by outside parties. For more information click here for our privacy policy.                                "&amp;"     We operate Google reCaptcha to protect our website and the Google Privacy Policy and Terms of Service apply.                PodcastsPodcastsWeekendWeekend podcast: Harry Potter’s stunt double on life after breaking his neck on set and Marina Hyde on "&amp;"Nadine Dorries’s new book23h agoPolitics Weekly AmericaElections 2023: Republicans lose big on issue of abortion2d agoThe Audio Long Read‘Incoherence and inconsistency’: the inside story of the Rwanda deportation plan – podcast2d agoToday in FocusSuella B"&amp;"raverman the police and the protests2d agoFootball WeeklyChaos in Copenhagen and Arsenal’s easy night – Football Weekly Extra3d agoScienceWhy is the Amazon rainforest drying up? – podcast3d agoPolitics Weekly UKThe king’s speech Suella Braverman and ‘hate"&amp;" marches’ – Politics Weekly UK 3d agodocumentariesMy Blonde GFA disturbing story of deepfake pornography. Sexually explicit images appear on a porn site with Helen's face edited onto other women’s bodies.  In this powerful short film Helen shares the impa"&amp;"ct this experience has had on her lifeWatch now18:39CultureHideSadistic and misogynistic? Argument erupts over sex claims in book about George Orwell’s marriageAuthor of acclaimed biography Wifedom hits back at critics who say book casts Orwell in an unfa"&amp;"irly negative lightNostalgia has consumed pop culture but The Holdovers does something specialAdrian HortonJudi Jackson: My American Songbook reviewA brave musical expedition 12h ago……Ezra Collective reviewA hometown triumph for jazz’s young heroes……Party"&amp;" of the People reviewRepublican strength – and weakness – examinedThe week in classicalJephtha; 7 Deaths of Maria Callas; Perfection of a Kind: Britten v Auden……From Guardian LabsHideDiscover the Laurentians a tranquil Canadian wintertime escapePaid for b"&amp;"yThis content was paid for by The Laurentians and produced by the Guardian Labs team.Head to Québec’s Lanaudière region for snowshoeing dog-sledding and skiing galore – and so much morePaid for byThis content was paid for by Lanaudière and produced by the"&amp;" Guardian Labs team.Exploring the Eastern Townships: Close to Montréal far from ordinairePaid for byThis content was paid for by Eastern Townships Québec and produced by the Guardian Labs team.See Montréal come alive this winterPaid for byThis content was"&amp;" paid for by Tourisme Montréal and produced by the Guardian Labs team.LifestyleHideSwedenHow I learned to make and sleep in a snowhole – at minus 30CKevin Rushby saw a way to fulfill his childhood dream with an adventure company in Sweden – but could he s"&amp;"ki into the snowy wilderness on a twisted ankle?Dom Joly looks back‘My wife says I’ve become slightly nicer in my 50s. I’m still very argumentative but I have relaxed a bit’……Fendi teddies and Dior perfumeThe multibillion-pound rise of baby bling The new "&amp;"veganMeera Sodha’s recipe for mushroom Guinness and pearl barley stew……The Saturday quizWhat links pickle fish chip and pastry? Try our kids’ quizWhy do we wear socks in summer and how is glass made? Soda bread ice cream and whiskey custardPatrick Powell’"&amp;"s recipes for Irish-style puddings……More LifestyleLoads more stories and moves focus to first new story.Take partHideTell usAre you struggling with medical debt in the US? People in GazaHow have you been affected by the Israel-Hamas war?People in IsraelHo"&amp;"w have you been affected by the Israel-Hamas war?Tell usWhat are your super-specific tips for getting to sleep?In case you missed itHideAnalysisWhat would Israel look like under a new leader – and who would benefit?As a former Palestinian negotiator I kno"&amp;"w Biden’s two-state solution is sheer delusionAhmad Samih KhalidiIt is nigh-on impossible to meet both Israeli security demands and Palestinian requirements for minimal ‘sovereignty’ says writer Ahmad Samih KhalidiIsrael-Hamas warFake news thrives on poor"&amp;"ly regulated online platformsClaims on X and Telegram include downplaying 7 October Hamas attack and allegations Palestinians are faking scenes of sufferingAnalysisAs its counteroffensive stalls Ukraine signals readiness for a long warThis is how we do it"&amp;"‘I rarely allow myself to have an orgasm’A shocking episode of racist violence The Wilmington North Carolina massacre of 1898MichiganDisguises subterfuge and conspiracy: college football’s sign-stealing scandal explainedMore In case you missed itLoads mor"&amp;"e stories and moves focus to first new story.VideoVideo00:02:13LondonHundreds of thousands march in support for Gaza ceasefire on Armistice Day – videoGazaOne child killed every 10 minutes on average says WHO chief 00:01:06Palestinian territoriesCrowds at"&amp;"tend funeral procession for those killed in West Bank raidWatchA safe space for Gaza’s children: 'They still have dreams for the future'00:01:46Israel-Hamas warUN-run school among shelters hit in GazaPro-Palestine protestThousands rally in London's Trafal"&amp;"gar Square00:00:44Nepal earthquakeBuildings reduced to rubble in worst quake in eight years00:01:03Storm CiaránFive dead as floods wreak havoc in Tuscany00:11:46IlyaThe AI scientist shaping the world00:01:56'I'm so full of grief'Thousands take to the stre"&amp;"ets in support of PalestineIn picturesHideLondonThousands march at pro-Palestinian rallyThe most dramatic photographs from today’s march in London where more than 300000 attended and more than 100 counter-protesters were arrested9h agoGraphic designFemale"&amp;" trailblazers of block-printed design11h agoTwenty photographs of the weekThe week around the worldSmart shot‘I just love how sisterly they are. I love the mischief’: William Lepper’s best phone picture……Photos of the dayEchidna Apophis asteroid and Taylo"&amp;"r SwiftPhotographyAustralia's Head On portrait award 2023 winners and finalistsMore In picturesLoads more stories and moves focus to first new story.        Tip us off    Share stories with the Guardian securely and confidentiallyMost viewedHideMost viewe"&amp;"d Most viewedIsraeli troops in key battle with Hamas gunmen near Gaza City hospitalOutrage grows after ‘chilling call for genocide’ by Florida Republican Ohio Republicans move to exclude judges from interpreting enshrined abortion rightsIsrael-Hamas war: "&amp;"UN calls Gaza fighting ‘reprehensible’ – as it happenedAs a former Palestinian negotiator I know Biden’s two-state solution is sheer delusionLiveNWSL championship 2023: OL Reign 1-2 Gotham FC – live reaction ‘A revenge term’: what would another four years"&amp;" of Trump look like?My life has been defined by genocide of Jewish people. I look on Gaza with concernLost in space: astronaut’s toolbag orbits Earth after escaping during spacewalkEx-Nato chief proposes Ukraine joins without Russian-occupied territoriesM"&amp;"ost commentedHow a false claim about wind turbines killing whales is spinning out of control in coastal AustraliaMost sharedIsraeli troops in key battle with Hamas gunmen near Gaza City hospitalExplore more on these topicsPalestinian territoriesIsrael-Ham"&amp;"as warIsraelGazaMiddle East and north AfricaUSWorldEnvironmentUS PoliticsUkraineSoccerBusinessTechScienceNewslettersWellnessNewsOpinionSportCultureLifestyleOriginal reporting and incisive analysis direct from the Guardian every morningSign up for our emai"&amp;"lAbout usHelpComplaints &amp; correctionsSecureDropWork for us Privacy policyCookie policyTerms &amp; conditionsContact usAll topicsAll writersDigital newspaper archiveFacebookYouTubeInstagramLinkedInTwitterNewslettersAdvertise with usGuardian LabsSearch jobsBack"&amp;" to top© 2023 Guardian News &amp; Media Limited or its affiliated companies. All rights reserved. (dcr)")</f>
        <v>News sport and opinion from the Guardian's US edition | The GuardianSkip to main contentSkip to navigationPrint subscriptions Sign inSearch jobsSearchUS editionUS editionUK editionAustralia editionInternational editionEurope editionThe Guardian - Back to homeThe GuardianNewsOpinionSportCultureLifestyleShowMoreShow MoreNewsView all NewsUS newsWorld newsEnvironmentUS politicsUkraineSoccerBusinessTechScienceNewslettersWellnessOpinionView all OpinionThe Guardian viewColumnistsLettersOpinion videosCartoonsSportView all SportSoccerNFLTennisMLBMLSNBANHLF1GolfCultureView all CultureFilmBooksMusicArt &amp; designTV &amp; radioStageClassicalGamesLifestyleView all LifestyleWellnessFashionFoodRecipesLove &amp; sexHome &amp; gardenHealth &amp; fitnessFamilyTravelMoneySearch input google-search SearchSupport usPrint subscriptionsUS editionUK editionAustralia editionInternational editionEurope editionSearch jobsDigital ArchiveGuardian Puzzles appGuardian LicensingThe Guardian appVideoPodcastsPicturesInside the GuardianGuardian WeeklyCrosswordsWordiplyCorrectionsFacebookTwitterSearch jobsDigital ArchiveGuardian Puzzles appGuardian LicensingUSWorldEnvironmentUS PoliticsUkraineSoccerBusinessTechScienceNewslettersWellnessIsrael-Hamas warHidePalestinians flee south to escape Israel's bombardments of GazaHundreds of thousands of people march for Palestine in LondonSurvivors of the Nova festival at a memorial and remembrance event in Caesarea IsraelPeople salvage belongings from a damaged building after an Israeli bombing on RafahChildren react during the funeral of a family killed by Israeli bombardment in the Gaza StripFull reportIsraeli troops in key battle with Hamas gunmen near hospital8h agoAt a glanceWhat we know on day 37LondonHundreds of thousands rally for GazaSaudi ArabiaMiddle East leaders hold emergency summit amid‘Personal and painful’How Gaza war has split families friends and colleagues in Britain11h agoFacial recognitionHow Chinese firm linked to Uyghur repression aids Israeli surveillance in West Bank12h agoHeadlinesNatoEx-chief proposes Ukraine joins without Russian-occupied territoriesFormer secretary general says partial membership would warn Russia it cannot stop Ukraine joining the allianceAnalysisAs counteroffensive stalls Ukraine signals readiness for long warUKHundreds of thousands rally for Gaza in London as police arrest far-right protesters7h agoVoting rightsLouisiana must draw new congressional map by mid-January for 2024 electionsLost in spaceAstronaut’s toolbag orbits Earth after escaping during spacewalk3h agoOhioRepublicans move to exclude judges from interpreting enshrined abortion rightsLiveNWSL final: OL Reign v Gotham FC8m agoCaliforniaControversial police-led recall vote wins key ruling8h agoDonald TrumpEx-president pushes for live broadcast of his trial over election subversion11h agoDetroitSuspect in killing of Samantha Woll released from custody without charges12h agoIdahoJudge blocks law stopping adults from helping minors seeking abortionIn focusHide ‘A revenge term’What would another four years of Trump look like?BrazilHow a prison gang became an international criminal leviathanThe PCC – First Capital Command – arose in the country’s notoriously brutal penitentiaries 30 years ago but now controls a billion-dollar drug trade supplying much of Europe’s cocaineThe British are coming!US media sees influx of Britons in top rolesWill Lewis’s helming of the Washington Post comes after the Wall Street Journal and CNN hired other UK talent as top brassSpotlightHideCaliforniaCan goats and sheep stop wildfires? This shepherdess is rallying the flockA rancher in California is training a new generation to fight fires – and foster deeper connections to the land – with farm animalsMichael Winterbottom‘Studying English at Oxford University was a mistake’Pinkpantheress‘I don’t think I’m very brandable. I dress weird. I’m shy’She may have conquered TikTok and then the Billboard charts but the UK pop phenom is still learning how to be herself in public. As she releases her debut album she discusses her rapid rise and which of her viral hits are ‘crap’……Pre-eclampsiaWhy is the condition still causing the deaths of mothers and their babies?The condition affects up to 6% of all pregnancies yet understanding of its causes and how to treat it remains basic……Dream Scenario reviewNicolas Cage is at his very best in savagely funny comedy……Communal livingFor 50 years I’ve let friends and strangers share my house – this can make for better lives for allParty of the People reviewRepublican strength – and weakness – examined‘It is a beast that needs to be tamed’Leading novelists on how AI could rewrite the futureRead more on living a good life in a complex world.OpinionHideMy life has been defined by genocide of Jewish people. I look on Gaza with concernJason StanleyThe history of mass killings for me is never ending. And so are the lessons for todayHow did Sam Bankman-Fried attract investors? Well Fomo probably helpedJohn Naughton12h ago……As The Crown ends a gap arises. A tragi-comedy on a dysfunctional family anyone?Martha Gill12h ago……How two-faced Xi Jinping is exploiting war in Gaza to beget China’s new order Simon TisdallThe death of Jezebel is the end of an era of feminism. We’re worse off without itMoira DoneganWill Ukraine really join the EU? The answer lies with the countries facing the billDermot Hodson……Sign up to the US opinion emailSportsHideNWSL finalGotham FC edge OL Reign for first title as Rapinoe hurt earlyMegan Rapinoe of the OL Reign was injured early in the NWSL final on Saturday and hobbled off the field in the last match of her storied career54m agoOL Reign 1-2 Gotham FCRead Beau Dure's rolling reportCollege footballMichigan grinds past Penn State to stay unbeaten despite Jim Harbaugh ban6h agoHoustonEx-NFL player and former college teammates killed in collisionDJ Hayden who played nine seasons with the Raiders Lions Jaguars and Commanders was in SUV hit by speeding car8h agoMan Utd 1-0 LutonTen Hag says club in ‘very good position’ for top four finish8h agoWill UnwinProsaic win may prove to be another false dawnBournemouth 2-0 NewcastleSolanke doubles up to shoot down Howe's weary side8h ago……‘Very difficult’Father of Luis Díaz speaks for first time after release by Colombia guerillas3h agoSkiingShiffrin places fourth in first World Cup slalom of season after training crashArsenal 3-1 BurnleySleepy Gunners awaken to overwhelm toothless Burnley10h ago……Soccer with Jonathan Wilson: The latest on the global game        Play the Guardian's daily word game and share your score with your        friends      Play Wordiply"          Play           Climate crisisHideClimate crisis and China-US rivalryFive top takeaways from the Pacific’s most important summitEuropeEU strikes landmark deal on law to restore and protect nature AlaskaApproval of divisive oil project upheld in blow to US climate goalsHazardous chemicalsUS faces almost daily accidents research suggestsAcross the countryHideAttack adsPro-Israel groups target US lawmakers critical of Israel’s war ahead of primariesRashida Tlaib and other Democratic ‘Squad’ members – and one Republican – are targets of attack ads as critics support opponentsPhoenixDeadliest year on record as heat fatalities rise by 50%Hottest US city buffeted by extreme temperatures sees 579 heat-related deaths in 2023 with large number among unhoused peopleGeorgiaFederal agency says it stopped measuring water pollution near ‘Cop City’Supreme courtCase heard on reinstating gun possession to people accused of domestic violenceMichiganTwo former officials sue city over ‘unconstitutional’ Pride flag banEric AdamsPhones and iPad of New York mayor Eric Adams were seized by FBI report saysCaliforniaSon of Hollywood agent in custody after woman’s torso found in dumpsterDonald TrumpEx-president suggests he would use FBI to pursue political rivals if elected in 2024FloridaOutrage grows after ‘chilling call for genocide’ by Republican lawmakerHollywoodContract for actors includes $40m yearly in streaming bonusesMore Across the countryLoads more stories and moves focus to first new story.Around the worldHideAustraliaMalaysian hitman released from immigration detention after high court rulingSirul Azhar Umar sentenced in Malaysia over a politically charged murder cannot be deported by Australia because he would face the death penalty1h agoHong KongGay Games amid China’s growing hostility to LGBTQ+ community‘Unthinkable cruelty’Kenyan expert working at Bristol University denied visa for six-year-old daughterSuella BravermanUK home secretary accused of fuelling far-right violence near war memorial10h agoOysters and ice creamMenu for dinner on Titanic sold for £830009h agoParkinson’s‘Why did I get it?’: Australian research into early onset disease hopes to give patients answersUK politicsRishi Sunak faces civil war within his party as he holds off sacking home secretary‘It’s like a jungle’London’s pedicab cyclists welcome licenses but not price controlsAmsterdamHas ‘stay away’ tourism experiment worked?Bad drivingBMW Subaru and Porsche drivers ‘more likely to cause a crash’ study findsMore Around the worldLoads more stories and moves focus to first new story.                        Wake up to a global view on America                                                Get The Guardian's top stories and best reads in one hit. Sign up for First Thing.                            Read the latest here.Sign upSign upDailyPrivacy Notice: Newsletters may contain info about charities online ads and content funded by outside parties. For more information click here for our privacy policy.                                     We operate Google reCaptcha to protect our website and the Google Privacy Policy and Terms of Service apply.                PodcastsPodcastsWeekendWeekend podcast: Harry Potter’s stunt double on life after breaking his neck on set and Marina Hyde on Nadine Dorries’s new book23h agoPolitics Weekly AmericaElections 2023: Republicans lose big on issue of abortion2d agoThe Audio Long Read‘Incoherence and inconsistency’: the inside story of the Rwanda deportation plan – podcast2d agoToday in FocusSuella Braverman the police and the protests2d agoFootball WeeklyChaos in Copenhagen and Arsenal’s easy night – Football Weekly Extra3d agoScienceWhy is the Amazon rainforest drying up? – podcast3d agoPolitics Weekly UKThe king’s speech Suella Braverman and ‘hate marches’ – Politics Weekly UK 3d agodocumentariesMy Blonde GFA disturbing story of deepfake pornography. Sexually explicit images appear on a porn site with Helen's face edited onto other women’s bodies.  In this powerful short film Helen shares the impact this experience has had on her lifeWatch now18:39CultureHideSadistic and misogynistic? Argument erupts over sex claims in book about George Orwell’s marriageAuthor of acclaimed biography Wifedom hits back at critics who say book casts Orwell in an unfairly negative lightNostalgia has consumed pop culture but The Holdovers does something specialAdrian HortonJudi Jackson: My American Songbook reviewA brave musical expedition 12h ago……Ezra Collective reviewA hometown triumph for jazz’s young heroes……Party of the People reviewRepublican strength – and weakness – examinedThe week in classicalJephtha; 7 Deaths of Maria Callas; Perfection of a Kind: Britten v Auden……From Guardian LabsHideDiscover the Laurentians a tranquil Canadian wintertime escapePaid for byThis content was paid for by The Laurentians and produced by the Guardian Labs team.Head to Québec’s Lanaudière region for snowshoeing dog-sledding and skiing galore – and so much morePaid for byThis content was paid for by Lanaudière and produced by the Guardian Labs team.Exploring the Eastern Townships: Close to Montréal far from ordinairePaid for byThis content was paid for by Eastern Townships Québec and produced by the Guardian Labs team.See Montréal come alive this winterPaid for byThis content was paid for by Tourisme Montréal and produced by the Guardian Labs team.LifestyleHideSwedenHow I learned to make and sleep in a snowhole – at minus 30CKevin Rushby saw a way to fulfill his childhood dream with an adventure company in Sweden – but could he ski into the snowy wilderness on a twisted ankle?Dom Joly looks back‘My wife says I’ve become slightly nicer in my 50s. I’m still very argumentative but I have relaxed a bit’……Fendi teddies and Dior perfumeThe multibillion-pound rise of baby bling The new veganMeera Sodha’s recipe for mushroom Guinness and pearl barley stew……The Saturday quizWhat links pickle fish chip and pastry? Try our kids’ quizWhy do we wear socks in summer and how is glass made? Soda bread ice cream and whiskey custardPatrick Powell’s recipes for Irish-style puddings……More LifestyleLoads more stories and moves focus to first new story.Take partHideTell usAre you struggling with medical debt in the US? People in GazaHow have you been affected by the Israel-Hamas war?People in IsraelHow have you been affected by the Israel-Hamas war?Tell usWhat are your super-specific tips for getting to sleep?In case you missed itHideAnalysisWhat would Israel look like under a new leader – and who would benefit?As a former Palestinian negotiator I know Biden’s two-state solution is sheer delusionAhmad Samih KhalidiIt is nigh-on impossible to meet both Israeli security demands and Palestinian requirements for minimal ‘sovereignty’ says writer Ahmad Samih KhalidiIsrael-Hamas warFake news thrives on poorly regulated online platformsClaims on X and Telegram include downplaying 7 October Hamas attack and allegations Palestinians are faking scenes of sufferingAnalysisAs its counteroffensive stalls Ukraine signals readiness for a long warThis is how we do it‘I rarely allow myself to have an orgasm’A shocking episode of racist violence The Wilmington North Carolina massacre of 1898MichiganDisguises subterfuge and conspiracy: college football’s sign-stealing scandal explainedMore In case you missed itLoads more stories and moves focus to first new story.VideoVideo00:02:13LondonHundreds of thousands march in support for Gaza ceasefire on Armistice Day – videoGazaOne child killed every 10 minutes on average says WHO chief 00:01:06Palestinian territoriesCrowds attend funeral procession for those killed in West Bank raidWatchA safe space for Gaza’s children: 'They still have dreams for the future'00:01:46Israel-Hamas warUN-run school among shelters hit in GazaPro-Palestine protestThousands rally in London's Trafalgar Square00:00:44Nepal earthquakeBuildings reduced to rubble in worst quake in eight years00:01:03Storm CiaránFive dead as floods wreak havoc in Tuscany00:11:46IlyaThe AI scientist shaping the world00:01:56'I'm so full of grief'Thousands take to the streets in support of PalestineIn picturesHideLondonThousands march at pro-Palestinian rallyThe most dramatic photographs from today’s march in London where more than 300000 attended and more than 100 counter-protesters were arrested9h agoGraphic designFemale trailblazers of block-printed design11h agoTwenty photographs of the weekThe week around the worldSmart shot‘I just love how sisterly they are. I love the mischief’: William Lepper’s best phone picture……Photos of the dayEchidna Apophis asteroid and Taylor SwiftPhotographyAustralia's Head On portrait award 2023 winners and finalistsMore In picturesLoads more stories and moves focus to first new story.        Tip us off    Share stories with the Guardian securely and confidentiallyMost viewedHideMost viewed Most viewedIsraeli troops in key battle with Hamas gunmen near Gaza City hospitalOutrage grows after ‘chilling call for genocide’ by Florida Republican Ohio Republicans move to exclude judges from interpreting enshrined abortion rightsIsrael-Hamas war: UN calls Gaza fighting ‘reprehensible’ – as it happenedAs a former Palestinian negotiator I know Biden’s two-state solution is sheer delusionLiveNWSL championship 2023: OL Reign 1-2 Gotham FC – live reaction ‘A revenge term’: what would another four years of Trump look like?My life has been defined by genocide of Jewish people. I look on Gaza with concernLost in space: astronaut’s toolbag orbits Earth after escaping during spacewalkEx-Nato chief proposes Ukraine joins without Russian-occupied territoriesMost commentedHow a false claim about wind turbines killing whales is spinning out of control in coastal AustraliaMost sharedIsraeli troops in key battle with Hamas gunmen near Gaza City hospitalExplore more on these topicsPalestinian territoriesIsrael-Hamas warIsraelGazaMiddle East and north AfricaUSWorldEnvironmentUS PoliticsUkraineSoccerBusinessTechScienceNewslettersWellnessNewsOpinionSportCultureLifestyleOriginal reporting and incisive analysis direct from the Guardian every morningSign up for our emailAbout usHelpComplaints &amp; correctionsSecureDropWork for us Privacy policyCookie policyTerms &amp; conditionsContact usAll topicsAll writersDigital newspaper archiveFacebookYouTubeInstagramLinkedInTwitterNewslettersAdvertise with usGuardian LabsSearch jobsBack to top© 2023 Guardian News &amp; Media Limited or its affiliated companies. All rights reserved. (dcr)</v>
      </c>
    </row>
    <row r="45">
      <c r="A45" s="1" t="s">
        <v>54</v>
      </c>
      <c r="B45" s="1" t="s">
        <v>187</v>
      </c>
      <c r="D45" s="1">
        <v>14.0</v>
      </c>
      <c r="E45" s="4" t="s">
        <v>188</v>
      </c>
      <c r="F45" s="1" t="s">
        <v>43</v>
      </c>
      <c r="G45" s="1" t="s">
        <v>189</v>
      </c>
      <c r="H45" s="4" t="s">
        <v>190</v>
      </c>
      <c r="I45" s="2">
        <v>1.0</v>
      </c>
      <c r="J45" s="5" t="str">
        <f>IFERROR(__xludf.DUMMYFUNCTION("GOOGLETRANSLATE(A45)"),"chatgpt")</f>
        <v>chatgpt</v>
      </c>
      <c r="K45" s="6" t="str">
        <f>IFERROR(__xludf.DUMMYFUNCTION("GOOGLETRANSLATE(B45)"),"30 Best ChatGPT Alternatives for 2023 | Free &amp; Paid")</f>
        <v>30 Best ChatGPT Alternatives for 2023 | Free &amp; Paid</v>
      </c>
      <c r="M45" s="5" t="str">
        <f>IFERROR(__xludf.DUMMYFUNCTION("GOOGLETRANSLATE(G45)"),"Writesonic - Best AI Writer Copywriting &amp; Paraphrasing ToolProductschatsonicbotsonicaudiosonicPricingsign inget startedsign inAI Content Creation &amp; Customer Experience PlatformYour One-Stop Solution for Content Creation Audio Generation Image Crafting and"&amp;" AI Chatbot Development.Get Started FreeWatch an OverviewTrusted by 5000000+ teams agencies and freelancers. 15000+ 5-star ratings.AI Content CreationWrite on-brand factual articles  in no time and rank #1 on GoogleBoost Your Brand's Influence with Trend-"&amp;"Driven SEO-Optimized Blogs Written in Your Unique Brand Voice.Get Started Free PreviousFactual Up-to-date ContentOur AI integrates with Google to pull the latest information ensuring accurate and up-to-date content.Enrich with Knowledge GraphIntegrate com"&amp;"pany data via Knowledge Graph for insightful data-backed content.Built-in SEO OptimizationWith built-in keyword optimization and the option to add your own list of keywords you can rest assured that you'll rank higher faster.Outrank CompetitorsAnalyze and"&amp;" outperform competitor content with Writesonic's advanced AI algorithms.Consistent Brand StyleEnsure every piece resonates with your unique brand voice using tailored guidelines. Next 12 ChatGPT like ChatMeet Chatsonic — Your generativeAI conversation par"&amp;"tnerThe free next-level alternative to ChatGPT for content creation and ideas. It's powered by GPT-4 and designed to tackle ChatGPT's limits.Get Started Free PreviousReal-time Trending AI GenerationsWith Chatsonic's Google Search integration engage in rea"&amp;"l-time conversations on current events and trending topics effortlessly.Multipurpose file chatUpload various formats – PDFs links blog posts videos and more; Chatsonic extracts key info and crafts content from your important documents.AI-generated artwork"&amp;"Elevate your visuals with Chatsonic's ability to create striking digital AI art for social media posts and digital campaigns.Extensive Prompt LibrarySelect from 1000+ Chatsonic prompts for various needs: sales marketing research PR and beyond.Team Collab "&amp;"Made EasyShare prompts across departments to foster teamwork and streamline your workflow for better productivity. Next 12 No-code AI Chatbot BuilderBuild no-code AI chatbotson your own data with BotsonicTrain ChatGPT on your own data and build smarter AI"&amp;" chatbots for your website. Make customer interactions your strong suit using Botsonic.Get Started Free PreviousData-driven CustomizationUpload sitemaps files and URLs to train ChatGPT on your unique data enabling this AI chatbot to assist customers with "&amp;"personalized responses.Chatbot PersonalizationCustomize your AI chatbot with logos colors and messages for a cohesive brand experience. Set starter questions and guidelines for a truly consistent experience.No-code IntegrationEasily set up Botsonic with n"&amp;"o-code; embed on your site or integrate via API for a seamless experience.Multilingual SupportReach a global audience with Botsonic's support for up to 30 languages offering multilingual capabilities.Privacy ManagementPrioritize customer privacy and secur"&amp;"ely capture leads with Botsonic's guaranteed secure environment. Next 12 Write anywhere and everywhere with the AI chrome extensionNo more switching between multiple tabs. Just  your way to Chatsonic’s Chrome extension—the ultimate shortcut for quick cont"&amp;"ent generation. Get Started FreegmailweblinkedinFrom content to success: Customer ROI storiesDiscover how our customers transformed their narratives into tangible returns.Get Started FreeSireesha ChilakamarriCTO at AdMedia5xContent Creation Transformation"&amp;" for AdmediaDiscover how Writesonic's AI-powered solutions transformed AdMedia's content generation process and reduced content queue by 65% leading to unprecedented success.Read moreLaura MalcolmCEO of Give InKind$1000sOf Dollars Saved Per Month for Give"&amp;" InKindDiscover how Give InKind harnessed the power of Writesonic to generate 3.5 million words and create 16000+ product listings while strengthening their community support platform.Read moreAdrian Hery BarrancoMarketing Officer at Biosynth5000+Scientif"&amp;"ic Product Descriptions Weekly for BiosynthDiscover how Biosynth revolutionized its content creation process merged scientific accuracy with compelling copy and boosted productivity by 375%—all with Writesonic today!Read moreThe AI-powered suite you need "&amp;"right away Accelerate your business with Writesonic.Get Started FreeProduct DescriptionsLearn moreAd CopyLearn moreImages &amp; ArtLearn moreHuman-Like VoiceoversLearn moreSummarizationLearn moreLanding PagesLearn moreSocial MediaLearn moreArticles &amp; BlogsLea"&amp;"rn moreProduct DescriptionsLearn moreAd CopyLearn moreImages &amp; ArtLearn moreHuman-Like VoiceoversLearn moreSummarizationLearn moreLanding PagesLearn moreSocial MediaLearn moreArticles &amp; BlogsLearn moreProduct DescriptionsLearn moreAd CopyLearn moreImages "&amp;"&amp; ArtLearn moreHuman-Like VoiceoversLearn moreOne platform multiple AI applicationsLearn more about WritesonicGet all your automation conversations tickets customer dataand reporting working together seamlessly. Maximize team performance by connecting all"&amp;" your other tools to our platform. Best software as voted by you.  The AI-powered solution your business needs. Power up your business with AI: Join 5M+ professionals &amp; teamsLet Writesonic be the catalyst for your business's transformation.Get Started Fre"&amp;"eToolsAI Article and Blog WriterParaphrasing ToolSentence ExpanderText SummarizerStory Generator Landing Page GeneratorFree ToolsAI Content DetectorProductsChatsonic Botsonic Audiosonic PhotosonicResourcesBlogGuides and TutorialsAPIFree TemplatesStatusCom"&amp;"panyContact Us About UsCareersHelp CenterWritesonic PricingBotsonic PricingAffiliate ProgramCreator Program© 2023 Writesonic Inc. All rights reserved.Backed by2261 Market Street #4608 San Francisco CA 94114 USATermsPrivacy Policy")</f>
        <v>Writesonic - Best AI Writer Copywriting &amp; Paraphrasing ToolProductschatsonicbotsonicaudiosonicPricingsign inget startedsign inAI Content Creation &amp; Customer Experience PlatformYour One-Stop Solution for Content Creation Audio Generation Image Crafting and AI Chatbot Development.Get Started FreeWatch an OverviewTrusted by 5000000+ teams agencies and freelancers. 15000+ 5-star ratings.AI Content CreationWrite on-brand factual articles  in no time and rank #1 on GoogleBoost Your Brand's Influence with Trend-Driven SEO-Optimized Blogs Written in Your Unique Brand Voice.Get Started Free PreviousFactual Up-to-date ContentOur AI integrates with Google to pull the latest information ensuring accurate and up-to-date content.Enrich with Knowledge GraphIntegrate company data via Knowledge Graph for insightful data-backed content.Built-in SEO OptimizationWith built-in keyword optimization and the option to add your own list of keywords you can rest assured that you'll rank higher faster.Outrank CompetitorsAnalyze and outperform competitor content with Writesonic's advanced AI algorithms.Consistent Brand StyleEnsure every piece resonates with your unique brand voice using tailored guidelines. Next 12 ChatGPT like ChatMeet Chatsonic — Your generativeAI conversation partnerThe free next-level alternative to ChatGPT for content creation and ideas. It's powered by GPT-4 and designed to tackle ChatGPT's limits.Get Started Free PreviousReal-time Trending AI GenerationsWith Chatsonic's Google Search integration engage in real-time conversations on current events and trending topics effortlessly.Multipurpose file chatUpload various formats – PDFs links blog posts videos and more; Chatsonic extracts key info and crafts content from your important documents.AI-generated artworkElevate your visuals with Chatsonic's ability to create striking digital AI art for social media posts and digital campaigns.Extensive Prompt LibrarySelect from 1000+ Chatsonic prompts for various needs: sales marketing research PR and beyond.Team Collab Made EasyShare prompts across departments to foster teamwork and streamline your workflow for better productivity. Next 12 No-code AI Chatbot BuilderBuild no-code AI chatbotson your own data with BotsonicTrain ChatGPT on your own data and build smarter AI chatbots for your website. Make customer interactions your strong suit using Botsonic.Get Started Free PreviousData-driven CustomizationUpload sitemaps files and URLs to train ChatGPT on your unique data enabling this AI chatbot to assist customers with personalized responses.Chatbot PersonalizationCustomize your AI chatbot with logos colors and messages for a cohesive brand experience. Set starter questions and guidelines for a truly consistent experience.No-code IntegrationEasily set up Botsonic with no-code; embed on your site or integrate via API for a seamless experience.Multilingual SupportReach a global audience with Botsonic's support for up to 30 languages offering multilingual capabilities.Privacy ManagementPrioritize customer privacy and securely capture leads with Botsonic's guaranteed secure environment. Next 12 Write anywhere and everywhere with the AI chrome extensionNo more switching between multiple tabs. Just  your way to Chatsonic’s Chrome extension—the ultimate shortcut for quick content generation. Get Started FreegmailweblinkedinFrom content to success: Customer ROI storiesDiscover how our customers transformed their narratives into tangible returns.Get Started FreeSireesha ChilakamarriCTO at AdMedia5xContent Creation Transformation for AdmediaDiscover how Writesonic's AI-powered solutions transformed AdMedia's content generation process and reduced content queue by 65% leading to unprecedented success.Read moreLaura MalcolmCEO of Give InKind$1000sOf Dollars Saved Per Month for Give InKindDiscover how Give InKind harnessed the power of Writesonic to generate 3.5 million words and create 16000+ product listings while strengthening their community support platform.Read moreAdrian Hery BarrancoMarketing Officer at Biosynth5000+Scientific Product Descriptions Weekly for BiosynthDiscover how Biosynth revolutionized its content creation process merged scientific accuracy with compelling copy and boosted productivity by 375%—all with Writesonic today!Read moreThe AI-powered suite you need right away Accelerate your business with Writesonic.Get Started FreeProduct DescriptionsLearn moreAd CopyLearn moreImages &amp; ArtLearn moreHuman-Like VoiceoversLearn moreSummarizationLearn moreLanding PagesLearn moreSocial MediaLearn moreArticles &amp; BlogsLearn moreProduct DescriptionsLearn moreAd CopyLearn moreImages &amp; ArtLearn moreHuman-Like VoiceoversLearn moreSummarizationLearn moreLanding PagesLearn moreSocial MediaLearn moreArticles &amp; BlogsLearn moreProduct DescriptionsLearn moreAd CopyLearn moreImages &amp; ArtLearn moreHuman-Like VoiceoversLearn moreOne platform multiple AI applicationsLearn more about WritesonicGet all your automation conversations tickets customer dataand reporting working together seamlessly. Maximize team performance by connecting all your other tools to our platform. Best software as voted by you.  The AI-powered solution your business needs. Power up your business with AI: Join 5M+ professionals &amp; teamsLet Writesonic be the catalyst for your business's transformation.Get Started FreeToolsAI Article and Blog WriterParaphrasing ToolSentence ExpanderText SummarizerStory Generator Landing Page GeneratorFree ToolsAI Content DetectorProductsChatsonic Botsonic Audiosonic PhotosonicResourcesBlogGuides and TutorialsAPIFree TemplatesStatusCompanyContact Us About UsCareersHelp CenterWritesonic PricingBotsonic PricingAffiliate ProgramCreator Program© 2023 Writesonic Inc. All rights reserved.Backed by2261 Market Street #4608 San Francisco CA 94114 USATermsPrivacy Policy</v>
      </c>
    </row>
    <row r="46">
      <c r="A46" s="1" t="s">
        <v>54</v>
      </c>
      <c r="B46" s="1" t="s">
        <v>55</v>
      </c>
      <c r="D46" s="1">
        <v>15.0</v>
      </c>
      <c r="E46" s="4" t="s">
        <v>191</v>
      </c>
      <c r="F46" s="1" t="s">
        <v>43</v>
      </c>
      <c r="I46" s="2">
        <v>3.0</v>
      </c>
      <c r="J46" s="5" t="str">
        <f>IFERROR(__xludf.DUMMYFUNCTION("GOOGLETRANSLATE(A46)"),"chatgpt")</f>
        <v>chatgpt</v>
      </c>
      <c r="K46" s="6" t="str">
        <f>IFERROR(__xludf.DUMMYFUNCTION("GOOGLETRANSLATE(B46)"),"ChatGPT")</f>
        <v>ChatGPT</v>
      </c>
    </row>
    <row r="47">
      <c r="A47" s="1" t="s">
        <v>54</v>
      </c>
      <c r="B47" s="1" t="s">
        <v>192</v>
      </c>
      <c r="C47" s="1" t="s">
        <v>179</v>
      </c>
      <c r="D47" s="1">
        <v>16.0</v>
      </c>
      <c r="E47" s="4" t="s">
        <v>193</v>
      </c>
      <c r="F47" s="1" t="s">
        <v>43</v>
      </c>
      <c r="G47" s="1" t="s">
        <v>194</v>
      </c>
      <c r="H47" s="4" t="s">
        <v>195</v>
      </c>
      <c r="I47" s="2">
        <v>1.0</v>
      </c>
      <c r="J47" s="5" t="str">
        <f>IFERROR(__xludf.DUMMYFUNCTION("GOOGLETRANSLATE(A47)"),"chatgpt")</f>
        <v>chatgpt</v>
      </c>
      <c r="K47" s="6" t="str">
        <f>IFERROR(__xludf.DUMMYFUNCTION("GOOGLETRANSLATE(B47)"),"OpenAI is letting anyone create their own version of ChatGPT")</f>
        <v>OpenAI is letting anyone create their own version of ChatGPT</v>
      </c>
      <c r="L47" s="5" t="str">
        <f>IFERROR(__xludf.DUMMYFUNCTION("GOOGLETRANSLATE(C47)"),"4 days ago -")</f>
        <v>4 days ago -</v>
      </c>
      <c r="M47" s="5" t="str">
        <f>IFERROR(__xludf.DUMMYFUNCTION("GOOGLETRANSLATE(G47)"),"The VergeSkip to main contentThe Verge homepageThe VergeThe Verge logo./Tech/Reviews/Science/Entertainment/MoreMenuExpandThe VergeThe Verge logo.Apple MacBook Pro 16 M3 Max reviewIt’s undoubtedly fast powerful and earns the Pro moniker. It’ll also cost yo"&amp;"u a pretty penny.Victoria SongNov 10|CommentsTop Stories11Sony’s new ‘slim’ PlayStation 5 is smaller but also weirderAntonio G. Di BenedettoNov 10|Comments22Loki’s season 2 finale dug deep to find a meaning in all of Marvel’s madnessCharles Pulliam-MooreN"&amp;"ov 11|Comments33Pushy checkout screens are helping ‘tipflation’Victoria SongNov 11|Comments44The Verge’s staff tries to survive the holiday seasonVerge StaffNov 10|Comments55Hades is coming to NetflixAsh ParrishNov 11|CommentsToday’s StorystreamFeed refre"&amp;"shed WExternal LinkCommentsWes DavisNov 11LinkThere’s good account security and then there’s this.Cybersecurity blogger Brian Krebs wrote today — a little over a year from his 2022 article describing the same issue — that anyone can usurp someone else’s E"&amp;"xperian credit account simply by creating a new account. He described what happens after you do so based on his own experience regaining his own stolen Experian account:After that your new account is created and you’re directed to the Experian dashboard w"&amp;"hich allows you to view your full credit file and freeze or unfreeze it.At this point Experian will send a message to the old email address tied to the account saying certain aspects of the user profile have changed. But this message isn’t a request seeki"&amp;"ng verification: It’s just a notification from Experian that the account’s user data has changed and the original user is offered zero recourse here other than to a click a link to log in at Experian.com.It’s Still Easy for Anyone to Become You at Experia"&amp;"n[briankrebs]NetflixNetflixNetflix’s Terminator anime gets the briefest of teasersAndrew WebsterNov 11|CommentsNetflixNetflixNetflix’s next Neil Gaiman adaptation is Dead Boy DetectivesAndrew WebsterNov 11|CommentsDYoutubeCommentsDavid PierceNov 11LinkWat"&amp;"ch the Vergecast crew talk Humane and ChatGPT — and what it’s like to go Full Dex.Because Nilay doesn’t usually have enough stuff to fiddle with during the Vergecast recordings you know what I mean? There was a ton of news this week from the AI Pin to the"&amp;" Steam Deck to custom GPTs. But that’s all just the sideshow to the grand (or not so grand) finale of Nilay’s experiments with Samsung Dex. Is it the end of the road or the beginning of the future? You be the judge.AYoutubeCommentsAndrew WebsterNov 11Link"&amp;"The distressed look.Saturday’s edition of Geeked Week opened with the first trailer for Damsel in which “a dutiful damsel agrees to marry a handsome prince only to find the royal family has recruited her as a sacrifice to repay an ancient debt.” It stars "&amp;"Millie Bobby Brown as the princess is directed by Juan Carlos Fresnadillo and will hit Netflix in 2024.WExternal LinkCommentsWes DavisNov 11LinkGoogle’s Jigsaw team created a free tool for small platforms to deal with terrorist content.Wired reported yest"&amp;"erday that the “Altitude” tool gives small user-created content platforms access to a central database of content deemed to be created by terrorist organizations. Altitude joins similar past Jigsaw tools for toxic speech moderation and CSAM identification"&amp;". The database maintained by the UN-backed online counter-terrorism group Tech Against Terrorism is already used by major tech companies. This New Tool Aims to Keep Terrorism Content Off the Internet[WIRED]Most PopularMost PopularMost PopularHumane offici"&amp;"ally launches the AI Pin its OpenAI-powered wearableDavid PierceNov 9|CommentsSony’s new ‘slim’ PlayStation 5 is smaller but also weirderAntonio G. Di BenedettoNov 10|CommentsNew teaser for Netflix’s 3 Body Problem series will make you want to play the ga"&amp;"meCharles Pulliam-MooreNov 10|CommentsGoogle offered Netflix a sweetheart deal to pay just 10 percent on Google PlaySean HollisterNov 10|CommentsApple reportedly cut a deal to get cleaner Amazon pagesEmma RothNov 10|CommentsRExternal LinkCommentsRichard L"&amp;"awlerNov 11LinkWhat could possibly go wrong again?Following a jury's conviction of former FTX boss Sam Bankman-Fried on fraud charges the Wall Street Journal reports that several former FTX employees including former general counsel Can Sun are involved i"&amp;"n launching a new cryptocurrency exchange based on Dubai.Sun and Ferrante said they wanted to use the lessons they learned from FTX’s failure to protect user funds. Backpack Exchange the name under which Trek Labs will do business will use Backpack’s tech"&amp;"nology to allow users to hold funds in their own “self-custody” crypto wallets that the exchange itself wouldn’t be able to unilaterally access they said.Key Witness at Sam Bankman-Fried Trial to Launch New Crypto Exchange[WSJ]AdvertisementAdvertisementAd"&amp;"vertiser ContentAYoutubeCommentsAndrew WebsterNov 11LinkAnother afternoon of Netflix announcements.For the third day in a row Netflix is streaming a whole bunch of news about its upcoming shows movies and games. Today’s once again takes place at 4PM ET an"&amp;"d will include among other things a first look at the film Damsel with Stranger Things star Millie Bobby Brown.WQuoteCommentsWes DavisNov 11LinkHumane is hiring if you’re an Android developer looking for a job.Humane didn’t explicitly say what underpins t"&amp;"he Ai Pin’s “Cosmos” operating system when it announced it this week. A Threads user spotted this nugget in a job posting on the company’s website which has a pretty strong hint:Work alongside our System Software team to tightly integrate and customize ou"&amp;"r usage of Android OS (AOSP)TeslaTeslaIs the Cybertruck’s wiper actually multiple wipers in a row? An investigationNilay PatelNov 10|CommentsWCommentsWes DavisNov 11LinkI can’t emphasize this enough but nothing was greater than McDonald’s in the ‘80s.Ther"&amp;"e’s plenty to criticize about the company but tell that to 7-year-old me climbing up into that hamburger cop’s head.Anyway here are some behind-the-scenes pictures from the Loki McDonald’s episode. While we’re at it here’s the McDonald’s scene from Mac an"&amp;"d Me. And an AI-upscaled Mac Tonight commercial.WCommentsWes DavisNov 11LinkSuperman Legacy is still on time.Not every comic book movie is getting a studio delay following the end of the actors strike. James Gunn posted on Threads today that Superman Lega"&amp;"cy will still reboot the DC extended universe on its original planned date of July 11th 2025.If you need your Zac Snyder-era DCEU fix much of it will shamble on next month on Netflix.TechTechThe Screen Actors Guild’s strike-ending deal has entered its fin"&amp;"al stepWes DavisNov 11|CommentsMint is going away but these easy budgeting apps can take its placeMint will disappear at the end of the year but there are other apps that can help you watch your budget.Barbara KrasnoffNov 10|CommentsWThe VergeCommentsWes "&amp;"DavisNov 11LinkBlue Beetle will start streaming on Max next week.I missed this in theaters but I’m excited to catch up on it when it debuts on November 17th as Warner Bros. Discovery announced yesterday. Maybe the movie is a decade late as Charles said in"&amp;" his review. But as a person who’s always fallen more on the DC side of the fence this bit from his review’s opening paragraph has me looking forward to finally seeing it anyway:Blue Beetle feels like the end result of a creative team thoughtfully executi"&amp;"ng a plan to replicate certain elements of what’s made rival studio Marvel’s films so successful — and not just Warner Bros. clumsily trying to play catch-up.Blue Beetle is the kitschy sort of superhero throwback DC should have been making years agoCharle"&amp;"s Pulliam-MooreAug 16WExternal LinkCommentsWes DavisNov 11LinkYep that sounds about right.Business Insider assigned two journalists the task of scrolling 500 TikTok videos each to tally up the number of ads they saw. Both reported that around 30 percent o"&amp;"f the content was sponsored. Insider notes that’s similar to broadcast TV’s roughly 28 percent. TikTok’s been testing an ad-free tier for five bucks a month so at least there’s that.We watched 1000 TikToks in one sitting. The algorithm served up a shockin"&amp;"g number of ads rivaling network TV.[Insider]WExternal LinkCommentsWes DavisNov 11LinkFree pizza coupons are a risky business when the internet is involved.Domino’s apparently flew too close to the sun this week when the internet figured out via the alway"&amp;"s-reliable Wario64 and others that its free pizza codes were infinitely reusable. Read all about the chaos in Kotaku’s story.Chaos At Domino’s After Free Pizza Glitch Goes Viral[Kotaku]TechTechSee all TechTechValve reveals the Steam Deck OLED: $549 buys b"&amp;"etter screen battery and moreSean HollisterNov 9|CommentsSony’s new ‘slim’ PlayStation 5 is smaller but also weirderAntonio G. Di BenedettoNov 10|CommentsGoogle won’t say if companies beyond Spotify got secret special app store dealsSean HollisterNov 9|Co"&amp;"mmentsAppleAppleApple’s midrange ‘Pro’ M3 chip isn’t looking like a huge upgradeUmar ShakirNov 11|CommentsACommentsAndrew WebsterNov 11LinkA marvelous weekend for entertainment.Leading the way this week is The Marvels which it turns out is actually quite "&amp;"fun. Dream Scenario is also in theaters (it was one of our favorites from TIFF this year) this weekend while David Fincher’s The Killer is now streaming on Netflix.Elsewhere Loki just wrapped up its second season on Disney Plus The Invincible brings a har"&amp;"d sci-fi adventure to next-gen consoles and PC Apple Arcade hit Air Twister is finally on PC and console and Mario Kart 8 Deluxe’s huge wave of new tracks is now complete.PreviousNext1/7The Marvels. Image: Marvel StudiosHumane officially launches the AI P"&amp;"in its OpenAI-powered wearableIt’s a gadget designed for talking to large-language model AIs instead of typing into apps.David PierceNov 9|CommentsDealsDealsSony’s comfy LinkBuds S earbuds are at their lowest price for a limited timeAntonio G. Di Benedett"&amp;"oNov 11|CommentsGadgetsGadgetsOf course Dbrand’s first novelty keycaps include a ‘fuck off’ keyJon PorterNov 11|CommentsRQuoteCommentsRichard LawlerNov 11LinkSpaceX hypes up its next Starship flight test while ignoring a report about workplace injuries.Th"&amp;"e FAA still hasn’t cleared SpaceX to attempt another Starship orbital launch from its Boca Chica TX site after the first one caused significant damage to the pad and surrounding environment. SpaceX’s website and this teaser trailer indicate it’s ready to "&amp;"try again as soon as November 17th.Those are also popping up on the same day as a report from Reuters documenting 600 injuries to SpaceX workers since 2014.The records included reports of more than 100 workers suffering cuts or lacerations 29 with broken "&amp;"bones or dislocations 17 whose hands or fingers were “crushed” and nine with head injuries including one skull fracture four concussions and one traumatic brain injury. Musk himself at times appeared cavalier about safety on visits to SpaceX sites: Four e"&amp;"mployees said he sometimes played with a novelty flamethrower and discouraged workers from wearing safety yellow because he dislikes bright colors.PodcastsPodcastsSee more PodcastsPodcastsToday on the Vergecast: we talk about that new pin that wants to re"&amp;"place the phone.Alex CranzNov 10|CommentsWhat’s at stake in Epic Games’ fight to open up the Google Play Store?Makena KellyNov 8|CommentsBarack Obama on AI free speech and the future of the internetNilay PatelNov 7|CommentsHandheld gaming is the future — "&amp;"againDavid PierceNov 6|CommentsToday on The Vergecast: Google searches iPhone videos and being mad on the internet.David PierceNov 3|CommentsAppleAppleApple reportedly cut a deal to get cleaner Amazon pagesEmma RothNov 10|CommentsRCommentsRichard LawlerNo"&amp;"v 8LinkBarack Obama on AI free speech and the future of the internet.In a sitdown with Verge EIC Nilay Patel on Decoder the 44th president discussed Joe Biden’s recently-signed executive order about AI why Obama disagrees with the idea that social network"&amp;"s are a “common carrier” and which iPhone apps he uses the most now that he’s no longer president and he can use an iPhone.InstagramInstagramAd-free Instagram and Facebook is here — and it’s expensiveRichard LawlerNov 10|CommentsETwitterCommentsEmma RothN"&amp;"ov 10LinkNaughty Dog is losing another executive.The Last of Us developer announced head of technology Christian Gyrling is leaving the company after 17 years. In addition to layoffs Naughty Dog has seen quite a few executive departures with co-president "&amp;"Evan Wells and narrative designer Josh Scherr leaving earlier this year.NetflixNetflixNew teaser for Netflix’s 3 Body Problem series will make you want to play the gameCharles Pulliam-MooreNov 10|CommentsNetflixNetflixThe first trailer of Netflix’s live-a"&amp;"ction Yu Yu Hakusho is missing one crucial thingAsh ParrishNov 10|CommentsScienceScienceSee all ScienceScienceRedwood Materials will recycle stationary storage batteries as it expands its scopeAndrew J. HawkinsNov 7|CommentsAmazon’s latest Prime perk is a"&amp;" $100 discount on One MedicalChris WelchNov 8|CommentsThe Tsubame Archax is the coolest $3 million mecha on Earth — and soon the MoonTim StevensOct 30|CommentsAll the biggest news from Netflix Geeked Week 2023Avatar: The Last Airbender Scott Pilgrim Takes"&amp;" Off Devil May Cry Stranger Things and 3 Body Problem are all showing out at Netflix’s Geeked 2023 showcase.Charles Pulliam-MooreNov 11|CommentsNetflixNetflixThe Witcher continues on Netflix with the Sirens of the Deep animated movieAndrew WebsterNov 10|C"&amp;"ommentsCreatorsCreatorsThe strikes are over — cue the rewatch podcastsAriel ShapiroNov 10|CommentsEExternal LinkCommentsEmma RothNov 10LinkMaine says MOVEit hackers accessed the information of 1.3 million people.The state government disclosed the breach i"&amp;"n a notice posted to its website stating that social security numbers birthdates and driver’s license numbers “may have been involved” in the incident:On May 31 2023 the State of Maine became aware of a software vulnerability in MOVEit a third-party file "&amp;"transfer tool owned by Progress Software and used by thousands of entities worldwide to send and receive data. The software vulnerability was exploited by a group of cybercriminals and allowed them to access and download files belonging to certain agencie"&amp;"s in the State of Maine between May 28 2023 and May 29 2023.It adds that anyone who wants to know whether their data was affected by the breach can contact Maine’s dedicated call center.Maine govt notifies 1.3 million people of MOVEit data breach[Bleeping"&amp;"Computer]FilmFilmWarner Bros. Discovery just canned another nearly finished filmEmma RothNov 10|CommentsUYoutubeCommentsUmar ShakirNov 10LinkApple’s Space Black aluminum took ‘a lot of R&amp;D for the sake of aesthetics.’iFixit did some digging on the new Mac"&amp;"Book Pro and found that Apple’s anodization and dying process must have taken “a huge amount of effort and trial and error” according to metallurgist David Niebuhr.Under a microscope Space Black had higher peaks and lower valleys from an etching process t"&amp;"han Space Gray. It still shows light fingerprints but iFixit gives Apple an “A-for-effort.”CreatorsCreatorsSee all CreatorsCreatorsSiriusXM needs to attract a younger audience — its new app isn’t enoughAriel ShapiroNov 9|CommentsChatGPT is powering a new "&amp;"kind of Snapchat lensMia SatoNov 9|CommentsYouTube pages are getting a TikTok-like For You feedWes DavisNov 8|CommentsEpic v. Google: everything we’re learning live in Fortnite courtIn a redux of a case against Apple and iOS Epic aims to dismantle barrier"&amp;"s that could spell higher fees for app makers — and Google argues keep Android safe and competitive.Adi RobertsonNov 10|CommentsEYoutubeCommentsEmma RothNov 10LinkEver wonder why Smash Bros. stopped including those neat character cutscenes?Well it’s appar"&amp;"ently because the clips kept getting leaked Super Smash Bros. creator Masahiro Sakurai says in a video posted to his YouTube channel. The cutscenes which Sakurai stopped including after SSB Brawl for the Wii appear when you complete adventure mode.“We put"&amp;" a lot of money and effort into making them but before the game even came out people were posting them online” Sakurai said. “This meant they really weren’t much of a reward so I decided to stop making movies that cut in during gameplay.”AndroidAndroidQua"&amp;"lcomm’s satellite SOS for Android feature didn’t make it to launchJacob KastrenakesNov 10|CommentsDealsDealsThe Nintendo Switch OLED and Xbox Series X are on sale with a $75 Dell gift cardSheena VasaniNov 10|CommentsACommentsAlex CranzNov 10LinkToday on t"&amp;"he Vergecast: we talk about that new pin that wants to replace the phone.I won’t spoil things but we spend quite a while talking about Humane’s AI Pin and what a device needs to be to get us to put down our phones. We also talk about the other big AI news"&amp;" of the week: Open AI’s new app store. Its no-code approach to building new GPTs seems very cool even if its approach to compensating new GPT builders seems decidedly less so.All that plus a steamy lightning round.PaginationMore StoriesEntertainmentEntert"&amp;"ainmentSee all EntertainmentEntertainmentLoki’s season 2 finale dug deep to find a meaning in all of Marvel’s madnessCharles Pulliam-MooreNov 11|CommentsAll the biggest news from Netflix Geeked Week 2023Charles Pulliam-MooreNov 11|CommentsHades is coming "&amp;"to NetflixAsh ParrishNov 11|CommentsThe VergeThe Verge logo.Terms of UsePrivacy NoticeCookie PolicyDo Not Sell Or Share My Personal InfoLicensing FAQAccessibilityPlatform StatusHow We Rate and Review ProductsContactTip UsCommunity GuidelinesAboutEthics St"&amp;"atementThe Verge is a vox media networkAdvertise with usJobs @ Vox Media© 2023 Vox Media LLC. All Rights Reserved")</f>
        <v>The VergeSkip to main contentThe Verge homepageThe VergeThe Verge logo./Tech/Reviews/Science/Entertainment/MoreMenuExpandThe VergeThe Verge logo.Apple MacBook Pro 16 M3 Max reviewIt’s undoubtedly fast powerful and earns the Pro moniker. It’ll also cost you a pretty penny.Victoria SongNov 10|CommentsTop Stories11Sony’s new ‘slim’ PlayStation 5 is smaller but also weirderAntonio G. Di BenedettoNov 10|Comments22Loki’s season 2 finale dug deep to find a meaning in all of Marvel’s madnessCharles Pulliam-MooreNov 11|Comments33Pushy checkout screens are helping ‘tipflation’Victoria SongNov 11|Comments44The Verge’s staff tries to survive the holiday seasonVerge StaffNov 10|Comments55Hades is coming to NetflixAsh ParrishNov 11|CommentsToday’s StorystreamFeed refreshed WExternal LinkCommentsWes DavisNov 11LinkThere’s good account security and then there’s this.Cybersecurity blogger Brian Krebs wrote today — a little over a year from his 2022 article describing the same issue — that anyone can usurp someone else’s Experian credit account simply by creating a new account. He described what happens after you do so based on his own experience regaining his own stolen Experian account:After that your new account is created and you’re directed to the Experian dashboard which allows you to view your full credit file and freeze or unfreeze it.At this point Experian will send a message to the old email address tied to the account saying certain aspects of the user profile have changed. But this message isn’t a request seeking verification: It’s just a notification from Experian that the account’s user data has changed and the original user is offered zero recourse here other than to a click a link to log in at Experian.com.It’s Still Easy for Anyone to Become You at Experian[briankrebs]NetflixNetflixNetflix’s Terminator anime gets the briefest of teasersAndrew WebsterNov 11|CommentsNetflixNetflixNetflix’s next Neil Gaiman adaptation is Dead Boy DetectivesAndrew WebsterNov 11|CommentsDYoutubeCommentsDavid PierceNov 11LinkWatch the Vergecast crew talk Humane and ChatGPT — and what it’s like to go Full Dex.Because Nilay doesn’t usually have enough stuff to fiddle with during the Vergecast recordings you know what I mean? There was a ton of news this week from the AI Pin to the Steam Deck to custom GPTs. But that’s all just the sideshow to the grand (or not so grand) finale of Nilay’s experiments with Samsung Dex. Is it the end of the road or the beginning of the future? You be the judge.AYoutubeCommentsAndrew WebsterNov 11LinkThe distressed look.Saturday’s edition of Geeked Week opened with the first trailer for Damsel in which “a dutiful damsel agrees to marry a handsome prince only to find the royal family has recruited her as a sacrifice to repay an ancient debt.” It stars Millie Bobby Brown as the princess is directed by Juan Carlos Fresnadillo and will hit Netflix in 2024.WExternal LinkCommentsWes DavisNov 11LinkGoogle’s Jigsaw team created a free tool for small platforms to deal with terrorist content.Wired reported yesterday that the “Altitude” tool gives small user-created content platforms access to a central database of content deemed to be created by terrorist organizations. Altitude joins similar past Jigsaw tools for toxic speech moderation and CSAM identification. The database maintained by the UN-backed online counter-terrorism group Tech Against Terrorism is already used by major tech companies. This New Tool Aims to Keep Terrorism Content Off the Internet[WIRED]Most PopularMost PopularMost PopularHumane officially launches the AI Pin its OpenAI-powered wearableDavid PierceNov 9|CommentsSony’s new ‘slim’ PlayStation 5 is smaller but also weirderAntonio G. Di BenedettoNov 10|CommentsNew teaser for Netflix’s 3 Body Problem series will make you want to play the gameCharles Pulliam-MooreNov 10|CommentsGoogle offered Netflix a sweetheart deal to pay just 10 percent on Google PlaySean HollisterNov 10|CommentsApple reportedly cut a deal to get cleaner Amazon pagesEmma RothNov 10|CommentsRExternal LinkCommentsRichard LawlerNov 11LinkWhat could possibly go wrong again?Following a jury's conviction of former FTX boss Sam Bankman-Fried on fraud charges the Wall Street Journal reports that several former FTX employees including former general counsel Can Sun are involved in launching a new cryptocurrency exchange based on Dubai.Sun and Ferrante said they wanted to use the lessons they learned from FTX’s failure to protect user funds. Backpack Exchange the name under which Trek Labs will do business will use Backpack’s technology to allow users to hold funds in their own “self-custody” crypto wallets that the exchange itself wouldn’t be able to unilaterally access they said.Key Witness at Sam Bankman-Fried Trial to Launch New Crypto Exchange[WSJ]AdvertisementAdvertisementAdvertiser ContentAYoutubeCommentsAndrew WebsterNov 11LinkAnother afternoon of Netflix announcements.For the third day in a row Netflix is streaming a whole bunch of news about its upcoming shows movies and games. Today’s once again takes place at 4PM ET and will include among other things a first look at the film Damsel with Stranger Things star Millie Bobby Brown.WQuoteCommentsWes DavisNov 11LinkHumane is hiring if you’re an Android developer looking for a job.Humane didn’t explicitly say what underpins the Ai Pin’s “Cosmos” operating system when it announced it this week. A Threads user spotted this nugget in a job posting on the company’s website which has a pretty strong hint:Work alongside our System Software team to tightly integrate and customize our usage of Android OS (AOSP)TeslaTeslaIs the Cybertruck’s wiper actually multiple wipers in a row? An investigationNilay PatelNov 10|CommentsWCommentsWes DavisNov 11LinkI can’t emphasize this enough but nothing was greater than McDonald’s in the ‘80s.There’s plenty to criticize about the company but tell that to 7-year-old me climbing up into that hamburger cop’s head.Anyway here are some behind-the-scenes pictures from the Loki McDonald’s episode. While we’re at it here’s the McDonald’s scene from Mac and Me. And an AI-upscaled Mac Tonight commercial.WCommentsWes DavisNov 11LinkSuperman Legacy is still on time.Not every comic book movie is getting a studio delay following the end of the actors strike. James Gunn posted on Threads today that Superman Legacy will still reboot the DC extended universe on its original planned date of July 11th 2025.If you need your Zac Snyder-era DCEU fix much of it will shamble on next month on Netflix.TechTechThe Screen Actors Guild’s strike-ending deal has entered its final stepWes DavisNov 11|CommentsMint is going away but these easy budgeting apps can take its placeMint will disappear at the end of the year but there are other apps that can help you watch your budget.Barbara KrasnoffNov 10|CommentsWThe VergeCommentsWes DavisNov 11LinkBlue Beetle will start streaming on Max next week.I missed this in theaters but I’m excited to catch up on it when it debuts on November 17th as Warner Bros. Discovery announced yesterday. Maybe the movie is a decade late as Charles said in his review. But as a person who’s always fallen more on the DC side of the fence this bit from his review’s opening paragraph has me looking forward to finally seeing it anyway:Blue Beetle feels like the end result of a creative team thoughtfully executing a plan to replicate certain elements of what’s made rival studio Marvel’s films so successful — and not just Warner Bros. clumsily trying to play catch-up.Blue Beetle is the kitschy sort of superhero throwback DC should have been making years agoCharles Pulliam-MooreAug 16WExternal LinkCommentsWes DavisNov 11LinkYep that sounds about right.Business Insider assigned two journalists the task of scrolling 500 TikTok videos each to tally up the number of ads they saw. Both reported that around 30 percent of the content was sponsored. Insider notes that’s similar to broadcast TV’s roughly 28 percent. TikTok’s been testing an ad-free tier for five bucks a month so at least there’s that.We watched 1000 TikToks in one sitting. The algorithm served up a shocking number of ads rivaling network TV.[Insider]WExternal LinkCommentsWes DavisNov 11LinkFree pizza coupons are a risky business when the internet is involved.Domino’s apparently flew too close to the sun this week when the internet figured out via the always-reliable Wario64 and others that its free pizza codes were infinitely reusable. Read all about the chaos in Kotaku’s story.Chaos At Domino’s After Free Pizza Glitch Goes Viral[Kotaku]TechTechSee all TechTechValve reveals the Steam Deck OLED: $549 buys better screen battery and moreSean HollisterNov 9|CommentsSony’s new ‘slim’ PlayStation 5 is smaller but also weirderAntonio G. Di BenedettoNov 10|CommentsGoogle won’t say if companies beyond Spotify got secret special app store dealsSean HollisterNov 9|CommentsAppleAppleApple’s midrange ‘Pro’ M3 chip isn’t looking like a huge upgradeUmar ShakirNov 11|CommentsACommentsAndrew WebsterNov 11LinkA marvelous weekend for entertainment.Leading the way this week is The Marvels which it turns out is actually quite fun. Dream Scenario is also in theaters (it was one of our favorites from TIFF this year) this weekend while David Fincher’s The Killer is now streaming on Netflix.Elsewhere Loki just wrapped up its second season on Disney Plus The Invincible brings a hard sci-fi adventure to next-gen consoles and PC Apple Arcade hit Air Twister is finally on PC and console and Mario Kart 8 Deluxe’s huge wave of new tracks is now complete.PreviousNext1/7The Marvels. Image: Marvel StudiosHumane officially launches the AI Pin its OpenAI-powered wearableIt’s a gadget designed for talking to large-language model AIs instead of typing into apps.David PierceNov 9|CommentsDealsDealsSony’s comfy LinkBuds S earbuds are at their lowest price for a limited timeAntonio G. Di BenedettoNov 11|CommentsGadgetsGadgetsOf course Dbrand’s first novelty keycaps include a ‘fuck off’ keyJon PorterNov 11|CommentsRQuoteCommentsRichard LawlerNov 11LinkSpaceX hypes up its next Starship flight test while ignoring a report about workplace injuries.The FAA still hasn’t cleared SpaceX to attempt another Starship orbital launch from its Boca Chica TX site after the first one caused significant damage to the pad and surrounding environment. SpaceX’s website and this teaser trailer indicate it’s ready to try again as soon as November 17th.Those are also popping up on the same day as a report from Reuters documenting 600 injuries to SpaceX workers since 2014.The records included reports of more than 100 workers suffering cuts or lacerations 29 with broken bones or dislocations 17 whose hands or fingers were “crushed” and nine with head injuries including one skull fracture four concussions and one traumatic brain injury. Musk himself at times appeared cavalier about safety on visits to SpaceX sites: Four employees said he sometimes played with a novelty flamethrower and discouraged workers from wearing safety yellow because he dislikes bright colors.PodcastsPodcastsSee more PodcastsPodcastsToday on the Vergecast: we talk about that new pin that wants to replace the phone.Alex CranzNov 10|CommentsWhat’s at stake in Epic Games’ fight to open up the Google Play Store?Makena KellyNov 8|CommentsBarack Obama on AI free speech and the future of the internetNilay PatelNov 7|CommentsHandheld gaming is the future — againDavid PierceNov 6|CommentsToday on The Vergecast: Google searches iPhone videos and being mad on the internet.David PierceNov 3|CommentsAppleAppleApple reportedly cut a deal to get cleaner Amazon pagesEmma RothNov 10|CommentsRCommentsRichard LawlerNov 8LinkBarack Obama on AI free speech and the future of the internet.In a sitdown with Verge EIC Nilay Patel on Decoder the 44th president discussed Joe Biden’s recently-signed executive order about AI why Obama disagrees with the idea that social networks are a “common carrier” and which iPhone apps he uses the most now that he’s no longer president and he can use an iPhone.InstagramInstagramAd-free Instagram and Facebook is here — and it’s expensiveRichard LawlerNov 10|CommentsETwitterCommentsEmma RothNov 10LinkNaughty Dog is losing another executive.The Last of Us developer announced head of technology Christian Gyrling is leaving the company after 17 years. In addition to layoffs Naughty Dog has seen quite a few executive departures with co-president Evan Wells and narrative designer Josh Scherr leaving earlier this year.NetflixNetflixNew teaser for Netflix’s 3 Body Problem series will make you want to play the gameCharles Pulliam-MooreNov 10|CommentsNetflixNetflixThe first trailer of Netflix’s live-action Yu Yu Hakusho is missing one crucial thingAsh ParrishNov 10|CommentsScienceScienceSee all ScienceScienceRedwood Materials will recycle stationary storage batteries as it expands its scopeAndrew J. HawkinsNov 7|CommentsAmazon’s latest Prime perk is a $100 discount on One MedicalChris WelchNov 8|CommentsThe Tsubame Archax is the coolest $3 million mecha on Earth — and soon the MoonTim StevensOct 30|CommentsAll the biggest news from Netflix Geeked Week 2023Avatar: The Last Airbender Scott Pilgrim Takes Off Devil May Cry Stranger Things and 3 Body Problem are all showing out at Netflix’s Geeked 2023 showcase.Charles Pulliam-MooreNov 11|CommentsNetflixNetflixThe Witcher continues on Netflix with the Sirens of the Deep animated movieAndrew WebsterNov 10|CommentsCreatorsCreatorsThe strikes are over — cue the rewatch podcastsAriel ShapiroNov 10|CommentsEExternal LinkCommentsEmma RothNov 10LinkMaine says MOVEit hackers accessed the information of 1.3 million people.The state government disclosed the breach in a notice posted to its website stating that social security numbers birthdates and driver’s license numbers “may have been involved” in the incident:On May 31 2023 the State of Maine became aware of a software vulnerability in MOVEit a third-party file transfer tool owned by Progress Software and used by thousands of entities worldwide to send and receive data. The software vulnerability was exploited by a group of cybercriminals and allowed them to access and download files belonging to certain agencies in the State of Maine between May 28 2023 and May 29 2023.It adds that anyone who wants to know whether their data was affected by the breach can contact Maine’s dedicated call center.Maine govt notifies 1.3 million people of MOVEit data breach[BleepingComputer]FilmFilmWarner Bros. Discovery just canned another nearly finished filmEmma RothNov 10|CommentsUYoutubeCommentsUmar ShakirNov 10LinkApple’s Space Black aluminum took ‘a lot of R&amp;D for the sake of aesthetics.’iFixit did some digging on the new MacBook Pro and found that Apple’s anodization and dying process must have taken “a huge amount of effort and trial and error” according to metallurgist David Niebuhr.Under a microscope Space Black had higher peaks and lower valleys from an etching process than Space Gray. It still shows light fingerprints but iFixit gives Apple an “A-for-effort.”CreatorsCreatorsSee all CreatorsCreatorsSiriusXM needs to attract a younger audience — its new app isn’t enoughAriel ShapiroNov 9|CommentsChatGPT is powering a new kind of Snapchat lensMia SatoNov 9|CommentsYouTube pages are getting a TikTok-like For You feedWes DavisNov 8|CommentsEpic v. Google: everything we’re learning live in Fortnite courtIn a redux of a case against Apple and iOS Epic aims to dismantle barriers that could spell higher fees for app makers — and Google argues keep Android safe and competitive.Adi RobertsonNov 10|CommentsEYoutubeCommentsEmma RothNov 10LinkEver wonder why Smash Bros. stopped including those neat character cutscenes?Well it’s apparently because the clips kept getting leaked Super Smash Bros. creator Masahiro Sakurai says in a video posted to his YouTube channel. The cutscenes which Sakurai stopped including after SSB Brawl for the Wii appear when you complete adventure mode.“We put a lot of money and effort into making them but before the game even came out people were posting them online” Sakurai said. “This meant they really weren’t much of a reward so I decided to stop making movies that cut in during gameplay.”AndroidAndroidQualcomm’s satellite SOS for Android feature didn’t make it to launchJacob KastrenakesNov 10|CommentsDealsDealsThe Nintendo Switch OLED and Xbox Series X are on sale with a $75 Dell gift cardSheena VasaniNov 10|CommentsACommentsAlex CranzNov 10LinkToday on the Vergecast: we talk about that new pin that wants to replace the phone.I won’t spoil things but we spend quite a while talking about Humane’s AI Pin and what a device needs to be to get us to put down our phones. We also talk about the other big AI news of the week: Open AI’s new app store. Its no-code approach to building new GPTs seems very cool even if its approach to compensating new GPT builders seems decidedly less so.All that plus a steamy lightning round.PaginationMore StoriesEntertainmentEntertainmentSee all EntertainmentEntertainmentLoki’s season 2 finale dug deep to find a meaning in all of Marvel’s madnessCharles Pulliam-MooreNov 11|CommentsAll the biggest news from Netflix Geeked Week 2023Charles Pulliam-MooreNov 11|CommentsHades is coming to NetflixAsh ParrishNov 11|CommentsThe VergeThe Verge logo.Terms of UsePrivacy NoticeCookie PolicyDo Not Sell Or Share My Personal InfoLicensing FAQAccessibilityPlatform StatusHow We Rate and Review ProductsContactTip UsCommunity GuidelinesAboutEthics StatementThe Verge is a vox media networkAdvertise with usJobs @ Vox Media© 2023 Vox Media LLC. All Rights Reserved</v>
      </c>
    </row>
    <row r="48">
      <c r="A48" s="1" t="s">
        <v>54</v>
      </c>
      <c r="B48" s="1" t="s">
        <v>196</v>
      </c>
      <c r="C48" s="1" t="s">
        <v>179</v>
      </c>
      <c r="D48" s="1">
        <v>17.0</v>
      </c>
      <c r="E48" s="4" t="s">
        <v>197</v>
      </c>
      <c r="F48" s="1" t="s">
        <v>43</v>
      </c>
      <c r="G48" s="1" t="s">
        <v>198</v>
      </c>
      <c r="H48" s="4" t="s">
        <v>199</v>
      </c>
      <c r="I48" s="2">
        <v>1.0</v>
      </c>
      <c r="J48" s="5" t="str">
        <f>IFERROR(__xludf.DUMMYFUNCTION("GOOGLETRANSLATE(A48)"),"chatgpt")</f>
        <v>chatgpt</v>
      </c>
      <c r="K48" s="6" t="str">
        <f>IFERROR(__xludf.DUMMYFUNCTION("GOOGLETRANSLATE(B48)"),"OpenAI Lets Mom-and-Pop Shops Customize ChatGPT")</f>
        <v>OpenAI Lets Mom-and-Pop Shops Customize ChatGPT</v>
      </c>
      <c r="L48" s="5" t="str">
        <f>IFERROR(__xludf.DUMMYFUNCTION("GOOGLETRANSLATE(C48)"),"4 days ago -")</f>
        <v>4 days ago -</v>
      </c>
      <c r="M48" s="5" t="str">
        <f>IFERROR(__xludf.DUMMYFUNCTION("GOOGLETRANSLATE(G48)"),"The New York Times - Breaking News US News World News and Videos  Skip to contentSkip to site indexSKIP ADVERTISEMENTSearch &amp; Section NavigationSection NavigationSEARCHU.S.InternationalCanadaEspañol中文 Today’s PaperU.S.SectionsU.S.PoliticsNew YorkCaliforni"&amp;"aEducationHealthObituariesScienceClimateSportsBusinessTechThe UpshotThe MagazineU.S. Politics2024 ElectionsSupreme CourtCongressBiden AdministrationNewslettersThe MorningMake sense of the day’s news and ideas.The UpshotAnalysis that explains politics poli"&amp;"cy and everyday life.See all newslettersPodcastsThe DailyThe biggest stories of our time in 20 minutes a day.The Run-UpOn the campaign trail with Astead Herndon.See all podcastsWorldSectionsWorldAfricaAmericasAsiaAustraliaCanadaEuropeMiddle EastScienceCli"&amp;"mateHealthObituariesNewslettersMorning Briefing: EuropeGet what you need to know to start your day.The InterpreterOriginal analysis on the week’s biggest global stories.Australia LetterNews features and opinion for readers in the region.Canada LetterBacks"&amp;"tories and analysis from our Canadian correspondents.See all newslettersBusinessSectionsBusinessTechEconomyMediaFinance and MarketsDealBookPersonal TechEnergy TransitionYour MoneyNewslettersDealBookThe most crucial business and policy news you need to kno"&amp;"w.See all newslettersPodcastsHard ForkOur tech journalists help you make sense of the rapidly changing tech world.See all podcastsArtsSectionsArtsBooksBest SellersDanceMoviesMusicTelevisionTheaterPop CultureT MagazineVisual ArtsRecommendationsCritic’s Pic"&amp;"ksWhat to ReadWhat to WatchWhat to Listen To5 Minutes to Make You Love MusicNewslettersRead Like the WindBook recommendations from our critics.WatchingStreaming TV and movie recommendations.See all newslettersPodcastsBook ReviewThe podcast that takes you "&amp;"inside the literary world.PopcastPop music news new songs and albums and artists of note.See all podcastsLifestyleSectionsLifestyleHealthWellFoodLoveTravelStyleFashionT MagazineYour MoneyPersonal TechReal EstateColumnsModern LoveThe HuntSocial Q’sThe Ethi"&amp;"cistWellEatMoveMindFamilyLiveAsk WellNewslettersOpen ThreadThe latest news on what we wear by our chief fashion critic.Love LetterReal stories of relationship highs lows and woes.See all newslettersPodcastsModern LoveThe complicated love lives of real peo"&amp;"ple.See all podcastsOpinionSectionsOpinionGuest EssaysEditorialsOp-DocsVideosLettersTopicsPoliticsWorldBusinessTechClimateHealthCultureColumnistsCharles M. BlowJamelle BouieDavid BrooksGail CollinsRoss DouthatMaureen DowdDavid FrenchThomas L. FriedmanMich"&amp;"elle GoldbergEzra KleinNicholas KristofPaul KrugmanCarlos LozadaFarhad ManjooTressie McMillan CottomPamela PaulLydia PolgreenBret StephensZeynep TufekciPodcastsMatter of OpinionThoughts aloud. With Michelle Cottle Ross Douthat Carlos Lozada and Lydia Polg"&amp;"reen.The Ezra Klein ShowDiscussions of ideas that matter plus book recommendations.See all podcastsAudioAudioPodcasts and narrated articles covering news tech culture and more.Download the Audio app on iOS.ListenThe HeadlinesThe DailyHard ForkThe Ezra Kle"&amp;"in ShowMatter of OpinionSerial ProductionsThe Book Review PodcastModern LoveThe Run-UpPopcastReporter ReadsThe Sunday ReadSee all audioFeaturedThe HeadlinesYour morning listen. Top stories in 10 minutes.The Kids of Rutherford CountyA series about how one "&amp;"county illegally jailed children.Reporter ReadsRecent articles read by the reporters behind them.NewslettersAudioOur editors share their favorite listens from the New York Times Audio app.See all newslettersAudio is included in an All Access subscription."&amp;" Learn more.GamesGamesWord games logic puzzles and crosswords including an extensive archive.PlaySpelling BeeThe Mini CrosswordWordleThe CrosswordVertexConnectionsSudokuLetter BoxedTilesCommunitySpelling Bee ForumWordplay ColumnWordle ReviewSubmit a Cross"&amp;"wordMeet Our Crossword ConstructorsMini to MaestroWordlebotNewslettersGameplayPuzzles brain teasers solving tips and more.See all newslettersGames is included in an All Access subscription. Learn more.CookingCookingRecipes advice and inspiration for every"&amp;"day cooking special occasions and more.RecipesEasyDinnerQuickHealthyBreakfastVegetarianVeganChickenPastaDessertEditors' PicksThanksgiving RecipesEasy WeeknightNewest RecipesOne-Pot MealsSlow Cooker RecipesComfort FoodParty RecipesNewslettersThe Cooking Ne"&amp;"wsletterCulinary inspiration from Sam Sifton and Melissa Clark.The VeggieDelicious vegetarian recipes and tips from Tanya Sichynsky.Five Weeknight DishesDinner ideas for busy people from Emily Weinstein.See all newslettersCooking is included in an All Acc"&amp;"ess subscription. Learn more.WirecutterWirecutterReviews and recommendations for thousands of products.ReviewsKitchenTechSleepAppliancesHome and GardenMovingTravelGiftsDealsBaby and KidHealth and FitnessThe Best...Air PurifierElectric ToothbrushPressure W"&amp;"asherCordless Stick VacuumOffice ChairRobot VacuumNewslettersThe RecommendationThe best independent reviews expert advice and intensively researched deals.Clean EverythingStep-by-step advice on how to keep everything in your home squeaky clean.See all new"&amp;"slettersWirecutter is included in an All Access subscription. Learn more.The AthleticThe AthleticPersonalized coverage of your sports teams and leagues.LeaguesNFLMLBNBAPremier LeagueNCAAFNCAAMNHLNCAAWMLSFormula 1NWSLGolfNewslettersThe PulseDelivering the "&amp;"top stories in sports Sunday to Friday.The WindupThe biggest stories in baseball by Levi Weaver with Ken Rosenthal.The BounceEssential NBA news from Zach Harper and Shams Charania.Full TimeThe biggest women's soccer stories from Emily Olsen Meg Linehan &amp; "&amp;"Steph YangThe Athletic is included in an All Access subscription. Learn more.U.S.SectionsU.S.PoliticsNew YorkCaliforniaEducationHealthObituariesScienceClimateSportsBusinessTechThe UpshotThe MagazineU.S. Politics2024 ElectionsSupreme CourtCongressBiden Adm"&amp;"inistrationNewslettersThe MorningMake sense of the day’s news and ideas.The UpshotAnalysis that explains politics policy and everyday life.See all newslettersPodcastsThe DailyThe biggest stories of our time in 20 minutes a day.The Run-UpOn the campaign tr"&amp;"ail with Astead Herndon.See all podcastsWorldSectionsWorldAfricaAmericasAsiaAustraliaCanadaEuropeMiddle EastScienceClimateHealthObituariesNewslettersMorning Briefing: EuropeGet what you need to know to start your day.The InterpreterOriginal analysis on th"&amp;"e week’s biggest global stories.Australia LetterNews features and opinion for readers in the region.Canada LetterBackstories and analysis from our Canadian correspondents.See all newslettersBusinessSectionsBusinessTechEconomyMediaFinance and MarketsDealBo"&amp;"okPersonal TechEnergy TransitionYour MoneyNewslettersDealBookThe most crucial business and policy news you need to know.See all newslettersPodcastsHard ForkOur tech journalists help you make sense of the rapidly changing tech world.See all podcastsArtsSec"&amp;"tionsArtsBooksBest SellersDanceMoviesMusicTelevisionTheaterPop CultureT MagazineVisual ArtsRecommendationsCritic’s PicksWhat to ReadWhat to WatchWhat to Listen To5 Minutes to Make You Love MusicNewslettersRead Like the WindBook recommendations from our cr"&amp;"itics.WatchingStreaming TV and movie recommendations.See all newslettersPodcastsBook ReviewThe podcast that takes you inside the literary world.PopcastPop music news new songs and albums and artists of note.See all podcastsLifestyleSectionsLifestyleHealth"&amp;"WellFoodLoveTravelStyleFashionT MagazineYour MoneyPersonal TechReal EstateColumnsModern LoveThe HuntSocial Q’sThe EthicistWellEatMoveMindFamilyLiveAsk WellNewslettersOpen ThreadThe latest news on what we wear by our chief fashion critic.Love LetterReal st"&amp;"ories of relationship highs lows and woes.See all newslettersPodcastsModern LoveThe complicated love lives of real people.See all podcastsOpinionSectionsOpinionGuest EssaysEditorialsOp-DocsVideosLettersTopicsPoliticsWorldBusinessTechClimateHealthCultureCo"&amp;"lumnistsCharles M. BlowJamelle BouieDavid BrooksGail CollinsRoss DouthatMaureen DowdDavid FrenchThomas L. FriedmanMichelle GoldbergEzra KleinNicholas KristofPaul KrugmanCarlos LozadaFarhad ManjooTressie McMillan CottomPamela PaulLydia PolgreenBret Stephen"&amp;"sZeynep TufekciPodcastsMatter of OpinionThoughts aloud. With Michelle Cottle Ross Douthat Carlos Lozada and Lydia Polgreen.The Ezra Klein ShowDiscussions of ideas that matter plus book recommendations.See all podcastsAudioAudioPodcasts and narrated articl"&amp;"es covering news tech culture and more.Download the Audio app on iOS.ListenThe HeadlinesThe DailyHard ForkThe Ezra Klein ShowMatter of OpinionSerial ProductionsThe Book Review PodcastModern LoveThe Run-UpPopcastReporter ReadsThe Sunday ReadSee all audioFe"&amp;"aturedThe HeadlinesYour morning listen. Top stories in 10 minutes.The Kids of Rutherford CountyA series about how one county illegally jailed children.Reporter ReadsRecent articles read by the reporters behind them.NewslettersAudioOur editors share their "&amp;"favorite listens from the New York Times Audio app.See all newslettersAudio is included in an All Access subscription. Learn more.GamesGamesWord games logic puzzles and crosswords including an extensive archive.PlaySpelling BeeThe Mini CrosswordWordleThe "&amp;"CrosswordVertexConnectionsSudokuLetter BoxedTilesCommunitySpelling Bee ForumWordplay ColumnWordle ReviewSubmit a CrosswordMeet Our Crossword ConstructorsMini to MaestroWordlebotNewslettersGameplayPuzzles brain teasers solving tips and more.See all newslet"&amp;"tersGames is included in an All Access subscription. Learn more.CookingCookingRecipes advice and inspiration for everyday cooking special occasions and more.RecipesEasyDinnerQuickHealthyBreakfastVegetarianVeganChickenPastaDessertEditors' PicksThanksgiving"&amp;" RecipesEasy WeeknightNewest RecipesOne-Pot MealsSlow Cooker RecipesComfort FoodParty RecipesNewslettersThe Cooking NewsletterCulinary inspiration from Sam Sifton and Melissa Clark.The VeggieDelicious vegetarian recipes and tips from Tanya Sichynsky.Five "&amp;"Weeknight DishesDinner ideas for busy people from Emily Weinstein.See all newslettersCooking is included in an All Access subscription. Learn more.WirecutterWirecutterReviews and recommendations for thousands of products.ReviewsKitchenTechSleepAppliancesH"&amp;"ome and GardenMovingTravelGiftsDealsBaby and KidHealth and FitnessThe Best...Air PurifierElectric ToothbrushPressure WasherCordless Stick VacuumOffice ChairRobot VacuumNewslettersThe RecommendationThe best independent reviews expert advice and intensively"&amp;" researched deals.Clean EverythingStep-by-step advice on how to keep everything in your home squeaky clean.See all newslettersWirecutter is included in an All Access subscription. Learn more.The AthleticThe AthleticPersonalized coverage of your sports tea"&amp;"ms and leagues.LeaguesNFLMLBNBAPremier LeagueNCAAFNCAAMNHLNCAAWMLSFormula 1NWSLGolfNewslettersThe PulseDelivering the top stories in sports Sunday to Friday.The WindupThe biggest stories in baseball by Levi Weaver with Ken Rosenthal.The BounceEssential NB"&amp;"A news from Zach Harper and Shams Charania.Full TimeThe biggest women's soccer stories from Emily Olsen Meg Linehan &amp; Steph YangThe Athletic is included in an All Access subscription. Learn more.Giant Camps and Mass Deportations: Inside Trump’s 2025 Immig"&amp;"ration PlansIf he regains power Donald Trump wants not only to revive some of the immigration policies criticized during his presidency but expand and toughen them.11 min readTrump Takes Veterans Day Speech in a Very Different DirectionDonald Trump said t"&amp;"hat threats from abroad were less concerning than liberal “threats from within” and that he was a “very proud election denier.”4 min readDonald Trump asked for his federal election trial to be televised but the request faces an uphill battle.2 min readDou"&amp;"g Mills/The New York TimesIsrael-Hamas WarWhat We KnowMapsPhotosLaws of War ExplainedHamas HostagesLIVENov. 11 2023 10:02 p.m. ETGaza’s Largest Hospital Says It Is Struggling to Keep Patients AliveAl-Shifa which has lost power and other Gaza City hospital"&amp;"s have been increasingly under siege as Israel tries to take out Hamas. Iran and Saudi Arabia Regional Rivals Call for Gaza Cease-FireThe leaders of both countries appeared to put aside their historical animosities at a summit to present a united stand ag"&amp;"ainst Israel’s bombardment of Gaza.5 min readAl-Shifa and some other Gaza hospitals have come increasingly under Israeli siege over the past few days with hundreds of seriously ill and wounded patients and displaced people stranded on the grounds.Khader A"&amp;"l Zanoun/Agence France-Presse — Getty ImagesIsrael’s military said this week that its troops had encircled Gaza City effectively splitting the Gaza Strip in half.Abed Khaled/Associated PressResidents displaced from Gaza City arriving in Khan Younis on Fri"&amp;"day. Samar Abu Elouf for The New York TimesIn just the past week an estimated 50000 to 80000 residents have fled south by foot according to UNRWA the U.N. agency that helps Palestinians.Haitham Imad/EPA via ShutterstockPalestinians mourned their relatives"&amp;" outside the morgue at a hospital in Khan Younis on Saturday. Thousands have died in weeks of heavy Israeli bombardment.Yousef Masoud for The New York TimesAn Israeli tank maneuvering in Gaza on Saturday. Leaders in Europe as well as the United States are"&amp;" increasingly questioning Israel’s military response to the Oct. 7 attacks and calling for a cease-fire to save civilian lives.Evelyn Hockstein/ReutersIsraelis lit candles in Tel Aviv to mark one month since the Oct. 7 attacks this week. Israeli health of"&amp;"ficials say they have struggled to identify many Israelis and foreigners who were killed in the attacks.Avishag Shaar-Yashuv for The New York TimesProviding Decent Burials for Soviet Soldiers Who Died in World War IIA Russian man searches for the remains "&amp;"of soldiers left on the battlefield almost 80 years ago. Then he had to bury his own son who fought in Ukraine.5 min readUkraine said that it had shot down a Russian missile hurtling toward Kyiv the first such attack on the city in weeks.3 min readNanna H"&amp;"eitmann for The New York TimesBehind the Gates of a Private World for Only the Wealthiest New YorkersAlthough everyday life has become increasingly unaffordable for almost everyone a new class of private members-only and concierge services is emerging.6 m"&amp;"in readEugene Gologursky/Getty Images for Haute LivingMike Johnson Pitches Bill to Avert Government ShutdownThe measure which faces an uncertain fate would extend funding for some agencies through late January. It omits funding for Ukraine or Israel.4 min"&amp;" readKenny Holston/The New York TimesTexas Bishop Loudly Critical of Pope Francis Is RemovedThe rare move by Francis was a measure of his frustration with ultraconservatives in the U.S. and of Bishop Joseph Strickland’s criticism of the pope.5 min readKir"&amp;"by Lee/USA Today Sports via ReutersHe’s Gone From Miami to Celebrity to Upending Greek PoliticsThe rapid ascent of Stefanos Kasselakis a former Goldman Sachs trader and Greece’s first openly gay party leader has gripped the nation.5 min readGiannis Papani"&amp;"kos/ZUMA via AlamyTropical Birds Took Over This European Capital Bringing a ‘Splash of Color’After a group of parakeets were released from a zoo in Brussels in the 1970s their numbers soared. A population increase has also occurred across Europe.4 min rea"&amp;"dMax Pinckers for The New York TimesMax Pinckers for The New York TimesMax Pinckers for The New York TimesMax Pinckers for The New York TimesMax Pinckers for The New York TimesMax Pinckers for The New York TimesThe Only People Who Understand What a Caregi"&amp;"ver Goes ThroughMentoring programs bring together those just starting to care for family members with dementia and those who have been coping for some time.5 min readCaroline Gutman for The New York TimesThe WeekenderA Beginner’s Guide to Looking at the U"&amp;"niverseAlso in this edition: Americans head for the drive-through and Barbra Streisand tells all.2 min readDid you follow the news this week? Take our quiz.Play Flashback your weekly history quiz.Ryan Pfluger for The New York Times NASA Nate Ryan for The "&amp;"New York TimesWhat to Watch and Read This WeekendOpinionCarlos LozadaA Trump-Biden Rematch Is the Election We Need5 min readAnna Louie SussmanWhy Aren’t More People Getting Married? Ask Women What Dating Is Like.7 min readNina BurleighIvanka Trump Witness"&amp;" for the Prosecution6 min readSerge SchmemannViolence by West Bank Settlers Cannot Be Ignored5 min readNicholas Kristof‘We Cannot Kill Our Way Out of This Endeavor’5 min readAngelina Kariakina and Zhenya OliinykHer Husband Left to Get Diapers. When He Got"&amp;" Back the Hospital Was Gone.Zhenya OliinykRoss DouthatShould Joe Manchin Run for President?4 min readLucinda RogersDrawings of a City Divided: New York Reacts to the Israel-Hamas War5 min readLetters From Our ReadersTough Decisions About Dementia and End-"&amp;"of-Life Care5 min readOmer BartovWhat I Believe as a Historian of Genocide6 min readTom BonierThis Is the Winning Issue for Biden in 20245 min readEmily YoshidaSofia Coppola and All the Sad Girls8 min readBret StephensIn Israel There Is Grief and There Is"&amp;" Fury. Beneath the Fury Fear.13 min readDavid BrooksDemocrats: You Can Chill Out Now!5 min readThe Ezra Klein ShowAudioWhat Israelis Fear the World Does Not Understand67 min listenJamelle BouieThe G.O.P’s Culture War Shtick Is Wearing Thin With Voters4 mi"&amp;"n readIn Case You Missed ItTop picks from The Times recommended for youAdvertisementSKIP ADVERTISEMENTMore NewsBREAKINGRapinoe Exits Final Career Game Early With an Apparent Leg InjuryMegan Rapinoe’s final game came to an early heartbreaking close only tw"&amp;"o minutes and 25 seconds into the N.W.S.L. Championship match.From The AthleticA Pond in Hawaii Turned Pink Raising an Environmental Red FlagDry conditions and high salt levels in the water allowed for halobacteria to thrive turning a pond bubble-gum pink"&amp;".2 min readRobyn Beck/Getty ImagesKaren Davis Who Battled for the Rights of Birds Dies at 79A fierce campaigner Ms. Davis expanded the reach of the animal rights movement by advocating for chickens turkeys and other farmyard fowl.4 min readSam Bankman-Fri"&amp;"ed Could Get 100 Years in Prison. What Is Fair?The founder of the failed FTX cryptocurrency exchange was found guilty of seven counts of fraud and conspiracy.7 min readCookingRecipes and guidesAdvertisementSKIP ADVERTISEMENTFine ArtsMatisse and Derain: Th"&amp;"e Audacious ‘Wild Beasts’ of FauvismThe leaders of a short-lived but consequential art movement that flourished in the early 20th century take center stage at the Met Museum.6 min readArtists Rights Society (ARS) New York/ADAGP Paris; via Galerie Philippe"&amp;" David ZurichDawoud Bey Full Frame: On Richmond’s Trail of the EnslavedIn haunting studies of Black American history a photographer lets the land do the talking.7 min readInside Shary Boyle’s Head-Spinning Palace of WondersThe artist creates a fun house o"&amp;"f a show at the Museum of Arts and Design that explores identity.4 min readSwiss Museum in Financial Straits Sells Three Cézannes for $53 MillionMuseum Langmatt said the sales were necessary to keep its doors open.2 min readThe AthleticSports coverageWell"&amp;"AdvertisementSKIP ADVERTISEMENTWirecutterProduct recommendationsGamesDaily puzzlesWordleGuess the 5-letter word with 6 chances.Connections CompanionIn case you need some puzzle help.ConnectionsGroup words that share a common thread.Spelling BeeSubscribers"&amp;" can now play puzzles from previous days.The CrosswordGet clued in with wordplay every day.Letter BoxedCreate words using letters around the square.AdvertisementSKIP ADVERTISEMENTSite IndexSite Information Navigation© 2023 The New York Times CompanyNYTCoC"&amp;"ontact UsAccessibilityWork with usAdvertiseT Brand StudioYour Ad ChoicesPrivacy PolicyTerms of ServiceTerms of SaleSite MapCanadaInternationalHelpSubscriptions")</f>
        <v>The New York Times - Breaking News US News World News and Videos  Skip to contentSkip to site indexSKIP ADVERTISEMENTSearch &amp; Section NavigationSection NavigationSEARCHU.S.InternationalCanadaEspañol中文 Today’s PaperU.S.SectionsU.S.PoliticsNew YorkCaliforniaEducationHealthObituariesScienceClimateSportsBusinessTechThe UpshotThe MagazineU.S. Politics2024 ElectionsSupreme CourtCongressBiden AdministrationNewslettersThe MorningMake sense of the day’s news and ideas.The UpshotAnalysis that explains politics policy and everyday life.See all newslettersPodcastsThe DailyThe biggest stories of our time in 20 minutes a day.The Run-UpOn the campaign trail with Astead Herndon.See all podcastsWorldSectionsWorldAfricaAmericasAsiaAustraliaCanadaEuropeMiddle EastScienceClimateHealthObituariesNewslettersMorning Briefing: EuropeGet what you need to know to start your day.The InterpreterOriginal analysis on the week’s biggest global stories.Australia LetterNews features and opinion for readers in the region.Canada LetterBackstories and analysis from our Canadian correspondents.See all newslettersBusinessSectionsBusinessTechEconomyMediaFinance and MarketsDealBookPersonal TechEnergy TransitionYour MoneyNewslettersDealBookThe most crucial business and policy news you need to know.See all newslettersPodcastsHard ForkOur tech journalists help you make sense of the rapidly changing tech world.See all podcastsArtsSectionsArtsBooksBest SellersDanceMoviesMusicTelevisionTheaterPop CultureT MagazineVisual ArtsRecommendationsCritic’s PicksWhat to ReadWhat to WatchWhat to Listen To5 Minutes to Make You Love MusicNewslettersRead Like the WindBook recommendations from our critics.WatchingStreaming TV and movie recommendations.See all newslettersPodcastsBook ReviewThe podcast that takes you inside the literary world.PopcastPop music news new songs and albums and artists of note.See all podcastsLifestyleSectionsLifestyleHealthWellFoodLoveTravelStyleFashionT MagazineYour MoneyPersonal TechReal EstateColumnsModern LoveThe HuntSocial Q’sThe EthicistWellEatMoveMindFamilyLiveAsk WellNewslettersOpen ThreadThe latest news on what we wear by our chief fashion critic.Love LetterReal stories of relationship highs lows and woes.See all newslettersPodcastsModern LoveThe complicated love lives of real people.See all podcastsOpinionSectionsOpinionGuest EssaysEditorialsOp-DocsVideosLettersTopicsPoliticsWorldBusinessTechClimateHealthCultureColumnistsCharles M. BlowJamelle BouieDavid BrooksGail CollinsRoss DouthatMaureen DowdDavid FrenchThomas L. FriedmanMichelle GoldbergEzra KleinNicholas KristofPaul KrugmanCarlos LozadaFarhad ManjooTressie McMillan CottomPamela PaulLydia PolgreenBret StephensZeynep TufekciPodcastsMatter of OpinionThoughts aloud. With Michelle Cottle Ross Douthat Carlos Lozada and Lydia Polgreen.The Ezra Klein ShowDiscussions of ideas that matter plus book recommendations.See all podcastsAudioAudioPodcasts and narrated articles covering news tech culture and more.Download the Audio app on iOS.ListenThe HeadlinesThe DailyHard ForkThe Ezra Klein ShowMatter of OpinionSerial ProductionsThe Book Review PodcastModern LoveThe Run-UpPopcastReporter ReadsThe Sunday ReadSee all audioFeaturedThe HeadlinesYour morning listen. Top stories in 10 minutes.The Kids of Rutherford CountyA series about how one county illegally jailed children.Reporter ReadsRecent articles read by the reporters behind them.NewslettersAudioOur editors share their favorite listens from the New York Times Audio app.See all newslettersAudio is included in an All Access subscription. Learn more.GamesGamesWord games logic puzzles and crosswords including an extensive archive.PlaySpelling BeeThe Mini CrosswordWordleThe CrosswordVertexConnectionsSudokuLetter BoxedTilesCommunitySpelling Bee ForumWordplay ColumnWordle ReviewSubmit a CrosswordMeet Our Crossword ConstructorsMini to MaestroWordlebotNewslettersGameplayPuzzles brain teasers solving tips and more.See all newslettersGames is included in an All Access subscription. Learn more.CookingCookingRecipes advice and inspiration for everyday cooking special occasions and more.RecipesEasyDinnerQuickHealthyBreakfastVegetarianVeganChickenPastaDessertEditors' PicksThanksgiving RecipesEasy WeeknightNewest RecipesOne-Pot MealsSlow Cooker RecipesComfort FoodParty RecipesNewslettersThe Cooking NewsletterCulinary inspiration from Sam Sifton and Melissa Clark.The VeggieDelicious vegetarian recipes and tips from Tanya Sichynsky.Five Weeknight DishesDinner ideas for busy people from Emily Weinstein.See all newslettersCooking is included in an All Access subscription. Learn more.WirecutterWirecutterReviews and recommendations for thousands of products.ReviewsKitchenTechSleepAppliancesHome and GardenMovingTravelGiftsDealsBaby and KidHealth and FitnessThe Best...Air PurifierElectric ToothbrushPressure WasherCordless Stick VacuumOffice ChairRobot VacuumNewslettersThe RecommendationThe best independent reviews expert advice and intensively researched deals.Clean EverythingStep-by-step advice on how to keep everything in your home squeaky clean.See all newslettersWirecutter is included in an All Access subscription. Learn more.The AthleticThe AthleticPersonalized coverage of your sports teams and leagues.LeaguesNFLMLBNBAPremier LeagueNCAAFNCAAMNHLNCAAWMLSFormula 1NWSLGolfNewslettersThe PulseDelivering the top stories in sports Sunday to Friday.The WindupThe biggest stories in baseball by Levi Weaver with Ken Rosenthal.The BounceEssential NBA news from Zach Harper and Shams Charania.Full TimeThe biggest women's soccer stories from Emily Olsen Meg Linehan &amp; Steph YangThe Athletic is included in an All Access subscription. Learn more.U.S.SectionsU.S.PoliticsNew YorkCaliforniaEducationHealthObituariesScienceClimateSportsBusinessTechThe UpshotThe MagazineU.S. Politics2024 ElectionsSupreme CourtCongressBiden AdministrationNewslettersThe MorningMake sense of the day’s news and ideas.The UpshotAnalysis that explains politics policy and everyday life.See all newslettersPodcastsThe DailyThe biggest stories of our time in 20 minutes a day.The Run-UpOn the campaign trail with Astead Herndon.See all podcastsWorldSectionsWorldAfricaAmericasAsiaAustraliaCanadaEuropeMiddle EastScienceClimateHealthObituariesNewslettersMorning Briefing: EuropeGet what you need to know to start your day.The InterpreterOriginal analysis on the week’s biggest global stories.Australia LetterNews features and opinion for readers in the region.Canada LetterBackstories and analysis from our Canadian correspondents.See all newslettersBusinessSectionsBusinessTechEconomyMediaFinance and MarketsDealBookPersonal TechEnergy TransitionYour MoneyNewslettersDealBookThe most crucial business and policy news you need to know.See all newslettersPodcastsHard ForkOur tech journalists help you make sense of the rapidly changing tech world.See all podcastsArtsSectionsArtsBooksBest SellersDanceMoviesMusicTelevisionTheaterPop CultureT MagazineVisual ArtsRecommendationsCritic’s PicksWhat to ReadWhat to WatchWhat to Listen To5 Minutes to Make You Love MusicNewslettersRead Like the WindBook recommendations from our critics.WatchingStreaming TV and movie recommendations.See all newslettersPodcastsBook ReviewThe podcast that takes you inside the literary world.PopcastPop music news new songs and albums and artists of note.See all podcastsLifestyleSectionsLifestyleHealthWellFoodLoveTravelStyleFashionT MagazineYour MoneyPersonal TechReal EstateColumnsModern LoveThe HuntSocial Q’sThe EthicistWellEatMoveMindFamilyLiveAsk WellNewslettersOpen ThreadThe latest news on what we wear by our chief fashion critic.Love LetterReal stories of relationship highs lows and woes.See all newslettersPodcastsModern LoveThe complicated love lives of real people.See all podcastsOpinionSectionsOpinionGuest EssaysEditorialsOp-DocsVideosLettersTopicsPoliticsWorldBusinessTechClimateHealthCultureColumnistsCharles M. BlowJamelle BouieDavid BrooksGail CollinsRoss DouthatMaureen DowdDavid FrenchThomas L. FriedmanMichelle GoldbergEzra KleinNicholas KristofPaul KrugmanCarlos LozadaFarhad ManjooTressie McMillan CottomPamela PaulLydia PolgreenBret StephensZeynep TufekciPodcastsMatter of OpinionThoughts aloud. With Michelle Cottle Ross Douthat Carlos Lozada and Lydia Polgreen.The Ezra Klein ShowDiscussions of ideas that matter plus book recommendations.See all podcastsAudioAudioPodcasts and narrated articles covering news tech culture and more.Download the Audio app on iOS.ListenThe HeadlinesThe DailyHard ForkThe Ezra Klein ShowMatter of OpinionSerial ProductionsThe Book Review PodcastModern LoveThe Run-UpPopcastReporter ReadsThe Sunday ReadSee all audioFeaturedThe HeadlinesYour morning listen. Top stories in 10 minutes.The Kids of Rutherford CountyA series about how one county illegally jailed children.Reporter ReadsRecent articles read by the reporters behind them.NewslettersAudioOur editors share their favorite listens from the New York Times Audio app.See all newslettersAudio is included in an All Access subscription. Learn more.GamesGamesWord games logic puzzles and crosswords including an extensive archive.PlaySpelling BeeThe Mini CrosswordWordleThe CrosswordVertexConnectionsSudokuLetter BoxedTilesCommunitySpelling Bee ForumWordplay ColumnWordle ReviewSubmit a CrosswordMeet Our Crossword ConstructorsMini to MaestroWordlebotNewslettersGameplayPuzzles brain teasers solving tips and more.See all newslettersGames is included in an All Access subscription. Learn more.CookingCookingRecipes advice and inspiration for everyday cooking special occasions and more.RecipesEasyDinnerQuickHealthyBreakfastVegetarianVeganChickenPastaDessertEditors' PicksThanksgiving RecipesEasy WeeknightNewest RecipesOne-Pot MealsSlow Cooker RecipesComfort FoodParty RecipesNewslettersThe Cooking NewsletterCulinary inspiration from Sam Sifton and Melissa Clark.The VeggieDelicious vegetarian recipes and tips from Tanya Sichynsky.Five Weeknight DishesDinner ideas for busy people from Emily Weinstein.See all newslettersCooking is included in an All Access subscription. Learn more.WirecutterWirecutterReviews and recommendations for thousands of products.ReviewsKitchenTechSleepAppliancesHome and GardenMovingTravelGiftsDealsBaby and KidHealth and FitnessThe Best...Air PurifierElectric ToothbrushPressure WasherCordless Stick VacuumOffice ChairRobot VacuumNewslettersThe RecommendationThe best independent reviews expert advice and intensively researched deals.Clean EverythingStep-by-step advice on how to keep everything in your home squeaky clean.See all newslettersWirecutter is included in an All Access subscription. Learn more.The AthleticThe AthleticPersonalized coverage of your sports teams and leagues.LeaguesNFLMLBNBAPremier LeagueNCAAFNCAAMNHLNCAAWMLSFormula 1NWSLGolfNewslettersThe PulseDelivering the top stories in sports Sunday to Friday.The WindupThe biggest stories in baseball by Levi Weaver with Ken Rosenthal.The BounceEssential NBA news from Zach Harper and Shams Charania.Full TimeThe biggest women's soccer stories from Emily Olsen Meg Linehan &amp; Steph YangThe Athletic is included in an All Access subscription. Learn more.Giant Camps and Mass Deportations: Inside Trump’s 2025 Immigration PlansIf he regains power Donald Trump wants not only to revive some of the immigration policies criticized during his presidency but expand and toughen them.11 min readTrump Takes Veterans Day Speech in a Very Different DirectionDonald Trump said that threats from abroad were less concerning than liberal “threats from within” and that he was a “very proud election denier.”4 min readDonald Trump asked for his federal election trial to be televised but the request faces an uphill battle.2 min readDoug Mills/The New York TimesIsrael-Hamas WarWhat We KnowMapsPhotosLaws of War ExplainedHamas HostagesLIVENov. 11 2023 10:02 p.m. ETGaza’s Largest Hospital Says It Is Struggling to Keep Patients AliveAl-Shifa which has lost power and other Gaza City hospitals have been increasingly under siege as Israel tries to take out Hamas. Iran and Saudi Arabia Regional Rivals Call for Gaza Cease-FireThe leaders of both countries appeared to put aside their historical animosities at a summit to present a united stand against Israel’s bombardment of Gaza.5 min readAl-Shifa and some other Gaza hospitals have come increasingly under Israeli siege over the past few days with hundreds of seriously ill and wounded patients and displaced people stranded on the grounds.Khader Al Zanoun/Agence France-Presse — Getty ImagesIsrael’s military said this week that its troops had encircled Gaza City effectively splitting the Gaza Strip in half.Abed Khaled/Associated PressResidents displaced from Gaza City arriving in Khan Younis on Friday. Samar Abu Elouf for The New York TimesIn just the past week an estimated 50000 to 80000 residents have fled south by foot according to UNRWA the U.N. agency that helps Palestinians.Haitham Imad/EPA via ShutterstockPalestinians mourned their relatives outside the morgue at a hospital in Khan Younis on Saturday. Thousands have died in weeks of heavy Israeli bombardment.Yousef Masoud for The New York TimesAn Israeli tank maneuvering in Gaza on Saturday. Leaders in Europe as well as the United States are increasingly questioning Israel’s military response to the Oct. 7 attacks and calling for a cease-fire to save civilian lives.Evelyn Hockstein/ReutersIsraelis lit candles in Tel Aviv to mark one month since the Oct. 7 attacks this week. Israeli health officials say they have struggled to identify many Israelis and foreigners who were killed in the attacks.Avishag Shaar-Yashuv for The New York TimesProviding Decent Burials for Soviet Soldiers Who Died in World War IIA Russian man searches for the remains of soldiers left on the battlefield almost 80 years ago. Then he had to bury his own son who fought in Ukraine.5 min readUkraine said that it had shot down a Russian missile hurtling toward Kyiv the first such attack on the city in weeks.3 min readNanna Heitmann for The New York TimesBehind the Gates of a Private World for Only the Wealthiest New YorkersAlthough everyday life has become increasingly unaffordable for almost everyone a new class of private members-only and concierge services is emerging.6 min readEugene Gologursky/Getty Images for Haute LivingMike Johnson Pitches Bill to Avert Government ShutdownThe measure which faces an uncertain fate would extend funding for some agencies through late January. It omits funding for Ukraine or Israel.4 min readKenny Holston/The New York TimesTexas Bishop Loudly Critical of Pope Francis Is RemovedThe rare move by Francis was a measure of his frustration with ultraconservatives in the U.S. and of Bishop Joseph Strickland’s criticism of the pope.5 min readKirby Lee/USA Today Sports via ReutersHe’s Gone From Miami to Celebrity to Upending Greek PoliticsThe rapid ascent of Stefanos Kasselakis a former Goldman Sachs trader and Greece’s first openly gay party leader has gripped the nation.5 min readGiannis Papanikos/ZUMA via AlamyTropical Birds Took Over This European Capital Bringing a ‘Splash of Color’After a group of parakeets were released from a zoo in Brussels in the 1970s their numbers soared. A population increase has also occurred across Europe.4 min readMax Pinckers for The New York TimesMax Pinckers for The New York TimesMax Pinckers for The New York TimesMax Pinckers for The New York TimesMax Pinckers for The New York TimesMax Pinckers for The New York TimesThe Only People Who Understand What a Caregiver Goes ThroughMentoring programs bring together those just starting to care for family members with dementia and those who have been coping for some time.5 min readCaroline Gutman for The New York TimesThe WeekenderA Beginner’s Guide to Looking at the UniverseAlso in this edition: Americans head for the drive-through and Barbra Streisand tells all.2 min readDid you follow the news this week? Take our quiz.Play Flashback your weekly history quiz.Ryan Pfluger for The New York Times NASA Nate Ryan for The New York TimesWhat to Watch and Read This WeekendOpinionCarlos LozadaA Trump-Biden Rematch Is the Election We Need5 min readAnna Louie SussmanWhy Aren’t More People Getting Married? Ask Women What Dating Is Like.7 min readNina BurleighIvanka Trump Witness for the Prosecution6 min readSerge SchmemannViolence by West Bank Settlers Cannot Be Ignored5 min readNicholas Kristof‘We Cannot Kill Our Way Out of This Endeavor’5 min readAngelina Kariakina and Zhenya OliinykHer Husband Left to Get Diapers. When He Got Back the Hospital Was Gone.Zhenya OliinykRoss DouthatShould Joe Manchin Run for President?4 min readLucinda RogersDrawings of a City Divided: New York Reacts to the Israel-Hamas War5 min readLetters From Our ReadersTough Decisions About Dementia and End-of-Life Care5 min readOmer BartovWhat I Believe as a Historian of Genocide6 min readTom BonierThis Is the Winning Issue for Biden in 20245 min readEmily YoshidaSofia Coppola and All the Sad Girls8 min readBret StephensIn Israel There Is Grief and There Is Fury. Beneath the Fury Fear.13 min readDavid BrooksDemocrats: You Can Chill Out Now!5 min readThe Ezra Klein ShowAudioWhat Israelis Fear the World Does Not Understand67 min listenJamelle BouieThe G.O.P’s Culture War Shtick Is Wearing Thin With Voters4 min readIn Case You Missed ItTop picks from The Times recommended for youAdvertisementSKIP ADVERTISEMENTMore NewsBREAKINGRapinoe Exits Final Career Game Early With an Apparent Leg InjuryMegan Rapinoe’s final game came to an early heartbreaking close only two minutes and 25 seconds into the N.W.S.L. Championship match.From The AthleticA Pond in Hawaii Turned Pink Raising an Environmental Red FlagDry conditions and high salt levels in the water allowed for halobacteria to thrive turning a pond bubble-gum pink.2 min readRobyn Beck/Getty ImagesKaren Davis Who Battled for the Rights of Birds Dies at 79A fierce campaigner Ms. Davis expanded the reach of the animal rights movement by advocating for chickens turkeys and other farmyard fowl.4 min readSam Bankman-Fried Could Get 100 Years in Prison. What Is Fair?The founder of the failed FTX cryptocurrency exchange was found guilty of seven counts of fraud and conspiracy.7 min readCookingRecipes and guidesAdvertisementSKIP ADVERTISEMENTFine ArtsMatisse and Derain: The Audacious ‘Wild Beasts’ of FauvismThe leaders of a short-lived but consequential art movement that flourished in the early 20th century take center stage at the Met Museum.6 min readArtists Rights Society (ARS) New York/ADAGP Paris; via Galerie Philippe David ZurichDawoud Bey Full Frame: On Richmond’s Trail of the EnslavedIn haunting studies of Black American history a photographer lets the land do the talking.7 min readInside Shary Boyle’s Head-Spinning Palace of WondersThe artist creates a fun house of a show at the Museum of Arts and Design that explores identity.4 min readSwiss Museum in Financial Straits Sells Three Cézannes for $53 MillionMuseum Langmatt said the sales were necessary to keep its doors open.2 min readThe AthleticSports coverageWellAdvertisementSKIP ADVERTISEMENTWirecutterProduct recommendationsGamesDaily puzzlesWordleGuess the 5-letter word with 6 chances.Connections CompanionIn case you need some puzzle help.ConnectionsGroup words that share a common thread.Spelling BeeSubscribers can now play puzzles from previous days.The CrosswordGet clued in with wordplay every day.Letter BoxedCreate words using letters around the square.AdvertisementSKIP ADVERTISEMENTSite IndexSite Information Navigation© 2023 The New York Times CompanyNYTCoContact UsAccessibilityWork with usAdvertiseT Brand StudioYour Ad ChoicesPrivacy PolicyTerms of ServiceTerms of SaleSite MapCanadaInternationalHelpSubscriptions</v>
      </c>
    </row>
    <row r="49">
      <c r="A49" s="1" t="s">
        <v>54</v>
      </c>
      <c r="B49" s="1" t="s">
        <v>200</v>
      </c>
      <c r="D49" s="1">
        <v>18.0</v>
      </c>
      <c r="E49" s="4" t="s">
        <v>201</v>
      </c>
      <c r="F49" s="1" t="s">
        <v>43</v>
      </c>
      <c r="G49" s="1" t="s">
        <v>202</v>
      </c>
      <c r="H49" s="4" t="s">
        <v>203</v>
      </c>
      <c r="I49" s="2">
        <v>1.0</v>
      </c>
      <c r="J49" s="5" t="str">
        <f>IFERROR(__xludf.DUMMYFUNCTION("GOOGLETRANSLATE(A49)"),"chatgpt")</f>
        <v>chatgpt</v>
      </c>
      <c r="K49" s="6" t="str">
        <f>IFERROR(__xludf.DUMMYFUNCTION("GOOGLETRANSLATE(B49)"),"ChatGPT: Everything you need to know about OpenAI's ...")</f>
        <v>ChatGPT: Everything you need to know about OpenAI's ...</v>
      </c>
      <c r="M49" s="5" t="str">
        <f>IFERROR(__xludf.DUMMYFUNCTION("GOOGLETRANSLATE(G49)"),"BBC Science Focus Magazine - science nature technology Q&amp;AsSubscribe to BBC Science Focus MagazinePrevious IssuesPodcastQ&amp;ANewsFuture techNatureSpaceHuman bodyEveryday sciencePlanet EarthNewslettersOutlawed human embryo experiments could soon be made lega"&amp;"l. Here’s whyThe UK public recently backed a move to extend the 14-day limit on embryo research. moreThe Human BodyRead moreYou’re more likely to lose weight if your doctor is optimistic study findsStethoscope? Check. Gloves? Check. Rose-tinted glasses? E"&amp;"r…moreScience newsRead moreNo you absolutely cannot drop candy into the Large Hadron Collider. Here's whyThe Large Hadron Collider accelerates protons to near the speed of light so throwing an M&amp;M down there could be catastrophic.moreEveryday scienceRead "&amp;"moreNature at its most stunning: The 19 best images from 2023’s Nature Conservancy Photography PrizeIncludes fighter jet tigers alien snakes and underwater phantoms.moreNatureRead moreWhy scientists are now racing to stop a mass plant extinctionThe race i"&amp;"s on to document and protect the world’s plant and fungi species... and everything is at stake if we lose.moreNatureRead moreThis is how many humans a T. Rex would need to eat each day to stay aliveAs an apex predator the T. rex would have needed a hefty "&amp;"supply of flesh to meet its dietary requirements.moreQ&amp;ARead moreThe maned wolf: All you need to know about the long-legged star of BBC's Planet Earth IIINot actually a wolf this incredible animal is often referred to as a 'fox on stilts'.moreNatureRead m"&amp;"oreHere's what would happen if you lit a firework in spaceWithout additional oxygen provided by Earth's atmosphere fireworks would act very strangely.moreSpaceRead moreSnake Island: The bizarre true story of Earth’s most venomous isleThe deadly golden lan"&amp;"cehead snakes living on Snake Island have fast-acting venom which cause a range of nightmarish symptoms.moreNatureRead moreA mysterious force under Antarctica is changing how its ice meltsScientists hope new autonomous drones will reveal the geological se"&amp;"crets that have lain hidden beneath Antarctica's ice for millions of years.moreScience newsRead moreTop reads71 random fun facts that will blow your mindOur collection of the best interesting trivia covers animals biology geography space and much more.mor"&amp;"eEveryday scienceRead moreHow to beat anxiety: 8 simple concrete strategies to take control of your mindWhether in the short- or long-term there are lots of different techniques that can help you deal with anxiety.moreThe Human BodyRead more44 cool gadget"&amp;"s: Our pick of the best new tech for 2023Welcome to our regularly updated curation of the coolest smartest kit money can buy.moreFuture TechnologyRead moreMore Top ReadsScience newsJupiter in opposition 2023: How to see the gas giant at its biggest and br"&amp;"ightest tonightAstronomer Pete Lawrence shares expert tips and advice on how to spot Jupiter in opposition this November. moreSpaceRead moreScientists finally work out where a starfish’s head isNew research from Stanford University sheds a light on the an"&amp;"imal’s interesting body.moreScience newsRead moreScientists discover alien planet debris buried deep under Earth’s crustLong ago an alien planet crashed into Earth – causing a collision so big the debris formed the Moon and left mysterious remnants lodged"&amp;" deep in the Earth’s mantle.moreScience newsRead moreA giant asteroid explosion didn’t kill off the dinosaurs. Dust didNew research suggests dust in Earth’s atmosphere was a leading cause of a mass extinction 66 million years ago.moreScience newsRead more"&amp;"More science newsFuture technology8 Fortnite gifts to buy for avid gamersBrowse our favourite Fortnite gifts if you want to treat a gaming-obsessed friend or relative.moreFuture TechnologyRead more10 best gifts for geeksShow the self-confessed geek in you"&amp;"r life you care with our pick of the best gifts that will bring joy to anyone's inner nerd.moreFuture TechnologyRead moreThe best Roblox gifts and merchandise in 2023We've put together our picks of the best Roblox gifts to keep fans of the game happy in t"&amp;"he real and virtual world.moreFuture TechnologyRead more8 of the best Xbox gifts for gamers in 2023Grab the perfect present with our guide to the best Xbox gifts.moreFuture TechnologyRead moreInstant Genius PodcastFrom the creators of BBC Science Focus In"&amp;"stant Genius is a bite-sized masterclass in podcast form. With each episode a different world-leading expert will help you understand the latest ideas and research in the world of science and tech. We want to make you an expert in everything.Solving the w"&amp;"orld’s plastic pollution problemHow widespread plastic pollution is – and what we can do  to finally tackle the problem.morePlanet EarthRead moreHow can we make our food more secure?Prof Tim Benton research director at Chatham House explains how our food "&amp;"sources impacts the planet.morePlanet EarthRead moreWhat mass extinctions can teach us about the future of life on EarthInside the surprising and numerous mass extinctions in our planet's history.moreInstant Genius PodcastRead moreListen to more episodesY"&amp;"our questions answeredOur team of scientists doctors and experts answer your burning questions - send yours to questions@sciencefocus.comHere's why musicians pull such weird facesThose strange expressions actually serve a purpose.moreThe Human BodyRead mo"&amp;"reWearing headphones might be helping bacteria grow in your earsSealing off the entrance to your ears can increase the population of bugs.moreThe Human BodyRead moreIs water actually wet? Scientists aren't sureWe dive into the surprisingly deep scientific"&amp;" debate.moreEveryday scienceRead moreA doctor reveals how to pick a pillow to banish back painProper spinal support when asleep can bring some relief to back pain here are some general guidelines that could help however you sleep.moreThe Human BodyRead mo"&amp;"reWorld's weirdest animals: Meet the great-eared  'goatsucker' nightjar birdThese nocturnal birds have ear-like feathery tufts on their heads excellent night vision and a call which is said to be jarring.moreNatureRead moreWhy are strawberries red?Strawbe"&amp;"rries are packed with antioxidants which may reduce the risk of certain diseases. The redder the berry the more antioxidants it has.moreNatureRead moreMore Q&amp;AsScience photo galleriesEruption Island: Inside Iceland’s explosive new surge of volcanic activi"&amp;"tyThe Reykjanes Peninsula in southwest Iceland has recently become a hotbed of volcanic activity. Why is this happening and how worried should we be?morePlanet EarthRead moreMending a broken heart – The British Heart Foundation photography competition win"&amp;"nersTake a look at some amazing images of the human heart courtesy of the British Heart Foundation's 'Reflections of Research' photography competition.moreScience newsRead moreThe 25 most jaw-dropping images from Nikon’s Small World 2023 microphotography "&amp;"contestTake a very close look at alien spiders teeny cuckoo wasps pork parasites and caffeine crystals.moreNatureRead moreIn pictures: The 3D farm technology that could change Earth's food supply foreverCould vertical farming finally provide the breakthro"&amp;"ugh to a new reliable food source to feed an ever-growing population?moreFuture TechnologyRead moreMutant chickens and microscopic bears: 10 stunning images of nature’s hidden wondersThe most iconic and technically advanced nature pictures of recent years"&amp;".moreEveryday scienceRead moreProtective parent in a dramatic dive swoops in to win Bird Photographer of the YearAll the latest winners from the annual Bird Photographer of the Year Competition.moreScience newsRead moreFacebookTwitterInstagramPinterestYou"&amp;"tubeRSSTerms &amp; ConditionsPrivacy policyCookies policyCode of conductLicensingMagazine subscriptionsContact UsManage preferencesThis website is owned and published by Our Media Ltd (an Immediate Group Company). www.ourmedia.co.uk© Our Media 2023")</f>
        <v>BBC Science Focus Magazine - science nature technology Q&amp;AsSubscribe to BBC Science Focus MagazinePrevious IssuesPodcastQ&amp;ANewsFuture techNatureSpaceHuman bodyEveryday sciencePlanet EarthNewslettersOutlawed human embryo experiments could soon be made legal. Here’s whyThe UK public recently backed a move to extend the 14-day limit on embryo research. moreThe Human BodyRead moreYou’re more likely to lose weight if your doctor is optimistic study findsStethoscope? Check. Gloves? Check. Rose-tinted glasses? Er…moreScience newsRead moreNo you absolutely cannot drop candy into the Large Hadron Collider. Here's whyThe Large Hadron Collider accelerates protons to near the speed of light so throwing an M&amp;M down there could be catastrophic.moreEveryday scienceRead moreNature at its most stunning: The 19 best images from 2023’s Nature Conservancy Photography PrizeIncludes fighter jet tigers alien snakes and underwater phantoms.moreNatureRead moreWhy scientists are now racing to stop a mass plant extinctionThe race is on to document and protect the world’s plant and fungi species... and everything is at stake if we lose.moreNatureRead moreThis is how many humans a T. Rex would need to eat each day to stay aliveAs an apex predator the T. rex would have needed a hefty supply of flesh to meet its dietary requirements.moreQ&amp;ARead moreThe maned wolf: All you need to know about the long-legged star of BBC's Planet Earth IIINot actually a wolf this incredible animal is often referred to as a 'fox on stilts'.moreNatureRead moreHere's what would happen if you lit a firework in spaceWithout additional oxygen provided by Earth's atmosphere fireworks would act very strangely.moreSpaceRead moreSnake Island: The bizarre true story of Earth’s most venomous isleThe deadly golden lancehead snakes living on Snake Island have fast-acting venom which cause a range of nightmarish symptoms.moreNatureRead moreA mysterious force under Antarctica is changing how its ice meltsScientists hope new autonomous drones will reveal the geological secrets that have lain hidden beneath Antarctica's ice for millions of years.moreScience newsRead moreTop reads71 random fun facts that will blow your mindOur collection of the best interesting trivia covers animals biology geography space and much more.moreEveryday scienceRead moreHow to beat anxiety: 8 simple concrete strategies to take control of your mindWhether in the short- or long-term there are lots of different techniques that can help you deal with anxiety.moreThe Human BodyRead more44 cool gadgets: Our pick of the best new tech for 2023Welcome to our regularly updated curation of the coolest smartest kit money can buy.moreFuture TechnologyRead moreMore Top ReadsScience newsJupiter in opposition 2023: How to see the gas giant at its biggest and brightest tonightAstronomer Pete Lawrence shares expert tips and advice on how to spot Jupiter in opposition this November. moreSpaceRead moreScientists finally work out where a starfish’s head isNew research from Stanford University sheds a light on the animal’s interesting body.moreScience newsRead moreScientists discover alien planet debris buried deep under Earth’s crustLong ago an alien planet crashed into Earth – causing a collision so big the debris formed the Moon and left mysterious remnants lodged deep in the Earth’s mantle.moreScience newsRead moreA giant asteroid explosion didn’t kill off the dinosaurs. Dust didNew research suggests dust in Earth’s atmosphere was a leading cause of a mass extinction 66 million years ago.moreScience newsRead moreMore science newsFuture technology8 Fortnite gifts to buy for avid gamersBrowse our favourite Fortnite gifts if you want to treat a gaming-obsessed friend or relative.moreFuture TechnologyRead more10 best gifts for geeksShow the self-confessed geek in your life you care with our pick of the best gifts that will bring joy to anyone's inner nerd.moreFuture TechnologyRead moreThe best Roblox gifts and merchandise in 2023We've put together our picks of the best Roblox gifts to keep fans of the game happy in the real and virtual world.moreFuture TechnologyRead more8 of the best Xbox gifts for gamers in 2023Grab the perfect present with our guide to the best Xbox gifts.moreFuture TechnologyRead moreInstant Genius PodcastFrom the creators of BBC Science Focus Instant Genius is a bite-sized masterclass in podcast form. With each episode a different world-leading expert will help you understand the latest ideas and research in the world of science and tech. We want to make you an expert in everything.Solving the world’s plastic pollution problemHow widespread plastic pollution is – and what we can do  to finally tackle the problem.morePlanet EarthRead moreHow can we make our food more secure?Prof Tim Benton research director at Chatham House explains how our food sources impacts the planet.morePlanet EarthRead moreWhat mass extinctions can teach us about the future of life on EarthInside the surprising and numerous mass extinctions in our planet's history.moreInstant Genius PodcastRead moreListen to more episodesYour questions answeredOur team of scientists doctors and experts answer your burning questions - send yours to questions@sciencefocus.comHere's why musicians pull such weird facesThose strange expressions actually serve a purpose.moreThe Human BodyRead moreWearing headphones might be helping bacteria grow in your earsSealing off the entrance to your ears can increase the population of bugs.moreThe Human BodyRead moreIs water actually wet? Scientists aren't sureWe dive into the surprisingly deep scientific debate.moreEveryday scienceRead moreA doctor reveals how to pick a pillow to banish back painProper spinal support when asleep can bring some relief to back pain here are some general guidelines that could help however you sleep.moreThe Human BodyRead moreWorld's weirdest animals: Meet the great-eared  'goatsucker' nightjar birdThese nocturnal birds have ear-like feathery tufts on their heads excellent night vision and a call which is said to be jarring.moreNatureRead moreWhy are strawberries red?Strawberries are packed with antioxidants which may reduce the risk of certain diseases. The redder the berry the more antioxidants it has.moreNatureRead moreMore Q&amp;AsScience photo galleriesEruption Island: Inside Iceland’s explosive new surge of volcanic activityThe Reykjanes Peninsula in southwest Iceland has recently become a hotbed of volcanic activity. Why is this happening and how worried should we be?morePlanet EarthRead moreMending a broken heart – The British Heart Foundation photography competition winnersTake a look at some amazing images of the human heart courtesy of the British Heart Foundation's 'Reflections of Research' photography competition.moreScience newsRead moreThe 25 most jaw-dropping images from Nikon’s Small World 2023 microphotography contestTake a very close look at alien spiders teeny cuckoo wasps pork parasites and caffeine crystals.moreNatureRead moreIn pictures: The 3D farm technology that could change Earth's food supply foreverCould vertical farming finally provide the breakthrough to a new reliable food source to feed an ever-growing population?moreFuture TechnologyRead moreMutant chickens and microscopic bears: 10 stunning images of nature’s hidden wondersThe most iconic and technically advanced nature pictures of recent years.moreEveryday scienceRead moreProtective parent in a dramatic dive swoops in to win Bird Photographer of the YearAll the latest winners from the annual Bird Photographer of the Year Competition.moreScience newsRead moreFacebookTwitterInstagramPinterestYoutubeRSSTerms &amp; ConditionsPrivacy policyCookies policyCode of conductLicensingMagazine subscriptionsContact UsManage preferencesThis website is owned and published by Our Media Ltd (an Immediate Group Company). www.ourmedia.co.uk© Our Media 2023</v>
      </c>
    </row>
    <row r="50">
      <c r="A50" s="1" t="s">
        <v>204</v>
      </c>
      <c r="B50" s="1" t="s">
        <v>205</v>
      </c>
      <c r="D50" s="1">
        <v>1.0</v>
      </c>
      <c r="E50" s="4" t="s">
        <v>206</v>
      </c>
      <c r="F50" s="1" t="s">
        <v>16</v>
      </c>
      <c r="G50" s="1" t="s">
        <v>38</v>
      </c>
      <c r="H50" s="4" t="s">
        <v>39</v>
      </c>
      <c r="I50" s="2">
        <v>0.0</v>
      </c>
      <c r="J50" s="5" t="str">
        <f>IFERROR(__xludf.DUMMYFUNCTION("GOOGLETRANSLATE(A50)"),"youtube")</f>
        <v>youtube</v>
      </c>
      <c r="K50" s="6" t="str">
        <f>IFERROR(__xludf.DUMMYFUNCTION("GOOGLETRANSLATE(B50)"),"YouTube: Home")</f>
        <v>YouTube: Home</v>
      </c>
      <c r="M50" s="5" t="str">
        <f>IFERROR(__xludf.DUMMYFUNCTION("GOOGLETRANSLATE(G50)"),"YouTubeAboutPressCopyrightContact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51">
      <c r="A51" s="1" t="s">
        <v>204</v>
      </c>
      <c r="B51" s="1" t="s">
        <v>207</v>
      </c>
      <c r="C51" s="1" t="s">
        <v>208</v>
      </c>
      <c r="D51" s="1">
        <v>2.0</v>
      </c>
      <c r="E51" s="4" t="s">
        <v>209</v>
      </c>
      <c r="F51" s="1" t="s">
        <v>16</v>
      </c>
      <c r="G51" s="1" t="s">
        <v>31</v>
      </c>
      <c r="H51" s="4" t="s">
        <v>32</v>
      </c>
      <c r="I51" s="2">
        <v>0.0</v>
      </c>
      <c r="J51" s="5" t="str">
        <f>IFERROR(__xludf.DUMMYFUNCTION("GOOGLETRANSLATE(A51)"),"youtube")</f>
        <v>youtube</v>
      </c>
      <c r="K51" s="6" t="str">
        <f>IFERROR(__xludf.DUMMYFUNCTION("GOOGLETRANSLATE(B51)"),"YouTube")</f>
        <v>YouTube</v>
      </c>
      <c r="L51" s="5" t="str">
        <f>IFERROR(__xludf.DUMMYFUNCTION("GOOGLETRANSLATE(C51)"),"YouTube (MFA: [ˈjuːt (j) uːb], “yutyub”, “yutub”, “yutub”) - a video hosting that provides users with storage, delivery and showing videos.")</f>
        <v>YouTube (MFA: [ˈjuːt (j) uːb], “yutyub”, “yutub”, “yutub”) - a video hosting that provides users with storage, delivery and showing videos.</v>
      </c>
      <c r="M51" s="5" t="str">
        <f>IFERROR(__xludf.DUMMYFUNCTION("GOOGLETRANSLATE(G51)"),"Wikipedia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52">
      <c r="A52" s="1" t="s">
        <v>204</v>
      </c>
      <c r="B52" s="1" t="s">
        <v>210</v>
      </c>
      <c r="C52" s="1" t="s">
        <v>211</v>
      </c>
      <c r="D52" s="1">
        <v>3.0</v>
      </c>
      <c r="E52" s="4" t="s">
        <v>212</v>
      </c>
      <c r="F52" s="1" t="s">
        <v>16</v>
      </c>
      <c r="G52" s="1" t="s">
        <v>120</v>
      </c>
      <c r="H52" s="4" t="s">
        <v>121</v>
      </c>
      <c r="I52" s="2">
        <v>3.0</v>
      </c>
      <c r="J52" s="5" t="str">
        <f>IFERROR(__xludf.DUMMYFUNCTION("GOOGLETRANSLATE(A52)"),"youtube")</f>
        <v>youtube</v>
      </c>
      <c r="K52" s="6" t="str">
        <f>IFERROR(__xludf.DUMMYFUNCTION("GOOGLETRANSLATE(B52)"),"YouTube - Apps on Google Play")</f>
        <v>YouTube - Apps on Google Play</v>
      </c>
      <c r="L52" s="5" t="str">
        <f>IFERROR(__xludf.DUMMYFUNCTION("GOOGLETRANSLATE(C52)"),"Get the official YouTube app on Android phones and tablets. See what the world is watching -- from the hottest music videos to what's popular in gaming, ...")</f>
        <v>Get the official YouTube app on Android phones and tablets. See what the world is watching -- from the hottest music videos to what's popular in gaming, ...</v>
      </c>
      <c r="M52" s="5" t="str">
        <f>IFERROR(__xludf.DUMMYFUNCTION("GOOGLETRANSLATE(G52)"),"Android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53">
      <c r="A53" s="1" t="s">
        <v>204</v>
      </c>
      <c r="B53" s="1" t="s">
        <v>213</v>
      </c>
      <c r="C53" s="1" t="s">
        <v>214</v>
      </c>
      <c r="D53" s="1">
        <v>4.0</v>
      </c>
      <c r="E53" s="4" t="s">
        <v>215</v>
      </c>
      <c r="F53" s="1" t="s">
        <v>16</v>
      </c>
      <c r="G53" s="1" t="s">
        <v>216</v>
      </c>
      <c r="H53" s="4" t="s">
        <v>217</v>
      </c>
      <c r="I53" s="2">
        <v>1.0</v>
      </c>
      <c r="J53" s="5" t="str">
        <f>IFERROR(__xludf.DUMMYFUNCTION("GOOGLETRANSLATE(A53)"),"youtube")</f>
        <v>youtube</v>
      </c>
      <c r="K53" s="6" t="str">
        <f>IFERROR(__xludf.DUMMYFUNCTION("GOOGLETRANSLATE(B53)"),"What is YouTube mix - station")</f>
        <v>What is YouTube mix - station</v>
      </c>
      <c r="L53" s="5" t="str">
        <f>IFERROR(__xludf.DUMMYFUNCTION("GOOGLETRANSLATE(C53)"),"YouTube mix is ​​a playlist with an unlimited number of compositions. It is compiled taking into account your preferences. YouTube mixes can be found: in the results ...")</f>
        <v>YouTube mix is ​​a playlist with an unlimited number of compositions. It is compiled taking into account your preferences. YouTube mixes can be found: in the results ...</v>
      </c>
      <c r="M53" s="5" t="str">
        <f>IFERROR(__xludf.DUMMYFUNCTION("GOOGLETRANSLATE(G53)"),"Google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54">
      <c r="A54" s="1" t="s">
        <v>204</v>
      </c>
      <c r="B54" s="1" t="s">
        <v>218</v>
      </c>
      <c r="C54" s="1" t="s">
        <v>219</v>
      </c>
      <c r="D54" s="1">
        <v>5.0</v>
      </c>
      <c r="E54" s="4" t="s">
        <v>220</v>
      </c>
      <c r="F54" s="1" t="s">
        <v>16</v>
      </c>
      <c r="G54" s="1" t="s">
        <v>221</v>
      </c>
      <c r="H54" s="4" t="s">
        <v>222</v>
      </c>
      <c r="I54" s="2">
        <v>5.0</v>
      </c>
      <c r="J54" s="5" t="str">
        <f>IFERROR(__xludf.DUMMYFUNCTION("GOOGLETRANSLATE(A54)"),"youtube")</f>
        <v>youtube</v>
      </c>
      <c r="K54" s="6" t="str">
        <f>IFERROR(__xludf.DUMMYFUNCTION("GOOGLETRANSLATE(B54)"),"YouTube blocked a video of a journalist from Hungary with ...")</f>
        <v>YouTube blocked a video of a journalist from Hungary with ...</v>
      </c>
      <c r="L54" s="5" t="str">
        <f>IFERROR(__xludf.DUMMYFUNCTION("GOOGLETRANSLATE(C54)"),"17 hours ago -")</f>
        <v>17 hours ago -</v>
      </c>
      <c r="M54" s="5" t="str">
        <f>IFERROR(__xludf.DUMMYFUNCTION("GOOGLETRANSLATE(G54)"),"Vedomosti is a leading business publication of Russia. The newspaper enter the article in the “Purreled Materials” to read when the time appears. To do this, enter or register. Determine, save the article in “Purreled Materials” to read when the time appe"&amp;"ars. To do this, enter or register. To expand the import of cars to Russia, the growth of utilsbor and domestic production will slow down this dynamics in 2024, save the article in “Postponed Materials” to read the time. To do this, enter or register. Det"&amp;"ermine the frame of the day, save the article in the “Purreled Materials” to read when the time appears. To do this, enter or register. To expand back the Central Bank spoke about the expansion of the presence of insurers in the new regions, save the arti"&amp;"cle in “Purchase Materials” to read when the time appears. To do this, enter or register. The new film by Anna Melikyan about a woman who began to hear alien voices, keep an article in “Post -Posted Materials” came out to expand the “Feelings of Anna” fro"&amp;"m the Cosmos with love. To read the time. To do this, enter or register. Determine, save the article in “Purreled Materials” to read when the time appears. To do this, enter or register. To expand back the Minister of Education of Russia personally showed"&amp;" the head of Chechnya a new textbook of history, save the article in “Purchase Materials” to read when the time appears. To do this, enter or register. Patients and government agencies have stopped expanding the sales of insulin in Russia in Russia, exper"&amp;"ts consider to buy the drug to save the article in “Post -Executed Materials” to read out when there is time. To do this, enter or register. To expand the “Magic Plot” fantastic creatures and the magical police on the Okko video service started showing th"&amp;"e series about modern Moscow and its fairy -tale inhabitants, save the article in “Postponed Materials” to read the time. To do this, enter or register. To expand back the zhora of gooseberries “to lure them to spoll” the screenwriter and producer about t"&amp;"he “adult” spectators and new realities of serial production in Russia, save the article in “Delayed Materials” to read when the time appears. To do this, enter or register. To expand back to Russian investors will be paid equally when exchanging assets w"&amp;"ith foreigners to assess the Central Bank of the funds to all whose portfolio does not exceed 100,000 rubles, save the article in “Defed Materials” to read out when the time appears. To do this, enter or register. Expand the plot Partner Advertising Newto"&amp;"n Investment ERID: LDTKKN4FB in detail with information can be found on gazprombank.investments/broker/disclosure investment Reading all materials from UC Rusal, Sberbank for nine months, Sberbank received 133 billion rubles in October Trading by the eter"&amp;"nal futures on the Mosbirzhi index will begin on November 14, save the article in “Purchase Materials” to read when the time appears. To do this, enter or register. To expand the first group of Russian citizens at the exit from the Gaza to Egypt of 85 peo"&amp;"ple approved to the aisle through the Rafach 68 checkpoint 68 - women and children will save the article in “Postponed Materials” to read out when time appears. To do this, enter or register. To deploy Zhora Kryzhovnikov, he spoke about the new hierarchy "&amp;"in the chain “Producer - Director - Screenwriter” Save the article in “Post -Executed Materials” to read when the time appears. To do this, enter or register. The Director of the Department of Corporate Relations of the Central Bank, Elena Kuritsyna, will"&amp;" deploy the head of the Department of Corporate Relations, will interact with issuers and authorities to maintain the article in the “Mathered Materials” to read the time. To do this, enter or register. To expand back the natural decline of the population"&amp;" decreased in 9 months by almost a quarter, save the article in “Postponed Materials” to read when time appears. To do this, enter or register. Determine the plot partner Advertising I ERID: ldtckew5y gsb.hse.ru the main Russian IT trends 2024 Read all ma"&amp;"terials in the interests of traffic, the key to all doors is clear without seams, save the article in “Postponed Materials” to read out when time appears. To do this, enter or register. The Central Bank warned to expand about the accumulation of risks in "&amp;"the “garbage” bonds of individuals to the demand of individuals for such papers reduced the risk coating with profitability to save the article in “Postponed Materials” to read the time. To do this, enter or register. To expand back as state support helps"&amp;" exporters overcome boundaries and barriers why it is important for business to cooperate with the regions and federal authorities to maintain an article in “Postponed Materials” to read when time appears. To do this, enter or register. To expand the Cong"&amp;"ress of United Russia will be held on December 17 Save the article in “Postponed Materials” to read when the time appears. To do this, enter or register. The Central Bank does not plan to deploy lending through the Tsfa, save the article in “Postponed Mat"&amp;"erials” to read when time appears. To do this, enter or register. Determine, save the article in “Purreled Materials” to read when the time appears. To do this, enter or register. The Russian “exchanged” 85 million rubles for fake dollars in the Uralsib o"&amp;"ffice to expand back the businessman, the businessman came across a fraudster who allegedly was an employee of the bank, save the article in “Mattle Materials” to read out when the time appears. To do this, enter or register. Determine, save the article i"&amp;"n “Purreled Materials” to read when the time appears. To do this, enter or register. The drones will be expanded back to monitor the territories of the Federal Penitentiary Service, the Ministry of Justice included them in the draft regulation of technica"&amp;"l means of supervision of the prisoners, save the article in “Postponed Materials” to read the time. To do this, enter or register. Determine the plot of the exacerbation of the conflict between Israel and Palestine: what is happening to read all the mate"&amp;"rials of Israel promised Livana the fate of Gaza when involving the Palestinians, President Iran called the Islamic world to arm the Palestinians Erdogan said that Israel support the minority of the countries to keep the article in the “Milituted Material"&amp;"s” to read out When the time appears. To do this, enter or register. Putin visited the headquarters of the Armed Forces of the Russian Federation in Rostov-on-Don, keep the article in the “Postponed Materials” to read when the time appears. To do this, en"&amp;"ter or register. To expand back the gas sector will leave the first 85 citizens of Russia, save the article in “Postponed Materials” to read when the time appears. To do this, enter or register. To expand back why the personnel deficit has become the main"&amp;" problem of the Russian economy in the Central Bank believe that it can solve its increase in labor productivity save the article in “Postponed Materials” to read when time appears. To do this, enter or register. To expand back what the presidents of Russ"&amp;"ia and Kazakhstan spoke about in Astana, save the article in “Postponed Materials” to read when time appears. To do this, enter or register. Determine, save the article in “Purreled Materials” to read when the time appears. To do this, enter or register. "&amp;"To expand back the first sentence in Moscow in the case of the murder of Daria Dugina has been sentenced to save the article in “Purchase Materials” to read when the time appears. To do this, enter or register. Determine the frame of the day, save the art"&amp;"icle in the “Purreled Materials” to read when the time appears. To do this, enter or register. Determine, save the article in “Purreled Materials” to read when the time appears. To do this, enter or register. Determine the messages of the partners to watc"&amp;"h the company's directory save the article in “Postponed Materials” to read when the time appears. To do this, enter or register. Determining the business price for chipboard began to grow against the background of the peak of the production of Aeroflot f"&amp;"urniture will halve the number of aircraft in the Krasnoyarsk Hab of Inter RAO will take up the CHP in Kazakhstan Yuzhuralzoloto will place up to 5% of the shares on the TOBILISTRIC OF BUSINESS In the “Purchase Materials” to read when the time appears. To"&amp;" do this, enter or register. The Ministry of Labor Economics and the Ministry of Labor and the Ministry of Construction want to expand the family mortgage on the secondary in small cities what Nabiullina spoke about in the State Duma. The main thing for t"&amp;"he renovation of the Cosmonauts training center will be allocated more than 5 billion rubles by experts called five fundamental shortcomings of the regulation of the digital ruble to the “Economics” column, save the article in “Delayed Materials” to read "&amp;"out when time appears. To do this, enter or register. Determine, save the article in “Purreled Materials” to read when the time appears. To do this, enter or register. Determine the companies to watch the company's directory PSK PARMA PARMA, the 2023 empl"&amp;"oyer of the 2023 Product Product, supported Russian cycling Russia and China approved the cooperation plan for 2024 in the construction of the Russian Compliance Award Sitronics Group for information security for information security for information secur"&amp;"ity He became the speaker of the professional retraining course “Management of information security in the body (organization)” in the MSTU named after N.E. Baumanavsk Olga Sorokina in the fields of Finopolis 2023 spoke about the potential to use digital "&amp;"profile in insurance in the focus for online channels: the Far Eastern Regional Center ""Ingosstrakh"" spoke about the results of the half-year nostroy and the Chinese Civil Construction Society concluded an agreement on industrial investment and science "&amp;"of the Moscow Region Fund Microfinancing of the Moscow Region supported the business for 45 billion rubles, save the article in the “Posted Materials” to read when the time appears. To do this, enter or register. Determine the Central Bank’s finances want"&amp;"s to introduce a single QR code to pay for goods, the president signed a decree to launch the exchange of blocked assets of Russians “Sber” prohibited the Kandinsky AI to generate state symbols in Alfa Bank proposed “Sleep” to pay less dividends to the Fi"&amp;"nance section, save the article in the article in “Purchase materials” to read when time appears. To do this, enter or register. Investments to expand investments to Russian investors will pay equally when exchanging assets with foreigners of the Central "&amp;"Bank, warned the accumulation of risks in the “garbage” bonds of the Central Bank does not plan to regulate lending through the Yuzhuralzoloto TSFA up to 5% of the shares in the investment column, save the article in “delayed materials »To read when time "&amp;"appears. To do this, enter or register. Determine, save the article in “Purreled Materials” to read when the time appears. To do this, enter or register. The European Polish Political Politics urged the Russian politics from Russians as France is trying t"&amp;"o achieve a humanitarian pause in the gas sector Ukraine quarreled the Republican candidate of the State Duma approved the expert research plan in 2024 on the “Politician” section, save the article in “Mathered Materials” to read the time when the time ap"&amp;"pears. To do this, enter or register. To expand the technologies back the market of video conferences-communications in 2023 will reach $ 40 million to renovation of the Cosmonauts training center will allocate more than 5 billion rubles for garbage train"&amp;"ing grounds will be monitored using drones on pharmacy sites. Anomalous growth of dirty traffic in the “Technology” section, save the article In the “Purchase Materials” to read when the time appears. To do this, enter or register. Jora Kryzhovnikov spoke"&amp;" to expand the media about the new hierarchy in the chain “Producer -Screenwriter” Zhora Kryzhovnikov told about the reluctance to make full -length films the most cash films of Zhora Kryzhovnikov “Magic Plot”: Fantastic creatures and the magical police i"&amp;"n the Media section “Save the article in the article in” Delayed materials ”to read when time appears. To do this, enter or register. Determine, save the article in “Purreled Materials” to read when the time appears. To do this, enter or register. Determi"&amp;"ning the real estate on the site of the Topaz and Amethyst plants in the southeast of Moscow may appear housing next to Moscow City will appear about 2 million square meters. m Real Estate Apollax Space will open a flexible office in the building of the t"&amp;"radesinovye of the farmstead “The time of large -scale“ carpet buildings ”has already passed” as a “Real Estate” section, save the article in “Postponed Materials” to read when the time appears. To do this, enter or register. The Ministry of Industry and "&amp;"Trade revised the approaches to localization in the automobiles in October to expand the car, the UAZ raised prices for their cars due to the rise in the cost of logistics in the government supported the draft law on the localization of taxi vehicles to t"&amp;"he Auto section, save the article in “Postponed Materials »To read when time appears. To do this, enter or register. Determine, save the article in “Purreled Materials” to read when the time appears. To do this, enter or register. Many Russian companies d"&amp;"eclare the integrated care of the health of employees of personnel hunger dictates to Russian companies new methods of hiring and holding couriers will feed the comprehensive care of employees on the road for more than a third of vacancies in the IT Reman"&amp;"ders in the Office section, save the article in the “Malminated Materials” to read it to read When the time appears. To do this, enter or register. For more than 3,000 enterprises to expand the quarry, about 5,000 marketers in the field of industry, Russi"&amp;"ans still consider the most prestigious work in the field of IT the total income of Russian freelancers by 53% in the first half of the “career”. An article in “Purchase Materials” to read when time appears. To do this, enter or register. To expand back t"&amp;"he lifestyle of the most cash films of Zhora Kryzhovnikov “The Word of the Boanding”: Very terrible deeds Anatoly Shuliev: “The viewer needs catharsis“ Museum of the Spiritual Vanguard ”: Alternative thaw to the“ Lifestyle ”section, save the article in“ M"&amp;"athered Materials ”to read when it appears when to read time. To do this, enter or register. Determine the subscription -commercial of companies subscription for legal entity for the company. The company of the company editorial -management processing cen"&amp;"ter our projects Contacts 127018 Moscow st. Regimental d. 3 pp. 1 on the map +7 495 956-34-58 info@Vedomosti.ru Vedomosti newsletters-get the main business news by mail I want to subscribe to the VK VK VKi VKi Vedomosti Vedomosti Vedomosts in Flipboard Te"&amp;"nchat Mobile application Network edition of the Vedomosti (Vedomosti) Decision of the Federal Service for the Service of the Communications of Information Technologies and Mass Communications (Roskomnadzor) dated November 27, 2020 EL No. FS 77-79546 Found"&amp;"er: BUSINESS NUSEN MEDIA JSC editor-in-chief: Kazmina Irina Sergeevna Electronic Mail: News@Vedomosti.ru Phone: +7 495 956-34-58 The site uses IP addresses COOKIE and data geolocation of the conditions of use are contained in the Personal Data Protection "&amp;"Policy Any use of materials is allowed only if you comply Retrot Rules and if there are hyperlinks on vedomosti.ru News Analytics forecasts and other materials presented on this site are not an offer or a recommendation for the purchase or sale of any ass"&amp;"ets. The information resource uses recommendation technologies (information technologies for providing information based on the collection of systematization and analysis of information related to preferences of users of the Internet in the Russian Federa"&amp;"tion). The rules for applying recommendation technologies in the widgets of the Media2 advertising and exchange network ""posted on the website Vedomosti.ru are all rights protected © AO Business News Media TIN/CPP 7712108141/771501001 OGRN 1027739124775 "&amp;"127018 Moscow st. Regimental house 3 building 1 room I floor 2 room 21. 1999–2023 Any use of materials is allowed only if the reprint rules are observed and, if there are hyperlinks on vedomosti.ru news Analytics forecasts and other materials presented on"&amp;" this site are not an offer or recommendation for purchase or recommendation for purchase or recommendation sale of any assets. The information resource uses recommendation technologies (information technologies for providing information based on the coll"&amp;"ection of systematization and analysis of information related to preferences of users of the Internet in the Russian Federation). The rules for applying recommendation technologies in the widgets of the Media2 advertising and exchange network ""posted on "&amp;"the website Vedomosti.ru are all rights protected © AO Business News Media TIN/CPP 7712108141/771501001 OGRN 1027739124775 127018 Moscow st. Regimental house 3 Building 1 Premises I floor 2 room 21. 1999–2023 Network edition of the statement (Vedomosti) T"&amp;"he decision of the Federal Service for Supervision of Information Technologies and Mass Communications (Roskomnadzor) dated November 27, 2020 EL No. FS 77-79546 Founder : JSC ""Business News Media"" acting editor-in-chief: Kazmina Irina Sergeevna Electron"&amp;"ic Mail: News@Vedomosti.ru Phone: +7 495 956-34-58 The site uses IP addresses COOKIE and data geolocation of the conditions of use are contained in the Personal Data Protection Policy")</f>
        <v>Vedomosti is a leading business publication of Russia. The newspaper enter the article in the “Purreled Materials” to read when the time appears. To do this, enter or register. Determine, save the article in “Purreled Materials” to read when the time appears. To do this, enter or register. To expand the import of cars to Russia, the growth of utilsbor and domestic production will slow down this dynamics in 2024, save the article in “Postponed Materials” to read the time. To do this, enter or register. Determine the frame of the day, save the article in the “Purreled Materials” to read when the time appears. To do this, enter or register. To expand back the Central Bank spoke about the expansion of the presence of insurers in the new regions, save the article in “Purchase Materials” to read when the time appears. To do this, enter or register. The new film by Anna Melikyan about a woman who began to hear alien voices, keep an article in “Post -Posted Materials” came out to expand the “Feelings of Anna” from the Cosmos with love. To read the time. To do this, enter or register. Determine, save the article in “Purreled Materials” to read when the time appears. To do this, enter or register. To expand back the Minister of Education of Russia personally showed the head of Chechnya a new textbook of history, save the article in “Purchase Materials” to read when the time appears. To do this, enter or register. Patients and government agencies have stopped expanding the sales of insulin in Russia in Russia, experts consider to buy the drug to save the article in “Post -Executed Materials” to read out when there is time. To do this, enter or register. To expand the “Magic Plot” fantastic creatures and the magical police on the Okko video service started showing the series about modern Moscow and its fairy -tale inhabitants, save the article in “Postponed Materials” to read the time. To do this, enter or register. To expand back the zhora of gooseberries “to lure them to spoll” the screenwriter and producer about the “adult” spectators and new realities of serial production in Russia, save the article in “Delayed Materials” to read when the time appears. To do this, enter or register. To expand back to Russian investors will be paid equally when exchanging assets with foreigners to assess the Central Bank of the funds to all whose portfolio does not exceed 100,000 rubles, save the article in “Defed Materials” to read out when the time appears. To do this, enter or register. Expand the plot Partner Advertising Newton Investment ERID: LDTKKN4FB in detail with information can be found on gazprombank.investments/broker/disclosure investment Reading all materials from UC Rusal, Sberbank for nine months, Sberbank received 133 billion rubles in October Trading by the eternal futures on the Mosbirzhi index will begin on November 14, save the article in “Purchase Materials” to read when the time appears. To do this, enter or register. To expand the first group of Russian citizens at the exit from the Gaza to Egypt of 85 people approved to the aisle through the Rafach 68 checkpoint 68 - women and children will save the article in “Postponed Materials” to read out when time appears. To do this, enter or register. To deploy Zhora Kryzhovnikov, he spoke about the new hierarchy in the chain “Producer - Director - Screenwriter” Save the article in “Post -Executed Materials” to read when the time appears. To do this, enter or register. The Director of the Department of Corporate Relations of the Central Bank, Elena Kuritsyna, will deploy the head of the Department of Corporate Relations, will interact with issuers and authorities to maintain the article in the “Mathered Materials” to read the time. To do this, enter or register. To expand back the natural decline of the population decreased in 9 months by almost a quarter, save the article in “Postponed Materials” to read when time appears. To do this, enter or register. Determine the plot partner Advertising I ERID: ldtckew5y gsb.hse.ru the main Russian IT trends 2024 Read all materials in the interests of traffic, the key to all doors is clear without seams, save the article in “Postponed Materials” to read out when time appears. To do this, enter or register. The Central Bank warned to expand about the accumulation of risks in the “garbage” bonds of individuals to the demand of individuals for such papers reduced the risk coating with profitability to save the article in “Postponed Materials” to read the time. To do this, enter or register. To expand back as state support helps exporters overcome boundaries and barriers why it is important for business to cooperate with the regions and federal authorities to maintain an article in “Postponed Materials” to read when time appears. To do this, enter or register. To expand the Congress of United Russia will be held on December 17 Save the article in “Postponed Materials” to read when the time appears. To do this, enter or register. The Central Bank does not plan to deploy lending through the Tsfa, save the article in “Postponed Materials” to read when time appears. To do this, enter or register. Determine, save the article in “Purreled Materials” to read when the time appears. To do this, enter or register. The Russian “exchanged” 85 million rubles for fake dollars in the Uralsib office to expand back the businessman, the businessman came across a fraudster who allegedly was an employee of the bank, save the article in “Mattle Materials” to read out when the time appears. To do this, enter or register. Determine, save the article in “Purreled Materials” to read when the time appears. To do this, enter or register. The drones will be expanded back to monitor the territories of the Federal Penitentiary Service, the Ministry of Justice included them in the draft regulation of technical means of supervision of the prisoners, save the article in “Postponed Materials” to read the time. To do this, enter or register. Determine the plot of the exacerbation of the conflict between Israel and Palestine: what is happening to read all the materials of Israel promised Livana the fate of Gaza when involving the Palestinians, President Iran called the Islamic world to arm the Palestinians Erdogan said that Israel support the minority of the countries to keep the article in the “Milituted Materials” to read out When the time appears. To do this, enter or register. Putin visited the headquarters of the Armed Forces of the Russian Federation in Rostov-on-Don, keep the article in the “Postponed Materials” to read when the time appears. To do this, enter or register. To expand back the gas sector will leave the first 85 citizens of Russia, save the article in “Postponed Materials” to read when the time appears. To do this, enter or register. To expand back why the personnel deficit has become the main problem of the Russian economy in the Central Bank believe that it can solve its increase in labor productivity save the article in “Postponed Materials” to read when time appears. To do this, enter or register. To expand back what the presidents of Russia and Kazakhstan spoke about in Astana, save the article in “Postponed Materials” to read when time appears. To do this, enter or register. Determine, save the article in “Purreled Materials” to read when the time appears. To do this, enter or register. To expand back the first sentence in Moscow in the case of the murder of Daria Dugina has been sentenced to save the article in “Purchase Materials” to read when the time appears. To do this, enter or register. Determine the frame of the day, save the article in the “Purreled Materials” to read when the time appears. To do this, enter or register. Determine, save the article in “Purreled Materials” to read when the time appears. To do this, enter or register. Determine the messages of the partners to watch the company's directory save the article in “Postponed Materials” to read when the time appears. To do this, enter or register. Determining the business price for chipboard began to grow against the background of the peak of the production of Aeroflot furniture will halve the number of aircraft in the Krasnoyarsk Hab of Inter RAO will take up the CHP in Kazakhstan Yuzhuralzoloto will place up to 5% of the shares on the TOBILISTRIC OF BUSINESS In the “Purchase Materials” to read when the time appears. To do this, enter or register. The Ministry of Labor Economics and the Ministry of Labor and the Ministry of Construction want to expand the family mortgage on the secondary in small cities what Nabiullina spoke about in the State Duma. The main thing for the renovation of the Cosmonauts training center will be allocated more than 5 billion rubles by experts called five fundamental shortcomings of the regulation of the digital ruble to the “Economics” column, save the article in “Delayed Materials” to read out when time appears. To do this, enter or register. Determine, save the article in “Purreled Materials” to read when the time appears. To do this, enter or register. Determine the companies to watch the company's directory PSK PARMA PARMA, the 2023 employer of the 2023 Product Product, supported Russian cycling Russia and China approved the cooperation plan for 2024 in the construction of the Russian Compliance Award Sitronics Group for information security for information security for information security He became the speaker of the professional retraining course “Management of information security in the body (organization)” in the MSTU named after N.E. Baumanavsk Olga Sorokina in the fields of Finopolis 2023 spoke about the potential to use digital profile in insurance in the focus for online channels: the Far Eastern Regional Center "Ingosstrakh" spoke about the results of the half-year nostroy and the Chinese Civil Construction Society concluded an agreement on industrial investment and science of the Moscow Region Fund Microfinancing of the Moscow Region supported the business for 45 billion rubles, save the article in the “Posted Materials” to read when the time appears. To do this, enter or register. Determine the Central Bank’s finances wants to introduce a single QR code to pay for goods, the president signed a decree to launch the exchange of blocked assets of Russians “Sber” prohibited the Kandinsky AI to generate state symbols in Alfa Bank proposed “Sleep” to pay less dividends to the Finance section, save the article in the article in “Purchase materials” to read when time appears. To do this, enter or register. Investments to expand investments to Russian investors will pay equally when exchanging assets with foreigners of the Central Bank, warned the accumulation of risks in the “garbage” bonds of the Central Bank does not plan to regulate lending through the Yuzhuralzoloto TSFA up to 5% of the shares in the investment column, save the article in “delayed materials »To read when time appears. To do this, enter or register. Determine, save the article in “Purreled Materials” to read when the time appears. To do this, enter or register. The European Polish Political Politics urged the Russian politics from Russians as France is trying to achieve a humanitarian pause in the gas sector Ukraine quarreled the Republican candidate of the State Duma approved the expert research plan in 2024 on the “Politician” section, save the article in “Mathered Materials” to read the time when the time appears. To do this, enter or register. To expand the technologies back the market of video conferences-communications in 2023 will reach $ 40 million to renovation of the Cosmonauts training center will allocate more than 5 billion rubles for garbage training grounds will be monitored using drones on pharmacy sites. Anomalous growth of dirty traffic in the “Technology” section, save the article In the “Purchase Materials” to read when the time appears. To do this, enter or register. Jora Kryzhovnikov spoke to expand the media about the new hierarchy in the chain “Producer -Screenwriter” Zhora Kryzhovnikov told about the reluctance to make full -length films the most cash films of Zhora Kryzhovnikov “Magic Plot”: Fantastic creatures and the magical police in the Media section “Save the article in the article in” Delayed materials ”to read when time appears. To do this, enter or register. Determine, save the article in “Purreled Materials” to read when the time appears. To do this, enter or register. Determining the real estate on the site of the Topaz and Amethyst plants in the southeast of Moscow may appear housing next to Moscow City will appear about 2 million square meters. m Real Estate Apollax Space will open a flexible office in the building of the tradesinovye of the farmstead “The time of large -scale“ carpet buildings ”has already passed” as a “Real Estate” section, save the article in “Postponed Materials” to read when the time appears. To do this, enter or register. The Ministry of Industry and Trade revised the approaches to localization in the automobiles in October to expand the car, the UAZ raised prices for their cars due to the rise in the cost of logistics in the government supported the draft law on the localization of taxi vehicles to the Auto section, save the article in “Postponed Materials »To read when time appears. To do this, enter or register. Determine, save the article in “Purreled Materials” to read when the time appears. To do this, enter or register. Many Russian companies declare the integrated care of the health of employees of personnel hunger dictates to Russian companies new methods of hiring and holding couriers will feed the comprehensive care of employees on the road for more than a third of vacancies in the IT Remanders in the Office section, save the article in the “Malminated Materials” to read it to read When the time appears. To do this, enter or register. For more than 3,000 enterprises to expand the quarry, about 5,000 marketers in the field of industry, Russians still consider the most prestigious work in the field of IT the total income of Russian freelancers by 53% in the first half of the “career”. An article in “Purchase Materials” to read when time appears. To do this, enter or register. To expand back the lifestyle of the most cash films of Zhora Kryzhovnikov “The Word of the Boanding”: Very terrible deeds Anatoly Shuliev: “The viewer needs catharsis“ Museum of the Spiritual Vanguard ”: Alternative thaw to the“ Lifestyle ”section, save the article in“ Mathered Materials ”to read when it appears when to read time. To do this, enter or register. Determine the subscription -commercial of companies subscription for legal entity for the company. The company of the company editorial -management processing center our projects Contacts 127018 Moscow st. Regimental d. 3 pp. 1 on the map +7 495 956-34-58 info@Vedomosti.ru Vedomosti newsletters-get the main business news by mail I want to subscribe to the VK VK VKi VKi Vedomosti Vedomosti Vedomosts in Flipboard Tenchat Mobile application Network edition of the Vedomosti (Vedomosti) Decision of the Federal Service for the Service of the Communications of Information Technologies and Mass Communications (Roskomnadzor) dated November 27, 2020 EL No. FS 77-79546 Founder: BUSINESS NUSEN MEDIA JSC editor-in-chief: Kazmina Irina Sergeevna Electronic Mail: News@Vedomosti.ru Phone: +7 495 956-34-58 The site uses IP addresses COOKIE and data geolocation of the conditions of use are contained in the Personal Data Protection Policy Any use of materials is allowed only if you comply Retrot Rules and if there are hyperlinks on vedomosti.ru News Analytics forecasts and other materials presented on this site are not an offer or a recommendation for the purchase or sale of any assets. The information resource uses recommendation technologies (information technologies for providing information based on the collection of systematization and analysis of information related to preferences of users of the Internet in the Russian Federation). The rules for applying recommendation technologies in the widgets of the Media2 advertising and exchange network "posted on the website Vedomosti.ru are all rights protected © AO Business News Media TIN/CPP 7712108141/771501001 OGRN 1027739124775 127018 Moscow st. Regimental house 3 building 1 room I floor 2 room 21. 1999–2023 Any use of materials is allowed only if the reprint rules are observed and, if there are hyperlinks on vedomosti.ru news Analytics forecasts and other materials presented on this site are not an offer or recommendation for purchase or recommendation for purchase or recommendation sale of any assets. The information resource uses recommendation technologies (information technologies for providing information based on the collection of systematization and analysis of information related to preferences of users of the Internet in the Russian Federation). The rules for applying recommendation technologies in the widgets of the Media2 advertising and exchange network "posted on the website Vedomosti.ru are all rights protected © AO Business News Media TIN/CPP 7712108141/771501001 OGRN 1027739124775 127018 Moscow st. Regimental house 3 Building 1 Premises I floor 2 room 21. 1999–2023 Network edition of the statement (Vedomosti) The decision of the Federal Service for Supervision of Information Technologies and Mass Communications (Roskomnadzor) dated November 27, 2020 EL No. FS 77-79546 Founder : JSC "Business News Media" acting editor-in-chief: Kazmina Irina Sergeevna Electronic Mail: News@Vedomosti.ru Phone: +7 495 956-34-58 The site uses IP addresses COOKIE and data geolocation of the conditions of use are contained in the Personal Data Protection Policy</v>
      </c>
    </row>
    <row r="55">
      <c r="A55" s="1" t="s">
        <v>204</v>
      </c>
      <c r="B55" s="1" t="s">
        <v>223</v>
      </c>
      <c r="C55" s="1" t="s">
        <v>224</v>
      </c>
      <c r="D55" s="1">
        <v>6.0</v>
      </c>
      <c r="E55" s="4" t="s">
        <v>225</v>
      </c>
      <c r="F55" s="1" t="s">
        <v>16</v>
      </c>
      <c r="I55" s="2">
        <v>5.0</v>
      </c>
      <c r="J55" s="5" t="str">
        <f>IFERROR(__xludf.DUMMYFUNCTION("GOOGLETRANSLATE(A55)"),"youtube")</f>
        <v>youtube</v>
      </c>
      <c r="K55" s="6" t="str">
        <f>IFERROR(__xludf.DUMMYFUNCTION("GOOGLETRANSLATE(B55)"),"YouTube blocked the video of a Hungarian journalist with ...")</f>
        <v>YouTube blocked the video of a Hungarian journalist with ...</v>
      </c>
      <c r="L55" s="5" t="str">
        <f>IFERROR(__xludf.DUMMYFUNCTION("GOOGLETRANSLATE(C55)"),"18 hours ago -")</f>
        <v>18 hours ago -</v>
      </c>
      <c r="M55" s="5" t="str">
        <f>IFERROR(__xludf.DUMMYFUNCTION("GOOGLETRANSLATE(G55)"),"#VALUE!")</f>
        <v>#VALUE!</v>
      </c>
    </row>
    <row r="56">
      <c r="A56" s="1" t="s">
        <v>204</v>
      </c>
      <c r="B56" s="1" t="s">
        <v>226</v>
      </c>
      <c r="D56" s="1">
        <v>7.0</v>
      </c>
      <c r="E56" s="4" t="s">
        <v>227</v>
      </c>
      <c r="F56" s="1" t="s">
        <v>16</v>
      </c>
      <c r="G56" s="1" t="s">
        <v>228</v>
      </c>
      <c r="H56" s="4" t="s">
        <v>229</v>
      </c>
      <c r="I56" s="2">
        <v>0.0</v>
      </c>
      <c r="J56" s="5" t="str">
        <f>IFERROR(__xludf.DUMMYFUNCTION("GOOGLETRANSLATE(A56)"),"youtube")</f>
        <v>youtube</v>
      </c>
      <c r="K56" s="6" t="str">
        <f>IFERROR(__xludf.DUMMYFUNCTION("GOOGLETRANSLATE(B56)"),"YouTube. How did the most popular video hosting win the world?")</f>
        <v>YouTube. How did the most popular video hosting win the world?</v>
      </c>
      <c r="M56" s="5" t="str">
        <f>IFERROR(__xludf.DUMMYFUNCTION("GOOGLETRANSLATE(G56)"),"Google �����������������������PlayYouTube����������������������������������������� ����������������������Blogger����������������������� �������� »Account Options��������������� ������� ���������� � ������� �������������������� ��������������� ������������"&amp;"������������� ��������������������")</f>
        <v>Google �����������������������PlayYouTube����������������������������������������� ����������������������Blogger����������������������� �������� »Account Options��������������� ������� ���������� � ������� �������������������� ��������������� ������������������������� ��������������������</v>
      </c>
    </row>
    <row r="57">
      <c r="A57" s="1" t="s">
        <v>204</v>
      </c>
      <c r="B57" s="1" t="s">
        <v>230</v>
      </c>
      <c r="D57" s="1">
        <v>8.0</v>
      </c>
      <c r="E57" s="4" t="s">
        <v>231</v>
      </c>
      <c r="F57" s="1" t="s">
        <v>16</v>
      </c>
      <c r="G57" s="1" t="s">
        <v>228</v>
      </c>
      <c r="H57" s="4" t="s">
        <v>229</v>
      </c>
      <c r="I57" s="2">
        <v>0.0</v>
      </c>
      <c r="J57" s="5" t="str">
        <f>IFERROR(__xludf.DUMMYFUNCTION("GOOGLETRANSLATE(A57)"),"youtube")</f>
        <v>youtube</v>
      </c>
      <c r="K57" s="6" t="str">
        <f>IFERROR(__xludf.DUMMYFUNCTION("GOOGLETRANSLATE(B57)"),"YouTubinaril. YouTube for business. How to sell goods and ...")</f>
        <v>YouTubinaril. YouTube for business. How to sell goods and ...</v>
      </c>
      <c r="M57" s="5" t="str">
        <f>IFERROR(__xludf.DUMMYFUNCTION("GOOGLETRANSLATE(G57)"),"Google �����������������������PlayYouTube����������������������������������������� ����������������������Blogger����������������������� �������� »Account Options��������������� ������� ���������� � ������� �������������������� ��������������� ������������"&amp;"������������� ��������������������")</f>
        <v>Google �����������������������PlayYouTube����������������������������������������� ����������������������Blogger����������������������� �������� »Account Options��������������� ������� ���������� � ������� �������������������� ��������������� ������������������������� ��������������������</v>
      </c>
    </row>
    <row r="58">
      <c r="A58" s="1" t="s">
        <v>204</v>
      </c>
      <c r="B58" s="1" t="s">
        <v>232</v>
      </c>
      <c r="C58" s="1" t="s">
        <v>113</v>
      </c>
      <c r="D58" s="1">
        <v>9.0</v>
      </c>
      <c r="E58" s="4" t="s">
        <v>233</v>
      </c>
      <c r="F58" s="1" t="s">
        <v>16</v>
      </c>
      <c r="I58" s="2">
        <v>5.0</v>
      </c>
      <c r="J58" s="5" t="str">
        <f>IFERROR(__xludf.DUMMYFUNCTION("GOOGLETRANSLATE(A58)"),"youtube")</f>
        <v>youtube</v>
      </c>
      <c r="K58" s="6" t="str">
        <f>IFERROR(__xludf.DUMMYFUNCTION("GOOGLETRANSLATE(B58)"),"YouTube blocked the program with Russian ...")</f>
        <v>YouTube blocked the program with Russian ...</v>
      </c>
      <c r="L58" s="5" t="str">
        <f>IFERROR(__xludf.DUMMYFUNCTION("GOOGLETRANSLATE(C58)"),"1 day ago -")</f>
        <v>1 day ago -</v>
      </c>
      <c r="M58" s="5" t="str">
        <f>IFERROR(__xludf.DUMMYFUNCTION("GOOGLETRANSLATE(G58)"),"#VALUE!")</f>
        <v>#VALUE!</v>
      </c>
    </row>
    <row r="59">
      <c r="A59" s="1" t="s">
        <v>204</v>
      </c>
      <c r="B59" s="1" t="s">
        <v>234</v>
      </c>
      <c r="D59" s="1">
        <v>10.0</v>
      </c>
      <c r="E59" s="4" t="s">
        <v>235</v>
      </c>
      <c r="F59" s="1" t="s">
        <v>16</v>
      </c>
      <c r="G59" s="1" t="s">
        <v>228</v>
      </c>
      <c r="H59" s="4" t="s">
        <v>229</v>
      </c>
      <c r="I59" s="2">
        <v>0.0</v>
      </c>
      <c r="J59" s="5" t="str">
        <f>IFERROR(__xludf.DUMMYFUNCTION("GOOGLETRANSLATE(A59)"),"youtube")</f>
        <v>youtube</v>
      </c>
      <c r="K59" s="6" t="str">
        <f>IFERROR(__xludf.DUMMYFUNCTION("GOOGLETRANSLATE(B59)"),"YouTube: The Way to Success. Part 2. How to get trucks and ...")</f>
        <v>YouTube: The Way to Success. Part 2. How to get trucks and ...</v>
      </c>
      <c r="M59" s="5" t="str">
        <f>IFERROR(__xludf.DUMMYFUNCTION("GOOGLETRANSLATE(G59)"),"Google �����������������������PlayYouTube����������������������������������������� ����������������������Blogger����������������������� �������� »Account Options��������������� ������� ���������� � ������� �������������������� ��������������� ������������"&amp;"������������� ��������������������")</f>
        <v>Google �����������������������PlayYouTube����������������������������������������� ����������������������Blogger����������������������� �������� »Account Options��������������� ������� ���������� � ������� �������������������� ��������������� ������������������������� ��������������������</v>
      </c>
    </row>
    <row r="60">
      <c r="A60" s="1" t="s">
        <v>204</v>
      </c>
      <c r="B60" s="1" t="s">
        <v>236</v>
      </c>
      <c r="C60" s="1" t="s">
        <v>153</v>
      </c>
      <c r="D60" s="1">
        <v>11.0</v>
      </c>
      <c r="E60" s="4" t="s">
        <v>237</v>
      </c>
      <c r="F60" s="1" t="s">
        <v>16</v>
      </c>
      <c r="G60" s="1" t="s">
        <v>238</v>
      </c>
      <c r="H60" s="4" t="s">
        <v>239</v>
      </c>
      <c r="I60" s="2">
        <v>5.0</v>
      </c>
      <c r="J60" s="5" t="str">
        <f>IFERROR(__xludf.DUMMYFUNCTION("GOOGLETRANSLATE(A60)"),"youtube")</f>
        <v>youtube</v>
      </c>
      <c r="K60" s="6" t="str">
        <f>IFERROR(__xludf.DUMMYFUNCTION("GOOGLETRANSLATE(B60)"),"A woman who led a burst on the border ...")</f>
        <v>A woman who led a burst on the border ...</v>
      </c>
      <c r="L60" s="5" t="str">
        <f>IFERROR(__xludf.DUMMYFUNCTION("GOOGLETRANSLATE(C60)"),"3 days ago -")</f>
        <v>3 days ago -</v>
      </c>
      <c r="M60" s="5" t="str">
        <f>IFERROR(__xludf.DUMMYFUNCTION("GOOGLETRANSLATE(G60)"),"Auto -Grodno - Cars Grodno News Services Buy Auto Lakatsya losses and finds Grodno Entrance / Registration Remember me to enter the password? Have you forgotten the login? Registration of news Service Service Buy Lakatsya Loginparol, remember me, forgot m"&amp;"y password? Forgot the login? Registration as the Likhokoy ax team from Grodno Free guarantee for tires from damage - a new service in autoset stores Woman who led the queue at the Lithuanian border, the journalists came to the site with cars confiscated "&amp;"in Belarus. Here's what they are sold there as a rule in confiscat, they sell very cheap cars and cheaply is extremely rare. But are there any worthy cars and how much are they worth it? ""Maybe parents find out?"" The boy on the scooter appeared from the"&amp;" darkness and rushed in front of the bumper of the car in Grodno Andrei reader AvoGrodno drove last night in the yards along the Kalinovsky 50 residential building. Suddenly I had to emergently slow down. What benefits do the Belarusian disabled have when"&amp;" crossing the border? The official response of the Grodno border group helps to understand some issues of crossing the state border. What projects are collected now in the Grodno workshop of the ""dashing ax"" - the report ""no one said that the dream sho"&amp;"uld be reasonable."" This is how the status of a “dashing ax” sounds in one of its social networks. On Sunday, some roads in Grodno will be blocked. A family race will take place on Sunday November 12 from 11:00 to 15:00 in the city of Grodno will be bloc"&amp;"ked by some streets. The traffic police of Grodno are looking for a SUV driver: yesterday morning he left the scene of an accident. There is an entry from the registrar on Yanka Kupala Avenue on November 10 at about 07:52 a collision of Citroen C3 Citroen"&amp;" Car and Dark SUV. In the morning, a girl was shot down at Dombrovsky. She is in the hospital on the morning of November 11 at 8:37 am a 31-year-old Volkswagen driver was moving along Dombrovsky Street in the direction of the Fort Ring. As a couple in the"&amp;" elephant, she walked on a criminal article. Video the other day, a 29-year-old resident of Slonim and his 29-year-old girlfriend rested visiting a friend where they used alcohol. In the Netherlands, the Belarusian trucker was killed by the Belarusian For"&amp;"eign Ministry officially confirmed the death of a citizen of Belarus. The traffic police officers took the Avtouraganes and went to look for violators on Grodno - a car without inspection and drivers without ""rights"" in the Grodno GAI have special devic"&amp;"es - ""Avtouragana"". These are computer complexes that allow you to calculate violators directly in the stream. Today, on November 10, two traffic police crews with Avtomougans went to Grodno at once. You also have an end to read. Our news has ended the "&amp;"service catalog all services&gt; one hundred Grodno auto -disassembled tires tires Evacuators Especially vehicle automatic cleaning vehicles Automated Automated all categories of one hundred Grodnoavtno -Author -Obrookhino -Meshino -Meskhino -Mokykhokykiyava"&amp;"cia Automobiles Auto / MOTO / ATATO store and one hundred Bialystokaavto from the USA From European resources to the delivery of a car from European Auto to lease driving schools of driving -nuclear -sabosaloniaw -affairs and passenger transportation of c"&amp;"argoxpetstsputsputskrakhovka, car collection The ransom of auto -action and discounts in Grodnovolagselomastern recommend a service station for body repair ""Folyush"" repair of mufflers - IP Masyuk P.A. IP Dubrovchik - Rent of a mini -tractor (mini -expl"&amp;"orer + mini -carrier) and trailer for category ""B"" OJSC Grodnoavtoservis - STO ""Batavtotrad"" - batteries in Grodno 12 volts of grodno Sales Auto more&gt; Mitsubishi Galanthi (propane -tutan ) Hyundai Santa Fe 2005 gasoline Honda 7 2003 gasoline (Propan-B"&amp;"utan) KIA Carnival 1999 diesel Opel Signum 2005 gasoline Ford Fiesta 2019 BMW X3 2022 gasoline Citroen C4 2006 gasoline Audi Q7 2019 gasoline post all ads all the ads of the advertisements what projects are now collected in g. Rodnenskaya The workshop of "&amp;"the ""dashing ax"" - report ""we got involved in what we did not understand."" The History of the Restoration of the Chevrolet Monza from Grodno Belorus with his own hands gathered a caterpillar all -terrain vehicle from the Seat and conquered the Tiktok "&amp;"Belarusian Master of Sports of the International Class Sports in long ago and travels with a dog! “Yes, even with a crocodile! The main thing is to be clean in the cab! "" Haval Dargo went to a test drive in Grodno. The first impressions and overview by t"&amp;"he fields in the fields of the Blue Tractor goes to us! Belarusian showed the restored MTZ-50 in 1965. The Belarusian family has a real MTZ-50 “Belarus” (or “fifty dollars” as he was nicknamed the people)! Moreover, he was acquired in a state of ""decommi"&amp;"ssioned on scrap"", but in a couple of years they returned to a full life. Awesome Jetta MK1 from Grodno: created to catch views, Victor took up the restoration of the 1983 Volkswagen Jetta MK1, passed through difficulties several years ago but collected "&amp;"a delightful copy! How did he do it? Haval is already in Grodno. Everyone is called for test drives and gifts. See what models inside the showroom and at what price from November 3 to 6, the Haval Motor Show in Grodno will host presentations of new crosso"&amp;"vers expanded test drives and gift contests. They invite everyone! The correspondent of Avtogrodno visited the Haval salon on the eve of the event and looked at what models are presented in our city. Belarusians cannot sell these cars for years. We looked"&amp;" at the ""hanging"" Autonomane RB for what time are usually sold in Belarus? Two three months? Sometimes for the sale of a car, years take. And such cases in our country are enough. Looking at the well -known car resource in the Republic of Belarus, we in"&amp;"stalled a filter on the oldest ads. It is difficult to imagine but some ads date back to 2015 - 2020! At the same time, the owners regularly update them. See which cars have been looking for new owners for a long time. Belarusian drove from China ""Restyl"&amp;"ing Kulrei"" - Binyue Cool. It is very different from the predecessor of Belarusians continue to search and buy new products from China. So the Minsk resident has just received from the Middle Kingdom of Binyue Cool the first generation of which is known "&amp;"with us under the name Coolray (now - Belgee X50). It is still unclear when the crossover begins to supply to the country officially, which only increases the anticipation of acquaintance with the model. All reviews follow us on social networks of News Gr"&amp;"odno Buy Auto Catalog of Grodno Services: one hundred Grodno Auto Diaspons Tires. Tires Mounting Evacuators Special Technics for us write to us advertisements on the site to place a company © 2006 - 2023 Avtogrodno News of News")</f>
        <v>Auto -Grodno - Cars Grodno News Services Buy Auto Lakatsya losses and finds Grodno Entrance / Registration Remember me to enter the password? Have you forgotten the login? Registration of news Service Service Buy Lakatsya Loginparol, remember me, forgot my password? Forgot the login? Registration as the Likhokoy ax team from Grodno Free guarantee for tires from damage - a new service in autoset stores Woman who led the queue at the Lithuanian border, the journalists came to the site with cars confiscated in Belarus. Here's what they are sold there as a rule in confiscat, they sell very cheap cars and cheaply is extremely rare. But are there any worthy cars and how much are they worth it? "Maybe parents find out?" The boy on the scooter appeared from the darkness and rushed in front of the bumper of the car in Grodno Andrei reader AvoGrodno drove last night in the yards along the Kalinovsky 50 residential building. Suddenly I had to emergently slow down. What benefits do the Belarusian disabled have when crossing the border? The official response of the Grodno border group helps to understand some issues of crossing the state border. What projects are collected now in the Grodno workshop of the "dashing ax" - the report "no one said that the dream should be reasonable." This is how the status of a “dashing ax” sounds in one of its social networks. On Sunday, some roads in Grodno will be blocked. A family race will take place on Sunday November 12 from 11:00 to 15:00 in the city of Grodno will be blocked by some streets. The traffic police of Grodno are looking for a SUV driver: yesterday morning he left the scene of an accident. There is an entry from the registrar on Yanka Kupala Avenue on November 10 at about 07:52 a collision of Citroen C3 Citroen Car and Dark SUV. In the morning, a girl was shot down at Dombrovsky. She is in the hospital on the morning of November 11 at 8:37 am a 31-year-old Volkswagen driver was moving along Dombrovsky Street in the direction of the Fort Ring. As a couple in the elephant, she walked on a criminal article. Video the other day, a 29-year-old resident of Slonim and his 29-year-old girlfriend rested visiting a friend where they used alcohol. In the Netherlands, the Belarusian trucker was killed by the Belarusian Foreign Ministry officially confirmed the death of a citizen of Belarus. The traffic police officers took the Avtouraganes and went to look for violators on Grodno - a car without inspection and drivers without "rights" in the Grodno GAI have special devices - "Avtouragana". These are computer complexes that allow you to calculate violators directly in the stream. Today, on November 10, two traffic police crews with Avtomougans went to Grodno at once. You also have an end to read. Our news has ended the service catalog all services&gt; one hundred Grodno auto -disassembled tires tires Evacuators Especially vehicle automatic cleaning vehicles Automated Automated all categories of one hundred Grodnoavtno -Author -Obrookhino -Meshino -Meskhino -Mokykhokykiyavacia Automobiles Auto / MOTO / ATATO store and one hundred Bialystokaavto from the USA From European resources to the delivery of a car from European Auto to lease driving schools of driving -nuclear -sabosaloniaw -affairs and passenger transportation of cargoxpetstsputsputskrakhovka, car collection The ransom of auto -action and discounts in Grodnovolagselomastern recommend a service station for body repair "Folyush" repair of mufflers - IP Masyuk P.A. IP Dubrovchik - Rent of a mini -tractor (mini -explorer + mini -carrier) and trailer for category "B" OJSC Grodnoavtoservis - STO "Batavtotrad" - batteries in Grodno 12 volts of grodno Sales Auto more&gt; Mitsubishi Galanthi (propane -tutan ) Hyundai Santa Fe 2005 gasoline Honda 7 2003 gasoline (Propan-Butan) KIA Carnival 1999 diesel Opel Signum 2005 gasoline Ford Fiesta 2019 BMW X3 2022 gasoline Citroen C4 2006 gasoline Audi Q7 2019 gasoline post all ads all the ads of the advertisements what projects are now collected in g. Rodnenskaya The workshop of the "dashing ax" - report "we got involved in what we did not understand." The History of the Restoration of the Chevrolet Monza from Grodno Belorus with his own hands gathered a caterpillar all -terrain vehicle from the Seat and conquered the Tiktok Belarusian Master of Sports of the International Class Sports in long ago and travels with a dog! “Yes, even with a crocodile! The main thing is to be clean in the cab! " Haval Dargo went to a test drive in Grodno. The first impressions and overview by the fields in the fields of the Blue Tractor goes to us! Belarusian showed the restored MTZ-50 in 1965. The Belarusian family has a real MTZ-50 “Belarus” (or “fifty dollars” as he was nicknamed the people)! Moreover, he was acquired in a state of "decommissioned on scrap", but in a couple of years they returned to a full life. Awesome Jetta MK1 from Grodno: created to catch views, Victor took up the restoration of the 1983 Volkswagen Jetta MK1, passed through difficulties several years ago but collected a delightful copy! How did he do it? Haval is already in Grodno. Everyone is called for test drives and gifts. See what models inside the showroom and at what price from November 3 to 6, the Haval Motor Show in Grodno will host presentations of new crossovers expanded test drives and gift contests. They invite everyone! The correspondent of Avtogrodno visited the Haval salon on the eve of the event and looked at what models are presented in our city. Belarusians cannot sell these cars for years. We looked at the "hanging" Autonomane RB for what time are usually sold in Belarus? Two three months? Sometimes for the sale of a car, years take. And such cases in our country are enough. Looking at the well -known car resource in the Republic of Belarus, we installed a filter on the oldest ads. It is difficult to imagine but some ads date back to 2015 - 2020! At the same time, the owners regularly update them. See which cars have been looking for new owners for a long time. Belarusian drove from China "Restyling Kulrei" - Binyue Cool. It is very different from the predecessor of Belarusians continue to search and buy new products from China. So the Minsk resident has just received from the Middle Kingdom of Binyue Cool the first generation of which is known with us under the name Coolray (now - Belgee X50). It is still unclear when the crossover begins to supply to the country officially, which only increases the anticipation of acquaintance with the model. All reviews follow us on social networks of News Grodno Buy Auto Catalog of Grodno Services: one hundred Grodno Auto Diaspons Tires. Tires Mounting Evacuators Special Technics for us write to us advertisements on the site to place a company © 2006 - 2023 Avtogrodno News of News</v>
      </c>
    </row>
    <row r="61">
      <c r="A61" s="1" t="s">
        <v>204</v>
      </c>
      <c r="B61" s="1" t="s">
        <v>240</v>
      </c>
      <c r="C61" s="1" t="s">
        <v>113</v>
      </c>
      <c r="D61" s="1">
        <v>12.0</v>
      </c>
      <c r="E61" s="4" t="s">
        <v>241</v>
      </c>
      <c r="F61" s="1" t="s">
        <v>16</v>
      </c>
      <c r="G61" s="1" t="s">
        <v>242</v>
      </c>
      <c r="H61" s="4" t="s">
        <v>243</v>
      </c>
      <c r="I61" s="2">
        <v>5.0</v>
      </c>
      <c r="J61" s="5" t="str">
        <f>IFERROR(__xludf.DUMMYFUNCTION("GOOGLETRANSLATE(A61)"),"youtube")</f>
        <v>youtube</v>
      </c>
      <c r="K61" s="6" t="str">
        <f>IFERROR(__xludf.DUMMYFUNCTION("GOOGLETRANSLATE(B61)"),"On the pages of the channels in YouTube, the section ""For ...")</f>
        <v>On the pages of the channels in YouTube, the section "For ...</v>
      </c>
      <c r="L61" s="5" t="str">
        <f>IFERROR(__xludf.DUMMYFUNCTION("GOOGLETRANSLATE(C61)"),"1 day ago -")</f>
        <v>1 day ago -</v>
      </c>
      <c r="M61" s="5" t="str">
        <f>IFERROR(__xludf.DUMMYFUNCTION("GOOGLETRANSLATE(G61)"),"Kommersant: the latest news of Russia and the world advertising in Kommersant.kommersant.ru/adreklama in Kommersant www.kommersant.ru/admersant Entrance Kommersant FM Cover the menu of the menu of the menu of the menu of the ClubgazetaweKend -Autophydrapi"&amp;"st Partner Partifier -Apartican Science Cardioprothelian Conferences Verser of the subscriptionsmaphotogenicism of the economy of the economy of the policy of the market-residential-consulting telecommunication of the social and technologists of cultural "&amp;"and technologists of the appendix of the Khutimultimultimultimomtimultimetamystskihniki ""Kommersant"" for Android to skill the appendoreAppgallerymoskvasankankvasankanzhanburgsanchangzanzanzanzanzanyarcsnodarznodarznodar-icon-core, Novgorodnovosibirskper"&amp;"istovsty-Donusarasaratovskaratovskayaroslavl-predicting $ 9229 € 9855 ¥ 1261i MOEX 324206 STOLSENT WEEKENDALLENT WELLOW WHAT IS SET WAS A GASENT OPERATION OF GASEN Operation in Ukraine Kommersant Economics of Plazances against the Russian Federation again"&amp;"st the Russian Tecyathi-Tecystilweecendiye Extensive News Representatives proposed financing the US government without the help of Ukraine and Israel Netanyahu opposed the transfer of the gas sector under the control of Palestine, the American military ai"&amp;"rcraft crashed in the Mediterranean Sea WP and SPIegel: the coordinator of the Northern Streams undermined the Armed Forces of the Armed Forces Usman Nurmagomedov will not be deprived of the title of the Bellator champion after the disqualification The ex"&amp;"-head of NATO proposed to accept Ukraine in an alliance without lost territories of the Investigative Committee of the TFR initiated a terrorist attack after the 19 wagons in the Ryazan region, three checkpoints on the Finnish-Russian border banned the en"&amp;"try of cyclists from Russia thanks to a draw with Zenit Krasnodar won the first round The Russian Championship what happened after the entry of Russian troops into Ukraine. The day of the 626th as the Internet of things helps to protect the environment of"&amp;" the Wedding Project, the entire tape of the slide photo fact in the Ryazan region in the rails of 19 cars of the cargo train Schedule of the day of unemployment in Russia, Translations of Russians in the currency continue to decline the quote from the da"&amp;"y “There are practically no workers left in the economy” Chairman of the Central Bank Elvira Nabiullin -following sludge lasting about the military operation for Ukrainian, the plot of the Slide Photo Fact in the Ryazan region, 19 wagons of the cargo trai"&amp;"n Schedule of the day of unemployment in Russia in comparison with other countries of the world video fact of losing Podolsk collapsed over the car bridge over the Pakhra River Schedule of the day of Russians in the currency, the quote of the day “There a"&amp;"re practically no working hands in the currency”, the Chairman of the Central Bank Elvira Nabiulville's Slipulating Slimensional Reply to all of their crimes - death ”as they instructed The order in the fish capital of Russia is the world animal with terr"&amp;"or -skating methods are radical zoo guards society “Each large military conflict leads to the emergence of new rehabilitation technologies” the founder of the collection of historical rehabilitation means - about the paths from the disabled to cyborgs, cu"&amp;"lture female infection and unexpectedness in the list of nominees on Grammy culture through apocalypse The revolution to the millennial kingdom of the Tsaria Obopia The Culture Theater of Damage, which the first pan -European war began and who defeated th"&amp;"e culture of the Magic Street Street “The Magic Plot”: the police fairy tale can be used against you in the Codeyuria of Litvinenko about the secret training of Dementye's cash on the difficult path. Technologies in the Russian Federation of such conditio"&amp;"ns did not have to enjoy, but Zvonarev to survive about his victory at WTA FINALSMULSMULTIMEDIMOPOPOPECTROPECHTOD -PECHAPARY PREASHING SLADEND -REPARY TELL WAS Watch on November 11–12, “I hope” how the uniforms of law enforcement officers have the most re"&amp;"cruiting personnel 6- On November 10, all the winners are “Miss Universe” Competition of the international-national exhibition-forum “Russia” Photo-Portage-Champions “I represent all the evil spirits in the Soviet cinema” Creative path George Millyaran-Gr"&amp;"eat and Karabakh, but without water, Azerbaijan under Ilham Aliyev-in 13 graphics-fiber-shaped operations from the scene of the events Actions between Israel and the Gazaphotoreport -Gallery Sector "" I hate watching my films because I am annoyed by my fa"&amp;"ce. ”Emma Stone and her tapo -gallery folk unity were held a holiday -span projects“ The American flag was considered a symbol of evil ”the views of Richard Nixon on the Cold War Calls - in 10 quotes, the next readable community is the next in the name of"&amp;" the world33454 income 32402 Theater of defeat 3215555 355 battery The Akordac -Economy Police is pushed away from the State Duma business, amendments to exclude part of the violations of the Code of Administrative Offenses from law enforcement officers, "&amp;"too, paying housing rental prices in Europe will limit and extend the inflation but there is a TOMALLENTIVE PROBRAGE House determined the criteria of the companies from which the technological breakthrough IPOVELGENGOMEN added money by the Government clos"&amp;"es the financing shortage The subsidized programs of the Ealmoteral Programs were protected by the intellectual property patentomonitoring of the Rubricedin Russians, they are being built into the presidency of the congress on December 17, the party will "&amp;"discuss the election of the head of state-2024 not harmful natives and the deputies discussed the demography in two hearings, but one of the Russians should not be considered a victory in the vomiting of the mob. Yulletins K. The presidential election wil"&amp;"l be printed without a discount on an online head and “who arrived” by deputies about the Extraordinary Duma promised the head of the Ministry of Emergencies to support the rescuers working in the zone in the zone of their own rubricacle in the name of th"&amp;"e Mira-Azerbaijani and Azerbaijan talk a lot about the peace treaty, but they did not make steps for more than four not to collect the President of the Belarusian Parties before the election campaign of the campaign in Akordin, Vladimir Putin was looking "&amp;"for in the capital of Kazakhstana-Aitoto, he wants to more actively attract private companies in the confrontation with Russia in cyberspace for the discrediting of the sanctioned European Parliament and at the same time more reasonable to deliver the san"&amp;"ctions against Russia, the predecestive Slid Project thinking as the innovative president of the Realme Russia Dmitry GOSTEV about the fifth anniversary of the company and plans for the future -eumatic project “Challenge” to the future technology, the Rus"&amp;"sian Nobelparter material “We are not ready to sacrifice quality” general director of Industrial.market Alexander Antonyuk about the purchases of companies on marketplaces conference and subsidiary liability of management and business owners on November X"&amp;"ia Rubrikles went from breeze Transport subsidies of the industry still do not have enough to pay from the formerly liquidated companies to sue the arbitration controls, the Kuzbass energy -wires in the wires of the Kuzbass energy impede its export to Chi"&amp;"nabenzin set up the quotes for exporting fuel, the Embargonagnant as part of the Platinum Grouping Court will recalculate the NPI for the mining company for the mining company Rubricabez Switching collapse and rebuild whether the new requirements of the C"&amp;"entral Bank to Donasting the insurance market, the representatives of the income Russian banks expand the foreign branch network for the Yuanbirzhenaya foreign currency conjuncture in the Russian Federation rapidly changing the Turkish stream is on the ap"&amp;"plication to open the Troy map, are ready for the few Russian tourist dependencies of the growth of the background of the background of the background lakes of storagery business hammered warehouses of goods of coffee For “Tibio”, “Chibo CIS” changes the "&amp;"name and branded sales without excitement of retailers did not set the beginning of the end of the year of year, the dark “Yandex Lavka” will begin to open the darkmolpoststist -Soviet champagne group Group will launch the playground of the playful Wintel"&amp;"ecoming -Services can affect Russian IT companies. In the Chinese bank, they attacked the American unit of the ICBCs across the roads of roadside networks will pay for the owners of Trasstelegram, the market has been drawn by the market market, they say a"&amp;"bout the risks of the new instrument of advancement in the Aquarius messenger, I looked into the budgetary company asks the state to co -finance the production of the entire Smart News of the Companies of the Companies. 11.11.2023AO “ »On the FINOPOLIS fo"&amp;"rum They talked about the new scientific prize in the field of future technologies 110.11.2023OOO Serons Serkons told how to compensate for labor protection costs in 2023 110.11.2023OOO SEO Certification of dangerous attractions 110.11.2023AO Dom.rf for i"&amp;"mport substitution of a key banking The new industrial center of competencies is necessary for the Rubricas with reagents of the ice, the ice moved the rules for the fight against winter slippery on the roads to write down in the state -owned relations se"&amp;"emed to the biases of Russia are concerned with migrantophobiyirairairairairanemas tested on the social toxicity of Russians know about the cases of discrimination in the collectives of employees with oncologists to the forest in the forest in the prosecu"&amp;"tor Buryatia guns thought about loans You’re going to the fire - further the cash staging authorities and the traffic police offer new measures to tighten the control of the Simplies of the Ribricabankovsky “Caravan” finished the deadlines for trying to t"&amp;"heft of funds from the asvorganized community of three employees of the Investigative Committee of the Investigative Committee, on charges of especially serious crimes, the “marine launch” fell to the final accusations to the final accusations. -A. Energi"&amp;"a, the head of the RSC, charged the damage by more than 4 billion rubles, estimated the information about Daria Dugina -Moving Police and the Entrepreneur appointed the Hero's STARD -STRISMISITION sets on common sense of the deputy commander that he had n"&amp;"o reason to kill the girl culture of Jerome Robbins in Opera Garnierneophys. Liam "" How to have sex ”neatly about the fuel -by -arts“ Master and its Muse ”by Diter Bernranstrashly Documentary Songs“ Red Book ”at the Shalom Theater Hollywood no more basta"&amp;"ge -dimensional actors, following the scriptwriters, achieved their position by the Ribricacialeacer Shevchenko, for the first time in his quarry, he would have fought for the titlebffffffff The champressive structure is displayed by the superstar of its "&amp;"title for revenge ""Manchester United"" was lowered to the Don English Grand risen to be left without the Play-off Kazan campaign ""Vikings"" the debutant of the Runa league was beaten by UNICKAKON of the Turinsky gravity and Andrei Rublev was trained for"&amp;" the second year in a row in the same group of a final final tour. Nira Attrasime readable 603688or-organized investigative community and Byak-beac-beac “Nish”: the ruins of the Soviet myth as an actual subject of the study “I would like to take a huge er"&amp;"aser and some -What ”Truman Kapote on how to fence off from the life of a Weekend portrait against the backdrop of an alien stories, Otto Dix again became our contemporary Weekend Conspication of the drowned“ how to have sex ”: the on -duty tender agitati"&amp;"on“ None of the goals justifies the invasion ”How the United States occupied Grenoada and how 40 years ago and how Mirmirtimur reacted to this and his city was written by travelers about Samarkand for the last 1,100 years of the rights of disabled people,"&amp;" “if you can’t learn here, let's go to Germany” why many children with serious illnesses cannot study in the Russian school -liable roses of the Georgian revolution of the Republic of Eduard Shevardnadze and what was the case Then, for the word -of -wing "&amp;"words in Europe, America and Asia, the main “words of the year” become the consumer market -based skiing of the Parker company, who taught the whole world to write in the pleasure of “earthquakes are largely useful” interview with geophysicist Grigory Ste"&amp;"blov about what they can give us natural disasters of the Weekendon books On the violence of Igor Gulin, the predicate sludotterritory of the development development of Rostakak will develop OEZ and Thorritory Development of the Development of Delokak Mos"&amp;"cow and the regions support social initiatives business ada -partner material “How to find a hacker in infrastructure despite the lack of personnel” Pavel Pavel Technology - about modern cybagod Ferencation of the full cycle on November 9 The next to the "&amp;"slider tape is a tape. News. .. Building News ... Download News ... Download News ... Download News ... Download News ... Download News ... Download News ... Download News ... Download News ... Download News. .. Having the Kommersant's tape Balage fund ar"&amp;"chive ContactwakkakakakakanijaniDroid information information for the information of the newsletter18+© Kommersant JSC. 123112 Moscow Presnenskaya nab. d. 10 floor 35 tel. +7 (495) 797-69-70. Setting publication ""Kommersant"" (domain name of the site: ko"&amp;"mmersant.ru) is registered by the Federal Service for Supervision of Information Technologies and Mass Communications (Roskomnadzor) Registration number and date of the decision on registration: Series EL No. FS77-76922 dated October 11, 2019 Partner proj"&amp;"ects/Materials of companies of companies Materials with a note “Promo” and “Official Message” are published on a commercial basis. For Kommersant.ru, recommendation technologies are applied (information technologies for providing information based on the "&amp;"systematization collection and analysis of information related to the preferences of users of the Internet “Internet” located in the territory of the Russian Federation). Read more")</f>
        <v>Kommersant: the latest news of Russia and the world advertising in Kommersant.kommersant.ru/adreklama in Kommersant www.kommersant.ru/admersant Entrance Kommersant FM Cover the menu of the menu of the menu of the menu of the ClubgazetaweKend -Autophydrapist Partner Partifier -Apartican Science Cardioprothelian Conferences Verser of the subscriptionsmaphotogenicism of the economy of the economy of the policy of the market-residential-consulting telecommunication of the social and technologists of cultural and technologists of the appendix of the Khutimultimultimultimomtimultimetamystskihniki "Kommersant" for Android to skill the appendoreAppgallerymoskvasankankvasankanzhanburgsanchangzanzanzanzanzanyarcsnodarznodarznodar-icon-core, Novgorodnovosibirskperistovsty-Donusarasaratovskaratovskayaroslavl-predicting $ 9229 € 9855 ¥ 1261i MOEX 324206 STOLSENT WEEKENDALLENT WELLOW WHAT IS SET WAS A GASENT OPERATION OF GASEN Operation in Ukraine Kommersant Economics of Plazances against the Russian Federation against the Russian Tecyathi-Tecystilweecendiye Extensive News Representatives proposed financing the US government without the help of Ukraine and Israel Netanyahu opposed the transfer of the gas sector under the control of Palestine, the American military aircraft crashed in the Mediterranean Sea WP and SPIegel: the coordinator of the Northern Streams undermined the Armed Forces of the Armed Forces Usman Nurmagomedov will not be deprived of the title of the Bellator champion after the disqualification The ex-head of NATO proposed to accept Ukraine in an alliance without lost territories of the Investigative Committee of the TFR initiated a terrorist attack after the 19 wagons in the Ryazan region, three checkpoints on the Finnish-Russian border banned the entry of cyclists from Russia thanks to a draw with Zenit Krasnodar won the first round The Russian Championship what happened after the entry of Russian troops into Ukraine. The day of the 626th as the Internet of things helps to protect the environment of the Wedding Project, the entire tape of the slide photo fact in the Ryazan region in the rails of 19 cars of the cargo train Schedule of the day of unemployment in Russia, Translations of Russians in the currency continue to decline the quote from the day “There are practically no workers left in the economy” Chairman of the Central Bank Elvira Nabiullin -following sludge lasting about the military operation for Ukrainian, the plot of the Slide Photo Fact in the Ryazan region, 19 wagons of the cargo train Schedule of the day of unemployment in Russia in comparison with other countries of the world video fact of losing Podolsk collapsed over the car bridge over the Pakhra River Schedule of the day of Russians in the currency, the quote of the day “There are practically no working hands in the currency”, the Chairman of the Central Bank Elvira Nabiulville's Slipulating Slimensional Reply to all of their crimes - death ”as they instructed The order in the fish capital of Russia is the world animal with terror -skating methods are radical zoo guards society “Each large military conflict leads to the emergence of new rehabilitation technologies” the founder of the collection of historical rehabilitation means - about the paths from the disabled to cyborgs, culture female infection and unexpectedness in the list of nominees on Grammy culture through apocalypse The revolution to the millennial kingdom of the Tsaria Obopia The Culture Theater of Damage, which the first pan -European war began and who defeated the culture of the Magic Street Street “The Magic Plot”: the police fairy tale can be used against you in the Codeyuria of Litvinenko about the secret training of Dementye's cash on the difficult path. Technologies in the Russian Federation of such conditions did not have to enjoy, but Zvonarev to survive about his victory at WTA FINALSMULSMULTIMEDIMOPOPOPECTROPECHTOD -PECHAPARY PREASHING SLADEND -REPARY TELL WAS Watch on November 11–12, “I hope” how the uniforms of law enforcement officers have the most recruiting personnel 6- On November 10, all the winners are “Miss Universe” Competition of the international-national exhibition-forum “Russia” Photo-Portage-Champions “I represent all the evil spirits in the Soviet cinema” Creative path George Millyaran-Great and Karabakh, but without water, Azerbaijan under Ilham Aliyev-in 13 graphics-fiber-shaped operations from the scene of the events Actions between Israel and the Gazaphotoreport -Gallery Sector " I hate watching my films because I am annoyed by my face. ”Emma Stone and her tapo -gallery folk unity were held a holiday -span projects“ The American flag was considered a symbol of evil ”the views of Richard Nixon on the Cold War Calls - in 10 quotes, the next readable community is the next in the name of the world33454 income 32402 Theater of defeat 3215555 355 battery The Akordac -Economy Police is pushed away from the State Duma business, amendments to exclude part of the violations of the Code of Administrative Offenses from law enforcement officers, too, paying housing rental prices in Europe will limit and extend the inflation but there is a TOMALLENTIVE PROBRAGE House determined the criteria of the companies from which the technological breakthrough IPOVELGENGOMEN added money by the Government closes the financing shortage The subsidized programs of the Ealmoteral Programs were protected by the intellectual property patentomonitoring of the Rubricedin Russians, they are being built into the presidency of the congress on December 17, the party will discuss the election of the head of state-2024 not harmful natives and the deputies discussed the demography in two hearings, but one of the Russians should not be considered a victory in the vomiting of the mob. Yulletins K. The presidential election will be printed without a discount on an online head and “who arrived” by deputies about the Extraordinary Duma promised the head of the Ministry of Emergencies to support the rescuers working in the zone in the zone of their own rubricacle in the name of the Mira-Azerbaijani and Azerbaijan talk a lot about the peace treaty, but they did not make steps for more than four not to collect the President of the Belarusian Parties before the election campaign of the campaign in Akordin, Vladimir Putin was looking for in the capital of Kazakhstana-Aitoto, he wants to more actively attract private companies in the confrontation with Russia in cyberspace for the discrediting of the sanctioned European Parliament and at the same time more reasonable to deliver the sanctions against Russia, the predecestive Slid Project thinking as the innovative president of the Realme Russia Dmitry GOSTEV about the fifth anniversary of the company and plans for the future -eumatic project “Challenge” to the future technology, the Russian Nobelparter material “We are not ready to sacrifice quality” general director of Industrial.market Alexander Antonyuk about the purchases of companies on marketplaces conference and subsidiary liability of management and business owners on November Xia Rubrikles went from breeze Transport subsidies of the industry still do not have enough to pay from the formerly liquidated companies to sue the arbitration controls, the Kuzbass energy -wires in the wires of the Kuzbass energy impede its export to Chinabenzin set up the quotes for exporting fuel, the Embargonagnant as part of the Platinum Grouping Court will recalculate the NPI for the mining company for the mining company Rubricabez Switching collapse and rebuild whether the new requirements of the Central Bank to Donasting the insurance market, the representatives of the income Russian banks expand the foreign branch network for the Yuanbirzhenaya foreign currency conjuncture in the Russian Federation rapidly changing the Turkish stream is on the application to open the Troy map, are ready for the few Russian tourist dependencies of the growth of the background of the background of the background lakes of storagery business hammered warehouses of goods of coffee For “Tibio”, “Chibo CIS” changes the name and branded sales without excitement of retailers did not set the beginning of the end of the year of year, the dark “Yandex Lavka” will begin to open the darkmolpoststist -Soviet champagne group Group will launch the playground of the playful Wintelecoming -Services can affect Russian IT companies. In the Chinese bank, they attacked the American unit of the ICBCs across the roads of roadside networks will pay for the owners of Trasstelegram, the market has been drawn by the market market, they say about the risks of the new instrument of advancement in the Aquarius messenger, I looked into the budgetary company asks the state to co -finance the production of the entire Smart News of the Companies of the Companies. 11.11.2023AO “ »On the FINOPOLIS forum They talked about the new scientific prize in the field of future technologies 110.11.2023OOO Serons Serkons told how to compensate for labor protection costs in 2023 110.11.2023OOO SEO Certification of dangerous attractions 110.11.2023AO Dom.rf for import substitution of a key banking The new industrial center of competencies is necessary for the Rubricas with reagents of the ice, the ice moved the rules for the fight against winter slippery on the roads to write down in the state -owned relations seemed to the biases of Russia are concerned with migrantophobiyirairairairairanemas tested on the social toxicity of Russians know about the cases of discrimination in the collectives of employees with oncologists to the forest in the forest in the prosecutor Buryatia guns thought about loans You’re going to the fire - further the cash staging authorities and the traffic police offer new measures to tighten the control of the Simplies of the Ribricabankovsky “Caravan” finished the deadlines for trying to theft of funds from the asvorganized community of three employees of the Investigative Committee of the Investigative Committee, on charges of especially serious crimes, the “marine launch” fell to the final accusations to the final accusations. -A. Energia, the head of the RSC, charged the damage by more than 4 billion rubles, estimated the information about Daria Dugina -Moving Police and the Entrepreneur appointed the Hero's STARD -STRISMISITION sets on common sense of the deputy commander that he had no reason to kill the girl culture of Jerome Robbins in Opera Garnierneophys. Liam " How to have sex ”neatly about the fuel -by -arts“ Master and its Muse ”by Diter Bernranstrashly Documentary Songs“ Red Book ”at the Shalom Theater Hollywood no more bastage -dimensional actors, following the scriptwriters, achieved their position by the Ribricacialeacer Shevchenko, for the first time in his quarry, he would have fought for the titlebffffffff The champressive structure is displayed by the superstar of its title for revenge "Manchester United" was lowered to the Don English Grand risen to be left without the Play-off Kazan campaign "Vikings" the debutant of the Runa league was beaten by UNICKAKON of the Turinsky gravity and Andrei Rublev was trained for the second year in a row in the same group of a final final tour. Nira Attrasime readable 603688or-organized investigative community and Byak-beac-beac “Nish”: the ruins of the Soviet myth as an actual subject of the study “I would like to take a huge eraser and some -What ”Truman Kapote on how to fence off from the life of a Weekend portrait against the backdrop of an alien stories, Otto Dix again became our contemporary Weekend Conspication of the drowned“ how to have sex ”: the on -duty tender agitation“ None of the goals justifies the invasion ”How the United States occupied Grenoada and how 40 years ago and how Mirmirtimur reacted to this and his city was written by travelers about Samarkand for the last 1,100 years of the rights of disabled people, “if you can’t learn here, let's go to Germany” why many children with serious illnesses cannot study in the Russian school -liable roses of the Georgian revolution of the Republic of Eduard Shevardnadze and what was the case Then, for the word -of -wing words in Europe, America and Asia, the main “words of the year” become the consumer market -based skiing of the Parker company, who taught the whole world to write in the pleasure of “earthquakes are largely useful” interview with geophysicist Grigory Steblov about what they can give us natural disasters of the Weekendon books On the violence of Igor Gulin, the predicate sludotterritory of the development development of Rostakak will develop OEZ and Thorritory Development of the Development of Delokak Moscow and the regions support social initiatives business ada -partner material “How to find a hacker in infrastructure despite the lack of personnel” Pavel Pavel Technology - about modern cybagod Ferencation of the full cycle on November 9 The next to the slider tape is a tape. News. .. Building News ... Download News ... Download News ... Download News ... Download News ... Download News ... Download News ... Download News ... Download News ... Download News. .. Having the Kommersant's tape Balage fund archive ContactwakkakakakakanijaniDroid information information for the information of the newsletter18+© Kommersant JSC. 123112 Moscow Presnenskaya nab. d. 10 floor 35 tel. +7 (495) 797-69-70. Setting publication "Kommersant" (domain name of the site: kommersant.ru) is registered by the Federal Service for Supervision of Information Technologies and Mass Communications (Roskomnadzor) Registration number and date of the decision on registration: Series EL No. FS77-76922 dated October 11, 2019 Partner projects/Materials of companies of companies Materials with a note “Promo” and “Official Message” are published on a commercial basis. For Kommersant.ru, recommendation technologies are applied (information technologies for providing information based on the systematization collection and analysis of information related to the preferences of users of the Internet “Internet” located in the territory of the Russian Federation). Read more</v>
      </c>
    </row>
    <row r="62">
      <c r="A62" s="1" t="s">
        <v>204</v>
      </c>
      <c r="B62" s="1" t="s">
        <v>244</v>
      </c>
      <c r="C62" s="1" t="s">
        <v>113</v>
      </c>
      <c r="D62" s="1">
        <v>13.0</v>
      </c>
      <c r="E62" s="4" t="s">
        <v>245</v>
      </c>
      <c r="F62" s="1" t="s">
        <v>16</v>
      </c>
      <c r="G62" s="1" t="s">
        <v>246</v>
      </c>
      <c r="H62" s="4" t="s">
        <v>247</v>
      </c>
      <c r="I62" s="2">
        <v>5.0</v>
      </c>
      <c r="J62" s="5" t="str">
        <f>IFERROR(__xludf.DUMMYFUNCTION("GOOGLETRANSLATE(A62)"),"youtube")</f>
        <v>youtube</v>
      </c>
      <c r="K62" s="6" t="str">
        <f>IFERROR(__xludf.DUMMYFUNCTION("GOOGLETRANSLATE(B62)"),"Gorelkin suggested that mobile operators cancel ...")</f>
        <v>Gorelkin suggested that mobile operators cancel ...</v>
      </c>
      <c r="L62" s="5" t="str">
        <f>IFERROR(__xludf.DUMMYFUNCTION("GOOGLETRANSLATE(C62)"),"1 day ago -")</f>
        <v>1 day ago -</v>
      </c>
      <c r="M62" s="5" t="str">
        <f>IFERROR(__xludf.DUMMYFUNCTION("GOOGLETRANSLATE(G62)"),"News in Russia and the world - Taspom, you use an outdated browser to work correctly, download the fresh version of the TASS.ru website, you agree using the cookies files that are indicated in the Personal Data House processing policy, rejected the financ"&amp;"ing project of the US government without the help of Kievites of Russia can make free travel to free travel The place of rest for children from large families of the US Armed Forces crashed in the eastern part of the Mediterranean Sea of ​​Mediterranean e"&amp;"xhibition-forum ""Russia"" of the Palestinian-Israeli conflict of Gaza entered over 850 trucks with humanitarian aid of Israel, announced the destruction of more than 150 tunnels and underground objects of Hamasarmia of Israel In Syriavo, she reported a l"&amp;"oss of communications with her employees in the Ashfa hospital in the Gazaisspaker of Congress proposed financing the government without the help of Kyivauarmia Israeli hit the cell of the Hzbollah missiles and threw humanitarian aid from the air for the "&amp;"field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человекаИндик"&amp;"аторырынкаНефть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NAT"&amp;"O Secretary General proposed to accept Ukraine into an alliance without the territories of the Ryazan region lost the case of 19 wagons from the rails expert stated that in Russia the mortality from pneumonia was located on a pre -ovate day of the day of "&amp;"the day of the day of the day. And they hid Russian films of the 20th century on the regiment where scientists are looking for a new house for all mankind Partner special projects on the way: about life about travel and about themselves. Four interviews f"&amp;"or the 20th anniversary of the Range Gonk of Ikonk, the 150th anniversary of Sergei Rachmaninovakak, chose the sovereign in Russia and chose Mikhail Romanovo, Li Vulcans to destroy their lives on the planetary. The study of the ice of ice saved people dur"&amp;"ing the blockade of the Leningradistory of the Complement of the Imperial train in 1888 in 1888 in 1888, they find and returned home the remains of the remains Heroes of the Stalingrad Battle of the Women's Movement in the Russian Holy of Construction of "&amp;"the famous Stalin Skolotok, which caused a rare eclipse on Yamal? How did houses on the bottom of the Black Sea of ​​Early Soviet Architecture examine all special projects of the Central Centernsk-Spectornsk prophylaxes in the Novosibirsk Region of Sverdl"&amp;"ovsk region. : Results work and Plansko incidence of diabetes mellitus in the Novosibirsk Region MSCOSTICIAL-BROGED PUSHRASTIC PROPECTION OF PUSHKINSKAYA Winter in social networks criticized Biden for the use of hints after laying Italy's wreath of the ci"&amp;"rcus and for several hours walked around the city of the Pskov Region in the DTP, three people of the Brazil championship were killed Due to the mass fight of the fans at the box, the game almost killed the game. “Krasnodar” and “Zenit” divided glasses in"&amp;" the RPL leaders match to see the material shutdown the adblock launch of the PNIPE created an accurate model of the influence of industrial dust on the health of Indonesia people for the first time in 60 years, the rare animal plastics from 13 countries "&amp;"discovered hundreds of harmful subsidiary, capable of making a fertile soil lunctural computer Helped to physicists to accelerate the algorithms of combinatorial optimization by the algorithm, American physicists have developed scientists who reported the"&amp;" causes of mass death of rare seals in the Caspian in 2022 in 2022 to treat the renal complications of the lupus Wolf passed the second phase of St. Petersburg tests created an analogue of glass -shaped rocks for medicine -scientists revealed the differen"&amp;"ces in the speed of aging cells from different parts Rnauki They said that over the year, the number of young scientists in Russia of the MES of the MIS rebukes has developed a charger for electric cars in domestic Pakpneumonia. What you need to know Nori"&amp;"lnikel intends to restore nature around the Novosibirsk factories, they have received a promising for the treatment of neuroblastyu Adygea project to manage a group of drones based on the other materials to the rest of the materials © Information Agency o"&amp;"f the TASS -Media Registration No. 03247 was issued by the State Committee on April 02, 1999. Russian Federation in Press. Sing-handed publications may contain information intended for users under 16 years old. In the information resource, recommending te"&amp;"chnologies are applied.")</f>
        <v>News in Russia and the world - Taspom, you use an outdated browser to work correctly, download the fresh version of the TASS.ru website, you agree using the cookies files that are indicated in the Personal Data House processing policy, rejected the financing project of the US government without the help of Kievites of Russia can make free travel to free travel The place of rest for children from large families of the US Armed Forces crashed in the eastern part of the Mediterranean Sea of ​​Mediterranean exhibition-forum "Russia" of the Palestinian-Israeli conflict of Gaza entered over 850 trucks with humanitarian aid of Israel, announced the destruction of more than 150 tunnels and underground objects of Hamasarmia of Israel In Syriavo, she reported a loss of communications with her employees in the Ashfa hospital in the Gazaisspaker of Congress proposed financing the government without the help of Kyivauarmia Israeli hit the cell of the Hzbollah missiles and threw humanitarian aid from the air for the 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NATO Secretary General proposed to accept Ukraine into an alliance without the territories of the Ryazan region lost the case of 19 wagons from the rails expert stated that in Russia the mortality from pneumonia was located on a pre -ovate day of the day of the day of the day of the day. And they hid Russian films of the 20th century on the regiment where scientists are looking for a new house for all mankind Partner special projects on the way: about life about travel and about themselves. Four interviews for the 20th anniversary of the Range Gonk of Ikonk, the 150th anniversary of Sergei Rachmaninovakak, chose the sovereign in Russia and chose Mikhail Romanovo, Li Vulcans to destroy their lives on the planetary. The study of the ice of ice saved people during the blockade of the Leningradistory of the Complement of the Imperial train in 1888 in 1888 in 1888, they find and returned home the remains of the remains Heroes of the Stalingrad Battle of the Women's Movement in the Russian Holy of Construction of the famous Stalin Skolotok, which caused a rare eclipse on Yamal? How did houses on the bottom of the Black Sea of ​​Early Soviet Architecture examine all special projects of the Central Centernsk-Spectornsk prophylaxes in the Novosibirsk Region of Sverdlovsk region. : Results work and Plansko incidence of diabetes mellitus in the Novosibirsk Region MSCOSTICIAL-BROGED PUSHRASTIC PROPECTION OF PUSHKINSKAYA Winter in social networks criticized Biden for the use of hints after laying Italy's wreath of the circus and for several hours walked around the city of the Pskov Region in the DTP, three people of the Brazil championship were killed Due to the mass fight of the fans at the box, the game almost killed the game. “Krasnodar” and “Zenit” divided glasses in the RPL leaders match to see the material shutdown the adblock launch of the PNIPE created an accurate model of the influence of industrial dust on the health of Indonesia people for the first time in 60 years, the rare animal plastics from 13 countries discovered hundreds of harmful subsidiary, capable of making a fertile soil lunctural computer Helped to physicists to accelerate the algorithms of combinatorial optimization by the algorithm, American physicists have developed scientists who reported the causes of mass death of rare seals in the Caspian in 2022 in 2022 to treat the renal complications of the lupus Wolf passed the second phase of St. Petersburg tests created an analogue of glass -shaped rocks for medicine -scientists revealed the differences in the speed of aging cells from different parts Rnauki They said that over the year, the number of young scientists in Russia of the MES of the MIS rebukes has developed a charger for electric cars in domestic Pakpneumonia. What you need to know Norilnikel intends to restore nature around the Novosibirsk factories, they have received a promising for the treatment of neuroblastyu Adygea project to manage a group of drones based on the other materials to the rest of the materials © Information Agency of the TASS -Media Registration No. 03247 was issued by the State Committee on April 02, 1999. Russian Federation in Press. Sing-handed publications may contain information intended for users under 16 years old. In the information resource, recommending technologies are applied.</v>
      </c>
    </row>
    <row r="63">
      <c r="A63" s="1" t="s">
        <v>204</v>
      </c>
      <c r="B63" s="1" t="s">
        <v>248</v>
      </c>
      <c r="D63" s="1">
        <v>14.0</v>
      </c>
      <c r="E63" s="4" t="s">
        <v>249</v>
      </c>
      <c r="F63" s="1" t="s">
        <v>16</v>
      </c>
      <c r="G63" s="1" t="s">
        <v>228</v>
      </c>
      <c r="H63" s="4" t="s">
        <v>229</v>
      </c>
      <c r="I63" s="2">
        <v>2.0</v>
      </c>
      <c r="J63" s="5" t="str">
        <f>IFERROR(__xludf.DUMMYFUNCTION("GOOGLETRANSLATE(A63)"),"youtube")</f>
        <v>youtube</v>
      </c>
      <c r="K63" s="6" t="str">
        <f>IFERROR(__xludf.DUMMYFUNCTION("GOOGLETRANSLATE(B63)"),"The New International Encyclopaedia")</f>
        <v>The New International Encyclopaedia</v>
      </c>
      <c r="M63" s="5" t="str">
        <f>IFERROR(__xludf.DUMMYFUNCTION("GOOGLETRANSLATE(G63)"),"Google �����������������������PlayYouTube����������������������������������������� ����������������������Blogger����������������������� �������� »Account Options��������������� ������� ���������� � ������� �������������������� ��������������� ������������"&amp;"������������� ��������������������")</f>
        <v>Google �����������������������PlayYouTube����������������������������������������� ����������������������Blogger����������������������� �������� »Account Options��������������� ������� ���������� � ������� �������������������� ��������������� ������������������������� ��������������������</v>
      </c>
    </row>
    <row r="64">
      <c r="A64" s="1" t="s">
        <v>204</v>
      </c>
      <c r="B64" s="1" t="s">
        <v>250</v>
      </c>
      <c r="D64" s="1">
        <v>15.0</v>
      </c>
      <c r="E64" s="4" t="s">
        <v>251</v>
      </c>
      <c r="F64" s="1" t="s">
        <v>16</v>
      </c>
      <c r="G64" s="1" t="s">
        <v>228</v>
      </c>
      <c r="H64" s="4" t="s">
        <v>229</v>
      </c>
      <c r="I64" s="2">
        <v>2.0</v>
      </c>
      <c r="J64" s="5" t="str">
        <f>IFERROR(__xludf.DUMMYFUNCTION("GOOGLETRANSLATE(A64)"),"youtube")</f>
        <v>youtube</v>
      </c>
      <c r="K64" s="6" t="str">
        <f>IFERROR(__xludf.DUMMYFUNCTION("GOOGLETRANSLATE(B64)"),"International Catalogue of Scientific Literature: Astronomy. E")</f>
        <v>International Catalogue of Scientific Literature: Astronomy. E</v>
      </c>
      <c r="M64" s="5" t="str">
        <f>IFERROR(__xludf.DUMMYFUNCTION("GOOGLETRANSLATE(G64)"),"Google �����������������������PlayYouTube����������������������������������������� ����������������������Blogger����������������������� �������� »Account Options��������������� ������� ���������� � ������� �������������������� ��������������� ������������"&amp;"������������� ��������������������")</f>
        <v>Google �����������������������PlayYouTube����������������������������������������� ����������������������Blogger����������������������� �������� »Account Options��������������� ������� ���������� � ������� �������������������� ��������������� ������������������������� ��������������������</v>
      </c>
    </row>
    <row r="65">
      <c r="A65" s="1" t="s">
        <v>204</v>
      </c>
      <c r="B65" s="1" t="s">
        <v>252</v>
      </c>
      <c r="C65" s="1" t="s">
        <v>179</v>
      </c>
      <c r="D65" s="1">
        <v>16.0</v>
      </c>
      <c r="E65" s="4" t="s">
        <v>253</v>
      </c>
      <c r="F65" s="1" t="s">
        <v>16</v>
      </c>
      <c r="I65" s="2">
        <v>1.0</v>
      </c>
      <c r="J65" s="5" t="str">
        <f>IFERROR(__xludf.DUMMYFUNCTION("GOOGLETRANSLATE(A65)"),"youtube")</f>
        <v>youtube</v>
      </c>
      <c r="K65" s="6" t="str">
        <f>IFERROR(__xludf.DUMMYFUNCTION("GOOGLETRANSLATE(B65)"),"YouTube tests new functions based on AI for ...")</f>
        <v>YouTube tests new functions based on AI for ...</v>
      </c>
      <c r="L65" s="5" t="str">
        <f>IFERROR(__xludf.DUMMYFUNCTION("GOOGLETRANSLATE(C65)"),"4 days ago -")</f>
        <v>4 days ago -</v>
      </c>
      <c r="M65" s="5" t="str">
        <f>IFERROR(__xludf.DUMMYFUNCTION("GOOGLETRANSLATE(G65)"),"#VALUE!")</f>
        <v>#VALUE!</v>
      </c>
    </row>
    <row r="66">
      <c r="A66" s="1" t="s">
        <v>204</v>
      </c>
      <c r="B66" s="1" t="s">
        <v>254</v>
      </c>
      <c r="D66" s="1">
        <v>17.0</v>
      </c>
      <c r="E66" s="4" t="s">
        <v>255</v>
      </c>
      <c r="F66" s="1" t="s">
        <v>16</v>
      </c>
      <c r="G66" s="1" t="s">
        <v>228</v>
      </c>
      <c r="H66" s="4" t="s">
        <v>229</v>
      </c>
      <c r="I66" s="2">
        <v>0.0</v>
      </c>
      <c r="J66" s="5" t="str">
        <f>IFERROR(__xludf.DUMMYFUNCTION("GOOGLETRANSLATE(A66)"),"youtube")</f>
        <v>youtube</v>
      </c>
      <c r="K66" s="6" t="str">
        <f>IFERROR(__xludf.DUMMYFUNCTION("GOOGLETRANSLATE(B66)"),"Documents - releases 1524-1899 - result from Google Book")</f>
        <v>Documents - releases 1524-1899 - result from Google Book</v>
      </c>
      <c r="M66" s="5" t="str">
        <f>IFERROR(__xludf.DUMMYFUNCTION("GOOGLETRANSLATE(G66)"),"Google �����������������������PlayYouTube����������������������������������������� ����������������������Blogger����������������������� �������� »Account Options��������������� ������� ���������� � ������� �������������������� ��������������� ������������"&amp;"������������� ��������������������")</f>
        <v>Google �����������������������PlayYouTube����������������������������������������� ����������������������Blogger����������������������� �������� »Account Options��������������� ������� ���������� � ������� �������������������� ��������������� ������������������������� ��������������������</v>
      </c>
    </row>
    <row r="67">
      <c r="A67" s="1" t="s">
        <v>204</v>
      </c>
      <c r="B67" s="1" t="s">
        <v>256</v>
      </c>
      <c r="D67" s="1">
        <v>18.0</v>
      </c>
      <c r="E67" s="4" t="s">
        <v>257</v>
      </c>
      <c r="F67" s="1" t="s">
        <v>16</v>
      </c>
      <c r="G67" s="1" t="s">
        <v>228</v>
      </c>
      <c r="H67" s="4" t="s">
        <v>229</v>
      </c>
      <c r="I67" s="2">
        <v>0.0</v>
      </c>
      <c r="J67" s="5" t="str">
        <f>IFERROR(__xludf.DUMMYFUNCTION("GOOGLETRANSLATE(A67)"),"youtube")</f>
        <v>youtube</v>
      </c>
      <c r="K67" s="6" t="str">
        <f>IFERROR(__xludf.DUMMYFUNCTION("GOOGLETRANSLATE(B67)"),"The Chemical Trade Journal and Chemical Engineer")</f>
        <v>The Chemical Trade Journal and Chemical Engineer</v>
      </c>
      <c r="M67" s="5" t="str">
        <f>IFERROR(__xludf.DUMMYFUNCTION("GOOGLETRANSLATE(G67)"),"Google �����������������������PlayYouTube����������������������������������������� ����������������������Blogger����������������������� �������� »Account Options��������������� ������� ���������� � ������� �������������������� ��������������� ������������"&amp;"������������� ��������������������")</f>
        <v>Google �����������������������PlayYouTube����������������������������������������� ����������������������Blogger����������������������� �������� »Account Options��������������� ������� ���������� � ������� �������������������� ��������������� ������������������������� ��������������������</v>
      </c>
    </row>
    <row r="68">
      <c r="A68" s="1" t="s">
        <v>204</v>
      </c>
      <c r="B68" s="1" t="s">
        <v>258</v>
      </c>
      <c r="D68" s="1">
        <v>1.0</v>
      </c>
      <c r="E68" s="4" t="s">
        <v>259</v>
      </c>
      <c r="F68" s="1" t="s">
        <v>43</v>
      </c>
      <c r="G68" s="1" t="s">
        <v>38</v>
      </c>
      <c r="H68" s="4" t="s">
        <v>39</v>
      </c>
      <c r="I68" s="2">
        <v>0.0</v>
      </c>
      <c r="J68" s="5" t="str">
        <f>IFERROR(__xludf.DUMMYFUNCTION("GOOGLETRANSLATE(A68)"),"youtube")</f>
        <v>youtube</v>
      </c>
      <c r="K68" s="6" t="str">
        <f>IFERROR(__xludf.DUMMYFUNCTION("GOOGLETRANSLATE(B68)"),"YouTube: Home")</f>
        <v>YouTube: Home</v>
      </c>
      <c r="M68" s="5" t="str">
        <f>IFERROR(__xludf.DUMMYFUNCTION("GOOGLETRANSLATE(G68)"),"YouTubeAboutPressCopyrightContact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69">
      <c r="A69" s="1" t="s">
        <v>204</v>
      </c>
      <c r="B69" s="1" t="s">
        <v>207</v>
      </c>
      <c r="C69" s="1" t="s">
        <v>260</v>
      </c>
      <c r="D69" s="1">
        <v>3.0</v>
      </c>
      <c r="E69" s="4" t="s">
        <v>261</v>
      </c>
      <c r="F69" s="1" t="s">
        <v>43</v>
      </c>
      <c r="G69" s="1" t="s">
        <v>27</v>
      </c>
      <c r="H69" s="4" t="s">
        <v>28</v>
      </c>
      <c r="I69" s="2">
        <v>0.0</v>
      </c>
      <c r="J69" s="5" t="str">
        <f>IFERROR(__xludf.DUMMYFUNCTION("GOOGLETRANSLATE(A69)"),"youtube")</f>
        <v>youtube</v>
      </c>
      <c r="K69" s="6" t="str">
        <f>IFERROR(__xludf.DUMMYFUNCTION("GOOGLETRANSLATE(B69)"),"YouTube")</f>
        <v>YouTube</v>
      </c>
      <c r="L69" s="5" t="str">
        <f>IFERROR(__xludf.DUMMYFUNCTION("GOOGLETRANSLATE(C69)"),"YouTube is an online video sharing and social media platform headquartered in San Bruno, California, United States. Accessible worldwide, it was launched on ...")</f>
        <v>YouTube is an online video sharing and social media platform headquartered in San Bruno, California, United States. Accessible worldwide, it was launched on ...</v>
      </c>
      <c r="M69" s="5" t="str">
        <f>IFERROR(__xludf.DUMMYFUNCTION("GOOGLETRANSLATE(G69)"),"Wikipedia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70">
      <c r="A70" s="1" t="s">
        <v>204</v>
      </c>
      <c r="B70" s="1" t="s">
        <v>262</v>
      </c>
      <c r="C70" s="1" t="s">
        <v>263</v>
      </c>
      <c r="D70" s="1">
        <v>4.0</v>
      </c>
      <c r="E70" s="4" t="s">
        <v>264</v>
      </c>
      <c r="F70" s="1" t="s">
        <v>43</v>
      </c>
      <c r="G70" s="1" t="s">
        <v>97</v>
      </c>
      <c r="H70" s="4" t="s">
        <v>98</v>
      </c>
      <c r="I70" s="2">
        <v>0.0</v>
      </c>
      <c r="J70" s="5" t="str">
        <f>IFERROR(__xludf.DUMMYFUNCTION("GOOGLETRANSLATE(A70)"),"youtube")</f>
        <v>youtube</v>
      </c>
      <c r="K70" s="6" t="str">
        <f>IFERROR(__xludf.DUMMYFUNCTION("GOOGLETRANSLATE(B70)"),"YouTube: Watch, Listen, Stream 12+ - App Store")</f>
        <v>YouTube: Watch, Listen, Stream 12+ - App Store</v>
      </c>
      <c r="L70" s="5" t="str">
        <f>IFERROR(__xludf.DUMMYFUNCTION("GOOGLETRANSLATE(C70)"),"Get the official YouTube app on iPhones and iPads. See what the world is watching -- from the hottest music videos to what's popular in gaming, fashion, ...")</f>
        <v>Get the official YouTube app on iPhones and iPads. See what the world is watching -- from the hottest music videos to what's popular in gaming, fashion, ...</v>
      </c>
      <c r="M70" s="5" t="str">
        <f>IFERROR(__xludf.DUMMYFUNCTION("GOOGLETRANSLATE(G70)"),"App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71">
      <c r="A71" s="1" t="s">
        <v>204</v>
      </c>
      <c r="B71" s="1" t="s">
        <v>265</v>
      </c>
      <c r="C71" s="1" t="s">
        <v>266</v>
      </c>
      <c r="D71" s="1">
        <v>5.0</v>
      </c>
      <c r="E71" s="4" t="s">
        <v>267</v>
      </c>
      <c r="F71" s="1" t="s">
        <v>43</v>
      </c>
      <c r="G71" s="1" t="s">
        <v>268</v>
      </c>
      <c r="H71" s="1" t="s">
        <v>269</v>
      </c>
      <c r="I71" s="2">
        <v>2.0</v>
      </c>
      <c r="J71" s="5" t="str">
        <f>IFERROR(__xludf.DUMMYFUNCTION("GOOGLETRANSLATE(A71)"),"youtube")</f>
        <v>youtube</v>
      </c>
      <c r="K71" s="6" t="str">
        <f>IFERROR(__xludf.DUMMYFUNCTION("GOOGLETRANSLATE(B71)"),"YouTube Blog — Official Blog for Latest YouTube News ...")</f>
        <v>YouTube Blog — Official Blog for Latest YouTube News ...</v>
      </c>
      <c r="L71" s="5" t="str">
        <f>IFERROR(__xludf.DUMMYFUNCTION("GOOGLETRANSLATE(C71)"),"Explore our official blog for the latest news about YouTube, creator and artist profiles, culture and trends analyses, and behind-the-scenes insights.")</f>
        <v>Explore our official blog for the latest news about YouTube, creator and artist profiles, culture and trends analyses, and behind-the-scenes insights.</v>
      </c>
      <c r="M71" s="5" t="str">
        <f>IFERROR(__xludf.DUMMYFUNCTION("GOOGLETRANSLATE(G71)"),"YouTube Blog — Official Blog for Latest YouTube News &amp; InsightsSkip to Main Content          News &amp; Events                  Creator &amp; Artist Stories                  Culture &amp; Trends                  Inside YouTube                  Made On YouTube        "&amp;"Submit Search      Search Input              News and Events                  Dua Lipa’s “Houdini” has magically arrived                Read More                  Creator and Artist Stories                  Watch the final episode of “In a Pickle”        "&amp;"        Read More                  Culture and Trends                  Try a Trend: Inktober and NPCs as main characters                Read More                  News and Events                  Make the most out of the YouTube Music app with these lates"&amp;"t features                Read More        14Creator and Artist Stories        Rene’s Top Five on YouTube: November 9 2023 Edition      Nov.09.2023News and Events        How (and why) to add captions to your YouTube videos      Nov.06.2023    Video format"&amp;" not supported  Culture and Trends        Frame by frame: celebrating stop motion animation with a master of the craft      Nov.04.2023Inside YouTube        Work Diaries: Planning Barrio YouTube Event with Martín Raygoza      Nov.02.2023            Creato"&amp;"rs          Road to 1 million subscribersTips tricks and best practices on how creators reach the coveted subscribers milestone.              Read more          Road to 1 million subscribers with Daniela LiepertUnlike many Gen Z creators nowadays Daniela "&amp;"Liepert was not always comfortable leading a digital-first platform. But after 20 years in the fashion industry she decided…Road to 1 million subscribers with Scott FrenzelRoad to one million with Reza and Puja Khan5 APAC creators paving their way to 10 m"&amp;"illion subscribers with YouTube ShortsDon't Miss This            Made On YouTube '23 Event Recap          Play buttonPlay button iconMade On YouTube '23 Event Recap            YouTube presents.... In a Pickle: The Beverly Halls          Play buttonPlay bu"&amp;"tton iconYouTube presents.... In a Pickle: The Beverly Halls            YouTube presents.... In a Pickle: Haley Kalil          Play buttonPlay button iconYouTube presents.... In a Pickle: Haley Kalil            How Sydney and Taty blew up on YouTube! — Be"&amp;"tween Two Creators          Play buttonPlay button iconHow Sydney and Taty blew up on YouTube! — Between Two Creators            When Ryan met… BEN — Between Two Creators          Play buttonPlay button iconWhen Ryan met… BEN — Between Two Creators15All t"&amp;"he Latest            Load More                      Loading...                      Explore the latest company news creator and artist profiles culture and trends analyses and behind-the-scenes insights on the YouTube Official Blog.          Our ChannelsO"&amp;"penOpen AccordionCloseclose Accordion          YouTube                  YouTube Creators                  Creator Insider                  TeamYouTube [Help]                  Susan Wojcicki        TwitterOpenOpen AccordionCloseclose Accordion          You"&amp;"Tube                  YouTube Creators                  TeamYouTube                  YouTube Gaming                  YouTube TV                  YouTube Music                  YouTubeInsider        ConnectAbout YouTubeOpenOpen AccordionCloseclose Accordio"&amp;"n          About                  Press                  Jobs                  How YouTube Works                  YouTube Culture &amp; Trends                  Community Forum        YouTube ProductsOpenOpen AccordionCloseclose Accordion          YouTube Go  "&amp;"                YouTube Kids                  YouTube Music                  YouTube Originals                  YouTube Premium                  YouTube Studio                  YouTube TV        For BusinessOpenOpen AccordionCloseclose Accordion          "&amp;"Advertising                  Developers        For CreatorsOpenOpen AccordionCloseclose Accordion          Artists                  Creators                  Creator Academy                  Creating for Kids                  Creators Research            "&amp;"      Creators Services Directory                  YouTube NextUp                  YouTube Space                  YouTube VR        Our CommitmentsOpenOpen AccordionCloseclose Accordion          Creators for Change                  CSAI Match             "&amp;"     Social Impact                          Policy &amp; Safety                                  Copyright                                  Brand Guidelines                                  Privacy                                  Terms                       "&amp;"       Help                    Deutsch              English              Español (Latinoamérica)              Português (Brasil)")</f>
        <v>YouTube Blog — Official Blog for Latest YouTube News &amp; InsightsSkip to Main Content          News &amp; Events                  Creator &amp; Artist Stories                  Culture &amp; Trends                  Inside YouTube                  Made On YouTube        Submit Search      Search Input              News and Events                  Dua Lipa’s “Houdini” has magically arrived                Read More                  Creator and Artist Stories                  Watch the final episode of “In a Pickle”                Read More                  Culture and Trends                  Try a Trend: Inktober and NPCs as main characters                Read More                  News and Events                  Make the most out of the YouTube Music app with these latest features                Read More        14Creator and Artist Stories        Rene’s Top Five on YouTube: November 9 2023 Edition      Nov.09.2023News and Events        How (and why) to add captions to your YouTube videos      Nov.06.2023    Video format not supported  Culture and Trends        Frame by frame: celebrating stop motion animation with a master of the craft      Nov.04.2023Inside YouTube        Work Diaries: Planning Barrio YouTube Event with Martín Raygoza      Nov.02.2023            Creators          Road to 1 million subscribersTips tricks and best practices on how creators reach the coveted subscribers milestone.              Read more          Road to 1 million subscribers with Daniela LiepertUnlike many Gen Z creators nowadays Daniela Liepert was not always comfortable leading a digital-first platform. But after 20 years in the fashion industry she decided…Road to 1 million subscribers with Scott FrenzelRoad to one million with Reza and Puja Khan5 APAC creators paving their way to 10 million subscribers with YouTube ShortsDon't Miss This            Made On YouTube '23 Event Recap          Play buttonPlay button iconMade On YouTube '23 Event Recap            YouTube presents.... In a Pickle: The Beverly Halls          Play buttonPlay button iconYouTube presents.... In a Pickle: The Beverly Halls            YouTube presents.... In a Pickle: Haley Kalil          Play buttonPlay button iconYouTube presents.... In a Pickle: Haley Kalil            How Sydney and Taty blew up on YouTube! — Between Two Creators          Play buttonPlay button iconHow Sydney and Taty blew up on YouTube! — Between Two Creators            When Ryan met… BEN — Between Two Creators          Play buttonPlay button iconWhen Ryan met… BEN — Between Two Creators15All the Latest            Load More                      Loading...                      Explore the latest company news creator and artist profiles culture and trends analyses and behind-the-scenes insights on the YouTube Official Blog.          Our ChannelsOpenOpen AccordionCloseclose Accordion          YouTube                  YouTube Creators                  Creator Insider                  TeamYouTube [Help]                  Susan Wojcicki        TwitterOpenOpen AccordionCloseclose Accordion          YouTube                  YouTube Creators                  TeamYouTube                  YouTube Gaming                  YouTube TV                  YouTube Music                  YouTubeInsider        ConnectAbout YouTubeOpenOpen AccordionCloseclose Accordion          About                  Press                  Jobs                  How YouTube Works                  YouTube Culture &amp; Trends                  Community Forum        YouTube ProductsOpenOpen AccordionCloseclose Accordion          YouTube Go                  YouTube Kids                  YouTube Music                  YouTube Originals                  YouTube Premium                  YouTube Studio                  YouTube TV        For BusinessOpenOpen AccordionCloseclose Accordion          Advertising                  Developers        For CreatorsOpenOpen AccordionCloseclose Accordion          Artists                  Creators                  Creator Academy                  Creating for Kids                  Creators Research                  Creators Services Directory                  YouTube NextUp                  YouTube Space                  YouTube VR        Our CommitmentsOpenOpen AccordionCloseclose Accordion          Creators for Change                  CSAI Match                  Social Impact                          Policy &amp; Safety                                  Copyright                                  Brand Guidelines                                  Privacy                                  Terms                              Help                    Deutsch              English              Español (Latinoamérica)              Português (Brasil)</v>
      </c>
    </row>
    <row r="72">
      <c r="A72" s="1" t="s">
        <v>204</v>
      </c>
      <c r="B72" s="1" t="s">
        <v>270</v>
      </c>
      <c r="C72" s="1" t="s">
        <v>271</v>
      </c>
      <c r="D72" s="1">
        <v>6.0</v>
      </c>
      <c r="E72" s="4" t="s">
        <v>272</v>
      </c>
      <c r="F72" s="1" t="s">
        <v>43</v>
      </c>
      <c r="G72" s="1" t="s">
        <v>273</v>
      </c>
      <c r="H72" s="4" t="s">
        <v>274</v>
      </c>
      <c r="I72" s="2">
        <v>1.0</v>
      </c>
      <c r="J72" s="5" t="str">
        <f>IFERROR(__xludf.DUMMYFUNCTION("GOOGLETRANSLATE(A72)"),"youtube")</f>
        <v>youtube</v>
      </c>
      <c r="K72" s="6" t="str">
        <f>IFERROR(__xludf.DUMMYFUNCTION("GOOGLETRANSLATE(B72)"),"YouTube (@youtube) • Instagram photos and videos")</f>
        <v>YouTube (@youtube) • Instagram photos and videos</v>
      </c>
      <c r="L72" s="5" t="str">
        <f>IFERROR(__xludf.DUMMYFUNCTION("GOOGLETRANSLATE(C72)"),"31M Followers, 1752 Following, 4492 Posts - See Instagram photos and videos from YouTube (@youtube)")</f>
        <v>31M Followers, 1752 Following, 4492 Posts - See Instagram photos and videos from YouTube (@youtube)</v>
      </c>
      <c r="M72" s="5" t="str">
        <f>IFERROR(__xludf.DUMMYFUNCTION("GOOGLETRANSLATE(G72)"),"Update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73">
      <c r="A73" s="1" t="s">
        <v>204</v>
      </c>
      <c r="B73" s="1" t="s">
        <v>275</v>
      </c>
      <c r="C73" s="1" t="s">
        <v>276</v>
      </c>
      <c r="D73" s="1">
        <v>7.0</v>
      </c>
      <c r="E73" s="4" t="s">
        <v>277</v>
      </c>
      <c r="F73" s="1" t="s">
        <v>43</v>
      </c>
      <c r="G73" s="1" t="s">
        <v>278</v>
      </c>
      <c r="H73" s="4" t="s">
        <v>279</v>
      </c>
      <c r="I73" s="2">
        <v>0.0</v>
      </c>
      <c r="J73" s="5" t="str">
        <f>IFERROR(__xludf.DUMMYFUNCTION("GOOGLETRANSLATE(A73)"),"youtube")</f>
        <v>youtube</v>
      </c>
      <c r="K73" s="6" t="str">
        <f>IFERROR(__xludf.DUMMYFUNCTION("GOOGLETRANSLATE(B73)"),"YouTube: What is YouTube?")</f>
        <v>YouTube: What is YouTube?</v>
      </c>
      <c r="L73" s="5" t="str">
        <f>IFERROR(__xludf.DUMMYFUNCTION("GOOGLETRANSLATE(C73)"),"YouTube is a free video sharing website that makes it easy to watch online videos. You can even create and upload your own videos to share with others.")</f>
        <v>YouTube is a free video sharing website that makes it easy to watch online videos. You can even create and upload your own videos to share with others.</v>
      </c>
      <c r="M73" s="5" t="str">
        <f>IFERROR(__xludf.DUMMYFUNCTION("GOOGLETRANSLATE(G73)"),"Free Online Learning at GCFGlobal	closesearchsearchmenuTopicscloseI want to...Get started with computersLearn Microsoft OfficeApply for a jobImprove my work skillsDesign nice-looking docsMore...Microsoft OfficeWordExcelPowerPointAccessMore...ComputersGett"&amp;"ing StartedSmartphones &amp; TabletsTyping TutorialWindowsOnline LearningMore...The InternetBasic Internet SkillsOnline SafetySocial MediaZoom BasicsEmailMore...GoogleGmailGoogle DocsGoogle SheetsMore...The Job SearchCareer PlanningResume WritingCover Letters"&amp;"Job Search and NetworkingBusiness CommunicationEntrepreneurship 101Careers without CollegeJob Hunt for TodayMore...Skills for Today3D PrintingFreelancing 101Personal FinanceSharing EconomyDecision-MakingMore...Creativity &amp; DesignGraphic DesignCreativityPh"&amp;"otographyImage EditingPhotoshopLearning WordPressMore...Core SkillsMathReadingScienceGrammarLanguage LearningCritical ThinkingMore...For EducatorsTranslationsStaff PicksAll Topics									English									expand_moreexpand_less											English											"&amp;"expand_moreexpand_less											Español																					Português										search						person_outline											arrow_drop_down					menuAll TopicsMy AccountAbout UsFAQContact UsENESPTSigninSignupDashboardProfileLogoutsearch2300 + Lessons | 200 + Topi"&amp;"csIf you’re willing to learn we’re ready to teach– anywhere anytime.								Browse TopicsLearn Your FutureLearn and develop the skills needed to advance in work and life.								Watch videoDid you come to learn? You’re in the right place.Join more than 10"&amp;"0 million people from all walks of life who have come to us to learn the essential skills they need to live and work in the 21st century. Browse our extensive library:TECHNOLOGYWORKCORE SKILLSREADING &amp; MATH All TopicsAbout usWhat is GCFGlobal.org?For almo"&amp;"st 20 years the GCFGlobal.org program has helped millions around the world learn the essential skills they need to live and work in the 21st century by offering self-paced online courses.  We invite you to utilize our courses here and on YouTube and highl"&amp;"y recommend making an account to access all of our services including course tracking view history eCoaching and more!Partner With UsAbout UsWhat does GCFGlobal.org offer?E-learningCareer Coaching (Coming Soon)Stackable Credentials (Coming Soon) From Micr"&amp;"osoft Office and email to reading math and more—GCFGlobal.org offers more than 200 topics including more than 2300 lessons more than 2000 videos and more than 50 interactives and games completely free.  We all have outside responsibilities so we make it e"&amp;"asy for you to learn at your own pace on your own time.  Join more than 100 million people from all walks of life who have come to us to learn the essential skills they need to succeed.Learn with UsFeatured ContentNew TutorialEntrepreneurship 101Learn wha"&amp;"t it takes to become a successful entrepreneur.View TutorialVIDEOZoom BasicsWe'll cover how to set up an account join/host meetings and more.View TutorialCheck out our YouTube playlist on Math Basics!Learning WordPressDiscover how to build your own websit"&amp;"e using WordPress.View TutorialCareers without CollegeLearn about interesting in-demand jobs that don't require a four-year degree.View TutorialTutorialThe What/Why SeriesWhat impacts the past present and future and why are these things so important?View "&amp;"TutorialNEWCheck out our curated playlist on Financial Awareness!Microsoft ExcelPlaylist Lesson: Mobile-friendly featuring more videos and less text.View TutorialEntrepreneurship 101Learn what it takes to become a successful entrepreneur.View TutorialVIDE"&amp;"OZoom BasicsWe'll cover how to set up an account join/host meetings and more.View TutorialCheck out our YouTube playlist on Math Basics!Learning WordPressDiscover how to build your own website using WordPress.View TutorialCareers without CollegeLearn abou"&amp;"t interesting in-demand jobs that don't require a four-year degree.View TutorialThe What/Why SeriesWhat impacts the past present and future and why are these things so important?View TutorialNEWCheck out our curated playlist on Financial Awareness!Microso"&amp;"ft ExcelPlaylist Lesson: Mobile-friendly featuring more videos and less text.View TutorialFrom Our Learners											This video is amazing. You explained typography in a few sentences using this presentation. Also as a designer you have given us an idea "&amp;"and inspiration on what fonts are appropriate to use. Never thought that typography could be this deep. Keep it up!!										 Julius M.											As a teacher in an adult upgrading program at a community college I am grateful to you for making this resou"&amp;"rce available.										 Malcolm M.											As a beginner in Microsoft Office your tutorials were very simple easy to read and understand. Thank you!										 Jeanelle D.Share Your StoryPartner With Uskeyboard_arrow_upkeyboard_arrow_downAbout UsWho We "&amp;"AreMeet the StaffWork With UsWho Uses Us + Our PartnersEducators' ResourcesTeacher GuidesResources and ToolsHelp and SupportFAQTerms of ServicePrivacy NoticeCookie PolicyContact UsMy Account")</f>
        <v>Free Online Learning at GCFGlobal	closesearchsearchmenuTopicscloseI want to...Get started with computersLearn Microsoft OfficeApply for a jobImprove my work skillsDesign nice-looking docsMore...Microsoft OfficeWordExcelPowerPointAccessMore...ComputersGetting StartedSmartphones &amp; TabletsTyping TutorialWindowsOnline LearningMore...The InternetBasic Internet SkillsOnline SafetySocial MediaZoom BasicsEmailMore...GoogleGmailGoogle DocsGoogle SheetsMore...The Job SearchCareer PlanningResume WritingCover LettersJob Search and NetworkingBusiness CommunicationEntrepreneurship 101Careers without CollegeJob Hunt for TodayMore...Skills for Today3D PrintingFreelancing 101Personal FinanceSharing EconomyDecision-MakingMore...Creativity &amp; DesignGraphic DesignCreativityPhotographyImage EditingPhotoshopLearning WordPressMore...Core SkillsMathReadingScienceGrammarLanguage LearningCritical ThinkingMore...For EducatorsTranslationsStaff PicksAll Topics									English									expand_moreexpand_less											English											expand_moreexpand_less											Español																					Português										search						person_outline											arrow_drop_down					menuAll TopicsMy AccountAbout UsFAQContact UsENESPTSigninSignupDashboardProfileLogoutsearch2300 + Lessons | 200 + TopicsIf you’re willing to learn we’re ready to teach– anywhere anytime.								Browse TopicsLearn Your FutureLearn and develop the skills needed to advance in work and life.								Watch videoDid you come to learn? You’re in the right place.Join more than 100 million people from all walks of life who have come to us to learn the essential skills they need to live and work in the 21st century. Browse our extensive library:TECHNOLOGYWORKCORE SKILLSREADING &amp; MATH All TopicsAbout usWhat is GCFGlobal.org?For almost 20 years the GCFGlobal.org program has helped millions around the world learn the essential skills they need to live and work in the 21st century by offering self-paced online courses.  We invite you to utilize our courses here and on YouTube and highly recommend making an account to access all of our services including course tracking view history eCoaching and more!Partner With UsAbout UsWhat does GCFGlobal.org offer?E-learningCareer Coaching (Coming Soon)Stackable Credentials (Coming Soon) From Microsoft Office and email to reading math and more—GCFGlobal.org offers more than 200 topics including more than 2300 lessons more than 2000 videos and more than 50 interactives and games completely free.  We all have outside responsibilities so we make it easy for you to learn at your own pace on your own time.  Join more than 100 million people from all walks of life who have come to us to learn the essential skills they need to succeed.Learn with UsFeatured ContentNew TutorialEntrepreneurship 101Learn what it takes to become a successful entrepreneur.View TutorialVIDEOZoom BasicsWe'll cover how to set up an account join/host meetings and more.View TutorialCheck out our YouTube playlist on Math Basics!Learning WordPressDiscover how to build your own website using WordPress.View TutorialCareers without CollegeLearn about interesting in-demand jobs that don't require a four-year degree.View TutorialTutorialThe What/Why SeriesWhat impacts the past present and future and why are these things so important?View TutorialNEWCheck out our curated playlist on Financial Awareness!Microsoft ExcelPlaylist Lesson: Mobile-friendly featuring more videos and less text.View TutorialEntrepreneurship 101Learn what it takes to become a successful entrepreneur.View TutorialVIDEOZoom BasicsWe'll cover how to set up an account join/host meetings and more.View TutorialCheck out our YouTube playlist on Math Basics!Learning WordPressDiscover how to build your own website using WordPress.View TutorialCareers without CollegeLearn about interesting in-demand jobs that don't require a four-year degree.View TutorialThe What/Why SeriesWhat impacts the past present and future and why are these things so important?View TutorialNEWCheck out our curated playlist on Financial Awareness!Microsoft ExcelPlaylist Lesson: Mobile-friendly featuring more videos and less text.View TutorialFrom Our Learners											This video is amazing. You explained typography in a few sentences using this presentation. Also as a designer you have given us an idea and inspiration on what fonts are appropriate to use. Never thought that typography could be this deep. Keep it up!!										 Julius M.											As a teacher in an adult upgrading program at a community college I am grateful to you for making this resource available.										 Malcolm M.											As a beginner in Microsoft Office your tutorials were very simple easy to read and understand. Thank you!										 Jeanelle D.Share Your StoryPartner With Uskeyboard_arrow_upkeyboard_arrow_downAbout UsWho We AreMeet the StaffWork With UsWho Uses Us + Our PartnersEducators' ResourcesTeacher GuidesResources and ToolsHelp and SupportFAQTerms of ServicePrivacy NoticeCookie PolicyContact UsMy Account</v>
      </c>
    </row>
    <row r="74">
      <c r="A74" s="1" t="s">
        <v>204</v>
      </c>
      <c r="B74" s="1" t="s">
        <v>280</v>
      </c>
      <c r="C74" s="1" t="s">
        <v>281</v>
      </c>
      <c r="D74" s="1">
        <v>8.0</v>
      </c>
      <c r="E74" s="4" t="s">
        <v>282</v>
      </c>
      <c r="F74" s="1" t="s">
        <v>43</v>
      </c>
      <c r="G74" s="1" t="s">
        <v>216</v>
      </c>
      <c r="H74" s="4" t="s">
        <v>217</v>
      </c>
      <c r="I74" s="2">
        <v>0.0</v>
      </c>
      <c r="J74" s="5" t="str">
        <f>IFERROR(__xludf.DUMMYFUNCTION("GOOGLETRANSLATE(A74)"),"youtube")</f>
        <v>youtube</v>
      </c>
      <c r="K74" s="6" t="str">
        <f>IFERROR(__xludf.DUMMYFUNCTION("GOOGLETRANSLATE(B74)"),"How to earn money on YouTube")</f>
        <v>How to earn money on YouTube</v>
      </c>
      <c r="L74" s="5" t="str">
        <f>IFERROR(__xludf.DUMMYFUNCTION("GOOGLETRANSLATE(C74)"),"You can earn money on YouTube by applying for and being accepted to the YouTube Partner Program. Only channels that follow our YouTube channel monetization ...")</f>
        <v>You can earn money on YouTube by applying for and being accepted to the YouTube Partner Program. Only channels that follow our YouTube channel monetization ...</v>
      </c>
      <c r="M74" s="5" t="str">
        <f>IFERROR(__xludf.DUMMYFUNCTION("GOOGLETRANSLATE(G74)"),"Google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75">
      <c r="A75" s="1" t="s">
        <v>204</v>
      </c>
      <c r="B75" s="1" t="s">
        <v>207</v>
      </c>
      <c r="D75" s="1">
        <v>9.0</v>
      </c>
      <c r="E75" s="4" t="s">
        <v>283</v>
      </c>
      <c r="F75" s="1" t="s">
        <v>43</v>
      </c>
      <c r="G75" s="1" t="s">
        <v>284</v>
      </c>
      <c r="H75" s="4" t="s">
        <v>285</v>
      </c>
      <c r="I75" s="2">
        <v>0.0</v>
      </c>
      <c r="J75" s="5" t="str">
        <f>IFERROR(__xludf.DUMMYFUNCTION("GOOGLETRANSLATE(A75)"),"youtube")</f>
        <v>youtube</v>
      </c>
      <c r="K75" s="6" t="str">
        <f>IFERROR(__xludf.DUMMYFUNCTION("GOOGLETRANSLATE(B75)"),"YouTube")</f>
        <v>YouTube</v>
      </c>
      <c r="M75" s="5" t="str">
        <f>IFERROR(__xludf.DUMMYFUNCTION("GOOGLETRANSLATE(G75)"),"Sign in - Google Accountssign Inuse Your Google Accounemail or Phoeforgot Email?not your computer? Use a private browsing window to sign in. Learn Morenextcreate AccountAfrikaansazərBaycanbosanskitalskitalàtinanymraegdanskdeutskeestienglish (United Kingdo"&amp;"m)EnglishEnglish (United States)Español (Spaña)Franágasí)Eusrafilica). Gegalegohrvatsiaisuluíslenslenskaniswahilaswahilaswahilitwahililatvietuvišmagyarmelayaderlandsnorskporturguês (Brasilsilsiluguguês (portugal)romentonsklovenárpslovenven ng Việttttttoελ"&amp;"λληικάбеллууууConаябъгарскикыргыачаікссаі.і.і.і.і.і.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amp;"erms")</f>
        <v>Sign in - Google Accountssign Inuse Your Google Accounemail or Phoeforgot Email?not your computer? Use a private browsing window to sign in. Learn Morenextcreate AccountAfrikaansazərBaycanbosanskitalskitalàtinanymraegdanskdeutskeestienglish (United Kingdom)EnglishEnglish (United States)Español (Spaña)Franágasí)Eusrafilica). Gegalegohrvatsiaisuluíslenslenskaniswahilaswahilaswahilitwahililatvietuvišmagyarmelayaderlandsnorskporturguês (Brasilsilsiluguguês (portugal)romentonsklovenárpslovenven ng ViệttttttoελλληικάбеллууууConаябъгарскикыргыачаікссаі.і.і.і.і.і.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v>
      </c>
    </row>
    <row r="76">
      <c r="A76" s="1" t="s">
        <v>204</v>
      </c>
      <c r="B76" s="1" t="s">
        <v>286</v>
      </c>
      <c r="C76" s="1" t="s">
        <v>287</v>
      </c>
      <c r="D76" s="1">
        <v>10.0</v>
      </c>
      <c r="E76" s="4" t="s">
        <v>288</v>
      </c>
      <c r="F76" s="1" t="s">
        <v>43</v>
      </c>
      <c r="I76" s="2">
        <v>3.0</v>
      </c>
      <c r="J76" s="5" t="str">
        <f>IFERROR(__xludf.DUMMYFUNCTION("GOOGLETRANSLATE(A76)"),"youtube")</f>
        <v>youtube</v>
      </c>
      <c r="K76" s="6" t="str">
        <f>IFERROR(__xludf.DUMMYFUNCTION("GOOGLETRANSLATE(B76)"),"r/YouTube")</f>
        <v>r/YouTube</v>
      </c>
      <c r="L76" s="5" t="str">
        <f>IFERROR(__xludf.DUMMYFUNCTION("GOOGLETRANSLATE(C76)"),"r/youtube: r/YouTube is for discussion about YouTube. This is a fan sub, not run or owned by YouTube! Please read the rules …")</f>
        <v>r/youtube: r/YouTube is for discussion about YouTube. This is a fan sub, not run or owned by YouTube! Please read the rules …</v>
      </c>
      <c r="M76" s="5" t="str">
        <f>IFERROR(__xludf.DUMMYFUNCTION("GOOGLETRANSLATE(G76)"),"#VALUE!")</f>
        <v>#VALUE!</v>
      </c>
    </row>
    <row r="77">
      <c r="A77" s="1" t="s">
        <v>204</v>
      </c>
      <c r="B77" s="1" t="s">
        <v>289</v>
      </c>
      <c r="C77" s="1" t="s">
        <v>290</v>
      </c>
      <c r="D77" s="1">
        <v>11.0</v>
      </c>
      <c r="E77" s="4" t="s">
        <v>291</v>
      </c>
      <c r="F77" s="1" t="s">
        <v>43</v>
      </c>
      <c r="G77" s="1" t="s">
        <v>216</v>
      </c>
      <c r="H77" s="4" t="s">
        <v>217</v>
      </c>
      <c r="I77" s="2">
        <v>0.0</v>
      </c>
      <c r="J77" s="5" t="str">
        <f>IFERROR(__xludf.DUMMYFUNCTION("GOOGLETRANSLATE(A77)"),"youtube")</f>
        <v>youtube</v>
      </c>
      <c r="K77" s="6" t="str">
        <f>IFERROR(__xludf.DUMMYFUNCTION("GOOGLETRANSLATE(B77)"),"Supported YouTube file formats")</f>
        <v>Supported YouTube file formats</v>
      </c>
      <c r="L77" s="5" t="str">
        <f>IFERROR(__xludf.DUMMYFUNCTION("GOOGLETRANSLATE(C77)"),"Supported YouTube file formats ·.MOV ·.MPEG-1 ·.MPEG-2 ·.MPEG4 ·.MP4 ·.MPG ·.AVI ·.WMV .MPEGPS .FLV ...")</f>
        <v>Supported YouTube file formats ·.MOV ·.MPEG-1 ·.MPEG-2 ·.MPEG4 ·.MP4 ·.MPG ·.AVI ·.WMV .MPEGPS .FLV ...</v>
      </c>
      <c r="M77" s="5" t="str">
        <f>IFERROR(__xludf.DUMMYFUNCTION("GOOGLETRANSLATE(G77)"),"Google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78">
      <c r="A78" s="1" t="s">
        <v>204</v>
      </c>
      <c r="B78" s="1" t="s">
        <v>292</v>
      </c>
      <c r="C78" s="1" t="s">
        <v>293</v>
      </c>
      <c r="D78" s="1">
        <v>12.0</v>
      </c>
      <c r="E78" s="4" t="s">
        <v>294</v>
      </c>
      <c r="F78" s="1" t="s">
        <v>43</v>
      </c>
      <c r="G78" s="1" t="s">
        <v>295</v>
      </c>
      <c r="H78" s="4" t="s">
        <v>296</v>
      </c>
      <c r="I78" s="2">
        <v>0.0</v>
      </c>
      <c r="J78" s="5" t="str">
        <f>IFERROR(__xludf.DUMMYFUNCTION("GOOGLETRANSLATE(A78)"),"youtube")</f>
        <v>youtube</v>
      </c>
      <c r="K78" s="6" t="str">
        <f>IFERROR(__xludf.DUMMYFUNCTION("GOOGLETRANSLATE(B78)"),"Explained: What is YouTube?")</f>
        <v>Explained: What is YouTube?</v>
      </c>
      <c r="L78" s="5" t="str">
        <f>IFERROR(__xludf.DUMMYFUNCTION("GOOGLETRANSLATE(C78)"),"YouTube is a video sharing service where users can create their own profile, upload videos, watch, like and comment on other videos.")</f>
        <v>YouTube is a video sharing service where users can create their own profile, upload videos, watch, like and comment on other videos.</v>
      </c>
      <c r="M78" s="5" t="str">
        <f>IFERROR(__xludf.DUMMYFUNCTION("GOOGLETRANSLATE(G78)"),"Webwise - Internet Safety   			Search		    Results for {phrase} ({results_count} of {results_count_total})Displaying {results_count} results of {results_count_total}Show more results...    About usPrivacyContact UsEnglishIrish   ParentsAdvice for ParentsV"&amp;"ideos For ParentsApps ExplainedTalking PointsHow ToGet ResourcesSafer Internet DayTalkListenLearnTeachersAdvice for TeachersClassroom VideosGet ResourcesSchool PolicySupports for ParentsTraining and SupportSafer Internet DayCyberbullying HubYouthJoin the "&amp;"Webwise Youth PanelYouth VideosCasting the NetVideosClassroom VideosParent VideosTeacher VideosSafer Internet DayOrder WristbandsEvents In IrelandGet IdeasSID CompetitionSID SnapsSID Ambassador ProgrammeSID PresentationsSilent Witness CampaignGet Resource"&amp;"sThe Respect EffectConnectedHTML HeroesBeinCtrlMySelfie and the Wider WorldLockersMy Online WorldUP2USThinkB4UClickOther Resources ParentsAdvice for ParentsVideos For ParentsApps ExplainedTalking PointsHow ToGet ResourcesSafer Internet DayTalkListenLearnT"&amp;"eachersAdvice for TeachersClassroom VideosGet ResourcesSchool PolicySupports for ParentsTraining and SupportSafer Internet DayCyberbullying HubYouthJoin the Webwise Youth PanelYouth VideosCasting the NetVideosClassroom VideosParent VideosTeacher VideosSaf"&amp;"er Internet DayOrder WristbandsEvents In IrelandGet IdeasSID CompetitionSID SnapsSID Ambassador ProgrammeSID PresentationsSilent Witness CampaignGet ResourcesThe Respect EffectConnectedHTML HeroesBeinCtrlMySelfie and the Wider WorldLockersMy Online WorldU"&amp;"P2USThinkB4UClickOther ResourcesWelcome to Webwise.ieHere you will find information advice and free education resources addressing a range of internet safety issues and concerns. We offer advice and support for young people teachers and parents.  Parents "&amp;"Teachers TeensTrendingBe Media Smart Includes NEW community-based training programme As part of the Be Media Smart campaign organisations across Ireland are…Read more...Webinar for TeachersTo mark the Be Media Smart Campaign and as part of Global Media an"&amp;"d Information Literacy Week Webwise will host a free webinar for primary teachers on helping pupils develop digital media literacy skills.Read more...Applications OpenThe SID 2024 Ambassador Training Programme is now open for applications from Post-Primar"&amp;"y students. An important aspect…Read more...View moreApps ExplainedWhat is ChatGPT?What is ChatGPT? OpenAI’s ChatGPT is a powerful artificial intelligence chatbot that can answer questions hold text…Learn moreSnapchat's My AISnapchat’s My AI is described "&amp;"by Snapchat as an experimental friendly chatbot currently available to Snapchatters. Initially…Learn moreWhat is BeReal?BeReal is a popular photo-sharing app that lets users share one photo per day to show their…Learn moreView more explainersTeachersWebwi"&amp;"se provides a range of free primary and secondary school teaching resources addressing a range of topics including cyberbullying image-sharing social media and more. Check out our fantastic curriculum-aligned resources and videos. Get ResourcesWebwise off"&amp;"er a range of free internet safety classroom resources for primary and secondary level schools. Learn moreSchool PolicyCreating an AUP is vital for your school. Get started using our free acceptable use policy generator tool. Learn moreTraining &amp; SupportW"&amp;"ebwise offer a range of workshops and training addressing internet safety issues. Learn moreVisit Webwise TeachersParentsBecome a Webwise Parent with our free expert advice how to guides explainers and talking points. Get extra support with our free inter"&amp;"net safety guide for parents. Get ResourcesUse our FREE Parents’ Guide to a better internet to talk to your child about safety online. Learn moreHave the ChatUse our helpful talking points to talk to your child about managing their safety online.  Learn m"&amp;"oreGet AdviceWebwise offer free advice and information on a range of internet safety topics. Learn moreVisit Webwise ParentsVideosClassroom Videos The Webwise Classroom Videos can be accessed via our Youtube channel here: youtube.com/Webwise.   MySelfie V"&amp;"ideos HTML…Orufe and DelapoThe internet is an integral part of our lives providing fantastic opportunities to learn create and connect…#TalkListenLearnThe internet is an integral part of our lives providing fantastic opportunities to learn create and conn"&amp;"ect…View all videosGet HelpHotline.ie exists to combat the distribution and proliferation of illegal content like child sexual abuse content. 1890 610 710info@hotline.ieChildline is a support service for young people up to the age of 18. There is a 24hr t"&amp;"elephone online and mobile phone texting service. 1800 66 66 6650101The National Parents Council Primary enables and empowers parents to be effective partners in their children’s education. +353 1 887 4477helpline@npc.ie Follow Us NewsletterSign up to our"&amp;" newsletter for internet safety news and updates. Subscribe Privacy PolicyAccessibility StatementCookie UsageContact Us Talk to someoneWorried about something you have seen online or concerned about your child? Childline and the National Parents Council P"&amp;"rimary offer free advice and support service.Childline is a support service for young people up to the age of 18.There is a 24hr telephone online and mobile phone texting service. 1800666666 50101 Get startedThe National Parents Council Primary enables an"&amp;"d empowers parents to be effective partners in their children’s education. 01 887 4477 helpline@npc.ieReport Illegal ContentSometimes you might unwittingly stumble across illegal online content like child abuse imagery. Always remember: you can report it "&amp;"and get it removed using Hotline.ie.  More on illegal content Make a reportHotline.ie exists to combat the distribution and proliferation of illegal content like child sexualabuse content in conjunction with police and Internet Industry")</f>
        <v>Webwise - Internet Safety   			Search		    Results for {phrase} ({results_count} of {results_count_total})Displaying {results_count} results of {results_count_total}Show more results...    About usPrivacyContact UsEnglishIrish   ParentsAdvice for ParentsVideos For ParentsApps ExplainedTalking PointsHow ToGet ResourcesSafer Internet DayTalkListenLearnTeachersAdvice for TeachersClassroom VideosGet ResourcesSchool PolicySupports for ParentsTraining and SupportSafer Internet DayCyberbullying HubYouthJoin the Webwise Youth PanelYouth VideosCasting the NetVideosClassroom VideosParent VideosTeacher VideosSafer Internet DayOrder WristbandsEvents In IrelandGet IdeasSID CompetitionSID SnapsSID Ambassador ProgrammeSID PresentationsSilent Witness CampaignGet ResourcesThe Respect EffectConnectedHTML HeroesBeinCtrlMySelfie and the Wider WorldLockersMy Online WorldUP2USThinkB4UClickOther Resources ParentsAdvice for ParentsVideos For ParentsApps ExplainedTalking PointsHow ToGet ResourcesSafer Internet DayTalkListenLearnTeachersAdvice for TeachersClassroom VideosGet ResourcesSchool PolicySupports for ParentsTraining and SupportSafer Internet DayCyberbullying HubYouthJoin the Webwise Youth PanelYouth VideosCasting the NetVideosClassroom VideosParent VideosTeacher VideosSafer Internet DayOrder WristbandsEvents In IrelandGet IdeasSID CompetitionSID SnapsSID Ambassador ProgrammeSID PresentationsSilent Witness CampaignGet ResourcesThe Respect EffectConnectedHTML HeroesBeinCtrlMySelfie and the Wider WorldLockersMy Online WorldUP2USThinkB4UClickOther ResourcesWelcome to Webwise.ieHere you will find information advice and free education resources addressing a range of internet safety issues and concerns. We offer advice and support for young people teachers and parents.  Parents Teachers TeensTrendingBe Media Smart Includes NEW community-based training programme As part of the Be Media Smart campaign organisations across Ireland are…Read more...Webinar for TeachersTo mark the Be Media Smart Campaign and as part of Global Media and Information Literacy Week Webwise will host a free webinar for primary teachers on helping pupils develop digital media literacy skills.Read more...Applications OpenThe SID 2024 Ambassador Training Programme is now open for applications from Post-Primary students. An important aspect…Read more...View moreApps ExplainedWhat is ChatGPT?What is ChatGPT? OpenAI’s ChatGPT is a powerful artificial intelligence chatbot that can answer questions hold text…Learn moreSnapchat's My AISnapchat’s My AI is described by Snapchat as an experimental friendly chatbot currently available to Snapchatters. Initially…Learn moreWhat is BeReal?BeReal is a popular photo-sharing app that lets users share one photo per day to show their…Learn moreView more explainersTeachersWebwise provides a range of free primary and secondary school teaching resources addressing a range of topics including cyberbullying image-sharing social media and more. Check out our fantastic curriculum-aligned resources and videos. Get ResourcesWebwise offer a range of free internet safety classroom resources for primary and secondary level schools. Learn moreSchool PolicyCreating an AUP is vital for your school. Get started using our free acceptable use policy generator tool. Learn moreTraining &amp; SupportWebwise offer a range of workshops and training addressing internet safety issues. Learn moreVisit Webwise TeachersParentsBecome a Webwise Parent with our free expert advice how to guides explainers and talking points. Get extra support with our free internet safety guide for parents. Get ResourcesUse our FREE Parents’ Guide to a better internet to talk to your child about safety online. Learn moreHave the ChatUse our helpful talking points to talk to your child about managing their safety online.  Learn moreGet AdviceWebwise offer free advice and information on a range of internet safety topics. Learn moreVisit Webwise ParentsVideosClassroom Videos The Webwise Classroom Videos can be accessed via our Youtube channel here: youtube.com/Webwise.   MySelfie Videos HTML…Orufe and DelapoThe internet is an integral part of our lives providing fantastic opportunities to learn create and connect…#TalkListenLearnThe internet is an integral part of our lives providing fantastic opportunities to learn create and connect…View all videosGet HelpHotline.ie exists to combat the distribution and proliferation of illegal content like child sexual abuse content. 1890 610 710info@hotline.ieChildline is a support service for young people up to the age of 18. There is a 24hr telephone online and mobile phone texting service. 1800 66 66 6650101The National Parents Council Primary enables and empowers parents to be effective partners in their children’s education. +353 1 887 4477helpline@npc.ie Follow Us NewsletterSign up to our newsletter for internet safety news and updates. Subscribe Privacy PolicyAccessibility StatementCookie UsageContact Us Talk to someoneWorried about something you have seen online or concerned about your child? Childline and the National Parents Council Primary offer free advice and support service.Childline is a support service for young people up to the age of 18.There is a 24hr telephone online and mobile phone texting service. 1800666666 50101 Get startedThe National Parents Council Primary enables and empowers parents to be effective partners in their children’s education. 01 887 4477 helpline@npc.ieReport Illegal ContentSometimes you might unwittingly stumble across illegal online content like child abuse imagery. Always remember: you can report it and get it removed using Hotline.ie.  More on illegal content Make a reportHotline.ie exists to combat the distribution and proliferation of illegal content like child sexualabuse content in conjunction with police and Internet Industry</v>
      </c>
    </row>
    <row r="79">
      <c r="A79" s="1" t="s">
        <v>204</v>
      </c>
      <c r="B79" s="1" t="s">
        <v>297</v>
      </c>
      <c r="C79" s="1" t="s">
        <v>298</v>
      </c>
      <c r="D79" s="1">
        <v>13.0</v>
      </c>
      <c r="E79" s="4" t="s">
        <v>299</v>
      </c>
      <c r="F79" s="1" t="s">
        <v>43</v>
      </c>
      <c r="I79" s="2">
        <v>1.0</v>
      </c>
      <c r="J79" s="5" t="str">
        <f>IFERROR(__xludf.DUMMYFUNCTION("GOOGLETRANSLATE(A79)"),"youtube")</f>
        <v>youtube</v>
      </c>
      <c r="K79" s="6" t="str">
        <f>IFERROR(__xludf.DUMMYFUNCTION("GOOGLETRANSLATE(B79)"),"YouTube Video Maker | Free Online YouTube Editor")</f>
        <v>YouTube Video Maker | Free Online YouTube Editor</v>
      </c>
      <c r="L79" s="5" t="str">
        <f>IFERROR(__xludf.DUMMYFUNCTION("GOOGLETRANSLATE(C79)"),"How to make YouTube videos. Open Canva's YouTube video editor. Select a YouTube video template or start one from scratch. Upload your footage, music, audio ...")</f>
        <v>How to make YouTube videos. Open Canva's YouTube video editor. Select a YouTube video template or start one from scratch. Upload your footage, music, audio ...</v>
      </c>
      <c r="M79" s="5" t="str">
        <f>IFERROR(__xludf.DUMMYFUNCTION("GOOGLETRANSLATE(G79)"),"#VALUE!")</f>
        <v>#VALUE!</v>
      </c>
    </row>
    <row r="80">
      <c r="A80" s="1" t="s">
        <v>204</v>
      </c>
      <c r="B80" s="1" t="s">
        <v>300</v>
      </c>
      <c r="D80" s="1">
        <v>14.0</v>
      </c>
      <c r="E80" s="4" t="s">
        <v>301</v>
      </c>
      <c r="F80" s="1" t="s">
        <v>43</v>
      </c>
      <c r="G80" s="1" t="s">
        <v>302</v>
      </c>
      <c r="H80" s="4" t="s">
        <v>303</v>
      </c>
      <c r="I80" s="2">
        <v>1.0</v>
      </c>
      <c r="J80" s="5" t="str">
        <f>IFERROR(__xludf.DUMMYFUNCTION("GOOGLETRANSLATE(A80)"),"youtube")</f>
        <v>youtube</v>
      </c>
      <c r="K80" s="6" t="str">
        <f>IFERROR(__xludf.DUMMYFUNCTION("GOOGLETRANSLATE(B80)"),"Introduction to YouTube Premium - result from Google Book")</f>
        <v>Introduction to YouTube Premium - result from Google Book</v>
      </c>
      <c r="M80" s="5" t="str">
        <f>IFERROR(__xludf.DUMMYFUNCTION("GOOGLETRANSLATE(G80)"),"Google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1">
      <c r="A81" s="1" t="s">
        <v>204</v>
      </c>
      <c r="B81" s="1" t="s">
        <v>304</v>
      </c>
      <c r="D81" s="1">
        <v>15.0</v>
      </c>
      <c r="E81" s="4" t="s">
        <v>305</v>
      </c>
      <c r="F81" s="1" t="s">
        <v>43</v>
      </c>
      <c r="G81" s="1" t="s">
        <v>302</v>
      </c>
      <c r="H81" s="4" t="s">
        <v>303</v>
      </c>
      <c r="I81" s="2">
        <v>1.0</v>
      </c>
      <c r="J81" s="5" t="str">
        <f>IFERROR(__xludf.DUMMYFUNCTION("GOOGLETRANSLATE(A81)"),"youtube")</f>
        <v>youtube</v>
      </c>
      <c r="K81" s="6" t="str">
        <f>IFERROR(__xludf.DUMMYFUNCTION("GOOGLETRANSLATE(B81)"),"YouTube 4 You - page 7-14 - result from Google Book")</f>
        <v>YouTube 4 You - page 7-14 - result from Google Book</v>
      </c>
      <c r="M81" s="5" t="str">
        <f>IFERROR(__xludf.DUMMYFUNCTION("GOOGLETRANSLATE(G81)"),"Google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2">
      <c r="A82" s="1" t="s">
        <v>204</v>
      </c>
      <c r="B82" s="1" t="s">
        <v>306</v>
      </c>
      <c r="C82" s="1" t="s">
        <v>307</v>
      </c>
      <c r="D82" s="1">
        <v>16.0</v>
      </c>
      <c r="E82" s="4" t="s">
        <v>308</v>
      </c>
      <c r="F82" s="1" t="s">
        <v>43</v>
      </c>
      <c r="G82" s="1" t="s">
        <v>309</v>
      </c>
      <c r="H82" s="4" t="s">
        <v>310</v>
      </c>
      <c r="I82" s="2">
        <v>3.0</v>
      </c>
      <c r="J82" s="5" t="str">
        <f>IFERROR(__xludf.DUMMYFUNCTION("GOOGLETRANSLATE(A82)"),"youtube")</f>
        <v>youtube</v>
      </c>
      <c r="K82" s="6" t="str">
        <f>IFERROR(__xludf.DUMMYFUNCTION("GOOGLETRANSLATE(B82)"),"vidIQ Vision for YouTube")</f>
        <v>vidIQ Vision for YouTube</v>
      </c>
      <c r="L82" s="5" t="str">
        <f>IFERROR(__xludf.DUMMYFUNCTION("GOOGLETRANSLATE(C82)"),"5 days ago -")</f>
        <v>5 days ago -</v>
      </c>
      <c r="M82" s="5" t="str">
        <f>IFERROR(__xludf.DUMMYFUNCTION("GOOGLETRANSLATE(G82)"),"Google Chrome - The Fast &amp; Secure Web Browser Built to be Yours         Google uses cookies to deliver its services to personalize ads and to analyze traffic. You can adjust your privacy controls anytime in your  Google settings or read our cookie policy."&amp;"Ok got itMenuMenuicon chrome logoJump to contentHomeThe Browser by GoogleFeatures              icon-expand-featuresOverviewGoogle address barPassword checkSyncDark modeTabsArticles for youExtensionsSafety              icon-expand-featuresPrivacy on the we"&amp;"bSupport              icon-expand-featuresHelpful tips for ChromeSupport              Get ChromeDownload Chromeclose drawericon chrome logoHomeThe Browser by GoogleFeatures              icon-expand-featuresOverviewGoogle address barPassword checkSyncDark "&amp;"modeTabsArticles for youExtensionsSafety              icon-expand-featuresPrivacy on the webSupport              icon-expand-featuresHelpful tips for ChromeSupport              Get ChromeDownload ChromeFastSafeYoursBy GoogleDownload                    The"&amp;" browser  built to be                   f                  a                  s                  t                  s                  a                  f                  e                  y                  o                  u                  r     "&amp;"             sPause animationPlay animationGet ChromeDownload ChromeFor Windows 10 32-bit.I want to update ChromeFor Windows 11/10 64-bit.I want to update ChromeFor Windows XP/VistaThis device won’t receive updates because Google Chrome no longer supports"&amp;" your operating system.For Windows 8.1/8/7 32-bitThis device won’t receive updates because Google Chrome no longer supports your operating system.For Windows 8.1/8/7 64-bitThis device won’t receive updates because Google Chrome no longer supports your ope"&amp;"rating system.For macOS 10.15 or later.I want to update ChromeThis computer will no longer receive Google Chrome updates because macOS 10.6 - 10.12 are no longer supported.This computer will no longer receive Google Chrome updates because macOS 10.6 - 10."&amp;"12 are no longer supported.This computer will no longer receive Google Chrome updates because macOS 10.6 - 10.12 are no longer supported.This computer will no longer receive Google Chrome updates because macOS 10.6 - 10.12 are no longer supported.For macO"&amp;"S 10.13/10.14This device won’t receive updates because Google Chrome no longer supports your operating system.Debian/Ubuntu/Fedora/openSUSE.I want to update                 Chrome              I want to update ChromeLearn how to                 update    "&amp;"          I want to update ChromeSet Google Chrome as my default browserHelp make Google Chrome better by automatically sending usage statistics and crash reports to Google.                What are crash reports?Help make Google Chrome better by automatic"&amp;"ally sending usage statistics and crash reports to Google.                What are crash reports?Help make Google Chrome better by automatically sending usage statistics and crash reports to Google.                What are crash reports?Help make Google C"&amp;"hrome better by automatically sending usage statistics and crash reports to Google.                What are crash reports?Set Google Chrome as my default browserHelp make Google Chrome better by automatically sending usage statistics and crash reports to "&amp;"Google.                What are crash reports?Help make Google Chrome better by automatically sending usage statistics and crash reports to Google.                What are crash reports?Help make Google Chrome better by automatically sending usage statist"&amp;"ics and crash reports to Google.                What are crash reports?Help make Google Chrome better by automatically sending usage statistics and crash reports to Google.                What are crash reports?Set Google Chrome as my default browserHelp "&amp;"make Google Chrome better by automatically sending usage statistics and crash reports to Google.                What are crash reports?Set Google Chrome as my default browserHelp make Google Chrome better by automatically sending usage statistics and cras"&amp;"h reports to Google.                What are crash reports?Set Google Chrome as my default browserHelp make Google Chrome better by automatically sending usage statistics and crash reports to Google.                What are crash reports?By downloading Ch"&amp;"rome you agree to the Google Terms of Service and Chrome and ChromeOS Additional Terms of ServiceBy downloading Chrome you agree to the Google Terms of Service and Chrome and ChromeOS Additional Terms of ServiceBy downloading Chrome you agree to the Googl"&amp;"e Terms of Service and Chrome and ChromeOS Additional Terms of ServiceBy downloading Chrome you agree to the Google Terms of Service and Chrome and ChromeOS Additional Terms of ServiceBy downloading Chrome you agree to the Google Terms of Service and Chro"&amp;"me and ChromeOS Additional Terms of ServiceBy downloading Chrome you agree to the Google Terms of Service and Chrome and ChromeOS Additional Terms of ServiceBy downloading Chrome you agree to the Google Terms of Service and Chrome and ChromeOS Additional "&amp;"Terms of ServiceBy downloading Chrome you agree to the Google Terms of Service and Chrome and ChromeOS Additional Terms of ServiceBy downloading Chrome you agree to the Google Terms of Service and Chrome and ChromeOS Additional Terms of ServiceBy download"&amp;"ing Chrome you agree to the Google Terms of Service and Chrome and ChromeOS Additional Terms of ServiceBy downloading Chrome you agree to the Google Terms of Service and Chrome and ChromeOS Additional Terms of ServiceBy downloading Chrome you agree to the"&amp;" Google Terms of Service and Chrome and ChromeOS Additional Terms of ServiceBy downloading Chrome you agree to the Google Terms of Service and Chrome and ChromeOS Additional Terms of ServiceBy downloading Chrome you agree to the Google Terms of Service an"&amp;"d Chrome and ChromeOS Additional Terms of ServiceBy downloading Chrome you agree to the Google Terms of Service and Chrome and ChromeOS Additional Terms of ServiceBy downloading Chrome you agree to the Google Terms of Service and Chrome and ChromeOS Addit"&amp;"ional Terms of ServiceBy downloading Chrome you agree to the Google Terms of Service and Chrome and ChromeOS Additional Terms of ServiceBy downloading Chrome you agree to the Google Terms of Service and Chrome and ChromeOS Additional Terms of ServiceBy do"&amp;"wnloading Chrome you agree to the Google Terms of Service and Chrome and ChromeOS Additional Terms of ServiceBy downloading Chrome you agree to the Google Terms of Service and Chrome and ChromeOS Additional Terms of ServiceScroll for                 more "&amp;"                   The             f            a            s            t   way to do things online          Prioritize performance              Chrome is built for performance. Optimize your experience with features like Energy Saver and Memory Saver. "&amp;"     Stay on top of tabs              Chrome has tools to help you manage the tabs you’re not quite ready to close. Group label and color code your tabs to stay organized and work faster.      Optimized for your device              Chrome is built to work"&amp;" with your device across platforms. That means a smooth experience on whatever you’re working with.      Scan for the  Chrome app          Automatic updates              There’s a new Chrome update every four weeks making it easy to have the newest featur"&amp;"es and a faster safer browser.      Prioritize performance              Chrome is built for performance. Optimize your experience with features like Energy Saver and Memory Saver.      Stay on top of tabs              Chrome has tools to help you manage t"&amp;"he tabs you’re not quite ready to close. Group label and color code your tabs to stay organized and work faster.      Optimized for your device              Chrome is built to work with your device across platforms. That means a smooth experience on whate"&amp;"ver you’re working with.      Scan for the  Chrome app          Automatic updates              There’s a new Chrome update every four weeks making it easy to have the newest features and a faster safer browser.       Stay             s            a       "&amp;"     f            e   while you browse          Stay             s            a            f            ewhile you browse          PASSWORD MANAGER          Use strong passwords on every site.              Chrome has Google Password Manager built in which"&amp;" makes it simple to save manage and protect your passwords online. It also helps you create stronger passwords for every account you use.      ENHANCED SAFE BROWSING          Browse with the confidence that you're staying safer online.              Chrome"&amp;"'s Safe Browsing warns you about malware or phishing attacks. Turn on Enhanced Safe Browsing for even more safety protections.      SAFETY CHECK          Check your safety level in real time with just one click.              Chrome's Safety Check confirms"&amp;" the overall security and privacy of your browsing experience including your saved passwords extensions and settings. If something needs attention Chrome will help you fix it.      PRIVACY GUIDE          Keep your privacy under your control with easy-to-u"&amp;"se settings.              Chrome makes it easy to understand exactly what you’re sharing online and who you’re sharing it with. Simply use the Privacy Guide a step-by-step tour of your privacy settings.       Make it             y            o            "&amp;"u            r            s   and take it with you          Make it             y            o            u            r            s   and take it with you          Customize your Chrome    Personalize your web browser with themes dark mode and other opt"&amp;"ions built just for you.      Browse across devices    Sign in to Chrome on any device to access your bookmarks saved passwords and more.      Save time with autofill    Use Chrome to save addresses passwords and more to quickly autofill your details.    "&amp;"  Customize your Chrome    Personalize your web browser with themes dark mode and other options built just for you.      Browse across devices    Sign in to Chrome on any device to access your bookmarks saved passwords and more.      Save time with autofi"&amp;"ll    Use Chrome to save addresses passwords and more to quickly autofill your details.      Extend your experience              From shopping and entertainment to productivity find extensions to improve your experience in the Chrome Web Store.       The "&amp;"browser             b            u            i            l            tby Google      GOOGLE AI          Access AI superpowers while you browse.                  Google is integrating artificial intelligence to make our products more useful. We use AI f"&amp;"or features like Search Google Translate and more and we’re innovating new technologies responsibly.      Google Search          The search bar you love built right in.              Access a world of knowledge at your fingertips. Check the weather solve m"&amp;"ath equations and get instant search results all contained inside your browser’s address bar.      GOOGLE WORKSPACE          Get things done with or without Wi-Fi.          Get things done in Gmail Google Docs Google Slides Google Sheets Google Translate "&amp;"and Google Drive even without an internet connection.Frequently asked questionsHow do I install Chrome?To install Chrome simply download the installation file then look for it in your downloads folder. Open the file and follow the instructions. Once Chrom"&amp;"e is installed you can delete the install file. Learn more about downloading Chrome here.Does Chrome work on my operating system?Chrome is compatible with devices that run Windows and Mac operating systems provided they meet the minimum system requirement"&amp;"s. In order to install Chrome and receive adequate support you must meet the system requirements. Learn more about using Chrome on your device.How do I make Chrome my default browser?You can set Chrome as your default browser on Windows or Mac operating s"&amp;"ystems as well as your iPhone iPad or Android device. When you set Chrome as your default browser any link you click will automatically open in Chrome. Find specific instructions for your device here.What are Chrome's safety settings?Chrome uses cutting-e"&amp;"dge safety and security features to help you manage your safety. Use Safety Check to instantly audit for compromised passwords safe browsing status and any available Chrome updates. Learn more about safety and security on Chrome.      Take your browser wi"&amp;"th you    Download Chrome on your mobile device or tablet and sign into your account for the same browser experience everywhere.Get ChromeDownload Chrome      Scan for the  Chrome app     Follow usYoutubeTwitterFacebook              Chrome FamilyOther Pla"&amp;"tformsChromebooks              Chromecast                            EnterpriseDownload Chrome                 Browser              Chrome Browser for                 Enterprise              Chrome                 Devices              ChromeOS            "&amp;"  Google                 Cloud              Google                 Workspace                            EducationGoogle Chrome                 Browser              Devices              Web                 Store                            Dev and PartnersC"&amp;"hromium              ChromeOS              Chrome Web                 Store              Chrome                 Experiments              Chrome BetaChrome DevChrome Canary              Stay ConnectedGoogle Chrome                 Blog              Update C"&amp;"hromeChrome                 Help              Chrome TipsGooglePrivacy and TermsAbout GoogleGoogle ProductsHelpHelpChange language or regionCatalà - EspanyaDansk - DanmarkDeutsch - DeutschlandEesti - EestiEnglish - AustraliaEnglish - CanadaEnglish - Unite"&amp;"d KingdomEnglish - Hong Kong SAR ChinaEnglish - IrelandEnglish - IndiaEnglish - PhilippinesEnglish - PakistanEnglish - SingaporeEnglish - United StatesEspañol - LatinoaméricaEspañol - EspañaEspañol - Estados UnidosFilipino - PilipinasFrançais - CanadaFran"&amp;"çais - FranceHrvatski - HrvatskaIndonesia - IndonesiaItaliano - ItaliaLatviešu - LatvijaLietuvių - LietuvaMagyar - MagyarországMelayu - MalaysiaNederlands - NederlandNorsk Bokmål - NorgePolski - PolskaPortuguês - PortugalPortuguês - BrasilRomână - România"&amp;"Slovenčina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السعوديةف"&amp;"ارسیहिन्दी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syst"&amp;"em.For Windows 8.1/8/7 32-bitThis device won’t receive updates because Google Chrome no longer supports your operating system.For Windows 8.1/8/7 64-bitThis device won’t receive updates because Google Chrome no longer supports your operating system.Get Ch"&amp;"rome for MacFor macOS 10.15 or later.This computer will no longer receive Google Chrome updates because macOS 10.6 - 10.12 are no longer supported.This computer will no longer receive Google Chrome updates because macOS 10.6 - 10.12 are no longer supporte"&amp;"d.This computer will no longer receive Google Chrome updates because macOS 10.6 - 10.12 are no longer supported.This computer will no longer receive Google Chrome updates because macOS 10.6 - 10.12 are no longer supported.For macOS 10.13/10.14This device "&amp;"won’t receive updates because Google Chrome no longer supports your operating system.Get Chrome for LinuxDebian/Ubuntu/Fedora/openSUSE.Please select your download package:64 bit .deb (For Debian/Ubuntu)64 bit .rpm (For Fedora/openSUSE)Not Debian/Ubuntu or"&amp;" Fedora/openSUSE? There may be a community-supported version for your distribution. See Linux Chromium packagesGet Chrome for iOSGet Chrome for chromeOSGet Chrome for androidSet Google Chrome as my default browserHelp make Google Chrome better by automati"&amp;"cally sending usage statistics and crash reports to Google.                What are crash reports?Note: Installing Google Chrome will add the Google repository so your system will automatically keep Google Chrome up to date. If you don’t want Google's rep"&amp;"ository do “sudo touch /etc/default/google-chrome” before installing the package.By downloading Chrome you agree to the Google Terms of Service and Chrome and ChromeOS Additional Terms of ServiceAccept and installAccept and installAccept and installGet Ch"&amp;"romeDownload for phone or tabletAndroidiOSDownload for another desktop OSWindows 11/10 64-bitWindows 10 32-bitmacOS 10.15 or laterLinuxFrozen versionsWindows XPWindows VistaWindows 8.1/8/7 32-bitWindows 8.1/8/7 64-bitMac 10.6 - 10.8Mac 10.9Mac 10.10Mac 10"&amp;".11 - 10.12Mac 10.13 - 10.14Looks like you’re already using Chrome browser. Nice!The device you have runs on ChromeOS which already has Chrome browser built-in. No need to manually install or update it — with automatic updates you’ll always get the latest"&amp;" version. Learn more about automatic updates.Looking for Chrome for a different operating system?See the full list of supported operating systems.")</f>
        <v>Google Chrome - The Fast &amp; Secure Web Browser Built to be Yours         Google uses cookies to deliver its services to personalize ads and to analyze traffic. You can adjust your privacy controls anytime in your  Google settings or read our cookie policy.Ok got itMenuMenuicon chrome logoJump to contentHomeThe Browser by GoogleFeatures              icon-expand-featuresOverviewGoogle address barPassword checkSyncDark modeTabsArticles for youExtensionsSafety              icon-expand-featuresPrivacy on the webSupport              icon-expand-featuresHelpful tips for ChromeSupport              Get ChromeDownload Chromeclose drawericon chrome logoHomeThe Browser by GoogleFeatures              icon-expand-featuresOverviewGoogle address barPassword checkSyncDark modeTabsArticles for youExtensionsSafety              icon-expand-featuresPrivacy on the webSupport              icon-expand-featuresHelpful tips for ChromeSupport              Get ChromeDownload ChromeFastSafeYoursBy GoogleDownload                    The browser  built to be                   f                  a                  s                  t                  s                  a                  f                  e                  y                  o                  u                  r                  sPause animationPlay animationGet ChromeDownload ChromeFor Windows 10 32-bit.I want to update ChromeFor Windows 11/10 64-bit.I want to update ChromeFor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system.For macOS 10.15 or later.I want to update ChromeThis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system.Debian/Ubuntu/Fedora/openSUSE.I want to update                 Chrome              I want to update ChromeLearn how to                 update              I want to update ChromeSet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ServiceScroll for                 more                    The             f            a            s            t   way to do things online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Stay             s            a            f            e   while you browse          Stay             s            a            f            ewhile you browse          PASSWORD MANAGER          Use strong passwords on every site.              Chrome has Google Password Manager built in which makes it simple to save manage and protect your passwords online. It also helps you create stronger passwords for every account you use.      ENHANCED SAFE BROWSING          Browse with the confidence that you're staying safer online.              Chrome's Safe Browsing warns you about malware or phishing attacks. Turn on Enhanced Safe Browsing for even more safety protections.      SAFETY CHECK          Check your safety level in real time with just one click.              Chrome's Safety Check confirms the overall security and privacy of your browsing experience including your saved passwords extensions and settings. If something needs attention Chrome will help you fix it.      PRIVACY GUIDE          Keep your privacy under your control with easy-to-use settings.              Chrome makes it easy to understand exactly what you’re sharing online and who you’re sharing it with. Simply use the Privacy Guide a step-by-step tour of your privacy settings.       Make it             y            o            u            r            s   and take it with you          Make it             y            o            u            r            s   and take it with you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Extend your experience              From shopping and entertainment to productivity find extensions to improve your experience in the Chrome Web Store.       The browser             b            u            i            l            tby Google      GOOGLE AI          Access AI superpowers while you browse.                  Google is integrating artificial intelligence to make our products more useful. We use AI for features like Search Google Translate and more and we’re innovating new technologies responsibly.      Google Search          The search bar you love built right in.              Access a world of knowledge at your fingertips. Check the weather solve math equations and get instant search results all contained inside your browser’s address bar.      GOOGLE WORKSPACE          Get things done with or without Wi-Fi.          Get things done in Gmail Google Docs Google Slides Google Sheets Google Translate and Google Drive even without an internet connection.Frequently asked questionsHow do I install Chrome?To install Chrome simply download the installation file then look for it in your downloads folder. Open the file and follow the instructions. Once Chrome is installed you can delete the install file. Learn more about downloading Chrome here.Does Chrome work on my operating system?Chrome is compatible with devices that run Windows and Mac operating systems provided they meet the minimum system requirements. In order to install Chrome and receive adequate support you must meet the system requirements. Learn more about using Chrome on your device.How do I make Chrome my default browser?You can set Chrome as your default browser on Windows or Mac operating systems as well as your iPhone iPad or Android device. When you set Chrome as your default browser any link you click will automatically open in Chrome. Find specific instructions for your device here.What are Chrome's safety settings?Chrome uses cutting-edge safety and security features to help you manage your safety. Use Safety Check to instantly audit for compromised passwords safe browsing status and any available Chrome updates. Learn more about safety and security on Chrome.      Take your browser with you    Download Chrome on your mobile device or tablet and sign into your account for the same browser experience everywhere.Get ChromeDownload Chrome      Scan for the  Chrome app     Follow usYoutubeTwitterFacebook              Chrome FamilyOther PlatformsChromebooks              Chromecast                            EnterpriseDownload Chrome                 Browser              Chrome Browser for                 Enterprise              Chrome                 Devices              ChromeOS              Google                 Cloud              Google                 Workspace                            EducationGoogle Chrome                 Browser              Devices              Web                 Store                            Dev and PartnersChromium              ChromeOS              Chrome Web                 Store              Chrome                 Experiments              Chrome BetaChrome DevChrome Canary              Stay ConnectedGoogle Chrome                 Blog              Update ChromeChrome                 Help              Chrome TipsGooglePrivacy and TermsAbout GoogleGoogle ProductsHelpHelpChange language or regionCatalà - EspanyaDansk - DanmarkDeutsch - DeutschlandEesti - EestiEnglish - AustraliaEnglish - CanadaEnglish - United KingdomEnglish - Hong Kong SAR ChinaEnglish - IrelandEnglish - IndiaEnglish - PhilippinesEnglish - PakistanEnglish - SingaporeEnglish - United StatesEspañol - LatinoaméricaEspañol - EspañaEspañol - Estados UnidosFilipino - PilipinasFrançais - CanadaFrançais - FranceHrvatski - HrvatskaIndonesia - IndonesiaItaliano - ItaliaLatviešu - LatvijaLietuvių - LietuvaMagyar - MagyarországMelayu - MalaysiaNederlands - NederlandNorsk Bokmål - NorgePolski - PolskaPortuguês - PortugalPortuguês - BrasilRomână - RomâniaSlovenčina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system.Get Chrome for MacFor macOS 10.15 or later.This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system.Get Chrome for LinuxDebian/Ubuntu/Fedora/openSUSE.Please select your download package:64 bit .deb (For Debian/Ubuntu)64 bit .rpm (For Fedora/openSUSE)Not Debian/Ubuntu or Fedora/openSUSE? There may be a community-supported version for your distribution. See Linux Chromium packagesGet Chrome for iOSGet Chrome for chromeOSGet Chrome for androidSet Google Chrome as my default browserHelp make Google Chrome better by automatically sending usage statistics and crash reports to Google.                What are crash reports?Note: Installing Google Chrome will add the Google repository so your system will automatically keep Google Chrome up to date. If you don’t want Google's repository do “sudo touch /etc/default/google-chrome” before installing the package.By downloading Chrome you agree to the Google Terms of Service and Chrome and ChromeOS Additional Terms of ServiceAccept and installAccept and installAccept and installGet ChromeDownload for phone or tabletAndroidiOSDownload for another desktop OSWindows 11/10 64-bitWindows 10 32-bitmacOS 10.15 or laterLinuxFrozen versionsWindows XPWindows VistaWindows 8.1/8/7 32-bitWindows 8.1/8/7 64-bitMac 10.6 - 10.8Mac 10.9Mac 10.10Mac 10.11 - 10.12Mac 10.13 - 10.14Looks like you’re already using Chrome browser. Nice!The device you have runs on ChromeOS which already has Chrome browser built-in. No need to manually install or update it — with automatic updates you’ll always get the latest version. Learn more about automatic updates.Looking for Chrome for a different operating system?See the full list of supported operating systems.</v>
      </c>
    </row>
    <row r="83">
      <c r="A83" s="1" t="s">
        <v>204</v>
      </c>
      <c r="B83" s="1" t="s">
        <v>311</v>
      </c>
      <c r="C83" s="1" t="s">
        <v>312</v>
      </c>
      <c r="D83" s="1">
        <v>23.0</v>
      </c>
      <c r="E83" s="4" t="s">
        <v>313</v>
      </c>
      <c r="F83" s="1" t="s">
        <v>43</v>
      </c>
      <c r="G83" s="1" t="s">
        <v>27</v>
      </c>
      <c r="H83" s="4" t="s">
        <v>28</v>
      </c>
      <c r="I83" s="2">
        <v>1.0</v>
      </c>
      <c r="J83" s="5" t="str">
        <f>IFERROR(__xludf.DUMMYFUNCTION("GOOGLETRANSLATE(A83)"),"youtube")</f>
        <v>youtube</v>
      </c>
      <c r="K83" s="6" t="str">
        <f>IFERROR(__xludf.DUMMYFUNCTION("GOOGLETRANSLATE(B83)"),"History of YouTube")</f>
        <v>History of YouTube</v>
      </c>
      <c r="L83" s="5" t="str">
        <f>IFERROR(__xludf.DUMMYFUNCTION("GOOGLETRANSLATE(C83)"),"YouTube is an American online video-sharing platform headquartered in San Bruno, California, founded by three former PayPal employees—Chad Hurley, ...")</f>
        <v>YouTube is an American online video-sharing platform headquartered in San Bruno, California, founded by three former PayPal employees—Chad Hurley, ...</v>
      </c>
      <c r="M83" s="5" t="str">
        <f>IFERROR(__xludf.DUMMYFUNCTION("GOOGLETRANSLATE(G83)"),"Wikipedia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84">
      <c r="A84" s="1" t="s">
        <v>204</v>
      </c>
      <c r="B84" s="1" t="s">
        <v>314</v>
      </c>
      <c r="C84" s="1" t="s">
        <v>315</v>
      </c>
      <c r="D84" s="1">
        <v>27.0</v>
      </c>
      <c r="E84" s="4" t="s">
        <v>316</v>
      </c>
      <c r="F84" s="1" t="s">
        <v>43</v>
      </c>
      <c r="G84" s="1" t="s">
        <v>216</v>
      </c>
      <c r="H84" s="4" t="s">
        <v>217</v>
      </c>
      <c r="I84" s="2">
        <v>1.0</v>
      </c>
      <c r="J84" s="5" t="str">
        <f>IFERROR(__xludf.DUMMYFUNCTION("GOOGLETRANSLATE(A84)"),"youtube")</f>
        <v>youtube</v>
      </c>
      <c r="K84" s="6" t="str">
        <f>IFERROR(__xludf.DUMMYFUNCTION("GOOGLETRANSLATE(B84)"),"Upload videos longer than 15 minutes - Android")</f>
        <v>Upload videos longer than 15 minutes - Android</v>
      </c>
      <c r="L84" s="5" t="str">
        <f>IFERROR(__xludf.DUMMYFUNCTION("GOOGLETRANSLATE(C84)"),"Increase your video length limit · Open the YouTube mobile app. · Tap Create """" and then · Select a video longer than 15 minutes. · Choose your video's title, ...")</f>
        <v>Increase your video length limit · Open the YouTube mobile app. · Tap Create "" and then · Select a video longer than 15 minutes. · Choose your video's title, ...</v>
      </c>
      <c r="M84" s="5" t="str">
        <f>IFERROR(__xludf.DUMMYFUNCTION("GOOGLETRANSLATE(G84)"),"Google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85">
      <c r="A85" s="1" t="s">
        <v>204</v>
      </c>
      <c r="B85" s="1" t="s">
        <v>317</v>
      </c>
      <c r="C85" s="1" t="s">
        <v>113</v>
      </c>
      <c r="D85" s="1">
        <v>28.0</v>
      </c>
      <c r="E85" s="4" t="s">
        <v>318</v>
      </c>
      <c r="F85" s="1" t="s">
        <v>43</v>
      </c>
      <c r="G85" s="1" t="s">
        <v>319</v>
      </c>
      <c r="H85" s="4" t="s">
        <v>320</v>
      </c>
      <c r="I85" s="2">
        <v>0.0</v>
      </c>
      <c r="J85" s="5" t="str">
        <f>IFERROR(__xludf.DUMMYFUNCTION("GOOGLETRANSLATE(A85)"),"youtube")</f>
        <v>youtube</v>
      </c>
      <c r="K85" s="6" t="str">
        <f>IFERROR(__xludf.DUMMYFUNCTION("GOOGLETRANSLATE(B85)"),"Montezuma County P&amp;Z Meeting November 9, 2023")</f>
        <v>Montezuma County P&amp;Z Meeting November 9, 2023</v>
      </c>
      <c r="L85" s="5" t="str">
        <f>IFERROR(__xludf.DUMMYFUNCTION("GOOGLETRANSLATE(C85)"),"1 day ago -")</f>
        <v>1 day ago -</v>
      </c>
      <c r="M85" s="5" t="str">
        <f>IFERROR(__xludf.DUMMYFUNCTION("GOOGLETRANSLATE(G85)"),"Montezuma County &lt; Skip to content Board of County Commissioners   Search Search HomeSheriff’s OfficePublic NoticesPublic NoticesRequest for Proposal (RFP) NoticesPlanning Public NoticesDeclarations and ProclamationsResolutions &amp; OrdinancesCurrent Job Ope"&amp;"ningsCalendars &amp; MinutesCalendars &amp; MinutesBoard of Commissioners MinutesCounty CalendarAnnex CalendarCSU Extension CalendarLandfill CalendarFairgrounds CalendarSenior Center CalendarRoad &amp; Bridge CalendarDepartments &amp; ContactsDepartments &amp; ContactsAdmini"&amp;"strationAdministrationCounty AdministratorFinance DepartmentFinance DepartmentAnnual AuditAnnual Final BudgetMonthly Financial StatementsMonthly Accounts PayableHuman ResourcesAssessor’s OfficeAssessor’s OfficeSearch Property RecordsMontezuma County GIS V"&amp;"iewerSample Tax Calculations for Residential Commercial &amp; Vacant PropertiesProtest &amp; Appeal ProceduresAgricultural Land ClassificationGlossary of Assessors Office TermsClerk &amp; RecorderClerk &amp; RecorderElections OfficeSearch County RecordsCSU ExtensionCSU E"&amp;"xtensionCSU AgricultureCSU Natural ResourcesCSU Family and Consumer SciencesCSU 4-H Youth DevelopmentCSU About UsCSU Programming AreasCSU Other ResourcesCSU Extension CalendarDistrict AttorneyFairgroundsFairgroundsMontezuma County FairMontezuma County Fai"&amp;"r BoardRacetrackGIS &amp; MappingGIS &amp; MappingAddressingAvailable GIS MapsDownload GIS DataGIS Terms of UseInformation TechnologyLandfillLandfillRecyclingLandfill Tipping FeesSpecial WastesNatural Resources and Public LandsPlanning &amp; ZoningPlanning &amp; ZoningBu"&amp;"ilding in Montezuma CountyBoard Appointments &amp; TermsPublic HealthPublic HealthSecure Transportation and Licensing InformationCOVID-19 Information and ResourcesFamily ServicesPrevention ServicesEmergency PreparednessEnvironmental HealthCommunities That Car"&amp;"ePublic TransportationRoad &amp; BridgeSenior ServicesSheriff’s OfficeSheriff’s OfficeCivil DivisionDetective DivisionDetention DivisionEvidence and Found PropertyPatrol DivisionPosseRecordsSex OffendersSearch and RescuePolicy ManualSocial ServicesSocial Serv"&amp;"icesAdult Protection ServicesCash Assistance ProgramsChild Protective ServicesChild Support ServicesFood AssistanceFoster a ChildLEAPMedical AssistanceINVESTIGATION UNITSocial Services LinksTreasurer / Public TrusteeNoxious Weed ProgramNoxious Weed Progra"&amp;"mRe-Seeding Grass Recommendations for PasturesVeteran ServicesServicesServicesAttorneyAuditorCoronerCortez Cemetery DistrictDistrict AttorneyDistrict AttorneyAdult Diversion Eligibility RequirementsJuvenile Restorative Justice and Diversion EligibilityVic"&amp;"tim Compensation ProgramOffice of Emergency ManagementSurveyorVeteran ServicesPublic TransportationTreasurer / Public TrusteeOnline ServicesMontezuma County FairLinksLinksMontezuma County FairBehavioral HealthBoard of County Commissioners  MenuHomeSheriff"&amp;"’s OfficePublic NoticesPublic NoticesRequest for Proposal (RFP) NoticesPlanning Public NoticesDeclarations and ProclamationsResolutions &amp; OrdinancesCurrent Job OpeningsCalendars &amp; MinutesCalendars &amp; MinutesBoard of Commissioners MinutesCounty CalendarAnne"&amp;"x CalendarCSU Extension CalendarLandfill CalendarFairgrounds CalendarSenior Center CalendarRoad &amp; Bridge CalendarDepartments &amp; ContactsDepartments &amp; ContactsAdministrationAdministrationCounty AdministratorFinance DepartmentFinance DepartmentAnnual AuditAn"&amp;"nual Final BudgetMonthly Financial StatementsMonthly Accounts PayableHuman ResourcesAssessor’s OfficeAssessor’s OfficeSearch Property RecordsMontezuma County GIS ViewerSample Tax Calculations for Residential Commercial &amp; Vacant PropertiesProtest &amp; Appeal "&amp;"ProceduresAgricultural Land ClassificationGlossary of Assessors Office TermsClerk &amp; RecorderClerk &amp; RecorderElections OfficeSearch County RecordsCSU ExtensionCSU ExtensionCSU AgricultureCSU Natural ResourcesCSU Family and Consumer SciencesCSU 4-H Youth De"&amp;"velopmentCSU About UsCSU Programming AreasCSU Other ResourcesCSU Extension CalendarDistrict AttorneyFairgroundsFairgroundsMontezuma County FairMontezuma County Fair BoardRacetrackGIS &amp; MappingGIS &amp; MappingAddressingAvailable GIS MapsDownload GIS DataGIS T"&amp;"erms of UseInformation TechnologyLandfillLandfillRecyclingLandfill Tipping FeesSpecial WastesNatural Resources and Public LandsPlanning &amp; ZoningPlanning &amp; ZoningBuilding in Montezuma CountyBoard Appointments &amp; TermsPublic HealthPublic HealthSecure Transpo"&amp;"rtation and Licensing InformationCOVID-19 Information and ResourcesFamily ServicesPrevention ServicesEmergency PreparednessEnvironmental HealthCommunities That CarePublic TransportationRoad &amp; BridgeSenior ServicesSheriff’s OfficeSheriff’s OfficeCivil Divi"&amp;"sionDetective DivisionDetention DivisionEvidence and Found PropertyPatrol DivisionPosseRecordsSex OffendersSearch and RescuePolicy ManualSocial ServicesSocial ServicesAdult Protection ServicesCash Assistance ProgramsChild Protective ServicesChild Support "&amp;"ServicesFood AssistanceFoster a ChildLEAPMedical AssistanceINVESTIGATION UNITSocial Services LinksTreasurer / Public TrusteeNoxious Weed ProgramNoxious Weed ProgramRe-Seeding Grass Recommendations for PasturesVeteran ServicesServicesServicesAttorneyAudito"&amp;"rCoronerCortez Cemetery DistrictDistrict AttorneyDistrict AttorneyAdult Diversion Eligibility RequirementsJuvenile Restorative Justice and Diversion EligibilityVictim Compensation ProgramOffice of Emergency ManagementSurveyorVeteran ServicesPublic Transpo"&amp;"rtationTreasurer / Public TrusteeOnline ServicesMontezuma County FairLinksLinksMontezuma County FairBehavioral HealthBoard of County Commissioners Welcome toMontezuma County  Commissioners Agenda BOCC Minutes Online Services Departments News Facebook Yout"&amp;"ube    Spotlight    						PUBLIC NOTICE NOTICE OF COORDINATED ELECTION November 72023					PUBLIC NOTICENOTICE OF COORDINATED ELECTION November 7 2023 TO THE ELECTORS OF MONTEZUMA COUNTY STATE OF COLORADOCOUNTY OF MONTEZUMA ln accordance with											Cli"&amp;"ck to learn more											Montezuma County Emergency Alert System					After recent local problems with the Nixle system as well as the widely publicized issues with the alert and notification											Click to learn more											Resolution No.18-2023 "&amp;"SUSPENSION OF BAN ON OPEN FIRES AND USE OF FIREWORKS					Resolution RESOLUTION NO. 18-2023 SUSPENSION OF BAN ON OPEN FIRES AND USE OF FIREWORKS WHEREAS Montezuma County Ordinance No. 2-2015											Click to learn more											Montezuma County Road and"&amp;" Bridge: Alkali Creek Bridge replacement update					Getting closer!The past couple of weeks have been spent completing small projects at the bridge. D&amp;L Construction is applying a											Click to learn more											Montezuma County Road and Bridge: C"&amp;"ounty Road N will be closed between Roads 21 and 22 beginning May 30 for the replacement of the Alkali Creek bridge.					County Road N will be closed between Roads 21 and 22 beginning May 30 for the replacement of the Alkali											Click to learn more	"&amp;"				  						Montezuma county broadband initiative											Can you help us for a few minutes? Colorado is getting up to $1 billion over five years to improve the internet. Montezuma County and Region 9 want some of this money to improve the ""middle mile"&amp;""" of the internet which is like building a highway before adding smaller connections to homes. They are waiting for a decision about a grant but need to collect information now. We need to know how fast and reliable the internet is in the area. This will"&amp;" help us ask for more money from the State to improve it. Optimap is a data base that collects information about internet speed in different places. Please test your internet speed at home and share this link with your family and friends. Thank you for yo"&amp;"ur help!											Click Here					 Dolly Parton's Imagination LibraryNews  				YouTube: Montezuma County P&amp;Z Meeting November 9 2023						Read More »					November 9 2023						Public Notice – Noxious Weed Advisory Board meeting						Read More »					Novembe"&amp;"r 7 2023						Senior Services November MENU						Read More »					November 6 2023						Road &amp; Bridge Work Calendar- November 2023						Read More »					November 2 2023						Montezuma County Veterans Services Newsletter November 2023						Read More »					Nov"&amp;"ember 1 2023						BOCC Minutes October 24 2023						Read More »					November 1 2023						YouTube: Montezuma County BOCC Meeting October 31 2023						Read More »					October 31 2023						YouTube: Montezuma County BOCC Workshop October 30 2023						Read Mor"&amp;"e »					October 30 2023		 Load MoreNo more posts to show  Sign up for Montezuma County  alerts! Fire RestrictionsAdvisory &amp; Air Quality Forecast Air Quality Index Statewide 						Access and Functional Needs Referral to Montezuma County Office of Emergency"&amp;" Management											Fill the form out Today!											2023 Spring Water Run-off											Click Here					HomeSheriff’s OfficePublic NoticesPublic NoticesRequest for Proposal (RFP) NoticesPlanning Public NoticesDeclarations and ProclamationsResolutions "&amp;"&amp; OrdinancesCurrent Job OpeningsCalendars &amp; MinutesCalendars &amp; MinutesBoard of Commissioners MinutesCounty CalendarAnnex CalendarCSU Extension CalendarLandfill CalendarFairgrounds CalendarSenior Center CalendarRoad &amp; Bridge CalendarDepartments &amp; ContactsD"&amp;"epartments &amp; ContactsAdministrationAdministrationCounty AdministratorFinance DepartmentFinance DepartmentAnnual AuditAnnual Final BudgetMonthly Financial StatementsMonthly Accounts PayableHuman ResourcesAssessor’s OfficeAssessor’s OfficeSearch Property Re"&amp;"cordsMontezuma County GIS ViewerSample Tax Calculations for Residential Commercial &amp; Vacant PropertiesProtest &amp; Appeal ProceduresAgricultural Land ClassificationGlossary of Assessors Office TermsClerk &amp; RecorderClerk &amp; RecorderElections OfficeSearch Count"&amp;"y RecordsCSU ExtensionCSU ExtensionCSU AgricultureCSU Natural ResourcesCSU Family and Consumer SciencesCSU 4-H Youth DevelopmentCSU About UsCSU Programming AreasCSU Other ResourcesCSU Extension CalendarDistrict AttorneyFairgroundsFairgroundsMontezuma Coun"&amp;"ty FairMontezuma County Fair BoardRacetrackGIS &amp; MappingGIS &amp; MappingAddressingAvailable GIS MapsDownload GIS DataGIS Terms of UseInformation TechnologyLandfillLandfillRecyclingLandfill Tipping FeesSpecial WastesNatural Resources and Public LandsPlanning "&amp;"&amp; ZoningPlanning &amp; ZoningBuilding in Montezuma CountyBoard Appointments &amp; TermsPublic HealthPublic HealthSecure Transportation and Licensing InformationCOVID-19 Information and ResourcesFamily ServicesPrevention ServicesEmergency PreparednessEnvironmental"&amp;" HealthCommunities That CarePublic TransportationRoad &amp; BridgeSenior ServicesSheriff’s OfficeSheriff’s OfficeCivil DivisionDetective DivisionDetention DivisionEvidence and Found PropertyPatrol DivisionPosseRecordsSex OffendersSearch and RescuePolicy Manua"&amp;"lSocial ServicesSocial ServicesAdult Protection ServicesCash Assistance ProgramsChild Protective ServicesChild Support ServicesFood AssistanceFoster a ChildLEAPMedical AssistanceINVESTIGATION UNITSocial Services LinksTreasurer / Public TrusteeNoxious Weed"&amp;" ProgramNoxious Weed ProgramRe-Seeding Grass Recommendations for PasturesVeteran ServicesServicesServicesAttorneyAuditorCoronerCortez Cemetery DistrictDistrict AttorneyDistrict AttorneyAdult Diversion Eligibility RequirementsJuvenile Restorative Justice a"&amp;"nd Diversion EligibilityVictim Compensation ProgramOffice of Emergency ManagementSurveyorVeteran ServicesPublic TransportationTreasurer / Public TrusteeOnline ServicesMontezuma County FairLinksLinksMontezuma County FairBehavioral HealthBoard of County Com"&amp;"missioners HomeSheriff’s OfficePublic NoticesPublic NoticesRequest for Proposal (RFP) NoticesPlanning Public NoticesDeclarations and ProclamationsResolutions &amp; OrdinancesCurrent Job OpeningsCalendars &amp; MinutesCalendars &amp; MinutesBoard of Commissioners Minu"&amp;"tesCounty CalendarAnnex CalendarCSU Extension CalendarLandfill CalendarFairgrounds CalendarSenior Center CalendarRoad &amp; Bridge CalendarDepartments &amp; ContactsDepartments &amp; ContactsAdministrationAdministrationCounty AdministratorFinance DepartmentFinance De"&amp;"partmentAnnual AuditAnnual Final BudgetMonthly Financial StatementsMonthly Accounts PayableHuman ResourcesAssessor’s OfficeAssessor’s OfficeSearch Property RecordsMontezuma County GIS ViewerSample Tax Calculations for Residential Commercial &amp; Vacant Prope"&amp;"rtiesProtest &amp; Appeal ProceduresAgricultural Land ClassificationGlossary of Assessors Office TermsClerk &amp; RecorderClerk &amp; RecorderElections OfficeSearch County RecordsCSU ExtensionCSU ExtensionCSU AgricultureCSU Natural ResourcesCSU Family and Consumer Sc"&amp;"iencesCSU 4-H Youth DevelopmentCSU About UsCSU Programming AreasCSU Other ResourcesCSU Extension CalendarDistrict AttorneyFairgroundsFairgroundsMontezuma County FairMontezuma County Fair BoardRacetrackGIS &amp; MappingGIS &amp; MappingAddressingAvailable GIS Maps"&amp;"Download GIS DataGIS Terms of UseInformation TechnologyLandfillLandfillRecyclingLandfill Tipping FeesSpecial WastesNatural Resources and Public LandsPlanning &amp; ZoningPlanning &amp; ZoningBuilding in Montezuma CountyBoard Appointments &amp; TermsPublic HealthPubli"&amp;"c HealthSecure Transportation and Licensing InformationCOVID-19 Information and ResourcesFamily ServicesPrevention ServicesEmergency PreparednessEnvironmental HealthCommunities That CarePublic TransportationRoad &amp; BridgeSenior ServicesSheriff’s OfficeSher"&amp;"iff’s OfficeCivil DivisionDetective DivisionDetention DivisionEvidence and Found PropertyPatrol DivisionPosseRecordsSex OffendersSearch and RescuePolicy ManualSocial ServicesSocial ServicesAdult Protection ServicesCash Assistance ProgramsChild Protective "&amp;"ServicesChild Support ServicesFood AssistanceFoster a ChildLEAPMedical AssistanceINVESTIGATION UNITSocial Services LinksTreasurer / Public TrusteeNoxious Weed ProgramNoxious Weed ProgramRe-Seeding Grass Recommendations for PasturesVeteran ServicesServices"&amp;"ServicesAttorneyAuditorCoronerCortez Cemetery DistrictDistrict AttorneyDistrict AttorneyAdult Diversion Eligibility RequirementsJuvenile Restorative Justice and Diversion EligibilityVictim Compensation ProgramOffice of Emergency ManagementSurveyorVeteran "&amp;"ServicesPublic TransportationTreasurer / Public TrusteeOnline ServicesMontezuma County FairLinksLinksMontezuma County FairBehavioral HealthBoard of County Commissioners  Online ServicesCopyright © 2023. Montezuma County CO. All Rights Reserved. Facebook Y"&amp;"outube Skip to contentOpen toolbarAccessibility Tools Accessibility ToolsIncrease TextIncrease Text Decrease TextDecrease Text GrayscaleGrayscale High ContrastHigh Contrast Negative ContrastNegative Contrast Light BackgroundLight Background Links Underlin"&amp;"eLinks Underline Readable FontReadable Font ResetResetSitemapSitemap ")</f>
        <v>Montezuma County &lt; Skip to content Board of County Commissioners   Search Search 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MenuHomeSheriff’s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Welcome toMontezuma County  Commissioners Agenda BOCC Minutes Online Services Departments News Facebook Youtube    Spotlight    						PUBLIC NOTICE NOTICE OF COORDINATED ELECTION November 72023					PUBLIC NOTICENOTICE OF COORDINATED ELECTION November 7 2023 TO THE ELECTORS OF MONTEZUMA COUNTY STATE OF COLORADOCOUNTY OF MONTEZUMA ln accordance with											Click to learn more											Montezuma County Emergency Alert System					After recent local problems with the Nixle system as well as the widely publicized issues with the alert and notification											Click to learn more											Resolution No.18-2023 SUSPENSION OF BAN ON OPEN FIRES AND USE OF FIREWORKS					Resolution RESOLUTION NO. 18-2023 SUSPENSION OF BAN ON OPEN FIRES AND USE OF FIREWORKS WHEREAS Montezuma County Ordinance No. 2-2015											Click to learn more											Montezuma County Road and Bridge: Alkali Creek Bridge replacement update					Getting closer!The past couple of weeks have been spent completing small projects at the bridge. D&amp;L Construction is applying a											Click to learn more											Montezuma County Road and Bridge: County Road N will be closed between Roads 21 and 22 beginning May 30 for the replacement of the Alkali Creek bridge.					County Road N will be closed between Roads 21 and 22 beginning May 30 for the replacement of the Alkali											Click to learn more					  						Montezuma county broadband initiative											Can you help us for a few minutes? Colorado is getting up to $1 billion over five years to improve the internet. Montezuma County and Region 9 want some of this money to improve the "middle mile" of the internet which is like building a highway before adding smaller connections to homes. They are waiting for a decision about a grant but need to collect information now. We need to know how fast and reliable the internet is in the area. This will help us ask for more money from the State to improve it. Optimap is a data base that collects information about internet speed in different places. Please test your internet speed at home and share this link with your family and friends. Thank you for your help!											Click Here					 Dolly Parton's Imagination LibraryNews  				YouTube: Montezuma County P&amp;Z Meeting November 9 2023						Read More »					November 9 2023						Public Notice – Noxious Weed Advisory Board meeting						Read More »					November 7 2023						Senior Services November MENU						Read More »					November 6 2023						Road &amp; Bridge Work Calendar- November 2023						Read More »					November 2 2023						Montezuma County Veterans Services Newsletter November 2023						Read More »					November 1 2023						BOCC Minutes October 24 2023						Read More »					November 1 2023						YouTube: Montezuma County BOCC Meeting October 31 2023						Read More »					October 31 2023						YouTube: Montezuma County BOCC Workshop October 30 2023						Read More »					October 30 2023		 Load MoreNo more posts to show  Sign up for Montezuma County  alerts! Fire RestrictionsAdvisory &amp; Air Quality Forecast Air Quality Index Statewide 						Access and Functional Needs Referral to Montezuma County Office of Emergency Management											Fill the form out Today!											2023 Spring Water Run-off											Click Here					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Online ServicesCopyright © 2023. Montezuma County CO. All Rights Reserved. Facebook Youtube Skip to contentOpen toolbarAccessibility Tools Accessibility ToolsIncrease TextIncrease Text Decrease TextDecrease Text GrayscaleGrayscale High ContrastHigh Contrast Negative ContrastNegative Contrast Light BackgroundLight Background Links UnderlineLinks Underline Readable FontReadable Font ResetResetSitemapSitemap </v>
      </c>
    </row>
    <row r="86">
      <c r="A86" s="1" t="s">
        <v>204</v>
      </c>
      <c r="B86" s="1" t="s">
        <v>321</v>
      </c>
      <c r="D86" s="1">
        <v>29.0</v>
      </c>
      <c r="E86" s="4" t="s">
        <v>322</v>
      </c>
      <c r="F86" s="1" t="s">
        <v>43</v>
      </c>
      <c r="G86" s="1" t="s">
        <v>302</v>
      </c>
      <c r="H86" s="4" t="s">
        <v>303</v>
      </c>
      <c r="I86" s="2">
        <v>0.0</v>
      </c>
      <c r="J86" s="5" t="str">
        <f>IFERROR(__xludf.DUMMYFUNCTION("GOOGLETRANSLATE(A86)"),"youtube")</f>
        <v>youtube</v>
      </c>
      <c r="K86" s="6" t="str">
        <f>IFERROR(__xludf.DUMMYFUNCTION("GOOGLETRANSLATE(B86)"),"YouTube: An Insider's Guide to Climbing the Charts")</f>
        <v>YouTube: An Insider's Guide to Climbing the Charts</v>
      </c>
      <c r="L86" s="5" t="str">
        <f>IFERROR(__xludf.DUMMYFUNCTION("GOOGLETRANSLATE(C86)"),"#VALUE!")</f>
        <v>#VALUE!</v>
      </c>
      <c r="M86" s="5" t="str">
        <f>IFERROR(__xludf.DUMMYFUNCTION("GOOGLETRANSLATE(G86)"),"Google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7">
      <c r="A87" s="1" t="s">
        <v>204</v>
      </c>
      <c r="B87" s="1" t="s">
        <v>323</v>
      </c>
      <c r="D87" s="1">
        <v>30.0</v>
      </c>
      <c r="E87" s="4" t="s">
        <v>324</v>
      </c>
      <c r="F87" s="1" t="s">
        <v>43</v>
      </c>
      <c r="G87" s="1" t="s">
        <v>302</v>
      </c>
      <c r="H87" s="4" t="s">
        <v>303</v>
      </c>
      <c r="I87" s="2">
        <v>1.0</v>
      </c>
      <c r="J87" s="5" t="str">
        <f>IFERROR(__xludf.DUMMYFUNCTION("GOOGLETRANSLATE(A87)"),"youtube")</f>
        <v>youtube</v>
      </c>
      <c r="K87" s="6" t="str">
        <f>IFERROR(__xludf.DUMMYFUNCTION("GOOGLETRANSLATE(B87)"),"YouTube marketing is the result from Google Book")</f>
        <v>YouTube marketing is the result from Google Book</v>
      </c>
      <c r="L87" s="5" t="str">
        <f>IFERROR(__xludf.DUMMYFUNCTION("GOOGLETRANSLATE(C87)"),"#VALUE!")</f>
        <v>#VALUE!</v>
      </c>
      <c r="M87" s="5" t="str">
        <f>IFERROR(__xludf.DUMMYFUNCTION("GOOGLETRANSLATE(G87)"),"Google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8">
      <c r="A88" s="1" t="s">
        <v>204</v>
      </c>
      <c r="B88" s="1" t="s">
        <v>325</v>
      </c>
      <c r="C88" s="1" t="s">
        <v>326</v>
      </c>
      <c r="D88" s="1">
        <v>31.0</v>
      </c>
      <c r="E88" s="4" t="s">
        <v>327</v>
      </c>
      <c r="F88" s="1" t="s">
        <v>43</v>
      </c>
      <c r="G88" s="1" t="s">
        <v>328</v>
      </c>
      <c r="H88" s="4" t="s">
        <v>329</v>
      </c>
      <c r="I88" s="2">
        <v>3.0</v>
      </c>
      <c r="J88" s="5" t="str">
        <f>IFERROR(__xludf.DUMMYFUNCTION("GOOGLETRANSLATE(A88)"),"youtube")</f>
        <v>youtube</v>
      </c>
      <c r="K88" s="6" t="str">
        <f>IFERROR(__xludf.DUMMYFUNCTION("GOOGLETRANSLATE(B88)"),"Account")</f>
        <v>Account</v>
      </c>
      <c r="L88" s="5" t="str">
        <f>IFERROR(__xludf.DUMMYFUNCTION("GOOGLETRANSLATE(C88)"),"Google services, from Chrome to YouTube, work better and help you do more when you're signed in. Your account gives you access to helpful features like ...")</f>
        <v>Google services, from Chrome to YouTube, work better and help you do more when you're signed in. Your account gives you access to helpful features like ...</v>
      </c>
      <c r="M88" s="5" t="str">
        <f>IFERROR(__xludf.DUMMYFUNCTION("GOOGLETRANSLATE(G88)"),"GoogleSearchImagesMapsPlayYouTubeNewsGmailDriveMoreCalendarTranslateMobileBooksShoppingBloggerFinancePhotosDocsEven more »Account OptionsSign inSearch settingsWeb History Advanced searchLearn how Google supports veteransAdvertisingBusiness SolutionsAbout "&amp;"Google© 2023 - Privacy - Terms")</f>
        <v>GoogleSearchImagesMapsPlayYouTubeNewsGmailDriveMoreCalendarTranslateMobileBooksShoppingBloggerFinancePhotosDocsEven more »Account OptionsSign inSearch settingsWeb History Advanced searchLearn how Google supports veteransAdvertisingBusiness SolutionsAbout Google© 2023 - Privacy - Terms</v>
      </c>
    </row>
    <row r="89">
      <c r="A89" s="1" t="s">
        <v>204</v>
      </c>
      <c r="B89" s="1" t="s">
        <v>330</v>
      </c>
      <c r="D89" s="1">
        <v>32.0</v>
      </c>
      <c r="E89" s="4" t="s">
        <v>331</v>
      </c>
      <c r="F89" s="1" t="s">
        <v>43</v>
      </c>
      <c r="G89" s="1" t="s">
        <v>302</v>
      </c>
      <c r="H89" s="4" t="s">
        <v>303</v>
      </c>
      <c r="I89" s="2">
        <v>0.0</v>
      </c>
      <c r="J89" s="5" t="str">
        <f>IFERROR(__xludf.DUMMYFUNCTION("GOOGLETRANSLATE(A89)"),"youtube")</f>
        <v>youtube</v>
      </c>
      <c r="K89" s="6" t="str">
        <f>IFERROR(__xludf.DUMMYFUNCTION("GOOGLETRANSLATE(B89)"),"Wikipedia will explain everything, YouTube will show everything")</f>
        <v>Wikipedia will explain everything, YouTube will show everything</v>
      </c>
      <c r="L89" s="5" t="str">
        <f>IFERROR(__xludf.DUMMYFUNCTION("GOOGLETRANSLATE(C89)"),"#VALUE!")</f>
        <v>#VALUE!</v>
      </c>
      <c r="M89" s="5" t="str">
        <f>IFERROR(__xludf.DUMMYFUNCTION("GOOGLETRANSLATE(G89)"),"Google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90">
      <c r="A90" s="1" t="s">
        <v>332</v>
      </c>
      <c r="B90" s="1" t="s">
        <v>333</v>
      </c>
      <c r="C90" s="1" t="s">
        <v>334</v>
      </c>
      <c r="D90" s="1">
        <v>1.0</v>
      </c>
      <c r="E90" s="4" t="s">
        <v>335</v>
      </c>
      <c r="F90" s="1" t="s">
        <v>16</v>
      </c>
      <c r="G90" s="1" t="s">
        <v>336</v>
      </c>
      <c r="H90" s="4" t="s">
        <v>337</v>
      </c>
      <c r="I90" s="2">
        <v>1.0</v>
      </c>
      <c r="J90" s="5" t="str">
        <f>IFERROR(__xludf.DUMMYFUNCTION("GOOGLETRANSLATE(A90)"),"Avatar 2")</f>
        <v>Avatar 2</v>
      </c>
      <c r="K90" s="6" t="str">
        <f>IFERROR(__xludf.DUMMYFUNCTION("GOOGLETRANSLATE(B90)"),"Avatar: Water Way, 2022 - Description, interesting facts")</f>
        <v>Avatar: Water Way, 2022 - Description, interesting facts</v>
      </c>
      <c r="L90" s="5" t="str">
        <f>IFERROR(__xludf.DUMMYFUNCTION("GOOGLETRANSLATE(C90)"),"After the adoption of the image of the avatar, the soldier Jake Sally becomes the leader of the Na'vi people and takes the mission to protect new friends from selfish ...")</f>
        <v>After the adoption of the image of the avatar, the soldier Jake Sally becomes the leader of the Na'vi people and takes the mission to protect new friends from selfish ...</v>
      </c>
      <c r="M90" s="5" t="str">
        <f>IFERROR(__xludf.DUMMYFUNCTION("GOOGLETRANSLATE(G90)"),"Oh!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91">
      <c r="A91" s="1" t="s">
        <v>332</v>
      </c>
      <c r="B91" s="1" t="s">
        <v>338</v>
      </c>
      <c r="C91" s="1" t="s">
        <v>339</v>
      </c>
      <c r="D91" s="1">
        <v>2.0</v>
      </c>
      <c r="E91" s="4" t="s">
        <v>340</v>
      </c>
      <c r="F91" s="1" t="s">
        <v>16</v>
      </c>
      <c r="G91" s="1" t="s">
        <v>31</v>
      </c>
      <c r="H91" s="4" t="s">
        <v>32</v>
      </c>
      <c r="I91" s="2">
        <v>0.0</v>
      </c>
      <c r="J91" s="5" t="str">
        <f>IFERROR(__xludf.DUMMYFUNCTION("GOOGLETRANSLATE(A91)"),"Avatar 2")</f>
        <v>Avatar 2</v>
      </c>
      <c r="K91" s="6" t="str">
        <f>IFERROR(__xludf.DUMMYFUNCTION("GOOGLETRANSLATE(B91)"),"Avatar: Water Way")</f>
        <v>Avatar: Water Way</v>
      </c>
      <c r="L91" s="5" t="str">
        <f>IFERROR(__xludf.DUMMYFUNCTION("GOOGLETRANSLATE(C91)"),"“Avatar: Water Way” (English Avatar: The Way of Water) is an American epic science fiction film and screenwriter James Cameron, created ...")</f>
        <v>“Avatar: Water Way” (English Avatar: The Way of Water) is an American epic science fiction film and screenwriter James Cameron, created ...</v>
      </c>
      <c r="M91" s="5" t="str">
        <f>IFERROR(__xludf.DUMMYFUNCTION("GOOGLETRANSLATE(G91)"),"Wikipedia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2">
      <c r="A92" s="1" t="s">
        <v>332</v>
      </c>
      <c r="B92" s="1" t="s">
        <v>341</v>
      </c>
      <c r="C92" s="1" t="s">
        <v>342</v>
      </c>
      <c r="D92" s="1">
        <v>3.0</v>
      </c>
      <c r="E92" s="4" t="s">
        <v>343</v>
      </c>
      <c r="F92" s="1" t="s">
        <v>16</v>
      </c>
      <c r="G92" s="1" t="s">
        <v>344</v>
      </c>
      <c r="H92" s="4" t="s">
        <v>345</v>
      </c>
      <c r="I92" s="2">
        <v>1.0</v>
      </c>
      <c r="J92" s="5" t="str">
        <f>IFERROR(__xludf.DUMMYFUNCTION("GOOGLETRANSLATE(A92)"),"Avatar 2")</f>
        <v>Avatar 2</v>
      </c>
      <c r="K92" s="6" t="str">
        <f>IFERROR(__xludf.DUMMYFUNCTION("GOOGLETRANSLATE(B92)"),"Avatar 2: Water Way (2022) Description ...")</f>
        <v>Avatar 2: Water Way (2022) Description ...</v>
      </c>
      <c r="L92" s="5" t="str">
        <f>IFERROR(__xludf.DUMMYFUNCTION("GOOGLETRANSLATE(C92)"),"Avatar 2: Water Way (2022) ... Continuation of the spectacular science fiction epic by James Cameron. Earthlings Jake Sally are looking for his place among an alien ...")</f>
        <v>Avatar 2: Water Way (2022) ... Continuation of the spectacular science fiction epic by James Cameron. Earthlings Jake Sally are looking for his place among an alien ...</v>
      </c>
      <c r="M92" s="5" t="str">
        <f>IFERROR(__xludf.DUMMYFUNCTION("GOOGLETRANSLATE(G92)"),"IVI online cinema - films TV shows and cartoons watch online for free in good quality Ivivable Ivyvyvyanryarthaiarthausbiography Bades -Western -Westernate of the whole family of children of the children -democraticatrofycriminalmic -dimensional dimension"&amp;"s The North -Building Summer Soviet Delights of 2023 Fi films of 2022 Fuel Fuels 2021 2020 Features of 2020 Cleaning Veriatsivi. Routing Twitting, to see the films in the HDDs Subscribe on Smarttvserialyzhanybiosynynynetetetextives of the entire family of"&amp;" children Nyekhriminalmedicinemicemic dramatic adoptional -moman -mantic fantastic phynthintic -Russian -American -American -American -Twen -Summarias of 2023 Saemes of 2022 2021 Saems of 2020, Redinovyvi. Raittensurials In HDDs on Smarttvmultfiltfiltyzha"&amp;"nryanimoboevikodetal, adults of the whole family of children of children from the Children's -SamadiyuzyzyzyziklovyzyklovsikhoriahprospentiStestesistanistStesistanist -Russian -Russian -Trammults 2023 years of 2021 2021 years 2020 The years in the ONIMUMU"&amp;"LTICS in HD, in the HDTV, at the Smarttvpiwatch, take a subscription to the subscription-willcracials of the Iviteoria large money, the nyxygovy girlfriend Ivilada Goldni that the first counterclaims of the steam of the unclean digers (2019) gymnast-call "&amp;"does not happen. noah ""cranes"" exclusive I can’t Ivikho Ivikho Ivikho Ivikho I can’t go to the difficulty of the relationship of the North-Emerine Severini Emericial Heart! A brief course of a happy life-groomed cell (2013) Russian Gorcioline Kinoter Iv"&amp;"i: films in good quality always bring real pleasure to you to refuse to watch an interesting film due to the fact that it was shown in an uncomfortable time? Did you have to look for movies online on the Internet where to watch movies? And to argue with h"&amp;"ome because of the choice of movies for viewing on TV? All these problems remained in the past! Open for yourself movies online in HD quality with Ivi cinema. We do not just free you from the need to go to the cinema or study the television program-visito"&amp;"rs to our resource have much more opportunities. IVIONLINA-Kinotar-this is the largest collection of domestic and foreign films in Runet. Our video text has more than 30 thousand films and videos available for watching online and is constantly updated. Th"&amp;"e online cinema IVI.TV is: the first video service in Russia that allows you to watch movies online in good quality; The ability to postpone watching a movie for a while or start watching a movie online from any moment; Convenient search for films: by the"&amp;" name of the year of production of production or genre; Online films to watch which are not required to install video players or look for codecs; Regularly we add to the site the latest comedies the best films-adventures fighters Films of horror thrillers"&amp;" and historical dramas. Return for yourself the opportunity to watch movies online in excellent quality with the Ivy cinema! Make sure that watching online is simply and convenient! Adventures of a spray-pipe returns unnecessary people calendar MA (s) pap"&amp;"a-Vujnogenda Orlendi Pioneer 3. Hello adult life! Films about real lovers of strict-grains of ae-grader: a new turning point in the exchange of love. Only for adults 30 dates, there are a bitter-Russian multi-part melodrama of memory of the Memory and Mar"&amp;"garitagornical ALSALISA ALLECTION I know your secrets on the Kubaniton Mission Detective Military Militical Militical Films with a High Route of Subscription Series in the Subscription of the NASU SUB Ending Information for partnerships of an advertising "&amp;"agreement of the confidentiality policy of IVI, letters of recommendation are used technologies of the discretion of Ivi and something new films of the science Certificate Care Films TV shows and cartoons without advertising loads BAPP Stores is inGoogle "&amp;"Play, View devices")</f>
        <v>IVI online cinema - films TV shows and cartoons watch online for free in good quality Ivivable Ivyvyvyanryarthaiarthausbiography Bades -Western -Westernate of the whole family of children of the children -democraticatrofycriminalmic -dimensional dimensions The North -Building Summer Soviet Delights of 2023 Fi films of 2022 Fuel Fuels 2021 2020 Features of 2020 Cleaning Veriatsivi. Routing Twitting, to see the films in the HDDs Subscribe on Smarttvserialyzhanybiosynynynetetetextives of the entire family of children Nyekhriminalmedicinemicemic dramatic adoptional -moman -mantic fantastic phynthintic -Russian -American -American -American -Twen -Summarias of 2023 Saemes of 2022 2021 Saems of 2020, Redinovyvi. Raittensurials In HDDs on Smarttvmultfiltfiltyzhanryanimoboevikodetal, adults of the whole family of children of children from the Children's -SamadiyuzyzyzyziklovyzyklovsikhoriahprospentiStestesistanistStesistanist -Russian -Russian -Trammults 2023 years of 2021 2021 years 2020 The years in the ONIMUMULTICS in HD, in the HDTV, at the Smarttvpiwatch, take a subscription to the subscription-willcracials of the Iviteoria large money, the nyxygovy girlfriend Ivilada Goldni that the first counterclaims of the steam of the unclean digers (2019) gymnast-call does not happen. noah "cranes" exclusive I can’t Ivikho Ivikho Ivikho Ivikho I can’t go to the difficulty of the relationship of the North-Emerine Severini Emericial Heart! A brief course of a happy life-groomed cell (2013) Russian Gorcioline Kinoter Ivi: films in good quality always bring real pleasure to you to refuse to watch an interesting film due to the fact that it was shown in an uncomfortable time? Did you have to look for movies online on the Internet where to watch movies? And to argue with home because of the choice of movies for viewing on TV? All these problems remained in the past! Open for yourself movies online in HD quality with Ivi cinema. We do not just free you from the need to go to the cinema or study the television program-visitors to our resource have much more opportunities. IVIONLINA-Kinotar-this is the largest collection of domestic and foreign films in Runet. Our video text has more than 30 thousand films and videos available for watching online and is constantly updated. The online cinema IVI.TV is: the first video service in Russia that allows you to watch movies online in good quality; The ability to postpone watching a movie for a while or start watching a movie online from any moment; Convenient search for films: by the name of the year of production of production or genre; Online films to watch which are not required to install video players or look for codecs; Regularly we add to the site the latest comedies the best films-adventures fighters Films of horror thrillers and historical dramas. Return for yourself the opportunity to watch movies online in excellent quality with the Ivy cinema! Make sure that watching online is simply and convenient! Adventures of a spray-pipe returns unnecessary people calendar MA (s) papa-Vujnogenda Orlendi Pioneer 3. Hello adult life! Films about real lovers of strict-grains of ae-grader: a new turning point in the exchange of love. Only for adults 30 dates, there are a bitter-Russian multi-part melodrama of memory of the Memory and Margaritagornical ALSALISA ALLECTION I know your secrets on the Kubaniton Mission Detective Military Militical Militical Films with a High Route of Subscription Series in the Subscription of the NASU SUB Ending Information for partnerships of an advertising agreement of the confidentiality policy of IVI, letters of recommendation are used technologies of the discretion of Ivi and something new films of the science Certificate Care Films TV shows and cartoons without advertising loads BAPP Stores is inGoogle Play, View devices</v>
      </c>
    </row>
    <row r="93">
      <c r="A93" s="1" t="s">
        <v>332</v>
      </c>
      <c r="B93" s="1" t="s">
        <v>346</v>
      </c>
      <c r="C93" s="1" t="s">
        <v>347</v>
      </c>
      <c r="D93" s="1">
        <v>4.0</v>
      </c>
      <c r="E93" s="4" t="s">
        <v>348</v>
      </c>
      <c r="F93" s="1" t="s">
        <v>16</v>
      </c>
      <c r="G93" s="1" t="s">
        <v>349</v>
      </c>
      <c r="H93" s="4" t="s">
        <v>350</v>
      </c>
      <c r="I93" s="2">
        <v>1.0</v>
      </c>
      <c r="J93" s="5" t="str">
        <f>IFERROR(__xludf.DUMMYFUNCTION("GOOGLETRANSLATE(A93)"),"Avatar 2")</f>
        <v>Avatar 2</v>
      </c>
      <c r="K93" s="6" t="str">
        <f>IFERROR(__xludf.DUMMYFUNCTION("GOOGLETRANSLATE(B93)"),"Avatar: Water Way (2022) - Movie.ru")</f>
        <v>Avatar: Water Way (2022) - Movie.ru</v>
      </c>
      <c r="L93" s="5" t="str">
        <f>IFERROR(__xludf.DUMMYFUNCTION("GOOGLETRANSLATE(C93)"),"The third is the most box office in history ($ 2.3 billion). James Cameron is the only director who put three films with a similar achievement (see Titanic ...")</f>
        <v>The third is the most box office in history ($ 2.3 billion). James Cameron is the only director who put three films with a similar achievement (see Titanic ...</v>
      </c>
      <c r="M93" s="5" t="str">
        <f>IFERROR(__xludf.DUMMYFUNCTION("GOOGLETRANSLATE(G93)"),"Film Portal Movie.ru - All about cinema reviews reviews of the news premiere of the film, Watching online movie and TV shows online best films online the best TV series online best news online in cinemas in the release of serial -wound -premiums of the fi"&amp;"lm collection of Critical Hitsauretes of the Academician Oscaratic films to watch the best films and series. The best films are the best of the best-based Novinka films and serches of articles of the articles of the collection of interviews of the Kino-Bo"&amp;"gox- Office -tank trailetry and seeing a online output of the output of cinema in cinema in cinema premiere -dependent cinema -dependent film election of the criticism of the selection of interviews of the editorial office to watch in the cinema this week"&amp;"15 Main films NOVEMAN FILMENTS that can already be watched by online TV series November November themes. l “Bucanynerki”-retro drama in the spirit of “Bridgertons” November 11 / Text: Gulnaz Davletshorezhendeszaszaszi Code On the film ""Enemy""-a failed s"&amp;"cience fiction drama with Ronan and Meskal on November 11 / Text: Olya of a residential assessment for the film ""Lady Victor"" with Aquafina and Sandra O November November / Text: Yana Televarovalicene Countries for the series ""Last Quest"": Chtonic adv"&amp;"entures In Murino November 10 / Text: Nastasya Gorbachevsk collection Filmic films that can already be watched online November10 / Text: Alikhan there is an Israpovosezsez-gaze of male approval: Reviews for the film “Hotel“ Royal ”” November 10 / Text: Eg"&amp;"or Kozkinsey watched the plate of 2023 -... The word of the kid. Blood on asphalt 2023 -... Frozen 2023 -... Polytechnic 2023 -... FC Rodina 2023 -... Mastodont 2023 -... Last quest 2023 -... Magic site 2023 -... Shurik and ball 2023 -... Sex. Before and "&amp;"after 2023 -... Black cloud 2023 -... Ira 2023 -... Kill Rita 2023 -... Sasha against! 2023 -... Romanovs. The last word 2023 -... Trepachi 2023 -... Poor oligarch 2022 -... Contact 2021 -... Team 2023 -... Gang “Zig PAR” 2023 -... Life on call 2022 -... "&amp;"Anna Asti: the path of the Phoenix 2023 -... Satachny 2023 -... Where wormwood is blooming 2023 -... Theory of big money 2023 -... Lada Gold 2023 -... Let me contact 2023 -... District Center 2023- ... Abrek 2023 -... Once in Abkhazia 2023 -... Poor Abram"&amp;"ovichi 2023 -... Against all 2023 -... Container 2021 -... Alfaromeo 2023 -... The secret of the tailor of 2023 -... Ферри: СериалFerry: De Serie        2023-...							Голубоглазый самурайBlue Eye Samurai        2023-...							И солнце снова взойдет정신병동에도"&amp;" 아침이 와요        2023-...							Весь невидимый нам светAll the Light We Cannot See        2023-...							Онимуша鬼武 者 者 2023 -... For the sake of the whole of humanity, the All Mankind 2019 -... Chemiassons in Chemistry 2023 -... Morning Showotthe Morning Sh"&amp;"ow 2019 -... Bukanerkithe Buccaneers 2023 -... Sentless ! Curses! 2023 -... Popular films of the Online Proplox 2023 Life on Call 2022 after. Forever AVERYTHING 2023 MUCHITHIT MAN 2023 Word of a kid. Blood on asphalt 2023 Mastodont 2023 John WIK 4JOHN WIC"&amp;"K: Chapter 4 2023 Against all 2023 Lada Gold 2023 Holidays 2023 Plaxa 2023 -.. classmates. The production project of Sergei Zhukov from “Hand Up” with his daughter Nika and Agatha Mutsenets ... More about the film2 Film.ru 7 IMDB 6.4 spectators | 9906 Tra"&amp;"iler See on the Advertising 18+ •• CPO Rostelecom INN 7707049388 Identifier: 4CQWVSH9PUKPBGLZDL Advertising 18+ × LIFE A 2022 -... Drama Russia 11 hours 20 minutes 18+ for the owner of an elite escort agency open hunting. A series based on real stories fr"&amp;"om the Telegram channel ""Skeletry"" ... More about the film Film.ru 6.8 IMDB 5.2 spectators | 8911 Trailer watch online advertising 18+ •• • PJSC Mobile TeleSystems TIN 7740000076 Identifier: 4CQWVSH9PUKOXCNZPR Advertising 18+ × after. Forever Averything"&amp;" 2023 Film Drama of the United States Melodrama 1 hour 35 minutes 16+Hardin broke up with Tessa, but the thought of it does not give him rest and he sits on an airplane in Lisbon. The fifth and seems to be the final part of the romantic franchise based on"&amp;" a bestseller more about the film2 Film.ru 4.6 IMDB 6.5 Spectators | 675 trailer look at the advertisement 18+ •• • Rostelecom PJSC TIN 7707049388 Identifier: 4CQWVSH9PUKPBGLZDL Advertising 18+ × Mercenary Man 2023 Film Comedy US Comedy 1 hour 53 minutes "&amp;"Police Polish Police Preservation of Hiring, Arresting those who offers work for the time I want to actually execute the order. Black comedy based on a newspaper article in more detail about the film10 Film.ru 7.8 IMDB 5.7 spectators | 354 Look at the adv"&amp;"ertisement 18+ •• • PJSC Rostelecom INN 7707049388 Identifier: 4CQWVSH9PUKPBGLZDL Advertising 18+ × Word of the kid. Blood on asphalt 2023 The series Drama Russia 18+a new friend and a desire to assert himself lead to a high school student Andrei to the c"&amp;"reation of a criminal group. The multi-part retro epic of Zhora Kryzhovnikov based on the book of Robert Garaev about the Kazan phenomenon ... More about the film 8 Film.ru IMDB 5.5 spectators | 386 trailer look at the advertisement 18+ •• • Rostelecom PJ"&amp;"SC TIN 7707049388 Identifier: 4CQWVSH9PUKPBGLZDL Advertising 18+ × Mastodon 2023 Series Comedy 5 hours 46 minutes 16+ To get acquainted with the adult daughter, the Provincial official moves to Moscow and plunges into the frightening world of modern techn"&amp;"ologies . Fedor Dobronravov in the spiritual comedy on overcoming differences ... More about the film Film.ru 5.2 IMDB 5.9 spectators | 3137 Trailer look at the advertisement 18+ •• • Rostelecom PJSC TIN 7707049388 Identifier: 4CQWVSH9PUKPBGLZDL Advertisi"&amp;"ng 18+ × John UIK 4JOHN WICK: Chapter 4 2023 Film Triller USA zh new extremely powerful enemy. Keanu Reeves and other stars in a tense and stylistically verified continuation of the action-franchisee more about the film 8 Film.ru 7.7 IMDB 6.9 spectators |"&amp;" 2241 Trailer View for 1 ₽ Advertising 18+⋮ Advertising advertiser advertisement: 4CQWVSH9PUMPJUDSAM against all 2023 -... TV series Comedy Russia 10 hours 16+Grandfather Zakhar stubborn owner of a village house fights with developers and neighbors of a n"&amp;"earby multi-storey LCD. Sitkom on the struggle for justice from the creators of the Ivanovo-Ivanovs ... More about the film6 Film.ru 6.4 IMDB 6.0 Viewers | 3159 Trailer See at the Advertising 18+ •• CPO Rostelecom INN 7707049388 Identifier: 4CQWVSH9PUKPBG"&amp;"LZDL Advertising 18+ × Lada Gold2023 Series Detective Melodrama Russia 6 hours 6 hours+ The grandson of a policeman from Togliatti is inherited by a murdered car. Together with the grandson of local authority, guys understand that a car with a surprise. T"&amp;"he dashing criminal comedy about the problematic heritage of the ninety more about the film7 Film.ru 6.6 IMDB 4.2 spectators | 1205 Trailer See online advertising 18+ •• • CTO “Mobile TeleSystems” TIN 7740000076 Identifier: 4CQWVSH9PUKOXEHFX Advertising 1"&amp;"8+ × Holidays 2023 Film Comedy Russia 12+ Outwardly, a successful family is going to celebrate the holiday but revealed secrets risk it risk italing the triumph. Folk comedy with Maria Aronova and Vitaly Haev more about the film Film.ru IMDB 5.4 spectator"&amp;"s | 328 trailer watch online advertising 18+ •• • • Mobile TeleSystems PJSC TIN 7740000076 Identifier: 4CQWVSH9PUKOXEEHFX Advertising 18+ × Output Slue -Beneacon 23Beacon 23 1 Season / 1 episode 12 November 1 season / 1 episode 12 November IS: Sydney 1 se"&amp;"ason / 1 episode 14 Subura forever forever, season And his Muzalma &amp; Oskar 2022 How to deal with sex to have to have 2023 in the web of the Catastopaacid 2023 Winged History Bututterfly Tale 2023 Master Kidmaster Kid 2023 Feelings of Anna 2023 Nefarius 20"&amp;"23 Herthe Childe 2023 ate the priority 2023 obsessed with evilcuando Acecha la Maldad 2023 New wife of my wife NOVIO PARA MIJER 2022 Princess and sorcerer Alazarprincezna Zakletá v Case 2 2022 Agent 044: Operation Garnigent 044: Operation Garni 2023 Tiger"&amp;" 3Tiger 3 2023 Force Majorforce Majeurace 2014 Cardeman us 1787. War 2023 Legend of sambo 2023 Astral. Doubthe Harbinger 2022 Spy on the entire head of the Upeter Five Eight 2023 Book of Solutions Livre des Solutions 2023 My terrible sister 2,2023 Detecti"&amp;"ve Tabotthabo and the Rhino Case 2023 Niche 2022 Step to the dream: once and forever Supreme 2023 Supermozgheads Pace 2023 Dad on the run 2023 Versachete Genius of Gianni Versace Alive 2022 Online Premierly Santa Summithe Summit 2023 JFK: One Day in Ameri"&amp;"cajfk: One Day in America 2023 Feasts 2023 Vityazi 2023 Mom will be against 2023 Pencils VS PICIXELSPENCE ILS VS Pixels 2023 De La Called La Calle 2023 Stand Up &amp; amp; Shout: Songs from a Philly High Schoolstand Up &amp; Shout: Songs from a Philly High School"&amp;" 2023 Bucanynierkithe Buccaneers 2023 Avenger 비질란테 2023 Robbie Williamsrobie Williams 2023 You Weres Y First Boyfriendyou Were My First Boyfriend 2023 The Word of the Boy. Blood on asphalt 2023 Magic site 2023 In search of the beastbutcher's Crossing 2022"&amp;" Colin from accounting agricultural accounts 2022 Devilonokuma Kun 2023 Mystery on MistleToe Lanemy on Mistleto 2023 Kyllerthe Killer ILLER 2023 007: Road to million007: Road to a Million 2023 The Killerthe Killer 2023 Rumble Through The Darkrumble Throug"&amp;"h The Dark 2023 At the Momentat the Moment 2023 Christmas Islandchristmas Island 2023 Curses 2023 a Heidelberg Heidelberg Holyday 2023 Porchay as a woman Like A Butterfly 2018 The Lady Bird Diariesthe Lady Bird Diaries 2023 Murder on the edge of the world"&amp;" Murder at the end of the world 2023 SUBURA forever a Sydneyncis: Sydney: Sydney 2023 YOUR Lucky Day Lucky Day 2023 JFK: What the doctors sawjfk: What the doctors SAW 2023 David Holmes: Malmch Which survival david Holmes: The Boy Who Live 2023 Brawn: incr"&amp;"edible story of formula-1brawn: The Impossible Formula 1 Story 2023 Stamped from the Beginningstamped from the Beginning 2023 Dad is not a star dans les étoilels 2023 in love Love and Deep Water 2023 Best. Christmas. Ever! Best. Christmas. Ever! 2023 A Wo"&amp;"rld Record Christmasa World Record Christmas 2023 ""Monarch"": Heritage of Monsteronarch: Legacy of Monsters 2023 Family Family Affair 2023 Scott Pilgrimi on Gazscott Pilgrim TaKim Off 2023 Rubinrost In 2023 Dashing Through The Snowdashing Through The Sno"&amp;"w 2023 Twin Lovetwin Love 2023 Please Don 'T Destroy: The Treasure of Foggy Mountainase Donat Destroy: The Treasure of Foggy 2023 All-Time Highall-Time High 2023 Navigating Christmasnavigating Cheme MAS 2023 KENNEDYKENNEDY 2023 A Merry Scottish Christmasa"&amp;" Merry Scottish Christmas 2023 The Santa Summithe Santa Summit 2023 Melodrama Film Film The USA is more detail about the film Film.ru 7.1 IMDB spectators JFK: One Day in Americajfk: One Day in America 2023 Series Documentary US Great Britain about the fil"&amp;"m Film.ru 7.6 IMDB 5.8 Spectators | 2 trailer holidays 2023 Series Comedy Russia 5 hours 52 minutes 16+in the center of the plot - a simple Russian family living in a small town of Central Russia. The characters of the series are so ... More about the fil"&amp;"m Film.ru IMDB 5.7 spectators | 548 NTV-plus: 7 days free advertising 18+ •• • • • • • • `` `` `` `` `` `` `` `` `` `` `` `` `` `` `` `` iled 4cqwvszh9pukpqrqweg 18+ × Vityazi 2023 Historical Russia 6 hours 40 minutes 18+ Old Russian specialized Film.ru 4"&amp;" IMDB 5.0 spectators | 128 trailer, look at the advertisement of 18+ •• • Rostelecom PJSC TIN 7707049388 Identifier: 4CQWVSH9PUKPBGLZDL Advertising 18+ × Olga Vuzov2023 The series of reality shows Russia 36 minutes 12+ Buzova program is dedicated to techn"&amp;"ical education in Russia. Its goal is to help high school students decide on the educational ... More about the film Film.ru IMDB 5.3 spectators | 2 trailermams will be against 2023 Comedy Russia 5 hours 12 minutes 16+loader Kolya drops the box on the sal"&amp;"eswoman Natasha. Her squabble mother threatens to dismiss the guy and he decides to stir up with Natasha ... ... Read more about Film.ru 7.6 IMDB 5.2 spectators | 1394 TrailerPenCils vs PixelSpenCils vs Pixels 2023 Film Cartoons Biographical Documentary U"&amp;"SA 2 hours 25 minutes more about Film.ru 7 IMDB 5.6 spectators | 2 trailer La Called La Calle 2023 Series Documentary US SPECTION OF THE FILM.ru IMDB Spectators Stand Up &amp; AMP; Shout: Songs from a Philly High Schoolstand Up &amp; Shout: Songs from a Philly Hi"&amp;"gh School 2023 Film Documentary USA 1 hour 28 minutes about the film Film.ru IMDB spectators Trailelerbukanerkithe Buccaneeers 2023-... Series Drama UKK Tania 3 hours 32 minutes 18+Victorian London of the 1870s. A group of American girls is faced with the"&amp;" Puritan traditions of the British. Hearts ... Read more about the film7 Film.ru 6.9 IMDB 5.5 spectators | 30 TrailelerMter 비질란테 2023 -... Series Air Triller South Korea 8 hours 0 minimum wiring student of the Police Academy on weekends takes justice in t"&amp;"heir own hands and punishes criminals who received ... more about the film Film.ru 7.7 IMDB 6.7 Spectators | 20 Robbie Williamsrobie Williams 2023 series Biographical Documentary Music Great Britain more about the film Film.ru 7.7 IMDB 6.5 Spectators | 1 "&amp;"Trailelerou Were My First Boyfriendo Were My First Boyfried 2023 Documentary US Film 1 hour 37 minutes about the film Film.ru 8.5 IMDB Viewers of the TriLALLER OF THE CASAN. Blood on asphalt 2023 The series Drama Russia 18+a new friend and a desire to ass"&amp;"ert himself lead to a high school student Andrei to the creation of a criminal group. The multi-part retro epic of Zhora Kryzhovnikov based on the book of Robert Garaev about the Kazan phenomenon ... More about the film 8 Film.ru IMDB 5.5 spectators | 386"&amp;"                                    Трейлер                  Смотрите на  					РЕКЛАМА 18+					•••								ПАО «РОСТЕЛЕКОМ» ИНН 7707049388 ИДЕНТИФИКАТОР: 4CQwVszH9pUkpBGLzDL													РЕКЛАМА 18+  						   × Волшебный участок2023 сериал боевик детектив к"&amp;"омедия фэнтези Россия 7 часов 4 минуты 18+Снайпер Леха против Бабы Яги Змея Горыныча и всей русской нечисти. Fairytale comedy about the hero of our time ... ... More about the film Film.ru IMDB 7.4 spectators | 242 Trailer View for 1 ₽ Advertising 18+⋮ Ad"&amp;"vertising advertiser advertisement: 4CQWVSH9PUMPJUDSAM in search of the beastCher's Crossing 2022 Film Western Drama of the United States 1 hour 35 minutes throws her studies to Harvard to go to the rocky mountains of Colorado along with bizons hunters. H"&amp;"e does not know how ... Read more about Film.ru 5.9 IMDB 7.1 Viewers | 12 Trailercoline from accounting department from Accounts 2022 -... TV series Comedy Australia 3 hours 38 minutes of EXHERSH (Harriet Dayer) and Gordon (Patrick Brammell)-two lonely an"&amp;"d complex people of which brought together ... More about the film Film.ru 8.1 IMDB 7.4 Spectators | 14 Trailerediolonokumama Kun 2023 series anime cartoons of fantasy adventure Japanese more about the film Film.ru IMDB 6.5 spectators | 1 Mystery on Mistl"&amp;"eto LanemyStery on Mistletoe Lane 2023 Film Detective US Detective about Film.ru IMDB Spectators Killerthe Killer 2023 Film Filler Triller USA France 1 hour 58 minute killer (Michael Fassbender) is experiencing psychological crisis, lane. More about the f"&amp;"ilm7 Film.ru 7.4 IMDB 5.8 Spectators | 39 trailer007: Road to million007: Road to a Million 2023 -... Series Game show adventures of reality shows UK USA 6 hours 32 minutes 32 Minute-players are eighteen-nine pairs of two participants-ready to fight for a"&amp;" cash prize of one million ... Read more about the film Film.ru 2.8 IMDB 6.4 spectators | 1 Trailerthe Killerthe Killer 2023 Film Movies USA 1 hour 46 minutes more about Film.ru IMDB film Rumble Through The Darkrumble Through The Dark 2023 Film Triller US"&amp;"A He Moment 2023 Series Drama Taiwanza melodrama about Film.ru IMDB film Trailerchristmas Islandchristmas Island 2023 Melodrama Film Canada is in more detail about Film.ru IMDB Viewers Curses Curse 2023 —... TV series USA Comedy 8 hours 16 Minute, talk ab"&amp;"out the spouses of Ashley (Naintan Fielder) and ITETI (Emma Stone ) Siegels that create a reality show “Philanthropy” .... Read more about the film Film.ru 7.1 IMDB 6.0 spectators | 2 trailer Heidelberg Holidya Heidelberg Holid 2023 Film Melodrama Family "&amp;"Germany USA 1 hour 24 minutes about the film Film.ru IMDB Viewers Trailer -Porpyt as a butterflyfluat Like a Butterfly 2018 Film Drama Historical Sports 1 hour 47 minutes, a strong and relevant story about a girl who fought for a girl who fought for a gir"&amp;"l who fought your freedom And a vocation. As in the classic film &amp; quot ... Read more about Film.ru 5.9 IMDB, the viewers of The Lady Bird Diariesthe Lady Bird Diaries 2023 Film Documentary 1 hour 30 minutes about the film Film.ru 8.8 IMDB Viewers Treileh"&amp;"rubium on the edge of the world Murder at the end of the World 2023 Series Detective Triller of the United States Iceland 6 hours 40 minute Darbi Hart (Emma Corrin) goes to the distant island of billionaire Andy (Clive Owen). Later one of the guests ... R"&amp;"ead more about the film Film.ru IMDB Viewers of Trailersyubur forever the SuburrrrrrrrrrrNA 2023 -... The series action movie Drama Melodrama Thriller Italy 6 hours 40 hours Rome reigns chaos. Existing unions are threatened due to exacerbation of relation"&amp;"s with new criminal clans. For ... Read more about the film Film.ru IMDB Viewers of the Trailer-Sea Police: Sydneyncis: Sydney 2023 -... TV series Triller USA 8 hours 0 more about the film Film.ru IMDB 5.5 Spectators | 2 Traileler Lucky Dayor Lucky Day 20"&amp;"23 Film TRILLER USA 1 hour 29 minutes about Film.ru David Holmes: The boy who survived David Holmes: The Boy Who Lved 2023 Documentary US Film 1 hour 28 minutes HBO and Sky will tell about David Holmes- Dubblere Daniel Radcliffe in Harry films ... Read mo"&amp;"re about Film.ru 1brawn: The Impossible Formula 1 Story 2023 Series Documentary Sports of the United States UK about the Film.ru IMDB film Trailerystamped from the Beginingstamped from The Beginning 2023 Film Documentary 1 hour 40 minutes about the film F"&amp;"ilm.ru 6.7 IMDB Viewers Dad is not a star tête dans les étoiles 2023 Film Comedy France 1 hour 31 minutes 16+courier accidentally falls aboard the International Space Station. He quickly becomes a world star and a hero for ... Read more about Film.ru 4.7 "&amp;"IMDB 5.2 spectators | 234 Trailer of love and deep waterin Love and Deep Water 2023 Film Detective Comedy Melodrama Japan 1 hour 55 minutes more about the film Film.ru IMDB Viewers Trailerbest. Christmas. Ever! Best. Christmas. Ever! 2023 Film Comedy Melo"&amp;"drama USA 1 hour 41 minute about Film.ru IMDB movie A World Record Christmasa World Record Christmas 2023 Film Drama Canada 1 hour 24 minutes about the film Film.ru IMDB Viewers Monarch: Legacy of Monsters Heritage 2023- ... TV series Antholler Adventure "&amp;"Fiction USA Japan-Off films about Godzilla. The action takes place for 50 years. Military officer Li Show (Kurt Russell) is connected with ... Read more about Film.ru IMDB. Viewers trailers family business Family Affair 2023 Film Comedy Melodrama USA 1 ho"&amp;"ur 36 minutes about a love triangle between mother (Nicole Kidman) daughter (Joey King) and her Hollywood Head of Hollywood ... Read more about Film.ru IMDB, Viewers Scott Pilgrim Gazes on Gazscott Pilgrim Takes Off 2023 TV series Culti-adventure Japan Ca"&amp;"nadia Canadia version ""Scott Piligrim"" Edgara Wright. Trailelerrastinrustin 2023 Film Biographical Drama Historical USA 2 hours 1 minute 18+Biographical ribbon about Bayard Rabina-American activist of the 1960s and the closest comrade-in-arms of Martin "&amp;"Luther ... Read more about Film.ru 6.6 IMDB 6.3 spectators | 1 Trailerdashing Through The Snowdashing Through The Snow 2023 Film Family Fantasy Family 1 hour 35 minutes about Film.ru IMDB Viewers Trailertwin Lovetwin Love 2023 Series Melodrama U.S. Lerple"&amp;"ase Donmet Destroy: The Treasure of foggy mountinplease Donat Destroy: The Treasure of Foggy Mountain 2023 Film Comedy more in more detail about Film.ru IMDB Viewers Trailell-Time Highall-Time High 2023 Film MDB spectators Navigating Christmasnavigating C"&amp;"hristmas 2023 фильм мелодрама СШАПодробнее о фильме                    film.ru                                    IMDb                                    зрители                                    KennedyKennedy 2023 сериал биографический документальный и"&amp;"сторический СШАПодробнее о фильме                    film.ru                                    IMDb                                    зрители                                    A Merry Scottish ChristmasПодробнее о фильме                    film.ru     "&amp;"                               IMDb                                    зрители                                    Популярные рецензииЕЩЕРецензия на 12-й сезон «Американской истории ужасов: Нежность»: Kim Kardashian Kozla and childbirth on November 4 / Tex"&amp;"t: Nastasya Gorbachevsky Reenses for the series ""Pluto"" from Netflix - one of the best anime of 2023 on October30 / Text: Alikhan Israpilov ""Dryan"" in Russian realities: why not watch the series ""Ira""? October 14 / October 14 Text: Julia Salihovarez"&amp;"enses for the second season of the series “Loki” - a depressing continuation of the adventures of the former villain Marvel October / Text: Olya Smolinarezhendas for the film “Klyk”: Aaron Eckhart takes revenge on the dog on October 23 / Text: Andrey Volk"&amp;"ovrezensesen for the film “Telefield on freelance” - comedy - comedy Action with John Sina in the title role of October 20 / Text: Gulnaz Davltshtinzhesezseza for Generation “Vi”-the second spin-off of legendary “boys” on October 13 / Text: Yana Televanov"&amp;"o, November 11, Zach Efron reacted to the proposal to play Matthew Perry in Bayopica on November 11 The Puzzle 2 trailer became the most popular in the history of Disney on November 11, the SAG board of directors approved a new deal with producers on Nove"&amp;"mber 11, the teaser of the series “Bratsk Sun” with Michelle Yeo Jarmush will shoot a new film in Paris on November 11 “Barbie” Grammy nominees the best new trailetry worker (film 2024) Tisader-trailer (English) Orion and darkness (film 2024) Trailer (Eng"&amp;"lish) Arken (TV series 2021) Season 2: Date (English) puzzle 2 (film 2024 )            Тизер-трейлер (англ.)        КоллекцииЕЩЕНарисованное кино                  1 сериал5 фильмов                    2188Лучшие фильмы 2021 года по версии журнала Wired    "&amp;"              9 фильмов                    1328Самые скандальные американские фильмы                  66 фильмов                    10849100 лучших фильмов ужасов по версии Time Out                  100 фильмов                    259243Лучшие британские с"&amp;"ериалы 2022 года по версии BFI                  9 сериалов3 фильма 725 Best Films of 2022 according to Metacritic 30 films 1492 laureates of the Oscar for the best female role 98 films 4804 WHOLEDICES SXSW 27 Films 529 Best films of the 2000s 52326100 BBC"&amp;" 100 films 18130 films-nominees for Oscar "" In 2023, 38 films 1245550 of the best series of the XXI century according to Film.ru 48 TV shows 31721100 Best Russian and Soviet films according to Empire 100 films 110178 Oscar in the category ""Best makeup a"&amp;"nd hairstyles"" 41 Movies 1266 are the best surreal films 45 films 1837325 Greater Movies 1837325 According to AFI 25 films 439, Musicals, also orderly about the project of the printing of the printing of the Perekalzenisenyevisenyevis -Kontakteok.rudk.ru"&amp;"dex dzentelegram Film.ru is registered by the Federal Service for Supervision of Information Technologies and Mass Communications (Roskomnadzor). Certificate of EL No. FS77-82172 dated 10.11.2021. © 2023 Film.ru-All about cinema reviews Reviews News Premi"&amp;"ere of Films to Make Material If you want to offer us material for publication or cooperation write us a letter and if it seems important to us, we will answer you the current of one or two days. If your question cannot be resolved by mail to the editoria"&amp;"l office, you can call. Letters address: Partner@film.ru Editor's phone: 8 (495) 229-62-00 Postering what exactly does it seem to you unacceptable in this comment?")</f>
        <v>Film Portal Movie.ru - All about cinema reviews reviews of the news premiere of the film, Watching online movie and TV shows online best films online the best TV series online best news online in cinemas in the release of serial -wound -premiums of the film collection of Critical Hitsauretes of the Academician Oscaratic films to watch the best films and series. The best films are the best of the best-based Novinka films and serches of articles of the articles of the collection of interviews of the Kino-Bogox- Office -tank trailetry and seeing a online output of the output of cinema in cinema in cinema premiere -dependent cinema -dependent film election of the criticism of the selection of interviews of the editorial office to watch in the cinema this week15 Main films NOVEMAN FILMENTS that can already be watched by online TV series November November themes. l “Bucanynerki”-retro drama in the spirit of “Bridgertons” November 11 / Text: Gulnaz Davletshorezhendeszaszaszi Code On the film "Enemy"-a failed science fiction drama with Ronan and Meskal on November 11 / Text: Olya of a residential assessment for the film "Lady Victor" with Aquafina and Sandra O November November / Text: Yana Televarovalicene Countries for the series "Last Quest": Chtonic adventures In Murino November 10 / Text: Nastasya Gorbachevsk collection Filmic films that can already be watched online November10 / Text: Alikhan there is an Israpovosezsez-gaze of male approval: Reviews for the film “Hotel“ Royal ”” November 10 / Text: Egor Kozkinsey watched the plate of 2023 -... The word of the kid. Blood on asphalt 2023 -... Frozen 2023 -... Polytechnic 2023 -... FC Rodina 2023 -... Mastodont 2023 -... Last quest 2023 -... Magic site 2023 -... Shurik and ball 2023 -... Sex. Before and after 2023 -... Black cloud 2023 -... Ira 2023 -... Kill Rita 2023 -... Sasha against! 2023 -... Romanovs. The last word 2023 -... Trepachi 2023 -... Poor oligarch 2022 -... Contact 2021 -... Team 2023 -... Gang “Zig PAR” 2023 -... Life on call 2022 -... Anna Asti: the path of the Phoenix 2023 -... Satachny 2023 -... Where wormwood is blooming 2023 -... Theory of big money 2023 -... Lada Gold 2023 -... Let me contact 2023 -... District Center 2023- ... Abrek 2023 -... Once in Abkhazia 2023 -... Poor Abramovichi 2023 -... Against all 2023 -... Container 2021 -... Alfaromeo 2023 -... The secret of the tailor of 2023 -... Ферри: СериалFerry: De Serie        2023-...							Голубоглазый самурайBlue Eye Samurai        2023-...							И солнце снова взойдет정신병동에도 아침이 와요        2023-...							Весь невидимый нам светAll the Light We Cannot See        2023-...							Онимуша鬼武 者 者 2023 -... For the sake of the whole of humanity, the All Mankind 2019 -... Chemiassons in Chemistry 2023 -... Morning Showotthe Morning Show 2019 -... Bukanerkithe Buccaneers 2023 -... Sentless ! Curses! 2023 -... Popular films of the Online Proplox 2023 Life on Call 2022 after. Forever AVERYTHING 2023 MUCHITHIT MAN 2023 Word of a kid. Blood on asphalt 2023 Mastodont 2023 John WIK 4JOHN WICK: Chapter 4 2023 Against all 2023 Lada Gold 2023 Holidays 2023 Plaxa 2023 -.. classmates. The production project of Sergei Zhukov from “Hand Up” with his daughter Nika and Agatha Mutsenets ... More about the film2 Film.ru 7 IMDB 6.4 spectators | 9906 Trailer See on the Advertising 18+ •• CPO Rostelecom INN 7707049388 Identifier: 4CQWVSH9PUKPBGLZDL Advertising 18+ × LIFE A 2022 -... Drama Russia 11 hours 20 minutes 18+ for the owner of an elite escort agency open hunting. A series based on real stories from the Telegram channel "Skeletry" ... More about the film Film.ru 6.8 IMDB 5.2 spectators | 8911 Trailer watch online advertising 18+ •• • PJSC Mobile TeleSystems TIN 7740000076 Identifier: 4CQWVSH9PUKOXCNZPR Advertising 18+ × after. Forever Averything 2023 Film Drama of the United States Melodrama 1 hour 35 minutes 16+Hardin broke up with Tessa, but the thought of it does not give him rest and he sits on an airplane in Lisbon. The fifth and seems to be the final part of the romantic franchise based on a bestseller more about the film2 Film.ru 4.6 IMDB 6.5 Spectators | 675 trailer look at the advertisement 18+ •• • Rostelecom PJSC TIN 7707049388 Identifier: 4CQWVSH9PUKPBGLZDL Advertising 18+ × Mercenary Man 2023 Film Comedy US Comedy 1 hour 53 minutes Police Polish Police Preservation of Hiring, Arresting those who offers work for the time I want to actually execute the order. Black comedy based on a newspaper article in more detail about the film10 Film.ru 7.8 IMDB 5.7 spectators | 354 Look at the advertisement 18+ •• • PJSC Rostelecom INN 7707049388 Identifier: 4CQWVSH9PUKPBGLZDL Advertising 18+ × Word of the kid. Blood on asphalt 2023 The series Drama Russia 18+a new friend and a desire to assert himself lead to a high school student Andrei to the creation of a criminal group. The multi-part retro epic of Zhora Kryzhovnikov based on the book of Robert Garaev about the Kazan phenomenon ... More about the film 8 Film.ru IMDB 5.5 spectators | 386 trailer look at the advertisement 18+ •• • Rostelecom PJSC TIN 7707049388 Identifier: 4CQWVSH9PUKPBGLZDL Advertising 18+ × Mastodon 2023 Series Comedy 5 hours 46 minutes 16+ To get acquainted with the adult daughter, the Provincial official moves to Moscow and plunges into the frightening world of modern technologies . Fedor Dobronravov in the spiritual comedy on overcoming differences ... More about the film Film.ru 5.2 IMDB 5.9 spectators | 3137 Trailer look at the advertisement 18+ •• • Rostelecom PJSC TIN 7707049388 Identifier: 4CQWVSH9PUKPBGLZDL Advertising 18+ × John UIK 4JOHN WICK: Chapter 4 2023 Film Triller USA zh new extremely powerful enemy. Keanu Reeves and other stars in a tense and stylistically verified continuation of the action-franchisee more about the film 8 Film.ru 7.7 IMDB 6.9 spectators | 2241 Trailer View for 1 ₽ Advertising 18+⋮ Advertising advertiser advertisement: 4CQWVSH9PUMPJUDSAM against all 2023 -... TV series Comedy Russia 10 hours 16+Grandfather Zakhar stubborn owner of a village house fights with developers and neighbors of a nearby multi-storey LCD. Sitkom on the struggle for justice from the creators of the Ivanovo-Ivanovs ... More about the film6 Film.ru 6.4 IMDB 6.0 Viewers | 3159 Trailer See at the Advertising 18+ •• CPO Rostelecom INN 7707049388 Identifier: 4CQWVSH9PUKPBGLZDL Advertising 18+ × Lada Gold2023 Series Detective Melodrama Russia 6 hours 6 hours+ The grandson of a policeman from Togliatti is inherited by a murdered car. Together with the grandson of local authority, guys understand that a car with a surprise. The dashing criminal comedy about the problematic heritage of the ninety more about the film7 Film.ru 6.6 IMDB 4.2 spectators | 1205 Trailer See online advertising 18+ •• • CTO “Mobile TeleSystems” TIN 7740000076 Identifier: 4CQWVSH9PUKOXEHFX Advertising 18+ × Holidays 2023 Film Comedy Russia 12+ Outwardly, a successful family is going to celebrate the holiday but revealed secrets risk it risk italing the triumph. Folk comedy with Maria Aronova and Vitaly Haev more about the film Film.ru IMDB 5.4 spectators | 328 trailer watch online advertising 18+ •• • • Mobile TeleSystems PJSC TIN 7740000076 Identifier: 4CQWVSH9PUKOXEEHFX Advertising 18+ × Output Slue -Beneacon 23Beacon 23 1 Season / 1 episode 12 November 1 season / 1 episode 12 November IS: Sydney 1 season / 1 episode 14 Subura forever forever, season And his Muzalma &amp; Oskar 2022 How to deal with sex to have to have 2023 in the web of the Catastopaacid 2023 Winged History Bututterfly Tale 2023 Master Kidmaster Kid 2023 Feelings of Anna 2023 Nefarius 2023 Herthe Childe 2023 ate the priority 2023 obsessed with evilcuando Acecha la Maldad 2023 New wife of my wife NOVIO PARA MIJER 2022 Princess and sorcerer Alazarprincezna Zakletá v Case 2 2022 Agent 044: Operation Garnigent 044: Operation Garni 2023 Tiger 3Tiger 3 2023 Force Majorforce Majeurace 2014 Cardeman us 1787. War 2023 Legend of sambo 2023 Astral. Doubthe Harbinger 2022 Spy on the entire head of the Upeter Five Eight 2023 Book of Solutions Livre des Solutions 2023 My terrible sister 2,2023 Detective Tabotthabo and the Rhino Case 2023 Niche 2022 Step to the dream: once and forever Supreme 2023 Supermozgheads Pace 2023 Dad on the run 2023 Versachete Genius of Gianni Versace Alive 2022 Online Premierly Santa Summithe Summit 2023 JFK: One Day in Americajfk: One Day in America 2023 Feasts 2023 Vityazi 2023 Mom will be against 2023 Pencils VS PICIXELSPENCE ILS VS Pixels 2023 De La Called La Calle 2023 Stand Up &amp; amp; Shout: Songs from a Philly High Schoolstand Up &amp; Shout: Songs from a Philly High School 2023 Bucanynierkithe Buccaneers 2023 Avenger 비질란테 2023 Robbie Williamsrobie Williams 2023 You Weres Y First Boyfriendyou Were My First Boyfriend 2023 The Word of the Boy. Blood on asphalt 2023 Magic site 2023 In search of the beastbutcher's Crossing 2022 Colin from accounting agricultural accounts 2022 Devilonokuma Kun 2023 Mystery on MistleToe Lanemy on Mistleto 2023 Kyllerthe Killer ILLER 2023 007: Road to million007: Road to a Million 2023 The Killerthe Killer 2023 Rumble Through The Darkrumble Through The Dark 2023 At the Momentat the Moment 2023 Christmas Islandchristmas Island 2023 Curses 2023 a Heidelberg Heidelberg Holyday 2023 Porchay as a woman Like A Butterfly 2018 The Lady Bird Diariesthe Lady Bird Diaries 2023 Murder on the edge of the world Murder at the end of the world 2023 SUBURA forever a Sydneyncis: Sydney: Sydney 2023 YOUR Lucky Day Lucky Day 2023 JFK: What the doctors sawjfk: What the doctors SAW 2023 David Holmes: Malmch Which survival david Holmes: The Boy Who Live 2023 Brawn: incredible story of formula-1brawn: The Impossible Formula 1 Story 2023 Stamped from the Beginningstamped from the Beginning 2023 Dad is not a star dans les étoilels 2023 in love Love and Deep Water 2023 Best. Christmas. Ever! Best. Christmas. Ever! 2023 A World Record Christmasa World Record Christmas 2023 "Monarch": Heritage of Monsteronarch: Legacy of Monsters 2023 Family Family Affair 2023 Scott Pilgrimi on Gazscott Pilgrim TaKim Off 2023 Rubinrost In 2023 Dashing Through The Snowdashing Through The Snow 2023 Twin Lovetwin Love 2023 Please Don 'T Destroy: The Treasure of Foggy Mountainase Donat Destroy: The Treasure of Foggy 2023 All-Time Highall-Time High 2023 Navigating Christmasnavigating Cheme MAS 2023 KENNEDYKENNEDY 2023 A Merry Scottish Christmasa Merry Scottish Christmas 2023 The Santa Summithe Santa Summit 2023 Melodrama Film Film The USA is more detail about the film Film.ru 7.1 IMDB spectators JFK: One Day in Americajfk: One Day in America 2023 Series Documentary US Great Britain about the film Film.ru 7.6 IMDB 5.8 Spectators | 2 trailer holidays 2023 Series Comedy Russia 5 hours 52 minutes 16+in the center of the plot - a simple Russian family living in a small town of Central Russia. The characters of the series are so ... More about the film Film.ru IMDB 5.7 spectators | 548 NTV-plus: 7 days free advertising 18+ •• • • • • • • `` `` `` `` `` `` `` `` `` `` `` `` `` `` `` `` iled 4cqwvszh9pukpqrqweg 18+ × Vityazi 2023 Historical Russia 6 hours 40 minutes 18+ Old Russian specialized Film.ru 4 IMDB 5.0 spectators | 128 trailer, look at the advertisement of 18+ •• • Rostelecom PJSC TIN 7707049388 Identifier: 4CQWVSH9PUKPBGLZDL Advertising 18+ × Olga Vuzov2023 The series of reality shows Russia 36 minutes 12+ Buzova program is dedicated to technical education in Russia. Its goal is to help high school students decide on the educational ... More about the film Film.ru IMDB 5.3 spectators | 2 trailermams will be against 2023 Comedy Russia 5 hours 12 minutes 16+loader Kolya drops the box on the saleswoman Natasha. Her squabble mother threatens to dismiss the guy and he decides to stir up with Natasha ... ... Read more about Film.ru 7.6 IMDB 5.2 spectators | 1394 TrailerPenCils vs PixelSpenCils vs Pixels 2023 Film Cartoons Biographical Documentary USA 2 hours 25 minutes more about Film.ru 7 IMDB 5.6 spectators | 2 trailer La Called La Calle 2023 Series Documentary US SPECTION OF THE FILM.ru IMDB Spectators Stand Up &amp; AMP; Shout: Songs from a Philly High Schoolstand Up &amp; Shout: Songs from a Philly High School 2023 Film Documentary USA 1 hour 28 minutes about the film Film.ru IMDB spectators Trailelerbukanerkithe Buccaneeers 2023-... Series Drama UKK Tania 3 hours 32 minutes 18+Victorian London of the 1870s. A group of American girls is faced with the Puritan traditions of the British. Hearts ... Read more about the film7 Film.ru 6.9 IMDB 5.5 spectators | 30 TrailelerMter 비질란테 2023 -... Series Air Triller South Korea 8 hours 0 minimum wiring student of the Police Academy on weekends takes justice in their own hands and punishes criminals who received ... more about the film Film.ru 7.7 IMDB 6.7 Spectators | 20 Robbie Williamsrobie Williams 2023 series Biographical Documentary Music Great Britain more about the film Film.ru 7.7 IMDB 6.5 Spectators | 1 Trailelerou Were My First Boyfriendo Were My First Boyfried 2023 Documentary US Film 1 hour 37 minutes about the film Film.ru 8.5 IMDB Viewers of the TriLALLER OF THE CASAN. Blood on asphalt 2023 The series Drama Russia 18+a new friend and a desire to assert himself lead to a high school student Andrei to the creation of a criminal group. The multi-part retro epic of Zhora Kryzhovnikov based on the book of Robert Garaev about the Kazan phenomenon ... More about the film 8 Film.ru IMDB 5.5 spectators | 386                                    Трейлер                  Смотрите на  					РЕКЛАМА 18+					•••								ПАО «РОСТЕЛЕКОМ» ИНН 7707049388 ИДЕНТИФИКАТОР: 4CQwVszH9pUkpBGLzDL													РЕКЛАМА 18+  						   × Волшебный участок2023 сериал боевик детектив комедия фэнтези Россия 7 часов 4 минуты 18+Снайпер Леха против Бабы Яги Змея Горыныча и всей русской нечисти. Fairytale comedy about the hero of our time ... ... More about the film Film.ru IMDB 7.4 spectators | 242 Trailer View for 1 ₽ Advertising 18+⋮ Advertising advertiser advertisement: 4CQWVSH9PUMPJUDSAM in search of the beastCher's Crossing 2022 Film Western Drama of the United States 1 hour 35 minutes throws her studies to Harvard to go to the rocky mountains of Colorado along with bizons hunters. He does not know how ... Read more about Film.ru 5.9 IMDB 7.1 Viewers | 12 Trailercoline from accounting department from Accounts 2022 -... TV series Comedy Australia 3 hours 38 minutes of EXHERSH (Harriet Dayer) and Gordon (Patrick Brammell)-two lonely and complex people of which brought together ... More about the film Film.ru 8.1 IMDB 7.4 Spectators | 14 Trailerediolonokumama Kun 2023 series anime cartoons of fantasy adventure Japanese more about the film Film.ru IMDB 6.5 spectators | 1 Mystery on Mistleto LanemyStery on Mistletoe Lane 2023 Film Detective US Detective about Film.ru IMDB Spectators Killerthe Killer 2023 Film Filler Triller USA France 1 hour 58 minute killer (Michael Fassbender) is experiencing psychological crisis, lane. More about the film7 Film.ru 7.4 IMDB 5.8 Spectators | 39 trailer007: Road to million007: Road to a Million 2023 -... Series Game show adventures of reality shows UK USA 6 hours 32 minutes 32 Minute-players are eighteen-nine pairs of two participants-ready to fight for a cash prize of one million ... Read more about the film Film.ru 2.8 IMDB 6.4 spectators | 1 Trailerthe Killerthe Killer 2023 Film Movies USA 1 hour 46 minutes more about Film.ru IMDB film Rumble Through The Darkrumble Through The Dark 2023 Film Triller USA He Moment 2023 Series Drama Taiwanza melodrama about Film.ru IMDB film Trailerchristmas Islandchristmas Island 2023 Melodrama Film Canada is in more detail about Film.ru IMDB Viewers Curses Curse 2023 —... TV series USA Comedy 8 hours 16 Minute, talk about the spouses of Ashley (Naintan Fielder) and ITETI (Emma Stone ) Siegels that create a reality show “Philanthropy” .... Read more about the film Film.ru 7.1 IMDB 6.0 spectators | 2 trailer Heidelberg Holidya Heidelberg Holid 2023 Film Melodrama Family Germany USA 1 hour 24 minutes about the film Film.ru IMDB Viewers Trailer -Porpyt as a butterflyfluat Like a Butterfly 2018 Film Drama Historical Sports 1 hour 47 minutes, a strong and relevant story about a girl who fought for a girl who fought for a girl who fought your freedom And a vocation. As in the classic film &amp; quot ... Read more about Film.ru 5.9 IMDB, the viewers of The Lady Bird Diariesthe Lady Bird Diaries 2023 Film Documentary 1 hour 30 minutes about the film Film.ru 8.8 IMDB Viewers Treilehrubium on the edge of the world Murder at the end of the World 2023 Series Detective Triller of the United States Iceland 6 hours 40 minute Darbi Hart (Emma Corrin) goes to the distant island of billionaire Andy (Clive Owen). Later one of the guests ... Read more about the film Film.ru IMDB Viewers of Trailersyubur forever the SuburrrrrrrrrrrNA 2023 -... The series action movie Drama Melodrama Thriller Italy 6 hours 40 hours Rome reigns chaos. Existing unions are threatened due to exacerbation of relations with new criminal clans. For ... Read more about the film Film.ru IMDB Viewers of the Trailer-Sea Police: Sydneyncis: Sydney 2023 -... TV series Triller USA 8 hours 0 more about the film Film.ru IMDB 5.5 Spectators | 2 Traileler Lucky Dayor Lucky Day 2023 Film TRILLER USA 1 hour 29 minutes about Film.ru David Holmes: The boy who survived David Holmes: The Boy Who Lved 2023 Documentary US Film 1 hour 28 minutes HBO and Sky will tell about David Holmes- Dubblere Daniel Radcliffe in Harry films ... Read more about Film.ru 1brawn: The Impossible Formula 1 Story 2023 Series Documentary Sports of the United States UK about the Film.ru IMDB film Trailerystamped from the Beginingstamped from The Beginning 2023 Film Documentary 1 hour 40 minutes about the film Film.ru 6.7 IMDB Viewers Dad is not a star tête dans les étoiles 2023 Film Comedy France 1 hour 31 minutes 16+courier accidentally falls aboard the International Space Station. He quickly becomes a world star and a hero for ... Read more about Film.ru 4.7 IMDB 5.2 spectators | 234 Trailer of love and deep waterin Love and Deep Water 2023 Film Detective Comedy Melodrama Japan 1 hour 55 minutes more about the film Film.ru IMDB Viewers Trailerbest. Christmas. Ever! Best. Christmas. Ever! 2023 Film Comedy Melodrama USA 1 hour 41 minute about Film.ru IMDB movie A World Record Christmasa World Record Christmas 2023 Film Drama Canada 1 hour 24 minutes about the film Film.ru IMDB Viewers Monarch: Legacy of Monsters Heritage 2023- ... TV series Antholler Adventure Fiction USA Japan-Off films about Godzilla. The action takes place for 50 years. Military officer Li Show (Kurt Russell) is connected with ... Read more about Film.ru IMDB. Viewers trailers family business Family Affair 2023 Film Comedy Melodrama USA 1 hour 36 minutes about a love triangle between mother (Nicole Kidman) daughter (Joey King) and her Hollywood Head of Hollywood ... Read more about Film.ru IMDB, Viewers Scott Pilgrim Gazes on Gazscott Pilgrim Takes Off 2023 TV series Culti-adventure Japan Canadia Canadia version "Scott Piligrim" Edgara Wright. Trailelerrastinrustin 2023 Film Biographical Drama Historical USA 2 hours 1 minute 18+Biographical ribbon about Bayard Rabina-American activist of the 1960s and the closest comrade-in-arms of Martin Luther ... Read more about Film.ru 6.6 IMDB 6.3 spectators | 1 Trailerdashing Through The Snowdashing Through The Snow 2023 Film Family Fantasy Family 1 hour 35 minutes about Film.ru IMDB Viewers Trailertwin Lovetwin Love 2023 Series Melodrama U.S. Lerplease Donmet Destroy: The Treasure of foggy mountinplease Donat Destroy: The Treasure of Foggy Mountain 2023 Film Comedy more in more detail about Film.ru IMDB Viewers Trailell-Time Highall-Time High 2023 Film MDB spectators Navigating Christmasnavigating Christmas 2023 фильм мелодрама СШАПодробнее о фильме                    film.ru                                    IMDb                                    зрители                                    KennedyKennedy 2023 сериал биографический документальный исторический СШАПодробнее о фильме                    film.ru                                    IMDb                                    зрители                                    A Merry Scottish ChristmasПодробнее о фильме                    film.ru                                    IMDb                                    зрители                                    Популярные рецензииЕЩЕРецензия на 12-й сезон «Американской истории ужасов: Нежность»: Kim Kardashian Kozla and childbirth on November 4 / Text: Nastasya Gorbachevsky Reenses for the series "Pluto" from Netflix - one of the best anime of 2023 on October30 / Text: Alikhan Israpilov "Dryan" in Russian realities: why not watch the series "Ira"? October 14 / October 14 Text: Julia Salihovarezenses for the second season of the series “Loki” - a depressing continuation of the adventures of the former villain Marvel October / Text: Olya Smolinarezhendas for the film “Klyk”: Aaron Eckhart takes revenge on the dog on October 23 / Text: Andrey Volkovrezensesen for the film “Telefield on freelance” - comedy - comedy Action with John Sina in the title role of October 20 / Text: Gulnaz Davltshtinzhesezseza for Generation “Vi”-the second spin-off of legendary “boys” on October 13 / Text: Yana Televanovo, November 11, Zach Efron reacted to the proposal to play Matthew Perry in Bayopica on November 11 The Puzzle 2 trailer became the most popular in the history of Disney on November 11, the SAG board of directors approved a new deal with producers on November 11, the teaser of the series “Bratsk Sun” with Michelle Yeo Jarmush will shoot a new film in Paris on November 11 “Barbie” Grammy nominees the best new trailetry worker (film 2024) Tisader-trailer (English) Orion and darkness (film 2024) Trailer (English) Arken (TV series 2021) Season 2: Date (English) puzzle 2 (film 2024 )            Тизер-трейлер (англ.)        КоллекцииЕЩЕНарисованное кино                  1 сериал5 фильмов                    2188Лучшие фильмы 2021 года по версии журнала Wired                  9 фильмов                    1328Самые скандальные американские фильмы                  66 фильмов                    10849100 лучших фильмов ужасов по версии Time Out                  100 фильмов                    259243Лучшие британские сериалы 2022 года по версии BFI                  9 сериалов3 фильма 725 Best Films of 2022 according to Metacritic 30 films 1492 laureates of the Oscar for the best female role 98 films 4804 WHOLEDICES SXSW 27 Films 529 Best films of the 2000s 52326100 BBC 100 films 18130 films-nominees for Oscar " In 2023, 38 films 1245550 of the best series of the XXI century according to Film.ru 48 TV shows 31721100 Best Russian and Soviet films according to Empire 100 films 110178 Oscar in the category "Best makeup and hairstyles" 41 Movies 1266 are the best surreal films 45 films 1837325 Greater Movies 1837325 According to AFI 25 films 439, Musicals, also orderly about the project of the printing of the printing of the Perekalzenisenyevisenyevis -Kontakteok.rudk.rudex dzentelegram Film.ru is registered by the Federal Service for Supervision of Information Technologies and Mass Communications (Roskomnadzor). Certificate of EL No. FS77-82172 dated 10.11.2021. © 2023 Film.ru-All about cinema reviews Reviews News Premiere of Films to Make Material If you want to offer us material for publication or cooperation write us a letter and if it seems important to us, we will answer you the current of one or two days. If your question cannot be resolved by mail to the editorial office, you can call. Letters address: Partner@film.ru Editor's phone: 8 (495) 229-62-00 Postering what exactly does it seem to you unacceptable in this comment?</v>
      </c>
    </row>
    <row r="94">
      <c r="A94" s="1" t="s">
        <v>332</v>
      </c>
      <c r="B94" s="1" t="s">
        <v>351</v>
      </c>
      <c r="C94" s="1" t="s">
        <v>352</v>
      </c>
      <c r="D94" s="1">
        <v>5.0</v>
      </c>
      <c r="E94" s="4" t="s">
        <v>353</v>
      </c>
      <c r="F94" s="1" t="s">
        <v>16</v>
      </c>
      <c r="G94" s="1" t="s">
        <v>354</v>
      </c>
      <c r="H94" s="4" t="s">
        <v>355</v>
      </c>
      <c r="I94" s="2">
        <v>2.0</v>
      </c>
      <c r="J94" s="5" t="str">
        <f>IFERROR(__xludf.DUMMYFUNCTION("GOOGLETRANSLATE(A94)"),"Avatar 2")</f>
        <v>Avatar 2</v>
      </c>
      <c r="K94" s="6" t="str">
        <f>IFERROR(__xludf.DUMMYFUNCTION("GOOGLETRANSLATE(B94)"),"Avatar 2: Water Way (Film 2022)")</f>
        <v>Avatar 2: Water Way (Film 2022)</v>
      </c>
      <c r="L94" s="5" t="str">
        <f>IFERROR(__xludf.DUMMYFUNCTION("GOOGLETRANSLATE(C94)"),"Watch the online video Avatar 2: Water Way (Film, 2022) Channel Film in good quality without registration and completely free on RUTUBE.")</f>
        <v>Watch the online video Avatar 2: Water Way (Film, 2022) Channel Film in good quality without registration and completely free on RUTUBE.</v>
      </c>
      <c r="M94" s="5" t="str">
        <f>IFERROR(__xludf.DUMMYFUNCTION("GOOGLETRANSLATE(G94)"),"Rutube video hosting. Watch the video online for free. Add notifications of topics of the Topecatalog Sub -Subscription Subscribing Later Image Viewing Topecatalogy Sub -Subscription Supply to configure the Categories Categories and Registration of the Ca"&amp;"tegory -Assistance of the Interva -Cultural Sciences Cultural Science and Media Online teleshoteline-renovation films for helping auumorekanaly-first Canal Russia 1matic Canalcanal Culture Culture 24 Tvskassdomatomatomatmari-Zvezazzezdamir TnTNTMUZ-TNTMUN"&amp;"AL TNT42X2VIJUSTURIAL TREATED TE Vrutube children-put-up-tsopl tv resign on nasopic checks and answers to compare the review of the post-and-storage agreement of the consistent legal information recommended Service style system © 2023 RUTUBENAL Topecatalo"&amp;"gsmoyoriginalSge, to configure the category -by -Country and Registration of the Category -Autoblogs of Interviews of the Distribution of Culture -Great -Great -Khakimusovka and MECHOODURITION OF PRODUCTIONSIALSYSTENSTENTS Aids HumorTelkanaly-first Canal "&amp;"Russia 1-match Canalcanal Culture Culture 24 Twitzrena Twspassstsdomatomatomatomatomarizzazzazzdamir TNTNTMUZ-TNTMUSAL TNT42X2VIJUST Later Improving the application of instructions for children Subscribe to nashery questions and answers to compare the rev"&amp;"iew of the weapons of the Activities of the Personalized Agreement of the Employment Information recommended Service Service Service © 2023 RUTUBETOP -5 Video12+10: 57 Ukrainian Front - Armed Forces retreat in Avdeevka. Coksochem has problems. November 10"&amp;", 2023 Sunno in Floridan ago212+02: 56bykov* wants to “cleanse” Russia of Smolyaninov* Switzed Clinton compared Trump with Hitleromabzets2 Days ago316+03: 59water in Ukraine (10.11.23): Avdeevka is already sentenced - this is already understood and we und"&amp;"erstand this Opponents of Podolyaka2 days ago418+01: 14: 19 No. 457 attack on Anatoly Sharia / Hunting Jews in Dagestan / Vaccination from cocainaartemius Lebedev2 days ago516+02: 10 sorphano s04e06 all hurts all - a goblin parsing with a dementiDmititmi "&amp;"Puchkov2 days ago Riya . Kosiki for Ivyarko. Factory of animated hits5 days ago12+14: 30kat paleontologists - Vsevolod Efremenko | Lectures on paleontology | Scientific -Upro14 hours ago16+01: 16: 59 Yarsh Stars 1 season 6 production TNT 8 hours ago12+01+"&amp;"01: 31: 50 Podkodkast “Russian Geographic”: Superprojects of Russian tourism -Russian geographic17 hours ago16+01: 53: 03 Extransenses. Battle of the strongest 23 Issue Telkanal TNT325 thousand watches10 hours ago12+09: 59 Taic red button in the metro of "&amp;"St. Petersburg! [Rybatskoye station] Pro Metro16 hours ago16+01: 13: 18al hero. To remain a family 3 production telekanal TV-3781 thousand watches12 hours ago12+27: 03-naval games of the ancient world / [Black History] History of Black13 hours ago12+27: 0"&amp;"2 Building Yurt themselves! House in the suburbs. Interior Design. Rumtur. As others live12 hours ago12+16: 55, they became a dead bride and sinister pumpkin! Who will make the image on Halloween better!? Double bubble16 hours ago12+02: 36 “Way to Success"&amp;"”: Meeting with the Averny Gazprom sisters at the Russia's exhibition 3 days ago12+45: 35 Station Ay as just a psychologist about his own about his own income and Mizulina / Cyberetics with Lissovkibertika21 hour ago16+23: 52 Vkusno with Laysan 3 Season 3"&amp;" release Denis Klyaverkanal TV-321 hour ago12+17: 41jyudo with stars | Marina Lizorkina ""Serebro"" in the past gold in judoledenevye back12+01: 06: 53fantastic. Issue from 10.11.2023. Part 1 first Canal ago12+23: 36k, mountain guides live and why do peop"&amp;"le love mountains? Redaring2 Days ago12+04: 17th -Byyanka Julianna Karaulova - about friendship (Solo concert of Bianca in Moscow 2023) Bianca2 days ago06: 30 Shushumagia 5 series. Flight of Push-Pusherko. Factory of animation hits5 days ago18+01: 21: 39d"&amp;"vor per yard. 5 series. Yekaterinburg x Barnauldvor on the yard305 thousand watches3 days ago16+46: 35 Twal-Battle: Kuala Lumpur. Malaysian Pyatnitsyen, ago, News Russians will be allowed to leave the gas sector on 12 Nonimarias the Israeli defense newsma"&amp;"n warned Lebanon about the consequences of joining the Krasnodar conflict Krasnodar, after the first circle of the 2023/24masyan, Tvirossian Khabibulaev became a five -time champion of the world in combat Samobech Twibzerukov: Patriotism to children throu"&amp;"gh the art of the United States They called the nominees on Grammytassv Moscow awarded the Laureates of the Golden Mask NTVNOVNIKS12+06: 52 images Beyoncé in the tour // Fashion review for outfits 🪩jessihill1 hours ago12+02: 57anfisa Czechov: On the choi"&amp;"ce of the right men of the divorce and astrology around the world21 HAR Back12+05: 14 What is bullying and how not to become a victim of bullying? The theme is nyashin13 hours ago12+37: 03 Tyiland is resting! The unknown Philippines island of Mindanaobigt"&amp;"ripvlog12 hours ago12+05: 30 EXCLUZIV! BMW M8: Luxury speed and suite in every movement! 💥🚗 Autto as it is! 13 hours ago12+11: 04 What cartoons are better 🔥! Romantic bylocka1012 hours ago12+06: 06 Cosmetics! What can you buy in a golden apple? Malina_"&amp;"isteri4ka2 days ago12+05: 08mega Burger | How to make the largest burgervrode vladosja back12+05: 50 -month -old New Year's giftsmarkovatlda back12+06: 04roll / Kinomax Tambov17 hours ago12+10: 12 Two Two! Eat the ingredients! Second issue! Maximum back12"&amp;"+01: 07: 24 Fisherman Fisherman on the first ice to wipe his nose neighborly shift - rest together in Khanty -Mansi Autonomous Okrug. Dengue12+46: 18novy enemies ➤ spider -man: Miles Morales #2Jays_App2 days ago12+08: 08 | Day 5 | Breast training! Nosov R"&amp;"oman20 hours ago12 +11: 45#Abkhazia 2023 🌴11 November №1487❗ Weather from gray wolf 🌡 24 ° 🌡 13 ° 🐬more ​​+199 ° Sergey Sukhumsky (Gray Wolf) - rest in Abkhazia ! 21 hours ago12+29: 05, bandits hunt it! // Lunomosyklunomosik20 hours ago12+13: 09 Fires"&amp;".exe and Dim Dimych abducted Leru! The forbidden series of Fixikov __ Yus show (720p) YS Show20 hours ago12+19: 50 D3 VITS is vital for every organ of your body health with Natalia Zubareva2 days ago12+13: 43NOM SIDEN from the Swedish-Chinese symbiosis. M"&amp;"eet-Geely Emgrand already in Rostov-on-Donuslav Nikolsky2 days ago12+10: 55in Gold turned out to be a neural network? The celeba2 days ago")</f>
        <v>Rutube video hosting. Watch the video online for free. Add notifications of topics of the Topecatalog Sub -Subscription Subscribing Later Image Viewing Topecatalogy Sub -Subscription Supply to configure the Categories Categories and Registration of the Category -Assistance of the Interva -Cultural Sciences Cultural Science and Media Online teleshoteline-renovation films for helping auumorekanaly-first Canal Russia 1matic Canalcanal Culture Culture 24 Tvskassdomatomatomatmari-Zvezazzezdamir TnTNTMUZ-TNTMUNAL TNT42X2VIJUSTURIAL TREATED TE Vrutube children-put-up-tsopl tv resign on nasopic checks and answers to compare the review of the post-and-storage agreement of the consistent legal information recommended Service style system © 2023 RUTUBENAL TopecatalogsmoyoriginalSge, to configure the category -by -Country and Registration of the Category -Autoblogs of Interviews of the Distribution of Culture -Great -Great -Khakimusovka and MECHOODURITION OF PRODUCTIONSIALSYSTENSTENTS Aids HumorTelkanaly-first Canal Russia 1-match Canalcanal Culture Culture 24 Twitzrena Twspassstsdomatomatomatomatomarizzazzazzdamir TNTNTMUZ-TNTMUSAL TNT42X2VIJUST Later Improving the application of instructions for children Subscribe to nashery questions and answers to compare the review of the weapons of the Activities of the Personalized Agreement of the Employment Information recommended Service Service Service © 2023 RUTUBETOP -5 Video12+10: 57 Ukrainian Front - Armed Forces retreat in Avdeevka. Coksochem has problems. November 10, 2023 Sunno in Floridan ago212+02: 56bykov* wants to “cleanse” Russia of Smolyaninov* Switzed Clinton compared Trump with Hitleromabzets2 Days ago316+03: 59water in Ukraine (10.11.23): Avdeevka is already sentenced - this is already understood and we understand this Opponents of Podolyaka2 days ago418+01: 14: 19 No. 457 attack on Anatoly Sharia / Hunting Jews in Dagestan / Vaccination from cocainaartemius Lebedev2 days ago516+02: 10 sorphano s04e06 all hurts all - a goblin parsing with a dementiDmititmi Puchkov2 days ago Riya . Kosiki for Ivyarko. Factory of animated hits5 days ago12+14: 30kat paleontologists - Vsevolod Efremenko | Lectures on paleontology | Scientific -Upro14 hours ago16+01: 16: 59 Yarsh Stars 1 season 6 production TNT 8 hours ago12+01+01: 31: 50 Podkodkast “Russian Geographic”: Superprojects of Russian tourism -Russian geographic17 hours ago16+01: 53: 03 Extransenses. Battle of the strongest 23 Issue Telkanal TNT325 thousand watches10 hours ago12+09: 59 Taic red button in the metro of St. Petersburg! [Rybatskoye station] Pro Metro16 hours ago16+01: 13: 18al hero. To remain a family 3 production telekanal TV-3781 thousand watches12 hours ago12+27: 03-naval games of the ancient world / [Black History] History of Black13 hours ago12+27: 02 Building Yurt themselves! House in the suburbs. Interior Design. Rumtur. As others live12 hours ago12+16: 55, they became a dead bride and sinister pumpkin! Who will make the image on Halloween better!? Double bubble16 hours ago12+02: 36 “Way to Success”: Meeting with the Averny Gazprom sisters at the Russia's exhibition 3 days ago12+45: 35 Station Ay as just a psychologist about his own about his own income and Mizulina / Cyberetics with Lissovkibertika21 hour ago16+23: 52 Vkusno with Laysan 3 Season 3 release Denis Klyaverkanal TV-321 hour ago12+17: 41jyudo with stars | Marina Lizorkina "Serebro" in the past gold in judoledenevye back12+01: 06: 53fantastic. Issue from 10.11.2023. Part 1 first Canal ago12+23: 36k, mountain guides live and why do people love mountains? Redaring2 Days ago12+04: 17th -Byyanka Julianna Karaulova - about friendship (Solo concert of Bianca in Moscow 2023) Bianca2 days ago06: 30 Shushumagia 5 series. Flight of Push-Pusherko. Factory of animation hits5 days ago18+01: 21: 39dvor per yard. 5 series. Yekaterinburg x Barnauldvor on the yard305 thousand watches3 days ago16+46: 35 Twal-Battle: Kuala Lumpur. Malaysian Pyatnitsyen, ago, News Russians will be allowed to leave the gas sector on 12 Nonimarias the Israeli defense newsman warned Lebanon about the consequences of joining the Krasnodar conflict Krasnodar, after the first circle of the 2023/24masyan, Tvirossian Khabibulaev became a five -time champion of the world in combat Samobech Twibzerukov: Patriotism to children through the art of the United States They called the nominees on Grammytassv Moscow awarded the Laureates of the Golden Mask NTVNOVNIKS12+06: 52 images Beyoncé in the tour // Fashion review for outfits 🪩jessihill1 hours ago12+02: 57anfisa Czechov: On the choice of the right men of the divorce and astrology around the world21 HAR Back12+05: 14 What is bullying and how not to become a victim of bullying? The theme is nyashin13 hours ago12+37: 03 Tyiland is resting! The unknown Philippines island of Mindanaobigtripvlog12 hours ago12+05: 30 EXCLUZIV! BMW M8: Luxury speed and suite in every movement! 💥🚗 Autto as it is! 13 hours ago12+11: 04 What cartoons are better 🔥! Romantic bylocka1012 hours ago12+06: 06 Cosmetics! What can you buy in a golden apple? Malina_isteri4ka2 days ago12+05: 08mega Burger | How to make the largest burgervrode vladosja back12+05: 50 -month -old New Year's giftsmarkovatlda back12+06: 04roll / Kinomax Tambov17 hours ago12+10: 12 Two Two! Eat the ingredients! Second issue! Maximum back12+01: 07: 24 Fisherman Fisherman on the first ice to wipe his nose neighborly shift - rest together in Khanty -Mansi Autonomous Okrug. Dengue12+46: 18novy enemies ➤ spider -man: Miles Morales #2Jays_App2 days ago12+08: 08 | Day 5 | Breast training! Nosov Roman20 hours ago12 +11: 45#Abkhazia 2023 🌴11 November №1487❗ Weather from gray wolf 🌡 24 ° 🌡 13 ° 🐬more ​​+199 ° Sergey Sukhumsky (Gray Wolf) - rest in Abkhazia ! 21 hours ago12+29: 05, bandits hunt it! // Lunomosyklunomosik20 hours ago12+13: 09 Fires.exe and Dim Dimych abducted Leru! The forbidden series of Fixikov __ Yus show (720p) YS Show20 hours ago12+19: 50 D3 VITS is vital for every organ of your body health with Natalia Zubareva2 days ago12+13: 43NOM SIDEN from the Swedish-Chinese symbiosis. Meet-Geely Emgrand already in Rostov-on-Donuslav Nikolsky2 days ago12+10: 55in Gold turned out to be a neural network? The celeba2 days ago</v>
      </c>
    </row>
    <row r="95">
      <c r="A95" s="1" t="s">
        <v>332</v>
      </c>
      <c r="B95" s="1" t="s">
        <v>356</v>
      </c>
      <c r="C95" s="1" t="s">
        <v>357</v>
      </c>
      <c r="D95" s="1">
        <v>6.0</v>
      </c>
      <c r="E95" s="4" t="s">
        <v>358</v>
      </c>
      <c r="F95" s="1" t="s">
        <v>16</v>
      </c>
      <c r="G95" s="1" t="s">
        <v>359</v>
      </c>
      <c r="H95" s="4" t="s">
        <v>360</v>
      </c>
      <c r="I95" s="2">
        <v>4.0</v>
      </c>
      <c r="J95" s="5" t="str">
        <f>IFERROR(__xludf.DUMMYFUNCTION("GOOGLETRANSLATE(A95)"),"Avatar 2")</f>
        <v>Avatar 2</v>
      </c>
      <c r="K95" s="6" t="str">
        <f>IFERROR(__xludf.DUMMYFUNCTION("GOOGLETRANSLATE(B95)"),"Avatar season 2 (2023): Release date, participants, jury ...")</f>
        <v>Avatar season 2 (2023): Release date, participants, jury ...</v>
      </c>
      <c r="L95" s="5" t="str">
        <f>IFERROR(__xludf.DUMMYFUNCTION("GOOGLETRANSLATE(C95)"),"The second season of the show Avatar starts on November 5, 2023. You will learn everything about the participants, members of the jury and the leading project.")</f>
        <v>The second season of the show Avatar starts on November 5, 2023. You will learn everything about the participants, members of the jury and the leading project.</v>
      </c>
      <c r="M95" s="5" t="str">
        <f>IFERROR(__xludf.DUMMYFUNCTION("GOOGLETRANSLATE(G95)")," News of Russia and the world. Komsomolskaya Pravda in the Russian Federation - Radio and Site newspaper // www.kp.ru - kp.ru menyurossia and therapy Politics Political Economics and Economy Political Economics Miraverazdovsdovykoronavironavironavironavir"&amp;"onavironavironavirals of the Russian experts of experts, I know the family secretary of the Secretary Projects of Zhelezturism-Center-Center of Consciousness Consumer-Consumer Consumer-Consumer-Consumer Consumer Conductions and Tytynovoye on the website o"&amp;"f the website of the Ministry of Digital Communications and Mass Communications of the Russian Federation of the Russian Federation of the Russian Federation Political Economics Economy MIPRESVESSDOROVEVESSOSOSTROSKANAKORONAVISTYARITARIATARIATARY STRISTRI"&amp;"CAL Projects of Russia Expertocrofinance Semovyzhensky secret-core percussialyspecepsprojects of iron venue-central lecture-lecture VOE on the website of the website of the Radio -Rossiyamoskva today: Russian News Exhibition ""Russia"" War in Israeli -Gre"&amp;"at -Ryncorynash of Kinocrain: Summary of the County Cast in the Rossiyeschekkiy Day -Keekpa in Telegrampersi, they say that the first month of the Ukrainian ""counteratus"" was difficult - enemy peris Not sparing their own. Politicsciscence Kp.ru of our s"&amp;"oldiers of prayers and feats under shelling: the honest story of the fighters who stopped the Armed Forces of the Armed Forces under the Pyatikhatkamifoto -Vosvoslotets with the call sign “Baby” took out the wounded comrades from the BMP without caterpill"&amp;"ar2 days ago Politics Square of the KP.ru Mirav -American called the guilty “Northern Streams”: with this version, all the NOT COPHCES OF APU Chervinsky could not be the coordinator of the attack on the “northern streams” of the Moscow Policy in Europe, t"&amp;"he “funeral” of the Kiev regime began to plan: what will happen to Ukraine without the help of the USARELLEAL that Ukraine could not defeat Russia in the nearest Time of Politics and Economics Square Kp.ru will not become targeted for everyone: what will "&amp;"happen next with a preferential mortgage in the Russianarieltor Aprelev: a preferential mortgage can be limited to people with high incomes of the economics of the economics of the KP.ru Politics Politics who surrendered their surrenders: the Hero of Russ"&amp;"ia told how the Hero of Russia told how he captivated 11 Ukrainian marine marines. The military personnel of the 36th Brigade of the Marine Corps of the Armed Forces of Ukraine subsided “mobilized” the Politics and Academy of Sciences of the giants and po"&amp;"rtal to other worlds yesterday: as the occultists from the Nazi “Anenerbe” were looking for Shambhala in the mountains of the KP KP Nikolay and Natalya Varsgovs followed the footsteps Military special operation on Ukraine on November 12, 2023: the direct "&amp;"online transaction of KP.ru publishes the latest news about the military special operation of Russia in Ukraine on November 12, 2023, the Policy-Politics of the Political Education “No one is jealous of slander only in you”: the Russians answered the rebu"&amp;"ke of Alla Pugacheva Pugacheva The artists who accused her of the collapse of their career outsseers spreads through the Kp.ru -suffering her beloved husband Alexander Pakhmutov holds the hero: gives joy to the children from Donetsk looks like a queenfote"&amp;" -vydovideoAleksandra Pakhmutov met with children from Donetsk and sang her her own songs -eupsquilizes Kp.ru son and medical error were crushed by Boris Klyuyev: published The recording of the last interview of the artist before the death of the Health o"&amp;"f Boris Klyuyeva crushed the sudden death of the only son -in -lawsujauccaeukecluse Kp.ru, do you want the child to grow as poor? Do not tell him phrases that program poverty psychologist Musokhranov called phrases that programs us for poverty valiyuyaku "&amp;"Kp.ru Sports Speak of Valieva in a red dress brought her victory in the short program of Russia in Kazani that happened in a short program of women at the Russian Grand Prix in Kazanivotnutnutnuakaphoto Brides with three hands on the network dubbed the de"&amp;"vilry: what was not so with a mysterious wedding picture of the picture of the scorestone, she took a photo with three different positions of her hands at the same time at the same time as a manacdoresdorye -ethnic shuttle of kp.rumagnetic storms: on the "&amp;"night of November 12, a serious “storm” Denisenko is expected: before magnetic storms, it is worth refusing to refuse from magnetic storms Fatty food of the end of the end of the Kp.ru, 2411 minutes ago Politicalsohu: the United States provoked the Poland"&amp;" conflict with Ukraine, this is profitable for Russia backwards back to the Political Russian military destroyed up to 50 APU militants in the Kupyansk direction of the Black United Studies: in Russia, the VPN2 hours ago Political Political Political Poli"&amp;"tical Political Complex announced the readiness of Kiev for trade candidates for trade candidate liquids inside the EU3 hours ago Politicia Congress Johnson proposed financing the government without the help of Kiev -Kyamolikuardian: the sanctions could n"&amp;"ot affect the success of Russia in the production of weapons of the Czech Republic of Czech Republic 384 cases against the citizens of the countries of the countries of the countries of the world: the world with Israel is possible when the Palestinian and"&amp;" Arab lands of the MiracNN: Three Dispensers were killed in the hospital in the hospital Gases The siege of Israeli -equal for Miraceron: France was faced with the revival of the unbridled anti -Semitismavs of the political science of the city of Kherson,"&amp;" controlled by the explosive Mireliga of the Arab states: gas should remain as part of the Palestine after the war of the world under the world, the large lion escaped from the circus to catch the bill of prisoners: the plane of the US The crash in the Me"&amp;"diterranean Morevs of the News of the Hot in Moskvestyeznotra+4 ° is felt like+2 ° in the morning+4 ° after day+5 ° in the evening+8 ° weather in Moscow Trada+4 ° is felt as+2 ° in the morning+4 ° in the evening+8 ° Co-Ho. -Ho: At the bottom of the Caribb"&amp;"ean - twenty billion dollars and a bottle of Romar government of Colombia until 2026 expects to raise the inconspicuous treasures of Galeon San Jose from the bottom. We decided to recall what other sunken wealth hides the oceanic community")</f>
        <v> News of Russia and the world. Komsomolskaya Pravda in the Russian Federation - Radio and Site newspaper // www.kp.ru - kp.ru menyurossia and therapy Politics Political Economics and Economy Political Economics Miraverazdovsdovykoronavironavironavironavironavironavironavirals of the Russian experts of experts, I know the family secretary of the Secretary Projects of Zhelezturism-Center-Center of Consciousness Consumer-Consumer Consumer-Consumer-Consumer Consumer Conductions and Tytynovoye on the website of the website of the Ministry of Digital Communications and Mass Communications of the Russian Federation of the Russian Federation of the Russian Federation Political Economics Economy MIPRESVESSDOROVEVESSOSOSTROSKANAKORONAVISTYARITARIATARIATARY STRISTRICAL Projects of Russia Expertocrofinance Semovyzhensky secret-core percussialyspecepsprojects of iron venue-central lecture-lecture VOE on the website of the website of the Radio -Rossiyamoskva today: Russian News Exhibition "Russia" War in Israeli -Great -Ryncorynash of Kinocrain: Summary of the County Cast in the Rossiyeschekkiy Day -Keekpa in Telegrampersi, they say that the first month of the Ukrainian "counteratus" was difficult - enemy peris Not sparing their own. Politicsciscence Kp.ru of our soldiers of prayers and feats under shelling: the honest story of the fighters who stopped the Armed Forces of the Armed Forces under the Pyatikhatkamifoto -Vosvoslotets with the call sign “Baby” took out the wounded comrades from the BMP without caterpillar2 days ago Politics Square of the KP.ru Mirav -American called the guilty “Northern Streams”: with this version, all the NOT COPHCES OF APU Chervinsky could not be the coordinator of the attack on the “northern streams” of the Moscow Policy in Europe, the “funeral” of the Kiev regime began to plan: what will happen to Ukraine without the help of the USARELLEAL that Ukraine could not defeat Russia in the nearest Time of Politics and Economics Square Kp.ru will not become targeted for everyone: what will happen next with a preferential mortgage in the Russianarieltor Aprelev: a preferential mortgage can be limited to people with high incomes of the economics of the economics of the KP.ru Politics Politics who surrendered their surrenders: the Hero of Russia told how the Hero of Russia told how he captivated 11 Ukrainian marine marines. The military personnel of the 36th Brigade of the Marine Corps of the Armed Forces of Ukraine subsided “mobilized” the Politics and Academy of Sciences of the giants and portal to other worlds yesterday: as the occultists from the Nazi “Anenerbe” were looking for Shambhala in the mountains of the KP KP Nikolay and Natalya Varsgovs followed the footsteps Military special operation on Ukraine on November 12, 2023: the direct online transaction of KP.ru publishes the latest news about the military special operation of Russia in Ukraine on November 12, 2023, the Policy-Politics of the Political Education “No one is jealous of slander only in you”: the Russians answered the rebuke of Alla Pugacheva Pugacheva The artists who accused her of the collapse of their career outsseers spreads through the Kp.ru -suffering her beloved husband Alexander Pakhmutov holds the hero: gives joy to the children from Donetsk looks like a queenfote -vydovideoAleksandra Pakhmutov met with children from Donetsk and sang her her own songs -eupsquilizes Kp.ru son and medical error were crushed by Boris Klyuyev: published The recording of the last interview of the artist before the death of the Health of Boris Klyuyeva crushed the sudden death of the only son -in -lawsujauccaeukecluse Kp.ru, do you want the child to grow as poor? Do not tell him phrases that program poverty psychologist Musokhranov called phrases that programs us for poverty valiyuyaku Kp.ru Sports Speak of Valieva in a red dress brought her victory in the short program of Russia in Kazani that happened in a short program of women at the Russian Grand Prix in Kazanivotnutnutnuakaphoto Brides with three hands on the network dubbed the devilry: what was not so with a mysterious wedding picture of the picture of the scorestone, she took a photo with three different positions of her hands at the same time at the same time as a manacdoresdorye -ethnic shuttle of kp.rumagnetic storms: on the night of November 12, a serious “storm” Denisenko is expected: before magnetic storms, it is worth refusing to refuse from magnetic storms Fatty food of the end of the end of the Kp.ru, 2411 minutes ago Politicalsohu: the United States provoked the Poland conflict with Ukraine, this is profitable for Russia backwards back to the Political Russian military destroyed up to 50 APU militants in the Kupyansk direction of the Black United Studies: in Russia, the VPN2 hours ago Political Political Political Political Political Complex announced the readiness of Kiev for trade candidates for trade candidate liquids inside the EU3 hours ago Politicia Congress Johnson proposed financing the government without the help of Kiev -Kyamolikuardian: the sanctions could not affect the success of Russia in the production of weapons of the Czech Republic of Czech Republic 384 cases against the citizens of the countries of the countries of the countries of the world: the world with Israel is possible when the Palestinian and Arab lands of the MiracNN: Three Dispensers were killed in the hospital in the hospital Gases The siege of Israeli -equal for Miraceron: France was faced with the revival of the unbridled anti -Semitismavs of the political science of the city of Kherson, controlled by the explosive Mireliga of the Arab states: gas should remain as part of the Palestine after the war of the world under the world, the large lion escaped from the circus to catch the bill of prisoners: the plane of the US The crash in the Mediterranean Morevs of the News of the Hot in Moskvestyeznotra+4 ° is felt like+2 ° in the morning+4 ° after day+5 ° in the evening+8 ° weather in Moscow Trada+4 ° is felt as+2 ° in the morning+4 ° in the evening+8 ° Co-Ho. -Ho: At the bottom of the Caribbean - twenty billion dollars and a bottle of Romar government of Colombia until 2026 expects to raise the inconspicuous treasures of Galeon San Jose from the bottom. We decided to recall what other sunken wealth hides the oceanic community</v>
      </c>
    </row>
    <row r="96">
      <c r="A96" s="1" t="s">
        <v>332</v>
      </c>
      <c r="B96" s="1" t="s">
        <v>361</v>
      </c>
      <c r="C96" s="1" t="s">
        <v>362</v>
      </c>
      <c r="D96" s="1">
        <v>7.0</v>
      </c>
      <c r="E96" s="4" t="s">
        <v>363</v>
      </c>
      <c r="F96" s="1" t="s">
        <v>16</v>
      </c>
      <c r="G96" s="1" t="s">
        <v>364</v>
      </c>
      <c r="H96" s="4" t="s">
        <v>365</v>
      </c>
      <c r="I96" s="2">
        <v>1.0</v>
      </c>
      <c r="J96" s="5" t="str">
        <f>IFERROR(__xludf.DUMMYFUNCTION("GOOGLETRANSLATE(A96)"),"Avatar 2")</f>
        <v>Avatar 2</v>
      </c>
      <c r="K96" s="6" t="str">
        <f>IFERROR(__xludf.DUMMYFUNCTION("GOOGLETRANSLATE(B96)"),"Avatar film: Water Way (USA, 2022)-Afisha-Kino")</f>
        <v>Avatar film: Water Way (USA, 2022)-Afisha-Kino</v>
      </c>
      <c r="L96" s="5" t="str">
        <f>IFERROR(__xludf.DUMMYFUNCTION("GOOGLETRANSLATE(C96)"),"Avatar film: Water Way (Avatar: The Way of Water, USA, 2022) - actors, trailers, user reviews and criticism reviews, similar films and personnel from it.")</f>
        <v>Avatar film: Water Way (Avatar: The Way of Water, USA, 2022) - actors, trailers, user reviews and criticism reviews, similar films and personnel from it.</v>
      </c>
      <c r="M96" s="5" t="str">
        <f>IFERROR(__xludf.DUMMYFUNCTION("GOOGLETRANSLATE(G96)"),"Афиша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202"&amp;"3 - январь 2024 МДМОт 900 ₽концертВивальди. The times of the year -Yabr 2023 - April 2024 House of Kinoot 1400 ₽6.1 Filmicatriye will be in 96 cinemas to buy a ticket -portable event of Khorkin. Show Duel November 19 at 18:00 Palace of gymnastics Irina Vi"&amp;"ner-Usmanova 1 1,500 ₽8 Epavkatinkoff City: Andy Warhol and Russian art on February 18 Jewish museum to buy a ticketfilmsindromid in 136 cinemas to the Ticketscription “Griff removed” November Bunker 450 ₽ Makers Moldhilms. Shie Mirrakkatalogi Film -expec"&amp;"ted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amp;"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amp;"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amp;"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amp;"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amp;"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amp;"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"&amp;"центр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animation-30%discord-disk"&amp;"idota Christmas trees25 and 27 The Meridian Cultural Center 400 ₽ Dinagome M-Torpedhockei on November 23 at 19:30 SKRK VTB Arena Arena - The Central Stadium Dynamo named after Yashin from 400 ₽ Dinomo M - Skykhokkey on December 25 at 19:30 SKRK VTB Arena "&amp;"- the Central Stadium Dynamo named after Yashin from 400 ₽ Dinomasm M - CSKAHOKKYAI on December 19 at 19:30 SKRK "" VTB Arena - the Central Stadium Dynamo named after Yashin from 200 ₽ ROPRODINA - Chernomoretorefutbol November 19 at 19:00 Sapsan Arenaafis"&amp;" Restaurantov10 The best restaurants in Moscow according to the version of Whereteat Moscow 202310 “Nature are 150 years old”: Evgeny Reimer about the future of the future and about the future of the future and The new restaurant ""NE"" in the atom pavili"&amp;"on on November 8 is in full swing: where to go to Sochi in November 7 November for a week: Khinkali festival Kazakh delicacies and ethnic firewalls on November7 The best restaurants of the Central Region of Russia according to the Whereteat 20234 Awards w"&amp;"ill be called the best restaurants of the capital of Krasnodar on November3 Sochi Rostov-on-Don and Gelendzhik will be held the festival of southern kitchen-eve-elays of a Syndromrill9.3ot 1100 ₽ Mayakovsky premieres 2023 January 2024 Lenkom Zakharovabori"&amp;"s Sveshnikov. Dreams of Eternity -Writers on January 14 Our artists of the Khatastastophantentesis of Afishavese7.7 Tylepyntlmenyboyevik8.8ot 1000 ₽ Rruxi -tank 2023 - January 2024 Muscovite Musical Theater KDKSKORO in Kinovsovsabiletychacamediyatyabileyb"&amp;"iletikhchik and poultry farmletfilombilets to the dream: once and for all, and for all the time-mercy-hungry, terrible sister-2ocedium collections Afishas are the most convenient way to choose how to conduct a free posting post: the main events of the wee"&amp;"k - you have to sign up the company editorial campaign Contactkitat CardiAfisha Dailypiknik Afishede. Rufisha Close -moving veteranstat. Bilet -picnovicular in terms of questioned issues, 1999–2023 LLC Afisha LLC. All rights reserved. For persons over 18 "&amp;"years old. User Agreement Policy of Confidentiality Rules for the Application of Technologies Azov Almetyevsk Anapa Angarsk Arzamas Armavir Arkhangelsk Astrakhan Achinsk Balashikha Balashikh Bataysk Beloregor Belorechensk Berdsk Bereznishk Blaguruslan Bug"&amp;"ulm Bugulma Buzulm Buzuluk Veliki Velik Verkhnyaya Pyshma Vidden Vladivostok Vladikavkaz Vladimir Volgograd Volgogonsk Volzhsky Vologda Volda Volk Vsevolozhsk Vyborg Gatchina Gornzhik Gorno-Altaysk Grozny Gubkin Gudermes Dzerzhinsk Dimitrovgrad Dmitrov Do"&amp;"lgoprudny Dubomodedovo Dubna Evpatoria Yekaterinburg Yelets Esentuki Zheleznogorsk (Krasnoyarsk) Zhukovsky Zareysk Zarenogorsk Zelenogradsky Zelenogostosvost Ivanovo Ivanovo and Ivanovo Ivanovo Zhevsk Irkutsk Istrim Istra Yoshkar-Ola Kazan Kaliningrad Kal"&amp;"uga Kamensk-Uralsky Kamyshin Kaspiysk Kemerovo Kingisepp Kirishi Kirov Kirovsk Klin Klintsov Kollets Kolpino Kolpino Komsomolsk-on-Amur Kopeysk Korolev Koryazhm Kostroma Krasnodarsk Krasnoyarsk Krasnoyarsk Kubinka Kubinka Kuznetsk Kurgan Kurgan Kursk Life"&amp;"tsk Lomonosov Lomonosovsi Luhmoi Luhmovitsa Ysuva Lytkarino Lyubertsy Magadan Magnitogorsk Maykop Makhachkala Miass Mozhaisk Moscow Murmansk Murmansk Mtsevshchi Naberezhnye Chelnye Nalran Nalchik Naro-Fominsk Nevinnomyssk Nevninome Neftekhugansk Nizhnekam"&amp;"sk Nizhny Novgorod Novolattysk Novomoskovsk Novorossiysk Novosibirsk Novocheboksarsk Novoshakhkhinsk New Urengsk November November SK Nyagan Obninsk Odintsovo Ozersk Oktyabrsky Omsk Orenburg Orekhovo-Zuevo Orsus Orsus Pavlovo Pavlovsky Posad Penza Pervour"&amp;"alsk Perm Peterhof Petrozavodsk Petropavlovsk-Kamchatsk Podolsk Poskopyevsk Pushkin Pushkin Pushkino Ramenskoye Reutov Rustov Rostov-Don Ruzan Ryazan Salavat Salevat Saransk Sevastopol Sevastopol Seversk Seversk Sergiev Sergiyev Sergiyev Sergukhov Sergukh"&amp;"ov Servor Simferopol Smolensk Sokol Solnechnogorsk Sosnovy Bor Sochi Spassk- Far Stavropol Stary Oskol Sterlitamak Stupino Surgut Syzran Taganrog Tagan Tikhvin Togvin Togliatti Tula Tula Tyumen Ulan-Uda Ulyanovsk Ust-Ilymsk Ufa Fryazino Khabarovsk Khaboks"&amp;"iysk Chelabinsk Chelyabinsk Cherkessk Chekhovsky Chi Chikhi Chi Chikha Chita Chita Chita Chita Chita. Elkovo Elestostal Elista Engels Yuzhno-Sakhalinsk Yakutsk Yalta Yaroslavl Selection Afishas Afishikalendar November 13, 2023 November 13, 2023 November 1"&amp;"4, 2023 November 15, 2023 November 16, 2023 November 17, 2023 November 18, 2023 November 19, 2023 November 21, 2023 22, 2023 November 23, 2023 November 25, 2023 27 2023 November 27 November 27 November 27 2023 November 28, 2023 November 29, 2023 November "&amp;"30, 2023 December 1, 2023 December 2, 2023 December 3, 2023 4 December 2023 5 December 2023 December 6, 2023 December 7, 2023 December 9, 2023 December 10, 2023 December 11, 2023 December 12, 2023 13 December 2023 14 December 2023 December 15, 2023 Decemb"&amp;"er 16, 2023 December 17, 2023 December 18, 2023 December 19, 2023 December 20, 2023 December 21, 2023 December 22, 2023 December 23, 2023 December 25, 2023 December 25, 2023 27 2023 27 December 28, 2023 December 29, 2023 December 30, 2023 December 31, 202"&amp;"3 January 1 January 2, 2024 January 3, 2024 January 4, 2024 January 5, 2024 January 6, 2024 January 7, 2024 January 8, 2024 January 924 January 10, 2024 January 11, 2024 January 12, 2024 January 14, 2024 January 15, 2024 January 16 January, January 16, Ja"&amp;"nuary 16 2024 January 17, 2024 January 2024 January 19, 2024 January 2024 January 21, 2024 January 22, 2024 January 23, 2024 January 24, 2024 January 25, 2024 January 26, 2024 January 28, 2024 January 29, 2024 January 30, 2024 January 2024 1 February, 202"&amp;"4 2 February 2024 February 3, 2024 February 4, 2024 February 5, 2024 February 6, 2024 February 7, 2024 February 8, 2024 February 9, 2024 February 10, 2024 February 11, 2024 February 13, 2024 February 14, 2024 February 15, 2024 February 16, 2024 17 Februar"&amp;"y 17, 2024 February 18, 2024 February 19, 2024 February 20, 2024 February 2024 February 22, 2024 February 23, 2024 2424 February 25, 2024 26 February 2024 27 2024 28 February 2024 29, 2024 March 2, 2024 March 3 March 3, 2024 4 March 2024 March 6 March Mar"&amp;"ch 6 March, March 6 March 2024 March 7, 2024 March 8, 2024 March 10 March 2024 March 11, 2024 March 12, 2024 March 13, 2024 March 14, 2024 March 15, 2024 March 16 March 17, 2024 March 18, 2024 March 19 March 2024 March 21, 2024 22 March 2024 23 23 March 2"&amp;"024 March 24, 2024 March 25, 2024 March 26, 2024 March 27, 2024 March 28, 2024 March 29, 2024 March 30, 2024 March 31, 2024 April 2 April 2, 2024 3 April, 2024 April 5, 2024 April 6, 2024 April 7, 2024 April 8, 2024 April 9, 2024 April 11 April 11, 2024 A"&amp;"pril 12, 2024 April 13, 2024 April 14, 2024 April 15, 2024 April 16, 2024 17 April 18, 2024 19 April 1924 April 2024 April 22, 2024 23 23, 2024 24 April 25 April April 25 April 25 2024 April 26 April 27 April 2024 April 28, 2024 April 29, 2024 April 30, 2"&amp;"024 May 1, 2024 May 2 May 2024 May 3, 2024 May 5 May 2024 May 6 May 2024 May 8, 2024 May 9, 2024 May 10 May 2024 11 May 2024 124 124 12 May 2024 May 13, 2024 May 14 May 15, 2024 May 16 May 2024 May 17, 2024 May 18 May 2024 May 19, 2024 May 2024 May 21, 20"&amp;"24 May 22 May 23, 2024 24 May 2024 May 25, 2024 May 27, 2024 28 May 28 May 2024 May 29, May 30, 2024 May 31, 2024 June 1, 2024 June 2, 2024 June 3, 2024 June 4, 2024 June 5, 2024 June 6 June 7, 2024 June 8, 2024 June 924 June 10 June 2024 June 12 June 13,"&amp;" 2024 June 14 June June 14 June 14 2024 June 15, 2024 June 16 June 17, 2024 June 18, 2024 June 19 June 2024 June 20, 2024 June 21, 2024 June 22 June 23, 2024 June 24, 2024 June 25, 2024 June 27, 2024 28 28 June 2024 29 June 2024 June 30, 2024 1 July 2024 "&amp;"July 2 July 3, 2024 July 4 July 5 July 2024 July 6 July 7, 2024 July 8 July 924 July 10 July 2024 July 12 July 13, 2024 July 14, 2024 July 15 July 16 July 17 July 17, 2024 July 18, 2024 July 19 July 2024 July 21, 2024 July 22 July 23, 2024 July 24, 2024 J"&amp;"uly 25, 2024 July 26 July 27, 2024 July 29, 2024 July 30, 2024 31 July, 2024 August 2, 2024 August 3 August 3 2024 August 4, 2024 August 5 August 6, 2024 August 7, 2024 August 8, 2024 August 9, 2024 August 10, 2024 August 11, 2024 August 12, 2024 August 1"&amp;"3, 2024 August 14, 2024 August 16, 2024 August 17 August 17, 2024 August 18, 2024 August 19, 2024 20 August 2024 August 21, 2024 August 22, 2024 August 23, 2024 August 24, 2024 August 25, 2024 26 August 2024 27 August 2024 28 August 29 August 29, 2024 Aug"&amp;"ust 30, 2024 August 1, 2024 September 2, 2024 September 3, 2024 4 September, 2024 September 5, 2024 September 6, 2024 September 7, 2024 on September 8, 2024 September 10, 2024 September 11, 2024 September 12, 2024 September 13, 2024 September 14, 2024 Sep"&amp;"tember 15, 2024 September 17, 2024 September 18, 2024 19 September 19, 2024 September 20, 2024 September 21, 2024 22 September 22 22 2024 September 23, 2024 September 24, 2024 September 25, 2024 on September 26, 2024 on September, 2024 28 September, 2024 "&amp;"29 September 2024 September 30, 2024 1 October 2024 October 2, 2024 October 4, 2024 5 October 2024 October 6, 2024 October 7, 2024 On October 8, 2024 9 October 2024 October 10, 2024 October 11, 2024 October 12, 2024 October 13, 2024 October 14, 2024 Octob"&amp;"er 15, 2024 October 16, 2024 October 17, 2024 October 18, 2024 October 19, 2024 October 2024, 2024 October 22, 2024 23, 2024 October 24, 2024 25 October 25 October 26, 2024 October 27, 2024 October 28, 2024 October 29, 2024 October 30, 2024 on October 202"&amp;"4 November 1, 2024 November 2, 2024 November 3, 2024 November 4, 2024 November 6, 2024 November 7, 2024 November 8, 2024 November 924 November 10 November 11 2024 November December January February March April May June July August September October today "&amp;"Tomorrow Tomorrow Week Weeks of the Months of Children")</f>
        <v>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2023 - январь 2024 МДМОт 900 ₽концертВивальди. The times of the year -Yabr 2023 - April 2024 House of Kinoot 1400 ₽6.1 Filmicatriye will be in 96 cinemas to buy a ticket -portable event of Khorkin. Show Duel November 19 at 18:00 Palace of gymnastics Irina Viner-Usmanova 1 1,500 ₽8 Epavkatinkoff City: Andy Warhol and Russian art on February 18 Jewish museum to buy a ticketfilmsindromid in 136 cinemas to the Ticketscription “Griff removed” November Bunker 450 ₽ Makers Moldhilms. Shie Mirrakkatalogi Film -expected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animation-30%discord-diskidota Christmas trees25 and 27 The Meridian Cultural Center 400 ₽ Dinagome M-Torpedhockei on November 23 at 19:30 SKRK VTB Arena Arena - The Central Stadium Dynamo named after Yashin from 400 ₽ Dinomo M - Skykhokkey on December 25 at 19:30 SKRK VTB Arena - the Central Stadium Dynamo named after Yashin from 400 ₽ Dinomasm M - CSKAHOKKYAI on December 19 at 19:30 SKRK " VTB Arena - the Central Stadium Dynamo named after Yashin from 200 ₽ ROPRODINA - Chernomoretorefutbol November 19 at 19:00 Sapsan Arenaafis Restaurantov10 The best restaurants in Moscow according to the version of Whereteat Moscow 202310 “Nature are 150 years old”: Evgeny Reimer about the future of the future and about the future of the future and The new restaurant "NE" in the atom pavilion on November 8 is in full swing: where to go to Sochi in November 7 November for a week: Khinkali festival Kazakh delicacies and ethnic firewalls on November7 The best restaurants of the Central Region of Russia according to the Whereteat 20234 Awards will be called the best restaurants of the capital of Krasnodar on November3 Sochi Rostov-on-Don and Gelendzhik will be held the festival of southern kitchen-eve-elays of a Syndromrill9.3ot 1100 ₽ Mayakovsky premieres 2023 January 2024 Lenkom Zakharovaboris Sveshnikov. Dreams of Eternity -Writers on January 14 Our artists of the Khatastastophantentesis of Afishavese7.7 Tylepyntlmenyboyevik8.8ot 1000 ₽ Rruxi -tank 2023 - January 2024 Muscovite Musical Theater KDKSKORO in Kinovsovsabiletychacamediyatyabileybiletikhchik and poultry farmletfilombilets to the dream: once and for all, and for all the time-mercy-hungry, terrible sister-2ocedium collections Afishas are the most convenient way to choose how to conduct a free posting post: the main events of the week - you have to sign up the company editorial campaign Contactkitat CardiAfisha Dailypiknik Afishede. Rufisha Close -moving veteranstat. Bilet -picnovicular in terms of questioned issues, 1999–2023 LLC Afisha LLC. All rights reserved. For persons over 18 years old. User Agreement Policy of Confidentiality Rules for the Application of Technologies Azov Almetyevsk Anapa Angarsk Arzamas Armavir Arkhangelsk Astrakhan Achinsk Balashikha Balashikh Bataysk Beloregor Belorechensk Berdsk Bereznishk Blaguruslan Bugulm Bugulma Buzulm Buzuluk Veliki Velik Verkhnyaya Pyshma Vidden Vladivostok Vladikavkaz Vladimir Volgograd Volgogonsk Volzhsky Vologda Volda Volk Vsevolozhsk Vyborg Gatchina Gornzhik Gorno-Altaysk Grozny Gubkin Gudermes Dzerzhinsk Dimitrovgrad Dmitrov Dolgoprudny Dubomodedovo Dubna Evpatoria Yekaterinburg Yelets Esentuki Zheleznogorsk (Krasnoyarsk) Zhukovsky Zareysk Zarenogorsk Zelenogradsky Zelenogostosvost Ivanovo Ivanovo and Ivanovo Ivanovo Zhevsk Irkutsk Istrim Istra Yoshkar-Ola Kazan Kaliningrad Kaluga Kamensk-Uralsky Kamyshin Kaspiysk Kemerovo Kingisepp Kirishi Kirov Kirovsk Klin Klintsov Kollets Kolpino Kolpino Komsomolsk-on-Amur Kopeysk Korolev Koryazhm Kostroma Krasnodarsk Krasnoyarsk Krasnoyarsk Kubinka Kubinka Kuznetsk Kurgan Kurgan Kursk Lifetsk Lomonosov Lomonosovsi Luhmoi Luhmovitsa Ysuva Lytkarino Lyubertsy Magadan Magnitogorsk Maykop Makhachkala Miass Mozhaisk Moscow Murmansk Murmansk Mtsevshchi Naberezhnye Chelnye Nalran Nalchik Naro-Fominsk Nevinnomyssk Nevninome Neftekhugansk Nizhnekamsk Nizhny Novgorod Novolattysk Novomoskovsk Novorossiysk Novosibirsk Novocheboksarsk Novoshakhkhinsk New Urengsk November November SK Nyagan Obninsk Odintsovo Ozersk Oktyabrsky Omsk Orenburg Orekhovo-Zuevo Orsus Orsus Pavlovo Pavlovsky Posad Penza Pervouralsk Perm Peterhof Petrozavodsk Petropavlovsk-Kamchatsk Podolsk Poskopyevsk Pushkin Pushkin Pushkino Ramenskoye Reutov Rustov Rostov-Don Ruzan Ryazan Salavat Salevat Saransk Sevastopol Sevastopol Seversk Seversk Sergiev Sergiyev Sergiyev Sergukhov Sergukhov Servor Simferopol Smolensk Sokol Solnechnogorsk Sosnovy Bor Sochi Spassk- Far Stavropol Stary Oskol Sterlitamak Stupino Surgut Syzran Taganrog Tagan Tikhvin Togvin Togliatti Tula Tula Tyumen Ulan-Uda Ulyanovsk Ust-Ilymsk Ufa Fryazino Khabarovsk Khaboksiysk Chelabinsk Chelyabinsk Cherkessk Chekhovsky Chi Chikhi Chi Chikha Chita Chita Chita Chita Chita. Elkovo Elestostal Elista Engels Yuzhno-Sakhalinsk Yakutsk Yalta Yaroslavl Selection Afishas Afishikalendar November 13, 2023 November 13, 2023 November 14, 2023 November 15, 2023 November 16, 2023 November 17, 2023 November 18, 2023 November 19, 2023 November 21, 2023 22, 2023 November 23, 2023 November 25, 2023 27 2023 November 27 November 27 November 27 2023 November 28, 2023 November 29, 2023 November 30, 2023 December 1, 2023 December 2, 2023 December 3, 2023 4 December 2023 5 December 2023 December 6, 2023 December 7, 2023 December 9, 2023 December 10, 2023 December 11, 2023 December 12, 2023 13 December 2023 14 December 2023 December 15, 2023 December 16, 2023 December 17, 2023 December 18, 2023 December 19, 2023 December 20, 2023 December 21, 2023 December 22, 2023 December 23, 2023 December 25, 2023 December 25, 2023 27 2023 27 December 28, 2023 December 29, 2023 December 30, 2023 December 31, 2023 January 1 January 2, 2024 January 3, 2024 January 4, 2024 January 5, 2024 January 6, 2024 January 7, 2024 January 8, 2024 January 924 January 10, 2024 January 11, 2024 January 12, 2024 January 14, 2024 January 15, 2024 January 16 January, January 16, January 16 2024 January 17, 2024 January 2024 January 19, 2024 January 2024 January 21, 2024 January 22, 2024 January 23, 2024 January 24, 2024 January 25, 2024 January 26, 2024 January 28, 2024 January 29, 2024 January 30, 2024 January 2024 1 February, 2024 2 February 2024 February 3, 2024 February 4, 2024 February 5, 2024 February 6, 2024 February 7, 2024 February 8, 2024 February 9, 2024 February 10, 2024 February 11, 2024 February 13, 2024 February 14, 2024 February 15, 2024 February 16, 2024 17 February 17, 2024 February 18, 2024 February 19, 2024 February 20, 2024 February 2024 February 22, 2024 February 23, 2024 2424 February 25, 2024 26 February 2024 27 2024 28 February 2024 29, 2024 March 2, 2024 March 3 March 3, 2024 4 March 2024 March 6 March March 6 March, March 6 March 2024 March 7, 2024 March 8, 2024 March 10 March 2024 March 11, 2024 March 12, 2024 March 13, 2024 March 14, 2024 March 15, 2024 March 16 March 17, 2024 March 18, 2024 March 19 March 2024 March 21, 2024 22 March 2024 23 23 March 2024 March 24, 2024 March 25, 2024 March 26, 2024 March 27, 2024 March 28, 2024 March 29, 2024 March 30, 2024 March 31, 2024 April 2 April 2, 2024 3 April, 2024 April 5, 2024 April 6, 2024 April 7, 2024 April 8, 2024 April 9, 2024 April 11 April 11, 2024 April 12, 2024 April 13, 2024 April 14, 2024 April 15, 2024 April 16, 2024 17 April 18, 2024 19 April 1924 April 2024 April 22, 2024 23 23, 2024 24 April 25 April April 25 April 25 2024 April 26 April 27 April 2024 April 28, 2024 April 29, 2024 April 30, 2024 May 1, 2024 May 2 May 2024 May 3, 2024 May 5 May 2024 May 6 May 2024 May 8, 2024 May 9, 2024 May 10 May 2024 11 May 2024 124 124 12 May 2024 May 13, 2024 May 14 May 15, 2024 May 16 May 2024 May 17, 2024 May 18 May 2024 May 19, 2024 May 2024 May 21, 2024 May 22 May 23, 2024 24 May 2024 May 25, 2024 May 27, 2024 28 May 28 May 2024 May 29, May 30, 2024 May 31, 2024 June 1, 2024 June 2, 2024 June 3, 2024 June 4, 2024 June 5, 2024 June 6 June 7, 2024 June 8, 2024 June 924 June 10 June 2024 June 12 June 13, 2024 June 14 June June 14 June 14 2024 June 15, 2024 June 16 June 17, 2024 June 18, 2024 June 19 June 2024 June 20, 2024 June 21, 2024 June 22 June 23, 2024 June 24, 2024 June 25, 2024 June 27, 2024 28 28 June 2024 29 June 2024 June 30, 2024 1 July 2024 July 2 July 3, 2024 July 4 July 5 July 2024 July 6 July 7, 2024 July 8 July 924 July 10 July 2024 July 12 July 13, 2024 July 14, 2024 July 15 July 16 July 17 July 17, 2024 July 18, 2024 July 19 July 2024 July 21, 2024 July 22 July 23, 2024 July 24, 2024 July 25, 2024 July 26 July 27, 2024 July 29, 2024 July 30, 2024 31 July, 2024 August 2, 2024 August 3 August 3 2024 August 4, 2024 August 5 August 6, 2024 August 7, 2024 August 8, 2024 August 9, 2024 August 10, 2024 August 11, 2024 August 12, 2024 August 13, 2024 August 14, 2024 August 16, 2024 August 17 August 17, 2024 August 18, 2024 August 19, 2024 20 August 2024 August 21, 2024 August 22, 2024 August 23, 2024 August 24, 2024 August 25, 2024 26 August 2024 27 August 2024 28 August 29 August 29, 2024 August 30, 2024 August 1, 2024 September 2, 2024 September 3, 2024 4 September, 2024 September 5, 2024 September 6, 2024 September 7, 2024 on September 8, 2024 September 10, 2024 September 11, 2024 September 12, 2024 September 13, 2024 September 14, 2024 September 15, 2024 September 17, 2024 September 18, 2024 19 September 19, 2024 September 20, 2024 September 21, 2024 22 September 22 22 2024 September 23, 2024 September 24, 2024 September 25, 2024 on September 26, 2024 on September, 2024 28 September, 2024 29 September 2024 September 30, 2024 1 October 2024 October 2, 2024 October 4, 2024 5 October 2024 October 6, 2024 October 7, 2024 On October 8, 2024 9 October 2024 October 10, 2024 October 11, 2024 October 12, 2024 October 13, 2024 October 14, 2024 October 15, 2024 October 16, 2024 October 17, 2024 October 18, 2024 October 19, 2024 October 2024, 2024 October 22, 2024 23, 2024 October 24, 2024 25 October 25 October 26, 2024 October 27, 2024 October 28, 2024 October 29, 2024 October 30, 2024 on October 2024 November 1, 2024 November 2, 2024 November 3, 2024 November 4, 2024 November 6, 2024 November 7, 2024 November 8, 2024 November 924 November 10 November 11 2024 November December January February March April May June July August September October today Tomorrow Tomorrow Week Weeks of the Months of Children</v>
      </c>
    </row>
    <row r="97">
      <c r="A97" s="1" t="s">
        <v>332</v>
      </c>
      <c r="B97" s="1" t="s">
        <v>366</v>
      </c>
      <c r="D97" s="1">
        <v>8.0</v>
      </c>
      <c r="E97" s="4" t="s">
        <v>367</v>
      </c>
      <c r="F97" s="1" t="s">
        <v>16</v>
      </c>
      <c r="G97" s="1" t="s">
        <v>368</v>
      </c>
      <c r="H97" s="4" t="s">
        <v>369</v>
      </c>
      <c r="I97" s="2">
        <v>1.0</v>
      </c>
      <c r="J97" s="5" t="str">
        <f>IFERROR(__xludf.DUMMYFUNCTION("GOOGLETRANSLATE(A97)"),"Avatar 2")</f>
        <v>Avatar 2</v>
      </c>
      <c r="K97" s="6" t="str">
        <f>IFERROR(__xludf.DUMMYFUNCTION("GOOGLETRANSLATE(B97)"),"Avatar 2 (2022) - a film about")</f>
        <v>Avatar 2 (2022) - a film about</v>
      </c>
      <c r="L97" s="5" t="str">
        <f>IFERROR(__xludf.DUMMYFUNCTION("GOOGLETRANSLATE(C97)"),"#VALUE!")</f>
        <v>#VALUE!</v>
      </c>
      <c r="M97" s="5" t="str">
        <f>IFERROR(__xludf.DUMMYFUNCTION("GOOGLETRANSLATE(G97)"),"Film Pro - You decide what to watch: Cinema News Trailers of the collection and tops of films and TV shows Premiere Premier Premier You decide what to watch that you watch the collections of filmstop film Prime Minister online top of the expected film afi"&amp;"sh of cinema -spider -spides: through the Ecumenesses of the WIK 4KAK 3AVATARVIDEND DROMICES Elina air. "" Traillepo pike command. Trailerhules from nowhere. Trailer -hungry games: ballad about snakes and singing birds. The first tender of the interview w"&amp;"as the first teaser for the air lords - the new joint work of Stephen Spielberg and Tom Hanks “Dear Americans! Go to the bathhouse! ”: The viral advertising campaign of the Russian comedy already on Manhattenems wanted to shoot a comedy, but when they wro"&amp;"te the script for some reason, we were not ridiculous: interviews with director Renat Davleyarov Marvel Crisis Crisis the future kinematographic universe in the question of the series of exiting serial-sulfuria serial-sulfur (series) very Strange deeds (s"&amp;"eries: 4 seasons) Falcon and winter soldier (series) The Lord of the Rings: Rings of power (TV series) Form of search for the site to watch the collection of filmstopas Prime Minister Prime Minister Expected Filmic Afisha Kinodatraitovidsnovidsnovyannovst"&amp;"arnovstiye Passeriac To the outputs of the serial -polar series, Darren Aronofsky will make a film about Ilon The mask for A24 studio is the longest acting strike in the United States ended and everyone is happy! Netflix decided to stop the spectators of "&amp;"the quality of Netflix quality films and turn into a video service of the premium content “The Shit of Twes” became the third billionaire film this year for 13 days of rolling a film screening already earned 15 billion rubles “We wanted to shoot a comedy "&amp;"but when we wrote the script for us It was not funny ”interviews with director Renat Davletyarov about the film“ Man from nowhere ”and not only in Marvel Crisis the future of the cinematic universe in question, the head of the studio Kevin Faygi, thinks a"&amp;"bout how to return the former greatness of his brainchild to the Premier of the ONLINEZHECHOSKOY online 7.3ONALINALY CONTACTIONS (2023) Dramalavmimir Mashkov Julia Pereshild Milos Bikovich7.2 Onezhon UIK 4boevik thriller crime 6.6 Online detectordrome thr"&amp;"illeryaria Borisov Grigory Vernik Sergey Gilev 6online Video - Boginakyakodiyakksandra Bortichi Vasilyev Anton Filipeninko6.6 Retaine underwear Che is non -Daboevik comedy 6.3 Online Video Snowygirdramatima of Tribune Alexander Robak Evgeniy Sleeped Extra"&amp;"ordinary Videooppenheimer Biographical Film Drama Historical Movimtt Damon Emily Bllant Killian Merfione's Video GardeaMarine 1787. Mir Film Film Adventures Historical Films Domogarov Dmitry Khaatyan Mamaevolinomerbarbicomedia adventures of fantasyraian G"&amp;"osling Margo Robbie America Ferreraonamine Semenov: Big Gait -Comrade Family Film Film Film Film Film Film Film Film Materials Marteria Filmaria Marina Fil Dvedunkiv Nikita Kologriynazadvnazadnazadvsadvgdigrapik online premiere-stringed-based Popopular111"&amp;"11 10: 30 Summer Magic films-adaptation of fairy tales from which not Turn off the green compass of the golden compass of the rings of the rings: the fraternity of the rings of the hobby hogbunes The last hero of the chronic of Narnia: Leo Sorceress and t"&amp;"he Magic Cabinet Harry Potter and the philosopher's stone Snow White and the shitty hunter 110.11: 37anim about John Wick is in the development of WIC 2 John Wiik 3 John Wick 4 John Wycquian Reeves Chad Stahelski10.11 15: 30th day: Darren Aronofska will s"&amp;"hoot a film about Ilona Mask for A24 Member Swan Mom! (2017) Requiem for a dream, Fraser Natalie Portman Darren Aronofski10.11 12: 22Warner Bros. The finished cinema is again canceled - this time “Koyot against Akme” with John Sina 110.11 11:11 “Captain A"&amp;"merica” flies away in 2025 - new dates of Marvel Studios releases Dadpool 309.11 17: 55 The first teaser of the “Air Lords” - new joint work of Stephen Spielberg and Tom Hanksatikhiy Ocean (mini-series) Brothers in arms (series: season 1) Stephen Spielber"&amp;"g Austin Robert Batler Tom Hankss734 Viewing a long-term strike in the United States ended 658 The first teaser of the Vlastelins of Air-a new joint work and Tom Hanksatichi Ocean (mini-series) Brothers in arms (series: season 1) Stephen Spielberg Austin "&amp;"Robert Batler Tom Hankss478 Views of the School Command became the third film-nuclear film of the pike, Van Dan Damm admitted that he admitted that he was shameful For his Camo in “Friends” Friends (series: 10 seasons) Courtney Cox Jean-Claude Van Damm Je"&amp;"nnifer Eniston36 View Netflix decided to stop filling the audience with Netflix329 Views Waterner Bros. Again, the finished cinema is canceled - this time the “coyote against Akme” with John Sinavsa Freshness Popular Steam for the video 09.11 18:50 “The L"&amp;"ord of the Air”. Traileler to see the video 08.11 17:25 Sellers of pain. Trailer with subtitram test video 08.11 14: 32kitis. Duplicated trailer view video03.11 15: 32 people from nowhere. Traileler to examine the video02.11 10: 30romanovs. The last word."&amp;" Traileler to examine the video31.10 20: 02 sample is to blame. Teser-scenes watch video31.10 13:08 Last quest. Traileler to examine the video30.10 12: 55 mixers make a movie. Traileler to examine the video30.10 12:55 Sunny. Duplicated trailer examine the"&amp;" video27.10 17: 25 killer. Traileler to examine the video26.10 17: 44 -air. Traileler to examine the video23.10 16: 27 hood 2. Trailelernazadvv review video330 thousand hunter for monsters. Duplicated trailer No. 1 am a monster to examine the video270 tho"&amp;"usand miracle women 1984. Duplicated trailer No. 1studo-female: 1984 test video208 thousand argument. Duplicated trailer No. 2DARSTENT VIDEO VIDEO188 thousand dad. Trailer No. 1 Battery Video156 thousand deeper. Trailer No. 1 Blub! Watch video150 thousand"&amp;" black widow. Duplicated trailer black widow Video115 thousand main character. Duplicated trailer -headed hero to examine the video114 thousand love. Extraise trailer in English (18+) Love 3DGASPAPAPA NEEST Video112 thousand Furious 9. Duplicated promotio"&amp;"nal-roller No. Formation 9 to watch video70 thousand black widow. Promo-Rolik No. 11th widow Video 67 thousand. Quiet place 2. Duplicated trailer No. 2 Tychoic place 2 look at the video64 thousand volume and Jerry. Dubbed trailer No. 1st and jerrinazadvve"&amp;"tvsa is not too much to seekfilmarials 6.9 core aid inventory of Kakha1 million. Views of Grevtsov Arthur Oganesyan Danielyan 7.5 Video High -roller Video -Golop 943 thousand Mironov Milos Bikovich 7.2 F 9895 thousand Views Diesel Charlize Teron John Sina"&amp;"7.1 Consideration of video tribulations of 825 thousand View McConacha Charlie Hannem Jeremy Strong7.5 Under the video. Chapter 2811 thousand Views-Elm Blair Hiro Fains-Tiffin Dylan Sjeretniy Samtoye, Video of Shades of Gray728 thousand. View Dornon Dorni"&amp;"fer Dornififer Ilinazadvoprot 7.8 See Video (TV series) 508 thousand paved Di Hunter Shafer7.6 Under the video chernobyl (mini-series) 425 thousand. View Skarsgard Emily Watson Jared Harris7.6 Until Video Khorozhny Doctor (TV series) 425 thousand. View Ga"&amp;"rrett Anthony Thomas Chuku Modu 8.1 Watch a video investigating detective (series) 419 thousand ROZMOR CROSSUROPHIRA AIKIRA AIKSON7.6 Game of Thrones (series) 412 thousand views of bin Nikolai Koster-Waldau Harry Lloyd7.3 Underbature Video of the Wild Wes"&amp;"t (TV series: 4 seasons) 326 thousand Views James Marsden Synthia Dallas Oliver Belnazadvs films TOP Privse genyanimubiographic film-western film-core film-core-core The film Criminalmeldrama-Mustical Municipal Multfilmmmummous-Fantastic Number-Film-Film "&amp;"Film Film Sports Film Shutrillerazasyasifantastici9.71 Conside the Video Command ... The comedy cartoon adventure Charles Beker Patrick Fitssimmons Eva Konnolly 9.72 Video flesed bosses cartoon adventure Karelle Catherine O'Hara William Schetner9.73 Indep"&amp;"endent Video Imind: Back to the future 3DCOMSITION CHARCHA En Wilson Dan Fogler9.74 See Video Cartoons Cartoon Adventure Corpses Williams Jim Brodbent Mal Brooks9.75 Underbature Video run from the chicken coop -core cartoon adventures of the adventure of "&amp;"Julia Savalia Lynn Ferguson9.76 Understand Video -Twin Duckling and Yakomedia Cartoon Tylak Morgan Morgan S. Jones9.77 Video Video Grinders! ABO9.78 Until Video Square Video 2 Cartoons Cartoon Adventures Glover Eliza Gabrielly Nicen Fully Falterman9. 79 S"&amp;"ee Video City Tsipaccamedia Cartoon Adventures of the Zan ZAK ZAK Mark Dandal9.610 Underbid Video Klakemultfilm Family Film Fantesihuan Carlos Carlos Horge Ginzburg Fabbiani9.611 Video Video Video Video Video Tsnaz -comedy cartoon adventures Bodbent Jonat"&amp;"an Ross Brian Lonsdale9.612 Until Video Shutting Video: Tales from the forest comedy cartoon adventure bubrian Drammond Lee Lee Tokar Melissa Shturm9.613 Video See Video Cartoon Cartoon Adventures Extra Kucher Martin Debra Messing9.614 Video Regional Squi"&amp;"rrel 3d Cartoon Cartoon Adventures of Danam Christian Potza Ping9.615 Consideration of the Video Catch Tfilm Adventurejims Show Benjamin Nathan-Serio Frank Robledo9.616 Video Bay Hoopy Cartoon Cartoon Family Film Roosanne Carol Kuk Bobby Block9.617 Seeing"&amp;" the video adaptation of the pirates in the country of vegetable comedy Cartoon Cartoon Visher Laura Richie Adam Frik9.618 Underbature Video Supple 3 Cartoon Adventures -Menville Alex Tomas L. Walker 9 Evik Cartoon Adventures Wilem Scott Cuin Latif Denis "&amp;"Liri9.620 Video 2 comedy cartoon Family film Musical film Elijah Wood Elizabeth Daili Pinknazadvsdvo Top collection10 School films of fairy tales from which do not break away13 films that will save you from the autumn spleeners even if the cats are hoped "&amp;"out3030 the best horror of the XXI century10th century 1910 hearts: the best films with Will Smith18 Best films about The Roman Empires selections of the science collection 110.11: 37anim about John Wick is in the development of WIK 2 John Wick 3 John Wic"&amp;"k 4 John Wycquyan Reeves Chad Stachelski10.11 12: 22Warner Bros. The finished cinema is already canceled again-this time “Koyot against Akme” with John Sina 09.11: 55, the first teaser of the “power of the air”-the new joint work of Stephen Spielberg and "&amp;"Tom Hanksatichi Ocean (mini-series) brothers in arms (series: 1 Season) Stephen Spielberg Austin Robert Batler Tom Hankss09.11 13: 15 Gazhan-Claude Van Damm admitted that he was ashamed for his Camo in “Friends” Friends (series: 10 seasons) Courtney Claud"&amp;"e Jean-Claude Damm Damm Jennifer Eniston 09.11 10: 10 A long -term acting strike in the United States ended 08.11 17: 26NETFLIX decided to stop filling the audience with Netflix quality films08.11 15: 05 producers of the superhero blockbuster driven the s"&amp;"tar “Bear” and “shameless” after the question of why he was filming Allen Wait08.11 12: 09 Mike White: The third season of the White Lotus will be even larger than Mike White Jennifer Kulidge 08.11 10: 25 Greek Gervig will be engaged in the “Chronicles of"&amp;" Narnia” for Netflix in 2024 Chronicle of Narnia: Prince Caspian Chronicle of Narnia: conqueror dawn Lady Barbie Barbie ... Greta Gerwig03.11 10:59 “Mission Impossible 7” and “Reptiles” - the most popular films in October by Piratyt Kruz Justin Timberlack"&amp;" Uma Thurman 02.11: 30 The 30th Dragon House season, the Dragon House (series) Game of Thrones (TV series) 02.10 14: 54v Marvel Crisis the future of a cinematic universe in question in a question in the question of the Roman Empire1111 Films that will all"&amp;"ow you to go for your physicists 7th in the evening: the most frank Russian TV shows, rolled Russian series that extended for new seasons 20 best Russian series that will force you to believe in domestic cinema and Russian TV shows for lovers of mysticism"&amp;"16novy Russian series for which are not embarrassing, the best series about witch and vampires. The best series about serial killers of maniacs and psychopaths15 The best series about space18 SCAMITIONAL POLITICAL TRILLERS: Films and TV series15 Serials i"&amp;"n which even attentive viewers will easily be entangled in the news of the news of the best series of the All -Emotabi Ogra-western-western film detective-codic film-core film-like film-circle film Criminalmeldramism-Mistified film Multfilmmummicom Fantas"&amp;"tic named-articular film sports film-shovutsotsotsotrillerazasyasifantastic fantasy9.01 Supreme Classclame Aanima Melodrama9.02 Independent Night Sangoka: Musical themanim Musical film Fantasy Melodrama9.03 Sengoku era: Love that flies aim .94 Until the v"&amp;"ideo for the commander (series) comedy Melodmanin Usatova Maxim Averin Alexander Nikiforov 8.85 in more prostrate days : The other day, the comedy is the scientific and fiction melodrama 8.86 Supreme-freezing the dead drama melodramatrevor Iv Sue Johnston"&amp;" Felicit Duji Ju8.87 Supreme Star ONME-YANIMENIMA Fantasy Melodrama 8.88 Separates Delivery Drama Fantasy Melodrama8.89 Details of Voin-Vin Seilor Moon: Memoirs of the melodrama8.710 Separately-male Imperial Guard 2anima Mysticism of the adventure of the "&amp;"melodrama 8.711111 Subject is friendly! Anime comedy melodrama8.712 Supreme life for the online comedy Melodrama 8.713 Separate aliens: the last chapter action movie Comedy Comedy Scientific and Fantastic melodrama8.714 Individual adventure Ottho Fantasy "&amp;"Melodrama8.715 Understanding the girl Melodrama8.716 Contained blow: RECAPANIMA ANITY Drama Scientific and Fantastic melodrama8.617 Separate-Dedallas (series) Drama Melodramakhard Kil DEK DEK Linda Gray8.618 Until the video of the American (series) Drama "&amp;"Historical film Melodramadavid Harbor Green Darren Petti8.619 I will meet you on hot sources in the dungeon? To the comedy adventure of fantasy melodrama8 .620 Supported by the booty comedy Drama melodramanazadvsadvsa series Pronovinki Cinema Hot News liv"&amp;"e discussions online reports! All this is in our social networks! Join us! Https: //www.facebook.com/filmpro /wwww.youtube.com/user/filmpronews69539 Subcnsers as for the collection Filmovtop Film Profish Kinotheatrotop Premiere PremierTop Film Placular Fi"&amp;"lms of the Interviewers Portiasidazhidstryuvid. Film Trailery -School Semetrope Series Selection Series -Polopular Series -Speeds about © 2019 Network Edition “FilmPro.ru)”. Founder: Federal State Unitary Enterprise ""All -Russian State Television and Rad"&amp;"io Broadcasting Company"" (VGTRK). Certificate of registration of the media EL No. FS 77-69132 dated 03.24.2017. Issued by the Federal Service for Supervision of the Communications of Information Technologies and Mass Communications. Editor -in -chief: Ku"&amp;"dryavtsev I.A. Email address of the editorial office: info@vesti.ru Editor's phone: +7 (495) 232-63-33. For children over 16 years old. All rights to any materials published on the site are protected in accordance with Russian and international intellectu"&amp;"al property legislation. Any use of text photos of audio and video materials is possible only with the consent of the copyright holder (VGTRK). Partner of the Rambleran of our website, we use cookies to collect technical information and process the IP add"&amp;"ress of your location. Continuing to use this site, you consent to the use of cookies. I agree")</f>
        <v>Film Pro - You decide what to watch: Cinema News Trailers of the collection and tops of films and TV shows Premiere Premier Premier You decide what to watch that you watch the collections of filmstop film Prime Minister online top of the expected film afish of cinema -spider -spides: through the Ecumenesses of the WIK 4KAK 3AVATARVIDEND DROMICES Elina air. " Traillepo pike command. Trailerhules from nowhere. Trailer -hungry games: ballad about snakes and singing birds. The first tender of the interview was the first teaser for the air lords - the new joint work of Stephen Spielberg and Tom Hanks “Dear Americans! Go to the bathhouse! ”: The viral advertising campaign of the Russian comedy already on Manhattenems wanted to shoot a comedy, but when they wrote the script for some reason, we were not ridiculous: interviews with director Renat Davleyarov Marvel Crisis Crisis the future kinematographic universe in the question of the series of exiting serial-sulfuria serial-sulfur (series) very Strange deeds (series: 4 seasons) Falcon and winter soldier (series) The Lord of the Rings: Rings of power (TV series) Form of search for the site to watch the collection of filmstopas Prime Minister Prime Minister Expected Filmic Afisha Kinodatraitovidsnovidsnovyannovstarnovstiye Passeriac To the outputs of the serial -polar series, Darren Aronofsky will make a film about Ilon The mask for A24 studio is the longest acting strike in the United States ended and everyone is happy! Netflix decided to stop the spectators of the quality of Netflix quality films and turn into a video service of the premium content “The Shit of Twes” became the third billionaire film this year for 13 days of rolling a film screening already earned 15 billion rubles “We wanted to shoot a comedy but when we wrote the script for us It was not funny ”interviews with director Renat Davletyarov about the film“ Man from nowhere ”and not only in Marvel Crisis the future of the cinematic universe in question, the head of the studio Kevin Faygi, thinks about how to return the former greatness of his brainchild to the Premier of the ONLINEZHECHOSKOY online 7.3ONALINALY CONTACTIONS (2023) Dramalavmimir Mashkov Julia Pereshild Milos Bikovich7.2 Onezhon UIK 4boevik thriller crime 6.6 Online detectordrome thrilleryaria Borisov Grigory Vernik Sergey Gilev 6online Video - Boginakyakodiyakksandra Bortichi Vasilyev Anton Filipeninko6.6 Retaine underwear Che is non -Daboevik comedy 6.3 Online Video Snowygirdramatima of Tribune Alexander Robak Evgeniy Sleeped Extraordinary Videooppenheimer Biographical Film Drama Historical Movimtt Damon Emily Bllant Killian Merfione's Video GardeaMarine 1787. Mir Film Film Adventures Historical Films Domogarov Dmitry Khaatyan Mamaevolinomerbarbicomedia adventures of fantasyraian Gosling Margo Robbie America Ferreraonamine Semenov: Big Gait -Comrade Family Film Film Film Film Film Film Film Film Materials Marteria Filmaria Marina Fil Dvedunkiv Nikita Kologriynazadvnazadnazadvsadvgdigrapik online premiere-stringed-based Popopular11111 10: 30 Summer Magic films-adaptation of fairy tales from which not Turn off the green compass of the golden compass of the rings of the rings: the fraternity of the rings of the hobby hogbunes The last hero of the chronic of Narnia: Leo Sorceress and the Magic Cabinet Harry Potter and the philosopher's stone Snow White and the shitty hunter 110.11: 37anim about John Wick is in the development of WIC 2 John Wiik 3 John Wick 4 John Wycquian Reeves Chad Stahelski10.11 15: 30th day: Darren Aronofska will shoot a film about Ilona Mask for A24 Member Swan Mom! (2017) Requiem for a dream, Fraser Natalie Portman Darren Aronofski10.11 12: 22Warner Bros. The finished cinema is again canceled - this time “Koyot against Akme” with John Sina 110.11 11:11 “Captain America” flies away in 2025 - new dates of Marvel Studios releases Dadpool 309.11 17: 55 The first teaser of the “Air Lords” - new joint work of Stephen Spielberg and Tom Hanksatikhiy Ocean (mini-series) Brothers in arms (series: season 1) Stephen Spielberg Austin Robert Batler Tom Hankss734 Viewing a long-term strike in the United States ended 658 The first teaser of the Vlastelins of Air-a new joint work and Tom Hanksatichi Ocean (mini-series) Brothers in arms (series: season 1) Stephen Spielberg Austin Robert Batler Tom Hankss478 Views of the School Command became the third film-nuclear film of the pike, Van Dan Damm admitted that he admitted that he was shameful For his Camo in “Friends” Friends (series: 10 seasons) Courtney Cox Jean-Claude Van Damm Jennifer Eniston36 View Netflix decided to stop filling the audience with Netflix329 Views Waterner Bros. Again, the finished cinema is canceled - this time the “coyote against Akme” with John Sinavsa Freshness Popular Steam for the video 09.11 18:50 “The Lord of the Air”. Traileler to see the video 08.11 17:25 Sellers of pain. Trailer with subtitram test video 08.11 14: 32kitis. Duplicated trailer view video03.11 15: 32 people from nowhere. Traileler to examine the video02.11 10: 30romanovs. The last word. Traileler to examine the video31.10 20: 02 sample is to blame. Teser-scenes watch video31.10 13:08 Last quest. Traileler to examine the video30.10 12: 55 mixers make a movie. Traileler to examine the video30.10 12:55 Sunny. Duplicated trailer examine the video27.10 17: 25 killer. Traileler to examine the video26.10 17: 44 -air. Traileler to examine the video23.10 16: 27 hood 2. Trailelernazadvv review video330 thousand hunter for monsters. Duplicated trailer No. 1 am a monster to examine the video270 thousand miracle women 1984. Duplicated trailer No. 1studo-female: 1984 test video208 thousand argument. Duplicated trailer No. 2DARSTENT VIDEO VIDEO188 thousand dad. Trailer No. 1 Battery Video156 thousand deeper. Trailer No. 1 Blub! Watch video150 thousand black widow. Duplicated trailer black widow Video115 thousand main character. Duplicated trailer -headed hero to examine the video114 thousand love. Extraise trailer in English (18+) Love 3DGASPAPAPA NEEST Video112 thousand Furious 9. Duplicated promotional-roller No. Formation 9 to watch video70 thousand black widow. Promo-Rolik No. 11th widow Video 67 thousand. Quiet place 2. Duplicated trailer No. 2 Tychoic place 2 look at the video64 thousand volume and Jerry. Dubbed trailer No. 1st and jerrinazadvvetvsa is not too much to seekfilmarials 6.9 core aid inventory of Kakha1 million. Views of Grevtsov Arthur Oganesyan Danielyan 7.5 Video High -roller Video -Golop 943 thousand Mironov Milos Bikovich 7.2 F 9895 thousand Views Diesel Charlize Teron John Sina7.1 Consideration of video tribulations of 825 thousand View McConacha Charlie Hannem Jeremy Strong7.5 Under the video. Chapter 2811 thousand Views-Elm Blair Hiro Fains-Tiffin Dylan Sjeretniy Samtoye, Video of Shades of Gray728 thousand. View Dornon Dornifer Dornififer Ilinazadvoprot 7.8 See Video (TV series) 508 thousand paved Di Hunter Shafer7.6 Under the video chernobyl (mini-series) 425 thousand. View Skarsgard Emily Watson Jared Harris7.6 Until Video Khorozhny Doctor (TV series) 425 thousand. View Garrett Anthony Thomas Chuku Modu 8.1 Watch a video investigating detective (series) 419 thousand ROZMOR CROSSUROPHIRA AIKIRA AIKSON7.6 Game of Thrones (series) 412 thousand views of bin Nikolai Koster-Waldau Harry Lloyd7.3 Underbature Video of the Wild West (TV series: 4 seasons) 326 thousand Views James Marsden Synthia Dallas Oliver Belnazadvs films TOP Privse genyanimubiographic film-western film-core film-core-core The film Criminalmeldrama-Mustical Municipal Multfilmmmummous-Fantastic Number-Film-Film Film Film Sports Film Shutrillerazasyasifantastici9.71 Conside the Video Command ... The comedy cartoon adventure Charles Beker Patrick Fitssimmons Eva Konnolly 9.72 Video flesed bosses cartoon adventure Karelle Catherine O'Hara William Schetner9.73 Independent Video Imind: Back to the future 3DCOMSITION CHARCHA En Wilson Dan Fogler9.74 See Video Cartoons Cartoon Adventure Corpses Williams Jim Brodbent Mal Brooks9.75 Underbature Video run from the chicken coop -core cartoon adventures of the adventure of Julia Savalia Lynn Ferguson9.76 Understand Video -Twin Duckling and Yakomedia Cartoon Tylak Morgan Morgan S. Jones9.77 Video Video Grinders! ABO9.78 Until Video Square Video 2 Cartoons Cartoon Adventures Glover Eliza Gabrielly Nicen Fully Falterman9. 79 See Video City Tsipaccamedia Cartoon Adventures of the Zan ZAK ZAK Mark Dandal9.610 Underbid Video Klakemultfilm Family Film Fantesihuan Carlos Carlos Horge Ginzburg Fabbiani9.611 Video Video Video Video Video Tsnaz -comedy cartoon adventures Bodbent Jonatan Ross Brian Lonsdale9.612 Until Video Shutting Video: Tales from the forest comedy cartoon adventure bubrian Drammond Lee Lee Tokar Melissa Shturm9.613 Video See Video Cartoon Cartoon Adventures Extra Kucher Martin Debra Messing9.614 Video Regional Squirrel 3d Cartoon Cartoon Adventures of Danam Christian Potza Ping9.615 Consideration of the Video Catch Tfilm Adventurejims Show Benjamin Nathan-Serio Frank Robledo9.616 Video Bay Hoopy Cartoon Cartoon Family Film Roosanne Carol Kuk Bobby Block9.617 Seeing the video adaptation of the pirates in the country of vegetable comedy Cartoon Cartoon Visher Laura Richie Adam Frik9.618 Underbature Video Supple 3 Cartoon Adventures -Menville Alex Tomas L. Walker 9 Evik Cartoon Adventures Wilem Scott Cuin Latif Denis Liri9.620 Video 2 comedy cartoon Family film Musical film Elijah Wood Elizabeth Daili Pinknazadvsdvo Top collection10 School films of fairy tales from which do not break away13 films that will save you from the autumn spleeners even if the cats are hoped out3030 the best horror of the XXI century10th century 1910 hearts: the best films with Will Smith18 Best films about The Roman Empires selections of the science collection 110.11: 37anim about John Wick is in the development of WIK 2 John Wick 3 John Wick 4 John Wycquyan Reeves Chad Stachelski10.11 12: 22Warner Bros. The finished cinema is already canceled again-this time “Koyot against Akme” with John Sina 09.11: 55, the first teaser of the “power of the air”-the new joint work of Stephen Spielberg and Tom Hanksatichi Ocean (mini-series) brothers in arms (series: 1 Season) Stephen Spielberg Austin Robert Batler Tom Hankss09.11 13: 15 Gazhan-Claude Van Damm admitted that he was ashamed for his Camo in “Friends” Friends (series: 10 seasons) Courtney Claude Jean-Claude Damm Damm Jennifer Eniston 09.11 10: 10 A long -term acting strike in the United States ended 08.11 17: 26NETFLIX decided to stop filling the audience with Netflix quality films08.11 15: 05 producers of the superhero blockbuster driven the star “Bear” and “shameless” after the question of why he was filming Allen Wait08.11 12: 09 Mike White: The third season of the White Lotus will be even larger than Mike White Jennifer Kulidge 08.11 10: 25 Greek Gervig will be engaged in the “Chronicles of Narnia” for Netflix in 2024 Chronicle of Narnia: Prince Caspian Chronicle of Narnia: conqueror dawn Lady Barbie Barbie ... Greta Gerwig03.11 10:59 “Mission Impossible 7” and “Reptiles” - the most popular films in October by Piratyt Kruz Justin Timberlack Uma Thurman 02.11: 30 The 30th Dragon House season, the Dragon House (series) Game of Thrones (TV series) 02.10 14: 54v Marvel Crisis the future of a cinematic universe in question in a question in the question of the Roman Empire1111 Films that will allow you to go for your physicists 7th in the evening: the most frank Russian TV shows, rolled Russian series that extended for new seasons 20 best Russian series that will force you to believe in domestic cinema and Russian TV shows for lovers of mysticism16novy Russian series for which are not embarrassing, the best series about witch and vampires. The best series about serial killers of maniacs and psychopaths15 The best series about space18 SCAMITIONAL POLITICAL TRILLERS: Films and TV series15 Serials in which even attentive viewers will easily be entangled in the news of the news of the best series of the All -Emotabi Ogra-western-western film detective-codic film-core film-like film-circle film Criminalmeldramism-Mistified film Multfilmmummicom Fantastic named-articular film sports film-shovutsotsotsotrillerazasyasifantastic fantasy9.01 Supreme Classclame Aanima Melodrama9.02 Independent Night Sangoka: Musical themanim Musical film Fantasy Melodrama9.03 Sengoku era: Love that flies aim .94 Until the video for the commander (series) comedy Melodmanin Usatova Maxim Averin Alexander Nikiforov 8.85 in more prostrate days : The other day, the comedy is the scientific and fiction melodrama 8.86 Supreme-freezing the dead drama melodramatrevor Iv Sue Johnston Felicit Duji Ju8.87 Supreme Star ONME-YANIMENIMA Fantasy Melodrama 8.88 Separates Delivery Drama Fantasy Melodrama8.89 Details of Voin-Vin Seilor Moon: Memoirs of the melodrama8.710 Separately-male Imperial Guard 2anima Mysticism of the adventure of the melodrama 8.711111 Subject is friendly! Anime comedy melodrama8.712 Supreme life for the online comedy Melodrama 8.713 Separate aliens: the last chapter action movie Comedy Comedy Scientific and Fantastic melodrama8.714 Individual adventure Ottho Fantasy Melodrama8.715 Understanding the girl Melodrama8.716 Contained blow: RECAPANIMA ANITY Drama Scientific and Fantastic melodrama8.617 Separate-Dedallas (series) Drama Melodramakhard Kil DEK DEK Linda Gray8.618 Until the video of the American (series) Drama Historical film Melodramadavid Harbor Green Darren Petti8.619 I will meet you on hot sources in the dungeon? To the comedy adventure of fantasy melodrama8 .620 Supported by the booty comedy Drama melodramanazadvsadvsa series Pronovinki Cinema Hot News live discussions online reports! All this is in our social networks! Join us! Https: //www.facebook.com/filmpro /wwww.youtube.com/user/filmpronews69539 Subcnsers as for the collection Filmovtop Film Profish Kinotheatrotop Premiere PremierTop Film Placular Films of the Interviewers Portiasidazhidstryuvid. Film Trailery -School Semetrope Series Selection Series -Polopular Series -Speeds about © 2019 Network Edition “FilmPro.ru)”. Founder: Federal State Unitary Enterprise "All -Russian State Television and Radio Broadcasting Company" (VGTRK). Certificate of registration of the media EL No. FS 77-69132 dated 03.24.2017. Issued by the Federal Service for Supervision of the Communications of Information Technologies and Mass Communications. Editor -in -chief: Kudryavtsev I.A. Email address of the editorial office: info@vesti.ru Editor's phone: +7 (495) 232-63-33. For children over 16 years old. All rights to any materials published on the site are protected in accordance with Russian and international intellectual property legislation. Any use of text photos of audio and video materials is possible only with the consent of the copyright holder (VGTRK). Partner of the Rambleran of our website, we use cookies to collect technical information and process the IP address of your location. Continuing to use this site, you consent to the use of cookies. I agree</v>
      </c>
    </row>
    <row r="98">
      <c r="A98" s="1" t="s">
        <v>332</v>
      </c>
      <c r="B98" s="1" t="s">
        <v>370</v>
      </c>
      <c r="C98" s="1" t="s">
        <v>371</v>
      </c>
      <c r="D98" s="1">
        <v>3.0</v>
      </c>
      <c r="E98" s="4" t="s">
        <v>372</v>
      </c>
      <c r="F98" s="1" t="s">
        <v>43</v>
      </c>
      <c r="G98" s="1" t="s">
        <v>27</v>
      </c>
      <c r="H98" s="4" t="s">
        <v>28</v>
      </c>
      <c r="I98" s="2">
        <v>0.0</v>
      </c>
      <c r="J98" s="5" t="str">
        <f>IFERROR(__xludf.DUMMYFUNCTION("GOOGLETRANSLATE(A98)"),"Avatar 2")</f>
        <v>Avatar 2</v>
      </c>
      <c r="K98" s="6" t="str">
        <f>IFERROR(__xludf.DUMMYFUNCTION("GOOGLETRANSLATE(B98)"),"Avatar: The Way of Water")</f>
        <v>Avatar: The Way of Water</v>
      </c>
      <c r="L98" s="5" t="str">
        <f>IFERROR(__xludf.DUMMYFUNCTION("GOOGLETRANSLATE(C98)"),"Avatar: The Way of Water is a 2022 American epic science fiction film co-produced and directed by James Cameron, who co-wrote the screenplay with Rick Jaffa ...")</f>
        <v>Avatar: The Way of Water is a 2022 American epic science fiction film co-produced and directed by James Cameron, who co-wrote the screenplay with Rick Jaffa ...</v>
      </c>
      <c r="M98" s="5" t="str">
        <f>IFERROR(__xludf.DUMMYFUNCTION("GOOGLETRANSLATE(G98)"),"Wikipedia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99">
      <c r="A99" s="1" t="s">
        <v>332</v>
      </c>
      <c r="B99" s="1" t="s">
        <v>373</v>
      </c>
      <c r="C99" s="1" t="s">
        <v>374</v>
      </c>
      <c r="D99" s="1">
        <v>4.0</v>
      </c>
      <c r="E99" s="4" t="s">
        <v>375</v>
      </c>
      <c r="F99" s="1" t="s">
        <v>43</v>
      </c>
      <c r="G99" s="1" t="s">
        <v>376</v>
      </c>
      <c r="H99" s="4" t="s">
        <v>377</v>
      </c>
      <c r="I99" s="2">
        <v>1.0</v>
      </c>
      <c r="J99" s="5" t="str">
        <f>IFERROR(__xludf.DUMMYFUNCTION("GOOGLETRANSLATE(A99)"),"Avatar 2")</f>
        <v>Avatar 2</v>
      </c>
      <c r="K99" s="6" t="str">
        <f>IFERROR(__xludf.DUMMYFUNCTION("GOOGLETRANSLATE(B99)"),"Avatar: The Way of Water (2022)")</f>
        <v>Avatar: The Way of Water (2022)</v>
      </c>
      <c r="L99" s="5" t="str">
        <f>IFERROR(__xludf.DUMMYFUNCTION("GOOGLETRANSLATE(C99)"),"Set more than a decade after the events of the first film, 'Avatar: Play trailer2:01.")</f>
        <v>Set more than a decade after the events of the first film, 'Avatar: Play trailer2:01.</v>
      </c>
      <c r="M99" s="5" t="str">
        <f>IFERROR(__xludf.DUMMYFUNCTION("GOOGLETRANSLATE(G99)"),"IMDb: Ratings Reviews and Where to Watch the Best Movies &amp; TV Shows MenuMoviesRelease CalendarTop 250 MoviesMost Popular MoviesBrowse Movies by GenreTop Box OfficeShowtimes &amp; TicketsMovie NewsIndia Movie SpotlightTV ShowsWhat's on TV &amp; StreamingTop 250 TV"&amp;" ShowsMost Popular TV ShowsBrowse TV Shows by GenreTV NewsWatchWhat to WatchLatest TrailersIMDb OriginalsIMDb PicksIMDb PodcastsAwards &amp; EventsOscarsEmmysHoliday PicksMAMISTARmeter AwardsAwards CentralFestival CentralAll EventsCelebsBorn TodayMost Popular"&amp;" CelebsCelebrity NewsCommunityHelp CenterContributor ZonePollsFor Industry ProfessionalsLanguageEnglish (United States)LanguageFully supportedEnglish (United States)Partially supportedFrançais (Canada)Français (France)Deutsch (Deutschland)हिंदी (भारत)Ital"&amp;"iano (Italia)Português (Brasil)Español (España)Español (México)AllAllTitlesTV EpisodesCelebsCompaniesKeywordsAdvanced SearchWatchlistSign InSign InNew Customer? Create accountENFully supportedEnglish (United States)Partially supportedFrançais (Canada)Fran"&amp;"çais (France)Deutsch (Deutschland)हिंदी (भारत)Italiano (Italia)Português (Brasil)Español (España)Español (México)Use app1:59Millie Bobby Brown Stars in 'Damsel'1:59Netflix Drops First Teaser2:46Ms. Marvel Needs Help2:46What Iman Learned From Brie and Teyo"&amp;"nah1:31Meet Riley's New Emotions in 'Inside Out 2'1:31Watch the New Pixar Teaser1:005 Streamable Sci-Fi Classics1:00Top Picks All Award-Winners2:00'Ghostbusters: Frozen Empire'2:00Watch the Teaser1:33What You Need to Know About 'The Color Purple'1:33Get D"&amp;"etails on the New Movie Musical2:01""Reacher"" Returns2:01Watch the Season 2 Trailer0:57What to Watch After ""Bodies""0:575 Top Picks Streaming Now2:01'The Marvels' Final Trailer Drops2:01See Tessa Thompson's Return as Valkyrie1:40""Avatar: The Last Airbe"&amp;"nder""1:40Netflix Shares the First Trailer2:17Eddie Murphy Is Going to 'Candy Cane Lane'2:17Watch the Trailer0:42Michelle Yeoh Stars in ""The Brothers Sun""0:42Watch the Series Teaser2:26Brie Larson Is Having a Year2:26Look Back at Her Career2:07'Mean Gir"&amp;"ls' Are Back2:07Watch the Fetch New Trailer1:20Swifties in Movies and TV1:20Watch Some Memorable MomentsUp next1:20Swifties in Movies and TVWatch Some Memorable Moments1:59Millie Bobby Brown Stars in 'Damsel'Netflix Drops First Teaser2:46Ms. Marvel Needs "&amp;"HelpWhat Iman Learned From Brie and Teyonah1:31Meet Riley's New Emotions in 'Inside Out 2'Watch the New Pixar Teaser1:005 Streamable Sci-Fi ClassicsTop Picks All Award-Winners2:00'Ghostbusters: Frozen Empire'Watch the TeaserBrowse trailersFeatured todayLi"&amp;"stNovember Picks: 'The Killer' 'The Marvels' and MoreSee the listListTV Tracker: Renewed and Canceled ShowsCheck the statusPhotosThe Best On-Screen AssassinsSee the galleryPhotosThe Latest (and Greatest) New PostersSee more postersPhotosEnter the IMDb Por"&amp;"trait Studio at MAMI 2023See the galleryPhotosAdorable Red Carpet PhotosSee the galleryListWho Are the 2024 Grammy Nominees?See the full listList2023 MAMI Mumbai Film Festival WinnersSee the winnersPhotos'Dream Scenario' and More New StillsSee more stills"&amp;"What to watchGet more recommendationsMore to watchIMDb helps you select the perfect next show or movie to watch.Watch GuideMost PopularExclusive videosIMDb OriginalsCelebrity interviews trending entertainment stories and expert analysis3:26Shah Rukh Khan "&amp;"on 'Jawan' and MoreWatch the video1:33Get Details on This New Movie MusicalWatch now2:26Brie Larson Is Having a YearWatch now2:15How Cailee and Jacob Became Priscilla and ElvisWatch the interview1:005 Award-Winning Sci-Fi PicksStream these now3:13Best Cha"&amp;"racter Moments in 'The Hunger Games'Watch nowExplore what’s streamingExplore Movies &amp; TV showsMore to exploreRecently viewedYou have no recently viewed pagesGet the IMDb AppSign in for more accessSign in for more accessGet the IMDb AppHelpSite IndexIMDbPr"&amp;"oBox Office MojoIMDb DeveloperPress RoomAdvertisingJobsConditions of UsePrivacy PolicyYour Ads Privacy ChoicesIMDb an Amazon company© 1990-2023 by IMDb.com Inc.Back to top")</f>
        <v>IMDb: Ratings Reviews and Where to Watch the Best Movies &amp; TV Shows MenuMoviesRelease CalendarTop 250 MoviesMost Popular MoviesBrowse Movies by GenreTop Box OfficeShowtimes &amp; TicketsMovie NewsIndia Movie SpotlightTV ShowsWhat's on TV &amp; StreamingTop 250 TV ShowsMost Popular TV ShowsBrowse TV Shows by GenreTV NewsWatchWhat to WatchLatest TrailersIMDb OriginalsIMDb PicksIMDb PodcastsAwards &amp; EventsOscarsEmmysHoliday PicksMAMISTARmeter AwardsAwards CentralFestival CentralAll EventsCelebsBorn TodayMost Popular CelebsCelebrity NewsCommunityHelp CenterContributor ZonePollsFor Industry ProfessionalsLanguageEnglish (United States)LanguageFully supportedEnglish (United States)Partially supportedFrançais (Canada)Français (France)Deutsch (Deutschland)हिंदी (भारत)Italiano (Italia)Português (Brasil)Español (España)Español (México)AllAllTitlesTV EpisodesCelebsCompaniesKeywordsAdvanced SearchWatchlistSign InSign InNew Customer? Create accountENFully supportedEnglish (United States)Partially supportedFrançais (Canada)Français (France)Deutsch (Deutschland)हिंदी (भारत)Italiano (Italia)Português (Brasil)Español (España)Español (México)Use app1:59Millie Bobby Brown Stars in 'Damsel'1:59Netflix Drops First Teaser2:46Ms. Marvel Needs Help2:46What Iman Learned From Brie and Teyonah1:31Meet Riley's New Emotions in 'Inside Out 2'1:31Watch the New Pixar Teaser1:005 Streamable Sci-Fi Classics1:00Top Picks All Award-Winners2:00'Ghostbusters: Frozen Empire'2:00Watch the Teaser1:33What You Need to Know About 'The Color Purple'1:33Get Details on the New Movie Musical2:01"Reacher" Returns2:01Watch the Season 2 Trailer0:57What to Watch After "Bodies"0:575 Top Picks Streaming Now2:01'The Marvels' Final Trailer Drops2:01See Tessa Thompson's Return as Valkyrie1:40"Avatar: The Last Airbender"1:40Netflix Shares the First Trailer2:17Eddie Murphy Is Going to 'Candy Cane Lane'2:17Watch the Trailer0:42Michelle Yeoh Stars in "The Brothers Sun"0:42Watch the Series Teaser2:26Brie Larson Is Having a Year2:26Look Back at Her Career2:07'Mean Girls' Are Back2:07Watch the Fetch New Trailer1:20Swifties in Movies and TV1:20Watch Some Memorable MomentsUp next1:20Swifties in Movies and TVWatch Some Memorable Moments1:59Millie Bobby Brown Stars in 'Damsel'Netflix Drops First Teaser2:46Ms. Marvel Needs HelpWhat Iman Learned From Brie and Teyonah1:31Meet Riley's New Emotions in 'Inside Out 2'Watch the New Pixar Teaser1:005 Streamable Sci-Fi ClassicsTop Picks All Award-Winners2:00'Ghostbusters: Frozen Empire'Watch the TeaserBrowse trailersFeatured todayListNovember Picks: 'The Killer' 'The Marvels' and MoreSee the listListTV Tracker: Renewed and Canceled ShowsCheck the statusPhotosThe Best On-Screen AssassinsSee the galleryPhotosThe Latest (and Greatest) New PostersSee more postersPhotosEnter the IMDb Portrait Studio at MAMI 2023See the galleryPhotosAdorable Red Carpet PhotosSee the galleryListWho Are the 2024 Grammy Nominees?See the full listList2023 MAMI Mumbai Film Festival WinnersSee the winnersPhotos'Dream Scenario' and More New StillsSee more stillsWhat to watchGet more recommendationsMore to watchIMDb helps you select the perfect next show or movie to watch.Watch GuideMost PopularExclusive videosIMDb OriginalsCelebrity interviews trending entertainment stories and expert analysis3:26Shah Rukh Khan on 'Jawan' and MoreWatch the video1:33Get Details on This New Movie MusicalWatch now2:26Brie Larson Is Having a YearWatch now2:15How Cailee and Jacob Became Priscilla and ElvisWatch the interview1:005 Award-Winning Sci-Fi PicksStream these now3:13Best Character Moments in 'The Hunger Games'Watch nowExplore what’s streamingExplore Movies &amp; TV showsMore to exploreRecently viewedYou have no recently viewed pagesGet the IMDb AppSign in for more accessSign in for more accessGet the IMDb AppHelpSite IndexIMDbProBox Office MojoIMDb DeveloperPress RoomAdvertisingJobsConditions of UsePrivacy PolicyYour Ads Privacy ChoicesIMDb an Amazon company© 1990-2023 by IMDb.com Inc.Back to top</v>
      </c>
    </row>
    <row r="100">
      <c r="A100" s="1" t="s">
        <v>332</v>
      </c>
      <c r="B100" s="1" t="s">
        <v>370</v>
      </c>
      <c r="C100" s="1" t="s">
        <v>378</v>
      </c>
      <c r="D100" s="1">
        <v>5.0</v>
      </c>
      <c r="E100" s="4" t="s">
        <v>379</v>
      </c>
      <c r="F100" s="1" t="s">
        <v>43</v>
      </c>
      <c r="G100" s="1" t="s">
        <v>380</v>
      </c>
      <c r="H100" s="4" t="s">
        <v>381</v>
      </c>
      <c r="I100" s="2">
        <v>1.0</v>
      </c>
      <c r="J100" s="5" t="str">
        <f>IFERROR(__xludf.DUMMYFUNCTION("GOOGLETRANSLATE(A100)"),"Avatar 2")</f>
        <v>Avatar 2</v>
      </c>
      <c r="K100" s="6" t="str">
        <f>IFERROR(__xludf.DUMMYFUNCTION("GOOGLETRANSLATE(B100)"),"Avatar: The Way of Water")</f>
        <v>Avatar: The Way of Water</v>
      </c>
      <c r="L100" s="5" t="str">
        <f>IFERROR(__xludf.DUMMYFUNCTION("GOOGLETRANSLATE(C100)"),"Narratively, it might be fairly standard stuff -- but visually speaking, Avatar: The Way of Water is a stunningly immersive experience. Read critic reviews.")</f>
        <v>Narratively, it might be fairly standard stuff -- but visually speaking, Avatar: The Way of Water is a stunningly immersive experience. Read critic reviews.</v>
      </c>
      <c r="M100" s="5" t="str">
        <f>IFERROR(__xludf.DUMMYFUNCTION("GOOGLETRANSLATE(G100)"),"Rotten Tomatoes: Movies | TV Shows | Movie Trailers | Reviews - Rotten TomatoesSigned inSkip to Main Content        Cancel      Movies / TVCelebrityNo Results FoundView AllWhat's the Tomatometer®?CriticsLogin/signup           Wants to See                 "&amp;"  Ratings        ProfileAccountLog OutMoviesMovies in theatersOpening this weekComing soon to theatersCertified fresh moviesMovies at homePeacockVuduNetflix streamingApple TVAmazon primeMost popular streaming moviesCertified fresh moviesBrowse allMoreWhat"&amp;" to WatchNewTop moviesTrailersCertified fresh picksThe HoldoversLink to The HoldoversDream ScenarioLink to Dream ScenarioQuiz LadyLink to Quiz LadyTv shows              New TV Tonight                                Colin from Accounts: Season 1           "&amp;"                     For All Mankind: Season 4                                Rap Sh!t: Season 2                                The Curse: Season 1                                Lawmen: Bass Reeves: Season 1                                The Buccaneers:"&amp;" Season 1                                JFK: One Day in America: Season 1                                De La Calle: Season 1                            View All                          Most Popular TV on RT                                Sex Education"&amp;": Season 4                                All the Light We Cannot See: Season 1                                Blue Eye Samurai: Season 1                                The Buccaneers: Season 1                                Loki: Season 2                "&amp;"                Black Cake: Season 1                                The Fall of the House of Usher: Season 1                                Bodies: Season 1                                Ms. Marvel: Season 1                                Invincible: Sea"&amp;"son 2                            View All            More                What to WatchNewTop TV ShowsCertified Fresh TVPeacockVuduNetflix streamingApple TVAmazon primeMost popular TV              Certified fresh pick            The Curse: Season 1Link to "&amp;"The Curse: Season 1          Movie Trivia          NewNewsColumns                All-Time Lists                              Binge Guide                              Comics on TV                              Countdown                              Five Fav"&amp;"orite Films                              Video Interviews              Weekend Box Office                            Weekly Ketchup                              What to Watch              Guides100 Best Christmas Movies of All Time – Classic Christmas Fil"&amp;"msLink to 100 Best Christmas Movies of All Time – Classic Christmas Films61 Best Concert Movies of All TimeLink to 61 Best Concert Movies of All Time              View All            HubsWhat to Watch: In Theaters and On StreamingLink to What to Watch: In"&amp;" Theaters and On StreamingRT25: Celebrating 25 Years of Rotten TomatoesLink to RT25: Celebrating 25 Years of Rotten Tomatoes              View All            RT NewsTV Premiere Dates 2023Link to TV Premiere Dates 2023Loki Season 2 Finale: Where Do We Go f"&amp;"rom Here?Link to Loki Season 2 Finale: Where Do We Go from Here?              View All                    Showtimes      Trending on RT Shop Rotten Tomatoes  Play Daily Tomato   Best Movies of 2023  New on Streaming   New Tomatometer Scores Nia DaCosta on"&amp;" Mapping The Marvels Fight ScenesAlso pitching Kevin Feige and bringing humor to the filmWhere Does Loki S2 Leave Us?We look at all the questions answered and those that remain2023 Holiday TV CalendarFind out when all the holiday movies specials episodes "&amp;"and competitions will premiere this season What to Watch This Week: The Marvels Dream Scenario and MoreCaptain Marvel and Ms. Marvel and Monica Rambeau! And that’s just one of five picks this week100 Best Christmas Movies From new movie The Holdovers to c"&amp;"lassics like Miracle on 34th Street we’ve made our list of great holiday filmsThe Ballad of Songbirds &amp; Snakes First ReviewsThe Hunger Games prequel has a great cast and spectacular action but it's overstuffedNative American Heritage Month Here are 12 sho"&amp;"ws that celebrate Indigenous culture Most Anticipated Movies of 2024Inside Out 2 Ghostbusters: Frozen Empire a new Mean Girls and more new movies coming next yearNew Tomatometer ScoresBlack Cake is Fresh!Addams Family ValuesIs the sequel as good as if not"&amp;" better than its predecessor?New &amp; Upcoming Movies In TheatersView allThe MarvelsThe MarvelsThe KillerThe KillerJourney to BethlehemPriscillaPriscillaDream ScenarioDream ScenarioRadicalRadicalThe HoldoversThe HoldoversThe Hunger Games: The Ballad of Songb"&amp;"irds &amp; SnakesThe Hunger Games: The Ballad of Songbirds &amp; SnakesTrolls Band TogetherTrolls Band TogetherKillers of the Flower MoonKillers of the Flower MoonRustinRustinFive Nights at Freddy'sFive Nights at Freddy'sWhat Happens LaterWhat Happens LaterNext G"&amp;"oal WinsNext Goal WinsThe Marsh King's DaughterThe Marsh King's DaughterThanksgivingThanksgivingTAYLOR SWIFT | THE ERAS TOURTAYLOR SWIFT | THE ERAS TOURManodromeManodromePAW Patrol: The Mighty MoviePAW Patrol: The Mighty MovieScarfaceNEW &amp; UPCOMING ON STR"&amp;"EAMINGView allThe CurseThe CurseLokiLokiThe BuccaneersThe BuccaneersFor All MankindFor All MankindAll the Light We Cannot SeeAll the Light We Cannot SeeInvincibleInvincibleLawmen: Bass ReevesLawmen: Bass ReevesA Murder at the End of the WorldA Murder at t"&amp;"he End of the WorldQuiz LadyQuiz LadyRap Sh!tRap Sh!tA Haunting in VeniceA Haunting in VeniceFellow TravelersFellow TravelersGen VGen VFive Nights at Freddy'sFive Nights at Freddy'sBodiesBodiesLessons in ChemistryLessons in ChemistryMonarch: Legacy of Mon"&amp;"stersMonarch: Legacy of MonstersPlease Don't Destroy: The Treasure of Foggy MountainPlease Don't Destroy: The Treasure of Foggy MountainRick and MortyRick and MortyGoosebumpsGoosebumpsPopular Streaming MoviesView allVudu |                    Netflix |    "&amp;"                Prime Video |                    Max |                    More...Five Nights at Freddy's                                                                    30%                                                            The Killer          "&amp;"                                                          85%                                                            When Evil Lurks                                                                    99%                                                "&amp;"            Dumb Money                                                                    84%                                                            Nyad                                                                    84%                           "&amp;"                                 A Haunting in Venice                                                                    75%                                                            Quiz Lady                                                              "&amp;"      78%                                                            Locked In                                                                    33%                                                            Talk to Me                                    "&amp;"                                94%                                                            Butcher's Crossing                                                                    73%                                                            Most Popula"&amp;"r TV on RT View allSex Education                                                                    91%                                                            All the Light We Cannot See                                                                 "&amp;"   28%                                                            Blue Eye Samurai                                                                    100%                                                            The Buccaneers                           "&amp;"                                         73%                                                            Loki                                                                    82%                                                            Black Cake      "&amp;"                                                              100%                                                            The Fall of the House of Usher                                                                    90%                            "&amp;"                                Bodies                                                                    81%                                                            Ms. Marvel                                                                    98%     "&amp;"                                                       Invincible                                                                    100%                                                            New TV This WeekWhat's on TonightColin from Accounts      "&amp;"                                                              100%                                                            For All Mankind                                                                    100%                                          "&amp;"                  Rap Sh!t                                                                    100%                                                            The Curse                                                                    89%                 "&amp;"                                           Lawmen: Bass Reeves                                                                    79%                                                            The Buccaneers                                                "&amp;"                    73%                                                            JFK: One Day in America                                                                    - -                                                            The Santa Summit  "&amp;"                                                                  - -                                                            De La Calle                                                                    - -                                            "&amp;"                Mystery on Mistletoe Lane                                                                    - -                                                            Popular In TheatersView allAvailability may vary check your local showtimes for det"&amp;"ails.Five Nights at Freddy'sFive Nights at Freddy'sTAYLOR SWIFT | THE ERAS TOURTAYLOR SWIFT | THE ERAS TOURKillers of the Flower MoonKillers of the Flower MoonPriscillaPriscillaRadicalRadicalThe Exorcist: BelieverThe Exorcist: BelieverAfter DeathAfter Dea"&amp;"thPAW Patrol: The Mighty MoviePAW Patrol: The Mighty MovieWhat Happens LaterWhat Happens LaterFreelanceFreelanceSaw XSaw XThe Nightmare Before ChristmasThe Nightmare Before ChristmasThe Marsh King's DaughterThe Marsh King's DaughterThe CreatorThe CreatorA"&amp;"natomy of a FallAnatomy of a FallThe HoldoversThe HoldoversOppenheimerOppenheimerGran Turismo: Based on a True StoryGran Turismo: Based on a True StoryA Haunting in VeniceA Haunting in VeniceThe Persian VersionThe Persian VersionNoirvember: 100 Best Film "&amp;"Noirs of All TimeView allSunset BoulevardSunset BoulevardDouble IndemnityThe Third ManThe Third ManTouch of EvilThe KillingOut of the PastAce in the HoleThe Maltese FalconThe Big SleepThe Night of the HunterLauraMildred PierceIn a Lonely PlaceNightmare Al"&amp;"leyLeave Her to HeavenThe Lady From ShanghaiKiss Me DeadlyGun CrazySpellboundDetourLatest Certified Fresh MoviesView allDream ScenarioDream ScenarioTAYLOR SWIFT | THE ERAS TOURTAYLOR SWIFT | THE ERAS TOURMaestroMaestroFour DaughtersFour DaughtersQuiz Lady"&amp;"Quiz LadyThe MissionBeyond UtopiaRadicalRadicalAll Dirt Roads Taste of SaltAll Dirt Roads Taste of SaltPerfect DaysPerfect DaysRustinRustinWhen Evil LurksWhen Evil LurksPriscillaPriscillaThe HoldoversThe HoldoversThe KillerThe KillerMister OrganMister Org"&amp;"anJoan Baez I Am a NoiseSilver Dollar RoadNyadNyadThe Pigeon TunnelThe Pigeon TunnelBest Thanksgiving MoviesView allPlanes Trains and AutomobilesPlanes Trains and AutomobilesThe HumansThe HumansHome for the HolidaysHome for the HolidaysScent of a WomanSce"&amp;"nt of a WomanSoul FoodThe Ice StormThe Ice StormHannah and Her SistersHannah and Her SistersAvalonThe Big ChillThe Big ChillThe House of YesKrishaKrishaThe War at HomeGrumpy Old MenYou've Got MailAddams Family ValuesAddams Family ValuesHollidaysburgAlice'"&amp;"s RestaurantThe OathThe OathThe Myth of FingerprintsJim Henson's Turkey HollowTrailers &amp; Videos            View all        InterviewThe Marvels Director Nia DaCosta on mapping fight scenes bringing humor to the film and morePodcastAddams Family Values Is "&amp;"the sequel as good as if not better than its predecessor?TeaserGhostbusters: Frozen Empire Paul Rudd Mckenna Grace Finn Wolfhard and Carrie Coon reunite to save NYCOriginal Five Nights at Freddy's Everything you need to know!Original On The Street Asking "&amp;"fans who is the greatest MCU villain Movie &amp; TV guidesView AllRotten Tomatoes: The Card Game RT Podcasts: Rotten Tomatoes is Wrong Rotten Tomatoes Gift Cards What to Watch - In theaters &amp; streaming Close videoSee DetailsSee DetailsHelpAbout Rotten Tomatoe"&amp;"sWhat's the Tomatometer®?Critic SubmissionLicensingAdvertise With UsCareersJoin The NewsletterGet the freshest reviews news and more delivered right to your inbox!                Join The Newsletter                            Join The Newsletter          "&amp;"  Follow UsCopyright © Fandango. All rights reserved.Join The NewsletterJoin The Newsletter                        Privacy Policy                    Terms and PoliciesCookie SettingsCalifornia NoticeAd ChoicesAccessibilityV3.1                    Privacy P"&amp;"olicy                Terms and PoliciesCookie SettingsCalifornia NoticeAd ChoicesAccessibilityCopyright © Fandango. All rights reserved.")</f>
        <v>Rotten Tomatoes: Movies | TV Shows | Movie Trailers | Reviews - Rotten TomatoesSigned inSkip to Main Content        Cancel      Movies / TVCelebrityNo Results FoundView AllWhat's the Tomatometer®?CriticsLogin/signup           Wants to See                   Ratings        ProfileAccountLog OutMoviesMovies in theatersOpening this weekComing soon to theatersCertified fresh moviesMovies at homePeacockVuduNetflix streamingApple TVAmazon primeMost popular streaming moviesCertified fresh moviesBrowse allMoreWhat to WatchNewTop moviesTrailersCertified fresh picksThe HoldoversLink to The HoldoversDream ScenarioLink to Dream ScenarioQuiz LadyLink to Quiz LadyTv shows              New TV Tonight                                Colin from Accounts: Season 1                                For All Mankind: Season 4                                Rap Sh!t: Season 2                                The Curse: Season 1                                Lawmen: Bass Reeves: Season 1                                The Buccaneers: Season 1                                JFK: One Day in America: Season 1                                De La Calle: Season 1                            View All                          Most Popular TV on RT                                Sex Education: Season 4                                All the Light We Cannot See: Season 1                                Blue Eye Samurai: Season 1                                The Buccaneers: Season 1                                Loki: Season 2                                Black Cake: Season 1                                The Fall of the House of Usher: Season 1                                Bodies: Season 1                                Ms. Marvel: Season 1                                Invincible: Season 2                            View All            More                What to WatchNewTop TV ShowsCertified Fresh TVPeacockVuduNetflix streamingApple TVAmazon primeMost popular TV              Certified fresh pick            The Curse: Season 1Link to The Curse: Season 1          Movie Trivia          NewNewsColumns                All-Time Lists                              Binge Guide                              Comics on TV                              Countdown                              Five Favorite Films                              Video Interviews              Weekend Box Office                            Weekly Ketchup                              What to Watch              Guides100 Best Christmas Movies of All Time – Classic Christmas FilmsLink to 100 Best Christmas Movies of All Time – Classic Christmas Films61 Best Concert Movies of All TimeLink to 61 Best Concert Movies of All Time              View All            HubsWhat to Watch: In Theaters and On StreamingLink to What to Watch: In Theaters and On StreamingRT25: Celebrating 25 Years of Rotten TomatoesLink to RT25: Celebrating 25 Years of Rotten Tomatoes              View All            RT NewsTV Premiere Dates 2023Link to TV Premiere Dates 2023Loki Season 2 Finale: Where Do We Go from Here?Link to Loki Season 2 Finale: Where Do We Go from Here?              View All                    Showtimes      Trending on RT Shop Rotten Tomatoes  Play Daily Tomato   Best Movies of 2023  New on Streaming   New Tomatometer Scores Nia DaCosta on Mapping The Marvels Fight ScenesAlso pitching Kevin Feige and bringing humor to the filmWhere Does Loki S2 Leave Us?We look at all the questions answered and those that remain2023 Holiday TV CalendarFind out when all the holiday movies specials episodes and competitions will premiere this season What to Watch This Week: The Marvels Dream Scenario and MoreCaptain Marvel and Ms. Marvel and Monica Rambeau! And that’s just one of five picks this week100 Best Christmas Movies From new movie The Holdovers to classics like Miracle on 34th Street we’ve made our list of great holiday filmsThe Ballad of Songbirds &amp; Snakes First ReviewsThe Hunger Games prequel has a great cast and spectacular action but it's overstuffedNative American Heritage Month Here are 12 shows that celebrate Indigenous culture Most Anticipated Movies of 2024Inside Out 2 Ghostbusters: Frozen Empire a new Mean Girls and more new movies coming next yearNew Tomatometer ScoresBlack Cake is Fresh!Addams Family ValuesIs the sequel as good as if not better than its predecessor?New &amp; Upcoming Movies In TheatersView allThe MarvelsThe MarvelsThe KillerThe KillerJourney to BethlehemPriscillaPriscillaDream ScenarioDream ScenarioRadicalRadicalThe HoldoversThe HoldoversThe Hunger Games: The Ballad of Songbirds &amp; SnakesThe Hunger Games: The Ballad of Songbirds &amp; SnakesTrolls Band TogetherTrolls Band TogetherKillers of the Flower MoonKillers of the Flower MoonRustinRustinFive Nights at Freddy'sFive Nights at Freddy'sWhat Happens LaterWhat Happens LaterNext Goal WinsNext Goal WinsThe Marsh King's DaughterThe Marsh King's DaughterThanksgivingThanksgivingTAYLOR SWIFT | THE ERAS TOURTAYLOR SWIFT | THE ERAS TOURManodromeManodromePAW Patrol: The Mighty MoviePAW Patrol: The Mighty MovieScarfaceNEW &amp; UPCOMING ON STREAMINGView allThe CurseThe CurseLokiLokiThe BuccaneersThe BuccaneersFor All MankindFor All MankindAll the Light We Cannot SeeAll the Light We Cannot SeeInvincibleInvincibleLawmen: Bass ReevesLawmen: Bass ReevesA Murder at the End of the WorldA Murder at the End of the WorldQuiz LadyQuiz LadyRap Sh!tRap Sh!tA Haunting in VeniceA Haunting in VeniceFellow TravelersFellow TravelersGen VGen VFive Nights at Freddy'sFive Nights at Freddy'sBodiesBodiesLessons in ChemistryLessons in ChemistryMonarch: Legacy of MonstersMonarch: Legacy of MonstersPlease Don't Destroy: The Treasure of Foggy MountainPlease Don't Destroy: The Treasure of Foggy MountainRick and MortyRick and MortyGoosebumpsGoosebumpsPopular Streaming MoviesView allVudu |                    Netflix |                    Prime Video |                    Max |                    More...Five Nights at Freddy's                                                                    30%                                                            The Killer                                                                    85%                                                            When Evil Lurks                                                                    99%                                                            Dumb Money                                                                    84%                                                            Nyad                                                                    84%                                                            A Haunting in Venice                                                                    75%                                                            Quiz Lady                                                                    78%                                                            Locked In                                                                    33%                                                            Talk to Me                                                                    94%                                                            Butcher's Crossing                                                                    73%                                                            Most Popular TV on RT View allSex Education                                                                    91%                                                            All the Light We Cannot See                                                                    28%                                                            Blue Eye Samurai                                                                    100%                                                            The Buccaneers                                                                    73%                                                            Loki                                                                    82%                                                            Black Cake                                                                    100%                                                            The Fall of the House of Usher                                                                    90%                                                            Bodies                                                                    81%                                                            Ms. Marvel                                                                    98%                                                            Invincible                                                                    100%                                                            New TV This WeekWhat's on TonightColin from Accounts                                                                    100%                                                            For All Mankind                                                                    100%                                                            Rap Sh!t                                                                    100%                                                            The Curse                                                                    89%                                                            Lawmen: Bass Reeves                                                                    79%                                                            The Buccaneers                                                                    73%                                                            JFK: One Day in America                                                                    - -                                                            The Santa Summit                                                                    - -                                                            De La Calle                                                                    - -                                                            Mystery on Mistletoe Lane                                                                    - -                                                            Popular In TheatersView allAvailability may vary check your local showtimes for details.Five Nights at Freddy'sFive Nights at Freddy'sTAYLOR SWIFT | THE ERAS TOURTAYLOR SWIFT | THE ERAS TOURKillers of the Flower MoonKillers of the Flower MoonPriscillaPriscillaRadicalRadicalThe Exorcist: BelieverThe Exorcist: BelieverAfter DeathAfter DeathPAW Patrol: The Mighty MoviePAW Patrol: The Mighty MovieWhat Happens LaterWhat Happens LaterFreelanceFreelanceSaw XSaw XThe Nightmare Before ChristmasThe Nightmare Before ChristmasThe Marsh King's DaughterThe Marsh King's DaughterThe CreatorThe CreatorAnatomy of a FallAnatomy of a FallThe HoldoversThe HoldoversOppenheimerOppenheimerGran Turismo: Based on a True StoryGran Turismo: Based on a True StoryA Haunting in VeniceA Haunting in VeniceThe Persian VersionThe Persian VersionNoirvember: 100 Best Film Noirs of All TimeView allSunset BoulevardSunset BoulevardDouble IndemnityThe Third ManThe Third ManTouch of EvilThe KillingOut of the PastAce in the HoleThe Maltese FalconThe Big SleepThe Night of the HunterLauraMildred PierceIn a Lonely PlaceNightmare AlleyLeave Her to HeavenThe Lady From ShanghaiKiss Me DeadlyGun CrazySpellboundDetourLatest Certified Fresh MoviesView allDream ScenarioDream ScenarioTAYLOR SWIFT | THE ERAS TOURTAYLOR SWIFT | THE ERAS TOURMaestroMaestroFour DaughtersFour DaughtersQuiz LadyQuiz LadyThe MissionBeyond UtopiaRadicalRadicalAll Dirt Roads Taste of SaltAll Dirt Roads Taste of SaltPerfect DaysPerfect DaysRustinRustinWhen Evil LurksWhen Evil LurksPriscillaPriscillaThe HoldoversThe HoldoversThe KillerThe KillerMister OrganMister OrganJoan Baez I Am a NoiseSilver Dollar RoadNyadNyadThe Pigeon TunnelThe Pigeon TunnelBest Thanksgiving MoviesView allPlanes Trains and AutomobilesPlanes Trains and AutomobilesThe HumansThe HumansHome for the HolidaysHome for the HolidaysScent of a WomanScent of a WomanSoul FoodThe Ice StormThe Ice StormHannah and Her SistersHannah and Her SistersAvalonThe Big ChillThe Big ChillThe House of YesKrishaKrishaThe War at HomeGrumpy Old MenYou've Got MailAddams Family ValuesAddams Family ValuesHollidaysburgAlice's RestaurantThe OathThe OathThe Myth of FingerprintsJim Henson's Turkey HollowTrailers &amp; Videos            View all        InterviewThe Marvels Director Nia DaCosta on mapping fight scenes bringing humor to the film and morePodcastAddams Family Values Is the sequel as good as if not better than its predecessor?TeaserGhostbusters: Frozen Empire Paul Rudd Mckenna Grace Finn Wolfhard and Carrie Coon reunite to save NYCOriginal Five Nights at Freddy's Everything you need to know!Original On The Street Asking fans who is the greatest MCU villain Movie &amp; TV guidesView AllRotten Tomatoes: The Card Game RT Podcasts: Rotten Tomatoes is Wrong Rotten Tomatoes Gift Cards What to Watch - In theaters &amp; streaming Close videoSee DetailsSee DetailsHelpAbout Rotten TomatoesWhat's the Tomatometer®?Critic SubmissionLicensingAdvertise With UsCareersJoin The NewsletterGet the freshest reviews news and more delivered right to your inbox!                Join The Newsletter                            Join The Newsletter            Follow UsCopyright © Fandango. All rights reserved.Join The NewsletterJoin The Newsletter                        Privacy Policy                    Terms and PoliciesCookie SettingsCalifornia NoticeAd ChoicesAccessibilityV3.1                    Privacy Policy                Terms and PoliciesCookie SettingsCalifornia NoticeAd ChoicesAccessibilityCopyright © Fandango. All rights reserved.</v>
      </c>
    </row>
    <row r="101">
      <c r="A101" s="1" t="s">
        <v>332</v>
      </c>
      <c r="B101" s="1" t="s">
        <v>382</v>
      </c>
      <c r="C101" s="1" t="s">
        <v>383</v>
      </c>
      <c r="D101" s="1">
        <v>6.0</v>
      </c>
      <c r="E101" s="4" t="s">
        <v>384</v>
      </c>
      <c r="F101" s="1" t="s">
        <v>43</v>
      </c>
      <c r="G101" s="1" t="s">
        <v>385</v>
      </c>
      <c r="H101" s="4" t="s">
        <v>386</v>
      </c>
      <c r="I101" s="2">
        <v>1.0</v>
      </c>
      <c r="J101" s="5" t="str">
        <f>IFERROR(__xludf.DUMMYFUNCTION("GOOGLETRANSLATE(A101)"),"Avatar 2")</f>
        <v>Avatar 2</v>
      </c>
      <c r="K101" s="6" t="str">
        <f>IFERROR(__xludf.DUMMYFUNCTION("GOOGLETRANSLATE(B101)"),"Avatar.com | The Official Avatar Website for Avatar News")</f>
        <v>Avatar.com | The Official Avatar Website for Avatar News</v>
      </c>
      <c r="L101" s="5" t="str">
        <f>IFERROR(__xludf.DUMMYFUNCTION("GOOGLETRANSLATE(C101)"),"Learn about James Cameron's Avatar including news about Avatar: The Way of Water, games, comics, Pandora - World of Avatar at Walt Disney World, and more!")</f>
        <v>Learn about James Cameron's Avatar including news about Avatar: The Way of Water, games, comics, Pandora - World of Avatar at Walt Disney World, and more!</v>
      </c>
      <c r="M101" s="5" t="str">
        <f>IFERROR(__xludf.DUMMYFUNCTION("GOOGLETRANSLATE(G101)"),"Avatar.com | The Official Avatar Website for Avatar NewsSkip NavigationHomeMoviesAvatar: The Way of Water (2022)Avatar (2009)SequelsGames                                                    All Games                       Avatar: Frontiers of PandoraExperi"&amp;"ences                                                    All Experiences                       Pandora - The World of Avatar Avatar: The ExhibitionAvatar: The ExperienceCommunityPublishingPartnershipsShopOur TeamPandorapediaMoreMorefacebook               "&amp;"               twitter                              instagram                              youtube                              “The way of water has no beginning and no end.""TsireyaLatest NewsVideoLEGO x Avatar 1 Million+ Brick Diorama | BTSWatch how Id"&amp;"aho Lego User Group and Spacetime Brick Studio brought their community together to bring this stunning diorama to life.News6 Unforgettable Moments from Avatar: The Experience at Cloud Forest Gardens by the BayAvatar: The Experience at Cloud Forest Gardens"&amp;"by the Bay in Singapore is filled with momentsyou’ll remember forever.NewsAvatar: Frontiers of Pandora – New Trailer Reveals Story DetailsLearn more about the hero’s journey and the Na’vi thatcan help you protect Pandora from the RDA.NewsSDCC 2023: Avatar"&amp;": The High Ground &amp; Avatar: Adapt or Die Creator InterviewPandora returns to San Diego Comic-Con. Learn more about the latest in the world of Avatar in the graphic novel collection Avatar: The High Ground.VideoAvatar: The Way of Water | Streaming on Disne"&amp;"y+ June 7. Experience the Academy Award-winning phenomenon streaming on Disney+ June 7. Watch Avatar: The Way of Water at home buy it now on Digital.NewsAvatar: The Way of Water Wins the Academy Award for Best Visual EffectsThe achievement marks the secon"&amp;"d VFX Academy Award for the franchise following its 2010 win for Avatar.""THE UNDERSEA CREATURES OF PANDORA"" BONUS EXTRABuy Avatar: The Way of Water on Digital to Watch More Bonus Extras.VideoAvatar: The Way of Water | Unboxing Pandoran Treasures with th"&amp;"e CastSIVAKO! Watch as some of the newest cast members rise to the challenge and discover LEGO® and McFarlane products inspired by the new film. See Jack Champion as “Spider” Trinity Jo-Li Bliss as “Tuk” and Bailey Bass as Tsireya in Avatar: The Way of Wa"&amp;"ter in theaters now!AVATAR: THE WAY OF WATER CONCEPT ARTHere's an exclusive look of the Pandoran reef from Dylan Cole.VideoPRODUCTION DESIGNAvatar: The Way of Water Co-Production Designers Dylan Cole &amp; Ben Procter on building Pandora from the ground up.Vi"&amp;"deoAvatar: The Way of Water | Keep Our Oceans AmazingHelp us keep our oceans amazing. 💙 Create your very own Avatar-inspired ocean creature from now – 7/31/23 and for every creature created in the Virtual Pandoran Ocean Disney will give $5 to The Nature "&amp;"Conservancy. NewsWelcome to the All-New Pandorapedia The Guide to the World of Avatar Just in time for the release of Avatar: The Way of Water a new online guide called Pandorapedia has been launched to unlock the details behind the world of Pandora.NewsD"&amp;"isney twenty-three Journeys to Pandora Going Behind the Scenes of Avatar: The Way of WaterThe Winter issue of Disney twenty-three features dazzling details on Disney100 Years of Wonder plus exclusives on Avatar: The Way of Water and more can't miss movies"&amp;".NewsAvatar and McFarlane Toys Go Big at D23 ExpoAvatar McFarlane Toys and Lightstorm Entertainment took D23 Expo 2022 by storm showcasing the collaboration with exciting reveals demos and more at Disney's Ultimate Fan Event.NewsD23 Expo Gives Fans an Exc"&amp;"iting First Look at Avatar: The Way of WaterAcademy Award–winning director James Cameron producer Jon Landau and the cast of Avatar: The Way of Water graced the Hall D23 stage for a compelling panel conversation.NewsAvatar Video Conference BackgroundsWant"&amp;" to call in from Pandora? Download backgrounds here!NewsAvatar and Dark Horse Comics              Check out the covers for Tsu'tey's Path and The Next Shadow available online and at a comic book retailer near you.             NewsAvatar: ReckoningComing s"&amp;"oon - a new mobile MMO set on Pandora from Archosaur Games and Level Infinite.NewsDark Horse and Lightstorm on TwitchGet the inside scoop on all things Avatar: The Next Shadow.NewsIt’s Official: Avatar Returns to Theaters This SeptemberJames Cameron’s rec"&amp;"ord-breaking movie Avatar returns to theaters on September 23 2022. Audiences will get to experience Pandora with a remastered 4K HDR picture.NewsLightstorm Entertainment Disney and McFarlane Toys Reveal the First Look at Stunning New Avatar Collectibles "&amp;"at San Diego Comic-ConAt San Diego Comic-Con 2022 Lightstorm Entertainment Disney and McFarlane Toys gave fans a first look at their exciting collaboration. Todd McFarlane revealed the first two figures from their new line of Avatar collectibles showcasin"&amp;"g all of the impressive features.NewsLightstorm Entertainment Disney and the LEGO Group Reveal Immersive New LEGO Avatar SetsAt San Diego Comic-Con 2022 Lightstorm Entertainment Disney and the LEGO Group revealed four new LEGO Avatar sets that will be lau"&amp;"nching later this year. Two of the sets were showcased on the convention floor giving fans an exciting first look of what's to come with the new LEGO Avatar sets.NewsSigourney Weaver as Kiri graces the subscriber-exclusive cover of Empire MagazineSigourne"&amp;"y Weaver plays Jake and Neytiri’s adopted teenage Na’vi daughter in Avatar 2. Experience Avatar: The Way of Water only in theaters December 16.NewsEmpire’s World-Exclusive Avatar: The Way Of Water Cover RevealedThe newsstand cover of Empire Magazine for A"&amp;"vatar: The Way of Water is here. Experience it only in theaters December 16.NewsAn Inside Look at The World of Avatar with Joshua IzzoWe interviewed Joshua Izzo to discuss the gems of the Avatar franchise in his new book The World of Avatar: A Visual Expl"&amp;"oration.News5 Facts for Pandora's 5th AnniversaryTo celebrate the 5th anniversary of Pandora – The World of Avatar at Disney’s Animal Kingdom Theme Park take a look at these five facts about the Park.NewsAvatar: The Way of WaterWe officially have a title!"&amp;"NewsThe World of Avatar: A Visual ExplorationNow available for pre-order this book celebrates explores and explains the spectacular world of Pandora—its extraordinary geology flora and fauna and the customs and beliefs of its people the Na’vi.NewsAvatar 2"&amp;": Meet Spider Jake And Neytiri’s Adopted Human SonA lot has changed on Pandora in the 13-year gap between Avatar and Avatar 2 (arriving in 2022).NewsJames Cameron Opens Up About His Long-Awaited Avatar SequelThe director returns to Pandora with the first "&amp;"of four planned Avatar sequels combining innovative performance-capture and his lifelong love for the ocean.NewsAvatar Producer Teases the Four SequelsExclusive: Jon Landau reveals some of the first Avatar 2 plot details to Total FilmNewsJames Cameron Say"&amp;"s Filming On Avatar 2 Is '100 Percent Complete'It's been a long time coming but James Cameron's Avatar sequels are finally close to the finish line.NewsHow Avatar Reclaimed Its Global Box office CrownJames Cameron’s 2009 blockbuster retakes the all-time r"&amp;"ecord from Avengers: Endgame.NewsAvatar 2’s Kate Winslet On Joining James Cameron’s SequelActress Kate Winslet has had an acclaimed film career picking up an Oscar Emmy and other various awards along the way.FacebookMichelle Yeoh Kept Jim Busy Between Set"&amp;"-ups While Filming Avatar 3!NewsCongratulations To James Cameron Jon Landau And All Of Na'vi Nation For Reclaiming The Box Office Crown!We love you 3000.Facebook                                          Twitter                                          Ins"&amp;"tagram                                          YouTube                                          Terms of UsePrivacy PolicyChildren's Online Privacy PolicyYour US State Privacy RightsAvatar at shopDisneyInterest-Based AdsDo Not Sell or Share My Personal I"&amp;"nformation©2023 20th Century Studios. JAMES CAMERON'S AVATAR is a trademark of 20th Century Studios. All Rights Reserved.")</f>
        <v>Avatar.com | The Official Avatar Website for Avatar NewsSkip NavigationHomeMoviesAvatar: The Way of Water (2022)Avatar (2009)SequelsGames                                                    All Games                       Avatar: Frontiers of PandoraExperiences                                                    All Experiences                       Pandora - The World of Avatar Avatar: The ExhibitionAvatar: The ExperienceCommunityPublishingPartnershipsShopOur TeamPandorapediaMoreMorefacebook                              twitter                              instagram                              youtube                              “The way of water has no beginning and no end."TsireyaLatest NewsVideoLEGO x Avatar 1 Million+ Brick Diorama | BTSWatch how Idaho Lego User Group and Spacetime Brick Studio brought their community together to bring this stunning diorama to life.News6 Unforgettable Moments from Avatar: The Experience at Cloud Forest Gardens by the BayAvatar: The Experience at Cloud Forest Gardensby the Bay in Singapore is filled with momentsyou’ll remember forever.NewsAvatar: Frontiers of Pandora – New Trailer Reveals Story DetailsLearn more about the hero’s journey and the Na’vi thatcan help you protect Pandora from the RDA.NewsSDCC 2023: Avatar: The High Ground &amp; Avatar: Adapt or Die Creator InterviewPandora returns to San Diego Comic-Con. Learn more about the latest in the world of Avatar in the graphic novel collection Avatar: The High Ground.VideoAvatar: The Way of Water | Streaming on Disney+ June 7. Experience the Academy Award-winning phenomenon streaming on Disney+ June 7. Watch Avatar: The Way of Water at home buy it now on Digital.NewsAvatar: The Way of Water Wins the Academy Award for Best Visual EffectsThe achievement marks the second VFX Academy Award for the franchise following its 2010 win for Avatar."THE UNDERSEA CREATURES OF PANDORA" BONUS EXTRABuy Avatar: The Way of Water on Digital to Watch More Bonus Extras.VideoAvatar: The Way of Water | Unboxing Pandoran Treasures with the CastSIVAKO! Watch as some of the newest cast members rise to the challenge and discover LEGO® and McFarlane products inspired by the new film. See Jack Champion as “Spider” Trinity Jo-Li Bliss as “Tuk” and Bailey Bass as Tsireya in Avatar: The Way of Water in theaters now!AVATAR: THE WAY OF WATER CONCEPT ARTHere's an exclusive look of the Pandoran reef from Dylan Cole.VideoPRODUCTION DESIGNAvatar: The Way of Water Co-Production Designers Dylan Cole &amp; Ben Procter on building Pandora from the ground up.VideoAvatar: The Way of Water | Keep Our Oceans AmazingHelp us keep our oceans amazing. 💙 Create your very own Avatar-inspired ocean creature from now – 7/31/23 and for every creature created in the Virtual Pandoran Ocean Disney will give $5 to The Nature Conservancy. NewsWelcome to the All-New Pandorapedia The Guide to the World of Avatar Just in time for the release of Avatar: The Way of Water a new online guide called Pandorapedia has been launched to unlock the details behind the world of Pandora.NewsDisney twenty-three Journeys to Pandora Going Behind the Scenes of Avatar: The Way of WaterThe Winter issue of Disney twenty-three features dazzling details on Disney100 Years of Wonder plus exclusives on Avatar: The Way of Water and more can't miss movies.NewsAvatar and McFarlane Toys Go Big at D23 ExpoAvatar McFarlane Toys and Lightstorm Entertainment took D23 Expo 2022 by storm showcasing the collaboration with exciting reveals demos and more at Disney's Ultimate Fan Event.NewsD23 Expo Gives Fans an Exciting First Look at Avatar: The Way of WaterAcademy Award–winning director James Cameron producer Jon Landau and the cast of Avatar: The Way of Water graced the Hall D23 stage for a compelling panel conversation.NewsAvatar Video Conference BackgroundsWant to call in from Pandora? Download backgrounds here!NewsAvatar and Dark Horse Comics              Check out the covers for Tsu'tey's Path and The Next Shadow available online and at a comic book retailer near you.             NewsAvatar: ReckoningComing soon - a new mobile MMO set on Pandora from Archosaur Games and Level Infinite.NewsDark Horse and Lightstorm on TwitchGet the inside scoop on all things Avatar: The Next Shadow.NewsIt’s Official: Avatar Returns to Theaters This SeptemberJames Cameron’s record-breaking movie Avatar returns to theaters on September 23 2022. Audiences will get to experience Pandora with a remastered 4K HDR picture.NewsLightstorm Entertainment Disney and McFarlane Toys Reveal the First Look at Stunning New Avatar Collectibles at San Diego Comic-ConAt San Diego Comic-Con 2022 Lightstorm Entertainment Disney and McFarlane Toys gave fans a first look at their exciting collaboration. Todd McFarlane revealed the first two figures from their new line of Avatar collectibles showcasing all of the impressive features.NewsLightstorm Entertainment Disney and the LEGO Group Reveal Immersive New LEGO Avatar SetsAt San Diego Comic-Con 2022 Lightstorm Entertainment Disney and the LEGO Group revealed four new LEGO Avatar sets that will be launching later this year. Two of the sets were showcased on the convention floor giving fans an exciting first look of what's to come with the new LEGO Avatar sets.NewsSigourney Weaver as Kiri graces the subscriber-exclusive cover of Empire MagazineSigourney Weaver plays Jake and Neytiri’s adopted teenage Na’vi daughter in Avatar 2. Experience Avatar: The Way of Water only in theaters December 16.NewsEmpire’s World-Exclusive Avatar: The Way Of Water Cover RevealedThe newsstand cover of Empire Magazine for Avatar: The Way of Water is here. Experience it only in theaters December 16.NewsAn Inside Look at The World of Avatar with Joshua IzzoWe interviewed Joshua Izzo to discuss the gems of the Avatar franchise in his new book The World of Avatar: A Visual Exploration.News5 Facts for Pandora's 5th AnniversaryTo celebrate the 5th anniversary of Pandora – The World of Avatar at Disney’s Animal Kingdom Theme Park take a look at these five facts about the Park.NewsAvatar: The Way of WaterWe officially have a title!NewsThe World of Avatar: A Visual ExplorationNow available for pre-order this book celebrates explores and explains the spectacular world of Pandora—its extraordinary geology flora and fauna and the customs and beliefs of its people the Na’vi.NewsAvatar 2: Meet Spider Jake And Neytiri’s Adopted Human SonA lot has changed on Pandora in the 13-year gap between Avatar and Avatar 2 (arriving in 2022).NewsJames Cameron Opens Up About His Long-Awaited Avatar SequelThe director returns to Pandora with the first of four planned Avatar sequels combining innovative performance-capture and his lifelong love for the ocean.NewsAvatar Producer Teases the Four SequelsExclusive: Jon Landau reveals some of the first Avatar 2 plot details to Total FilmNewsJames Cameron Says Filming On Avatar 2 Is '100 Percent Complete'It's been a long time coming but James Cameron's Avatar sequels are finally close to the finish line.NewsHow Avatar Reclaimed Its Global Box office CrownJames Cameron’s 2009 blockbuster retakes the all-time record from Avengers: Endgame.NewsAvatar 2’s Kate Winslet On Joining James Cameron’s SequelActress Kate Winslet has had an acclaimed film career picking up an Oscar Emmy and other various awards along the way.FacebookMichelle Yeoh Kept Jim Busy Between Set-ups While Filming Avatar 3!NewsCongratulations To James Cameron Jon Landau And All Of Na'vi Nation For Reclaiming The Box Office Crown!We love you 3000.Facebook                                          Twitter                                          Instagram                                          YouTube                                          Terms of UsePrivacy PolicyChildren's Online Privacy PolicyYour US State Privacy RightsAvatar at shopDisneyInterest-Based AdsDo Not Sell or Share My Personal Information©2023 20th Century Studios. JAMES CAMERON'S AVATAR is a trademark of 20th Century Studios. All Rights Reserved.</v>
      </c>
    </row>
    <row r="102">
      <c r="A102" s="1" t="s">
        <v>332</v>
      </c>
      <c r="B102" s="1" t="s">
        <v>370</v>
      </c>
      <c r="C102" s="1" t="s">
        <v>387</v>
      </c>
      <c r="D102" s="1">
        <v>7.0</v>
      </c>
      <c r="E102" s="4" t="s">
        <v>388</v>
      </c>
      <c r="F102" s="1" t="s">
        <v>43</v>
      </c>
      <c r="G102" s="1" t="s">
        <v>385</v>
      </c>
      <c r="H102" s="4" t="s">
        <v>386</v>
      </c>
      <c r="I102" s="2">
        <v>1.0</v>
      </c>
      <c r="J102" s="5" t="str">
        <f>IFERROR(__xludf.DUMMYFUNCTION("GOOGLETRANSLATE(A102)"),"Avatar 2")</f>
        <v>Avatar 2</v>
      </c>
      <c r="K102" s="6" t="str">
        <f>IFERROR(__xludf.DUMMYFUNCTION("GOOGLETRANSLATE(B102)"),"Avatar: The Way of Water")</f>
        <v>Avatar: The Way of Water</v>
      </c>
      <c r="L102" s="5" t="str">
        <f>IFERROR(__xludf.DUMMYFUNCTION("GOOGLETRANSLATE(C102)"),"16 Dec. 2022 -")</f>
        <v>16 Dec. 2022 -</v>
      </c>
      <c r="M102" s="5" t="str">
        <f>IFERROR(__xludf.DUMMYFUNCTION("GOOGLETRANSLATE(G102)"),"Avatar.com | The Official Avatar Website for Avatar NewsSkip NavigationHomeMoviesAvatar: The Way of Water (2022)Avatar (2009)SequelsGames                                                    All Games                       Avatar: Frontiers of PandoraExperi"&amp;"ences                                                    All Experiences                       Pandora - The World of Avatar Avatar: The ExhibitionAvatar: The ExperienceCommunityPublishingPartnershipsShopOur TeamPandorapediaMoreMorefacebook               "&amp;"               twitter                              instagram                              youtube                              “The way of water has no beginning and no end.""TsireyaLatest NewsVideoLEGO x Avatar 1 Million+ Brick Diorama | BTSWatch how Id"&amp;"aho Lego User Group and Spacetime Brick Studio brought their community together to bring this stunning diorama to life.News6 Unforgettable Moments from Avatar: The Experience at Cloud Forest Gardens by the BayAvatar: The Experience at Cloud Forest Gardens"&amp;"by the Bay in Singapore is filled with momentsyou’ll remember forever.NewsAvatar: Frontiers of Pandora – New Trailer Reveals Story DetailsLearn more about the hero’s journey and the Na’vi thatcan help you protect Pandora from the RDA.NewsSDCC 2023: Avatar"&amp;": The High Ground &amp; Avatar: Adapt or Die Creator InterviewPandora returns to San Diego Comic-Con. Learn more about the latest in the world of Avatar in the graphic novel collection Avatar: The High Ground.VideoAvatar: The Way of Water | Streaming on Disne"&amp;"y+ June 7. Experience the Academy Award-winning phenomenon streaming on Disney+ June 7. Watch Avatar: The Way of Water at home buy it now on Digital.NewsAvatar: The Way of Water Wins the Academy Award for Best Visual EffectsThe achievement marks the secon"&amp;"d VFX Academy Award for the franchise following its 2010 win for Avatar.""THE UNDERSEA CREATURES OF PANDORA"" BONUS EXTRABuy Avatar: The Way of Water on Digital to Watch More Bonus Extras.VideoAvatar: The Way of Water | Unboxing Pandoran Treasures with th"&amp;"e CastSIVAKO! Watch as some of the newest cast members rise to the challenge and discover LEGO® and McFarlane products inspired by the new film. See Jack Champion as “Spider” Trinity Jo-Li Bliss as “Tuk” and Bailey Bass as Tsireya in Avatar: The Way of Wa"&amp;"ter in theaters now!AVATAR: THE WAY OF WATER CONCEPT ARTHere's an exclusive look of the Pandoran reef from Dylan Cole.VideoPRODUCTION DESIGNAvatar: The Way of Water Co-Production Designers Dylan Cole &amp; Ben Procter on building Pandora from the ground up.Vi"&amp;"deoAvatar: The Way of Water | Keep Our Oceans AmazingHelp us keep our oceans amazing. 💙 Create your very own Avatar-inspired ocean creature from now – 7/31/23 and for every creature created in the Virtual Pandoran Ocean Disney will give $5 to The Nature "&amp;"Conservancy. NewsWelcome to the All-New Pandorapedia The Guide to the World of Avatar Just in time for the release of Avatar: The Way of Water a new online guide called Pandorapedia has been launched to unlock the details behind the world of Pandora.NewsD"&amp;"isney twenty-three Journeys to Pandora Going Behind the Scenes of Avatar: The Way of WaterThe Winter issue of Disney twenty-three features dazzling details on Disney100 Years of Wonder plus exclusives on Avatar: The Way of Water and more can't miss movies"&amp;".NewsAvatar and McFarlane Toys Go Big at D23 ExpoAvatar McFarlane Toys and Lightstorm Entertainment took D23 Expo 2022 by storm showcasing the collaboration with exciting reveals demos and more at Disney's Ultimate Fan Event.NewsD23 Expo Gives Fans an Exc"&amp;"iting First Look at Avatar: The Way of WaterAcademy Award–winning director James Cameron producer Jon Landau and the cast of Avatar: The Way of Water graced the Hall D23 stage for a compelling panel conversation.NewsAvatar Video Conference BackgroundsWant"&amp;" to call in from Pandora? Download backgrounds here!NewsAvatar and Dark Horse Comics              Check out the covers for Tsu'tey's Path and The Next Shadow available online and at a comic book retailer near you.             NewsAvatar: ReckoningComing s"&amp;"oon - a new mobile MMO set on Pandora from Archosaur Games and Level Infinite.NewsDark Horse and Lightstorm on TwitchGet the inside scoop on all things Avatar: The Next Shadow.NewsIt’s Official: Avatar Returns to Theaters This SeptemberJames Cameron’s rec"&amp;"ord-breaking movie Avatar returns to theaters on September 23 2022. Audiences will get to experience Pandora with a remastered 4K HDR picture.NewsLightstorm Entertainment Disney and McFarlane Toys Reveal the First Look at Stunning New Avatar Collectibles "&amp;"at San Diego Comic-ConAt San Diego Comic-Con 2022 Lightstorm Entertainment Disney and McFarlane Toys gave fans a first look at their exciting collaboration. Todd McFarlane revealed the first two figures from their new line of Avatar collectibles showcasin"&amp;"g all of the impressive features.NewsLightstorm Entertainment Disney and the LEGO Group Reveal Immersive New LEGO Avatar SetsAt San Diego Comic-Con 2022 Lightstorm Entertainment Disney and the LEGO Group revealed four new LEGO Avatar sets that will be lau"&amp;"nching later this year. Two of the sets were showcased on the convention floor giving fans an exciting first look of what's to come with the new LEGO Avatar sets.NewsSigourney Weaver as Kiri graces the subscriber-exclusive cover of Empire MagazineSigourne"&amp;"y Weaver plays Jake and Neytiri’s adopted teenage Na’vi daughter in Avatar 2. Experience Avatar: The Way of Water only in theaters December 16.NewsEmpire’s World-Exclusive Avatar: The Way Of Water Cover RevealedThe newsstand cover of Empire Magazine for A"&amp;"vatar: The Way of Water is here. Experience it only in theaters December 16.NewsAn Inside Look at The World of Avatar with Joshua IzzoWe interviewed Joshua Izzo to discuss the gems of the Avatar franchise in his new book The World of Avatar: A Visual Expl"&amp;"oration.News5 Facts for Pandora's 5th AnniversaryTo celebrate the 5th anniversary of Pandora – The World of Avatar at Disney’s Animal Kingdom Theme Park take a look at these five facts about the Park.NewsAvatar: The Way of WaterWe officially have a title!"&amp;"NewsThe World of Avatar: A Visual ExplorationNow available for pre-order this book celebrates explores and explains the spectacular world of Pandora—its extraordinary geology flora and fauna and the customs and beliefs of its people the Na’vi.NewsAvatar 2"&amp;": Meet Spider Jake And Neytiri’s Adopted Human SonA lot has changed on Pandora in the 13-year gap between Avatar and Avatar 2 (arriving in 2022).NewsJames Cameron Opens Up About His Long-Awaited Avatar SequelThe director returns to Pandora with the first "&amp;"of four planned Avatar sequels combining innovative performance-capture and his lifelong love for the ocean.NewsAvatar Producer Teases the Four SequelsExclusive: Jon Landau reveals some of the first Avatar 2 plot details to Total FilmNewsJames Cameron Say"&amp;"s Filming On Avatar 2 Is '100 Percent Complete'It's been a long time coming but James Cameron's Avatar sequels are finally close to the finish line.NewsHow Avatar Reclaimed Its Global Box office CrownJames Cameron’s 2009 blockbuster retakes the all-time r"&amp;"ecord from Avengers: Endgame.NewsAvatar 2’s Kate Winslet On Joining James Cameron’s SequelActress Kate Winslet has had an acclaimed film career picking up an Oscar Emmy and other various awards along the way.FacebookMichelle Yeoh Kept Jim Busy Between Set"&amp;"-ups While Filming Avatar 3!NewsCongratulations To James Cameron Jon Landau And All Of Na'vi Nation For Reclaiming The Box Office Crown!We love you 3000.Facebook                                          Twitter                                          Ins"&amp;"tagram                                          YouTube                                          Terms of UsePrivacy PolicyChildren's Online Privacy PolicyYour US State Privacy RightsAvatar at shopDisneyInterest-Based AdsDo Not Sell or Share My Personal I"&amp;"nformation©2023 20th Century Studios. JAMES CAMERON'S AVATAR is a trademark of 20th Century Studios. All Rights Reserved.")</f>
        <v>Avatar.com | The Official Avatar Website for Avatar NewsSkip NavigationHomeMoviesAvatar: The Way of Water (2022)Avatar (2009)SequelsGames                                                    All Games                       Avatar: Frontiers of PandoraExperiences                                                    All Experiences                       Pandora - The World of Avatar Avatar: The ExhibitionAvatar: The ExperienceCommunityPublishingPartnershipsShopOur TeamPandorapediaMoreMorefacebook                              twitter                              instagram                              youtube                              “The way of water has no beginning and no end."TsireyaLatest NewsVideoLEGO x Avatar 1 Million+ Brick Diorama | BTSWatch how Idaho Lego User Group and Spacetime Brick Studio brought their community together to bring this stunning diorama to life.News6 Unforgettable Moments from Avatar: The Experience at Cloud Forest Gardens by the BayAvatar: The Experience at Cloud Forest Gardensby the Bay in Singapore is filled with momentsyou’ll remember forever.NewsAvatar: Frontiers of Pandora – New Trailer Reveals Story DetailsLearn more about the hero’s journey and the Na’vi thatcan help you protect Pandora from the RDA.NewsSDCC 2023: Avatar: The High Ground &amp; Avatar: Adapt or Die Creator InterviewPandora returns to San Diego Comic-Con. Learn more about the latest in the world of Avatar in the graphic novel collection Avatar: The High Ground.VideoAvatar: The Way of Water | Streaming on Disney+ June 7. Experience the Academy Award-winning phenomenon streaming on Disney+ June 7. Watch Avatar: The Way of Water at home buy it now on Digital.NewsAvatar: The Way of Water Wins the Academy Award for Best Visual EffectsThe achievement marks the second VFX Academy Award for the franchise following its 2010 win for Avatar."THE UNDERSEA CREATURES OF PANDORA" BONUS EXTRABuy Avatar: The Way of Water on Digital to Watch More Bonus Extras.VideoAvatar: The Way of Water | Unboxing Pandoran Treasures with the CastSIVAKO! Watch as some of the newest cast members rise to the challenge and discover LEGO® and McFarlane products inspired by the new film. See Jack Champion as “Spider” Trinity Jo-Li Bliss as “Tuk” and Bailey Bass as Tsireya in Avatar: The Way of Water in theaters now!AVATAR: THE WAY OF WATER CONCEPT ARTHere's an exclusive look of the Pandoran reef from Dylan Cole.VideoPRODUCTION DESIGNAvatar: The Way of Water Co-Production Designers Dylan Cole &amp; Ben Procter on building Pandora from the ground up.VideoAvatar: The Way of Water | Keep Our Oceans AmazingHelp us keep our oceans amazing. 💙 Create your very own Avatar-inspired ocean creature from now – 7/31/23 and for every creature created in the Virtual Pandoran Ocean Disney will give $5 to The Nature Conservancy. NewsWelcome to the All-New Pandorapedia The Guide to the World of Avatar Just in time for the release of Avatar: The Way of Water a new online guide called Pandorapedia has been launched to unlock the details behind the world of Pandora.NewsDisney twenty-three Journeys to Pandora Going Behind the Scenes of Avatar: The Way of WaterThe Winter issue of Disney twenty-three features dazzling details on Disney100 Years of Wonder plus exclusives on Avatar: The Way of Water and more can't miss movies.NewsAvatar and McFarlane Toys Go Big at D23 ExpoAvatar McFarlane Toys and Lightstorm Entertainment took D23 Expo 2022 by storm showcasing the collaboration with exciting reveals demos and more at Disney's Ultimate Fan Event.NewsD23 Expo Gives Fans an Exciting First Look at Avatar: The Way of WaterAcademy Award–winning director James Cameron producer Jon Landau and the cast of Avatar: The Way of Water graced the Hall D23 stage for a compelling panel conversation.NewsAvatar Video Conference BackgroundsWant to call in from Pandora? Download backgrounds here!NewsAvatar and Dark Horse Comics              Check out the covers for Tsu'tey's Path and The Next Shadow available online and at a comic book retailer near you.             NewsAvatar: ReckoningComing soon - a new mobile MMO set on Pandora from Archosaur Games and Level Infinite.NewsDark Horse and Lightstorm on TwitchGet the inside scoop on all things Avatar: The Next Shadow.NewsIt’s Official: Avatar Returns to Theaters This SeptemberJames Cameron’s record-breaking movie Avatar returns to theaters on September 23 2022. Audiences will get to experience Pandora with a remastered 4K HDR picture.NewsLightstorm Entertainment Disney and McFarlane Toys Reveal the First Look at Stunning New Avatar Collectibles at San Diego Comic-ConAt San Diego Comic-Con 2022 Lightstorm Entertainment Disney and McFarlane Toys gave fans a first look at their exciting collaboration. Todd McFarlane revealed the first two figures from their new line of Avatar collectibles showcasing all of the impressive features.NewsLightstorm Entertainment Disney and the LEGO Group Reveal Immersive New LEGO Avatar SetsAt San Diego Comic-Con 2022 Lightstorm Entertainment Disney and the LEGO Group revealed four new LEGO Avatar sets that will be launching later this year. Two of the sets were showcased on the convention floor giving fans an exciting first look of what's to come with the new LEGO Avatar sets.NewsSigourney Weaver as Kiri graces the subscriber-exclusive cover of Empire MagazineSigourney Weaver plays Jake and Neytiri’s adopted teenage Na’vi daughter in Avatar 2. Experience Avatar: The Way of Water only in theaters December 16.NewsEmpire’s World-Exclusive Avatar: The Way Of Water Cover RevealedThe newsstand cover of Empire Magazine for Avatar: The Way of Water is here. Experience it only in theaters December 16.NewsAn Inside Look at The World of Avatar with Joshua IzzoWe interviewed Joshua Izzo to discuss the gems of the Avatar franchise in his new book The World of Avatar: A Visual Exploration.News5 Facts for Pandora's 5th AnniversaryTo celebrate the 5th anniversary of Pandora – The World of Avatar at Disney’s Animal Kingdom Theme Park take a look at these five facts about the Park.NewsAvatar: The Way of WaterWe officially have a title!NewsThe World of Avatar: A Visual ExplorationNow available for pre-order this book celebrates explores and explains the spectacular world of Pandora—its extraordinary geology flora and fauna and the customs and beliefs of its people the Na’vi.NewsAvatar 2: Meet Spider Jake And Neytiri’s Adopted Human SonA lot has changed on Pandora in the 13-year gap between Avatar and Avatar 2 (arriving in 2022).NewsJames Cameron Opens Up About His Long-Awaited Avatar SequelThe director returns to Pandora with the first of four planned Avatar sequels combining innovative performance-capture and his lifelong love for the ocean.NewsAvatar Producer Teases the Four SequelsExclusive: Jon Landau reveals some of the first Avatar 2 plot details to Total FilmNewsJames Cameron Says Filming On Avatar 2 Is '100 Percent Complete'It's been a long time coming but James Cameron's Avatar sequels are finally close to the finish line.NewsHow Avatar Reclaimed Its Global Box office CrownJames Cameron’s 2009 blockbuster retakes the all-time record from Avengers: Endgame.NewsAvatar 2’s Kate Winslet On Joining James Cameron’s SequelActress Kate Winslet has had an acclaimed film career picking up an Oscar Emmy and other various awards along the way.FacebookMichelle Yeoh Kept Jim Busy Between Set-ups While Filming Avatar 3!NewsCongratulations To James Cameron Jon Landau And All Of Na'vi Nation For Reclaiming The Box Office Crown!We love you 3000.Facebook                                          Twitter                                          Instagram                                          YouTube                                          Terms of UsePrivacy PolicyChildren's Online Privacy PolicyYour US State Privacy RightsAvatar at shopDisneyInterest-Based AdsDo Not Sell or Share My Personal Information©2023 20th Century Studios. JAMES CAMERON'S AVATAR is a trademark of 20th Century Studios. All Rights Reserved.</v>
      </c>
    </row>
    <row r="103">
      <c r="A103" s="1" t="s">
        <v>332</v>
      </c>
      <c r="B103" s="1" t="s">
        <v>389</v>
      </c>
      <c r="C103" s="1" t="s">
        <v>390</v>
      </c>
      <c r="D103" s="1">
        <v>8.0</v>
      </c>
      <c r="E103" s="4" t="s">
        <v>391</v>
      </c>
      <c r="F103" s="1" t="s">
        <v>43</v>
      </c>
      <c r="G103" s="1" t="s">
        <v>273</v>
      </c>
      <c r="H103" s="4" t="s">
        <v>274</v>
      </c>
      <c r="I103" s="2">
        <v>1.0</v>
      </c>
      <c r="J103" s="5" t="str">
        <f>IFERROR(__xludf.DUMMYFUNCTION("GOOGLETRANSLATE(A103)"),"Avatar 2")</f>
        <v>Avatar 2</v>
      </c>
      <c r="K103" s="6" t="str">
        <f>IFERROR(__xludf.DUMMYFUNCTION("GOOGLETRANSLATE(B103)"),"Avatar 2 ~ The Way of Water (@avatar2officialmovie)")</f>
        <v>Avatar 2 ~ The Way of Water (@avatar2officialmovie)</v>
      </c>
      <c r="L103" s="5" t="str">
        <f>IFERROR(__xludf.DUMMYFUNCTION("GOOGLETRANSLATE(C103)"),"43K Followers, 8 Following, 52 Posts - See Instagram photos and videos from Avatar 2 ~ The Way of Water (@avatar2officialmovie)")</f>
        <v>43K Followers, 8 Following, 52 Posts - See Instagram photos and videos from Avatar 2 ~ The Way of Water (@avatar2officialmovie)</v>
      </c>
      <c r="M103" s="5" t="str">
        <f>IFERROR(__xludf.DUMMYFUNCTION("GOOGLETRANSLATE(G103)"),"Update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04">
      <c r="A104" s="1" t="s">
        <v>332</v>
      </c>
      <c r="B104" s="1" t="s">
        <v>373</v>
      </c>
      <c r="D104" s="1">
        <v>167.0</v>
      </c>
      <c r="E104" s="4" t="s">
        <v>392</v>
      </c>
      <c r="F104" s="1" t="s">
        <v>43</v>
      </c>
      <c r="G104" s="1" t="s">
        <v>393</v>
      </c>
      <c r="H104" s="4" t="s">
        <v>394</v>
      </c>
      <c r="I104" s="2">
        <v>1.0</v>
      </c>
      <c r="J104" s="5" t="str">
        <f>IFERROR(__xludf.DUMMYFUNCTION("GOOGLETRANSLATE(A104)"),"Avatar 2")</f>
        <v>Avatar 2</v>
      </c>
      <c r="K104" s="6" t="str">
        <f>IFERROR(__xludf.DUMMYFUNCTION("GOOGLETRANSLATE(B104)"),"Avatar: The Way of Water (2022)")</f>
        <v>Avatar: The Way of Water (2022)</v>
      </c>
      <c r="L104" s="5" t="str">
        <f>IFERROR(__xludf.DUMMYFUNCTION("GOOGLETRANSLATE(C104)"),"#VALUE!")</f>
        <v>#VALUE!</v>
      </c>
      <c r="M104" s="5" t="str">
        <f>IFERROR(__xludf.DUMMYFUNCTION("GOOGLETRANSLATE(G104)"),"Home - Box Office MojoDomesticInternationalWorldwideCalendarAll TimeShowdownsIndicesDailyWeekendWeeklyMonthlyQuarterlyYearlySeasonsHolidaysShortcutsBrandsGenresFranchisesRelease ScheduleTop 2023 MoviesWorldwide 2023All Time (Domestic)All Time (Worldwide) "&amp;"           Release Schedule        November 11 2023TheatersUFC 295 Jones vs. MiocicLimitedTiger 3LimitedNovember 12 2023TheatersAn All-Star Salute to Lee GreenwoodLimitedScarface2023 Re-releaseLimitedNovember 14 2023TheatersMedicine Man: The Stan Brock St"&amp;"oryLimitedNovember 17 2023TheatersNext Goal WinsLimitedThe Hunger Games: The Ballad of Songbirds &amp; SnakesWideBeyond the Aggressives: 25 Years LaterLimitedGood EggLimitedThanksgivingWideDown in Dallas TownLimitedTrolls Band TogetherWideNovember 18 2023Thea"&amp;"tersThe Metropolitan Opera: X - The Life and Times of Malcolm XLimitedNovember 19 2023TheatersSaving Private Ryan25th AnniversaryLimitedNovember 22 2023TheatersThe HoldoversWideMonsterLimitedNapoleonWideMenus Plaisirs - Les TroisgrosLimitedWishWideDecembe"&amp;"r 1 2023TheatersRENAISSANCE: A FILm by BEYONCÉWideCandy Cane LaneLimitedTeddy's ChristmasLimitedAnimalLimitedGodzilla Minus OneLimitedLa SyndicalisteLimitedMore »Latest Dailies                            Mon Nov 6                                          "&amp;"          Tue Nov 7                                                    Wed Nov 8                                                    Thu Nov 9                                                    Fri Nov 10                        2023-11-10Five Nights at Fre"&amp;"ddy's$1199770Killers of the Flower Moon$674606Priscilla$543600After Death$264502The Exorcist: Believer$181390More »Five Nights at Freddy's$1766660Killers of the Flower Moon$1049125Priscilla$833067After Death$363767Radical$298374More »Five Nights at Freddy"&amp;"'s$947635Killers of the Flower Moon$708660Priscilla$591447After Death$250243The Exorcist: Believer$168025More »Five Nights at Freddy's$1085005Priscilla$702525Killers of the Flower Moon$649687Taylor Swift: The Eras Tour$587320The Blind$186428More »The Marv"&amp;"els$21500000Five Nights at Freddy's$3030000Taylor Swift: The Eras Tour$1900000Priscilla$1636173Killers of the Flower Moon$1500000More »        Latest Weekend: Nov 10-12    1Five Nights at Freddy's$9.0Mfalsetrue2Killers of the Flower Moon$5.0Mfalsetrue3The"&amp;" Holdovers$3.0Mfalsetrue4Journey to Bethlehem$2.8Mtruetrue5PAW Patrol: The Mighty Movie$1.6MfalsetrueMore »        Recent Release Date Changes    Untitled DisneyLimitedJul 25 2025→RemovedUnknown TitleLimitedNov 7 2025→RemovedBladeWideFeb 14 2025→Nov 7 202"&amp;"5ThunderboltsLimitedDec 20 2024→Jul 25 2025Captain America: Brave New WorldLimitedJul 26 2024→Feb 14 2025More »        Top 2023 Movies    1Barbie$636.1M-2The Super Mario Bros. Movie$574.9M-3Spider-Man: Across the Spider-Verse$381.3M-4Guardians of the Gala"&amp;"xy Vol. 3$359.0M-5Oppenheimer$325.2M-More »        Worldwide 2023    1Barbie$1.4B-2The Super Mario Bros. Movie$1.4B-3Oppenheimer$949.0M-4Guardians of the Galaxy Vol. 3$845.6M-5Fast X$704.7M-More »Concert Films Showdown29-Day Total:            $16852690129"&amp;"-Day Total:            $69933507VSGran Turismo v. Need for Speed78-Day Total:            $4437633578-Day Total:            $43465568VSMario v. Sonic v. Pikachu220-Day Total:            $574934330220-Day Total:            $146066470VSTeenage Mutant Ninja T"&amp;"urtles Showdown101-Day Total:            $118613586101-Day Total:            $135265915VSMore »            Latest Updates:            News |            Daily |            Weekend |            All Time |            International |            ShowdownsGloss"&amp;"ary            |            User Guide            |            Help            BoxOfficeMojo.com by IMDbPro - an            IMDb            company.                    © IMDb.com Inc. or its affiliates. All rights reserved.            Box Office Mojo and "&amp;"IMDb are trademarks or registered trademarks of IMDb.com Inc. or its affiliates.            Conditions of Use             and             Privacy Policy            under which this service is provided to you.")</f>
        <v>Home - Box Office MojoDomesticInternationalWorldwideCalendarAll TimeShowdownsIndicesDailyWeekendWeeklyMonthlyQuarterlyYearlySeasonsHolidaysShortcutsBrandsGenresFranchisesRelease ScheduleTop 2023 MoviesWorldwide 2023All Time (Domestic)All Time (Worldwide)            Release Schedule        November 11 2023TheatersUFC 295 Jones vs. MiocicLimitedTiger 3LimitedNovember 12 2023TheatersAn All-Star Salute to Lee GreenwoodLimitedScarface2023 Re-releaseLimitedNovember 14 2023TheatersMedicine Man: The Stan Brock StoryLimitedNovember 17 2023TheatersNext Goal WinsLimitedThe Hunger Games: The Ballad of Songbirds &amp; SnakesWideBeyond the Aggressives: 25 Years LaterLimitedGood EggLimitedThanksgivingWideDown in Dallas TownLimitedTrolls Band TogetherWideNovember 18 2023TheatersThe Metropolitan Opera: X - The Life and Times of Malcolm XLimitedNovember 19 2023TheatersSaving Private Ryan25th AnniversaryLimitedNovember 22 2023TheatersThe HoldoversWideMonsterLimitedNapoleonWideMenus Plaisirs - Les TroisgrosLimitedWishWideDecember 1 2023TheatersRENAISSANCE: A FILm by BEYONCÉWideCandy Cane LaneLimitedTeddy's ChristmasLimitedAnimalLimitedGodzilla Minus OneLimitedLa SyndicalisteLimitedMore »Latest Dailies                            Mon Nov 6                                                    Tue Nov 7                                                    Wed Nov 8                                                    Thu Nov 9                                                    Fri Nov 10                        2023-11-10Five Nights at Freddy's$1199770Killers of the Flower Moon$674606Priscilla$543600After Death$264502The Exorcist: Believer$181390More »Five Nights at Freddy's$1766660Killers of the Flower Moon$1049125Priscilla$833067After Death$363767Radical$298374More »Five Nights at Freddy's$947635Killers of the Flower Moon$708660Priscilla$591447After Death$250243The Exorcist: Believer$168025More »Five Nights at Freddy's$1085005Priscilla$702525Killers of the Flower Moon$649687Taylor Swift: The Eras Tour$587320The Blind$186428More »The Marvels$21500000Five Nights at Freddy's$3030000Taylor Swift: The Eras Tour$1900000Priscilla$1636173Killers of the Flower Moon$1500000More »        Latest Weekend: Nov 10-12    1Five Nights at Freddy's$9.0Mfalsetrue2Killers of the Flower Moon$5.0Mfalsetrue3The Holdovers$3.0Mfalsetrue4Journey to Bethlehem$2.8Mtruetrue5PAW Patrol: The Mighty Movie$1.6MfalsetrueMore »        Recent Release Date Changes    Untitled DisneyLimitedJul 25 2025→RemovedUnknown TitleLimitedNov 7 2025→RemovedBladeWideFeb 14 2025→Nov 7 2025ThunderboltsLimitedDec 20 2024→Jul 25 2025Captain America: Brave New WorldLimitedJul 26 2024→Feb 14 2025More »        Top 2023 Movies    1Barbie$636.1M-2The Super Mario Bros. Movie$574.9M-3Spider-Man: Across the Spider-Verse$381.3M-4Guardians of the Galaxy Vol. 3$359.0M-5Oppenheimer$325.2M-More »        Worldwide 2023    1Barbie$1.4B-2The Super Mario Bros. Movie$1.4B-3Oppenheimer$949.0M-4Guardians of the Galaxy Vol. 3$845.6M-5Fast X$704.7M-More »Concert Films Showdown29-Day Total:            $16852690129-Day Total:            $69933507VSGran Turismo v. Need for Speed78-Day Total:            $4437633578-Day Total:            $43465568VSMario v. Sonic v. Pikachu220-Day Total:            $574934330220-Day Total:            $146066470VSTeenage Mutant Ninja Turtles Showdown101-Day Total:            $118613586101-Day Total:            $135265915VSMore »            Latest Updates:            News |            Daily |            Weekend |            All Time |            International |            ShowdownsGlossary            |            User Guide            |            Help            BoxOfficeMojo.com by IMDbPro - an            IMDb            company.                    © IMDb.com Inc. or its affiliates. All rights reserved.            Box Office Mojo and IMDb are trademarks or registered trademarks of IMDb.com Inc. or its affiliates.            Conditions of Use             and             Privacy Policy            under which this service is provided to you.</v>
      </c>
    </row>
    <row r="105">
      <c r="A105" s="1" t="s">
        <v>395</v>
      </c>
      <c r="B105" s="1" t="s">
        <v>396</v>
      </c>
      <c r="C105" s="1" t="s">
        <v>397</v>
      </c>
      <c r="D105" s="1">
        <v>1.0</v>
      </c>
      <c r="E105" s="4" t="s">
        <v>398</v>
      </c>
      <c r="F105" s="1" t="s">
        <v>16</v>
      </c>
      <c r="G105" s="1" t="s">
        <v>399</v>
      </c>
      <c r="H105" s="4" t="s">
        <v>400</v>
      </c>
      <c r="I105" s="2">
        <v>0.0</v>
      </c>
      <c r="J105" s="5" t="str">
        <f>IFERROR(__xludf.DUMMYFUNCTION("GOOGLETRANSLATE(A105)"),"Avito")</f>
        <v>Avito</v>
      </c>
      <c r="K105" s="6" t="str">
        <f>IFERROR(__xludf.DUMMYFUNCTION("GOOGLETRANSLATE(B105)"),"Avito: real estate, transport, work, services, things")</f>
        <v>Avito: real estate, transport, work, services, things</v>
      </c>
      <c r="L105" s="5" t="str">
        <f>IFERROR(__xludf.DUMMYFUNCTION("GOOGLETRANSLATE(C105)"),"On Avito, you can inexpensively buy or profitably sell a car with a mileage or a new car, an apartment and other real estate, as well as a new or used clothing, ...")</f>
        <v>On Avito, you can inexpensively buy or profitably sell a car with a mileage or a new car, an apartment and other real estate, as well as a new or used clothing, ...</v>
      </c>
      <c r="M105" s="5" t="str">
        <f>IFERROR(__xludf.DUMMYFUNCTION("GOOGLETRANSLATE(G105)"),"Avito: Real Estate Transport Work Service Services of Business Association Catalog Catalog and Registration to annoy the advent of categories of workshops of the house and dachas and accessories and accessories of all the regional-adults and equipment. Ar"&amp;"ykhobbia vacation of lifetime business businesses equipment for the service-nickname of homepage dachadroitivaries of children's lives of health, health-tasty-adherents-work-deeds, Office-General General Minute Business Equiples of the Service-Homes of Da"&amp;"chiRodi-Lifth Children Furniture game and prizes from Aviter's recommendation on the Avitoporay “Lizaalet” help from an avithic in a cages to the cage, we will get a florista prepare the house for Zimekuda to go to November 5W-40 4 l from 999 ₽ Braching t"&amp;"he hairy from Omod-verbal apartment to find housing. Eluccessing Student Training Institution for Student Machines for Haircutsiphone 15 on Avit -verbal housing for the driftal prize of Omodashkaf for the home we Anquarium for hockey services for evacuama"&amp;"l payments for the 1st day of Nike -heating aromatic renewal of machine -tree jetta for the release of silence in the apartment. Forestry from the branded -collector furnitel -correction of Breyirepeter mathematician machine -winners to the hostel to work"&amp;" and study: the trends are darkened The houses for the apartment for the autumn-lane for any tasks for Komtransanedorous new shinos rods for new building recommendations for Vaso-guard 1,500 ₽ River Station2-K. Apartment 698 m² 9/10 et. 4 900 000 ₽ Kaspiy"&amp;"skskskemic 1300 m²400 ₽ per month per m² Vladivostovok Pervomaisky District 500 m² in a section of 15 hundred ₽ per day-Kamchatka Luke is not indicated by the Leninskoye Poloprieclop. ₽ C VatSrasnoyarsk District Centrallinoleum1 000 ₽ PPROMMAMA ORDZHONICI"&amp;"DSEVSKYAMI POCO M5S 4/128 GB10 000 ₽ Marshal Koveshkinad 811 m² on the site 9 hundredth 500 000 ₽d. Small Elakadapodarny set1 350 ₽Abakanbugatti divo 8.0 AMT 2021 600 km1 120 000 000 $. Barvihalixiang L9 1.5 AT 2023 10 km7 500 000 ₽ Kashirskaya2-K. Apartm"&amp;"ent 40 m² 1/2 floor 2 800 000 ₽. Batyre-free destination 74 m²5 669 900 ₽habarovsk district Zheleznodorozhny ""Blue Tractor"". Give children emotions110 ₽ span Sverdlovskiyrenault Logan 1.4 mt 2006 300 000 km280 000 ₽ Costoma rn Central Complex Plants400 "&amp;"₽ KELLOVISTARY RN500 ₽ Irkutsk district Oktyabrsky Busmoshaka BM-160p to the central din 4605 m² on the site 85 hundred. 42 607 816 ₽Pos. The youth oven of building garbage with a cargo-shock 3 500 ₽angarsk rn Microdistrict Aeroflot200 ₽ Belyaevsingonium "&amp;"vendlandi250 ₽ River of the loader Leninsky Vacancy. Code: VA883ot 37 728 ₽ Krasnoyarsk district Oktyabrsky corpus3 000 ₽ Khovosibirsk SNT Buildmashevsky district Pervomaisky 90 m² on a plot 4 hundredth 200 000 ₽ Zlatomatoma of scrap metal. Disorder 1 ₽ B"&amp;"elibais (m/w) for work without experience (watch watch ) from 150 000 2. ₽ Novgorod rn Priokmr3-player Walkman Sony NWZ-B172F2 000 ₽ Novgorod Burnakovskaya Trinakovtoriystvotolimotocyls and motor vehicles and special equipment of the vehicle and accessory"&amp;"-designate vegetables and vidomotions for computeriga for computers Red prefixes and program -tobooking computers of photographs and electronic books of organization and consumables for accommodation of housing for a long time for long -term real estate c"&amp;"ategories ofhobbies and rest and travels of the bore -nigrics and magazine -collection -in -laws -in -law tools and fishing cards and vacation work and work as an employee of the house and dachiremont and the construction of the mixture and interior equip"&amp;"ment of the supply of a place of place to the kitchen business and equipment of the preparation business equipment for business services. For animal -sheet -shells, accessories and shoes for children and toy -toys and health and adolescence load the Avito"&amp;"va application immediately find out immediately If the message comes, a new offer appears in the chosen one or someone will buy your product with delivery. VOVTTTGAVITO-a website of the advertisements of Russia. © KEH EKOMMERTS LLC 2007–2023. Avito rules."&amp;" Data processing policy. Avito uses recommendation technologies. To disseminate the announcement of the help of the number of Identity advertising on the site of the company Courara -Avito journal blogging benefits")</f>
        <v>Avito: Real Estate Transport Work Service Services of Business Association Catalog Catalog and Registration to annoy the advent of categories of workshops of the house and dachas and accessories and accessories of all the regional-adults and equipment. Arykhobbia vacation of lifetime business businesses equipment for the service-nickname of homepage dachadroitivaries of children's lives of health, health-tasty-adherents-work-deeds, Office-General General Minute Business Equiples of the Service-Homes of DachiRodi-Lifth Children Furniture game and prizes from Aviter's recommendation on the Avitoporay “Lizaalet” help from an avithic in a cages to the cage, we will get a florista prepare the house for Zimekuda to go to November 5W-40 4 l from 999 ₽ Braching the hairy from Omod-verbal apartment to find housing. Eluccessing Student Training Institution for Student Machines for Haircutsiphone 15 on Avit -verbal housing for the driftal prize of Omodashkaf for the home we Anquarium for hockey services for evacuamal payments for the 1st day of Nike -heating aromatic renewal of machine -tree jetta for the release of silence in the apartment. Forestry from the branded -collector furnitel -correction of Breyirepeter mathematician machine -winners to the hostel to work and study: the trends are darkened The houses for the apartment for the autumn-lane for any tasks for Komtransanedorous new shinos rods for new building recommendations for Vaso-guard 1,500 ₽ River Station2-K. Apartment 698 m² 9/10 et. 4 900 000 ₽ Kaspiyskskskemic 1300 m²400 ₽ per month per m² Vladivostovok Pervomaisky District 500 m² in a section of 15 hundred ₽ per day-Kamchatka Luke is not indicated by the Leninskoye Poloprieclop. ₽ C VatSrasnoyarsk District Centrallinoleum1 000 ₽ PPROMMAMA ORDZHONICIDSEVSKYAMI POCO M5S 4/128 GB10 000 ₽ Marshal Koveshkinad 811 m² on the site 9 hundredth 500 000 ₽d. Small Elakadapodarny set1 350 ₽Abakanbugatti divo 8.0 AMT 2021 600 km1 120 000 000 $. Barvihalixiang L9 1.5 AT 2023 10 km7 500 000 ₽ Kashirskaya2-K. Apartment 40 m² 1/2 floor 2 800 000 ₽. Batyre-free destination 74 m²5 669 900 ₽habarovsk district Zheleznodorozhny "Blue Tractor". Give children emotions110 ₽ span Sverdlovskiyrenault Logan 1.4 mt 2006 300 000 km280 000 ₽ Costoma rn Central Complex Plants400 ₽ KELLOVISTARY RN500 ₽ Irkutsk district Oktyabrsky Busmoshaka BM-160p to the central din 4605 m² on the site 85 hundred. 42 607 816 ₽Pos. The youth oven of building garbage with a cargo-shock 3 500 ₽angarsk rn Microdistrict Aeroflot200 ₽ Belyaevsingonium vendlandi250 ₽ River of the loader Leninsky Vacancy. Code: VA883ot 37 728 ₽ Krasnoyarsk district Oktyabrsky corpus3 000 ₽ Khovosibirsk SNT Buildmashevsky district Pervomaisky 90 m² on a plot 4 hundredth 200 000 ₽ Zlatomatoma of scrap metal. Disorder 1 ₽ Belibais (m/w) for work without experience (watch watch ) from 150 000 2. ₽ Novgorod rn Priokmr3-player Walkman Sony NWZ-B172F2 000 ₽ Novgorod Burnakovskaya Trinakovtoriystvotolimotocyls and motor vehicles and special equipment of the vehicle and accessory-designate vegetables and vidomotions for computeriga for computers Red prefixes and program -tobooking computers of photographs and electronic books of organization and consumables for accommodation of housing for a long time for long -term real estate categories ofhobbies and rest and travels of the bore -nigrics and magazine -collection -in -laws -in -law tools and fishing cards and vacation work and work as an employee of the house and dachiremont and the construction of the mixture and interior equipment of the supply of a place of place to the kitchen business and equipment of the preparation business equipment for business services. For animal -sheet -shells, accessories and shoes for children and toy -toys and health and adolescence load the Avitova application immediately find out immediately If the message comes, a new offer appears in the chosen one or someone will buy your product with delivery. VOVTTTGAVITO-a website of the advertisements of Russia. © KEH EKOMMERTS LLC 2007–2023. Avito rules. Data processing policy. Avito uses recommendation technologies. To disseminate the announcement of the help of the number of Identity advertising on the site of the company Courara -Avito journal blogging benefits</v>
      </c>
    </row>
    <row r="106">
      <c r="A106" s="1" t="s">
        <v>395</v>
      </c>
      <c r="B106" s="1" t="s">
        <v>401</v>
      </c>
      <c r="C106" s="1" t="s">
        <v>402</v>
      </c>
      <c r="D106" s="1">
        <v>2.0</v>
      </c>
      <c r="E106" s="4" t="s">
        <v>403</v>
      </c>
      <c r="F106" s="1" t="s">
        <v>16</v>
      </c>
      <c r="G106" s="1" t="s">
        <v>399</v>
      </c>
      <c r="H106" s="4" t="s">
        <v>400</v>
      </c>
      <c r="I106" s="2">
        <v>0.0</v>
      </c>
      <c r="J106" s="5" t="str">
        <f>IFERROR(__xludf.DUMMYFUNCTION("GOOGLETRANSLATE(A106)"),"Avito")</f>
        <v>Avito</v>
      </c>
      <c r="K106" s="6" t="str">
        <f>IFERROR(__xludf.DUMMYFUNCTION("GOOGLETRANSLATE(B106)"),"Ads on the website of Avito")</f>
        <v>Ads on the website of Avito</v>
      </c>
      <c r="L106" s="5" t="str">
        <f>IFERROR(__xludf.DUMMYFUNCTION("GOOGLETRANSLATE(C106)"),"Avito - ads on the Avito website.")</f>
        <v>Avito - ads on the Avito website.</v>
      </c>
      <c r="M106" s="5" t="str">
        <f>IFERROR(__xludf.DUMMYFUNCTION("GOOGLETRANSLATE(G106)"),"Avito: Real Estate Transport Work Service Services of Business Association Catalog Catalog and Registration to annoy the advent of categories of workshops of the house and dachas and accessories and accessories of all the regional-adults and equipment. Ar"&amp;"ykhobbia vacation of lifetime business businesses equipment for the service-nickname of homepage dachadroitivaries of children's lives of health, health-tasty-adherents-work-deeds, Office-General General Minute Business Equiples of the Service-Homes of Da"&amp;"chiRodi-Lifth Children Furniture game and prizes from Aviter's recommendation on the Avitoporay “Lizaalet” help from an avithic in a cages to the cage, we will get a florista prepare the house for Zimekuda to go to November 5W-40 4 l from 999 ₽ Braching t"&amp;"he hairy from Omod-verbal apartment to find housing. Eluccessing Student Training Institution for Student Machines for Haircutsiphone 15 on Avit -verbal housing for the driftal prize of Omodashkaf for the home we Anquarium for hockey services for evacuama"&amp;"l payments for the 1st day of Nike -heating aromatic renewal of machine -tree jetta for the release of silence in the apartment. Forestry from the branded -collector furnitel -correction of Breyirepeter mathematician machine -winners to the hostel to work"&amp;" and study: the trends are darkened The houses for the apartment for the autumn-lane for any tasks for Komtransanedorous new shinos rods for new building recommendations for Vaso-guard 1,500 ₽ River Station2-K. Apartment 698 m² 9/10 et. 4 900 000 ₽ Kaspiy"&amp;"skskskemic 1300 m²400 ₽ per month per m² Vladivostovok Pervomaisky District 500 m² in a section of 15 hundred ₽ per day-Kamchatka Luke is not indicated by the Leninskoye Poloprieclop. ₽ C VatSrasnoyarsk District Centrallinoleum1 000 ₽ PPROMMAMA ORDZHONICI"&amp;"DSEVSKYAMI POCO M5S 4/128 GB10 000 ₽ Marshal Koveshkinad 811 m² on the site 9 hundredth 500 000 ₽d. Small Elakadapodarny set1 350 ₽Abakanbugatti divo 8.0 AMT 2021 600 km1 120 000 000 $. Barvihalixiang L9 1.5 AT 2023 10 km7 500 000 ₽ Kashirskaya2-K. Apartm"&amp;"ent 40 m² 1/2 floor 2 800 000 ₽. Batyre-free destination 74 m²5 669 900 ₽habarovsk district Zheleznodorozhny ""Blue Tractor"". Give children emotions110 ₽ span Sverdlovskiyrenault Logan 1.4 mt 2006 300 000 km280 000 ₽ Costoma rn Central Complex Plants400 "&amp;"₽ KELLOVISTARY RN500 ₽ Irkutsk district Oktyabrsky Busmoshaka BM-160p to the central din 4605 m² on the site 85 hundred. 42 607 816 ₽Pos. The youth oven of building garbage with a cargo-shock 3 500 ₽angarsk rn Microdistrict Aeroflot200 ₽ Belyaevsingonium "&amp;"vendlandi250 ₽ River of the loader Leninsky Vacancy. Code: VA883ot 37 728 ₽ Krasnoyarsk district Oktyabrsky corpus3 000 ₽ Khovosibirsk SNT Buildmashevsky district Pervomaisky 90 m² on a plot 4 hundredth 200 000 ₽ Zlatomatoma of scrap metal. Disorder 1 ₽ B"&amp;"elibais (m/w) for work without experience (watch watch ) from 150 000 2. ₽ Novgorod rn Priokmr3-player Walkman Sony NWZ-B172F2 000 ₽ Novgorod Burnakovskaya Trinakovtoriystvotolimotocyls and motor vehicles and special equipment of the vehicle and accessory"&amp;"-designate vegetables and vidomotions for computeriga for computers Red prefixes and program -tobooking computers of photographs and electronic books of organization and consumables for accommodation of housing for a long time for long -term real estate c"&amp;"ategories ofhobbies and rest and travels of the bore -nigrics and magazine -collection -in -laws -in -law tools and fishing cards and vacation work and work as an employee of the house and dachiremont and the construction of the mixture and interior equip"&amp;"ment of the supply of a place of place to the kitchen business and equipment of the preparation business equipment for business services. For animal -sheet -shells, accessories and shoes for children and toy -toys and health and adolescence load the Avito"&amp;"va application immediately find out immediately If the message comes, a new offer appears in the chosen one or someone will buy your product with delivery. VOVTTTGAVITO-a website of the advertisements of Russia. © KEH EKOMMERTS LLC 2007–2023. Avito rules."&amp;" Data processing policy. Avito uses recommendation technologies. To disseminate the announcement of the help of the number of Identity advertising on the site of the company Courara -Avito journal blogging benefits")</f>
        <v>Avito: Real Estate Transport Work Service Services of Business Association Catalog Catalog and Registration to annoy the advent of categories of workshops of the house and dachas and accessories and accessories of all the regional-adults and equipment. Arykhobbia vacation of lifetime business businesses equipment for the service-nickname of homepage dachadroitivaries of children's lives of health, health-tasty-adherents-work-deeds, Office-General General Minute Business Equiples of the Service-Homes of DachiRodi-Lifth Children Furniture game and prizes from Aviter's recommendation on the Avitoporay “Lizaalet” help from an avithic in a cages to the cage, we will get a florista prepare the house for Zimekuda to go to November 5W-40 4 l from 999 ₽ Braching the hairy from Omod-verbal apartment to find housing. Eluccessing Student Training Institution for Student Machines for Haircutsiphone 15 on Avit -verbal housing for the driftal prize of Omodashkaf for the home we Anquarium for hockey services for evacuamal payments for the 1st day of Nike -heating aromatic renewal of machine -tree jetta for the release of silence in the apartment. Forestry from the branded -collector furnitel -correction of Breyirepeter mathematician machine -winners to the hostel to work and study: the trends are darkened The houses for the apartment for the autumn-lane for any tasks for Komtransanedorous new shinos rods for new building recommendations for Vaso-guard 1,500 ₽ River Station2-K. Apartment 698 m² 9/10 et. 4 900 000 ₽ Kaspiyskskskemic 1300 m²400 ₽ per month per m² Vladivostovok Pervomaisky District 500 m² in a section of 15 hundred ₽ per day-Kamchatka Luke is not indicated by the Leninskoye Poloprieclop. ₽ C VatSrasnoyarsk District Centrallinoleum1 000 ₽ PPROMMAMA ORDZHONICIDSEVSKYAMI POCO M5S 4/128 GB10 000 ₽ Marshal Koveshkinad 811 m² on the site 9 hundredth 500 000 ₽d. Small Elakadapodarny set1 350 ₽Abakanbugatti divo 8.0 AMT 2021 600 km1 120 000 000 $. Barvihalixiang L9 1.5 AT 2023 10 km7 500 000 ₽ Kashirskaya2-K. Apartment 40 m² 1/2 floor 2 800 000 ₽. Batyre-free destination 74 m²5 669 900 ₽habarovsk district Zheleznodorozhny "Blue Tractor". Give children emotions110 ₽ span Sverdlovskiyrenault Logan 1.4 mt 2006 300 000 km280 000 ₽ Costoma rn Central Complex Plants400 ₽ KELLOVISTARY RN500 ₽ Irkutsk district Oktyabrsky Busmoshaka BM-160p to the central din 4605 m² on the site 85 hundred. 42 607 816 ₽Pos. The youth oven of building garbage with a cargo-shock 3 500 ₽angarsk rn Microdistrict Aeroflot200 ₽ Belyaevsingonium vendlandi250 ₽ River of the loader Leninsky Vacancy. Code: VA883ot 37 728 ₽ Krasnoyarsk district Oktyabrsky corpus3 000 ₽ Khovosibirsk SNT Buildmashevsky district Pervomaisky 90 m² on a plot 4 hundredth 200 000 ₽ Zlatomatoma of scrap metal. Disorder 1 ₽ Belibais (m/w) for work without experience (watch watch ) from 150 000 2. ₽ Novgorod rn Priokmr3-player Walkman Sony NWZ-B172F2 000 ₽ Novgorod Burnakovskaya Trinakovtoriystvotolimotocyls and motor vehicles and special equipment of the vehicle and accessory-designate vegetables and vidomotions for computeriga for computers Red prefixes and program -tobooking computers of photographs and electronic books of organization and consumables for accommodation of housing for a long time for long -term real estate categories ofhobbies and rest and travels of the bore -nigrics and magazine -collection -in -laws -in -law tools and fishing cards and vacation work and work as an employee of the house and dachiremont and the construction of the mixture and interior equipment of the supply of a place of place to the kitchen business and equipment of the preparation business equipment for business services. For animal -sheet -shells, accessories and shoes for children and toy -toys and health and adolescence load the Avitova application immediately find out immediately If the message comes, a new offer appears in the chosen one or someone will buy your product with delivery. VOVTTTGAVITO-a website of the advertisements of Russia. © KEH EKOMMERTS LLC 2007–2023. Avito rules. Data processing policy. Avito uses recommendation technologies. To disseminate the announcement of the help of the number of Identity advertising on the site of the company Courara -Avito journal blogging benefits</v>
      </c>
    </row>
    <row r="107">
      <c r="A107" s="1" t="s">
        <v>395</v>
      </c>
      <c r="B107" s="1" t="s">
        <v>404</v>
      </c>
      <c r="C107" s="1" t="s">
        <v>397</v>
      </c>
      <c r="D107" s="1">
        <v>3.0</v>
      </c>
      <c r="E107" s="4" t="s">
        <v>405</v>
      </c>
      <c r="F107" s="1" t="s">
        <v>16</v>
      </c>
      <c r="G107" s="1" t="s">
        <v>399</v>
      </c>
      <c r="H107" s="4" t="s">
        <v>400</v>
      </c>
      <c r="I107" s="2">
        <v>0.0</v>
      </c>
      <c r="J107" s="5" t="str">
        <f>IFERROR(__xludf.DUMMYFUNCTION("GOOGLETRANSLATE(A107)"),"Avito")</f>
        <v>Avito</v>
      </c>
      <c r="K107" s="6" t="str">
        <f>IFERROR(__xludf.DUMMYFUNCTION("GOOGLETRANSLATE(B107)"),"Real estate, transport, work, services, things")</f>
        <v>Real estate, transport, work, services, things</v>
      </c>
      <c r="L107" s="5" t="str">
        <f>IFERROR(__xludf.DUMMYFUNCTION("GOOGLETRANSLATE(C107)"),"On Avito, you can inexpensively buy or profitably sell a car with a mileage or a new car, an apartment and other real estate, as well as a new or used clothing, ...")</f>
        <v>On Avito, you can inexpensively buy or profitably sell a car with a mileage or a new car, an apartment and other real estate, as well as a new or used clothing, ...</v>
      </c>
      <c r="M107" s="5" t="str">
        <f>IFERROR(__xludf.DUMMYFUNCTION("GOOGLETRANSLATE(G107)"),"Avito: Real Estate Transport Work Service Services of Business Association Catalog Catalog and Registration to annoy the advent of categories of workshops of the house and dachas and accessories and accessories of all the regional-adults and equipment. Ar"&amp;"ykhobbia vacation of lifetime business businesses equipment for the service-nickname of homepage dachadroitivaries of children's lives of health, health-tasty-adherents-work-deeds, Office-General General Minute Business Equiples of the Service-Homes of Da"&amp;"chiRodi-Lifth Children Furniture game and prizes from Aviter's recommendation on the Avitoporay “Lizaalet” help from an avithic in a cages to the cage, we will get a florista prepare the house for Zimekuda to go to November 5W-40 4 l from 999 ₽ Braching t"&amp;"he hairy from Omod-verbal apartment to find housing. Eluccessing Student Training Institution for Student Machines for Haircutsiphone 15 on Avit -verbal housing for the driftal prize of Omodashkaf for the home we Anquarium for hockey services for evacuama"&amp;"l payments for the 1st day of Nike -heating aromatic renewal of machine -tree jetta for the release of silence in the apartment. Forestry from the branded -collector furnitel -correction of Breyirepeter mathematician machine -winners to the hostel to work"&amp;" and study: the trends are darkened The houses for the apartment for the autumn-lane for any tasks for Komtransanedorous new shinos rods for new building recommendations for Vaso-guard 1,500 ₽ River Station2-K. Apartment 698 m² 9/10 et. 4 900 000 ₽ Kaspiy"&amp;"skskskemic 1300 m²400 ₽ per month per m² Vladivostovok Pervomaisky District 500 m² in a section of 15 hundred ₽ per day-Kamchatka Luke is not indicated by the Leninskoye Poloprieclop. ₽ C VatSrasnoyarsk District Centrallinoleum1 000 ₽ PPROMMAMA ORDZHONICI"&amp;"DSEVSKYAMI POCO M5S 4/128 GB10 000 ₽ Marshal Koveshkinad 811 m² on the site 9 hundredth 500 000 ₽d. Small Elakadapodarny set1 350 ₽Abakanbugatti divo 8.0 AMT 2021 600 km1 120 000 000 $. Barvihalixiang L9 1.5 AT 2023 10 km7 500 000 ₽ Kashirskaya2-K. Apartm"&amp;"ent 40 m² 1/2 floor 2 800 000 ₽. Batyre-free destination 74 m²5 669 900 ₽habarovsk district Zheleznodorozhny ""Blue Tractor"". Give children emotions110 ₽ span Sverdlovskiyrenault Logan 1.4 mt 2006 300 000 km280 000 ₽ Costoma rn Central Complex Plants400 "&amp;"₽ KELLOVISTARY RN500 ₽ Irkutsk district Oktyabrsky Busmoshaka BM-160p to the central din 4605 m² on the site 85 hundred. 42 607 816 ₽Pos. The youth oven of building garbage with a cargo-shock 3 500 ₽angarsk rn Microdistrict Aeroflot200 ₽ Belyaevsingonium "&amp;"vendlandi250 ₽ River of the loader Leninsky Vacancy. Code: VA883ot 37 728 ₽ Krasnoyarsk district Oktyabrsky corpus3 000 ₽ Khovosibirsk SNT Buildmashevsky district Pervomaisky 90 m² on a plot 4 hundredth 200 000 ₽ Zlatomatoma of scrap metal. Disorder 1 ₽ B"&amp;"elibais (m/w) for work without experience (watch watch ) from 150 000 2. ₽ Novgorod rn Priokmr3-player Walkman Sony NWZ-B172F2 000 ₽ Novgorod Burnakovskaya Trinakovtoriystvotolimotocyls and motor vehicles and special equipment of the vehicle and accessory"&amp;"-designate vegetables and vidomotions for computeriga for computers Red prefixes and program -tobooking computers of photographs and electronic books of organization and consumables for accommodation of housing for a long time for long -term real estate c"&amp;"ategories ofhobbies and rest and travels of the bore -nigrics and magazine -collection -in -laws -in -law tools and fishing cards and vacation work and work as an employee of the house and dachiremont and the construction of the mixture and interior equip"&amp;"ment of the supply of a place of place to the kitchen business and equipment of the preparation business equipment for business services. For animal -sheet -shells, accessories and shoes for children and toy -toys and health and adolescence load the Avito"&amp;"va application immediately find out immediately If the message comes, a new offer appears in the chosen one or someone will buy your product with delivery. VOVTTTGAVITO-a website of the advertisements of Russia. © KEH EKOMMERTS LLC 2007–2023. Avito rules."&amp;" Data processing policy. Avito uses recommendation technologies. To disseminate the announcement of the help of the number of Identity advertising on the site of the company Courara -Avito journal blogging benefits")</f>
        <v>Avito: Real Estate Transport Work Service Services of Business Association Catalog Catalog and Registration to annoy the advent of categories of workshops of the house and dachas and accessories and accessories of all the regional-adults and equipment. Arykhobbia vacation of lifetime business businesses equipment for the service-nickname of homepage dachadroitivaries of children's lives of health, health-tasty-adherents-work-deeds, Office-General General Minute Business Equiples of the Service-Homes of DachiRodi-Lifth Children Furniture game and prizes from Aviter's recommendation on the Avitoporay “Lizaalet” help from an avithic in a cages to the cage, we will get a florista prepare the house for Zimekuda to go to November 5W-40 4 l from 999 ₽ Braching the hairy from Omod-verbal apartment to find housing. Eluccessing Student Training Institution for Student Machines for Haircutsiphone 15 on Avit -verbal housing for the driftal prize of Omodashkaf for the home we Anquarium for hockey services for evacuamal payments for the 1st day of Nike -heating aromatic renewal of machine -tree jetta for the release of silence in the apartment. Forestry from the branded -collector furnitel -correction of Breyirepeter mathematician machine -winners to the hostel to work and study: the trends are darkened The houses for the apartment for the autumn-lane for any tasks for Komtransanedorous new shinos rods for new building recommendations for Vaso-guard 1,500 ₽ River Station2-K. Apartment 698 m² 9/10 et. 4 900 000 ₽ Kaspiyskskskemic 1300 m²400 ₽ per month per m² Vladivostovok Pervomaisky District 500 m² in a section of 15 hundred ₽ per day-Kamchatka Luke is not indicated by the Leninskoye Poloprieclop. ₽ C VatSrasnoyarsk District Centrallinoleum1 000 ₽ PPROMMAMA ORDZHONICIDSEVSKYAMI POCO M5S 4/128 GB10 000 ₽ Marshal Koveshkinad 811 m² on the site 9 hundredth 500 000 ₽d. Small Elakadapodarny set1 350 ₽Abakanbugatti divo 8.0 AMT 2021 600 km1 120 000 000 $. Barvihalixiang L9 1.5 AT 2023 10 km7 500 000 ₽ Kashirskaya2-K. Apartment 40 m² 1/2 floor 2 800 000 ₽. Batyre-free destination 74 m²5 669 900 ₽habarovsk district Zheleznodorozhny "Blue Tractor". Give children emotions110 ₽ span Sverdlovskiyrenault Logan 1.4 mt 2006 300 000 km280 000 ₽ Costoma rn Central Complex Plants400 ₽ KELLOVISTARY RN500 ₽ Irkutsk district Oktyabrsky Busmoshaka BM-160p to the central din 4605 m² on the site 85 hundred. 42 607 816 ₽Pos. The youth oven of building garbage with a cargo-shock 3 500 ₽angarsk rn Microdistrict Aeroflot200 ₽ Belyaevsingonium vendlandi250 ₽ River of the loader Leninsky Vacancy. Code: VA883ot 37 728 ₽ Krasnoyarsk district Oktyabrsky corpus3 000 ₽ Khovosibirsk SNT Buildmashevsky district Pervomaisky 90 m² on a plot 4 hundredth 200 000 ₽ Zlatomatoma of scrap metal. Disorder 1 ₽ Belibais (m/w) for work without experience (watch watch ) from 150 000 2. ₽ Novgorod rn Priokmr3-player Walkman Sony NWZ-B172F2 000 ₽ Novgorod Burnakovskaya Trinakovtoriystvotolimotocyls and motor vehicles and special equipment of the vehicle and accessory-designate vegetables and vidomotions for computeriga for computers Red prefixes and program -tobooking computers of photographs and electronic books of organization and consumables for accommodation of housing for a long time for long -term real estate categories ofhobbies and rest and travels of the bore -nigrics and magazine -collection -in -laws -in -law tools and fishing cards and vacation work and work as an employee of the house and dachiremont and the construction of the mixture and interior equipment of the supply of a place of place to the kitchen business and equipment of the preparation business equipment for business services. For animal -sheet -shells, accessories and shoes for children and toy -toys and health and adolescence load the Avitova application immediately find out immediately If the message comes, a new offer appears in the chosen one or someone will buy your product with delivery. VOVTTTGAVITO-a website of the advertisements of Russia. © KEH EKOMMERTS LLC 2007–2023. Avito rules. Data processing policy. Avito uses recommendation technologies. To disseminate the announcement of the help of the number of Identity advertising on the site of the company Courara -Avito journal blogging benefits</v>
      </c>
    </row>
    <row r="108">
      <c r="A108" s="1" t="s">
        <v>395</v>
      </c>
      <c r="B108" s="1" t="s">
        <v>406</v>
      </c>
      <c r="C108" s="1" t="s">
        <v>407</v>
      </c>
      <c r="D108" s="1">
        <v>4.0</v>
      </c>
      <c r="E108" s="4" t="s">
        <v>408</v>
      </c>
      <c r="F108" s="1" t="s">
        <v>16</v>
      </c>
      <c r="G108" s="1" t="s">
        <v>120</v>
      </c>
      <c r="H108" s="4" t="s">
        <v>121</v>
      </c>
      <c r="I108" s="2">
        <v>0.0</v>
      </c>
      <c r="J108" s="5" t="str">
        <f>IFERROR(__xludf.DUMMYFUNCTION("GOOGLETRANSLATE(A108)"),"Avito")</f>
        <v>Avito</v>
      </c>
      <c r="K108" s="6" t="str">
        <f>IFERROR(__xludf.DUMMYFUNCTION("GOOGLETRANSLATE(B108)"),"Avito: apartments, cars, work - Apps on Google Play")</f>
        <v>Avito: apartments, cars, work - Apps on Google Play</v>
      </c>
      <c r="L108" s="5" t="str">
        <f>IFERROR(__xludf.DUMMYFUNCTION("GOOGLETRANSLATE(C108)"),"Avito is millions of ads throughout Russia. What to sell or do, for how much and to whom - users themselves decide. Buy profitably.")</f>
        <v>Avito is millions of ads throughout Russia. What to sell or do, for how much and to whom - users themselves decide. Buy profitably.</v>
      </c>
      <c r="M108" s="5" t="str">
        <f>IFERROR(__xludf.DUMMYFUNCTION("GOOGLETRANSLATE(G108)"),"Android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09">
      <c r="A109" s="1" t="s">
        <v>395</v>
      </c>
      <c r="B109" s="1" t="s">
        <v>409</v>
      </c>
      <c r="C109" s="1" t="s">
        <v>410</v>
      </c>
      <c r="D109" s="1">
        <v>5.0</v>
      </c>
      <c r="E109" s="4" t="s">
        <v>411</v>
      </c>
      <c r="F109" s="1" t="s">
        <v>16</v>
      </c>
      <c r="G109" s="1" t="s">
        <v>34</v>
      </c>
      <c r="H109" s="4" t="s">
        <v>35</v>
      </c>
      <c r="I109" s="2">
        <v>4.0</v>
      </c>
      <c r="J109" s="5" t="str">
        <f>IFERROR(__xludf.DUMMYFUNCTION("GOOGLETRANSLATE(A109)"),"Avito")</f>
        <v>Avito</v>
      </c>
      <c r="K109" s="6" t="str">
        <f>IFERROR(__xludf.DUMMYFUNCTION("GOOGLETRANSLATE(B109)"),"Avito 2023")</f>
        <v>Avito 2023</v>
      </c>
      <c r="L109" s="5" t="str">
        <f>IFERROR(__xludf.DUMMYFUNCTION("GOOGLETRANSLATE(C109)"),"On Avito, you can buy an apartment, a car - new and with mileage, electronics, home goods, furniture, clothes and much more. | 955733 subscribers. 50319 records.")</f>
        <v>On Avito, you can buy an apartment, a car - new and with mileage, electronics, home goods, furniture, clothes and much more. | 955733 subscribers. 50319 records.</v>
      </c>
      <c r="M109" s="5" t="str">
        <f>IFERROR(__xludf.DUMMYFUNCTION("GOOGLETRANSLATE(G109)"),"VK.com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10">
      <c r="A110" s="1" t="s">
        <v>395</v>
      </c>
      <c r="B110" s="1" t="s">
        <v>412</v>
      </c>
      <c r="C110" s="1" t="s">
        <v>413</v>
      </c>
      <c r="D110" s="1">
        <v>6.0</v>
      </c>
      <c r="E110" s="4" t="s">
        <v>414</v>
      </c>
      <c r="F110" s="1" t="s">
        <v>16</v>
      </c>
      <c r="G110" s="1" t="s">
        <v>31</v>
      </c>
      <c r="H110" s="4" t="s">
        <v>32</v>
      </c>
      <c r="I110" s="2">
        <v>3.0</v>
      </c>
      <c r="J110" s="5" t="str">
        <f>IFERROR(__xludf.DUMMYFUNCTION("GOOGLETRANSLATE(A110)"),"Avito")</f>
        <v>Avito</v>
      </c>
      <c r="K110" s="6" t="str">
        <f>IFERROR(__xludf.DUMMYFUNCTION("GOOGLETRANSLATE(B110)"),"Avito")</f>
        <v>Avito</v>
      </c>
      <c r="L110" s="5" t="str">
        <f>IFERROR(__xludf.DUMMYFUNCTION("GOOGLETRANSLATE(C110)"),"Avito is a Russian Internet service for placing announcements about goods, real estate, vacancies and resumes in the labor market, as well as services from individuals and ...")</f>
        <v>Avito is a Russian Internet service for placing announcements about goods, real estate, vacancies and resumes in the labor market, as well as services from individuals and ...</v>
      </c>
      <c r="M110" s="5" t="str">
        <f>IFERROR(__xludf.DUMMYFUNCTION("GOOGLETRANSLATE(G110)"),"Wikipedia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11">
      <c r="A111" s="1" t="s">
        <v>395</v>
      </c>
      <c r="B111" s="1" t="s">
        <v>415</v>
      </c>
      <c r="C111" s="1" t="s">
        <v>416</v>
      </c>
      <c r="D111" s="1">
        <v>7.0</v>
      </c>
      <c r="E111" s="4" t="s">
        <v>417</v>
      </c>
      <c r="F111" s="1" t="s">
        <v>16</v>
      </c>
      <c r="G111" s="1" t="s">
        <v>97</v>
      </c>
      <c r="H111" s="4" t="s">
        <v>98</v>
      </c>
      <c r="I111" s="2">
        <v>3.0</v>
      </c>
      <c r="J111" s="5" t="str">
        <f>IFERROR(__xludf.DUMMYFUNCTION("GOOGLETRANSLATE(A111)"),"Avito")</f>
        <v>Avito</v>
      </c>
      <c r="K111" s="6" t="str">
        <f>IFERROR(__xludf.DUMMYFUNCTION("GOOGLETRANSLATE(B111)"),"Avito: Ads on the App Store")</f>
        <v>Avito: Ads on the App Store</v>
      </c>
      <c r="L111" s="5" t="str">
        <f>IFERROR(__xludf.DUMMYFUNCTION("GOOGLETRANSLATE(C111)"),"Buy profitably. There are cars, electronics, furniture, clothes and pets on Avito. With sellers you can agree on a discount, and new things are often ...")</f>
        <v>Buy profitably. There are cars, electronics, furniture, clothes and pets on Avito. With sellers you can agree on a discount, and new things are often ...</v>
      </c>
      <c r="M111" s="5" t="str">
        <f>IFERROR(__xludf.DUMMYFUNCTION("GOOGLETRANSLATE(G111)"),"App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112">
      <c r="A112" s="1" t="s">
        <v>395</v>
      </c>
      <c r="B112" s="1" t="s">
        <v>418</v>
      </c>
      <c r="C112" s="1" t="s">
        <v>419</v>
      </c>
      <c r="D112" s="1">
        <v>8.0</v>
      </c>
      <c r="E112" s="4" t="s">
        <v>420</v>
      </c>
      <c r="F112" s="1" t="s">
        <v>16</v>
      </c>
      <c r="G112" s="1" t="s">
        <v>421</v>
      </c>
      <c r="H112" s="1" t="s">
        <v>418</v>
      </c>
      <c r="I112" s="2">
        <v>1.0</v>
      </c>
      <c r="J112" s="5" t="str">
        <f>IFERROR(__xludf.DUMMYFUNCTION("GOOGLETRANSLATE(A112)"),"Avito")</f>
        <v>Avito</v>
      </c>
      <c r="K112" s="6" t="str">
        <f>IFERROR(__xludf.DUMMYFUNCTION("GOOGLETRANSLATE(B112)"),"avito.tech")</f>
        <v>avito.tech</v>
      </c>
      <c r="L112" s="5" t="str">
        <f>IFERROR(__xludf.DUMMYFUNCTION("GOOGLETRANSLATE(C112)"),"We tell. What engineers do in Avito, how they manage to work in pleasure and what is needed for this. We invite you to read. Without advertising.")</f>
        <v>We tell. What engineers do in Avito, how they manage to work in pleasure and what is needed for this. We invite you to read. Without advertising.</v>
      </c>
      <c r="M112" s="5" t="str">
        <f>IFERROR(__xludf.DUMMYFUNCTION("GOOGLETRANSLATE(G112)"),"Avito.Tech Mitabovypyopen Sourcevakania NasplayBook mithepovyeopen Sourcevakania nasplayBookmitatatyopyopen sourcanas ... Content for growth in the profession. .. Meetings for experienced and newcomers. Gunny vacancies Timlids. Honest. . Stories about the"&amp;" work of the Contributed Exception of the ExcavaVitotech - a team of engineers who daily improve Avito services and pump themselves. Mitaps Video Articles Open Source vacancies about us Content for growth in the profession. Generations for experienced and"&amp;" newcomers. Gunny. Vacancies from Timlids. Honestly scractions. We tell you what engineers do in Avito how they manage to work in pleasure and what is needed for this. We invite you to read. Without advertising. We share the useful Open Source on Hithabe "&amp;"to simplify the lives of other engineers. We develop and support dozens of repositories for example: we show action-packed videos about the people of technology and the backstage of IT corporations. It’s fun for us, but it’s better to verify your vacancie"&amp;"s for developers of analysts of QA engineers of Timlids and designers. Because we always need smart and capable guys. Android developer products of TimLEDS Development PAAS Developer GO Real Estate QA-engineer DBA DBA manager Nosql Services We invite you "&amp;"to events where we share the latest discoveries and news we communicate and make joint photos of Avitotech-we are 1000+ different services of 1300+ engineers in the dinner team • We have lunch together • We have lunch together • We have lunch together • H"&amp;"akatons • Hakatons • Hakatons • Hakatons • Hakatons • Hakatons • We hear each other • We hear each other • We hear each other • We hear each other • our gym • our gym • our gym • Chilim • Chilim • Chilim • Chilim • Chilim • Chilim • Chilim • Chilim • Chil"&amp;"im • Chilim • Chilim • Listen to techno • Listen to techno • Listen to techno • We listen to techno • We rest • We rest • We rest • We rest • We rest • We rest • We use cookies. If you agree with this, click OK. If you are against, close the site or turn "&amp;"off the cookie in the browser. OK Mitabovykvyeostati Open Source Vacancies about us © Avito - The website of the advertisements of Russia 2022. The company Avito Tek is designed to renew is modifying and correcting computer programs and databases. Partner"&amp;"s tech@avito.ru press pro@avito.ru")</f>
        <v>Avito.Tech Mitabovypyopen Sourcevakania NasplayBook mithepovyeopen Sourcevakania nasplayBookmitatatyopyopen sourcanas ... Content for growth in the profession. .. Meetings for experienced and newcomers. Gunny vacancies Timlids. Honest. . Stories about the work of the Contributed Exception of the ExcavaVitotech - a team of engineers who daily improve Avito services and pump themselves. Mitaps Video Articles Open Source vacancies about us Content for growth in the profession. Generations for experienced and newcomers. Gunny. Vacancies from Timlids. Honestly scractions. We tell you what engineers do in Avito how they manage to work in pleasure and what is needed for this. We invite you to read. Without advertising. We share the useful Open Source on Hithabe to simplify the lives of other engineers. We develop and support dozens of repositories for example: we show action-packed videos about the people of technology and the backstage of IT corporations. It’s fun for us, but it’s better to verify your vacancies for developers of analysts of QA engineers of Timlids and designers. Because we always need smart and capable guys. Android developer products of TimLEDS Development PAAS Developer GO Real Estate QA-engineer DBA DBA manager Nosql Services We invite you to events where we share the latest discoveries and news we communicate and make joint photos of Avitotech-we are 1000+ different services of 1300+ engineers in the dinner team • We have lunch together • We have lunch together • We have lunch together • Hakatons • Hakatons • Hakatons • Hakatons • Hakatons • Hakatons • We hear each other • We hear each other • We hear each other • We hear each other • our gym • our gym • our gym • Chilim • Chilim • Chilim • Chilim • Chilim • Chilim • Chilim • Chilim • Chilim • Chilim • Chilim • Listen to techno • Listen to techno • Listen to techno • We listen to techno • We rest • We rest • We rest • We rest • We rest • We rest • We use cookies. If you agree with this, click OK. If you are against, close the site or turn off the cookie in the browser. OK Mitabovykvyeostati Open Source Vacancies about us © Avito - The website of the advertisements of Russia 2022. The company Avito Tek is designed to renew is modifying and correcting computer programs and databases. Partners tech@avito.ru press pro@avito.ru</v>
      </c>
    </row>
    <row r="113">
      <c r="A113" s="1" t="s">
        <v>395</v>
      </c>
      <c r="B113" s="1" t="s">
        <v>422</v>
      </c>
      <c r="C113" s="1" t="s">
        <v>423</v>
      </c>
      <c r="D113" s="1">
        <v>9.0</v>
      </c>
      <c r="E113" s="4" t="s">
        <v>424</v>
      </c>
      <c r="F113" s="1" t="s">
        <v>16</v>
      </c>
      <c r="G113" s="1" t="s">
        <v>120</v>
      </c>
      <c r="H113" s="4" t="s">
        <v>121</v>
      </c>
      <c r="I113" s="2">
        <v>0.0</v>
      </c>
      <c r="J113" s="5" t="str">
        <f>IFERROR(__xludf.DUMMYFUNCTION("GOOGLETRANSLATE(A113)"),"Avito")</f>
        <v>Avito</v>
      </c>
      <c r="K113" s="6" t="str">
        <f>IFERROR(__xludf.DUMMYFUNCTION("GOOGLETRANSLATE(B113)"),"Avito: apartments, cars, work")</f>
        <v>Avito: apartments, cars, work</v>
      </c>
      <c r="L113" s="5" t="str">
        <f>IFERROR(__xludf.DUMMYFUNCTION("GOOGLETRANSLATE(C113)"),"There are many announcements for the sale of real estate, as well as rent - houses and apartments for a long time. Here you can find a room, ...")</f>
        <v>There are many announcements for the sale of real estate, as well as rent - houses and apartments for a long time. Here you can find a room, ...</v>
      </c>
      <c r="M113" s="5" t="str">
        <f>IFERROR(__xludf.DUMMYFUNCTION("GOOGLETRANSLATE(G113)"),"Android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14">
      <c r="A114" s="1" t="s">
        <v>395</v>
      </c>
      <c r="B114" s="1" t="s">
        <v>425</v>
      </c>
      <c r="C114" s="1" t="s">
        <v>426</v>
      </c>
      <c r="D114" s="1">
        <v>10.0</v>
      </c>
      <c r="E114" s="4" t="s">
        <v>427</v>
      </c>
      <c r="F114" s="1" t="s">
        <v>16</v>
      </c>
      <c r="G114" s="1" t="s">
        <v>428</v>
      </c>
      <c r="H114" s="4" t="s">
        <v>429</v>
      </c>
      <c r="I114" s="2">
        <v>3.0</v>
      </c>
      <c r="J114" s="5" t="str">
        <f>IFERROR(__xludf.DUMMYFUNCTION("GOOGLETRANSLATE(A114)"),"Avito")</f>
        <v>Avito</v>
      </c>
      <c r="K114" s="6" t="str">
        <f>IFERROR(__xludf.DUMMYFUNCTION("GOOGLETRANSLATE(B114)"),"Avito | Ok.ru")</f>
        <v>Avito | Ok.ru</v>
      </c>
      <c r="L114" s="5" t="str">
        <f>IFERROR(__xludf.DUMMYFUNCTION("GOOGLETRANSLATE(C114)"),"Avito group. On Avito, you can buy an apartment, a car - new and with mileage, electronics, home goods, furniture, clothes and much more.")</f>
        <v>Avito group. On Avito, you can buy an apartment, a car - new and with mileage, electronics, home goods, furniture, clothes and much more.</v>
      </c>
      <c r="M114" s="5" t="str">
        <f>IFERROR(__xludf.DUMMYFUNCTION("GOOGLETRANSLATE(G114)"),"Social network classmates. Communication with friends in approx. Your place of a meeting with classmates to a version for people with disabilities. Spend the search for oxervice vk.ruchkocyaledarzadarzadakavidovidovkivk post-a-reservoir-sort-tolevo-Kontak"&amp;"othels are using cookies to improve your service for you. You can accept them or set them up on your own. To gain more information more than more emotions and bright communication! Go to OK to meet your friends and find new to chat with loved ones and int"&amp;"erestingly spend time using our entertainment services. To fulfill the qi-codelephone or email address. It is possible to enter the postparols on QR-kodun? There is no profile in Odnoklakhnikiye, the profilesmical mobility of the business of the business "&amp;"of the business of the business of the development of the COOKIEVAKACASISENISTION of the company © 2006–2023 VK / LLC VKMI uses in detail technology.")</f>
        <v>Social network classmates. Communication with friends in approx. Your place of a meeting with classmates to a version for people with disabilities. Spend the search for oxervice vk.ruchkocyaledarzadarzadakavidovidovkivk post-a-reservoir-sort-tolevo-Kontakothels are using cookies to improve your service for you. You can accept them or set them up on your own. To gain more information more than more emotions and bright communication! Go to OK to meet your friends and find new to chat with loved ones and interestingly spend time using our entertainment services. To fulfill the qi-codelephone or email address. It is possible to enter the postparols on QR-kodun? There is no profile in Odnoklakhnikiye, the profilesmical mobility of the business of the business of the business of the business of the development of the COOKIEVAKACASISENISTION of the company © 2006–2023 VK / LLC VKMI uses in detail technology.</v>
      </c>
    </row>
    <row r="115">
      <c r="A115" s="1" t="s">
        <v>395</v>
      </c>
      <c r="B115" s="1" t="s">
        <v>430</v>
      </c>
      <c r="C115" s="1" t="s">
        <v>431</v>
      </c>
      <c r="D115" s="1">
        <v>11.0</v>
      </c>
      <c r="E115" s="4" t="s">
        <v>432</v>
      </c>
      <c r="F115" s="1" t="s">
        <v>16</v>
      </c>
      <c r="G115" s="1" t="s">
        <v>273</v>
      </c>
      <c r="H115" s="4" t="s">
        <v>274</v>
      </c>
      <c r="I115" s="2">
        <v>2.0</v>
      </c>
      <c r="J115" s="5" t="str">
        <f>IFERROR(__xludf.DUMMYFUNCTION("GOOGLETRANSLATE(A115)"),"Avito")</f>
        <v>Avito</v>
      </c>
      <c r="K115" s="6" t="str">
        <f>IFERROR(__xludf.DUMMYFUNCTION("GOOGLETRANSLATE(B115)"),"Avito (@avito) • Instagram Photos and Videos")</f>
        <v>Avito (@avito) • Instagram Photos and Videos</v>
      </c>
      <c r="L115" s="5" t="str">
        <f>IFERROR(__xludf.DUMMYFUNCTION("GOOGLETRANSLATE(C115)"),"23 Fevr. 2023. -")</f>
        <v>23 Fevr. 2023. -</v>
      </c>
      <c r="M115" s="5" t="str">
        <f>IFERROR(__xludf.DUMMYFUNCTION("GOOGLETRANSLATE(G115)"),"Update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16">
      <c r="A116" s="1" t="s">
        <v>395</v>
      </c>
      <c r="B116" s="1" t="s">
        <v>433</v>
      </c>
      <c r="C116" s="1" t="s">
        <v>434</v>
      </c>
      <c r="D116" s="1">
        <v>12.0</v>
      </c>
      <c r="E116" s="4" t="s">
        <v>435</v>
      </c>
      <c r="F116" s="1" t="s">
        <v>16</v>
      </c>
      <c r="I116" s="2">
        <v>5.0</v>
      </c>
      <c r="J116" s="5" t="str">
        <f>IFERROR(__xludf.DUMMYFUNCTION("GOOGLETRANSLATE(A116)"),"Avito")</f>
        <v>Avito</v>
      </c>
      <c r="K116" s="6" t="str">
        <f>IFERROR(__xludf.DUMMYFUNCTION("GOOGLETRANSLATE(B116)"),"Avito, Order issuing item, Ozerny, 6b, Biysk")</f>
        <v>Avito, Order issuing item, Ozerny, 6b, Biysk</v>
      </c>
      <c r="L116" s="5" t="str">
        <f>IFERROR(__xludf.DUMMYFUNCTION("GOOGLETRANSLATE(C116)"),"Avito, Order issuing item: addresses with entrances on the map, reviews, photos, phone numbers, working hours and how to get. Delivery.")</f>
        <v>Avito, Order issuing item: addresses with entrances on the map, reviews, photos, phone numbers, working hours and how to get. Delivery.</v>
      </c>
    </row>
    <row r="117">
      <c r="A117" s="1" t="s">
        <v>395</v>
      </c>
      <c r="B117" s="1" t="s">
        <v>436</v>
      </c>
      <c r="C117" s="1" t="s">
        <v>437</v>
      </c>
      <c r="D117" s="1">
        <v>13.0</v>
      </c>
      <c r="E117" s="4" t="s">
        <v>438</v>
      </c>
      <c r="F117" s="1" t="s">
        <v>16</v>
      </c>
      <c r="G117" s="1" t="s">
        <v>38</v>
      </c>
      <c r="H117" s="4" t="s">
        <v>39</v>
      </c>
      <c r="I117" s="2">
        <v>5.0</v>
      </c>
      <c r="J117" s="5" t="str">
        <f>IFERROR(__xludf.DUMMYFUNCTION("GOOGLETRANSLATE(A117)"),"Avito")</f>
        <v>Avito</v>
      </c>
      <c r="K117" s="6" t="str">
        <f>IFERROR(__xludf.DUMMYFUNCTION("GOOGLETRANSLATE(B117)"),"Get rich")</f>
        <v>Get rich</v>
      </c>
      <c r="L117" s="5" t="str">
        <f>IFERROR(__xludf.DUMMYFUNCTION("GOOGLETRANSLATE(C117)"),"Avito ... Avito is the most popular classifieds site in Russia and is the second biggest classifieds site in the world.")</f>
        <v>Avito ... Avito is the most popular classifieds site in Russia and is the second biggest classifieds site in the world.</v>
      </c>
      <c r="M117" s="5" t="str">
        <f>IFERROR(__xludf.DUMMYFUNCTION("GOOGLETRANSLATE(G117)"),"YouTubeAboutPressCopyrightContact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18">
      <c r="A118" s="1" t="s">
        <v>395</v>
      </c>
      <c r="B118" s="1" t="s">
        <v>439</v>
      </c>
      <c r="C118" s="1" t="s">
        <v>440</v>
      </c>
      <c r="D118" s="1">
        <v>14.0</v>
      </c>
      <c r="E118" s="4" t="s">
        <v>441</v>
      </c>
      <c r="F118" s="1" t="s">
        <v>16</v>
      </c>
      <c r="I118" s="2">
        <v>1.0</v>
      </c>
      <c r="J118" s="5" t="str">
        <f>IFERROR(__xludf.DUMMYFUNCTION("GOOGLETRANSLATE(A118)"),"Avito")</f>
        <v>Avito</v>
      </c>
      <c r="K118" s="6" t="str">
        <f>IFERROR(__xludf.DUMMYFUNCTION("GOOGLETRANSLATE(B118)"),"Avito Manifesto (2023)")</f>
        <v>Avito Manifesto (2023)</v>
      </c>
      <c r="L118" s="5" t="str">
        <f>IFERROR(__xludf.DUMMYFUNCTION("GOOGLETRANSLATE(C118)"),"How the leader Avito behaves · Helps the team to succeed, realizing that personal success depends on the success of the team · Trusts his colleagues, gives them his due and ...")</f>
        <v>How the leader Avito behaves · Helps the team to succeed, realizing that personal success depends on the success of the team · Trusts his colleagues, gives them his due and ...</v>
      </c>
    </row>
    <row r="119">
      <c r="A119" s="1" t="s">
        <v>395</v>
      </c>
      <c r="B119" s="1" t="s">
        <v>442</v>
      </c>
      <c r="D119" s="1">
        <v>15.0</v>
      </c>
      <c r="E119" s="4" t="s">
        <v>443</v>
      </c>
      <c r="F119" s="1" t="s">
        <v>16</v>
      </c>
      <c r="G119" s="1" t="s">
        <v>444</v>
      </c>
      <c r="H119" s="4" t="s">
        <v>445</v>
      </c>
      <c r="I119" s="2">
        <v>2.0</v>
      </c>
      <c r="J119" s="5" t="str">
        <f>IFERROR(__xludf.DUMMYFUNCTION("GOOGLETRANSLATE(A119)"),"Avito")</f>
        <v>Avito</v>
      </c>
      <c r="K119" s="6" t="str">
        <f>IFERROR(__xludf.DUMMYFUNCTION("GOOGLETRANSLATE(B119)"),"Avito - Avito")</f>
        <v>Avito - Avito</v>
      </c>
      <c r="M119" s="5" t="str">
        <f>IFERROR(__xludf.DUMMYFUNCTION("GOOGLETRANSLATE(G119)"),"JavaScript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120">
      <c r="A120" s="1" t="s">
        <v>395</v>
      </c>
      <c r="B120" s="1" t="s">
        <v>446</v>
      </c>
      <c r="D120" s="1">
        <v>16.0</v>
      </c>
      <c r="E120" s="4" t="s">
        <v>447</v>
      </c>
      <c r="F120" s="1" t="s">
        <v>16</v>
      </c>
      <c r="G120" s="1" t="s">
        <v>448</v>
      </c>
      <c r="H120" s="4" t="s">
        <v>449</v>
      </c>
      <c r="I120" s="2">
        <v>3.0</v>
      </c>
      <c r="J120" s="5" t="str">
        <f>IFERROR(__xludf.DUMMYFUNCTION("GOOGLETRANSLATE(A120)"),"Avito")</f>
        <v>Avito</v>
      </c>
      <c r="K120" s="6" t="str">
        <f>IFERROR(__xludf.DUMMYFUNCTION("GOOGLETRANSLATE(B120)"),"Avito's vacancies - work in Moscow, St.")</f>
        <v>Avito's vacancies - work in Moscow, St.</v>
      </c>
      <c r="M120" s="5" t="str">
        <f>IFERROR(__xludf.DUMMYFUNCTION("GOOGLETRANSLATE(G120)"),"Work in Moscow Search for personnel and publishing vacancies - HH.ru. Working with our site, you need to include JavaScript in your browser. Curi -mosquito -workers, ready -made resumes -wise advice, help, work to make a resumes -winging system finding an"&amp;" employee 65,757 425 haste1 4102 vacancies2 088 561 compliance with the phone so that employers can offer you work to confirm to confirm that you do not introduce the text from the picture: the other text of the text “continue” you confirm that you are fa"&amp;"miliarized with the “Agreement on the provision of assistance in employment (Offer)” Vacancies of the day of the day 7649 Vacanceism of the house83707 Vacancies 72000 to 89 000 000 ₽Rabotahr Moscow employee restaurant 50,000 to 70000 ₽ Dododo pizza (DPM N"&amp;"orth) Moskvalichny assistant psychologist 50,000 to 250,000 ₽ Guphanina Alina Borisovna Moskovaristat 74000 to 91000 ₽ Fleet Moscow Administrator in the hot yogi -2000 to 50,000 ₽Bikram .ru Yoga Moskvalichny driver 100,000 to 120,000 ₽ Hihitrova Anastasia"&amp;" Viktorovna Moskvannoye seller-cashier/Administrator 60,000 ₽ Bukhaev Yusup Sydemyeva Moskvypskor (guard) in the clinic 80,000 to 80,000 ₽ Krapetvei ₽ Defeditrum 87 000 to 121000 ₽rabotahr Moscow Moscow 60,000 to 140,000 ₽ Bukhaev Yusup Saidemeyeva Moscow"&amp;" -Semey driver to 1,20,000 to 140,000 ₽ INSITS Moskovo View all work in the Moscow Automobile Administrative Personnel Safe and Medium Management of the Raw Personnel Management Service -Schools Logiiiscence of entertainment of mass mediamarketing adverti"&amp;"sing PRMMedicin pharmaceuticals Education Production Service Service Service Production Service Maintenance Worker Personnel Trade Trade Clubs Fitness Salons Beauty Strategia Investment Consulting Storestroe Real Estate Sports Transportation Transportuisc"&amp;"ent Hotel Restaurant Management by personnel Training and Office of the Emergenary Gholoset in the rating 000 000 and more work in November with daily payments-welding November with a salary of 150 000 ₽ Vacancia November for managers with a salary of 150"&amp;" 000 ₽, not to spoil the impression of themselves with activity in social networks, to become an accountant from scratch ""R-Farm"": to live a full life and benefit people ""Pentorochka"": how to become the owner of a business and workshop for programmers"&amp;" for engineering for engineering for engineering for engineering The sales manager for directorship for administrator work for marketer work for design will be designed for lawyers in other cities in the Zagoryansk work in Moscow work in prompt work in lo"&amp;"ng -term work in driving work in shopatin work in Bobrov work in Mytishchkhnich work in the Khimki -work in Russia, most of the life of almost every of us. But nothing forever: it happens that one day you have to change the place of work and plunge with y"&amp;"our head in search of vacancies - I want to find a good alternative to the current position. Often when changing work, we think not only about changing the company but also about changing professional activities. And it is at these moments that the questi"&amp;"on arises: “How to find a good job in Moscow now? And most importantly, what should this work be? ”Showing it completely to solve such issues easily and quickly just go to hh.ru! On our website you can always find out the latest labor market news and also"&amp;" study a fresh review of salaries with which it is easy to evaluate what Positions should be aiming. If you have already determined the vacancies of which specialties you are interested in only you can create a resume and start searching for a dream work!"&amp;" It is most convenient to look for a job using our vacancies catalog: by clicking in the mouse, you will get a list of relevant and high -quality vacancies in the Moscow or other region of Russia. But this is not the only option for searching for work. On"&amp;" our site you can create an attractive resume and vacancies will begin to flock to you! And having combined both of these methods, you can get the fastest and most importantly effective way to search for work! Create a summary of the application vacancies"&amp;" answers to responses and access to a resume - always at your fingertips. Just enter the phone camera on the QR-CODDHUNTERO company of the company's vacancies for the site of the personal data of personal data-safety Headhunteretika and complianceheadHunt"&amp;"er Apartneadhunter of the provision of the service of the use of the site and articles of labor in the company of Russian serial workshops SE for applicants for reservations Service Prophorus. Processing Summies Summary for you to work for a production ca"&amp;"lendar expert recommendation with a young specialist for young specialists of the School School School Upon -residents of employees, consonant of the company, by professionals, near the metro notification in the Messengeryswitch to English © 2023 Hadhante"&amp;"r LLC, HH.ru information resource applies (information technologies for the provision of information on the systematization and analysis of information related to the preferences of users of the Internet. Russian Federation) Today on the site 1410102 vaca"&amp;"ncies 65757425 resume 2088561 Company and in a week 3611017 invitations subscribe to the Push notifications of HH.ru now subscribe now")</f>
        <v>Work in Moscow Search for personnel and publishing vacancies - HH.ru. Working with our site, you need to include JavaScript in your browser. Curi -mosquito -workers, ready -made resumes -wise advice, help, work to make a resumes -winging system finding an employee 65,757 425 haste1 4102 vacancies2 088 561 compliance with the phone so that employers can offer you work to confirm to confirm that you do not introduce the text from the picture: the other text of the text “continue” you confirm that you are familiarized with the “Agreement on the provision of assistance in employment (Offer)” Vacancies of the day of the day 7649 Vacanceism of the house83707 Vacancies 72000 to 89 000 000 ₽Rabotahr Moscow employee restaurant 50,000 to 70000 ₽ Dododo pizza (DPM North) Moskvalichny assistant psychologist 50,000 to 250,000 ₽ Guphanina Alina Borisovna Moskovaristat 74000 to 91000 ₽ Fleet Moscow Administrator in the hot yogi -2000 to 50,000 ₽Bikram .ru Yoga Moskvalichny driver 100,000 to 120,000 ₽ Hihitrova Anastasia Viktorovna Moskvannoye seller-cashier/Administrator 60,000 ₽ Bukhaev Yusup Sydemyeva Moskvypskor (guard) in the clinic 80,000 to 80,000 ₽ Krapetvei ₽ Defeditrum 87 000 to 121000 ₽rabotahr Moscow Moscow 60,000 to 140,000 ₽ Bukhaev Yusup Saidemeyeva Moscow -Semey driver to 1,20,000 to 140,000 ₽ INSITS Moskovo View all work in the Moscow Automobile Administrative Personnel Safe and Medium Management of the Raw Personnel Management Service -Schools Logiiiscence of entertainment of mass mediamarketing advertising PRMMedicin pharmaceuticals Education Production Service Service Service Production Service Maintenance Worker Personnel Trade Trade Clubs Fitness Salons Beauty Strategia Investment Consulting Storestroe Real Estate Sports Transportation Transportuiscent Hotel Restaurant Management by personnel Training and Office of the Emergenary Gholoset in the rating 000 000 and more work in November with daily payments-welding November with a salary of 150 000 ₽ Vacancia November for managers with a salary of 150 000 ₽, not to spoil the impression of themselves with activity in social networks, to become an accountant from scratch "R-Farm": to live a full life and benefit people "Pentorochka": how to become the owner of a business and workshop for programmers for engineering for engineering for engineering for engineering The sales manager for directorship for administrator work for marketer work for design will be designed for lawyers in other cities in the Zagoryansk work in Moscow work in prompt work in long -term work in driving work in shopatin work in Bobrov work in Mytishchkhnich work in the Khimki -work in Russia, most of the life of almost every of us. But nothing forever: it happens that one day you have to change the place of work and plunge with your head in search of vacancies - I want to find a good alternative to the current position. Often when changing work, we think not only about changing the company but also about changing professional activities. And it is at these moments that the question arises: “How to find a good job in Moscow now? And most importantly, what should this work be? ”Showing it completely to solve such issues easily and quickly just go to hh.ru! On our website you can always find out the latest labor market news and also study a fresh review of salaries with which it is easy to evaluate what Positions should be aiming. If you have already determined the vacancies of which specialties you are interested in only you can create a resume and start searching for a dream work! It is most convenient to look for a job using our vacancies catalog: by clicking in the mouse, you will get a list of relevant and high -quality vacancies in the Moscow or other region of Russia. But this is not the only option for searching for work. On our site you can create an attractive resume and vacancies will begin to flock to you! And having combined both of these methods, you can get the fastest and most importantly effective way to search for work! Create a summary of the application vacancies answers to responses and access to a resume - always at your fingertips. Just enter the phone camera on the QR-CODDHUNTERO company of the company's vacancies for the site of the personal data of personal data-safety Headhunteretika and complianceheadHunter Apartneadhunter of the provision of the service of the use of the site and articles of labor in the company of Russian serial workshops SE for applicants for reservations Service Prophorus. Processing Summies Summary for you to work for a production calendar expert recommendation with a young specialist for young specialists of the School School School Upon -residents of employees, consonant of the company, by professionals, near the metro notification in the Messengeryswitch to English © 2023 Hadhanter LLC, HH.ru information resource applies (information technologies for the provision of information on the systematization and analysis of information related to the preferences of users of the Internet. Russian Federation) Today on the site 1410102 vacancies 65757425 resume 2088561 Company and in a week 3611017 invitations subscribe to the Push notifications of HH.ru now subscribe now</v>
      </c>
    </row>
    <row r="121">
      <c r="A121" s="1" t="s">
        <v>395</v>
      </c>
      <c r="B121" s="1" t="s">
        <v>450</v>
      </c>
      <c r="C121" s="1" t="s">
        <v>451</v>
      </c>
      <c r="D121" s="1">
        <v>17.0</v>
      </c>
      <c r="E121" s="4" t="s">
        <v>452</v>
      </c>
      <c r="F121" s="1" t="s">
        <v>16</v>
      </c>
      <c r="G121" s="1" t="s">
        <v>336</v>
      </c>
      <c r="H121" s="4" t="s">
        <v>453</v>
      </c>
      <c r="I121" s="2">
        <v>4.0</v>
      </c>
      <c r="J121" s="5" t="str">
        <f>IFERROR(__xludf.DUMMYFUNCTION("GOOGLETRANSLATE(A121)"),"Avito")</f>
        <v>Avito</v>
      </c>
      <c r="K121" s="6" t="str">
        <f>IFERROR(__xludf.DUMMYFUNCTION("GOOGLETRANSLATE(B121)"),"Avito, Point of Issue, st. 9th Guards Division, 42, ...")</f>
        <v>Avito, Point of Issue, st. 9th Guards Division, 42, ...</v>
      </c>
      <c r="L121" s="5" t="str">
        <f>IFERROR(__xludf.DUMMYFUNCTION("GOOGLETRANSLATE(C121)"),"The issuance of ""Avito"" at the Moscow Region, Istra, street of the 9th Guards Division, 42, ☎️ +7 800 600 00 01. Read 11 reviews, watch 9 photos, ...")</f>
        <v>The issuance of "Avito" at the Moscow Region, Istra, street of the 9th Guards Division, 42, ☎️ +7 800 600 00 01. Read 11 reviews, watch 9 photos, ...</v>
      </c>
      <c r="M121" s="5" t="str">
        <f>IFERROR(__xludf.DUMMYFUNCTION("GOOGLETRANSLATE(G121)"),"Oh!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22">
      <c r="A122" s="1" t="s">
        <v>395</v>
      </c>
      <c r="B122" s="1" t="s">
        <v>454</v>
      </c>
      <c r="C122" s="1" t="s">
        <v>455</v>
      </c>
      <c r="D122" s="1">
        <v>18.0</v>
      </c>
      <c r="E122" s="4" t="s">
        <v>456</v>
      </c>
      <c r="F122" s="1" t="s">
        <v>16</v>
      </c>
      <c r="G122" s="1" t="s">
        <v>457</v>
      </c>
      <c r="H122" s="4" t="s">
        <v>458</v>
      </c>
      <c r="I122" s="2">
        <v>4.0</v>
      </c>
      <c r="J122" s="5" t="str">
        <f>IFERROR(__xludf.DUMMYFUNCTION("GOOGLETRANSLATE(A122)"),"Avito")</f>
        <v>Avito</v>
      </c>
      <c r="K122" s="6" t="str">
        <f>IFERROR(__xludf.DUMMYFUNCTION("GOOGLETRANSLATE(B122)"),"Contact @avito")</f>
        <v>Contact @avito</v>
      </c>
      <c r="L122" s="5" t="str">
        <f>IFERROR(__xludf.DUMMYFUNCTION("GOOGLETRANSLATE(C122)"),"We tell you how to sell and buy goods safely. We share tips on finding work and selection of services. Other channels: Avito for business @avito_b2b")</f>
        <v>We tell you how to sell and buy goods safely. We share tips on finding work and selection of services. Other channels: Avito for business @avito_b2b</v>
      </c>
      <c r="M122" s="5" t="str">
        <f>IFERROR(__xludf.DUMMYFUNCTION("GOOGLETRANSLATE(G122)"),"Telegram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Premi"&amp;"umOct 28Replies 2.0 Adjustable Link Previews Name Colors and MoreSep 22Stories in Channels View-Once Media and Morea new era of messagingTelegram for AndroidTelegram for iPhone / iPad  Telegram for Windows / Mac / LinuxBrowse more Telegram apps           "&amp;" Telegram for PC / Linux            Telegram for macOSRecent NewsGiveaways in Channels and Free PremiumChannel owners can now launch Giveaways to randomly distribute prizes among their followers. This is great if you want to promote your channel get new s"&amp;"ubscribers or reward existing…Nov 6 2023Replies 2.0 Adjustable Link Previews Name Colors and MoreToday's update lets you quote specific parts of messages when replying send your replies to other chats add quote formatting to any text…Oct 28 2023Why Telegr"&amp;"am?SimpleTelegram is so simple you already know how to use it.PrivateTelegram messages are heavily encrypted and can self-destruct.SyncedTelegram lets you access your chats from multiple devices.FastTelegram delivers messages faster than any other applica"&amp;"tion.PowerfulTelegram has no limits on the size of your media and chats.OpenTelegram has an open API and source code free for everyone.SecureTelegram keeps your messages safe from hacker attacks.SocialTelegram groups can hold up to 200000 members.Expressi"&amp;"veTelegram lets you completely customize your messenger.Telegram      Telegram is a cloud-based mobile and desktop messaging app with a focus on security and speed.    AboutFAQPrivacyPressMobile AppsiPhone/iPadAndroidMobile WebDesktop AppsPC/Mac/LinuxmacO"&amp;"SWeb-browserPlatformAPITranslationsInstant ViewAboutBlogAppsPlatformPress")</f>
        <v>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v>
      </c>
    </row>
    <row r="123">
      <c r="A123" s="1" t="s">
        <v>395</v>
      </c>
      <c r="B123" s="1" t="s">
        <v>459</v>
      </c>
      <c r="C123" s="1" t="s">
        <v>460</v>
      </c>
      <c r="D123" s="1">
        <v>4.0</v>
      </c>
      <c r="E123" s="4" t="s">
        <v>461</v>
      </c>
      <c r="F123" s="1" t="s">
        <v>43</v>
      </c>
      <c r="G123" s="1" t="s">
        <v>399</v>
      </c>
      <c r="H123" s="4" t="s">
        <v>400</v>
      </c>
      <c r="I123" s="2">
        <v>0.0</v>
      </c>
      <c r="J123" s="5" t="str">
        <f>IFERROR(__xludf.DUMMYFUNCTION("GOOGLETRANSLATE(A123)"),"Avito")</f>
        <v>Avito</v>
      </c>
      <c r="K123" s="6" t="str">
        <f>IFERROR(__xludf.DUMMYFUNCTION("GOOGLETRANSLATE(B123)"),"One service for different business tasks")</f>
        <v>One service for different business tasks</v>
      </c>
      <c r="L123" s="5" t="str">
        <f>IFERROR(__xludf.DUMMYFUNCTION("GOOGLETRANSLATE(C123)"),"On Avito you will find buyers, suppliers, employees and contractors. 49% of small and medium -sized businesses in Russia are already working with us. Join!")</f>
        <v>On Avito you will find buyers, suppliers, employees and contractors. 49% of small and medium -sized businesses in Russia are already working with us. Join!</v>
      </c>
      <c r="M123" s="5" t="str">
        <f>IFERROR(__xludf.DUMMYFUNCTION("GOOGLETRANSLATE(G123)"),"Avito: Real Estate Transport Work Service Services of Business Association Catalog Catalog and Registration to annoy the advent of categories of workshops of the house and dachas and accessories and accessories of all the regional-adults and equipment. Ar"&amp;"ykhobbia vacation of lifetime business businesses equipment for the service-nickname of homepage dachadroitivaries of children's lives of health, health-tasty-adherents-work-deeds, Office-General General Minute Business Equiples of the Service-Homes of Da"&amp;"chiRodi-Lifth Children Furniture game and prizes from Aviter's recommendation on the Avitoporay “Lizaalet” help from an avithic in a cages to the cage, we will get a florista prepare the house for Zimekuda to go to November 5W-40 4 l from 999 ₽ Braching t"&amp;"he hairy from Omod-verbal apartment to find housing. Eluccessing Student Training Institution for Student Machines for Haircutsiphone 15 on Avit -verbal housing for the driftal prize of Omodashkaf for the home we Anquarium for hockey services for evacuama"&amp;"l payments for the 1st day of Nike -heating aromatic renewal of machine -tree jetta for the release of silence in the apartment. Forestry from the branded -collector furnitel -correction of Breyirepeter mathematician machine -winners to the hostel to work"&amp;" and study: the trends are darkened The houses for the apartment for the autumn-lane for any tasks for Komtransanedorous new shinos rods for new building recommendations for Vaso-guard 1,500 ₽ River Station2-K. Apartment 698 m² 9/10 et. 4 900 000 ₽ Kaspiy"&amp;"skskskemic 1300 m²400 ₽ per month per m² Vladivostovok Pervomaisky District 500 m² in a section of 15 hundred ₽ per day-Kamchatka Luke is not indicated by the Leninskoye Poloprieclop. ₽ C VatSrasnoyarsk District Centrallinoleum1 000 ₽ PPROMMAMA ORDZHONICI"&amp;"DSEVSKYAMI POCO M5S 4/128 GB10 000 ₽ Marshal Koveshkinad 811 m² on the site 9 hundredth 500 000 ₽d. Small Elakadapodarny set1 350 ₽Abakanbugatti divo 8.0 AMT 2021 600 km1 120 000 000 $. Barvihalixiang L9 1.5 AT 2023 10 km7 500 000 ₽ Kashirskaya2-K. Apartm"&amp;"ent 40 m² 1/2 floor 2 800 000 ₽. Batyre-free destination 74 m²5 669 900 ₽habarovsk district Zheleznodorozhny ""Blue Tractor"". Give children emotions110 ₽ span Sverdlovskiyrenault Logan 1.4 mt 2006 300 000 km280 000 ₽ Costoma rn Central Complex Plants400 "&amp;"₽ KELLOVISTARY RN500 ₽ Irkutsk district Oktyabrsky Busmoshaka BM-160p to the central din 4605 m² on the site 85 hundred. 42 607 816 ₽Pos. The youth oven of building garbage with a cargo-shock 3 500 ₽angarsk rn Microdistrict Aeroflot200 ₽ Belyaevsingonium "&amp;"vendlandi250 ₽ River of the loader Leninsky Vacancy. Code: VA883ot 37 728 ₽ Krasnoyarsk district Oktyabrsky corpus3 000 ₽ Khovosibirsk SNT Buildmashevsky district Pervomaisky 90 m² on a plot 4 hundredth 200 000 ₽ Zlatomatoma of scrap metal. Disorder 1 ₽ B"&amp;"elibais (m/w) for work without experience (watch watch ) from 150 000 2. ₽ Novgorod rn Priokmr3-player Walkman Sony NWZ-B172F2 000 ₽ Novgorod Burnakovskaya Trinakovtoriystvotolimotocyls and motor vehicles and special equipment of the vehicle and accessory"&amp;"-designate vegetables and vidomotions for computeriga for computers Red prefixes and program -tobooking computers of photographs and electronic books of organization and consumables for accommodation of housing for a long time for long -term real estate c"&amp;"ategories ofhobbies and rest and travels of the bore -nigrics and magazine -collection -in -laws -in -law tools and fishing cards and vacation work and work as an employee of the house and dachiremont and the construction of the mixture and interior equip"&amp;"ment of the supply of a place of place to the kitchen business and equipment of the preparation business equipment for business services. For animal -sheet -shells, accessories and shoes for children and toy -toys and health and adolescence load the Avito"&amp;"va application immediately find out immediately If the message comes, a new offer appears in the chosen one or someone will buy your product with delivery. VOVTTTGAVITO-a website of the advertisements of Russia. © KEH EKOMMERTS LLC 2007–2023. Avito rules."&amp;" Data processing policy. Avito uses recommendation technologies. To disseminate the announcement of the help of the number of Identity advertising on the site of the company Courara -Avito journal blogging benefits")</f>
        <v>Avito: Real Estate Transport Work Service Services of Business Association Catalog Catalog and Registration to annoy the advent of categories of workshops of the house and dachas and accessories and accessories of all the regional-adults and equipment. Arykhobbia vacation of lifetime business businesses equipment for the service-nickname of homepage dachadroitivaries of children's lives of health, health-tasty-adherents-work-deeds, Office-General General Minute Business Equiples of the Service-Homes of DachiRodi-Lifth Children Furniture game and prizes from Aviter's recommendation on the Avitoporay “Lizaalet” help from an avithic in a cages to the cage, we will get a florista prepare the house for Zimekuda to go to November 5W-40 4 l from 999 ₽ Braching the hairy from Omod-verbal apartment to find housing. Eluccessing Student Training Institution for Student Machines for Haircutsiphone 15 on Avit -verbal housing for the driftal prize of Omodashkaf for the home we Anquarium for hockey services for evacuamal payments for the 1st day of Nike -heating aromatic renewal of machine -tree jetta for the release of silence in the apartment. Forestry from the branded -collector furnitel -correction of Breyirepeter mathematician machine -winners to the hostel to work and study: the trends are darkened The houses for the apartment for the autumn-lane for any tasks for Komtransanedorous new shinos rods for new building recommendations for Vaso-guard 1,500 ₽ River Station2-K. Apartment 698 m² 9/10 et. 4 900 000 ₽ Kaspiyskskskemic 1300 m²400 ₽ per month per m² Vladivostovok Pervomaisky District 500 m² in a section of 15 hundred ₽ per day-Kamchatka Luke is not indicated by the Leninskoye Poloprieclop. ₽ C VatSrasnoyarsk District Centrallinoleum1 000 ₽ PPROMMAMA ORDZHONICIDSEVSKYAMI POCO M5S 4/128 GB10 000 ₽ Marshal Koveshkinad 811 m² on the site 9 hundredth 500 000 ₽d. Small Elakadapodarny set1 350 ₽Abakanbugatti divo 8.0 AMT 2021 600 km1 120 000 000 $. Barvihalixiang L9 1.5 AT 2023 10 km7 500 000 ₽ Kashirskaya2-K. Apartment 40 m² 1/2 floor 2 800 000 ₽. Batyre-free destination 74 m²5 669 900 ₽habarovsk district Zheleznodorozhny "Blue Tractor". Give children emotions110 ₽ span Sverdlovskiyrenault Logan 1.4 mt 2006 300 000 km280 000 ₽ Costoma rn Central Complex Plants400 ₽ KELLOVISTARY RN500 ₽ Irkutsk district Oktyabrsky Busmoshaka BM-160p to the central din 4605 m² on the site 85 hundred. 42 607 816 ₽Pos. The youth oven of building garbage with a cargo-shock 3 500 ₽angarsk rn Microdistrict Aeroflot200 ₽ Belyaevsingonium vendlandi250 ₽ River of the loader Leninsky Vacancy. Code: VA883ot 37 728 ₽ Krasnoyarsk district Oktyabrsky corpus3 000 ₽ Khovosibirsk SNT Buildmashevsky district Pervomaisky 90 m² on a plot 4 hundredth 200 000 ₽ Zlatomatoma of scrap metal. Disorder 1 ₽ Belibais (m/w) for work without experience (watch watch ) from 150 000 2. ₽ Novgorod rn Priokmr3-player Walkman Sony NWZ-B172F2 000 ₽ Novgorod Burnakovskaya Trinakovtoriystvotolimotocyls and motor vehicles and special equipment of the vehicle and accessory-designate vegetables and vidomotions for computeriga for computers Red prefixes and program -tobooking computers of photographs and electronic books of organization and consumables for accommodation of housing for a long time for long -term real estate categories ofhobbies and rest and travels of the bore -nigrics and magazine -collection -in -laws -in -law tools and fishing cards and vacation work and work as an employee of the house and dachiremont and the construction of the mixture and interior equipment of the supply of a place of place to the kitchen business and equipment of the preparation business equipment for business services. For animal -sheet -shells, accessories and shoes for children and toy -toys and health and adolescence load the Avitova application immediately find out immediately If the message comes, a new offer appears in the chosen one or someone will buy your product with delivery. VOVTTTGAVITO-a website of the advertisements of Russia. © KEH EKOMMERTS LLC 2007–2023. Avito rules. Data processing policy. Avito uses recommendation technologies. To disseminate the announcement of the help of the number of Identity advertising on the site of the company Courara -Avito journal blogging benefits</v>
      </c>
    </row>
    <row r="124">
      <c r="A124" s="1" t="s">
        <v>395</v>
      </c>
      <c r="B124" s="1" t="s">
        <v>462</v>
      </c>
      <c r="C124" s="1" t="s">
        <v>407</v>
      </c>
      <c r="D124" s="1">
        <v>5.0</v>
      </c>
      <c r="E124" s="4" t="s">
        <v>408</v>
      </c>
      <c r="F124" s="1" t="s">
        <v>43</v>
      </c>
      <c r="G124" s="1" t="s">
        <v>120</v>
      </c>
      <c r="H124" s="4" t="s">
        <v>121</v>
      </c>
      <c r="I124" s="2">
        <v>0.0</v>
      </c>
      <c r="J124" s="5" t="str">
        <f>IFERROR(__xludf.DUMMYFUNCTION("GOOGLETRANSLATE(A124)"),"Avito")</f>
        <v>Avito</v>
      </c>
      <c r="K124" s="6" t="str">
        <f>IFERROR(__xludf.DUMMYFUNCTION("GOOGLETRANSLATE(B124)"),"Avito: apartments, cars, work - Apps on ...")</f>
        <v>Avito: apartments, cars, work - Apps on ...</v>
      </c>
      <c r="L124" s="5" t="str">
        <f>IFERROR(__xludf.DUMMYFUNCTION("GOOGLETRANSLATE(C124)"),"Avito is millions of ads throughout Russia. What to sell or do, for how much and to whom - users themselves decide. Buy profitably.")</f>
        <v>Avito is millions of ads throughout Russia. What to sell or do, for how much and to whom - users themselves decide. Buy profitably.</v>
      </c>
      <c r="M124" s="5" t="str">
        <f>IFERROR(__xludf.DUMMYFUNCTION("GOOGLETRANSLATE(G124)"),"Android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25">
      <c r="A125" s="1" t="s">
        <v>395</v>
      </c>
      <c r="B125" s="1" t="s">
        <v>463</v>
      </c>
      <c r="D125" s="1">
        <v>9.0</v>
      </c>
      <c r="E125" s="4" t="s">
        <v>464</v>
      </c>
      <c r="F125" s="1" t="s">
        <v>43</v>
      </c>
      <c r="G125" s="1" t="s">
        <v>465</v>
      </c>
      <c r="H125" s="4" t="s">
        <v>466</v>
      </c>
      <c r="I125" s="2">
        <v>1.0</v>
      </c>
      <c r="J125" s="5" t="str">
        <f>IFERROR(__xludf.DUMMYFUNCTION("GOOGLETRANSLATE(A125)"),"Avito")</f>
        <v>Avito</v>
      </c>
      <c r="K125" s="6" t="str">
        <f>IFERROR(__xludf.DUMMYFUNCTION("GOOGLETRANSLATE(B125)"),"Avito career - about the company")</f>
        <v>Avito career - about the company</v>
      </c>
      <c r="M125" s="5" t="str">
        <f>IFERROR(__xludf.DUMMYFUNCTION("GOOGLETRANSLATE(G125)"),"Become part of the Avitonation-Research team of the Avitonalist ANDISTICALISTICALICALICALICENTICAL Service Management Management Product Management Management Business Management M&amp;A M&amp;A Partnerships and Partnerships and GR teammates and GR teammate-free-"&amp;"service work of service. torture buyer -cmemification products of the technician Platformation and safety -based platformation and recommendations for the project monetization and ads swat installations of the value of career, a part of the team of vitrio"&amp;"s of technology, we help people and businesses simplifying the solution of any problems From everyday to the most important Vacancies, the vocancies of the Avito Avito №1 ads of ads in the world No. 6v list of the most expensive Internet companies in Russ"&amp;"ia according to the Forbes10 transactions are actively examined, five vertical commands of the business are earned every second, you can know them as categories for Avitovari-E-E-E-Business. Clushes of service in Avito - This is a daily challenge and cons"&amp;"tant development, we visit the conferences, we participate in hackathons, we carry out trainings and mitaps work with leading experts. Comfortable environment helps to solve complex and interesting tasks of adulthood BonusDv in Moscow in St. Petersburg Ka"&amp;"zan and Samarevoy offices in Moscow of St. Petersburg Kazan and Samarabiy Offices in Moscow of Petersburg Kazan and Samarevyaty offices in Moscow of St. Petersburg Kazan and Samarevyaty offices in Moscow of St. Petersburg Kazan and Samara DMS with dentist"&amp;"ry Gibs to the format and place of work of the passengraval in the office-bibliotekida to promote the ads for fitness courses at the expense of the company-inspecting environment, and therefore there is a positive pressure and the calls from the team And "&amp;"leaders, so only in such conditions, breakthroughs occur. Such pressure inspires and motivates people without bringing with themselves fear of possible failures. Working on strong goals, we completely give ourselves to work and after they achieve them, we"&amp;" celebrate victory together. Words do not disperse with the case, having agreed on something, we do everything to implement the decision. We behave in accordance with the principles that we declare an example to other employees. We remember that culture i"&amp;"s how we act and not what we say or write on the walls. We are conscious of many talented and enthusiastic people - we accept each other's identity only by the achieved results and the desire to develop. We are freely interesting and safe together. United"&amp;" by mutual confidence, we achieve synergia and show that in this case 1+1 is much more than 2. Communications are transparent, we honestly maintain constructiveness and mutual respect for the individual. Conflicts happening to us are conflicts of ideas an"&amp;"d not people. An open environment for the exchange of information is the key to trust. High involvement is several key things that affect our desire to be and work in Avito and we pay special attention to them:-You have interesting tasks.-next to you are "&amp;"people who can and want to learn something.-You take time Professional and personal development. - You feel like a part of the team and feel that they are waiting for you. - You see that your work changes the world for the better. Life in Avito, after off"&amp;"raising, in social networks, than living, we work and rest 414 vacancies to open vacancies in Telegram Office in Moscow ul. Lesnaya 7 Office in St. Petersburg Malokhtinsky Ave. 64 liters B office in Kazan st. Moscow health. 19/8 office in Samara st. Novo-"&amp;"Sadovaya d. 160d PP 2 developed about the value of the company are indicated on the basis of the Forbes rating. The monthly audience of Avito is 50 million users - according to Yandex.Radar for June 2020. 49% of businesses are already working with Avito-a"&amp;"ccording to the study of B2V Rust LLC, conducted in April-May 2020.")</f>
        <v>Become part of the Avitonation-Research team of the Avitonalist ANDISTICALISTICALICALICALICENTICAL Service Management Management Product Management Management Business Management M&amp;A M&amp;A Partnerships and Partnerships and GR teammates and GR teammate-free-service work of service. torture buyer -cmemification products of the technician Platformation and safety -based platformation and recommendations for the project monetization and ads swat installations of the value of career, a part of the team of vitrios of technology, we help people and businesses simplifying the solution of any problems From everyday to the most important Vacancies, the vocancies of the Avito Avito №1 ads of ads in the world No. 6v list of the most expensive Internet companies in Russia according to the Forbes10 transactions are actively examined, five vertical commands of the business are earned every second, you can know them as categories for Avitovari-E-E-E-Business. Clushes of service in Avito - This is a daily challenge and constant development, we visit the conferences, we participate in hackathons, we carry out trainings and mitaps work with leading experts. Comfortable environment helps to solve complex and interesting tasks of adulthood BonusDv in Moscow in St. Petersburg Kazan and Samarevoy offices in Moscow of St. Petersburg Kazan and Samarabiy Offices in Moscow of Petersburg Kazan and Samarevyaty offices in Moscow of St. Petersburg Kazan and Samarevyaty offices in Moscow of St. Petersburg Kazan and Samara DMS with dentistry Gibs to the format and place of work of the passengraval in the office-bibliotekida to promote the ads for fitness courses at the expense of the company-inspecting environment, and therefore there is a positive pressure and the calls from the team And leaders, so only in such conditions, breakthroughs occur. Such pressure inspires and motivates people without bringing with themselves fear of possible failures. Working on strong goals, we completely give ourselves to work and after they achieve them, we celebrate victory together. Words do not disperse with the case, having agreed on something, we do everything to implement the decision. We behave in accordance with the principles that we declare an example to other employees. We remember that culture is how we act and not what we say or write on the walls. We are conscious of many talented and enthusiastic people - we accept each other's identity only by the achieved results and the desire to develop. We are freely interesting and safe together. United by mutual confidence, we achieve synergia and show that in this case 1+1 is much more than 2. Communications are transparent, we honestly maintain constructiveness and mutual respect for the individual. Conflicts happening to us are conflicts of ideas and not people. An open environment for the exchange of information is the key to trust. High involvement is several key things that affect our desire to be and work in Avito and we pay special attention to them:-You have interesting tasks.-next to you are people who can and want to learn something.-You take time Professional and personal development. - You feel like a part of the team and feel that they are waiting for you. - You see that your work changes the world for the better. Life in Avito, after offraising, in social networks, than living, we work and rest 414 vacancies to open vacancies in Telegram Office in Moscow ul. Lesnaya 7 Office in St. Petersburg Malokhtinsky Ave. 64 liters B office in Kazan st. Moscow health. 19/8 office in Samara st. Novo-Sadovaya d. 160d PP 2 developed about the value of the company are indicated on the basis of the Forbes rating. The monthly audience of Avito is 50 million users - according to Yandex.Radar for June 2020. 49% of businesses are already working with Avito-according to the study of B2V Rust LLC, conducted in April-May 2020.</v>
      </c>
    </row>
    <row r="126">
      <c r="A126" s="1" t="s">
        <v>395</v>
      </c>
      <c r="B126" s="1" t="s">
        <v>467</v>
      </c>
      <c r="C126" s="1" t="s">
        <v>468</v>
      </c>
      <c r="D126" s="1">
        <v>11.0</v>
      </c>
      <c r="E126" s="4" t="s">
        <v>469</v>
      </c>
      <c r="F126" s="1" t="s">
        <v>43</v>
      </c>
      <c r="I126" s="2">
        <v>1.0</v>
      </c>
      <c r="J126" s="5" t="str">
        <f>IFERROR(__xludf.DUMMYFUNCTION("GOOGLETRANSLATE(A126)"),"Avito")</f>
        <v>Avito</v>
      </c>
      <c r="K126" s="6" t="str">
        <f>IFERROR(__xludf.DUMMYFUNCTION("GOOGLETRANSLATE(B126)"),"Avito - Crunchbase Company Profile &amp; Funding")</f>
        <v>Avito - Crunchbase Company Profile &amp; Funding</v>
      </c>
      <c r="L126" s="5" t="str">
        <f>IFERROR(__xludf.DUMMYFUNCTION("GOOGLETRANSLATE(C126)"),"Avito is a classified advertisements platform that allows users to buy and sell used cars, clothes, real estate, and other accessories.")</f>
        <v>Avito is a classified advertisements platform that allows users to buy and sell used cars, clothes, real estate, and other accessories.</v>
      </c>
      <c r="M126" s="5" t="str">
        <f>IFERROR(__xludf.DUMMYFUNCTION("GOOGLETRANSLATE(G126)"),"#VALUE!")</f>
        <v>#VALUE!</v>
      </c>
    </row>
    <row r="127">
      <c r="A127" s="1" t="s">
        <v>395</v>
      </c>
      <c r="B127" s="1" t="s">
        <v>470</v>
      </c>
      <c r="D127" s="1">
        <v>12.0</v>
      </c>
      <c r="E127" s="4" t="s">
        <v>471</v>
      </c>
      <c r="F127" s="1" t="s">
        <v>43</v>
      </c>
      <c r="G127" s="1" t="s">
        <v>302</v>
      </c>
      <c r="H127" s="4" t="s">
        <v>303</v>
      </c>
      <c r="I127" s="2">
        <v>0.0</v>
      </c>
      <c r="J127" s="5" t="str">
        <f>IFERROR(__xludf.DUMMYFUNCTION("GOOGLETRANSLATE(A127)"),"Avito")</f>
        <v>Avito</v>
      </c>
      <c r="K127" s="6" t="str">
        <f>IFERROR(__xludf.DUMMYFUNCTION("GOOGLETRANSLATE(B127)"),"Kings Avito. How to increase your income by selling things through ...")</f>
        <v>Kings Avito. How to increase your income by selling things through ...</v>
      </c>
      <c r="M127" s="5" t="str">
        <f>IFERROR(__xludf.DUMMYFUNCTION("GOOGLETRANSLATE(G127)"),"Google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28">
      <c r="A128" s="1" t="s">
        <v>395</v>
      </c>
      <c r="B128" s="1" t="s">
        <v>472</v>
      </c>
      <c r="D128" s="1">
        <v>14.0</v>
      </c>
      <c r="E128" s="4" t="s">
        <v>473</v>
      </c>
      <c r="F128" s="1" t="s">
        <v>43</v>
      </c>
      <c r="G128" s="1" t="s">
        <v>302</v>
      </c>
      <c r="H128" s="4" t="s">
        <v>303</v>
      </c>
      <c r="I128" s="2">
        <v>0.0</v>
      </c>
      <c r="J128" s="5" t="str">
        <f>IFERROR(__xludf.DUMMYFUNCTION("GOOGLETRANSLATE(A128)"),"Avito")</f>
        <v>Avito</v>
      </c>
      <c r="K128" s="6" t="str">
        <f>IFERROR(__xludf.DUMMYFUNCTION("GOOGLETRANSLATE(B128)"),"100 ways to increase site attendance")</f>
        <v>100 ways to increase site attendance</v>
      </c>
      <c r="M128" s="5" t="str">
        <f>IFERROR(__xludf.DUMMYFUNCTION("GOOGLETRANSLATE(G128)"),"Google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29">
      <c r="A129" s="1" t="s">
        <v>395</v>
      </c>
      <c r="B129" s="1" t="s">
        <v>474</v>
      </c>
      <c r="D129" s="1">
        <v>15.0</v>
      </c>
      <c r="E129" s="4" t="s">
        <v>475</v>
      </c>
      <c r="F129" s="1" t="s">
        <v>43</v>
      </c>
      <c r="G129" s="1" t="s">
        <v>273</v>
      </c>
      <c r="H129" s="4" t="s">
        <v>476</v>
      </c>
      <c r="I129" s="2">
        <v>3.0</v>
      </c>
      <c r="J129" s="5" t="str">
        <f>IFERROR(__xludf.DUMMYFUNCTION("GOOGLETRANSLATE(A129)"),"Avito")</f>
        <v>Avito</v>
      </c>
      <c r="K129" s="6" t="str">
        <f>IFERROR(__xludf.DUMMYFUNCTION("GOOGLETRANSLATE(B129)"),"Avito | VerIfied")</f>
        <v>Avito | VerIfied</v>
      </c>
      <c r="M129" s="5" t="str">
        <f>IFERROR(__xludf.DUMMYFUNCTION("GOOGLETRANSLATE(G129)"),"Update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30">
      <c r="A130" s="1" t="s">
        <v>395</v>
      </c>
      <c r="B130" s="1" t="s">
        <v>477</v>
      </c>
      <c r="D130" s="1">
        <v>16.0</v>
      </c>
      <c r="E130" s="4" t="s">
        <v>478</v>
      </c>
      <c r="F130" s="1" t="s">
        <v>43</v>
      </c>
      <c r="G130" s="1" t="s">
        <v>302</v>
      </c>
      <c r="H130" s="4" t="s">
        <v>303</v>
      </c>
      <c r="I130" s="2">
        <v>3.0</v>
      </c>
      <c r="J130" s="5" t="str">
        <f>IFERROR(__xludf.DUMMYFUNCTION("GOOGLETRANSLATE(A130)"),"Avito")</f>
        <v>Avito</v>
      </c>
      <c r="K130" s="6" t="str">
        <f>IFERROR(__xludf.DUMMYFUNCTION("GOOGLETRANSLATE(B130)"),"Hakni Barakholki for 150k per month - the result from Google Book")</f>
        <v>Hakni Barakholki for 150k per month - the result from Google Book</v>
      </c>
      <c r="M130" s="5" t="str">
        <f>IFERROR(__xludf.DUMMYFUNCTION("GOOGLETRANSLATE(G130)"),"Google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31">
      <c r="A131" s="1" t="s">
        <v>395</v>
      </c>
      <c r="B131" s="1" t="s">
        <v>479</v>
      </c>
      <c r="D131" s="1">
        <v>28.0</v>
      </c>
      <c r="E131" s="4" t="s">
        <v>480</v>
      </c>
      <c r="F131" s="1" t="s">
        <v>43</v>
      </c>
      <c r="G131" s="1" t="s">
        <v>120</v>
      </c>
      <c r="H131" s="4" t="s">
        <v>121</v>
      </c>
      <c r="I131" s="2">
        <v>0.0</v>
      </c>
      <c r="J131" s="5" t="str">
        <f>IFERROR(__xludf.DUMMYFUNCTION("GOOGLETRANSLATE(A131)"),"Avito")</f>
        <v>Avito</v>
      </c>
      <c r="K131" s="6" t="str">
        <f>IFERROR(__xludf.DUMMYFUNCTION("GOOGLETRANSLATE(B131)"),"Avito.ru: Applications for Android in ...")</f>
        <v>Avito.ru: Applications for Android in ...</v>
      </c>
      <c r="M131" s="5" t="str">
        <f>IFERROR(__xludf.DUMMYFUNCTION("GOOGLETRANSLATE(G131)"),"Android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32">
      <c r="A132" s="1" t="s">
        <v>395</v>
      </c>
      <c r="B132" s="1" t="s">
        <v>481</v>
      </c>
      <c r="D132" s="1">
        <v>33.0</v>
      </c>
      <c r="E132" s="4" t="s">
        <v>482</v>
      </c>
      <c r="F132" s="1" t="s">
        <v>43</v>
      </c>
      <c r="G132" s="1" t="s">
        <v>302</v>
      </c>
      <c r="H132" s="4" t="s">
        <v>303</v>
      </c>
      <c r="I132" s="2">
        <v>3.0</v>
      </c>
      <c r="J132" s="5" t="str">
        <f>IFERROR(__xludf.DUMMYFUNCTION("GOOGLETRANSLATE(A132)"),"Avito")</f>
        <v>Avito</v>
      </c>
      <c r="K132" s="6" t="str">
        <f>IFERROR(__xludf.DUMMYFUNCTION("GOOGLETRANSLATE(B132)"),"Kama Sutra for a tutor. 173 ways to find a student")</f>
        <v>Kama Sutra for a tutor. 173 ways to find a student</v>
      </c>
      <c r="M132" s="5" t="str">
        <f>IFERROR(__xludf.DUMMYFUNCTION("GOOGLETRANSLATE(G132)"),"Google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33">
      <c r="A133" s="1" t="s">
        <v>395</v>
      </c>
      <c r="B133" s="1" t="s">
        <v>477</v>
      </c>
      <c r="D133" s="1">
        <v>35.0</v>
      </c>
      <c r="E133" s="4" t="s">
        <v>483</v>
      </c>
      <c r="F133" s="1" t="s">
        <v>43</v>
      </c>
      <c r="G133" s="1" t="s">
        <v>302</v>
      </c>
      <c r="H133" s="4" t="s">
        <v>303</v>
      </c>
      <c r="I133" s="2">
        <v>3.0</v>
      </c>
      <c r="J133" s="5" t="str">
        <f>IFERROR(__xludf.DUMMYFUNCTION("GOOGLETRANSLATE(A133)"),"Avito")</f>
        <v>Avito</v>
      </c>
      <c r="K133" s="6" t="str">
        <f>IFERROR(__xludf.DUMMYFUNCTION("GOOGLETRANSLATE(B133)"),"Hakni Barakholki for 150k per month - the result from Google Book")</f>
        <v>Hakni Barakholki for 150k per month - the result from Google Book</v>
      </c>
      <c r="M133" s="5" t="str">
        <f>IFERROR(__xludf.DUMMYFUNCTION("GOOGLETRANSLATE(G133)"),"Google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34">
      <c r="A134" s="1" t="s">
        <v>484</v>
      </c>
      <c r="B134" s="1" t="s">
        <v>485</v>
      </c>
      <c r="D134" s="1">
        <v>1.0</v>
      </c>
      <c r="E134" s="4" t="s">
        <v>486</v>
      </c>
      <c r="F134" s="1" t="s">
        <v>16</v>
      </c>
      <c r="G134" s="1" t="s">
        <v>487</v>
      </c>
      <c r="H134" s="4" t="s">
        <v>488</v>
      </c>
      <c r="I134" s="2">
        <v>4.0</v>
      </c>
      <c r="J134" s="5" t="str">
        <f>IFERROR(__xludf.DUMMYFUNCTION("GOOGLETRANSLATE(A134)"),"vildberry")</f>
        <v>vildberry</v>
      </c>
      <c r="K134" s="6" t="str">
        <f>IFERROR(__xludf.DUMMYFUNCTION("GOOGLETRANSLATE(B134)"),"Wildberries-online store of fashionable clothes and shoes")</f>
        <v>Wildberries-online store of fashionable clothes and shoes</v>
      </c>
      <c r="M134" s="5" t="str">
        <f>IFERROR(__xludf.DUMMYFUNCTION("GOOGLETRANSLATE(G134)"),"In order")</f>
        <v>In order</v>
      </c>
    </row>
    <row r="135">
      <c r="A135" s="1" t="s">
        <v>484</v>
      </c>
      <c r="B135" s="1" t="s">
        <v>489</v>
      </c>
      <c r="D135" s="1">
        <v>2.0</v>
      </c>
      <c r="E135" s="4" t="s">
        <v>490</v>
      </c>
      <c r="F135" s="1" t="s">
        <v>16</v>
      </c>
      <c r="G135" s="1" t="s">
        <v>34</v>
      </c>
      <c r="H135" s="4" t="s">
        <v>35</v>
      </c>
      <c r="I135" s="2">
        <v>5.0</v>
      </c>
      <c r="J135" s="5" t="str">
        <f>IFERROR(__xludf.DUMMYFUNCTION("GOOGLETRANSLATE(A135)"),"vildberry")</f>
        <v>vildberry</v>
      </c>
      <c r="K135" s="6" t="str">
        <f>IFERROR(__xludf.DUMMYFUNCTION("GOOGLETRANSLATE(B135)"),"WILDBERRIES")</f>
        <v>WILDBERRIES</v>
      </c>
      <c r="M135" s="5" t="str">
        <f>IFERROR(__xludf.DUMMYFUNCTION("GOOGLETRANSLATE(G135)"),"VK.com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36">
      <c r="A136" s="1" t="s">
        <v>484</v>
      </c>
      <c r="B136" s="1" t="s">
        <v>491</v>
      </c>
      <c r="D136" s="1">
        <v>3.0</v>
      </c>
      <c r="E136" s="4" t="s">
        <v>492</v>
      </c>
      <c r="F136" s="1" t="s">
        <v>16</v>
      </c>
      <c r="G136" s="1" t="s">
        <v>120</v>
      </c>
      <c r="H136" s="4" t="s">
        <v>121</v>
      </c>
      <c r="I136" s="2">
        <v>4.0</v>
      </c>
      <c r="J136" s="5" t="str">
        <f>IFERROR(__xludf.DUMMYFUNCTION("GOOGLETRANSLATE(A136)"),"vildberry")</f>
        <v>vildberry</v>
      </c>
      <c r="K136" s="6" t="str">
        <f>IFERROR(__xludf.DUMMYFUNCTION("GOOGLETRANSLATE(B136)"),"Wildberries - Apps on Google Play")</f>
        <v>Wildberries - Apps on Google Play</v>
      </c>
      <c r="M136" s="5" t="str">
        <f>IFERROR(__xludf.DUMMYFUNCTION("GOOGLETRANSLATE(G136)"),"Android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37">
      <c r="A137" s="1" t="s">
        <v>484</v>
      </c>
      <c r="B137" s="1" t="s">
        <v>493</v>
      </c>
      <c r="D137" s="1">
        <v>4.0</v>
      </c>
      <c r="E137" s="4" t="s">
        <v>494</v>
      </c>
      <c r="F137" s="1" t="s">
        <v>16</v>
      </c>
      <c r="G137" s="1" t="s">
        <v>495</v>
      </c>
      <c r="H137" s="1" t="s">
        <v>496</v>
      </c>
      <c r="I137" s="2">
        <v>1.0</v>
      </c>
      <c r="J137" s="5" t="str">
        <f>IFERROR(__xludf.DUMMYFUNCTION("GOOGLETRANSLATE(A137)"),"vildberry")</f>
        <v>vildberry</v>
      </c>
      <c r="K137" s="6" t="str">
        <f>IFERROR(__xludf.DUMMYFUNCTION("GOOGLETRANSLATE(B137)"),"Wildberries-a fashionable online store of clothing, shoes and ...")</f>
        <v>Wildberries-a fashionable online store of clothing, shoes and ...</v>
      </c>
      <c r="M137" s="5" t="str">
        <f>IFERROR(__xludf.DUMMYFUNCTION("GOOGLETRANSLATE(G137)"),"Wildberries-a fashionable online store of shoes and accessories. Wildberries Wildberries-a fashionable online store of shoe and accessories is available in the following countries of Russia Belarus Kazakhstan Kazakhstanya Ekistan O'zbekiston Israel ישראל "&amp;"2004- © Wildberries. All rights reserved.")</f>
        <v>Wildberries-a fashionable online store of shoes and accessories. Wildberries Wildberries-a fashionable online store of shoe and accessories is available in the following countries of Russia Belarus Kazakhstan Kazakhstanya Ekistan O'zbekiston Israel ישראל 2004- © Wildberries. All rights reserved.</v>
      </c>
    </row>
    <row r="138">
      <c r="A138" s="1" t="s">
        <v>484</v>
      </c>
      <c r="B138" s="1" t="s">
        <v>497</v>
      </c>
      <c r="D138" s="1">
        <v>5.0</v>
      </c>
      <c r="E138" s="4" t="s">
        <v>498</v>
      </c>
      <c r="F138" s="1" t="s">
        <v>16</v>
      </c>
      <c r="G138" s="1" t="s">
        <v>31</v>
      </c>
      <c r="H138" s="4" t="s">
        <v>32</v>
      </c>
      <c r="I138" s="2">
        <v>1.0</v>
      </c>
      <c r="J138" s="5" t="str">
        <f>IFERROR(__xludf.DUMMYFUNCTION("GOOGLETRANSLATE(A138)"),"vildberry")</f>
        <v>vildberry</v>
      </c>
      <c r="K138" s="6" t="str">
        <f>IFERROR(__xludf.DUMMYFUNCTION("GOOGLETRANSLATE(B138)"),"Wildberries - Wikipedia")</f>
        <v>Wildberries - Wikipedia</v>
      </c>
      <c r="M138" s="5" t="str">
        <f>IFERROR(__xludf.DUMMYFUNCTION("GOOGLETRANSLATE(G138)"),"Wikipedia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39">
      <c r="A139" s="1" t="s">
        <v>484</v>
      </c>
      <c r="B139" s="1" t="s">
        <v>499</v>
      </c>
      <c r="D139" s="1">
        <v>6.0</v>
      </c>
      <c r="E139" s="4" t="s">
        <v>500</v>
      </c>
      <c r="F139" s="1" t="s">
        <v>16</v>
      </c>
      <c r="G139" s="1" t="s">
        <v>120</v>
      </c>
      <c r="H139" s="4" t="s">
        <v>121</v>
      </c>
      <c r="I139" s="2">
        <v>3.0</v>
      </c>
      <c r="J139" s="5" t="str">
        <f>IFERROR(__xludf.DUMMYFUNCTION("GOOGLETRANSLATE(A139)"),"vildberry")</f>
        <v>vildberry</v>
      </c>
      <c r="K139" s="6" t="str">
        <f>IFERROR(__xludf.DUMMYFUNCTION("GOOGLETRANSLATE(B139)"),"Wildberries - Google Play apps")</f>
        <v>Wildberries - Google Play apps</v>
      </c>
      <c r="M139" s="5" t="str">
        <f>IFERROR(__xludf.DUMMYFUNCTION("GOOGLETRANSLATE(G139)"),"Android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40">
      <c r="A140" s="1" t="s">
        <v>484</v>
      </c>
      <c r="B140" s="1" t="s">
        <v>501</v>
      </c>
      <c r="D140" s="1">
        <v>7.0</v>
      </c>
      <c r="E140" s="4" t="s">
        <v>502</v>
      </c>
      <c r="F140" s="1" t="s">
        <v>16</v>
      </c>
      <c r="G140" s="1" t="s">
        <v>97</v>
      </c>
      <c r="H140" s="4" t="s">
        <v>98</v>
      </c>
      <c r="I140" s="2">
        <v>3.0</v>
      </c>
      <c r="J140" s="5" t="str">
        <f>IFERROR(__xludf.DUMMYFUNCTION("GOOGLETRANSLATE(A140)"),"vildberry")</f>
        <v>vildberry</v>
      </c>
      <c r="K140" s="6" t="str">
        <f>IFERROR(__xludf.DUMMYFUNCTION("GOOGLETRANSLATE(B140)"),"Wildberries - App Store")</f>
        <v>Wildberries - App Store</v>
      </c>
      <c r="M140" s="5" t="str">
        <f>IFERROR(__xludf.DUMMYFUNCTION("GOOGLETRANSLATE(G140)"),"App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141">
      <c r="A141" s="1" t="s">
        <v>484</v>
      </c>
      <c r="B141" s="1" t="s">
        <v>503</v>
      </c>
      <c r="D141" s="1">
        <v>8.0</v>
      </c>
      <c r="E141" s="4" t="s">
        <v>504</v>
      </c>
      <c r="F141" s="1" t="s">
        <v>16</v>
      </c>
      <c r="G141" s="1" t="s">
        <v>273</v>
      </c>
      <c r="H141" s="4" t="s">
        <v>274</v>
      </c>
      <c r="I141" s="2">
        <v>3.0</v>
      </c>
      <c r="J141" s="5" t="str">
        <f>IFERROR(__xludf.DUMMYFUNCTION("GOOGLETRANSLATE(A141)"),"vildberry")</f>
        <v>vildberry</v>
      </c>
      <c r="K141" s="6" t="str">
        <f>IFERROR(__xludf.DUMMYFUNCTION("GOOGLETRANSLATE(B141)"),"WILDBERRIES OFFICIAL (@wildberriesru)")</f>
        <v>WILDBERRIES OFFICIAL (@wildberriesru)</v>
      </c>
      <c r="M141" s="5" t="str">
        <f>IFERROR(__xludf.DUMMYFUNCTION("GOOGLETRANSLATE(G141)"),"Update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42">
      <c r="A142" s="1" t="s">
        <v>484</v>
      </c>
      <c r="B142" s="1" t="s">
        <v>505</v>
      </c>
      <c r="D142" s="1">
        <v>9.0</v>
      </c>
      <c r="E142" s="4" t="s">
        <v>506</v>
      </c>
      <c r="F142" s="1" t="s">
        <v>16</v>
      </c>
      <c r="G142" s="1" t="s">
        <v>38</v>
      </c>
      <c r="H142" s="4" t="s">
        <v>39</v>
      </c>
      <c r="I142" s="2">
        <v>3.0</v>
      </c>
      <c r="J142" s="5" t="str">
        <f>IFERROR(__xludf.DUMMYFUNCTION("GOOGLETRANSLATE(A142)"),"vildberry")</f>
        <v>vildberry</v>
      </c>
      <c r="K142" s="6" t="str">
        <f>IFERROR(__xludf.DUMMYFUNCTION("GOOGLETRANSLATE(B142)"),"wildberries")</f>
        <v>wildberries</v>
      </c>
      <c r="M142" s="5" t="str">
        <f>IFERROR(__xludf.DUMMYFUNCTION("GOOGLETRANSLATE(G142)"),"YouTubeAboutPressCopyrightContact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43">
      <c r="A143" s="1" t="s">
        <v>484</v>
      </c>
      <c r="B143" s="1" t="s">
        <v>507</v>
      </c>
      <c r="D143" s="1">
        <v>10.0</v>
      </c>
      <c r="E143" s="4" t="s">
        <v>508</v>
      </c>
      <c r="F143" s="1" t="s">
        <v>16</v>
      </c>
      <c r="G143" s="1" t="s">
        <v>509</v>
      </c>
      <c r="H143" s="4" t="s">
        <v>510</v>
      </c>
      <c r="I143" s="2">
        <v>3.0</v>
      </c>
      <c r="J143" s="5" t="str">
        <f>IFERROR(__xludf.DUMMYFUNCTION("GOOGLETRANSLATE(A143)"),"vildberry")</f>
        <v>vildberry</v>
      </c>
      <c r="K143" s="6" t="str">
        <f>IFERROR(__xludf.DUMMYFUNCTION("GOOGLETRANSLATE(B143)"),"Wildberries-online store of fashionable clothes, shoes and ...")</f>
        <v>Wildberries-online store of fashionable clothes, shoes and ...</v>
      </c>
      <c r="M143" s="5" t="str">
        <f>IFERROR(__xludf.DUMMYFUNCTION("GOOGLETRANSLATE(G143)"),"Wildberries-online store of fashionable shoes and accessories:")</f>
        <v>Wildberries-online store of fashionable shoes and accessories:</v>
      </c>
    </row>
    <row r="144">
      <c r="A144" s="1" t="s">
        <v>484</v>
      </c>
      <c r="B144" s="1" t="s">
        <v>511</v>
      </c>
      <c r="D144" s="1">
        <v>11.0</v>
      </c>
      <c r="E144" s="4" t="s">
        <v>512</v>
      </c>
      <c r="F144" s="1" t="s">
        <v>16</v>
      </c>
      <c r="G144" s="1" t="s">
        <v>448</v>
      </c>
      <c r="H144" s="4" t="s">
        <v>449</v>
      </c>
      <c r="I144" s="2">
        <v>3.0</v>
      </c>
      <c r="J144" s="5" t="str">
        <f>IFERROR(__xludf.DUMMYFUNCTION("GOOGLETRANSLATE(A144)"),"vildberry")</f>
        <v>vildberry</v>
      </c>
      <c r="K144" s="6" t="str">
        <f>IFERROR(__xludf.DUMMYFUNCTION("GOOGLETRANSLATE(B144)"),"Wildberries vacancies - work in Moscow ...")</f>
        <v>Wildberries vacancies - work in Moscow ...</v>
      </c>
      <c r="M144" s="5" t="str">
        <f>IFERROR(__xludf.DUMMYFUNCTION("GOOGLETRANSLATE(G144)"),"Work in Moscow Search for personnel and publishing vacancies - HH.ru. Working with our site, you need to include JavaScript in your browser. Curi -mosquito -workers, ready -made resumes -wise advice, help, work to make a resumes -winging system finding an"&amp;" employee 65,757 425 haste1 4102 vacancies2 088 561 compliance with the phone so that employers can offer you work to confirm to confirm that you do not introduce the text from the picture: the other text of the text “continue” you confirm that you are fa"&amp;"miliarized with the “Agreement on the provision of assistance in employment (Offer)” Vacancies of the day of the day 7649 Vacanceism of the house83707 Vacancies 72000 to 89 000 000 ₽Rabotahr Moscow employee restaurant 50,000 to 70000 ₽ Dododo pizza (DPM N"&amp;"orth) Moskvalichny assistant psychologist 50,000 to 250,000 ₽ Guphanina Alina Borisovna Moskovaristat 74000 to 91000 ₽ Fleet Moscow Administrator in the hot yogi -2000 to 50,000 ₽Bikram .ru Yoga Moskvalichny driver 100,000 to 120,000 ₽ Hihitrova Anastasia"&amp;" Viktorovna Moskvannoye seller-cashier/Administrator 60,000 ₽ Bukhaev Yusup Sydemyeva Moskvypskor (guard) in the clinic 80,000 to 80,000 ₽ Krapetvei ₽ Defeditrum 87 000 to 121000 ₽rabotahr Moscow Moscow 60,000 to 140,000 ₽ Bukhaev Yusup Saidemeyeva Moscow"&amp;" -Semey driver to 1,20,000 to 140,000 ₽ INSITS Moskovo View all work in the Moscow Automobile Administrative Personnel Safe and Medium Management of the Raw Personnel Management Service -Schools Logiiiscence of entertainment of mass mediamarketing adverti"&amp;"sing PRMMedicin pharmaceuticals Education Production Service Service Service Production Service Maintenance Worker Personnel Trade Trade Clubs Fitness Salons Beauty Strategia Investment Consulting Storestroe Real Estate Sports Transportation Transportuisc"&amp;"ent Hotel Restaurant Management by personnel Training and Office of the Emergenary Gholoset in the rating 000 000 and more work in November with daily payments-welding November with a salary of 150 000 ₽ Vacancia November for managers with a salary of 150"&amp;" 000 ₽, not to spoil the impression of themselves with activity in social networks, to become an accountant from scratch ""R-Farm"": to live a full life and benefit people ""Pentorochka"": how to become the owner of a business and workshop for programmers"&amp;" for engineering for engineering for engineering for engineering The sales manager for directorship for administrator work for marketer work for design will be designed for lawyers in other cities in the Zagoryansk work in Moscow work in prompt work in lo"&amp;"ng -term work in driving work in shopatin work in Bobrov work in Mytishchkhnich work in the Khimki -work in Russia, most of the life of almost every of us. But nothing forever: it happens that one day you have to change the place of work and plunge with y"&amp;"our head in search of vacancies - I want to find a good alternative to the current position. Often when changing work, we think not only about changing the company but also about changing professional activities. And it is at these moments that the questi"&amp;"on arises: “How to find a good job in Moscow now? And most importantly, what should this work be? ”Showing it completely to solve such issues easily and quickly just go to hh.ru! On our website you can always find out the latest labor market news and also"&amp;" study a fresh review of salaries with which it is easy to evaluate what Positions should be aiming. If you have already determined the vacancies of which specialties you are interested in only you can create a resume and start searching for a dream work!"&amp;" It is most convenient to look for a job using our vacancies catalog: by clicking in the mouse, you will get a list of relevant and high -quality vacancies in the Moscow or other region of Russia. But this is not the only option for searching for work. On"&amp;" our site you can create an attractive resume and vacancies will begin to flock to you! And having combined both of these methods, you can get the fastest and most importantly effective way to search for work! Create a summary of the application vacancies"&amp;" answers to responses and access to a resume - always at your fingertips. Just enter the phone camera on the QR-CODDHUNTERO company of the company's vacancies for the site of the personal data of personal data-safety Headhunteretika and complianceheadHunt"&amp;"er Apartneadhunter of the provision of the service of the use of the site and articles of labor in the company of Russian serial workshops SE for applicants for reservations Service Prophorus. Processing Summies Summary for you to work for a production ca"&amp;"lendar expert recommendation with a young specialist for young specialists of the School School School Upon -residents of employees, consonant of the company, by professionals, near the metro notification in the Messengeryswitch to English © 2023 Hadhante"&amp;"r LLC, HH.ru information resource applies (information technologies for the provision of information on the systematization and analysis of information related to the preferences of users of the Internet. Russian Federation) Today on the site 1410102 vaca"&amp;"ncies 65757425 resume 2088561 Company and in a week 3611017 invitations subscribe to the Push notifications of HH.ru now subscribe now")</f>
        <v>Work in Moscow Search for personnel and publishing vacancies - HH.ru. Working with our site, you need to include JavaScript in your browser. Curi -mosquito -workers, ready -made resumes -wise advice, help, work to make a resumes -winging system finding an employee 65,757 425 haste1 4102 vacancies2 088 561 compliance with the phone so that employers can offer you work to confirm to confirm that you do not introduce the text from the picture: the other text of the text “continue” you confirm that you are familiarized with the “Agreement on the provision of assistance in employment (Offer)” Vacancies of the day of the day 7649 Vacanceism of the house83707 Vacancies 72000 to 89 000 000 ₽Rabotahr Moscow employee restaurant 50,000 to 70000 ₽ Dododo pizza (DPM North) Moskvalichny assistant psychologist 50,000 to 250,000 ₽ Guphanina Alina Borisovna Moskovaristat 74000 to 91000 ₽ Fleet Moscow Administrator in the hot yogi -2000 to 50,000 ₽Bikram .ru Yoga Moskvalichny driver 100,000 to 120,000 ₽ Hihitrova Anastasia Viktorovna Moskvannoye seller-cashier/Administrator 60,000 ₽ Bukhaev Yusup Sydemyeva Moskvypskor (guard) in the clinic 80,000 to 80,000 ₽ Krapetvei ₽ Defeditrum 87 000 to 121000 ₽rabotahr Moscow Moscow 60,000 to 140,000 ₽ Bukhaev Yusup Saidemeyeva Moscow -Semey driver to 1,20,000 to 140,000 ₽ INSITS Moskovo View all work in the Moscow Automobile Administrative Personnel Safe and Medium Management of the Raw Personnel Management Service -Schools Logiiiscence of entertainment of mass mediamarketing advertising PRMMedicin pharmaceuticals Education Production Service Service Service Production Service Maintenance Worker Personnel Trade Trade Clubs Fitness Salons Beauty Strategia Investment Consulting Storestroe Real Estate Sports Transportation Transportuiscent Hotel Restaurant Management by personnel Training and Office of the Emergenary Gholoset in the rating 000 000 and more work in November with daily payments-welding November with a salary of 150 000 ₽ Vacancia November for managers with a salary of 150 000 ₽, not to spoil the impression of themselves with activity in social networks, to become an accountant from scratch "R-Farm": to live a full life and benefit people "Pentorochka": how to become the owner of a business and workshop for programmers for engineering for engineering for engineering for engineering The sales manager for directorship for administrator work for marketer work for design will be designed for lawyers in other cities in the Zagoryansk work in Moscow work in prompt work in long -term work in driving work in shopatin work in Bobrov work in Mytishchkhnich work in the Khimki -work in Russia, most of the life of almost every of us. But nothing forever: it happens that one day you have to change the place of work and plunge with your head in search of vacancies - I want to find a good alternative to the current position. Often when changing work, we think not only about changing the company but also about changing professional activities. And it is at these moments that the question arises: “How to find a good job in Moscow now? And most importantly, what should this work be? ”Showing it completely to solve such issues easily and quickly just go to hh.ru! On our website you can always find out the latest labor market news and also study a fresh review of salaries with which it is easy to evaluate what Positions should be aiming. If you have already determined the vacancies of which specialties you are interested in only you can create a resume and start searching for a dream work! It is most convenient to look for a job using our vacancies catalog: by clicking in the mouse, you will get a list of relevant and high -quality vacancies in the Moscow or other region of Russia. But this is not the only option for searching for work. On our site you can create an attractive resume and vacancies will begin to flock to you! And having combined both of these methods, you can get the fastest and most importantly effective way to search for work! Create a summary of the application vacancies answers to responses and access to a resume - always at your fingertips. Just enter the phone camera on the QR-CODDHUNTERO company of the company's vacancies for the site of the personal data of personal data-safety Headhunteretika and complianceheadHunter Apartneadhunter of the provision of the service of the use of the site and articles of labor in the company of Russian serial workshops SE for applicants for reservations Service Prophorus. Processing Summies Summary for you to work for a production calendar expert recommendation with a young specialist for young specialists of the School School School Upon -residents of employees, consonant of the company, by professionals, near the metro notification in the Messengeryswitch to English © 2023 Hadhanter LLC, HH.ru information resource applies (information technologies for the provision of information on the systematization and analysis of information related to the preferences of users of the Internet. Russian Federation) Today on the site 1410102 vacancies 65757425 resume 2088561 Company and in a week 3611017 invitations subscribe to the Push notifications of HH.ru now subscribe now</v>
      </c>
    </row>
    <row r="145">
      <c r="A145" s="1" t="s">
        <v>484</v>
      </c>
      <c r="B145" s="1" t="s">
        <v>513</v>
      </c>
      <c r="D145" s="1">
        <v>12.0</v>
      </c>
      <c r="E145" s="4" t="s">
        <v>514</v>
      </c>
      <c r="F145" s="1" t="s">
        <v>16</v>
      </c>
      <c r="G145" s="1" t="s">
        <v>336</v>
      </c>
      <c r="H145" s="4" t="s">
        <v>515</v>
      </c>
      <c r="I145" s="2">
        <v>5.0</v>
      </c>
      <c r="J145" s="5" t="str">
        <f>IFERROR(__xludf.DUMMYFUNCTION("GOOGLETRANSLATE(A145)"),"vildberry")</f>
        <v>vildberry</v>
      </c>
      <c r="K145" s="6" t="str">
        <f>IFERROR(__xludf.DUMMYFUNCTION("GOOGLETRANSLATE(B145)"),"Reviews about the Wildberris store")</f>
        <v>Reviews about the Wildberris store</v>
      </c>
      <c r="M145" s="5" t="str">
        <f>IFERROR(__xludf.DUMMYFUNCTION("GOOGLETRANSLATE(G145)"),"Oh!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46">
      <c r="A146" s="1" t="s">
        <v>484</v>
      </c>
      <c r="B146" s="1" t="s">
        <v>516</v>
      </c>
      <c r="D146" s="1">
        <v>13.0</v>
      </c>
      <c r="E146" s="4" t="s">
        <v>517</v>
      </c>
      <c r="F146" s="1" t="s">
        <v>16</v>
      </c>
      <c r="G146" s="1" t="s">
        <v>273</v>
      </c>
      <c r="H146" s="4" t="s">
        <v>476</v>
      </c>
      <c r="I146" s="2">
        <v>0.0</v>
      </c>
      <c r="J146" s="5" t="str">
        <f>IFERROR(__xludf.DUMMYFUNCTION("GOOGLETRANSLATE(A146)"),"vildberry")</f>
        <v>vildberry</v>
      </c>
      <c r="K146" s="6" t="str">
        <f>IFERROR(__xludf.DUMMYFUNCTION("GOOGLETRANSLATE(B146)"),"✓ Wildberries")</f>
        <v>✓ Wildberries</v>
      </c>
      <c r="M146" s="5" t="str">
        <f>IFERROR(__xludf.DUMMYFUNCTION("GOOGLETRANSLATE(G146)"),"Update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47">
      <c r="A147" s="1" t="s">
        <v>484</v>
      </c>
      <c r="B147" s="1" t="s">
        <v>518</v>
      </c>
      <c r="D147" s="1">
        <v>14.0</v>
      </c>
      <c r="E147" s="4" t="s">
        <v>519</v>
      </c>
      <c r="F147" s="1" t="s">
        <v>16</v>
      </c>
      <c r="I147" s="2">
        <v>3.0</v>
      </c>
      <c r="J147" s="5" t="str">
        <f>IFERROR(__xludf.DUMMYFUNCTION("GOOGLETRANSLATE(A147)"),"vildberry")</f>
        <v>vildberry</v>
      </c>
      <c r="K147" s="6" t="str">
        <f>IFERROR(__xludf.DUMMYFUNCTION("GOOGLETRANSLATE(B147)"),"Wildberries - The latest news today")</f>
        <v>Wildberries - The latest news today</v>
      </c>
      <c r="M147" s="5" t="str">
        <f>IFERROR(__xludf.DUMMYFUNCTION("GOOGLETRANSLATE(G147)"),"#VALUE!")</f>
        <v>#VALUE!</v>
      </c>
    </row>
    <row r="148">
      <c r="A148" s="1" t="s">
        <v>484</v>
      </c>
      <c r="B148" s="1" t="s">
        <v>520</v>
      </c>
      <c r="D148" s="1">
        <v>15.0</v>
      </c>
      <c r="E148" s="4" t="s">
        <v>521</v>
      </c>
      <c r="F148" s="1" t="s">
        <v>16</v>
      </c>
      <c r="G148" s="1" t="s">
        <v>522</v>
      </c>
      <c r="H148" s="4" t="s">
        <v>523</v>
      </c>
      <c r="I148" s="2">
        <v>3.0</v>
      </c>
      <c r="J148" s="5" t="str">
        <f>IFERROR(__xludf.DUMMYFUNCTION("GOOGLETRANSLATE(A148)"),"vildberry")</f>
        <v>vildberry</v>
      </c>
      <c r="K148" s="6" t="str">
        <f>IFERROR(__xludf.DUMMYFUNCTION("GOOGLETRANSLATE(B148)"),"Wildberries: Stories from Life, Tips, News ...")</f>
        <v>Wildberries: Stories from Life, Tips, News ...</v>
      </c>
      <c r="M148" s="5" t="str">
        <f>IFERROR(__xludf.DUMMYFUNCTION("GOOGLETRANSLATE(G148)"),"������� � ����� ���������� � ����������� ����� | ���������������������������������������������������������������� ������?������������ �������������� �������										�������� ������� � ���������� � ��������� ������������� ����� � ��� �������� �� ���������"&amp;" ������������ ������.									������� �������� ���� ��� ���� ��������������������� ������������������������������������� ������������������������� ��� � Telegram��� ���������� �GoogleVK �������� ���� ������� ������������� ������� ������NebulaNinja70 �����"&amp;"�dyadka133767 ������DaSeryozno21 �������������� ���� ���						��������											������ ����� ������					�������� ������: ���������� ����� ����������� ��������� �� 7 ���� 🔥������������������ ������ ������������ �� ��������� � ���������� � ��������� �����"&amp;"� � ��� �������� �� ��������� ������������ ������.							������� ��� �����������! ���������� ��������� ����� 😊������� ������������������ �������������� ����������������������������������� ���������� �������������������������������������������� Aliexpress"&amp;"������ ������������ HoffAndroidiOS������� ��������������� ����� ���������� ����� ����� ������. ������������ �������� ��� ����� �� ����� ������� �� ��� ��� �� ������ ������� ��� ����� ������� � ������.Promo message�������� ����������4090													Knight"&amp;"OfSarcasm												7 ����� ���������� �� ���� ���� ��� ��� ������ ��������⁠⁠�������� ���������1 ������ ������ ����� �������� � ������� ����� �� ���� 448				������			7927													NebulaNinja												14 ����� ��������� ��� ���� � ���������� �������"&amp;"�⁠⁠�������� ���������1 �������� ���� ������ �������� ���� ������ ����������������� ����� 343				������			7635													bgafk												14 ����� ����������� ���⁠⁠�������� ���������1 �� ���� �������� �������� ������ 499				������			����������� ���������"&amp;"������													specials												�������� ������: ���������� ������ ���������� �����������⁠⁠���������� ��������� ������ � �������� � ������� ����� ��� ����� ����������� ����� ���� ���������� �������. ������ ��� ��� ��������� ����� ������� ������ ���"&amp;"����������� � ������������. �� � ���� ���� VK ID ����� ������� � ������� � ������� SMS � ���������� ����������� ����� Touch ID � Face ID.�� ���� �� �������� ���������� �� ������ � ������������ ���������� ��������� ��������� ������ � ���������� ����. �����"&amp;"� ��������� � ��� ������ ����� ��������VK ID � ������ ������� ��� ����� � ������� VK � ������ ��� ��������� (������� ������!). � ��� �� ����� ������ ���������������� � ������ ����� ������� � ���������� ��� ���� ������������ �������� � ������������� ������"&amp;" ��������. � ��� � VK ID ������� ���������� OnePass � ����� ������� ������������ ��������������. � ��� ����� ������� � �������� ����� ������������� ���� � ���� ���������� �������. ��� ������� ������� � ����������: ����� ������ ��� ��� ������ ������� �����"&amp;"��� ��� ������.�������� � ��������� OnePass ����� � ����������.������� ��� �� ����������������� ��������������� �������������� ������������ ��������� (������)7260													Ghost687												15 ����� ������������ � ������� ��� ����� ������� ����������"&amp;"⁠⁠���� ������ ������������ ����� ���������� ����� Robert B Weide ��������������� ����� 302				������			155Dr.Lemon ������� � �������: ������ ���� ����� � �� ����������������������� ��������� ��������� «��� �����»8 ����� ����� ����������			������ ������ - "&amp;"� ��� (����������)⁠⁠��������� ����� ����������:�� ������ ������� ����� � ������� �� ����������� ���� ������ ��� ������ ������ ����� ������� ������ � ������ ��� ��������� ����� � � ����� ���� ������� ��������� ����� ��� ��������. ������ ����� �� ��� ������"&amp;": ������� ������ � ������������ ����������� ��� ����� �������� � ������ �� ����� ����������� ��� ����� �������� � ��������.�� ������ ������ ����� ����� �������� ��������� �������� �������� ����� ������ ������� ""� ���"". ������ ��� ���� - ����� ����������"&amp;" �������� � ����� � ������ ��� ������ ������� ������ - ��� ���� ���. ������� ��� ������������ ������� ��� ���� ����� ��������� ��������� ����� ������� ���� ������� �������� � �������� ������� ������ �� ��� �����. ���� ���� � 2016 ���� ����� ������ �������"&amp;" ��� ��� � ���� �� ���� �������. � �� ���� ������ ����.����� ���� ����������� ���������� ����� MP3-���� ������ ������ ��� ������������� � �������� ���������� � ���� � ������.����� ����� ���� ����� �������� ���������?						���� ��������� - � �������� �����"&amp;"� - � ������� ���������� ������� - � ������������ �������: �������� ���������1 1  [���] ����� ���������� ����� �������� ��� �������� �������� ���������� ������ ������ ������� ��� ����� YouTube ���������� 0  ����������				������			3235													Moodvin	"&amp;"											1 ���� �������������� ����⁠⁠��������� ���� ������ ���� ���� �������� ����� ������������ ����� ������ ���� �������� ������ 148				������			2404													mytraveltrip												1 ���� �������� �� 1000 ����⁠⁠��� ������ ����� ��� ����� ��������"&amp;"���� ����� 361  ����������				������			4107													ElenaPripyat												1 ���� ������������ ��������� ���� ����� ��� ������� ���-�� �� �� �������⁠⁠������������ ����� ������ �� ���� ����� ������������� 194				������			����������� ���������������			"&amp;"										specials												�������������� �������� �� ��������� �������� ������ ��� ������⁠⁠��������� � �����-��� �������� ������ 💚 ����� �� ������������� � ���������������� ���������� � ����������� �� �������-������������! � ����� � ������� ������� �"&amp;"�������� � ������� ��������� �����������.����� ������ ������� ������ ��� ����� ������� �������� ������. ��������� ��� ���������� �� ���� �������� ������ �� ������ ����� � ����������� ������� � �������� �������!������ ��������� 😎�������  ��� ��� ���������"&amp;"������� ���������1 ��������� ���� �� �����8578													Mirajjanna												20 ����� �������������� ����������� ��� ��� �� �������⁠⁠#comment_288675408��� ���� ����� 😁 � ����������. ���� �� ��� ����������� ����� � ���������� ���� �� 👍�������� ������"&amp;"���7 ��������� ������� ��������� �������� �������� ���������� ����������� �� ������ 370  ����������				������			�������������� �� ���������� ��� ���� ����������������������� — � ������� ���� ������� ���� � ���� �����.����� �������� �������� ����� ��������"&amp;"������.					 �� ��������� ��� ������ ����������� ������ ��� ���������! ����� ������123456789101120304050100")</f>
        <v>������� � ����� ���������� � ����������� ����� | ���������������������������������������������������������������� ������?������������ �������������� �������										�������� ������� � ���������� � ��������� ������������� ����� � ��� �������� �� ��������� ������������ ������.									������� �������� ���� ��� ���� ��������������������� ������������������������������������� ������������������������� ��� � Telegram��� ���������� �GoogleVK �������� ���� ������� ������������� ������� ������NebulaNinja70 ������dyadka133767 ������DaSeryozno21 �������������� ���� ���						��������											������ ����� ������					�������� ������: ���������� ����� ����������� ��������� �� 7 ���� 🔥������������������ ������ ������������ �� ��������� � ���������� � ��������� ������ � ��� �������� �� ��������� ������������ ������.							������� ��� �����������! ���������� ��������� ����� 😊������� ������������������ �������������� ����������������������������������� ���������� �������������������������������������������� Aliexpress������ ������������ HoffAndroidiOS������� ��������������� ����� ���������� ����� ����� ������. ������������ �������� ��� ����� �� ����� ������� �� ��� ��� �� ������ ������� ��� ����� ������� � ������.Promo message�������� ����������4090													KnightOfSarcasm												7 ����� ���������� �� ���� ���� ��� ��� ������ ��������⁠⁠�������� ���������1 ������ ������ ����� �������� � ������� ����� �� ���� 448				������			7927													NebulaNinja												14 ����� ��������� ��� ���� � ���������� ��������⁠⁠�������� ���������1 �������� ���� ������ �������� ���� ������ ����������������� ����� 343				������			7635													bgafk												14 ����� ����������� ���⁠⁠�������� ���������1 �� ���� �������� �������� ������ 499				������			����������� ���������������													specials												�������� ������: ���������� ������ ���������� �����������⁠⁠���������� ��������� ������ � �������� � ������� ����� ��� ����� ����������� ����� ���� ���������� �������. ������ ��� ��� ��������� ����� ������� ������ �������������� � ������������. �� � ���� ���� VK ID ����� ������� � ������� � ������� SMS � ���������� ����������� ����� Touch ID � Face ID.�� ���� �� �������� ���������� �� ������ � ������������ ���������� ��������� ��������� ������ � ���������� ����. ������ ��������� � ��� ������ ����� ��������VK ID � ������ ������� ��� ����� � ������� VK � ������ ��� ��������� (������� ������!). � ��� �� ����� ������ ���������������� � ������ ����� ������� � ���������� ��� ���� ������������ �������� � ������������� ������ ��������. � ��� � VK ID ������� ���������� OnePass � ����� ������� ������������ ��������������. � ��� ����� ������� � �������� ����� ������������� ���� � ���� ���������� �������. ��� ������� ������� � ����������: ����� ������ ��� ��� ������ ������� �������� ��� ������.�������� � ��������� OnePass ����� � ����������.������� ��� �� ����������������� ��������������� �������������� ������������ ��������� (������)7260													Ghost687												15 ����� ������������ � ������� ��� ����� ������� ����������⁠⁠���� ������ ������������ ����� ���������� ����� Robert B Weide ��������������� ����� 302				������			155Dr.Lemon ������� � �������: ������ ���� ����� � �� ����������������������� ��������� ��������� «��� �����»8 ����� ����� ����������			������ ������ - � ��� (����������)⁠⁠��������� ����� ����������:�� ������ ������� ����� � ������� �� ����������� ���� ������ ��� ������ ������ ����� ������� ������ � ������ ��� ��������� ����� � � ����� ���� ������� ��������� ����� ��� ��������. ������ ����� �� ��� ������: ������� ������ � ������������ ����������� ��� ����� �������� � ������ �� ����� ����������� ��� ����� �������� � ��������.�� ������ ������ ����� ����� �������� ��������� �������� �������� ����� ������ ������� "� ���". ������ ��� ���� - ����� ���������� �������� � ����� � ������ ��� ������ ������� ������ - ��� ���� ���. ������� ��� ������������ ������� ��� ���� ����� ��������� ��������� ����� ������� ���� ������� �������� � �������� ������� ������ �� ��� �����. ���� ���� � 2016 ���� ����� ������ ������� ��� ��� � ���� �� ���� �������. � �� ���� ������ ����.����� ���� ����������� ���������� ����� MP3-���� ������ ������ ��� ������������� � �������� ���������� � ���� � ������.����� ����� ���� ����� �������� ���������?						���� ��������� - � �������� ������ - � ������� ���������� ������� - � ������������ �������: �������� ���������1 1  [���] ����� ���������� ����� �������� ��� �������� �������� ���������� ������ ������ ������� ��� ����� YouTube ���������� 0  ����������				������			3235													Moodvin												1 ���� �������������� ����⁠⁠��������� ���� ������ ���� ���� �������� ����� ������������ ����� ������ ���� �������� ������ 148				������			2404													mytraveltrip												1 ���� �������� �� 1000 ����⁠⁠��� ������ ����� ��� ����� ������������ ����� 361  ����������				������			4107													ElenaPripyat												1 ���� ������������ ��������� ���� ����� ��� ������� ���-�� �� �� �������⁠⁠������������ ����� ������ �� ���� ����� ������������� 194				������			����������� ���������������													specials												�������������� �������� �� ��������� �������� ������ ��� ������⁠⁠��������� � �����-��� �������� ������ 💚 ����� �� ������������� � ���������������� ���������� � ����������� �� �������-������������! � ����� � ������� ������� ��������� � ������� ��������� �����������.����� ������ ������� ������ ��� ����� ������� �������� ������. ��������� ��� ���������� �� ���� �������� ������ �� ������ ����� � ����������� ������� � �������� �������!������ ��������� 😎�������  ��� ��� ���������������� ���������1 ��������� ���� �� �����8578													Mirajjanna												20 ����� �������������� ����������� ��� ��� �� �������⁠⁠#comment_288675408��� ���� ����� 😁 � ����������. ���� �� ��� ����������� ����� � ���������� ���� �� 👍�������� ���������7 ��������� ������� ��������� �������� �������� ���������� ����������� �� ������ 370  ����������				������			�������������� �� ���������� ��� ���� ����������������������� — � ������� ���� ������� ���� � ���� �����.����� �������� �������� ����� ��������������.					 �� ��������� ��� ������ ����������� ������ ��� ���������! ����� ������123456789101120304050100</v>
      </c>
    </row>
    <row r="149">
      <c r="A149" s="1" t="s">
        <v>484</v>
      </c>
      <c r="B149" s="1" t="s">
        <v>524</v>
      </c>
      <c r="D149" s="1">
        <v>16.0</v>
      </c>
      <c r="E149" s="4" t="s">
        <v>525</v>
      </c>
      <c r="F149" s="1" t="s">
        <v>16</v>
      </c>
      <c r="I149" s="2">
        <v>1.0</v>
      </c>
      <c r="J149" s="5" t="str">
        <f>IFERROR(__xludf.DUMMYFUNCTION("GOOGLETRANSLATE(A149)"),"vildberry")</f>
        <v>vildberry</v>
      </c>
      <c r="K149" s="6" t="str">
        <f>IFERROR(__xludf.DUMMYFUNCTION("GOOGLETRANSLATE(B149)"),"Wildberries, online store in Vladivostok: branches")</f>
        <v>Wildberries, online store in Vladivostok: branches</v>
      </c>
      <c r="M149" s="5" t="str">
        <f>IFERROR(__xludf.DUMMYFUNCTION("GOOGLETRANSLATE(G149)"),"#VALUE!")</f>
        <v>#VALUE!</v>
      </c>
    </row>
    <row r="150">
      <c r="A150" s="1" t="s">
        <v>484</v>
      </c>
      <c r="B150" s="1" t="s">
        <v>526</v>
      </c>
      <c r="D150" s="1">
        <v>17.0</v>
      </c>
      <c r="E150" s="4" t="s">
        <v>527</v>
      </c>
      <c r="F150" s="1" t="s">
        <v>16</v>
      </c>
      <c r="G150" s="1" t="s">
        <v>528</v>
      </c>
      <c r="H150" s="4" t="s">
        <v>529</v>
      </c>
      <c r="I150" s="2">
        <v>3.0</v>
      </c>
      <c r="J150" s="5" t="str">
        <f>IFERROR(__xludf.DUMMYFUNCTION("GOOGLETRANSLATE(A150)"),"vildberry")</f>
        <v>vildberry</v>
      </c>
      <c r="K150" s="6" t="str">
        <f>IFERROR(__xludf.DUMMYFUNCTION("GOOGLETRANSLATE(B150)"),"Wildberries - trading network")</f>
        <v>Wildberries - trading network</v>
      </c>
      <c r="M150" s="5" t="str">
        <f>IFERROR(__xludf.DUMMYFUNCTION("GOOGLETRANSLATE(G150)"),"Retail.ru - Portal for retailers and suppliers of please Click her IF YOU ARDIRERected Within A Few Seconds. Custom user! We discovered that you use the adblock and block the advertising show on our site, we ask our content as our content is provided as o"&amp;"ur content is provided as our content is provided as our content is provided as our content is provided A free basis and our only income is advertising on the site. This is necessary for the further development of the project. Instructions to the disconne"&amp;"ction of the Adblock. Spasibo for understanding! Version of the site for the visually impaired cabinet (0). TETAIL.ru Events Business Center Teaching Book Book Advertising News Articles Cases Interview Video Products on Polls Polls Glossary Glossary Perso"&amp;"na Persona Automation on 1 Testamaaga-Automatization on 1C Themesyatail.ru and Supply Mikhail Goncharov “Teremok”: “I was sure that the business with pancakes will take place” about what the 25-year history of the network of the pancakes of development an"&amp;"d technologies began. Caces are less than loans and below interest payments: Il de Bota experience in using online -INNISSISSIONS CHOOSS CALES WHY WHY A company uses Adm for processing cash revenue. Caches of the Pyaterochka Wine regiment: how to create a"&amp;"n exclusive offer51% is the proportion of exclusive brands in the sales of Russian wine from retailer and will grow up ecotrandas of the eastern and southeastern Asian Roads. Ecodaccepts and projects as well as organic products of Asian retailers. Mikhail"&amp;" Goncharov “Teremok”: “I was sure that the business with pancakes would take place” less loans and below interest payments: the experience “il de Bota” in the use of online irrigation with the Monirion regiment “Pentaroque” regiment : How to create an exc"&amp;"lusive proposal of eastern and southeastern Asia, an interview with a Caisytovar interview with a shelter of the eastern and southeastern Asia, the reviews and projects as well as organic products of Asian retailers. Topics: Foreign experience in trading "&amp;"sustainable development marketing and trade economics on November 4939, 2023 Walgreens History: How did the pharmacy chain benefit from the dry law and suffered from pandemia? Why does one of the largest world retailers close shops? Topics: Foreign experi"&amp;"ence in trading large world retailers pharmacy retail. Optics Crisis. The Bifurcation Point Marketing and the trade economy November 14576, 2023 Confectionery: new trends and products in turbulent time-Russian people like to seize stress, but not all swee"&amp;"ts-novice will be successful. Topic: FMCG. Grocery retail. Alcohol marketing and trade economics on November 22373, 2023 Logists are preparing to increase sales in e-commerce experts give forecasts of demand and transportation prices on the eve of sales a"&amp;"nd holidays indicate trends. Topic: Logistics Logistics in Retail E-Commerce. Marketplaces Marketing and Economics of Trade Delivery of Products. Courier delivery on October 308930, 2023 Practical analytics - what should it be? The solution for the growth"&amp;" of trade and reduction of write -offs in HoReCa Retail distribution. Topic: Analytics Automation of Trade: On the cash desk scanners scales FMCG. Grocery retail. Alcohol restaurants fast food. Food Contracts. Network restaurants on October 248124, 2023 W"&amp;"hy didn’t the “Future Store” appear in retail? Where is the retail-revolution now and what will it bring to physical stores. Topic: FMCG. Grocery retail. Alcohol Automation of Trade: on the cash desk scanners scales are general-shaped e-commerce. Marketpl"&amp;"aces Marketing and Trade Economics October 211620, 2023 Infoline: “Coin” will help the “Ribbon” with a mini-formatamatamics transaction will change the position of the “tape” in the ranking of the largest FMCG networks and what will the retailer do next? "&amp;"Topic: FMCG. Grocery retail. Exploring alcohol and marketing ratings and trade economics on October 370418, 2023 STM or its own brand: how can a manufacturer maneurate the market? History of SDOBS Foods that creates desserts for retailers and successfully"&amp;" develops its brand. Topic: FMCG. Grocery retail. Alcohol has its own trademark. IPLS. Contract production of Mark. Brand brand management. Advertising. PR 342217 October 2023 Research: How do Russians get acquainted with new brands and decide on buying t"&amp;"hat stimulates to buy goods to an unfamiliar brand and what prevents? Topics: Research and ratings E-Commerce. Marketplaces of Mark. Brand brand management. Advertising. PR 294316 October 2023 How does the Luxury market change the approach to working with"&amp;" customers for the best offers and technological service instead of champagne and parties? Topics: Loyalty in Retail Marketing and Trade Economics October 30134, 2023 All articles → Mikhail Goncharov “Teremok”: “I was sure that the business with pancakes "&amp;"would take place” about what the 25-year history of the network of pancakes of development and technology began. Topic: restaurants of fast food. Food Contracts. Network restaurants Marketing and the Trade economy November 14888, 2023 Ilya Pudyda Floris: "&amp;"“Expanding distribution and working with marketplaces will allow us to become closer to the audience” about the promotion of tisans and herbal drinks output to the markets of China and the UAE of healthy lifestyle and online sales. Topic: FMCG. Grocery re"&amp;"tail. Alcohol Mark. The brand is its own trademark. IPLS. Contract production Marketing and E-Commerce Trade Economics. Marketplaces on November 22702, 2023 Yuri Semenov Dixy: “The most important task is to quickly and effectively update the network for b"&amp;"uyers” by the end of 2024, the retailer plans to make a brown of 40% of stores. Topic: FMCG. Grocery retail. Alcohol Creating the atmosphere of the Marketing store and the trade economy on November 41691, 2023 Tatyana Kornienko Staldogs: “We open three ex"&amp;"perimental points of sales of hot dogs in Georgia” about the development of healthy lifestyle and new projects abroad. Topic: fast food. Food Contracts. Network restaurants Marketing and Trade Economics October 371027, 2023 Ilya Dudkovsky Avito: “The spee"&amp;"d of equipment supply and saving when equipping stores has become more important than ever” why it becomes normal for business to sell complex equipment online and how traditional selection schemes have changed trading equipment. Topic: Trade equipment. F"&amp;"urniture for stores Trade refrigeration equipment Equipment for E-Commerce stores. Markets Marketing and Trade Economics October 20824, 2023 Julia Agaltsova “Health Technique”: “We strive to increase the share of premium goods in the assortment in some st"&amp;"ores, it reaches 28%” about the features of the business of orthopedic salons to teach consultants of the client path and the future of this niche. Topic: Crisis. Bifurcation Point of Mark. Brand Marketing and Fashion Trade Economics. Cloth. Shoes. Access"&amp;"ories Creating the atmosphere of the store on October 185923, 2023 Denis Shubenok “Ashmanov and partners”: “Marketplais is the Cherkizov market in the 90s. It is impossible to ignore but you can only bet on them-it’s dangerous ”about how buyers choose bra"&amp;"nds in return for those who have left why the Internet channel is important where to start promotion in it how to provide goods with reviews and not to drain budgets. Topic: E-commerce. Marketplaces Marketing and the Economics of Mark Trade. Brand brand m"&amp;"anagement. Advertising. PR October 893818, 2023 Mikhail Aleshin “Perekhanok”: “We plan to remove the human factor from routine processes as much as possible and make focus on robotization” about changes in supplies and new projects to increase efficiency."&amp;" Topic: FMCG. Grocery retail. Alcohol Logistics in Retail Logistics Automation of trade: according to the cash desk scanners Libra 417617 October 2023 Stanislav Bogdanov X5 Group: “We feel responsibility - our initiatives often affect the industry” about "&amp;"priorities in cooperation with authorities to support small businesses and local manufacturers. Subject: Quality Security State regulation of state regulation of general -industrial FMCG. Grocery retail. Alcohol on October 244917, 2023 Maria Podkopaeva X5"&amp;" Group: “Our goal is to bring the share of the processed packaging in STM to 60%” about cooperation with suppliers on environmentally friendly packaging of new ROP requirements and changes in sustainable development strategy. Topics: Sustainable developme"&amp;"nt of own trademark. IPLS. FMCG contract production. Grocery retail. Alcohol 1961116, 2023 All interviews → Viola plant: Life with the new owner of the manufacturer invests in the production and promotion of new brands and products. Topic: FMCG. Grocery r"&amp;"etail. Alcohol Mark. The brand marketing and the trade economy on November 6527, 2023 Mascotte opened in Moscow its first salon in the new concept -based creation of a stylish and bright space for prisoners of shopping. Topic: Fashion. Cloth. Shoes. Acces"&amp;"sories of the opening and closing of stores Creating an atmosphere of the store 314325 October 2023 Production of a natural cider: raw materials technology, the process that the safety of products at a large enterprise? Topic: Quality Security Gosregulati"&amp;"on of Mark. Brand 78020 October 2023 Adyghe cheese: where and how do they make real? The subtleties of production and sale of fresh soft cheese and who weaves Chevil-Koschka? Topic: FMCG. Grocery retail. Alcohol has its own trademark. IPLS. Contract produ"&amp;"ction quality security state regulation on October 29593, 2023 Berezka: “Sales have grown 4 times in 6 years” a network of 6 DIY stores in Tatarstan plans to quickly develop in small cities and open 5 more points in 2024. Topic: DIY. Household products. F"&amp;"urniture marketing and economics of trading loyalty in retail practice#expedition Retail 250920 September 2023 “Matur”: “We are striving to receive 85 thousand rubles of revenue from a square meter per month” The Bashkir network attracts customers with ho"&amp;"t bread with finished food and chak-chack. Topic: FMCG. Grocery retail. Alcohol Practice of Mark. Brand Marketing and Trade Economics Own brand. IPLS. Contract production September 30386, 2023 How to turn the production of weapons into a tourist facility:"&amp;" the experience of AIR from Zlatovostablagiad Tourism 10 times increased by the number of buyers of a company store. Topic: DIY. Household products. Furniture Mark. Brand Marketing and Economics of Trade Sales Management Brand Management. Advertising. PR "&amp;"256923 August 2023 Fish House: Travel to the Baltic Coast where and how are sea cabbage imitated caviar smoked fish and preserves from seafood for STM Pyaterochka? Topic: Own trademark. IPLS. FMCG contract production. Grocery retail. Alcohol Mark. The bra"&amp;"nd large world retailers on August 362810, 2023 flagship Gloria Jeans in modern Street-Rythilevs details of the concept of the store in Tverskaya in Moscow. Topic: Fashion. Cloth. Shoes. Accessories of the opening and closing of stores marketing and the e"&amp;"conomy of brand trade. Brand Merchendiding. Layout. Shoes 42734 August 2023 Where Pyatyrochka makes pickled cucumbers for STM? From Bachch to the shelf. Topic: Own trademark. IPLS. Contract production Own production. Ready food. FMCG kitchen factories. Gr"&amp;"ocery retail. Alcohol 52805 July 2023 All photo reports → Pyaterochka wine regiment: how to create an exclusive offer51% is the share of exclusive brands in the sales of Russian wine from the retailer and will grow. Topic: FMCG. Grocery retail. Alcohol ha"&amp;"s its own trademark. IPLS. Contract production marketing and an economy of brand trade. The brand 42310 November 2023 is less loans and the interest payments below: Il de BotE experience in using online irrigation with monitoring the reasons why the compa"&amp;"ny uses Adm for processing cash proceeds. Topics: Finance in retail Marketing and the Droggery trade economy. Cosmetics. Perfumeria Automation of Trade: on the cash desks of the scales on November 11487, 2023 Experience “Crossroads” in the development of "&amp;"the mobile application of the express delivery: TOP-5 insight and successful cases of development teams. Topic: E-commerce. FMCG markets. Grocery retail. Alcohol Automation of Trade: according to the cash desks scales Libra practice on November 14143, 202"&amp;"3 Why develop food sales in a beer store: the experience of “beer &amp; ko” Sneckes of deep fry and ready food allow you to generate traffic and attract new segments of customers. Topic: FMCG. Grocery retail. Alcohol Practice Marketing and Trade Economics Own"&amp;" Production. Ready food. Kitchen factories have its own brand. IPLS. Contract production on October 223830, 2023 Appendix for KCENTR.ru: moved from PWA and studio development to the cloud solution of the project plans for the development of application an"&amp;"d integration with the CRM system. Topic: E-commerce. Marketplairs Automation of Trade: on cash desks scanners scales marketing and economics of trade practice Electronics technique. The cell retail on October 175526, 2023, as a service partner, rebuilt a"&amp;"nd strengthened the technical support of the Tvyato - and Point network “CROC” serves about 700 users in the central office of the network and remotely processes up to 800 applications per month. Topic: Trade automation: on cash desks scanners Libra are h"&amp;"igh -grade fast food. Food Contracts. Network restaurants on October 203423, 2023 How to expand the Massporren funnel three times and maintain a conversion into a hiring - in two months: the Betaonline case in the submissivee 232% managed to increase the "&amp;"incoming stream of applicants in the midst of the season. Topic: Trade personnel Human Resources Management in Retail FMCG. Grocery retail. Alcohol Automation of trade: on the cash desk of scales Libra 193219 October 2023 Marking of water and sweet drinks"&amp;": how to save up to 2 billion rubles of the annual water producer of water. Topic: Marking goods Quality Security Gos regulation General -industrial FMCG. Grocery retail. Alcohol on October 190718, 2023 Online Automatization: as the Yakut Hormolzavod remo"&amp;"tely introduced 1C: ERP by 5% of the production cost of production costs-10% of the production of products increased by 15%. Topic: Automation for 1C Mark. Brand Marketing and Trade Economics Automation of Trade: On the Cashier Scanners Libra 187213 Octob"&amp;"er 2023 Uppetit experience: Ready food - what to prepare and sell the specialization of the specialization of the finished food store. Topic: Own production. Ready food. FMCG kitchen factories. Grocery retail. Alcohol Practice Marketing and the Franchisin"&amp;"g Trade Economics October 244511, 2023 All cases → Branded retail becomes hybridsposobes to expand the proposal and strengthen the attractiveness of the format. Topic: FMCG. Grocery retail. Alcohol Fashion. Cloth. Shoes. Accessories marketing and trade ec"&amp;"onomics on October 214231, 2023 How has the search demand for household appliances and electronics over 2 years have changed? Study of the search interest in BTIE in Russia. Topic: Electronics technique. Cell retail Marketing and the research economy and "&amp;"ratings on October 134623, 2023 Fruits and vegetables: how to earn and develop a category? Experience of the “Magnit” “Auchana” “Ski” “Red Yar” “Baton” and the manufacturer “My summer”. Topic: Categorical management Own brand. IPLS. Contract production Ow"&amp;"n production. Ready food. Kitchen factories on October 194313, 2023 German condoms Glt-Group: Focus for diversity European quality and wide line in the categories: Elite Premium and Middle-Low. Topic: FMCG. Grocery retail. Alcohol goods on the marketing s"&amp;"helf and the economy of brand trade. Brand 221028 September 2023 Business on marketplaces: new services from MTS Bank Analyst of procurement from China Fulfilment and Warehouse Management. Topics: Finance in Retail E-Commerce. Marketplaces Logistics in Re"&amp;"tail Logistics 201521 September 2023 What difficulties arise on the path of products from China and where to “lay straw” the nuances and difficulties of railway transport in 2023. Topics: Logistics Logistics in retail practice September 211120, 2023 Oat c"&amp;"ollection of KF ""Bread Spas"": from the idea to a bestsellarakak, the company studies consumer tastes and develops successful products. Topic: FMCG. Grocery retail. Alcohol Mark. Brand Marketing and Trade Economics Practice Loyalty in retail 240411 Septe"&amp;"mber 2023 The Yandex study: Fashion-buyer starts with a search on the Internet and loves a branding for omnichanality or how to win a client race. Topic: E-commerce. Fashion markets. Cloth. Shoes. Accessories on September 30911, 2023 The ice cream market "&amp;"in July 2023: Russian manufacturers dominant production: Sales dynamics Popular TOP Brand formats. Topics: Research and FMCG ratings. Grocery retail. Alcohol marketing and trade economics 533824 August 2023 How to create your own marketplace? It is benefi"&amp;"cial for the expert man and why prepare for? Topic: E-commerce. Marketplaces Marketing and Economics of Trading Self -Self -Slender August 413621 August 2023 All goods on the shelf → News -based news 11: 57 Warehouse in Moscow and the region may fall to t"&amp;"he record for 15 years 01% 275 10: 30 Russian -Russian people ignored the beginning of the November Sales 663 09: 30 numbers of the new creative director of Moschino David Renne 46 Earlier, 110.11 of the Russian Federation approved the rules for compensat"&amp;"ion by foreign holdings for Russian assets 1329 10.11 in the Russian Federation may allow the sale of unmarked caviar 817 10.11, IT specialists, the demand for technical support and information security 8419 10.11 Police will not be able to initiate admin"&amp;"istrative affairs 6902 10.11nikoliers: Unsatisfied demand for warehouses in St. Petersburg exceeds 500 thousand square meters. m 2539 10.11 -German OBI filed a lawsuit against the former Russian unit 1778 10.11NOVABEV Group: for 9 months of 2023, the comp"&amp;"any's revenue increased by 17% 1537 10.11 Seller Veypov proposed to fine parents for smoking children 1072 10.11ozon: Russians began to make major purchases for large purchases for Sales 911 10.11 Magnit will open a brewery in the super -starter in Moscow"&amp;" 1582 10.11 MTS Bank: Russians actively buy electronics and shoes during the sales period 1438 10.11v 2023. The consumption of domestic wines will grow to 90 million, 757 10.11 Producer Tchibo will change the name “ Tibio ”623 10.1111 The HP began to elim"&amp;"inate the Russian legal entity“ Eichpi Inc ”746 10.11“ Yandex Lavka ”plans to open Darkmalls 1738 09.11 Sades refused to satisfy the claim of the owner of the Samara shopping center against the Retail H&amp;M 1862 09/09/11 Fix PRICE approved the change Kazakh"&amp;"stan 944 everything News → Companies of the Companies of Yandex Markets Yandex Market Products from charitable foundations and their wards 196 Supplier Essen Production Agnchups and jams ""Maheev"" again became laureates of the Mark No. 1 in Russia-2023 3"&amp;"45 Supplier Trinity Events Group23 Summit of the REMODIC The Retail Business Russia industry was held on October 26-27 in New Moscow-to Imperial Park Hotel &amp; SPA 254 Supplier MVK-International Exhibition Company Exhibitions Parking Russia 2023 already the"&amp;" next week on November 14-16 in the ex-center. 281 Supplier 1SKOCHONGENT “DIFFORRATING Day” 454 Supplier LLC “SP Group” announced laureates of the XIV Prize “Quality of Service and Consumer Rights” 538 Supplier Altaseils23–24 in Moscow in the Central Hous"&amp;"e of Center will host a large business forum from niche experts-main 835 supplier Retail . Crownline conference on the topic ""Trade equipment in retail: how has the pool of suppliers have changed what solutions are the retail?"" 695 Supplier Tanuki “Tanu"&amp;"ki” launched the new astrological menu 721 supplier “Retail of those” megaphorum - the territory of cooperation between the exchange of views and ideas! The Victory Victory Tails Network is tested by industrial exoskeletons 898 Tails Network Corporation G"&amp;"rinn Dolkin - a friendly discount opened in Tula 6164 Supplier of the GRASSASSV Russian CASS monitoring in stores 5364 Supplier Grassgrass: Consumer selection 1105 All news of the companies → Calendar of events14 - November 16, 2023 Networks Procurement C"&amp;"enter ™ 14 - 16 - 16, 2023 32nd International Food Exhibition ""Pet ... get a free ticket on November 16, 2023"" Trade equipment in retail ""to receive a free ticket on November 21 - 22, 2023 Bee -Together. ru receive a free ticket on November 23 - 24, 20"&amp;"23 Sales Main - November 30 - 30, 2023 International Forum Universe Ecom Convention 2023 ... Get free ticket all events → We recommend visiting a Center 4213 Supplier Register in our catalog: Supplier of the Dixie Supplier 2595kak “promote” the regional n"&amp;"etwork of orthopedic salons: secrets from “health techniques” 2443 -visitor Burmatova - “my summer” on #Worldfoodmoscow 20232132 Video Ryabova Angela Director of the Magnita Discounters format Fedyakov Ivan Founder and head of the Infoline group of compan"&amp;"ies all persons → Books of Books was added to the basket Practice ... 1,200 rubles. Build sales in numbers: Planning ... 590 rubles. Buy arithmetic of the categorical manager ... 1,100 rubles. Buy food trade in ... 1,490 rubles. Buy a successful way to th"&amp;"e retail network. ..590 rub. Buy a workman’s workshop: like a sore ... 699 rub. Buy all books → Video on Retail.ru new concept “Dixie” 2590 How to “promote” the regional network of orthopedic salons: Secrets from “Health Technology” 2438 Tatyana Kornienko"&amp;" - ""Staldogs"" on #Worldfood Moscow 2023 2084 All videos → Seminars30.11 Category Management- The first course according to the International Standard Catman 2.04retail Business School30.11 Opress and Management STM 4retal Business School30.11 Empress co"&amp;"urse ""Construction"" Construction ""Construction"" Construction ""Construction"" Construction Effective promo ”(specialist tariff) 4retail Business Schoolves Seminars → Obsoscot now dictates the conditions in the equipment market - sellers or buyers? The"&amp;" sellers of the Kuppetelina I know did not think of research and surveys of the news agaric for a week1. Russian manufacturers of household appliances began to transfer contract production from Turkey to China 62815 2. The second Russian supported the bil"&amp;"l on the translation of all inscriptions and signs into Russian 47182 3. Ozon saw the threat of death of all business Models in the bill on the regulation of marketplaces 17697 4.Marks &amp; spencer increased net profit in the first half of the year by 75% 14"&amp;"753 5. The Russian Federations began to spend more borrowed money on the Gadgets 10131 top materials for the week1. Interview: Mikhail Goncharov “Teremok”: “I was I am sure that the business with pancakes will take place ”1485 2. Straight: the story of Wa"&amp;"lgreens: How did the pharmacy chain benefit from the dry law and suffered from pandemia? 1454 3. Case: Less loans and below interest payments: Il de Bote experience in using online tokassation C Moniron 1145 4. Recordication: Viola factory: Life with the "&amp;"new owner 650 5. Starts: ecotrandas of eastern and southeastern Asia 491 Read the News News Interview Cases Master classes Events Calendar Organizers of the Conference Exhibition Special Projects Transeminars Catalog of Educational Companies Teachers Vide"&amp;"o Books Top 10 Traffic without discounts? How to buy? Business Center for the business center Catalog of retail chains Catalog of suppliers Advertising for posting through banners Printed version Paid Content goods on the shelf personal cabinet purchases "&amp;"Subscription Reading Articles Interview Calers Calendar Organizers of the Conference Exhibition Special Projectives Teaching Teachers Catalogs of Video Books Books 10 traffic without discounts? How to buy? Business Center Business Center Business Center C"&amp;"atalog Catalog of Suppliers Advertising Advertising Application for Testy Banners Printed Version Paid Content Products on the Shelf Personal Account your purchases Subscribes Read Articles News Interview Calers Calendar Organizers Calendar Conference Spe"&amp;"cial Projectives Teaching Seminaries Catalog of Educational Compans Video Books of the novelty top 10 traffic without discounts? How to buy? Business Center Business Center Business Center Catalog Catalog of Suppliers Advertising Advertising Application f"&amp;"or Testy Banners Printing Version Paid Content Products to the Personal Account Personal Access Personal Subscribes to the retailer: Register the news of the trading network: Register the company's news: Register the news of the company Rorganizers of eve"&amp;"nts: register the organizer Metest the Part of the Retail.ru project! VKontaktelegramyoutubeubeubeubeum-graders. Podkastyandyandx podcastle podcastss subscription to the use of materials from the website Retail.ru include video materials and materials fro"&amp;"m online measures are allowed only if the hyperchi is allowed On the material page on retail.ru in the first paragraph of the published text. © 1999–2023RETAIL.ru DECHEMISTICTION PRODUCTION INTRODUCTION OF THE Industry of retail industry The first! Choose"&amp;" that you are interested in and leave emails subscriptions daily newsstands of the Materials of the month of the month of the month and the event-a-term mailing houses for teaching smell *Subscribe to the button you give consent to the processing of your "&amp;"personal data. Using materials from the site Tail.ru Including video materials and materials from online events is allowed only if there is a hyperlink on the material page on retail.ru in the first paragraph of the published text. Want to receive the new"&amp;"s of the retail industry? Choose that you are interested in leaving your email daily newsstands of the month of the month of the month of the month and the event-a-term mailing houses for training in the button, you consent to the processing of personnel "&amp;"datapublic-4028F2D809A09A040040052MI We use cookie files to make the use of our site more convenient. If you continue to use the site, we will assume that it suits you")</f>
        <v>Retail.ru - Portal for retailers and suppliers of please Click her IF YOU ARDIRERected Within A Few Seconds. Custom user! We discovered that you use the adblock and block the advertising show on our site, we ask our content as our content is provided as our content is provided as our content is provided as our content is provided as our content is provided A free basis and our only income is advertising on the site. This is necessary for the further development of the project. Instructions to the disconnection of the Adblock. Spasibo for understanding! Version of the site for the visually impaired cabinet (0). TETAIL.ru Events Business Center Teaching Book Book Advertising News Articles Cases Interview Video Products on Polls Polls Glossary Glossary Persona Persona Automation on 1 Testamaaga-Automatization on 1C Themesyatail.ru and Supply Mikhail Goncharov “Teremok”: “I was sure that the business with pancakes will take place” about what the 25-year history of the network of the pancakes of development and technologies began. Caces are less than loans and below interest payments: Il de Bota experience in using online -INNISSISSIONS CHOOSS CALES WHY WHY A company uses Adm for processing cash revenue. Caches of the Pyaterochka Wine regiment: how to create an exclusive offer51% is the proportion of exclusive brands in the sales of Russian wine from retailer and will grow up ecotrandas of the eastern and southeastern Asian Roads. Ecodaccepts and projects as well as organic products of Asian retailers. Mikhail Goncharov “Teremok”: “I was sure that the business with pancakes would take place” less loans and below interest payments: the experience “il de Bota” in the use of online irrigation with the Monirion regiment “Pentaroque” regiment : How to create an exclusive proposal of eastern and southeastern Asia, an interview with a Caisytovar interview with a shelter of the eastern and southeastern Asia, the reviews and projects as well as organic products of Asian retailers. Topics: Foreign experience in trading sustainable development marketing and trade economics on November 4939, 2023 Walgreens History: How did the pharmacy chain benefit from the dry law and suffered from pandemia? Why does one of the largest world retailers close shops? Topics: Foreign experience in trading large world retailers pharmacy retail. Optics Crisis. The Bifurcation Point Marketing and the trade economy November 14576, 2023 Confectionery: new trends and products in turbulent time-Russian people like to seize stress, but not all sweets-novice will be successful. Topic: FMCG. Grocery retail. Alcohol marketing and trade economics on November 22373, 2023 Logists are preparing to increase sales in e-commerce experts give forecasts of demand and transportation prices on the eve of sales and holidays indicate trends. Topic: Logistics Logistics in Retail E-Commerce. Marketplaces Marketing and Economics of Trade Delivery of Products. Courier delivery on October 308930, 2023 Practical analytics - what should it be? The solution for the growth of trade and reduction of write -offs in HoReCa Retail distribution. Topic: Analytics Automation of Trade: On the cash desk scanners scales FMCG. Grocery retail. Alcohol restaurants fast food. Food Contracts. Network restaurants on October 248124, 2023 Why didn’t the “Future Store” appear in retail? Where is the retail-revolution now and what will it bring to physical stores. Topic: FMCG. Grocery retail. Alcohol Automation of Trade: on the cash desk scanners scales are general-shaped e-commerce. Marketplaces Marketing and Trade Economics October 211620, 2023 Infoline: “Coin” will help the “Ribbon” with a mini-formatamatamics transaction will change the position of the “tape” in the ranking of the largest FMCG networks and what will the retailer do next? Topic: FMCG. Grocery retail. Exploring alcohol and marketing ratings and trade economics on October 370418, 2023 STM or its own brand: how can a manufacturer maneurate the market? History of SDOBS Foods that creates desserts for retailers and successfully develops its brand. Topic: FMCG. Grocery retail. Alcohol has its own trademark. IPLS. Contract production of Mark. Brand brand management. Advertising. PR 342217 October 2023 Research: How do Russians get acquainted with new brands and decide on buying that stimulates to buy goods to an unfamiliar brand and what prevents? Topics: Research and ratings E-Commerce. Marketplaces of Mark. Brand brand management. Advertising. PR 294316 October 2023 How does the Luxury market change the approach to working with customers for the best offers and technological service instead of champagne and parties? Topics: Loyalty in Retail Marketing and Trade Economics October 30134, 2023 All articles → Mikhail Goncharov “Teremok”: “I was sure that the business with pancakes would take place” about what the 25-year history of the network of pancakes of development and technology began. Topic: restaurants of fast food. Food Contracts. Network restaurants Marketing and the Trade economy November 14888, 2023 Ilya Pudyda Floris: “Expanding distribution and working with marketplaces will allow us to become closer to the audience” about the promotion of tisans and herbal drinks output to the markets of China and the UAE of healthy lifestyle and online sales. Topic: FMCG. Grocery retail. Alcohol Mark. The brand is its own trademark. IPLS. Contract production Marketing and E-Commerce Trade Economics. Marketplaces on November 22702, 2023 Yuri Semenov Dixy: “The most important task is to quickly and effectively update the network for buyers” by the end of 2024, the retailer plans to make a brown of 40% of stores. Topic: FMCG. Grocery retail. Alcohol Creating the atmosphere of the Marketing store and the trade economy on November 41691, 2023 Tatyana Kornienko Staldogs: “We open three experimental points of sales of hot dogs in Georgia” about the development of healthy lifestyle and new projects abroad. Topic: fast food. Food Contracts. Network restaurants Marketing and Trade Economics October 371027, 2023 Ilya Dudkovsky Avito: “The speed of equipment supply and saving when equipping stores has become more important than ever” why it becomes normal for business to sell complex equipment online and how traditional selection schemes have changed trading equipment. Topic: Trade equipment. Furniture for stores Trade refrigeration equipment Equipment for E-Commerce stores. Markets Marketing and Trade Economics October 20824, 2023 Julia Agaltsova “Health Technique”: “We strive to increase the share of premium goods in the assortment in some stores, it reaches 28%” about the features of the business of orthopedic salons to teach consultants of the client path and the future of this niche. Topic: Crisis. Bifurcation Point of Mark. Brand Marketing and Fashion Trade Economics. Cloth. Shoes. Accessories Creating the atmosphere of the store on October 185923, 2023 Denis Shubenok “Ashmanov and partners”: “Marketplais is the Cherkizov market in the 90s. It is impossible to ignore but you can only bet on them-it’s dangerous ”about how buyers choose brands in return for those who have left why the Internet channel is important where to start promotion in it how to provide goods with reviews and not to drain budgets. Topic: E-commerce. Marketplaces Marketing and the Economics of Mark Trade. Brand brand management. Advertising. PR October 893818, 2023 Mikhail Aleshin “Perekhanok”: “We plan to remove the human factor from routine processes as much as possible and make focus on robotization” about changes in supplies and new projects to increase efficiency. Topic: FMCG. Grocery retail. Alcohol Logistics in Retail Logistics Automation of trade: according to the cash desk scanners Libra 417617 October 2023 Stanislav Bogdanov X5 Group: “We feel responsibility - our initiatives often affect the industry” about priorities in cooperation with authorities to support small businesses and local manufacturers. Subject: Quality Security State regulation of state regulation of general -industrial FMCG. Grocery retail. Alcohol on October 244917, 2023 Maria Podkopaeva X5 Group: “Our goal is to bring the share of the processed packaging in STM to 60%” about cooperation with suppliers on environmentally friendly packaging of new ROP requirements and changes in sustainable development strategy. Topics: Sustainable development of own trademark. IPLS. FMCG contract production. Grocery retail. Alcohol 1961116, 2023 All interviews → Viola plant: Life with the new owner of the manufacturer invests in the production and promotion of new brands and products. Topic: FMCG. Grocery retail. Alcohol Mark. The brand marketing and the trade economy on November 6527, 2023 Mascotte opened in Moscow its first salon in the new concept -based creation of a stylish and bright space for prisoners of shopping. Topic: Fashion. Cloth. Shoes. Accessories of the opening and closing of stores Creating an atmosphere of the store 314325 October 2023 Production of a natural cider: raw materials technology, the process that the safety of products at a large enterprise? Topic: Quality Security Gosregulation of Mark. Brand 78020 October 2023 Adyghe cheese: where and how do they make real? The subtleties of production and sale of fresh soft cheese and who weaves Chevil-Koschka? Topic: FMCG. Grocery retail. Alcohol has its own trademark. IPLS. Contract production quality security state regulation on October 29593, 2023 Berezka: “Sales have grown 4 times in 6 years” a network of 6 DIY stores in Tatarstan plans to quickly develop in small cities and open 5 more points in 2024. Topic: DIY. Household products. Furniture marketing and economics of trading loyalty in retail practice#expedition Retail 250920 September 2023 “Matur”: “We are striving to receive 85 thousand rubles of revenue from a square meter per month” The Bashkir network attracts customers with hot bread with finished food and chak-chack. Topic: FMCG. Grocery retail. Alcohol Practice of Mark. Brand Marketing and Trade Economics Own brand. IPLS. Contract production September 30386, 2023 How to turn the production of weapons into a tourist facility: the experience of AIR from Zlatovostablagiad Tourism 10 times increased by the number of buyers of a company store. Topic: DIY. Household products. Furniture Mark. Brand Marketing and Economics of Trade Sales Management Brand Management. Advertising. PR 256923 August 2023 Fish House: Travel to the Baltic Coast where and how are sea cabbage imitated caviar smoked fish and preserves from seafood for STM Pyaterochka? Topic: Own trademark. IPLS. FMCG contract production. Grocery retail. Alcohol Mark. The brand large world retailers on August 362810, 2023 flagship Gloria Jeans in modern Street-Rythilevs details of the concept of the store in Tverskaya in Moscow. Topic: Fashion. Cloth. Shoes. Accessories of the opening and closing of stores marketing and the economy of brand trade. Brand Merchendiding. Layout. Shoes 42734 August 2023 Where Pyatyrochka makes pickled cucumbers for STM? From Bachch to the shelf. Topic: Own trademark. IPLS. Contract production Own production. Ready food. FMCG kitchen factories. Grocery retail. Alcohol 52805 July 2023 All photo reports → Pyaterochka wine regiment: how to create an exclusive offer51% is the share of exclusive brands in the sales of Russian wine from the retailer and will grow. Topic: FMCG. Grocery retail. Alcohol has its own trademark. IPLS. Contract production marketing and an economy of brand trade. The brand 42310 November 2023 is less loans and the interest payments below: Il de BotE experience in using online irrigation with monitoring the reasons why the company uses Adm for processing cash proceeds. Topics: Finance in retail Marketing and the Droggery trade economy. Cosmetics. Perfumeria Automation of Trade: on the cash desks of the scales on November 11487, 2023 Experience “Crossroads” in the development of the mobile application of the express delivery: TOP-5 insight and successful cases of development teams. Topic: E-commerce. FMCG markets. Grocery retail. Alcohol Automation of Trade: according to the cash desks scales Libra practice on November 14143, 2023 Why develop food sales in a beer store: the experience of “beer &amp; ko” Sneckes of deep fry and ready food allow you to generate traffic and attract new segments of customers. Topic: FMCG. Grocery retail. Alcohol Practice Marketing and Trade Economics Own Production. Ready food. Kitchen factories have its own brand. IPLS. Contract production on October 223830, 2023 Appendix for KCENTR.ru: moved from PWA and studio development to the cloud solution of the project plans for the development of application and integration with the CRM system. Topic: E-commerce. Marketplairs Automation of Trade: on cash desks scanners scales marketing and economics of trade practice Electronics technique. The cell retail on October 175526, 2023, as a service partner, rebuilt and strengthened the technical support of the Tvyato - and Point network “CROC” serves about 700 users in the central office of the network and remotely processes up to 800 applications per month. Topic: Trade automation: on cash desks scanners Libra are high -grade fast food. Food Contracts. Network restaurants on October 203423, 2023 How to expand the Massporren funnel three times and maintain a conversion into a hiring - in two months: the Betaonline case in the submissivee 232% managed to increase the incoming stream of applicants in the midst of the season. Topic: Trade personnel Human Resources Management in Retail FMCG. Grocery retail. Alcohol Automation of trade: on the cash desk of scales Libra 193219 October 2023 Marking of water and sweet drinks: how to save up to 2 billion rubles of the annual water producer of water. Topic: Marking goods Quality Security Gos regulation General -industrial FMCG. Grocery retail. Alcohol on October 190718, 2023 Online Automatization: as the Yakut Hormolzavod remotely introduced 1C: ERP by 5% of the production cost of production costs-10% of the production of products increased by 15%. Topic: Automation for 1C Mark. Brand Marketing and Trade Economics Automation of Trade: On the Cashier Scanners Libra 187213 October 2023 Uppetit experience: Ready food - what to prepare and sell the specialization of the specialization of the finished food store. Topic: Own production. Ready food. FMCG kitchen factories. Grocery retail. Alcohol Practice Marketing and the Franchising Trade Economics October 244511, 2023 All cases → Branded retail becomes hybridsposobes to expand the proposal and strengthen the attractiveness of the format. Topic: FMCG. Grocery retail. Alcohol Fashion. Cloth. Shoes. Accessories marketing and trade economics on October 214231, 2023 How has the search demand for household appliances and electronics over 2 years have changed? Study of the search interest in BTIE in Russia. Topic: Electronics technique. Cell retail Marketing and the research economy and ratings on October 134623, 2023 Fruits and vegetables: how to earn and develop a category? Experience of the “Magnit” “Auchana” “Ski” “Red Yar” “Baton” and the manufacturer “My summer”. Topic: Categorical management Own brand. IPLS. Contract production Own production. Ready food. Kitchen factories on October 194313, 2023 German condoms Glt-Group: Focus for diversity European quality and wide line in the categories: Elite Premium and Middle-Low. Topic: FMCG. Grocery retail. Alcohol goods on the marketing shelf and the economy of brand trade. Brand 221028 September 2023 Business on marketplaces: new services from MTS Bank Analyst of procurement from China Fulfilment and Warehouse Management. Topics: Finance in Retail E-Commerce. Marketplaces Logistics in Retail Logistics 201521 September 2023 What difficulties arise on the path of products from China and where to “lay straw” the nuances and difficulties of railway transport in 2023. Topics: Logistics Logistics in retail practice September 211120, 2023 Oat collection of KF "Bread Spas": from the idea to a bestsellarakak, the company studies consumer tastes and develops successful products. Topic: FMCG. Grocery retail. Alcohol Mark. Brand Marketing and Trade Economics Practice Loyalty in retail 240411 September 2023 The Yandex study: Fashion-buyer starts with a search on the Internet and loves a branding for omnichanality or how to win a client race. Topic: E-commerce. Fashion markets. Cloth. Shoes. Accessories on September 30911, 2023 The ice cream market in July 2023: Russian manufacturers dominant production: Sales dynamics Popular TOP Brand formats. Topics: Research and FMCG ratings. Grocery retail. Alcohol marketing and trade economics 533824 August 2023 How to create your own marketplace? It is beneficial for the expert man and why prepare for? Topic: E-commerce. Marketplaces Marketing and Economics of Trading Self -Self -Slender August 413621 August 2023 All goods on the shelf → News -based news 11: 57 Warehouse in Moscow and the region may fall to the record for 15 years 01% 275 10: 30 Russian -Russian people ignored the beginning of the November Sales 663 09: 30 numbers of the new creative director of Moschino David Renne 46 Earlier, 110.11 of the Russian Federation approved the rules for compensation by foreign holdings for Russian assets 1329 10.11 in the Russian Federation may allow the sale of unmarked caviar 817 10.11, IT specialists, the demand for technical support and information security 8419 10.11 Police will not be able to initiate administrative affairs 6902 10.11nikoliers: Unsatisfied demand for warehouses in St. Petersburg exceeds 500 thousand square meters. m 2539 10.11 -German OBI filed a lawsuit against the former Russian unit 1778 10.11NOVABEV Group: for 9 months of 2023, the company's revenue increased by 17% 1537 10.11 Seller Veypov proposed to fine parents for smoking children 1072 10.11ozon: Russians began to make major purchases for large purchases for Sales 911 10.11 Magnit will open a brewery in the super -starter in Moscow 1582 10.11 MTS Bank: Russians actively buy electronics and shoes during the sales period 1438 10.11v 2023. The consumption of domestic wines will grow to 90 million, 757 10.11 Producer Tchibo will change the name “ Tibio ”623 10.1111 The HP began to eliminate the Russian legal entity“ Eichpi Inc ”746 10.11“ Yandex Lavka ”plans to open Darkmalls 1738 09.11 Sades refused to satisfy the claim of the owner of the Samara shopping center against the Retail H&amp;M 1862 09/09/11 Fix PRICE approved the change Kazakhstan 944 everything News → Companies of the Companies of Yandex Markets Yandex Market Products from charitable foundations and their wards 196 Supplier Essen Production Agnchups and jams "Maheev" again became laureates of the Mark No. 1 in Russia-2023 345 Supplier Trinity Events Group23 Summit of the REMODIC The Retail Business Russia industry was held on October 26-27 in New Moscow-to Imperial Park Hotel &amp; SPA 254 Supplier MVK-International Exhibition Company Exhibitions Parking Russia 2023 already the next week on November 14-16 in the ex-center. 281 Supplier 1SKOCHONGENT “DIFFORRATING Day” 454 Supplier LLC “SP Group” announced laureates of the XIV Prize “Quality of Service and Consumer Rights” 538 Supplier Altaseils23–24 in Moscow in the Central House of Center will host a large business forum from niche experts-main 835 supplier Retail . Crownline conference on the topic "Trade equipment in retail: how has the pool of suppliers have changed what solutions are the retail?" 695 Supplier Tanuki “Tanuki” launched the new astrological menu 721 supplier “Retail of those” megaphorum - the territory of cooperation between the exchange of views and ideas! The Victory Victory Tails Network is tested by industrial exoskeletons 898 Tails Network Corporation Grinn Dolkin - a friendly discount opened in Tula 6164 Supplier of the GRASSASSV Russian CASS monitoring in stores 5364 Supplier Grassgrass: Consumer selection 1105 All news of the companies → Calendar of events14 - November 16, 2023 Networks Procurement Center ™ 14 - 16 - 16, 2023 32nd International Food Exhibition "Pet ... get a free ticket on November 16, 2023" Trade equipment in retail "to receive a free ticket on November 21 - 22, 2023 Bee -Together. ru receive a free ticket on November 23 - 24, 2023 Sales Main - November 30 - 30, 2023 International Forum Universe Ecom Convention 2023 ... Get free ticket all events → We recommend visiting a Center 4213 Supplier Register in our catalog: Supplier of the Dixie Supplier 2595kak “promote” the regional network of orthopedic salons: secrets from “health techniques” 2443 -visitor Burmatova - “my summer” on #Worldfoodmoscow 20232132 Video Ryabova Angela Director of the Magnita Discounters format Fedyakov Ivan Founder and head of the Infoline group of companies all persons → Books of Books was added to the basket Practice ... 1,200 rubles. Build sales in numbers: Planning ... 590 rubles. Buy arithmetic of the categorical manager ... 1,100 rubles. Buy food trade in ... 1,490 rubles. Buy a successful way to the retail network. ..590 rub. Buy a workman’s workshop: like a sore ... 699 rub. Buy all books → Video on Retail.ru new concept “Dixie” 2590 How to “promote” the regional network of orthopedic salons: Secrets from “Health Technology” 2438 Tatyana Kornienko - "Staldogs" on #Worldfood Moscow 2023 2084 All videos → Seminars30.11 Category Management- The first course according to the International Standard Catman 2.04retail Business School30.11 Opress and Management STM 4retal Business School30.11 Empress course "Construction" Construction "Construction" Construction "Construction" Construction Effective promo ”(specialist tariff) 4retail Business Schoolves Seminars → Obsoscot now dictates the conditions in the equipment market - sellers or buyers? The sellers of the Kuppetelina I know did not think of research and surveys of the news agaric for a week1. Russian manufacturers of household appliances began to transfer contract production from Turkey to China 62815 2. The second Russian supported the bill on the translation of all inscriptions and signs into Russian 47182 3. Ozon saw the threat of death of all business Models in the bill on the regulation of marketplaces 17697 4.Marks &amp; spencer increased net profit in the first half of the year by 75% 14753 5. The Russian Federations began to spend more borrowed money on the Gadgets 10131 top materials for the week1. Interview: Mikhail Goncharov “Teremok”: “I was I am sure that the business with pancakes will take place ”1485 2. Straight: the story of Walgreens: How did the pharmacy chain benefit from the dry law and suffered from pandemia? 1454 3. Case: Less loans and below interest payments: Il de Bote experience in using online tokassation C Moniron 1145 4. Recordication: Viola factory: Life with the new owner 650 5. Starts: ecotrandas of eastern and southeastern Asia 491 Read the News News Interview Cases Master classes Events Calendar Organizers of the Conference Exhibition Special Projects Transeminars Catalog of Educational Companies Teachers Video Books Top 10 Traffic without discounts? How to buy? Business Center for the business center Catalog of retail chains Catalog of suppliers Advertising for posting through banners Printed version Paid Content goods on the shelf personal cabinet purchases Subscription Reading Articles Interview Calers Calendar Organizers of the Conference Exhibition Special Projectives Teaching Teachers Catalogs of Video Books Books 10 traffic without discounts? How to buy? Business Center Business Center Business Center Catalog Catalog of Suppliers Advertising Advertising Application for Testy Banners Printed Version Paid Content Products on the Shelf Personal Account your purchases Subscribes Read Articles News Interview Calers Calendar Organizers Calendar Conference Special Projectives Teaching Seminaries Catalog of Educational Compans Video Books of the novelty top 10 traffic without discounts? How to buy? Business Center Business Center Business Center Catalog Catalog of Suppliers Advertising Advertising Application for Testy Banners Printing Version Paid Content Products to the Personal Account Personal Access Personal Subscribes to the retailer: Register the news of the trading network: Register the company's news: Register the news of the company Rorganizers of events: register the organizer Metest the Part of the Retail.ru project! VKontaktelegramyoutubeubeubeubeum-graders. Podkastyandyandx podcastle podcastss subscription to the use of materials from the website Retail.ru include video materials and materials from online measures are allowed only if the hyperchi is allowed On the material page on retail.ru in the first paragraph of the published text. © 1999–2023RETAIL.ru DECHEMISTICTION PRODUCTION INTRODUCTION OF THE Industry of retail industry The first! Choose that you are interested in and leave emails subscriptions daily newsstands of the Materials of the month of the month of the month and the event-a-term mailing houses for teaching smell *Subscribe to the button you give consent to the processing of your personal data. Using materials from the site Tail.ru Including video materials and materials from online events is allowed only if there is a hyperlink on the material page on retail.ru in the first paragraph of the published text. Want to receive the news of the retail industry? Choose that you are interested in leaving your email daily newsstands of the month of the month of the month of the month and the event-a-term mailing houses for training in the button, you consent to the processing of personnel datapublic-4028F2D809A09A040040052MI We use cookie files to make the use of our site more convenient. If you continue to use the site, we will assume that it suits you</v>
      </c>
    </row>
    <row r="151">
      <c r="A151" s="1" t="s">
        <v>484</v>
      </c>
      <c r="B151" s="1" t="s">
        <v>530</v>
      </c>
      <c r="D151" s="1">
        <v>18.0</v>
      </c>
      <c r="E151" s="4" t="s">
        <v>531</v>
      </c>
      <c r="F151" s="1" t="s">
        <v>16</v>
      </c>
      <c r="I151" s="2">
        <v>1.0</v>
      </c>
      <c r="J151" s="5" t="str">
        <f>IFERROR(__xludf.DUMMYFUNCTION("GOOGLETRANSLATE(A151)"),"vildberry")</f>
        <v>vildberry</v>
      </c>
      <c r="K151" s="6" t="str">
        <f>IFERROR(__xludf.DUMMYFUNCTION("GOOGLETRANSLATE(B151)"),"Wildberries, the issuance of goods in Nizhny Novgorod")</f>
        <v>Wildberries, the issuance of goods in Nizhny Novgorod</v>
      </c>
      <c r="M151" s="5" t="str">
        <f>IFERROR(__xludf.DUMMYFUNCTION("GOOGLETRANSLATE(G151)"),"#VALUE!")</f>
        <v>#VALUE!</v>
      </c>
    </row>
    <row r="152">
      <c r="A152" s="1" t="s">
        <v>484</v>
      </c>
      <c r="B152" s="1" t="s">
        <v>516</v>
      </c>
      <c r="D152" s="1">
        <v>10.0</v>
      </c>
      <c r="E152" s="4" t="s">
        <v>532</v>
      </c>
      <c r="F152" s="1" t="s">
        <v>43</v>
      </c>
      <c r="G152" s="1" t="s">
        <v>273</v>
      </c>
      <c r="H152" s="4" t="s">
        <v>476</v>
      </c>
      <c r="I152" s="2">
        <v>0.0</v>
      </c>
      <c r="J152" s="5" t="str">
        <f>IFERROR(__xludf.DUMMYFUNCTION("GOOGLETRANSLATE(A152)"),"vildberry")</f>
        <v>vildberry</v>
      </c>
      <c r="K152" s="6" t="str">
        <f>IFERROR(__xludf.DUMMYFUNCTION("GOOGLETRANSLATE(B152)"),"✓ Wildberries")</f>
        <v>✓ Wildberries</v>
      </c>
      <c r="M152" s="5" t="str">
        <f>IFERROR(__xludf.DUMMYFUNCTION("GOOGLETRANSLATE(G152)"),"Update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53">
      <c r="A153" s="1" t="s">
        <v>484</v>
      </c>
      <c r="B153" s="1" t="s">
        <v>533</v>
      </c>
      <c r="D153" s="1">
        <v>14.0</v>
      </c>
      <c r="E153" s="4" t="s">
        <v>534</v>
      </c>
      <c r="F153" s="1" t="s">
        <v>43</v>
      </c>
      <c r="G153" s="1" t="s">
        <v>457</v>
      </c>
      <c r="H153" s="4" t="s">
        <v>458</v>
      </c>
      <c r="I153" s="2">
        <v>4.0</v>
      </c>
      <c r="J153" s="5" t="str">
        <f>IFERROR(__xludf.DUMMYFUNCTION("GOOGLETRANSLATE(A153)"),"vildberry")</f>
        <v>vildberry</v>
      </c>
      <c r="K153" s="6" t="str">
        <f>IFERROR(__xludf.DUMMYFUNCTION("GOOGLETRANSLATE(B153)"),"Contact @wildberriesru_official")</f>
        <v>Contact @wildberriesru_official</v>
      </c>
      <c r="M153" s="5" t="str">
        <f>IFERROR(__xludf.DUMMYFUNCTION("GOOGLETRANSLATE(G153)"),"Telegram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Premi"&amp;"umOct 28Replies 2.0 Adjustable Link Previews Name Colors and MoreSep 22Stories in Channels View-Once Media and Morea new era of messagingTelegram for AndroidTelegram for iPhone / iPad  Telegram for Windows / Mac / LinuxBrowse more Telegram apps           "&amp;" Telegram for PC / Linux            Telegram for macOSRecent NewsGiveaways in Channels and Free PremiumChannel owners can now launch Giveaways to randomly distribute prizes among their followers. This is great if you want to promote your channel get new s"&amp;"ubscribers or reward existing…Nov 6 2023Replies 2.0 Adjustable Link Previews Name Colors and MoreToday's update lets you quote specific parts of messages when replying send your replies to other chats add quote formatting to any text…Oct 28 2023Why Telegr"&amp;"am?SimpleTelegram is so simple you already know how to use it.PrivateTelegram messages are heavily encrypted and can self-destruct.SyncedTelegram lets you access your chats from multiple devices.FastTelegram delivers messages faster than any other applica"&amp;"tion.PowerfulTelegram has no limits on the size of your media and chats.OpenTelegram has an open API and source code free for everyone.SecureTelegram keeps your messages safe from hacker attacks.SocialTelegram groups can hold up to 200000 members.Expressi"&amp;"veTelegram lets you completely customize your messenger.Telegram      Telegram is a cloud-based mobile and desktop messaging app with a focus on security and speed.    AboutFAQPrivacyPressMobile AppsiPhone/iPadAndroidMobile WebDesktop AppsPC/Mac/LinuxmacO"&amp;"SWeb-browserPlatformAPITranslationsInstant ViewAboutBlogAppsPlatformPress")</f>
        <v>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v>
      </c>
    </row>
    <row r="154">
      <c r="A154" s="1" t="s">
        <v>484</v>
      </c>
      <c r="B154" s="1" t="s">
        <v>535</v>
      </c>
      <c r="D154" s="1">
        <v>15.0</v>
      </c>
      <c r="E154" s="4" t="s">
        <v>536</v>
      </c>
      <c r="F154" s="1" t="s">
        <v>43</v>
      </c>
      <c r="G154" s="1" t="s">
        <v>537</v>
      </c>
      <c r="H154" s="4" t="s">
        <v>538</v>
      </c>
      <c r="I154" s="2">
        <v>5.0</v>
      </c>
      <c r="J154" s="5" t="str">
        <f>IFERROR(__xludf.DUMMYFUNCTION("GOOGLETRANSLATE(A154)"),"vildberry")</f>
        <v>vildberry</v>
      </c>
      <c r="K154" s="6" t="str">
        <f>IFERROR(__xludf.DUMMYFUNCTION("GOOGLETRANSLATE(B154)"),"Vsemrabota.ru: Work search throughout Russia, new ...")</f>
        <v>Vsemrabota.ru: Work search throughout Russia, new ...</v>
      </c>
      <c r="M154" s="5" t="str">
        <f>IFERROR(__xludf.DUMMYFUNCTION("GOOGLETRANSLATE(G154)"),"Search for work throughout Russia new vacancies and a large resume base | Vsemrabota.ru Dberries is a daily challeng and continuous wildberries development. Interesting tasks work you are waiting for you With leading experts, constant advanced training, t"&amp;"he ability to use modern technologies and benefit millions of people. Fronten Developers JSRACTANGALARBACKEND Developers of the Data ScienceFace Recognition Searchrechers. Vision Databases of DatabasepostgreSQLTARANTOOLCLISSQLITEREDSDEVOPS Developersgitla"&amp;"bk8s (Kubernetes) Unix/Linuxredis development of mobile applications SSWift-ooskotlin-android2004-2023 © Wildberries.ru All The rights are protected")</f>
        <v>Search for work throughout Russia new vacancies and a large resume base | Vsemrabota.ru Dberries is a daily challeng and continuous wildberries development. Interesting tasks work you are waiting for you With leading experts, constant advanced training, the ability to use modern technologies and benefit millions of people. Fronten Developers JSRACTANGALARBACKEND Developers of the Data ScienceFace Recognition Searchrechers. Vision Databases of DatabasepostgreSQLTARANTOOLCLISSQLITEREDSDEVOPS Developersgitlabk8s (Kubernetes) Unix/Linuxredis development of mobile applications SSWift-ooskotlin-android2004-2023 © Wildberries.ru All The rights are protected</v>
      </c>
    </row>
    <row r="155">
      <c r="A155" s="1" t="s">
        <v>484</v>
      </c>
      <c r="B155" s="1" t="s">
        <v>539</v>
      </c>
      <c r="D155" s="1">
        <v>16.0</v>
      </c>
      <c r="E155" s="4" t="s">
        <v>540</v>
      </c>
      <c r="F155" s="1" t="s">
        <v>43</v>
      </c>
      <c r="G155" s="1" t="s">
        <v>541</v>
      </c>
      <c r="H155" s="4" t="s">
        <v>542</v>
      </c>
      <c r="I155" s="2">
        <v>1.0</v>
      </c>
      <c r="J155" s="5" t="str">
        <f>IFERROR(__xludf.DUMMYFUNCTION("GOOGLETRANSLATE(A155)"),"vildberry")</f>
        <v>vildberry</v>
      </c>
      <c r="K155" s="6" t="str">
        <f>IFERROR(__xludf.DUMMYFUNCTION("GOOGLETRANSLATE(B155)"),"Wildberries.ru - online store of fashionable clothes and shoes")</f>
        <v>Wildberries.ru - online store of fashionable clothes and shoes</v>
      </c>
      <c r="M155" s="5" t="str">
        <f>IFERROR(__xludf.DUMMYFUNCTION("GOOGLETRANSLATE(G155)"),"  IRECOMMMEND.RU | Review the recall of beauty and healthy is a chronicled-hungry-nuclear-nickelitarous-eating-eater-mowing review of 6 hours 24 hours-day / D.E. dreadlocks / Safe dreadlocks12.11.202301: 061 +12 photos realized that without dreadlocks I n"&amp;"o longer perceive myself, hello! I dreamed about dreadlocks for a long time, but forever there was no money for this hairstyle. And then I went to work, money appeared, but in my pedagogical world there was no place for such a self -expression. Last year,"&amp;" on vacation, she decided on Afrokoschiki. The House of Strakhs VDNH Moscowkitt154573012.202300: 302 +12 Photo House of Fear New An attraction at VDNH will tell you what is inside and share impressions. Hello readers of my review and lovers of unusual imp"&amp;"ressions. Finally, I visited a new attraction at VDNH called ""House of Fear."" He attracted my attention for a long time in 2023 so that at the moment it is a novelty. KDV Fun Ban Cake Cute LI12.11.202303: 071 +18 Photos are the most popular and famous "&amp;"🎂 in our city! With huge pieces of bananas inside 🍌🍰 I’ll tell you how the taste of the Fun Ban cake has changed brighter in six months and how many times the price has grown in a year ... I buy this cake already 4 or 5 times from June 2022 and now I d"&amp;"ecided: why not write review? The network in which it is sold, known throughout Russia, photos and my impressions may come in handy. So I’ll tell you what I think about the KDV biscuit cake (KDV) Fun Ban. Express Contractor Gliss Kur Oil Nutritive Omega-9"&amp;"+ hair maruls in need of nutritiondelovaja11.11.202323: 58+ 1 photo, it is better to spend 300 rubles 1 time for this air conditioner than to spend more than 1000 for several worthless sprays from other markets. I already had sprays -Contributions from gl"&amp;"eam gleam and this is the best that I tried for hair from this segment. I was convinced more than once on experience. Schwarzkopf for a long time for a long time known to me, a manufacturer of care products for hair from youth from youth is exactly famili"&amp;"ar with him, and this is exactly 20 years. Lalique L'amor Lalique Irina78711.202323: 071 +3 photos luxurious innocent and attractive so that I end 4 backlogs of my sun! I have a large collection of aromas but this I repeat this fourth time. Oda Femininity"&amp;" Tender assertiveness innocent seduction on the verge of a slap in the face for a careless look. The aroma is beautiful, it will like it if you like train and powder aromas. A solution for intravenous and intramuscular administration of Solopharm Ketorola"&amp;"c-Solofarm 30 mg/million is useful11.11.202323: 282 +15 photos will relieve pain with endometriosis and not only accurately everyone! Here you will learn about my experience of using this drug. All my life I had very painful menstruation. On a 10-point sc"&amp;"ale, all 9 points. Sometimes the condition reached the fact that I almost cut down from the intensity of pain. The tonic The Saem Calamansi Pore Freshner Yulchenka M12.11.202303: 07 +6 The photo lightly healed the healing - which he did not do! And in the"&amp;"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Пл"&amp;"аток Palantini Артикул 10992476Степанида112.11.202301:08 2 +10 фото Очень I plan to give a gentle and affectionate handkerchief a man to blame a man. I did not acquire a beautiful dress of fuchsia for myself. And I had already visited it at one event and "&amp;"painted it. But a month later I will speak in a duet with a bard and already made up that I would show up in my pink outfit again The duet involves a similarity in stage costumes. Chocolatean St. Petersburgdinka_sale11.11.202323: 421 +11 photos of a large"&amp;" selection of interesting dishes. Good day to everyone who looked at everyone. I just love chocolate, although the prices there are not the most democratic. But still my loved ones are there. True, from time to time they disappear from the menu. Jennifer "&amp;"Lopez Live Luxeevgeny 5335312.11.202301: 14za bottle 5 for the aroma for solid two -time perfume was not particularly needed. My gaze caught on the bottle. Beautiful bright chic. And I ordered the aroma. Perfume in the tester version without a box. The ar"&amp;"oma was not really impressed. A cheap unpleasant sharp. Such aromas were popular in 90. Evalar cellulose microcrystalline MCC Ankir-Bvita8512.11.202302: 481 The principle of action is easy to lose weight: the tablet swells in the stomach and does not eat "&amp;"much. That's why you are very not bad. For everyone, I remembered another drug that I tried for weight loss: Pullose MCC Evalar in tablets. Well, that I haven’t tried for this business now, now I wouldn’t do that. Previously, they found out in the pharmac"&amp;"y how trite does not sound. And immediately without leaving the counter ... Palette of eyelid shadows Maqpro Cream Shadows Primaire 10 colors Fard Cremejusthelly12.11.202301: 20+30 photos Play the artist? An indispensable product for those who want divers"&amp;"ity in the Fard Creme makeup attracted me with the opportunity to use them as substrates for color matte shades of creating their colors - endless creativity. Palette of shadows in this color layout is the most universal palette Fard Creme and the manufac"&amp;"turer has a lot of them. Show also a response tuning jubanutkablondi111.202321: 158 +8 photos I am glad that I made powdery lips - very natural and convenient. It’s a pity that my main problem still did not solve Hello everyone! Nature did not endow me wi"&amp;"th beautiful lips and at the beginning of this year I finally made the desired procedure for increasing. My next step was powdery spraying and this procedure was more likely than a whim ... Failure departure (manicure) at home from Paris 11.10.11.202323: "&amp;"491 +8 photos of a salon manicure of the house. How to make the nails to yourself so that they do not differ from the work of the master? I welcome everyone! I wanted to share my story about how to make nails on your own no worse than in the cabin. There "&amp;"are a lot of reasons to start doing manicure for himself: someone wants to save time or money, someone does not trust the masters worries for sterility and so on and so on. ATLASTRide boots warm grandmothers with heart_sia11.11.202318: 391 +7 Photo girls "&amp;"""Goodbye youth"" grandmothers or just felt boots. I bought it for work, but I am ready to go at home, a handful gift for the New Year 🌟 Devichniki Hello to find high -quality warm and cool outward shoes for me is hard for me. I am ready for hours to loo"&amp;"k for her on the Internet until I find what I really like. I love not quite the same as everyone sometimes prefer some zest in shoes. Brect systems / braces / orthodontic scobytanyushka_11.11.202316: 4822 +9 photo installation of h4 braces at 38 years old"&amp;". Will there be a result and is it worth installing? (The review will be supplemented with the beginning of treatment 04/04/2023 GMOi teeth were bored from childhood. Large jaws were bored with childhood. There were attempts to fix with plates but did not"&amp;" ask. Different reasons and fears did not allow me to do their teeth earlier. Chizhik chain of stores 111.11.202306: 375: 375 +26 photos were there 3 times, but the goods have already appeared that I will buy hello to this store every trip! Recently, a ne"&amp;"w Chizhik supermarket has been opened in the area. This store refers to the type of Lighthouse of the Boar of Dobrozo. This is not is that my favorite stores but once a month I like to wander there. I always find something necessary and useful at pleasant"&amp;" prices. Coloring hair in the AIRTOUCHOKOKEANA Z11.11.202317: 274 +11 photos and this is AIRTOUCH? My experience of fashionable coloring, the process is worn out as it is worn Hi. Today I will share my opinion with you whether it is worth making the fashi"&amp;"onable coloring technique of eirtach. I have a negative experience of hair dyeing in the cabin so I most often color myself. Operation for peritotonyus 300911.11.202309: 3821 peritonitis Resuscitation consequences good afternoon! More recently .. with sha"&amp;"king hands, I searched and read any information and reviews about people who had undergone an operation to remove appendix and peritonitis and today I want to leave my feedback! Smart Column Yandex Station Minikristinatret10.11.202323: 321 +13 photos - an"&amp;"d do you like to read fairy tales? Once Alice asked. After dad just read his son a fairy tale. Does the column eavesdrop on? My opinion. Hi all. We bought a column of Alice after the birth of a son. I noticed that the baby falls asleep well under the whit"&amp;"e noise. And I did not want to lose my phone for the time of his sleep. And since relatives gave money. I wanted to buy something necessary. And all sorts of obligatory things have long been bought. Biorevitalization of the area of ​​the face and neck inj"&amp;"ectionkakady11.11.202308: 3911 +3 photos The most useless waste of money in my life. The procedure after which it got worse How many have been living for 27 years so much and a neighboring with circles under the eyes: very thin skin and nasolacence were i"&amp;"nherited by inheritance. From 13 years I have been trying to fight this: cream masks of masks but genetics can not be deceived. Syndrome (2023 Film) Sveta Chereshkina 11/11/202313: 34 2 +10 photos Syndrome - a specific film. Many will not like it, but you"&amp;" need to watch. Do not read reviews and reviews of the film ""Syndrome"". You will definitely encounter a spoiler one way or another. It is best to watch the movie Syndrome as a completely unprepared viewer. What is the film Syndrome about? Description of"&amp;" KinoPoisk General Information: We are all different people unfortunately imperfect. Modi gift store chain stores 1111.11.202319: 322 +33 photos Five for the best calculation for the New Year receives Modi! I'll show you what to buy for a gift! The New Ye"&amp;"ar mood begins in November. Many stores are already trying on New Year's jewelry, unfortunately, so so. I have a foreboding that this year I will be surprised by those from whom you do not expect. Miracles of decoration. AppStartolea_9511.11.202322: 093 +"&amp;"9 photo Earnings on the Internet. I take out more per day than I earn for 500+ reviews on the Airek. When are the tasks and you can get more? Good afternoon. The AppStart application is not the first application for downloading applications where I earn m"&amp;"y “penny”. Now all the money earned on the Internet, including this site of reviews and this application that brings me at least not big but I put it off here. Show another review of the reviewcrass Minskyulia130712.11.202306: 281 +11 photos 🍕🍔 Bolshoy "&amp;"selection of dishes stylish design and successful location. Fudmall ""Concors"" is a great place where you can eat deliciously to wait for your train to have a good time with friends or just relax after the shopping last month I visited the beautiful Mins"&amp;"k. The city is amazing beautiful and modern. It's nice to watch how it becomes better every year. In particular, new institutions are opening here. So on the top floor of the Galileo shopping center there is a huge Fudmall Concors. Means of the D/Treatmen"&amp;"t of a cold and influenza CJSC CJSC Mrn MrppferonSherstobitovasvetlana12.11.202306: 27+3 photos with our allergicians, hello hello! When an ARVI occurs in mom and child, you buy all the improvised means. Yes, and this constant advertising on TV. Eh it wou"&amp;"ld be better to use old and proven recipes for grandmothers. Our deplorable experience of use. Soft toy Trudi seal art. 11776609Marylovely0512.11.202306: 26+6 photos of a charming seal that has been with me for many years. I saw this toy in the store at t"&amp;"he age of 16 and I fell in love with it very much and later they gave me money for it that I was very happy. Since then, this teddy seal is with me in life. Groats are semolina ""Tender"" Veronika koljuchka12.11.202306: 25+2 photo ordinary semolina clean."&amp;" Soft welcome to everyone in a new review! Today I have semolina. I am not a consumer of this cereal. Yes, I cook but do not eat practically. But mom loves so that there is always at home. Another purchase is a semolina ""tender"" from the brand passim. V"&amp;"ariety m, that is, it is soft - from soft varieties of wheat. Pepper seasoning steak grill and barbecue12.11.202306: 24+6 photos Fragrant but unsaturated seasoning. And the mill that misses whole spices without grinding. Hi all! Where to buy I bought this"&amp;" seasoning in a regular supermarket. Something like 180-150 rubles is very inexpensive. Appearance of a glass bottle in the form of a sand clock. The label indicates all the information about the seasoning - the composition of the manufacturer. Canned oli"&amp;"ves Maestro de Olivadina69anid 11.202305: 39 giant olives with a giant bone bought to try such olives in Magnet when the price has decreased greatly because the expiration date was suitable. Really large juicy good olives with a large bone. It would be be"&amp;"tter if the same fillings were laid when they make stuffed olives))) Well, in general, the product is quite tasty. Filodendron Birkin Natalia 020712.11.202305: 28+1 photo I share experience for a beautiful and non -whimsical plant. I will never part with "&amp;"him. Hi all!! Filodendron Birkin is such an interesting and beautiful indoor plant with white striped patterns on dark green wax leaves that really look spectacular. I’ll tell you how to care for it, this plant is growing for two years. The northern islan"&amp;"ds of the Neva Delta on the ship ""Koryushka"" St. Petersburgirin Fadeenkova 11/12/202305: 17 1 +36 photos rolled on a comfortable boat along the Neva. Observing the sunset 😌 Hello dear friends! Today I have a review on the tour ""Northern Islands of the"&amp;" Neva Delts on the ship"" Kuryushka ""in St. Petersburg. On the day when we walked on the statement of the island and then doused in the Koryushka restaurant - closer in the evening we went to ride the ship with an excursion. Hormonal drugs Akrikhin Comfo"&amp;"derm knyura_xitrova12.11.202305: 15 times I have come across atopic dermatitis, it knows how important it is to choose my remedy. Comfordems exactly it. Hello girls! 3 months I used a corticosteroid from time to time and here is my verdict: Comfoderm K fo"&amp;"r the atopic baby what I need. It is only when the child has an exacerbation. The Tornado ""Storm"" Energy drink Weeldees12.11.202305: 09, which is classic -biased in front of us, the most classic taste is the legendary combination of chimose and sugar - "&amp;"Tornado Storm Energetic is the same budgetary drink that all loves more like ""Lemonada"" and not as a tonic effect of the effect from it you will not wait - only the sugar content in ... is not a wooferzisse12.11.202305: 091 +3 photo country of badly - a"&amp;" fairy tale or a terrible dream? The tale of a boy who did not want to help her grandmother. Is there an instructive moment? Hello everyone! I reviewed the old Soviet cartoons some repeatedly and some discovered for myself for the first time. And I rememb"&amp;"ered another cartoon about the bad thing that I definitely looked and decided to find him on YouTube. Nipple-dummy Dr. Brown's Silicone Night Advantage Tatyana_0412.11.202305: 00+3 photos luminous in the darkness of the nipple ... 🌌hm let's try! All pros"&amp;" and cons. Where and for how much to buy? My eldest child sucked the nipples for long only 2-3 months after birth. When he began to spit out the very first nipple, Then I took the nipple of another company with the other form again spat out. The non -ster"&amp;"oidal anti -inflammatory agent of Medorb CJSC IbuprofenPro100MASHA12.11.202304: 45+1 photo from pain helped weakly and in the stomach caused severity and then became normal. The most strange ibuprofen that I have met. The headache is never by the way, but"&amp;" on the day when I had to buy this packaging of Ibuprofen, it was just at the wrong time. On the way to another city, to see a doctor on the bus, my head was hellishly. The Karamazov brothers (2008 film) lu.n.12.11.202304: 33+35 photos ""Brothers Karamazo"&amp;"v""-the surprisingly good film of 2009 I got to watch some adaptation of Dostoevsky but the ""brothers Karamazov"" Soviet production did not want to watch it firstly I, I I saw many times and secondly, and the main thing was never lying to this film, alth"&amp;"ough the actors were wonderful and it seemed in the text, but there was always a feeling ... Evening dress Lord Bear Black Mini Corset Article WB 176480930930NEGATIVE CARROT12.11.202304: 131 +13 photos of vintage - bandage The dress is a corset. Almost th"&amp;"e perfect little black crime ❤ Hello dear readers everyone) once again acted like a real girl and spent money on a dress. I didn’t have to look particularly - I didn’t have to - soon the new year is I need a reason?) I can say a clash with a dress by acci"&amp;"dent - I chose another dress and here ... Hair balm Royal Samples Cosmetics Nourishing balm with keratin and valuable oils to restore for recovery Dry damaged and brittle hair Evgushka211012.11.202304: 00 1st -hearted balm. My love of good time of day. No"&amp;"t so long ago I purchased hair balm from the Royal Samples brand after experience decided to write a review. Acquaintance with the brand. Honestly, this brand never knew. And did not pay attention to him. After I found information about him. House of Ada "&amp;"LLC: Karmayklov mansion (2023 Film) Voina12.11.202303: 59+7 photos “Karmayklov mansion”: Hello night in the house! About the film the plot in the center of the plot is a group of friends who decided to spend the night in an old mansion where ghosts live i"&amp;"n rumors. However, they soon understand that rumors do not lie and they have to face real evil. Fight/Heat (1995 Film) Konstt7812.11.202303: 57+3 photos Classic police action. He who did not look he lost a lot. This is a militant already 1995. The old anc"&amp;"ient bearded but so cool. At first glance, a movie about bandits and cops but in fact is not - it is about people. Some of them are bad (robbing banks kill their fellow citizens) other good (catch bad ones). Abrek (TV series 2023) Kitt154573012.11.202303:"&amp;" 55+12 photo series ""Abrek"" 2023-dog battles Hunting for young girls-many cruel scenes. My impressions of this series. Hello readers of my review. Recently, a rather unusual series called ""Abrek"" has only five episodes in it. And a completely unusual "&amp;"plot is heavy and psychological terms, and besides, there are many frankly cruel moments in it. After reading the official description, I became interested. Axon Tambovst.d12.11.202303: 10+6 photos how I was disappointed in this construction store ... Hel"&amp;"lo everyone! Since the start of repairs in my mother’s apartment, we began to be purchased in Axon. Then bonuses seductive then delivery is free to our remote microdistrict. And in principle, everything in this store arranged for me, although small (unple"&amp;"asant) incidents sometimes happened. Payment for the authors as soon as possible the issues of support for the support of the rule of law enforcement on monetization to the representatives of branding are allowed only with the written permission of the Si"&amp;"te Administration. For the issues of the site, write to info@irecommed.ru. Policy of the confidentiality directory on the site in the VKOL version of the mobile version")</f>
        <v>  IRECOMMMEND.RU | Review the recall of beauty and healthy is a chronicled-hungry-nuclear-nickelitarous-eating-eater-mowing review of 6 hours 24 hours-day / D.E. dreadlocks / Safe dreadlocks12.11.202301: 061 +12 photos realized that without dreadlocks I no longer perceive myself, hello! I dreamed about dreadlocks for a long time, but forever there was no money for this hairstyle. And then I went to work, money appeared, but in my pedagogical world there was no place for such a self -expression. Last year, on vacation, she decided on Afrokoschiki. The House of Strakhs VDNH Moscowkitt154573012.202300: 302 +12 Photo House of Fear New An attraction at VDNH will tell you what is inside and share impressions. Hello readers of my review and lovers of unusual impressions. Finally, I visited a new attraction at VDNH called "House of Fear." He attracted my attention for a long time in 2023 so that at the moment it is a novelty. KDV Fun Ban Cake Cute LI12.11.202303: 071 +18 Photos are the most popular and famous 🎂 in our city! With huge pieces of bananas inside 🍌🍰 I’ll tell you how the taste of the Fun Ban cake has changed brighter in six months and how many times the price has grown in a year ... I buy this cake already 4 or 5 times from June 2022 and now I decided: why not write review? The network in which it is sold, known throughout Russia, photos and my impressions may come in handy. So I’ll tell you what I think about the KDV biscuit cake (KDV) Fun Ban. Express Contractor Gliss Kur Oil Nutritive Omega-9+ hair maruls in need of nutritiondelovaja11.11.202323: 58+ 1 photo, it is better to spend 300 rubles 1 time for this air conditioner than to spend more than 1000 for several worthless sprays from other markets. I already had sprays -Contributions from gleam gleam and this is the best that I tried for hair from this segment. I was convinced more than once on experience. Schwarzkopf for a long time for a long time known to me, a manufacturer of care products for hair from youth from youth is exactly familiar with him, and this is exactly 20 years. Lalique L'amor Lalique Irina78711.202323: 071 +3 photos luxurious innocent and attractive so that I end 4 backlogs of my sun! I have a large collection of aromas but this I repeat this fourth time. Oda Femininity Tender assertiveness innocent seduction on the verge of a slap in the face for a careless look. The aroma is beautiful, it will like it if you like train and powder aromas. A solution for intravenous and intramuscular administration of Solopharm Ketorolac-Solofarm 30 mg/million is useful11.11.202323: 282 +15 photos will relieve pain with endometriosis and not only accurately everyone! Here you will learn about my experience of using this drug. All my life I had very painful menstruation. On a 10-point scale, all 9 points. Sometimes the condition reached the fact that I almost cut down from the intensity of pain. The tonic The Saem Calamansi Pore Freshner Yulchenka M12.11.202303: 07 +6 The photo lightly healed the healing - which he did not do! And in the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Платок Palantini Артикул 10992476Степанида112.11.202301:08 2 +10 фото Очень I plan to give a gentle and affectionate handkerchief a man to blame a man. I did not acquire a beautiful dress of fuchsia for myself. And I had already visited it at one event and painted it. But a month later I will speak in a duet with a bard and already made up that I would show up in my pink outfit again The duet involves a similarity in stage costumes. Chocolatean St. Petersburgdinka_sale11.11.202323: 421 +11 photos of a large selection of interesting dishes. Good day to everyone who looked at everyone. I just love chocolate, although the prices there are not the most democratic. But still my loved ones are there. True, from time to time they disappear from the menu. Jennifer Lopez Live Luxeevgeny 5335312.11.202301: 14za bottle 5 for the aroma for solid two -time perfume was not particularly needed. My gaze caught on the bottle. Beautiful bright chic. And I ordered the aroma. Perfume in the tester version without a box. The aroma was not really impressed. A cheap unpleasant sharp. Such aromas were popular in 90. Evalar cellulose microcrystalline MCC Ankir-Bvita8512.11.202302: 481 The principle of action is easy to lose weight: the tablet swells in the stomach and does not eat much. That's why you are very not bad. For everyone, I remembered another drug that I tried for weight loss: Pullose MCC Evalar in tablets. Well, that I haven’t tried for this business now, now I wouldn’t do that. Previously, they found out in the pharmacy how trite does not sound. And immediately without leaving the counter ... Palette of eyelid shadows Maqpro Cream Shadows Primaire 10 colors Fard Cremejusthelly12.11.202301: 20+30 photos Play the artist? An indispensable product for those who want diversity in the Fard Creme makeup attracted me with the opportunity to use them as substrates for color matte shades of creating their colors - endless creativity. Palette of shadows in this color layout is the most universal palette Fard Creme and the manufacturer has a lot of them. Show also a response tuning jubanutkablondi111.202321: 158 +8 photos I am glad that I made powdery lips - very natural and convenient. It’s a pity that my main problem still did not solve Hello everyone! Nature did not endow me with beautiful lips and at the beginning of this year I finally made the desired procedure for increasing. My next step was powdery spraying and this procedure was more likely than a whim ... Failure departure (manicure) at home from Paris 11.10.11.202323: 491 +8 photos of a salon manicure of the house. How to make the nails to yourself so that they do not differ from the work of the master? I welcome everyone! I wanted to share my story about how to make nails on your own no worse than in the cabin. There are a lot of reasons to start doing manicure for himself: someone wants to save time or money, someone does not trust the masters worries for sterility and so on and so on. ATLASTRide boots warm grandmothers with heart_sia11.11.202318: 391 +7 Photo girls "Goodbye youth" grandmothers or just felt boots. I bought it for work, but I am ready to go at home, a handful gift for the New Year 🌟 Devichniki Hello to find high -quality warm and cool outward shoes for me is hard for me. I am ready for hours to look for her on the Internet until I find what I really like. I love not quite the same as everyone sometimes prefer some zest in shoes. Brect systems / braces / orthodontic scobytanyushka_11.11.202316: 4822 +9 photo installation of h4 braces at 38 years old. Will there be a result and is it worth installing? (The review will be supplemented with the beginning of treatment 04/04/2023 GMOi teeth were bored from childhood. Large jaws were bored with childhood. There were attempts to fix with plates but did not ask. Different reasons and fears did not allow me to do their teeth earlier. Chizhik chain of stores 111.11.202306: 375: 375 +26 photos were there 3 times, but the goods have already appeared that I will buy hello to this store every trip! Recently, a new Chizhik supermarket has been opened in the area. This store refers to the type of Lighthouse of the Boar of Dobrozo. This is not is that my favorite stores but once a month I like to wander there. I always find something necessary and useful at pleasant prices. Coloring hair in the AIRTOUCHOKOKEANA Z11.11.202317: 274 +11 photos and this is AIRTOUCH? My experience of fashionable coloring, the process is worn out as it is worn Hi. Today I will share my opinion with you whether it is worth making the fashionable coloring technique of eirtach. I have a negative experience of hair dyeing in the cabin so I most often color myself. Operation for peritotonyus 300911.11.202309: 3821 peritonitis Resuscitation consequences good afternoon! More recently .. with shaking hands, I searched and read any information and reviews about people who had undergone an operation to remove appendix and peritonitis and today I want to leave my feedback! Smart Column Yandex Station Minikristinatret10.11.202323: 321 +13 photos - and do you like to read fairy tales? Once Alice asked. After dad just read his son a fairy tale. Does the column eavesdrop on? My opinion. Hi all. We bought a column of Alice after the birth of a son. I noticed that the baby falls asleep well under the white noise. And I did not want to lose my phone for the time of his sleep. And since relatives gave money. I wanted to buy something necessary. And all sorts of obligatory things have long been bought. Biorevitalization of the area of ​​the face and neck injectionkakady11.11.202308: 3911 +3 photos The most useless waste of money in my life. The procedure after which it got worse How many have been living for 27 years so much and a neighboring with circles under the eyes: very thin skin and nasolacence were inherited by inheritance. From 13 years I have been trying to fight this: cream masks of masks but genetics can not be deceived. Syndrome (2023 Film) Sveta Chereshkina 11/11/202313: 34 2 +10 photos Syndrome - a specific film. Many will not like it, but you need to watch. Do not read reviews and reviews of the film "Syndrome". You will definitely encounter a spoiler one way or another. It is best to watch the movie Syndrome as a completely unprepared viewer. What is the film Syndrome about? Description of KinoPoisk General Information: We are all different people unfortunately imperfect. Modi gift store chain stores 1111.11.202319: 322 +33 photos Five for the best calculation for the New Year receives Modi! I'll show you what to buy for a gift! The New Year mood begins in November. Many stores are already trying on New Year's jewelry, unfortunately, so so. I have a foreboding that this year I will be surprised by those from whom you do not expect. Miracles of decoration. AppStartolea_9511.11.202322: 093 +9 photo Earnings on the Internet. I take out more per day than I earn for 500+ reviews on the Airek. When are the tasks and you can get more? Good afternoon. The AppStart application is not the first application for downloading applications where I earn my “penny”. Now all the money earned on the Internet, including this site of reviews and this application that brings me at least not big but I put it off here. Show another review of the reviewcrass Minskyulia130712.11.202306: 281 +11 photos 🍕🍔 Bolshoy selection of dishes stylish design and successful location. Fudmall "Concors" is a great place where you can eat deliciously to wait for your train to have a good time with friends or just relax after the shopping last month I visited the beautiful Minsk. The city is amazing beautiful and modern. It's nice to watch how it becomes better every year. In particular, new institutions are opening here. So on the top floor of the Galileo shopping center there is a huge Fudmall Concors. Means of the D/Treatment of a cold and influenza CJSC CJSC Mrn MrppferonSherstobitovasvetlana12.11.202306: 27+3 photos with our allergicians, hello hello! When an ARVI occurs in mom and child, you buy all the improvised means. Yes, and this constant advertising on TV. Eh it would be better to use old and proven recipes for grandmothers. Our deplorable experience of use. Soft toy Trudi seal art. 11776609Marylovely0512.11.202306: 26+6 photos of a charming seal that has been with me for many years. I saw this toy in the store at the age of 16 and I fell in love with it very much and later they gave me money for it that I was very happy. Since then, this teddy seal is with me in life. Groats are semolina "Tender" Veronika koljuchka12.11.202306: 25+2 photo ordinary semolina clean. Soft welcome to everyone in a new review! Today I have semolina. I am not a consumer of this cereal. Yes, I cook but do not eat practically. But mom loves so that there is always at home. Another purchase is a semolina "tender" from the brand passim. Variety m, that is, it is soft - from soft varieties of wheat. Pepper seasoning steak grill and barbecue12.11.202306: 24+6 photos Fragrant but unsaturated seasoning. And the mill that misses whole spices without grinding. Hi all! Where to buy I bought this seasoning in a regular supermarket. Something like 180-150 rubles is very inexpensive. Appearance of a glass bottle in the form of a sand clock. The label indicates all the information about the seasoning - the composition of the manufacturer. Canned olives Maestro de Olivadina69anid 11.202305: 39 giant olives with a giant bone bought to try such olives in Magnet when the price has decreased greatly because the expiration date was suitable. Really large juicy good olives with a large bone. It would be better if the same fillings were laid when they make stuffed olives))) Well, in general, the product is quite tasty. Filodendron Birkin Natalia 020712.11.202305: 28+1 photo I share experience for a beautiful and non -whimsical plant. I will never part with him. Hi all!! Filodendron Birkin is such an interesting and beautiful indoor plant with white striped patterns on dark green wax leaves that really look spectacular. I’ll tell you how to care for it, this plant is growing for two years. The northern islands of the Neva Delta on the ship "Koryushka" St. Petersburgirin Fadeenkova 11/12/202305: 17 1 +36 photos rolled on a comfortable boat along the Neva. Observing the sunset 😌 Hello dear friends! Today I have a review on the tour "Northern Islands of the Neva Delts on the ship" Kuryushka "in St. Petersburg. On the day when we walked on the statement of the island and then doused in the Koryushka restaurant - closer in the evening we went to ride the ship with an excursion. Hormonal drugs Akrikhin Comfoderm knyura_xitrova12.11.202305: 15 times I have come across atopic dermatitis, it knows how important it is to choose my remedy. Comfordems exactly it. Hello girls! 3 months I used a corticosteroid from time to time and here is my verdict: Comfoderm K for the atopic baby what I need. It is only when the child has an exacerbation. The Tornado "Storm" Energy drink Weeldees12.11.202305: 09, which is classic -biased in front of us, the most classic taste is the legendary combination of chimose and sugar - Tornado Storm Energetic is the same budgetary drink that all loves more like "Lemonada" and not as a tonic effect of the effect from it you will not wait - only the sugar content in ... is not a wooferzisse12.11.202305: 091 +3 photo country of badly - a fairy tale or a terrible dream? The tale of a boy who did not want to help her grandmother. Is there an instructive moment? Hello everyone! I reviewed the old Soviet cartoons some repeatedly and some discovered for myself for the first time. And I remembered another cartoon about the bad thing that I definitely looked and decided to find him on YouTube. Nipple-dummy Dr. Brown's Silicone Night Advantage Tatyana_0412.11.202305: 00+3 photos luminous in the darkness of the nipple ... 🌌hm let's try! All pros and cons. Where and for how much to buy? My eldest child sucked the nipples for long only 2-3 months after birth. When he began to spit out the very first nipple, Then I took the nipple of another company with the other form again spat out. The non -steroidal anti -inflammatory agent of Medorb CJSC IbuprofenPro100MASHA12.11.202304: 45+1 photo from pain helped weakly and in the stomach caused severity and then became normal. The most strange ibuprofen that I have met. The headache is never by the way, but on the day when I had to buy this packaging of Ibuprofen, it was just at the wrong time. On the way to another city, to see a doctor on the bus, my head was hellishly. The Karamazov brothers (2008 film) lu.n.12.11.202304: 33+35 photos "Brothers Karamazov"-the surprisingly good film of 2009 I got to watch some adaptation of Dostoevsky but the "brothers Karamazov" Soviet production did not want to watch it firstly I, I I saw many times and secondly, and the main thing was never lying to this film, although the actors were wonderful and it seemed in the text, but there was always a feeling ... Evening dress Lord Bear Black Mini Corset Article WB 176480930930NEGATIVE CARROT12.11.202304: 131 +13 photos of vintage - bandage The dress is a corset. Almost the perfect little black crime ❤ Hello dear readers everyone) once again acted like a real girl and spent money on a dress. I didn’t have to look particularly - I didn’t have to - soon the new year is I need a reason?) I can say a clash with a dress by accident - I chose another dress and here ... Hair balm Royal Samples Cosmetics Nourishing balm with keratin and valuable oils to restore for recovery Dry damaged and brittle hair Evgushka211012.11.202304: 00 1st -hearted balm. My love of good time of day. Not so long ago I purchased hair balm from the Royal Samples brand after experience decided to write a review. Acquaintance with the brand. Honestly, this brand never knew. And did not pay attention to him. After I found information about him. House of Ada LLC: Karmayklov mansion (2023 Film) Voina12.11.202303: 59+7 photos “Karmayklov mansion”: Hello night in the house! About the film the plot in the center of the plot is a group of friends who decided to spend the night in an old mansion where ghosts live in rumors. However, they soon understand that rumors do not lie and they have to face real evil. Fight/Heat (1995 Film) Konstt7812.11.202303: 57+3 photos Classic police action. He who did not look he lost a lot. This is a militant already 1995. The old ancient bearded but so cool. At first glance, a movie about bandits and cops but in fact is not - it is about people. Some of them are bad (robbing banks kill their fellow citizens) other good (catch bad ones). Abrek (TV series 2023) Kitt154573012.11.202303: 55+12 photo series "Abrek" 2023-dog battles Hunting for young girls-many cruel scenes. My impressions of this series. Hello readers of my review. Recently, a rather unusual series called "Abrek" has only five episodes in it. And a completely unusual plot is heavy and psychological terms, and besides, there are many frankly cruel moments in it. After reading the official description, I became interested. Axon Tambovst.d12.11.202303: 10+6 photos how I was disappointed in this construction store ... Hello everyone! Since the start of repairs in my mother’s apartment, we began to be purchased in Axon. Then bonuses seductive then delivery is free to our remote microdistrict. And in principle, everything in this store arranged for me, although small (unpleasant) incidents sometimes happened. Payment for the authors as soon as possible the issues of support for the support of the rule of law enforcement on monetization to the representatives of branding are allowed only with the written permission of the Site Administration. For the issues of the site, write to info@irecommed.ru. Policy of the confidentiality directory on the site in the VKOL version of the mobile version</v>
      </c>
    </row>
    <row r="156">
      <c r="A156" s="1" t="s">
        <v>484</v>
      </c>
      <c r="B156" s="1" t="s">
        <v>543</v>
      </c>
      <c r="D156" s="1">
        <v>18.0</v>
      </c>
      <c r="E156" s="4" t="s">
        <v>544</v>
      </c>
      <c r="F156" s="1" t="s">
        <v>43</v>
      </c>
      <c r="G156" s="1" t="s">
        <v>135</v>
      </c>
      <c r="H156" s="4" t="s">
        <v>136</v>
      </c>
      <c r="I156" s="2">
        <v>4.0</v>
      </c>
      <c r="J156" s="5" t="str">
        <f>IFERROR(__xludf.DUMMYFUNCTION("GOOGLETRANSLATE(A156)"),"vildberry")</f>
        <v>vildberry</v>
      </c>
      <c r="K156" s="6" t="str">
        <f>IFERROR(__xludf.DUMMYFUNCTION("GOOGLETRANSLATE(B156)"),"Wildberries")</f>
        <v>Wildberries</v>
      </c>
      <c r="M156" s="5" t="str">
        <f>IFERROR(__xludf.DUMMYFUNCTION("GOOGLETRANSLATE(G156)"),"Forbes.ru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157">
      <c r="A157" s="1" t="s">
        <v>545</v>
      </c>
      <c r="B157" s="1" t="s">
        <v>485</v>
      </c>
      <c r="D157" s="1">
        <v>1.0</v>
      </c>
      <c r="E157" s="4" t="s">
        <v>486</v>
      </c>
      <c r="F157" s="1" t="s">
        <v>16</v>
      </c>
      <c r="G157" s="1" t="s">
        <v>487</v>
      </c>
      <c r="H157" s="4" t="s">
        <v>488</v>
      </c>
      <c r="I157" s="2">
        <v>1.0</v>
      </c>
      <c r="J157" s="5" t="str">
        <f>IFERROR(__xludf.DUMMYFUNCTION("GOOGLETRANSLATE(A157)"),"Walberis")</f>
        <v>Walberis</v>
      </c>
      <c r="K157" s="6" t="str">
        <f>IFERROR(__xludf.DUMMYFUNCTION("GOOGLETRANSLATE(B157)"),"Wildberries-online store of fashionable clothes and shoes")</f>
        <v>Wildberries-online store of fashionable clothes and shoes</v>
      </c>
      <c r="M157" s="5" t="str">
        <f>IFERROR(__xludf.DUMMYFUNCTION("GOOGLETRANSLATE(G157)"),"In order")</f>
        <v>In order</v>
      </c>
    </row>
    <row r="158">
      <c r="A158" s="1" t="s">
        <v>545</v>
      </c>
      <c r="B158" s="1" t="s">
        <v>493</v>
      </c>
      <c r="D158" s="1">
        <v>2.0</v>
      </c>
      <c r="E158" s="4" t="s">
        <v>494</v>
      </c>
      <c r="F158" s="1" t="s">
        <v>16</v>
      </c>
      <c r="G158" s="1" t="s">
        <v>495</v>
      </c>
      <c r="H158" s="1" t="s">
        <v>496</v>
      </c>
      <c r="I158" s="2">
        <v>1.0</v>
      </c>
      <c r="J158" s="5" t="str">
        <f>IFERROR(__xludf.DUMMYFUNCTION("GOOGLETRANSLATE(A158)"),"Walberis")</f>
        <v>Walberis</v>
      </c>
      <c r="K158" s="6" t="str">
        <f>IFERROR(__xludf.DUMMYFUNCTION("GOOGLETRANSLATE(B158)"),"Wildberries-a fashionable online store of clothing, shoes and ...")</f>
        <v>Wildberries-a fashionable online store of clothing, shoes and ...</v>
      </c>
      <c r="M158" s="5" t="str">
        <f>IFERROR(__xludf.DUMMYFUNCTION("GOOGLETRANSLATE(G158)"),"Wildberries-a fashionable online store of shoes and accessories. Wildberries Wildberries-a fashionable online store of shoe and accessories is available in the following countries of Russia Belarus Kazakhstan Kazakhstanya Ekistan O'zbekiston Israel ישראל "&amp;"2004- © Wildberries. All rights reserved.")</f>
        <v>Wildberries-a fashionable online store of shoes and accessories. Wildberries Wildberries-a fashionable online store of shoe and accessories is available in the following countries of Russia Belarus Kazakhstan Kazakhstanya Ekistan O'zbekiston Israel ישראל 2004- © Wildberries. All rights reserved.</v>
      </c>
    </row>
    <row r="159">
      <c r="A159" s="1" t="s">
        <v>545</v>
      </c>
      <c r="B159" s="1" t="s">
        <v>499</v>
      </c>
      <c r="D159" s="1">
        <v>3.0</v>
      </c>
      <c r="E159" s="4" t="s">
        <v>500</v>
      </c>
      <c r="F159" s="1" t="s">
        <v>16</v>
      </c>
      <c r="G159" s="1" t="s">
        <v>120</v>
      </c>
      <c r="H159" s="4" t="s">
        <v>121</v>
      </c>
      <c r="I159" s="2">
        <v>0.0</v>
      </c>
      <c r="J159" s="5" t="str">
        <f>IFERROR(__xludf.DUMMYFUNCTION("GOOGLETRANSLATE(A159)"),"Walberis")</f>
        <v>Walberis</v>
      </c>
      <c r="K159" s="6" t="str">
        <f>IFERROR(__xludf.DUMMYFUNCTION("GOOGLETRANSLATE(B159)"),"Wildberries - Google Play apps")</f>
        <v>Wildberries - Google Play apps</v>
      </c>
      <c r="M159" s="5" t="str">
        <f>IFERROR(__xludf.DUMMYFUNCTION("GOOGLETRANSLATE(G159)"),"Android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60">
      <c r="A160" s="1" t="s">
        <v>545</v>
      </c>
      <c r="B160" s="1" t="s">
        <v>497</v>
      </c>
      <c r="D160" s="1">
        <v>4.0</v>
      </c>
      <c r="E160" s="4" t="s">
        <v>498</v>
      </c>
      <c r="F160" s="1" t="s">
        <v>16</v>
      </c>
      <c r="G160" s="1" t="s">
        <v>31</v>
      </c>
      <c r="H160" s="4" t="s">
        <v>32</v>
      </c>
      <c r="I160" s="2">
        <v>3.0</v>
      </c>
      <c r="J160" s="5" t="str">
        <f>IFERROR(__xludf.DUMMYFUNCTION("GOOGLETRANSLATE(A160)"),"Walberis")</f>
        <v>Walberis</v>
      </c>
      <c r="K160" s="6" t="str">
        <f>IFERROR(__xludf.DUMMYFUNCTION("GOOGLETRANSLATE(B160)"),"Wildberries - Wikipedia")</f>
        <v>Wildberries - Wikipedia</v>
      </c>
      <c r="M160" s="5" t="str">
        <f>IFERROR(__xludf.DUMMYFUNCTION("GOOGLETRANSLATE(G160)"),"Wikipedia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61">
      <c r="A161" s="1" t="s">
        <v>545</v>
      </c>
      <c r="B161" s="1" t="s">
        <v>489</v>
      </c>
      <c r="D161" s="1">
        <v>5.0</v>
      </c>
      <c r="E161" s="4" t="s">
        <v>490</v>
      </c>
      <c r="F161" s="1" t="s">
        <v>16</v>
      </c>
      <c r="G161" s="1" t="s">
        <v>34</v>
      </c>
      <c r="H161" s="4" t="s">
        <v>35</v>
      </c>
      <c r="I161" s="2">
        <v>4.0</v>
      </c>
      <c r="J161" s="5" t="str">
        <f>IFERROR(__xludf.DUMMYFUNCTION("GOOGLETRANSLATE(A161)"),"Walberis")</f>
        <v>Walberis</v>
      </c>
      <c r="K161" s="6" t="str">
        <f>IFERROR(__xludf.DUMMYFUNCTION("GOOGLETRANSLATE(B161)"),"WILDBERRIES")</f>
        <v>WILDBERRIES</v>
      </c>
      <c r="M161" s="5" t="str">
        <f>IFERROR(__xludf.DUMMYFUNCTION("GOOGLETRANSLATE(G161)"),"VK.com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62">
      <c r="A162" s="1" t="s">
        <v>545</v>
      </c>
      <c r="B162" s="1" t="s">
        <v>546</v>
      </c>
      <c r="D162" s="1">
        <v>6.0</v>
      </c>
      <c r="E162" s="4" t="s">
        <v>547</v>
      </c>
      <c r="F162" s="1" t="s">
        <v>16</v>
      </c>
      <c r="G162" s="1" t="s">
        <v>34</v>
      </c>
      <c r="H162" s="4" t="s">
        <v>35</v>
      </c>
      <c r="I162" s="2">
        <v>4.0</v>
      </c>
      <c r="J162" s="5" t="str">
        <f>IFERROR(__xludf.DUMMYFUNCTION("GOOGLETRANSLATE(A162)"),"Walberis")</f>
        <v>Walberis</v>
      </c>
      <c r="K162" s="6" t="str">
        <f>IFERROR(__xludf.DUMMYFUNCTION("GOOGLETRANSLATE(B162)"),"The best on Wildberries | Valberis")</f>
        <v>The best on Wildberries | Valberis</v>
      </c>
      <c r="M162" s="5" t="str">
        <f>IFERROR(__xludf.DUMMYFUNCTION("GOOGLETRANSLATE(G162)"),"VK.com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63">
      <c r="A163" s="1" t="s">
        <v>545</v>
      </c>
      <c r="B163" s="1" t="s">
        <v>548</v>
      </c>
      <c r="C163" s="1" t="s">
        <v>549</v>
      </c>
      <c r="D163" s="1">
        <v>7.0</v>
      </c>
      <c r="E163" s="4" t="s">
        <v>550</v>
      </c>
      <c r="F163" s="1" t="s">
        <v>16</v>
      </c>
      <c r="G163" s="1" t="s">
        <v>336</v>
      </c>
      <c r="H163" s="4" t="s">
        <v>453</v>
      </c>
      <c r="I163" s="2">
        <v>4.0</v>
      </c>
      <c r="J163" s="5" t="str">
        <f>IFERROR(__xludf.DUMMYFUNCTION("GOOGLETRANSLATE(A163)"),"Walberis")</f>
        <v>Walberis</v>
      </c>
      <c r="K163" s="6" t="str">
        <f>IFERROR(__xludf.DUMMYFUNCTION("GOOGLETRANSLATE(B163)"),"Valberis in Samara on the map next to me")</f>
        <v>Valberis in Samara on the map next to me</v>
      </c>
      <c r="L163" s="5" t="str">
        <f>IFERROR(__xludf.DUMMYFUNCTION("GOOGLETRANSLATE(C163)"),"Valberis in Samara, Yandex maps: phones, hours of work, photos, entrances, reviews, how to go by transport or go on foot.")</f>
        <v>Valberis in Samara, Yandex maps: phones, hours of work, photos, entrances, reviews, how to go by transport or go on foot.</v>
      </c>
      <c r="M163" s="5" t="str">
        <f>IFERROR(__xludf.DUMMYFUNCTION("GOOGLETRANSLATE(G163)"),"Oh!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64">
      <c r="A164" s="1" t="s">
        <v>545</v>
      </c>
      <c r="B164" s="1" t="s">
        <v>551</v>
      </c>
      <c r="C164" s="1" t="s">
        <v>552</v>
      </c>
      <c r="D164" s="1">
        <v>8.0</v>
      </c>
      <c r="E164" s="4" t="s">
        <v>553</v>
      </c>
      <c r="F164" s="1" t="s">
        <v>16</v>
      </c>
      <c r="I164" s="2">
        <v>1.0</v>
      </c>
      <c r="J164" s="5" t="str">
        <f>IFERROR(__xludf.DUMMYFUNCTION("GOOGLETRANSLATE(A164)"),"Walberis")</f>
        <v>Walberis</v>
      </c>
      <c r="K164" s="6" t="str">
        <f>IFERROR(__xludf.DUMMYFUNCTION("GOOGLETRANSLATE(B164)"),"Valberis online store - buy in ...")</f>
        <v>Valberis online store - buy in ...</v>
      </c>
      <c r="L164" s="5" t="str">
        <f>IFERROR(__xludf.DUMMYFUNCTION("GOOGLETRANSLATE(C164)"),"Valberis online store in the OZON online store at low prices! Large selection, discounts and promotions! Install and fast delivery!")</f>
        <v>Valberis online store in the OZON online store at low prices! Large selection, discounts and promotions! Install and fast delivery!</v>
      </c>
      <c r="M164" s="5" t="str">
        <f>IFERROR(__xludf.DUMMYFUNCTION("GOOGLETRANSLATE(G164)"),"#VALUE!")</f>
        <v>#VALUE!</v>
      </c>
    </row>
    <row r="165">
      <c r="A165" s="1" t="s">
        <v>545</v>
      </c>
      <c r="B165" s="1" t="s">
        <v>507</v>
      </c>
      <c r="D165" s="1">
        <v>9.0</v>
      </c>
      <c r="E165" s="4" t="s">
        <v>508</v>
      </c>
      <c r="F165" s="1" t="s">
        <v>16</v>
      </c>
      <c r="G165" s="1" t="s">
        <v>509</v>
      </c>
      <c r="H165" s="4" t="s">
        <v>510</v>
      </c>
      <c r="I165" s="2">
        <v>1.0</v>
      </c>
      <c r="J165" s="5" t="str">
        <f>IFERROR(__xludf.DUMMYFUNCTION("GOOGLETRANSLATE(A165)"),"Walberis")</f>
        <v>Walberis</v>
      </c>
      <c r="K165" s="6" t="str">
        <f>IFERROR(__xludf.DUMMYFUNCTION("GOOGLETRANSLATE(B165)"),"Wildberries-online store of fashionable clothes, shoes and ...")</f>
        <v>Wildberries-online store of fashionable clothes, shoes and ...</v>
      </c>
      <c r="M165" s="5" t="str">
        <f>IFERROR(__xludf.DUMMYFUNCTION("GOOGLETRANSLATE(G165)"),"Wildberries-online store of fashionable shoes and accessories:")</f>
        <v>Wildberries-online store of fashionable shoes and accessories:</v>
      </c>
    </row>
    <row r="166">
      <c r="A166" s="1" t="s">
        <v>545</v>
      </c>
      <c r="B166" s="1" t="s">
        <v>554</v>
      </c>
      <c r="C166" s="1" t="s">
        <v>555</v>
      </c>
      <c r="D166" s="1">
        <v>10.0</v>
      </c>
      <c r="E166" s="4" t="s">
        <v>556</v>
      </c>
      <c r="F166" s="1" t="s">
        <v>16</v>
      </c>
      <c r="G166" s="1" t="s">
        <v>336</v>
      </c>
      <c r="H166" s="4" t="s">
        <v>515</v>
      </c>
      <c r="I166" s="2">
        <v>4.0</v>
      </c>
      <c r="J166" s="5" t="str">
        <f>IFERROR(__xludf.DUMMYFUNCTION("GOOGLETRANSLATE(A166)"),"Walberis")</f>
        <v>Walberis</v>
      </c>
      <c r="K166" s="6" t="str">
        <f>IFERROR(__xludf.DUMMYFUNCTION("GOOGLETRANSLATE(B166)"),"Valberis online store Site - Buy on low ...")</f>
        <v>Valberis online store Site - Buy on low ...</v>
      </c>
      <c r="L166" s="5" t="str">
        <f>IFERROR(__xludf.DUMMYFUNCTION("GOOGLETRANSLATE(C166)"),"Buy Valburis online store Site - 2 offers - low prices, fast delivery from 1-2 hours, possibility of payment in installments for some of the goods, ...")</f>
        <v>Buy Valburis online store Site - 2 offers - low prices, fast delivery from 1-2 hours, possibility of payment in installments for some of the goods, ...</v>
      </c>
      <c r="M166" s="5" t="str">
        <f>IFERROR(__xludf.DUMMYFUNCTION("GOOGLETRANSLATE(G166)"),"Oh!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67">
      <c r="A167" s="1" t="s">
        <v>545</v>
      </c>
      <c r="B167" s="1" t="s">
        <v>503</v>
      </c>
      <c r="D167" s="1">
        <v>11.0</v>
      </c>
      <c r="E167" s="4" t="s">
        <v>504</v>
      </c>
      <c r="F167" s="1" t="s">
        <v>16</v>
      </c>
      <c r="G167" s="1" t="s">
        <v>273</v>
      </c>
      <c r="H167" s="4" t="s">
        <v>274</v>
      </c>
      <c r="I167" s="2">
        <v>3.0</v>
      </c>
      <c r="J167" s="5" t="str">
        <f>IFERROR(__xludf.DUMMYFUNCTION("GOOGLETRANSLATE(A167)"),"Walberis")</f>
        <v>Walberis</v>
      </c>
      <c r="K167" s="6" t="str">
        <f>IFERROR(__xludf.DUMMYFUNCTION("GOOGLETRANSLATE(B167)"),"WILDBERRIES OFFICIAL (@wildberriesru)")</f>
        <v>WILDBERRIES OFFICIAL (@wildberriesru)</v>
      </c>
      <c r="M167" s="5" t="str">
        <f>IFERROR(__xludf.DUMMYFUNCTION("GOOGLETRANSLATE(G167)"),"Update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68">
      <c r="A168" s="1" t="s">
        <v>545</v>
      </c>
      <c r="B168" s="1" t="s">
        <v>557</v>
      </c>
      <c r="C168" s="1" t="s">
        <v>558</v>
      </c>
      <c r="D168" s="1">
        <v>12.0</v>
      </c>
      <c r="E168" s="4" t="s">
        <v>559</v>
      </c>
      <c r="F168" s="1" t="s">
        <v>16</v>
      </c>
      <c r="I168" s="2">
        <v>1.0</v>
      </c>
      <c r="J168" s="5" t="str">
        <f>IFERROR(__xludf.DUMMYFUNCTION("GOOGLETRANSLATE(A168)"),"Walberis")</f>
        <v>Walberis</v>
      </c>
      <c r="K168" s="6" t="str">
        <f>IFERROR(__xludf.DUMMYFUNCTION("GOOGLETRANSLATE(B168)"),"Valberis in Krasnoyarsk on the map")</f>
        <v>Valberis in Krasnoyarsk on the map</v>
      </c>
      <c r="L168" s="5" t="str">
        <f>IFERROR(__xludf.DUMMYFUNCTION("GOOGLETRANSLATE(C168)"),"Valberis: Addresses on the map, ☎ phones, sites, hours of work, ☆ reviews, photos, ⚑ Search for travel by city transport and cars.")</f>
        <v>Valberis: Addresses on the map, ☎ phones, sites, hours of work, ☆ reviews, photos, ⚑ Search for travel by city transport and cars.</v>
      </c>
      <c r="M168" s="5" t="str">
        <f>IFERROR(__xludf.DUMMYFUNCTION("GOOGLETRANSLATE(G168)"),"#VALUE!")</f>
        <v>#VALUE!</v>
      </c>
    </row>
    <row r="169">
      <c r="A169" s="1" t="s">
        <v>545</v>
      </c>
      <c r="B169" s="1" t="s">
        <v>518</v>
      </c>
      <c r="D169" s="1">
        <v>13.0</v>
      </c>
      <c r="E169" s="4" t="s">
        <v>519</v>
      </c>
      <c r="F169" s="1" t="s">
        <v>16</v>
      </c>
      <c r="I169" s="2">
        <v>3.0</v>
      </c>
      <c r="J169" s="5" t="str">
        <f>IFERROR(__xludf.DUMMYFUNCTION("GOOGLETRANSLATE(A169)"),"Walberis")</f>
        <v>Walberis</v>
      </c>
      <c r="K169" s="6" t="str">
        <f>IFERROR(__xludf.DUMMYFUNCTION("GOOGLETRANSLATE(B169)"),"Wildberries - The latest news today")</f>
        <v>Wildberries - The latest news today</v>
      </c>
      <c r="M169" s="5" t="str">
        <f>IFERROR(__xludf.DUMMYFUNCTION("GOOGLETRANSLATE(G169)"),"#VALUE!")</f>
        <v>#VALUE!</v>
      </c>
    </row>
    <row r="170">
      <c r="A170" s="1" t="s">
        <v>545</v>
      </c>
      <c r="B170" s="1" t="s">
        <v>560</v>
      </c>
      <c r="D170" s="1">
        <v>14.0</v>
      </c>
      <c r="E170" s="4" t="s">
        <v>561</v>
      </c>
      <c r="F170" s="1" t="s">
        <v>16</v>
      </c>
      <c r="I170" s="2">
        <v>3.0</v>
      </c>
      <c r="J170" s="5" t="str">
        <f>IFERROR(__xludf.DUMMYFUNCTION("GOOGLETRANSLATE(A170)"),"Walberis")</f>
        <v>Walberis</v>
      </c>
      <c r="K170" s="6" t="str">
        <f>IFERROR(__xludf.DUMMYFUNCTION("GOOGLETRANSLATE(B170)"),"Wildberries - the latest news today on ...")</f>
        <v>Wildberries - the latest news today on ...</v>
      </c>
      <c r="M170" s="5" t="str">
        <f>IFERROR(__xludf.DUMMYFUNCTION("GOOGLETRANSLATE(G170)"),"#VALUE!")</f>
        <v>#VALUE!</v>
      </c>
    </row>
    <row r="171">
      <c r="A171" s="1" t="s">
        <v>545</v>
      </c>
      <c r="B171" s="1" t="s">
        <v>562</v>
      </c>
      <c r="C171" s="1" t="s">
        <v>153</v>
      </c>
      <c r="D171" s="1">
        <v>15.0</v>
      </c>
      <c r="E171" s="4" t="s">
        <v>563</v>
      </c>
      <c r="F171" s="1" t="s">
        <v>16</v>
      </c>
      <c r="G171" s="1" t="s">
        <v>564</v>
      </c>
      <c r="H171" s="4" t="s">
        <v>565</v>
      </c>
      <c r="I171" s="2">
        <v>4.0</v>
      </c>
      <c r="J171" s="5" t="str">
        <f>IFERROR(__xludf.DUMMYFUNCTION("GOOGLETRANSLATE(A171)"),"Walberis")</f>
        <v>Walberis</v>
      </c>
      <c r="K171" s="6" t="str">
        <f>IFERROR(__xludf.DUMMYFUNCTION("GOOGLETRANSLATE(B171)"),"Download Wildberries 5.3.6001 for Android - Trashbox")</f>
        <v>Download Wildberries 5.3.6001 for Android - Trashbox</v>
      </c>
      <c r="L171" s="5" t="str">
        <f>IFERROR(__xludf.DUMMYFUNCTION("GOOGLETRANSLATE(C171)"),"3 days ago -")</f>
        <v>3 days ago -</v>
      </c>
      <c r="M171" s="5" t="str">
        <f>IFERROR(__xludf.DUMMYFUNCTION("GOOGLETRANSLATE(G171)"),"Treshbox.rudl of full -fledged use of the site please include support for JavaScript -resistant to a programmimrammiyphorumvidezal Slavkak to become an author? How to place the application? Menuades that brighten up your autumn: from a fashionable smartph"&amp;"one to a clock with two displays Smart Air purification and ceramics from the clown intel will respond to Russian science in The court for the deliberate sale of processors with vulnerability. The problem is a very large-scale-factle against the EU: the c"&amp;"ompany appeals the requirement to open the App Store and Imessaget powerful in the Windows-NOTBUKS market: Intel Core i9-14900HX tests appeared. He lost the Apple M3Apple is preparing to allow the installation of applications bypassing the App Store: they"&amp;" found a hint of it in the iOS 17.2.2 -set police officers: the car received a special coloring and video surveillance of the Troubles told about the class system: there will be five of them but one is available only on pre -ordering newsstanding : half a"&amp;" century between pirates and blogramistory7 vs 127 Nm versus 12: what is Pixel technological processMartphones say: what was surprised by each gadgeist of the Series Impenced for OLED and LCD? Microled what is there in IT: Aurora Steam Deck OLED and the f"&amp;"uture gadget from Humanel. Russia created the first domestic charging station for electric vehicles and Openai introduced new AI products not ashamed to give the girl to the wife and not only: a review of the stylish Xiaomi Civi 3 Chinese giant decided to"&amp;" create the perfect smartphone for the female half of humanity. And there were very good 5 functions that I would like to improve in the Android Auto-informational and entertainment system of Google can be much better. It is only necessary to make a littl"&amp;"e effort the Call of Duty Review: Modern Warfare 3. When I stretched DLC to a whole game and want 70 dollars a storyline that can be passed over the evening with beautiful graphics and stupid Stals AAA-release films of the week: Bald Nicholas Caeji Finche"&amp;"r’s masterpiece and intriguing science fiction collection of the best films and TV shows that can already be seen on the network in excellent quality and with voice acting Steam Deck Oled: it became better (almost the same price) Valve calls the new varia"&amp;"nt of the first generation of Steam Deck and practice in practice It really is what smartphone to buy in November 2023: the rating of the best models on any budget of all price categories there are also frankly unsuccessful phones with high price tags and"&amp;" the best options why overpay when there are enough smartphones and up to 20,000 rubles? Here are the top 5 of the best in now the 5 best representatives of this price segment who certainly will not disappoint the best series of November after purchase: i"&amp;"nteractive Silent Hill unexpected Godzilla New Scott Pilgrims of this month awaits many unusual new products including the series in which the fate of the heroes will depend on the viewers. Smart glasses of projecting a large screen: what they can and are"&amp;" needed in 2023 this is the second generation in which they worked on the comfort of wearing - and it turned out. But the changes are not so much powerfully convenient, but eagerly: the journalists impressed and disappointed the IMAC on the M3MONOBLOK rec"&amp;"eived a steep update by moving to the M3 chip. For some reason, the rest of the moments left unnecessarily surprised, but for 15,000 rubles I found 5 good smartphones. Here they are honestly about the pluses/minus, we are the 5 best representatives of thi"&amp;"s price segment that will definitely not disappoint after the purchase if you did not like MacBook, then now you will change your opinion. The MacBook Pro review on the M3 MAX is the highest performance combined with compactness by lightweight and autonom"&amp;"y - others can’t now boast of such a folding smartphone their level has grown. The Honor Magic V2 review is announced by the 2023th year of folding smartphones. Right now, they are becoming convenient and truly massive materials that are still being discu"&amp;"ssed today3xiaomi announced to whom it will be allowed to unlock the bootloader in Hyperos. The conditions are strict for the 1st PC in November 2023: the best game assemblies from 54,000 rubles3realme 11 Pro+: when ready to compete with the tops2, Infini"&amp;"x Smart 8 - an incredibly cheap smartphone with a large battery2, you did not like MacBook now you will change your opinion. A review of the MacBook Pro on the M3 Max2, overpay when there are enough smartphones and up to 20,000 rubles? Here are the top 5s"&amp;" of the best on the days of the Day of the Day of the Day of 3D MastermmMMMMMM 2Panda game: a house in the town of Gorodel Money programs of the daytapkmagic fx-special effects and filter-proofessional high-speed phrasal verbalo-glorys of the Glorodarodno"&amp;"tyan content of the site of the site. To the Menian holders and DMCAPALATION OF Privacy Engine Version 13.0.3 © 2006-2023 A. Bobylevversion for PC")</f>
        <v>Treshbox.rudl of full -fledged use of the site please include support for JavaScript -resistant to a programmimrammiyphorumvidezal Slavkak to become an author? How to place the application? Menuades that brighten up your autumn: from a fashionable smartphone to a clock with two displays Smart Air purification and ceramics from the clown intel will respond to Russian science in The court for the deliberate sale of processors with vulnerability. The problem is a very large-scale-factle against the EU: the company appeals the requirement to open the App Store and Imessaget powerful in the Windows-NOTBUKS market: Intel Core i9-14900HX tests appeared. He lost the Apple M3Apple is preparing to allow the installation of applications bypassing the App Store: they found a hint of it in the iOS 17.2.2 -set police officers: the car received a special coloring and video surveillance of the Troubles told about the class system: there will be five of them but one is available only on pre -ordering newsstanding : half a century between pirates and blogramistory7 vs 127 Nm versus 12: what is Pixel technological processMartphones say: what was surprised by each gadgeist of the Series Impenced for OLED and LCD? Microled what is there in IT: Aurora Steam Deck OLED and the future gadget from Humanel. Russia created the first domestic charging station for electric vehicles and Openai introduced new AI products not ashamed to give the girl to the wife and not only: a review of the stylish Xiaomi Civi 3 Chinese giant decided to create the perfect smartphone for the female half of humanity. And there were very good 5 functions that I would like to improve in the Android Auto-informational and entertainment system of Google can be much better. It is only necessary to make a little effort the Call of Duty Review: Modern Warfare 3. When I stretched DLC to a whole game and want 70 dollars a storyline that can be passed over the evening with beautiful graphics and stupid Stals AAA-release films of the week: Bald Nicholas Caeji Fincher’s masterpiece and intriguing science fiction collection of the best films and TV shows that can already be seen on the network in excellent quality and with voice acting Steam Deck Oled: it became better (almost the same price) Valve calls the new variant of the first generation of Steam Deck and practice in practice It really is what smartphone to buy in November 2023: the rating of the best models on any budget of all price categories there are also frankly unsuccessful phones with high price tags and the best options why overpay when there are enough smartphones and up to 20,000 rubles? Here are the top 5 of the best in now the 5 best representatives of this price segment who certainly will not disappoint the best series of November after purchase: interactive Silent Hill unexpected Godzilla New Scott Pilgrims of this month awaits many unusual new products including the series in which the fate of the heroes will depend on the viewers. Smart glasses of projecting a large screen: what they can and are needed in 2023 this is the second generation in which they worked on the comfort of wearing - and it turned out. But the changes are not so much powerfully convenient, but eagerly: the journalists impressed and disappointed the IMAC on the M3MONOBLOK received a steep update by moving to the M3 chip. For some reason, the rest of the moments left unnecessarily surprised, but for 15,000 rubles I found 5 good smartphones. Here they are honestly about the pluses/minus, we are the 5 best representatives of this price segment that will definitely not disappoint after the purchase if you did not like MacBook, then now you will change your opinion. The MacBook Pro review on the M3 MAX is the highest performance combined with compactness by lightweight and autonomy - others can’t now boast of such a folding smartphone their level has grown. The Honor Magic V2 review is announced by the 2023th year of folding smartphones. Right now, they are becoming convenient and truly massive materials that are still being discussed today3xiaomi announced to whom it will be allowed to unlock the bootloader in Hyperos. The conditions are strict for the 1st PC in November 2023: the best game assemblies from 54,000 rubles3realme 11 Pro+: when ready to compete with the tops2, Infinix Smart 8 - an incredibly cheap smartphone with a large battery2, you did not like MacBook now you will change your opinion. A review of the MacBook Pro on the M3 Max2, overpay when there are enough smartphones and up to 20,000 rubles? Here are the top 5s of the best on the days of the Day of the Day of the Day of 3D MastermmMMMMMM 2Panda game: a house in the town of Gorodel Money programs of the daytapkmagic fx-special effects and filter-proofessional high-speed phrasal verbalo-glorys of the Glorodarodnotyan content of the site of the site. To the Menian holders and DMCAPALATION OF Privacy Engine Version 13.0.3 © 2006-2023 A. Bobylevversion for PC</v>
      </c>
    </row>
    <row r="172">
      <c r="A172" s="1" t="s">
        <v>545</v>
      </c>
      <c r="B172" s="1" t="s">
        <v>566</v>
      </c>
      <c r="C172" s="1" t="s">
        <v>567</v>
      </c>
      <c r="D172" s="1">
        <v>16.0</v>
      </c>
      <c r="E172" s="4" t="s">
        <v>568</v>
      </c>
      <c r="F172" s="1" t="s">
        <v>16</v>
      </c>
      <c r="G172" s="1" t="s">
        <v>541</v>
      </c>
      <c r="H172" s="4" t="s">
        <v>542</v>
      </c>
      <c r="I172" s="2">
        <v>2.0</v>
      </c>
      <c r="J172" s="5" t="str">
        <f>IFERROR(__xludf.DUMMYFUNCTION("GOOGLETRANSLATE(A172)"),"Walberis")</f>
        <v>Walberis</v>
      </c>
      <c r="K172" s="6" t="str">
        <f>IFERROR(__xludf.DUMMYFUNCTION("GOOGLETRANSLATE(B172)"),"Valburys-no. - Wildberries.ru")</f>
        <v>Valburys-no. - Wildberries.ru</v>
      </c>
      <c r="L172" s="5" t="str">
        <f>IFERROR(__xludf.DUMMYFUNCTION("GOOGLETRANSLATE(C172)"),"8 Sept. 2023. -")</f>
        <v>8 Sept. 2023. -</v>
      </c>
      <c r="M172" s="5" t="str">
        <f>IFERROR(__xludf.DUMMYFUNCTION("GOOGLETRANSLATE(G172)"),"  IRECOMMMEND.RU | Review the recall of beauty and healthy is a chronicled-hungry-nuclear-nickelitarous-eating-eater-mowing review of 6 hours 24 hours-day / D.E. dreadlocks / Safe dreadlocks12.11.202301: 061 +12 photos realized that without dreadlocks I n"&amp;"o longer perceive myself, hello! I dreamed about dreadlocks for a long time, but forever there was no money for this hairstyle. And then I went to work, money appeared, but in my pedagogical world there was no place for such a self -expression. Last year,"&amp;" on vacation, she decided on Afrokoschiki. The House of Strakhs VDNH Moscowkitt154573012.202300: 302 +12 Photo House of Fear New An attraction at VDNH will tell you what is inside and share impressions. Hello readers of my review and lovers of unusual imp"&amp;"ressions. Finally, I visited a new attraction at VDNH called ""House of Fear."" He attracted my attention for a long time in 2023 so that at the moment it is a novelty. KDV Fun Ban Cake Cute LI12.11.202303: 071 +18 Photos are the most popular and famous "&amp;"🎂 in our city! With huge pieces of bananas inside 🍌🍰 I’ll tell you how the taste of the Fun Ban cake has changed brighter in six months and how many times the price has grown in a year ... I buy this cake already 4 or 5 times from June 2022 and now I d"&amp;"ecided: why not write review? The network in which it is sold, known throughout Russia, photos and my impressions may come in handy. So I’ll tell you what I think about the KDV biscuit cake (KDV) Fun Ban. Express Contractor Gliss Kur Oil Nutritive Omega-9"&amp;"+ hair maruls in need of nutritiondelovaja11.11.202323: 58+ 1 photo, it is better to spend 300 rubles 1 time for this air conditioner than to spend more than 1000 for several worthless sprays from other markets. I already had sprays -Contributions from gl"&amp;"eam gleam and this is the best that I tried for hair from this segment. I was convinced more than once on experience. Schwarzkopf for a long time for a long time known to me, a manufacturer of care products for hair from youth from youth is exactly famili"&amp;"ar with him, and this is exactly 20 years. Lalique L'amor Lalique Irina78711.202323: 071 +3 photos luxurious innocent and attractive so that I end 4 backlogs of my sun! I have a large collection of aromas but this I repeat this fourth time. Oda Femininity"&amp;" Tender assertiveness innocent seduction on the verge of a slap in the face for a careless look. The aroma is beautiful, it will like it if you like train and powder aromas. A solution for intravenous and intramuscular administration of Solopharm Ketorola"&amp;"c-Solofarm 30 mg/million is useful11.11.202323: 282 +15 photos will relieve pain with endometriosis and not only accurately everyone! Here you will learn about my experience of using this drug. All my life I had very painful menstruation. On a 10-point sc"&amp;"ale, all 9 points. Sometimes the condition reached the fact that I almost cut down from the intensity of pain. The tonic The Saem Calamansi Pore Freshner Yulchenka M12.11.202303: 07 +6 The photo lightly healed the healing - which he did not do! And in the"&amp;"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Пл"&amp;"аток Palantini Артикул 10992476Степанида112.11.202301:08 2 +10 фото Очень I plan to give a gentle and affectionate handkerchief a man to blame a man. I did not acquire a beautiful dress of fuchsia for myself. And I had already visited it at one event and "&amp;"painted it. But a month later I will speak in a duet with a bard and already made up that I would show up in my pink outfit again The duet involves a similarity in stage costumes. Chocolatean St. Petersburgdinka_sale11.11.202323: 421 +11 photos of a large"&amp;" selection of interesting dishes. Good day to everyone who looked at everyone. I just love chocolate, although the prices there are not the most democratic. But still my loved ones are there. True, from time to time they disappear from the menu. Jennifer "&amp;"Lopez Live Luxeevgeny 5335312.11.202301: 14za bottle 5 for the aroma for solid two -time perfume was not particularly needed. My gaze caught on the bottle. Beautiful bright chic. And I ordered the aroma. Perfume in the tester version without a box. The ar"&amp;"oma was not really impressed. A cheap unpleasant sharp. Such aromas were popular in 90. Evalar cellulose microcrystalline MCC Ankir-Bvita8512.11.202302: 481 The principle of action is easy to lose weight: the tablet swells in the stomach and does not eat "&amp;"much. That's why you are very not bad. For everyone, I remembered another drug that I tried for weight loss: Pullose MCC Evalar in tablets. Well, that I haven’t tried for this business now, now I wouldn’t do that. Previously, they found out in the pharmac"&amp;"y how trite does not sound. And immediately without leaving the counter ... Palette of eyelid shadows Maqpro Cream Shadows Primaire 10 colors Fard Cremejusthelly12.11.202301: 20+30 photos Play the artist? An indispensable product for those who want divers"&amp;"ity in the Fard Creme makeup attracted me with the opportunity to use them as substrates for color matte shades of creating their colors - endless creativity. Palette of shadows in this color layout is the most universal palette Fard Creme and the manufac"&amp;"turer has a lot of them. Show also a response tuning jubanutkablondi111.202321: 158 +8 photos I am glad that I made powdery lips - very natural and convenient. It’s a pity that my main problem still did not solve Hello everyone! Nature did not endow me wi"&amp;"th beautiful lips and at the beginning of this year I finally made the desired procedure for increasing. My next step was powdery spraying and this procedure was more likely than a whim ... Failure departure (manicure) at home from Paris 11.10.11.202323: "&amp;"491 +8 photos of a salon manicure of the house. How to make the nails to yourself so that they do not differ from the work of the master? I welcome everyone! I wanted to share my story about how to make nails on your own no worse than in the cabin. There "&amp;"are a lot of reasons to start doing manicure for himself: someone wants to save time or money, someone does not trust the masters worries for sterility and so on and so on. ATLASTRide boots warm grandmothers with heart_sia11.11.202318: 391 +7 Photo girls "&amp;"""Goodbye youth"" grandmothers or just felt boots. I bought it for work, but I am ready to go at home, a handful gift for the New Year 🌟 Devichniki Hello to find high -quality warm and cool outward shoes for me is hard for me. I am ready for hours to loo"&amp;"k for her on the Internet until I find what I really like. I love not quite the same as everyone sometimes prefer some zest in shoes. Brect systems / braces / orthodontic scobytanyushka_11.11.202316: 4822 +9 photo installation of h4 braces at 38 years old"&amp;". Will there be a result and is it worth installing? (The review will be supplemented with the beginning of treatment 04/04/2023 GMOi teeth were bored from childhood. Large jaws were bored with childhood. There were attempts to fix with plates but did not"&amp;" ask. Different reasons and fears did not allow me to do their teeth earlier. Chizhik chain of stores 111.11.202306: 375: 375 +26 photos were there 3 times, but the goods have already appeared that I will buy hello to this store every trip! Recently, a ne"&amp;"w Chizhik supermarket has been opened in the area. This store refers to the type of Lighthouse of the Boar of Dobrozo. This is not is that my favorite stores but once a month I like to wander there. I always find something necessary and useful at pleasant"&amp;" prices. Coloring hair in the AIRTOUCHOKOKEANA Z11.11.202317: 274 +11 photos and this is AIRTOUCH? My experience of fashionable coloring, the process is worn out as it is worn Hi. Today I will share my opinion with you whether it is worth making the fashi"&amp;"onable coloring technique of eirtach. I have a negative experience of hair dyeing in the cabin so I most often color myself. Operation for peritotonyus 300911.11.202309: 3821 peritonitis Resuscitation consequences good afternoon! More recently .. with sha"&amp;"king hands, I searched and read any information and reviews about people who had undergone an operation to remove appendix and peritonitis and today I want to leave my feedback! Smart Column Yandex Station Minikristinatret10.11.202323: 321 +13 photos - an"&amp;"d do you like to read fairy tales? Once Alice asked. After dad just read his son a fairy tale. Does the column eavesdrop on? My opinion. Hi all. We bought a column of Alice after the birth of a son. I noticed that the baby falls asleep well under the whit"&amp;"e noise. And I did not want to lose my phone for the time of his sleep. And since relatives gave money. I wanted to buy something necessary. And all sorts of obligatory things have long been bought. Biorevitalization of the area of ​​the face and neck inj"&amp;"ectionkakady11.11.202308: 3911 +3 photos The most useless waste of money in my life. The procedure after which it got worse How many have been living for 27 years so much and a neighboring with circles under the eyes: very thin skin and nasolacence were i"&amp;"nherited by inheritance. From 13 years I have been trying to fight this: cream masks of masks but genetics can not be deceived. Syndrome (2023 Film) Sveta Chereshkina 11/11/202313: 34 2 +10 photos Syndrome - a specific film. Many will not like it, but you"&amp;" need to watch. Do not read reviews and reviews of the film ""Syndrome"". You will definitely encounter a spoiler one way or another. It is best to watch the movie Syndrome as a completely unprepared viewer. What is the film Syndrome about? Description of"&amp;" KinoPoisk General Information: We are all different people unfortunately imperfect. Modi gift store chain stores 1111.11.202319: 322 +33 photos Five for the best calculation for the New Year receives Modi! I'll show you what to buy for a gift! The New Ye"&amp;"ar mood begins in November. Many stores are already trying on New Year's jewelry, unfortunately, so so. I have a foreboding that this year I will be surprised by those from whom you do not expect. Miracles of decoration. AppStartolea_9511.11.202322: 093 +"&amp;"9 photo Earnings on the Internet. I take out more per day than I earn for 500+ reviews on the Airek. When are the tasks and you can get more? Good afternoon. The AppStart application is not the first application for downloading applications where I earn m"&amp;"y “penny”. Now all the money earned on the Internet, including this site of reviews and this application that brings me at least not big but I put it off here. Show another review of the reviewcrass Minskyulia130712.11.202306: 281 +11 photos 🍕🍔 Bolshoy "&amp;"selection of dishes stylish design and successful location. Fudmall ""Concors"" is a great place where you can eat deliciously to wait for your train to have a good time with friends or just relax after the shopping last month I visited the beautiful Mins"&amp;"k. The city is amazing beautiful and modern. It's nice to watch how it becomes better every year. In particular, new institutions are opening here. So on the top floor of the Galileo shopping center there is a huge Fudmall Concors. Means of the D/Treatmen"&amp;"t of a cold and influenza CJSC CJSC Mrn MrppferonSherstobitovasvetlana12.11.202306: 27+3 photos with our allergicians, hello hello! When an ARVI occurs in mom and child, you buy all the improvised means. Yes, and this constant advertising on TV. Eh it wou"&amp;"ld be better to use old and proven recipes for grandmothers. Our deplorable experience of use. Soft toy Trudi seal art. 11776609Marylovely0512.11.202306: 26+6 photos of a charming seal that has been with me for many years. I saw this toy in the store at t"&amp;"he age of 16 and I fell in love with it very much and later they gave me money for it that I was very happy. Since then, this teddy seal is with me in life. Groats are semolina ""Tender"" Veronika koljuchka12.11.202306: 25+2 photo ordinary semolina clean."&amp;" Soft welcome to everyone in a new review! Today I have semolina. I am not a consumer of this cereal. Yes, I cook but do not eat practically. But mom loves so that there is always at home. Another purchase is a semolina ""tender"" from the brand passim. V"&amp;"ariety m, that is, it is soft - from soft varieties of wheat. Pepper seasoning steak grill and barbecue12.11.202306: 24+6 photos Fragrant but unsaturated seasoning. And the mill that misses whole spices without grinding. Hi all! Where to buy I bought this"&amp;" seasoning in a regular supermarket. Something like 180-150 rubles is very inexpensive. Appearance of a glass bottle in the form of a sand clock. The label indicates all the information about the seasoning - the composition of the manufacturer. Canned oli"&amp;"ves Maestro de Olivadina69anid 11.202305: 39 giant olives with a giant bone bought to try such olives in Magnet when the price has decreased greatly because the expiration date was suitable. Really large juicy good olives with a large bone. It would be be"&amp;"tter if the same fillings were laid when they make stuffed olives))) Well, in general, the product is quite tasty. Filodendron Birkin Natalia 020712.11.202305: 28+1 photo I share experience for a beautiful and non -whimsical plant. I will never part with "&amp;"him. Hi all!! Filodendron Birkin is such an interesting and beautiful indoor plant with white striped patterns on dark green wax leaves that really look spectacular. I’ll tell you how to care for it, this plant is growing for two years. The northern islan"&amp;"ds of the Neva Delta on the ship ""Koryushka"" St. Petersburgirin Fadeenkova 11/12/202305: 17 1 +36 photos rolled on a comfortable boat along the Neva. Observing the sunset 😌 Hello dear friends! Today I have a review on the tour ""Northern Islands of the"&amp;" Neva Delts on the ship"" Kuryushka ""in St. Petersburg. On the day when we walked on the statement of the island and then doused in the Koryushka restaurant - closer in the evening we went to ride the ship with an excursion. Hormonal drugs Akrikhin Comfo"&amp;"derm knyura_xitrova12.11.202305: 15 times I have come across atopic dermatitis, it knows how important it is to choose my remedy. Comfordems exactly it. Hello girls! 3 months I used a corticosteroid from time to time and here is my verdict: Comfoderm K fo"&amp;"r the atopic baby what I need. It is only when the child has an exacerbation. The Tornado ""Storm"" Energy drink Weeldees12.11.202305: 09, which is classic -biased in front of us, the most classic taste is the legendary combination of chimose and sugar - "&amp;"Tornado Storm Energetic is the same budgetary drink that all loves more like ""Lemonada"" and not as a tonic effect of the effect from it you will not wait - only the sugar content in ... is not a wooferzisse12.11.202305: 091 +3 photo country of badly - a"&amp;" fairy tale or a terrible dream? The tale of a boy who did not want to help her grandmother. Is there an instructive moment? Hello everyone! I reviewed the old Soviet cartoons some repeatedly and some discovered for myself for the first time. And I rememb"&amp;"ered another cartoon about the bad thing that I definitely looked and decided to find him on YouTube. Nipple-dummy Dr. Brown's Silicone Night Advantage Tatyana_0412.11.202305: 00+3 photos luminous in the darkness of the nipple ... 🌌hm let's try! All pros"&amp;" and cons. Where and for how much to buy? My eldest child sucked the nipples for long only 2-3 months after birth. When he began to spit out the very first nipple, Then I took the nipple of another company with the other form again spat out. The non -ster"&amp;"oidal anti -inflammatory agent of Medorb CJSC IbuprofenPro100MASHA12.11.202304: 45+1 photo from pain helped weakly and in the stomach caused severity and then became normal. The most strange ibuprofen that I have met. The headache is never by the way, but"&amp;" on the day when I had to buy this packaging of Ibuprofen, it was just at the wrong time. On the way to another city, to see a doctor on the bus, my head was hellishly. The Karamazov brothers (2008 film) lu.n.12.11.202304: 33+35 photos ""Brothers Karamazo"&amp;"v""-the surprisingly good film of 2009 I got to watch some adaptation of Dostoevsky but the ""brothers Karamazov"" Soviet production did not want to watch it firstly I, I I saw many times and secondly, and the main thing was never lying to this film, alth"&amp;"ough the actors were wonderful and it seemed in the text, but there was always a feeling ... Evening dress Lord Bear Black Mini Corset Article WB 176480930930NEGATIVE CARROT12.11.202304: 131 +13 photos of vintage - bandage The dress is a corset. Almost th"&amp;"e perfect little black crime ❤ Hello dear readers everyone) once again acted like a real girl and spent money on a dress. I didn’t have to look particularly - I didn’t have to - soon the new year is I need a reason?) I can say a clash with a dress by acci"&amp;"dent - I chose another dress and here ... Hair balm Royal Samples Cosmetics Nourishing balm with keratin and valuable oils to restore for recovery Dry damaged and brittle hair Evgushka211012.11.202304: 00 1st -hearted balm. My love of good time of day. No"&amp;"t so long ago I purchased hair balm from the Royal Samples brand after experience decided to write a review. Acquaintance with the brand. Honestly, this brand never knew. And did not pay attention to him. After I found information about him. House of Ada "&amp;"LLC: Karmayklov mansion (2023 Film) Voina12.11.202303: 59+7 photos “Karmayklov mansion”: Hello night in the house! About the film the plot in the center of the plot is a group of friends who decided to spend the night in an old mansion where ghosts live i"&amp;"n rumors. However, they soon understand that rumors do not lie and they have to face real evil. Fight/Heat (1995 Film) Konstt7812.11.202303: 57+3 photos Classic police action. He who did not look he lost a lot. This is a militant already 1995. The old anc"&amp;"ient bearded but so cool. At first glance, a movie about bandits and cops but in fact is not - it is about people. Some of them are bad (robbing banks kill their fellow citizens) other good (catch bad ones). Abrek (TV series 2023) Kitt154573012.11.202303:"&amp;" 55+12 photo series ""Abrek"" 2023-dog battles Hunting for young girls-many cruel scenes. My impressions of this series. Hello readers of my review. Recently, a rather unusual series called ""Abrek"" has only five episodes in it. And a completely unusual "&amp;"plot is heavy and psychological terms, and besides, there are many frankly cruel moments in it. After reading the official description, I became interested. Axon Tambovst.d12.11.202303: 10+6 photos how I was disappointed in this construction store ... Hel"&amp;"lo everyone! Since the start of repairs in my mother’s apartment, we began to be purchased in Axon. Then bonuses seductive then delivery is free to our remote microdistrict. And in principle, everything in this store arranged for me, although small (unple"&amp;"asant) incidents sometimes happened. Payment for the authors as soon as possible the issues of support for the support of the rule of law enforcement on monetization to the representatives of branding are allowed only with the written permission of the Si"&amp;"te Administration. For the issues of the site, write to info@irecommed.ru. Policy of the confidentiality directory on the site in the VKOL version of the mobile version")</f>
        <v>  IRECOMMMEND.RU | Review the recall of beauty and healthy is a chronicled-hungry-nuclear-nickelitarous-eating-eater-mowing review of 6 hours 24 hours-day / D.E. dreadlocks / Safe dreadlocks12.11.202301: 061 +12 photos realized that without dreadlocks I no longer perceive myself, hello! I dreamed about dreadlocks for a long time, but forever there was no money for this hairstyle. And then I went to work, money appeared, but in my pedagogical world there was no place for such a self -expression. Last year, on vacation, she decided on Afrokoschiki. The House of Strakhs VDNH Moscowkitt154573012.202300: 302 +12 Photo House of Fear New An attraction at VDNH will tell you what is inside and share impressions. Hello readers of my review and lovers of unusual impressions. Finally, I visited a new attraction at VDNH called "House of Fear." He attracted my attention for a long time in 2023 so that at the moment it is a novelty. KDV Fun Ban Cake Cute LI12.11.202303: 071 +18 Photos are the most popular and famous 🎂 in our city! With huge pieces of bananas inside 🍌🍰 I’ll tell you how the taste of the Fun Ban cake has changed brighter in six months and how many times the price has grown in a year ... I buy this cake already 4 or 5 times from June 2022 and now I decided: why not write review? The network in which it is sold, known throughout Russia, photos and my impressions may come in handy. So I’ll tell you what I think about the KDV biscuit cake (KDV) Fun Ban. Express Contractor Gliss Kur Oil Nutritive Omega-9+ hair maruls in need of nutritiondelovaja11.11.202323: 58+ 1 photo, it is better to spend 300 rubles 1 time for this air conditioner than to spend more than 1000 for several worthless sprays from other markets. I already had sprays -Contributions from gleam gleam and this is the best that I tried for hair from this segment. I was convinced more than once on experience. Schwarzkopf for a long time for a long time known to me, a manufacturer of care products for hair from youth from youth is exactly familiar with him, and this is exactly 20 years. Lalique L'amor Lalique Irina78711.202323: 071 +3 photos luxurious innocent and attractive so that I end 4 backlogs of my sun! I have a large collection of aromas but this I repeat this fourth time. Oda Femininity Tender assertiveness innocent seduction on the verge of a slap in the face for a careless look. The aroma is beautiful, it will like it if you like train and powder aromas. A solution for intravenous and intramuscular administration of Solopharm Ketorolac-Solofarm 30 mg/million is useful11.11.202323: 282 +15 photos will relieve pain with endometriosis and not only accurately everyone! Here you will learn about my experience of using this drug. All my life I had very painful menstruation. On a 10-point scale, all 9 points. Sometimes the condition reached the fact that I almost cut down from the intensity of pain. The tonic The Saem Calamansi Pore Freshner Yulchenka M12.11.202303: 07 +6 The photo lightly healed the healing - which he did not do! And in the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Платок Palantini Артикул 10992476Степанида112.11.202301:08 2 +10 фото Очень I plan to give a gentle and affectionate handkerchief a man to blame a man. I did not acquire a beautiful dress of fuchsia for myself. And I had already visited it at one event and painted it. But a month later I will speak in a duet with a bard and already made up that I would show up in my pink outfit again The duet involves a similarity in stage costumes. Chocolatean St. Petersburgdinka_sale11.11.202323: 421 +11 photos of a large selection of interesting dishes. Good day to everyone who looked at everyone. I just love chocolate, although the prices there are not the most democratic. But still my loved ones are there. True, from time to time they disappear from the menu. Jennifer Lopez Live Luxeevgeny 5335312.11.202301: 14za bottle 5 for the aroma for solid two -time perfume was not particularly needed. My gaze caught on the bottle. Beautiful bright chic. And I ordered the aroma. Perfume in the tester version without a box. The aroma was not really impressed. A cheap unpleasant sharp. Such aromas were popular in 90. Evalar cellulose microcrystalline MCC Ankir-Bvita8512.11.202302: 481 The principle of action is easy to lose weight: the tablet swells in the stomach and does not eat much. That's why you are very not bad. For everyone, I remembered another drug that I tried for weight loss: Pullose MCC Evalar in tablets. Well, that I haven’t tried for this business now, now I wouldn’t do that. Previously, they found out in the pharmacy how trite does not sound. And immediately without leaving the counter ... Palette of eyelid shadows Maqpro Cream Shadows Primaire 10 colors Fard Cremejusthelly12.11.202301: 20+30 photos Play the artist? An indispensable product for those who want diversity in the Fard Creme makeup attracted me with the opportunity to use them as substrates for color matte shades of creating their colors - endless creativity. Palette of shadows in this color layout is the most universal palette Fard Creme and the manufacturer has a lot of them. Show also a response tuning jubanutkablondi111.202321: 158 +8 photos I am glad that I made powdery lips - very natural and convenient. It’s a pity that my main problem still did not solve Hello everyone! Nature did not endow me with beautiful lips and at the beginning of this year I finally made the desired procedure for increasing. My next step was powdery spraying and this procedure was more likely than a whim ... Failure departure (manicure) at home from Paris 11.10.11.202323: 491 +8 photos of a salon manicure of the house. How to make the nails to yourself so that they do not differ from the work of the master? I welcome everyone! I wanted to share my story about how to make nails on your own no worse than in the cabin. There are a lot of reasons to start doing manicure for himself: someone wants to save time or money, someone does not trust the masters worries for sterility and so on and so on. ATLASTRide boots warm grandmothers with heart_sia11.11.202318: 391 +7 Photo girls "Goodbye youth" grandmothers or just felt boots. I bought it for work, but I am ready to go at home, a handful gift for the New Year 🌟 Devichniki Hello to find high -quality warm and cool outward shoes for me is hard for me. I am ready for hours to look for her on the Internet until I find what I really like. I love not quite the same as everyone sometimes prefer some zest in shoes. Brect systems / braces / orthodontic scobytanyushka_11.11.202316: 4822 +9 photo installation of h4 braces at 38 years old. Will there be a result and is it worth installing? (The review will be supplemented with the beginning of treatment 04/04/2023 GMOi teeth were bored from childhood. Large jaws were bored with childhood. There were attempts to fix with plates but did not ask. Different reasons and fears did not allow me to do their teeth earlier. Chizhik chain of stores 111.11.202306: 375: 375 +26 photos were there 3 times, but the goods have already appeared that I will buy hello to this store every trip! Recently, a new Chizhik supermarket has been opened in the area. This store refers to the type of Lighthouse of the Boar of Dobrozo. This is not is that my favorite stores but once a month I like to wander there. I always find something necessary and useful at pleasant prices. Coloring hair in the AIRTOUCHOKOKEANA Z11.11.202317: 274 +11 photos and this is AIRTOUCH? My experience of fashionable coloring, the process is worn out as it is worn Hi. Today I will share my opinion with you whether it is worth making the fashionable coloring technique of eirtach. I have a negative experience of hair dyeing in the cabin so I most often color myself. Operation for peritotonyus 300911.11.202309: 3821 peritonitis Resuscitation consequences good afternoon! More recently .. with shaking hands, I searched and read any information and reviews about people who had undergone an operation to remove appendix and peritonitis and today I want to leave my feedback! Smart Column Yandex Station Minikristinatret10.11.202323: 321 +13 photos - and do you like to read fairy tales? Once Alice asked. After dad just read his son a fairy tale. Does the column eavesdrop on? My opinion. Hi all. We bought a column of Alice after the birth of a son. I noticed that the baby falls asleep well under the white noise. And I did not want to lose my phone for the time of his sleep. And since relatives gave money. I wanted to buy something necessary. And all sorts of obligatory things have long been bought. Biorevitalization of the area of ​​the face and neck injectionkakady11.11.202308: 3911 +3 photos The most useless waste of money in my life. The procedure after which it got worse How many have been living for 27 years so much and a neighboring with circles under the eyes: very thin skin and nasolacence were inherited by inheritance. From 13 years I have been trying to fight this: cream masks of masks but genetics can not be deceived. Syndrome (2023 Film) Sveta Chereshkina 11/11/202313: 34 2 +10 photos Syndrome - a specific film. Many will not like it, but you need to watch. Do not read reviews and reviews of the film "Syndrome". You will definitely encounter a spoiler one way or another. It is best to watch the movie Syndrome as a completely unprepared viewer. What is the film Syndrome about? Description of KinoPoisk General Information: We are all different people unfortunately imperfect. Modi gift store chain stores 1111.11.202319: 322 +33 photos Five for the best calculation for the New Year receives Modi! I'll show you what to buy for a gift! The New Year mood begins in November. Many stores are already trying on New Year's jewelry, unfortunately, so so. I have a foreboding that this year I will be surprised by those from whom you do not expect. Miracles of decoration. AppStartolea_9511.11.202322: 093 +9 photo Earnings on the Internet. I take out more per day than I earn for 500+ reviews on the Airek. When are the tasks and you can get more? Good afternoon. The AppStart application is not the first application for downloading applications where I earn my “penny”. Now all the money earned on the Internet, including this site of reviews and this application that brings me at least not big but I put it off here. Show another review of the reviewcrass Minskyulia130712.11.202306: 281 +11 photos 🍕🍔 Bolshoy selection of dishes stylish design and successful location. Fudmall "Concors" is a great place where you can eat deliciously to wait for your train to have a good time with friends or just relax after the shopping last month I visited the beautiful Minsk. The city is amazing beautiful and modern. It's nice to watch how it becomes better every year. In particular, new institutions are opening here. So on the top floor of the Galileo shopping center there is a huge Fudmall Concors. Means of the D/Treatment of a cold and influenza CJSC CJSC Mrn MrppferonSherstobitovasvetlana12.11.202306: 27+3 photos with our allergicians, hello hello! When an ARVI occurs in mom and child, you buy all the improvised means. Yes, and this constant advertising on TV. Eh it would be better to use old and proven recipes for grandmothers. Our deplorable experience of use. Soft toy Trudi seal art. 11776609Marylovely0512.11.202306: 26+6 photos of a charming seal that has been with me for many years. I saw this toy in the store at the age of 16 and I fell in love with it very much and later they gave me money for it that I was very happy. Since then, this teddy seal is with me in life. Groats are semolina "Tender" Veronika koljuchka12.11.202306: 25+2 photo ordinary semolina clean. Soft welcome to everyone in a new review! Today I have semolina. I am not a consumer of this cereal. Yes, I cook but do not eat practically. But mom loves so that there is always at home. Another purchase is a semolina "tender" from the brand passim. Variety m, that is, it is soft - from soft varieties of wheat. Pepper seasoning steak grill and barbecue12.11.202306: 24+6 photos Fragrant but unsaturated seasoning. And the mill that misses whole spices without grinding. Hi all! Where to buy I bought this seasoning in a regular supermarket. Something like 180-150 rubles is very inexpensive. Appearance of a glass bottle in the form of a sand clock. The label indicates all the information about the seasoning - the composition of the manufacturer. Canned olives Maestro de Olivadina69anid 11.202305: 39 giant olives with a giant bone bought to try such olives in Magnet when the price has decreased greatly because the expiration date was suitable. Really large juicy good olives with a large bone. It would be better if the same fillings were laid when they make stuffed olives))) Well, in general, the product is quite tasty. Filodendron Birkin Natalia 020712.11.202305: 28+1 photo I share experience for a beautiful and non -whimsical plant. I will never part with him. Hi all!! Filodendron Birkin is such an interesting and beautiful indoor plant with white striped patterns on dark green wax leaves that really look spectacular. I’ll tell you how to care for it, this plant is growing for two years. The northern islands of the Neva Delta on the ship "Koryushka" St. Petersburgirin Fadeenkova 11/12/202305: 17 1 +36 photos rolled on a comfortable boat along the Neva. Observing the sunset 😌 Hello dear friends! Today I have a review on the tour "Northern Islands of the Neva Delts on the ship" Kuryushka "in St. Petersburg. On the day when we walked on the statement of the island and then doused in the Koryushka restaurant - closer in the evening we went to ride the ship with an excursion. Hormonal drugs Akrikhin Comfoderm knyura_xitrova12.11.202305: 15 times I have come across atopic dermatitis, it knows how important it is to choose my remedy. Comfordems exactly it. Hello girls! 3 months I used a corticosteroid from time to time and here is my verdict: Comfoderm K for the atopic baby what I need. It is only when the child has an exacerbation. The Tornado "Storm" Energy drink Weeldees12.11.202305: 09, which is classic -biased in front of us, the most classic taste is the legendary combination of chimose and sugar - Tornado Storm Energetic is the same budgetary drink that all loves more like "Lemonada" and not as a tonic effect of the effect from it you will not wait - only the sugar content in ... is not a wooferzisse12.11.202305: 091 +3 photo country of badly - a fairy tale or a terrible dream? The tale of a boy who did not want to help her grandmother. Is there an instructive moment? Hello everyone! I reviewed the old Soviet cartoons some repeatedly and some discovered for myself for the first time. And I remembered another cartoon about the bad thing that I definitely looked and decided to find him on YouTube. Nipple-dummy Dr. Brown's Silicone Night Advantage Tatyana_0412.11.202305: 00+3 photos luminous in the darkness of the nipple ... 🌌hm let's try! All pros and cons. Where and for how much to buy? My eldest child sucked the nipples for long only 2-3 months after birth. When he began to spit out the very first nipple, Then I took the nipple of another company with the other form again spat out. The non -steroidal anti -inflammatory agent of Medorb CJSC IbuprofenPro100MASHA12.11.202304: 45+1 photo from pain helped weakly and in the stomach caused severity and then became normal. The most strange ibuprofen that I have met. The headache is never by the way, but on the day when I had to buy this packaging of Ibuprofen, it was just at the wrong time. On the way to another city, to see a doctor on the bus, my head was hellishly. The Karamazov brothers (2008 film) lu.n.12.11.202304: 33+35 photos "Brothers Karamazov"-the surprisingly good film of 2009 I got to watch some adaptation of Dostoevsky but the "brothers Karamazov" Soviet production did not want to watch it firstly I, I I saw many times and secondly, and the main thing was never lying to this film, although the actors were wonderful and it seemed in the text, but there was always a feeling ... Evening dress Lord Bear Black Mini Corset Article WB 176480930930NEGATIVE CARROT12.11.202304: 131 +13 photos of vintage - bandage The dress is a corset. Almost the perfect little black crime ❤ Hello dear readers everyone) once again acted like a real girl and spent money on a dress. I didn’t have to look particularly - I didn’t have to - soon the new year is I need a reason?) I can say a clash with a dress by accident - I chose another dress and here ... Hair balm Royal Samples Cosmetics Nourishing balm with keratin and valuable oils to restore for recovery Dry damaged and brittle hair Evgushka211012.11.202304: 00 1st -hearted balm. My love of good time of day. Not so long ago I purchased hair balm from the Royal Samples brand after experience decided to write a review. Acquaintance with the brand. Honestly, this brand never knew. And did not pay attention to him. After I found information about him. House of Ada LLC: Karmayklov mansion (2023 Film) Voina12.11.202303: 59+7 photos “Karmayklov mansion”: Hello night in the house! About the film the plot in the center of the plot is a group of friends who decided to spend the night in an old mansion where ghosts live in rumors. However, they soon understand that rumors do not lie and they have to face real evil. Fight/Heat (1995 Film) Konstt7812.11.202303: 57+3 photos Classic police action. He who did not look he lost a lot. This is a militant already 1995. The old ancient bearded but so cool. At first glance, a movie about bandits and cops but in fact is not - it is about people. Some of them are bad (robbing banks kill their fellow citizens) other good (catch bad ones). Abrek (TV series 2023) Kitt154573012.11.202303: 55+12 photo series "Abrek" 2023-dog battles Hunting for young girls-many cruel scenes. My impressions of this series. Hello readers of my review. Recently, a rather unusual series called "Abrek" has only five episodes in it. And a completely unusual plot is heavy and psychological terms, and besides, there are many frankly cruel moments in it. After reading the official description, I became interested. Axon Tambovst.d12.11.202303: 10+6 photos how I was disappointed in this construction store ... Hello everyone! Since the start of repairs in my mother’s apartment, we began to be purchased in Axon. Then bonuses seductive then delivery is free to our remote microdistrict. And in principle, everything in this store arranged for me, although small (unpleasant) incidents sometimes happened. Payment for the authors as soon as possible the issues of support for the support of the rule of law enforcement on monetization to the representatives of branding are allowed only with the written permission of the Site Administration. For the issues of the site, write to info@irecommed.ru. Policy of the confidentiality directory on the site in the VKOL version of the mobile version</v>
      </c>
    </row>
    <row r="173">
      <c r="A173" s="1" t="s">
        <v>545</v>
      </c>
      <c r="B173" s="1" t="s">
        <v>501</v>
      </c>
      <c r="D173" s="1">
        <v>17.0</v>
      </c>
      <c r="E173" s="4" t="s">
        <v>502</v>
      </c>
      <c r="F173" s="1" t="s">
        <v>16</v>
      </c>
      <c r="G173" s="1" t="s">
        <v>97</v>
      </c>
      <c r="H173" s="4" t="s">
        <v>98</v>
      </c>
      <c r="I173" s="2">
        <v>1.0</v>
      </c>
      <c r="J173" s="5" t="str">
        <f>IFERROR(__xludf.DUMMYFUNCTION("GOOGLETRANSLATE(A173)"),"Walberis")</f>
        <v>Walberis</v>
      </c>
      <c r="K173" s="6" t="str">
        <f>IFERROR(__xludf.DUMMYFUNCTION("GOOGLETRANSLATE(B173)"),"Wildberries - App Store")</f>
        <v>Wildberries - App Store</v>
      </c>
      <c r="M173" s="5" t="str">
        <f>IFERROR(__xludf.DUMMYFUNCTION("GOOGLETRANSLATE(G173)"),"App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174">
      <c r="A174" s="1" t="s">
        <v>545</v>
      </c>
      <c r="B174" s="1" t="s">
        <v>569</v>
      </c>
      <c r="D174" s="1">
        <v>7.0</v>
      </c>
      <c r="E174" s="4" t="s">
        <v>570</v>
      </c>
      <c r="F174" s="1" t="s">
        <v>43</v>
      </c>
      <c r="G174" s="1" t="s">
        <v>120</v>
      </c>
      <c r="H174" s="4" t="s">
        <v>121</v>
      </c>
      <c r="I174" s="2">
        <v>0.0</v>
      </c>
      <c r="J174" s="5" t="str">
        <f>IFERROR(__xludf.DUMMYFUNCTION("GOOGLETRANSLATE(A174)"),"Walberis")</f>
        <v>Walberis</v>
      </c>
      <c r="K174" s="6" t="str">
        <f>IFERROR(__xludf.DUMMYFUNCTION("GOOGLETRANSLATE(B174)"),"WB Job - Google Play Applications")</f>
        <v>WB Job - Google Play Applications</v>
      </c>
      <c r="M174" s="5" t="str">
        <f>IFERROR(__xludf.DUMMYFUNCTION("GOOGLETRANSLATE(G174)"),"Android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75">
      <c r="A175" s="1" t="s">
        <v>545</v>
      </c>
      <c r="B175" s="1" t="s">
        <v>545</v>
      </c>
      <c r="C175" s="1" t="s">
        <v>571</v>
      </c>
      <c r="D175" s="1">
        <v>11.0</v>
      </c>
      <c r="E175" s="4" t="s">
        <v>572</v>
      </c>
      <c r="F175" s="1" t="s">
        <v>43</v>
      </c>
      <c r="G175" s="1" t="s">
        <v>573</v>
      </c>
      <c r="H175" s="4" t="s">
        <v>574</v>
      </c>
      <c r="I175" s="2">
        <v>5.0</v>
      </c>
      <c r="J175" s="5" t="str">
        <f>IFERROR(__xludf.DUMMYFUNCTION("GOOGLETRANSLATE(A175)"),"Walberis")</f>
        <v>Walberis</v>
      </c>
      <c r="K175" s="6" t="str">
        <f>IFERROR(__xludf.DUMMYFUNCTION("GOOGLETRANSLATE(B175)"),"Walberis")</f>
        <v>Walberis</v>
      </c>
      <c r="L175" s="5" t="str">
        <f>IFERROR(__xludf.DUMMYFUNCTION("GOOGLETRANSLATE(C175)"),"Valberis | 646.5m see. Watch the new videos in Tiktok (Tiktok) on the topic #Valberis.")</f>
        <v>Valberis | 646.5m see. Watch the new videos in Tiktok (Tiktok) on the topic #Valberis.</v>
      </c>
      <c r="M175" s="5" t="str">
        <f>IFERROR(__xludf.DUMMYFUNCTION("GOOGLETRANSLATE(G175)"),"Skip to content feedTikTokUpload Log inFor YouFollowingExploreLIVELog in to follow creators like videos and view comments.Log inCreate effectsAboutNewsroomContactCareersTikTok for GoodAdvertiseDevelopersTransparencyTikTok RewardsTikTok EmbedsHelpSafetyTer"&amp;"msPrivacyCreator PortalCommunity GuidelinesSee more© 2023 TikTok")</f>
        <v>Skip to content feedTikTokUpload Log inFor YouFollowingExploreLIVELog in to follow creators like videos and view comments.Log inCreate effectsAboutNewsroomContactCareersTikTok for GoodAdvertiseDevelopersTransparencyTikTok RewardsTikTok EmbedsHelpSafetyTermsPrivacyCreator PortalCommunity GuidelinesSee more© 2023 TikTok</v>
      </c>
    </row>
    <row r="176">
      <c r="A176" s="1" t="s">
        <v>545</v>
      </c>
      <c r="B176" s="4" t="s">
        <v>575</v>
      </c>
      <c r="D176" s="1">
        <v>12.0</v>
      </c>
      <c r="E176" s="4" t="s">
        <v>576</v>
      </c>
      <c r="F176" s="1" t="s">
        <v>43</v>
      </c>
      <c r="I176" s="2">
        <v>1.0</v>
      </c>
      <c r="J176" s="5" t="str">
        <f>IFERROR(__xludf.DUMMYFUNCTION("GOOGLETRANSLATE(A176)"),"Walberis")</f>
        <v>Walberis</v>
      </c>
      <c r="K176" s="7" t="str">
        <f>IFERROR(__xludf.DUMMYFUNCTION("GOOGLETRANSLATE(B176)"),"valberis.ru")</f>
        <v>valberis.ru</v>
      </c>
      <c r="M176" s="5" t="str">
        <f>IFERROR(__xludf.DUMMYFUNCTION("GOOGLETRANSLATE(G176)"),"#VALUE!")</f>
        <v>#VALUE!</v>
      </c>
    </row>
    <row r="177">
      <c r="A177" s="1" t="s">
        <v>545</v>
      </c>
      <c r="B177" s="1" t="s">
        <v>577</v>
      </c>
      <c r="D177" s="1">
        <v>13.0</v>
      </c>
      <c r="E177" s="4" t="s">
        <v>578</v>
      </c>
      <c r="F177" s="1" t="s">
        <v>43</v>
      </c>
      <c r="G177" s="1" t="s">
        <v>273</v>
      </c>
      <c r="H177" s="4" t="s">
        <v>579</v>
      </c>
      <c r="I177" s="2">
        <v>3.0</v>
      </c>
      <c r="J177" s="5" t="str">
        <f>IFERROR(__xludf.DUMMYFUNCTION("GOOGLETRANSLATE(A177)"),"Walberis")</f>
        <v>Walberis</v>
      </c>
      <c r="K177" s="6" t="str">
        <f>IFERROR(__xludf.DUMMYFUNCTION("GOOGLETRANSLATE(B177)"),"Walberis")</f>
        <v>Walberis</v>
      </c>
      <c r="M177" s="5" t="str">
        <f>IFERROR(__xludf.DUMMYFUNCTION("GOOGLETRANSLATE(G177)"),"Update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78">
      <c r="A178" s="1" t="s">
        <v>545</v>
      </c>
      <c r="B178" s="1" t="s">
        <v>505</v>
      </c>
      <c r="D178" s="1">
        <v>14.0</v>
      </c>
      <c r="E178" s="4" t="s">
        <v>506</v>
      </c>
      <c r="F178" s="1" t="s">
        <v>43</v>
      </c>
      <c r="G178" s="1" t="s">
        <v>38</v>
      </c>
      <c r="H178" s="4" t="s">
        <v>39</v>
      </c>
      <c r="I178" s="2">
        <v>3.0</v>
      </c>
      <c r="J178" s="5" t="str">
        <f>IFERROR(__xludf.DUMMYFUNCTION("GOOGLETRANSLATE(A178)"),"Walberis")</f>
        <v>Walberis</v>
      </c>
      <c r="K178" s="6" t="str">
        <f>IFERROR(__xludf.DUMMYFUNCTION("GOOGLETRANSLATE(B178)"),"wildberries")</f>
        <v>wildberries</v>
      </c>
      <c r="M178" s="5" t="str">
        <f>IFERROR(__xludf.DUMMYFUNCTION("GOOGLETRANSLATE(G178)"),"YouTubeAboutPressCopyrightContact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79">
      <c r="A179" s="1" t="s">
        <v>545</v>
      </c>
      <c r="B179" s="1" t="s">
        <v>580</v>
      </c>
      <c r="C179" s="1" t="s">
        <v>558</v>
      </c>
      <c r="D179" s="1">
        <v>15.0</v>
      </c>
      <c r="E179" s="4" t="s">
        <v>581</v>
      </c>
      <c r="F179" s="1" t="s">
        <v>43</v>
      </c>
      <c r="I179" s="2">
        <v>1.0</v>
      </c>
      <c r="J179" s="5" t="str">
        <f>IFERROR(__xludf.DUMMYFUNCTION("GOOGLETRANSLATE(A179)"),"Walberis")</f>
        <v>Walberis</v>
      </c>
      <c r="K179" s="6" t="str">
        <f>IFERROR(__xludf.DUMMYFUNCTION("GOOGLETRANSLATE(B179)"),"Valberis, Road District, Yakutsk on the map")</f>
        <v>Valberis, Road District, Yakutsk on the map</v>
      </c>
      <c r="L179" s="5" t="str">
        <f>IFERROR(__xludf.DUMMYFUNCTION("GOOGLETRANSLATE(C179)"),"Valberis: Addresses on the map, ☎ phones, sites, hours of work, ☆ reviews, photos, ⚑ Search for travel by city transport and cars.")</f>
        <v>Valberis: Addresses on the map, ☎ phones, sites, hours of work, ☆ reviews, photos, ⚑ Search for travel by city transport and cars.</v>
      </c>
      <c r="M179" s="5" t="str">
        <f>IFERROR(__xludf.DUMMYFUNCTION("GOOGLETRANSLATE(G179)"),"#VALUE!")</f>
        <v>#VALUE!</v>
      </c>
    </row>
    <row r="180">
      <c r="A180" s="1" t="s">
        <v>545</v>
      </c>
      <c r="B180" s="1" t="s">
        <v>582</v>
      </c>
      <c r="C180" s="1" t="s">
        <v>583</v>
      </c>
      <c r="D180" s="1">
        <v>16.0</v>
      </c>
      <c r="E180" s="4" t="s">
        <v>584</v>
      </c>
      <c r="F180" s="1" t="s">
        <v>43</v>
      </c>
      <c r="G180" s="1" t="s">
        <v>336</v>
      </c>
      <c r="H180" s="4" t="s">
        <v>515</v>
      </c>
      <c r="I180" s="2">
        <v>1.0</v>
      </c>
      <c r="J180" s="5" t="str">
        <f>IFERROR(__xludf.DUMMYFUNCTION("GOOGLETRANSLATE(A180)"),"Walberis")</f>
        <v>Walberis</v>
      </c>
      <c r="K180" s="6" t="str">
        <f>IFERROR(__xludf.DUMMYFUNCTION("GOOGLETRANSLATE(B180)"),"Valberis online store buy a refrigerator")</f>
        <v>Valberis online store buy a refrigerator</v>
      </c>
      <c r="L180" s="5" t="str">
        <f>IFERROR(__xludf.DUMMYFUNCTION("GOOGLETRANSLATE(C180)"),"Buy Valberis online store buy a refrigerator - 717 offers - low prices, fast delivery from 1-2 hours, the possibility of payment in installments for the part ...")</f>
        <v>Buy Valberis online store buy a refrigerator - 717 offers - low prices, fast delivery from 1-2 hours, the possibility of payment in installments for the part ...</v>
      </c>
      <c r="M180" s="5" t="str">
        <f>IFERROR(__xludf.DUMMYFUNCTION("GOOGLETRANSLATE(G180)"),"Oh!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81">
      <c r="A181" s="1" t="s">
        <v>545</v>
      </c>
      <c r="B181" s="1" t="s">
        <v>585</v>
      </c>
      <c r="C181" s="1" t="s">
        <v>586</v>
      </c>
      <c r="D181" s="1">
        <v>28.0</v>
      </c>
      <c r="E181" s="4" t="s">
        <v>587</v>
      </c>
      <c r="F181" s="1" t="s">
        <v>43</v>
      </c>
      <c r="G181" s="1" t="s">
        <v>588</v>
      </c>
      <c r="H181" s="4" t="s">
        <v>589</v>
      </c>
      <c r="I181" s="2">
        <v>3.0</v>
      </c>
      <c r="J181" s="5" t="str">
        <f>IFERROR(__xludf.DUMMYFUNCTION("GOOGLETRANSLATE(A181)"),"Walberis")</f>
        <v>Walberis</v>
      </c>
      <c r="K181" s="6" t="str">
        <f>IFERROR(__xludf.DUMMYFUNCTION("GOOGLETRANSLATE(B181)"),"Ideas on the topic ""Valberis"" (900+) in 2023")</f>
        <v>Ideas on the topic "Valberis" (900+) in 2023</v>
      </c>
      <c r="L181" s="5" t="str">
        <f>IFERROR(__xludf.DUMMYFUNCTION("GOOGLETRANSLATE(C181)"),"06.04.2023 - View the Valberis board Alexei in Pinterest. See more ideas on the themes of ""Infographics Design, Infographics, Design.""")</f>
        <v>06.04.2023 - View the Valberis board Alexei in Pinterest. See more ideas on the themes of "Infographics Design, Infographics, Design."</v>
      </c>
      <c r="M181" s="5" t="str">
        <f>IFERROR(__xludf.DUMMYFUNCTION("GOOGLETRANSLATE(G181)"),"Pinterest – ПинтерестOh no! Pinterest doesn't work unless you turn on JavaScript.")</f>
        <v>Pinterest – ПинтерестOh no! Pinterest doesn't work unless you turn on JavaScript.</v>
      </c>
    </row>
    <row r="182">
      <c r="A182" s="1" t="s">
        <v>590</v>
      </c>
      <c r="B182" s="1" t="s">
        <v>591</v>
      </c>
      <c r="C182" s="1" t="s">
        <v>592</v>
      </c>
      <c r="D182" s="1">
        <v>1.0</v>
      </c>
      <c r="E182" s="4" t="s">
        <v>593</v>
      </c>
      <c r="F182" s="1" t="s">
        <v>16</v>
      </c>
      <c r="G182" s="1" t="s">
        <v>34</v>
      </c>
      <c r="H182" s="4" t="s">
        <v>594</v>
      </c>
      <c r="I182" s="2">
        <v>1.0</v>
      </c>
      <c r="J182" s="5" t="str">
        <f>IFERROR(__xludf.DUMMYFUNCTION("GOOGLETRANSLATE(A182)"),"VC")</f>
        <v>VC</v>
      </c>
      <c r="K182" s="6" t="str">
        <f>IFERROR(__xludf.DUMMYFUNCTION("GOOGLETRANSLATE(B182)"),"VKontakte | Welcome")</f>
        <v>VKontakte | Welcome</v>
      </c>
      <c r="L182" s="5" t="str">
        <f>IFERROR(__xludf.DUMMYFUNCTION("GOOGLETRANSLATE(C182)"),"We want friends, classmates, classmates, neighbors and colleagues to always remain in contact ... enter by phone or mail · register.")</f>
        <v>We want friends, classmates, classmates, neighbors and colleagues to always remain in contact ... enter by phone or mail · register.</v>
      </c>
      <c r="M182" s="5" t="str">
        <f>IFERROR(__xludf.DUMMYFUNCTION("GOOGLETRANSLATE(G182)"),"VK.com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83">
      <c r="A183" s="1" t="s">
        <v>590</v>
      </c>
      <c r="B183" s="1" t="s">
        <v>595</v>
      </c>
      <c r="D183" s="1">
        <v>2.0</v>
      </c>
      <c r="E183" s="4" t="s">
        <v>596</v>
      </c>
      <c r="F183" s="1" t="s">
        <v>16</v>
      </c>
      <c r="G183" s="1" t="s">
        <v>120</v>
      </c>
      <c r="H183" s="4" t="s">
        <v>121</v>
      </c>
      <c r="I183" s="2">
        <v>0.0</v>
      </c>
      <c r="J183" s="5" t="str">
        <f>IFERROR(__xludf.DUMMYFUNCTION("GOOGLETRANSLATE(A183)"),"VC")</f>
        <v>VC</v>
      </c>
      <c r="K183" s="6" t="str">
        <f>IFERROR(__xludf.DUMMYFUNCTION("GOOGLETRANSLATE(B183)"),"VKontakte: music, video, chat")</f>
        <v>VKontakte: music, video, chat</v>
      </c>
      <c r="M183" s="5" t="str">
        <f>IFERROR(__xludf.DUMMYFUNCTION("GOOGLETRANSLATE(G183)"),"Android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84">
      <c r="A184" s="1" t="s">
        <v>590</v>
      </c>
      <c r="B184" s="1" t="s">
        <v>597</v>
      </c>
      <c r="C184" s="1" t="s">
        <v>598</v>
      </c>
      <c r="D184" s="1">
        <v>3.0</v>
      </c>
      <c r="E184" s="4" t="s">
        <v>599</v>
      </c>
      <c r="F184" s="1" t="s">
        <v>16</v>
      </c>
      <c r="G184" s="1" t="s">
        <v>31</v>
      </c>
      <c r="H184" s="4" t="s">
        <v>32</v>
      </c>
      <c r="I184" s="2">
        <v>4.0</v>
      </c>
      <c r="J184" s="5" t="str">
        <f>IFERROR(__xludf.DUMMYFUNCTION("GOOGLETRANSLATE(A184)"),"VC")</f>
        <v>VC</v>
      </c>
      <c r="K184" s="6" t="str">
        <f>IFERROR(__xludf.DUMMYFUNCTION("GOOGLETRANSLATE(B184)"),"In contact with")</f>
        <v>In contact with</v>
      </c>
      <c r="L184" s="5" t="str">
        <f>IFERROR(__xludf.DUMMYFUNCTION("GOOGLETRANSLATE(C184)"),"“Vkontakte” (international name-VK) is a Russian social network with headquarters in St. Petersburg. The site is available in 82 languages; Especially popular ...")</f>
        <v>“Vkontakte” (international name-VK) is a Russian social network with headquarters in St. Petersburg. The site is available in 82 languages; Especially popular ...</v>
      </c>
      <c r="M184" s="5" t="str">
        <f>IFERROR(__xludf.DUMMYFUNCTION("GOOGLETRANSLATE(G184)"),"Wikipedia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85">
      <c r="A185" s="1" t="s">
        <v>590</v>
      </c>
      <c r="B185" s="1" t="s">
        <v>600</v>
      </c>
      <c r="D185" s="1">
        <v>4.0</v>
      </c>
      <c r="E185" s="4" t="s">
        <v>601</v>
      </c>
      <c r="F185" s="1" t="s">
        <v>16</v>
      </c>
      <c r="G185" s="1" t="s">
        <v>120</v>
      </c>
      <c r="H185" s="4" t="s">
        <v>121</v>
      </c>
      <c r="I185" s="2">
        <v>0.0</v>
      </c>
      <c r="J185" s="5" t="str">
        <f>IFERROR(__xludf.DUMMYFUNCTION("GOOGLETRANSLATE(A185)"),"VC")</f>
        <v>VC</v>
      </c>
      <c r="K185" s="6" t="str">
        <f>IFERROR(__xludf.DUMMYFUNCTION("GOOGLETRANSLATE(B185)"),"Vk.com: Android applications in Google Play")</f>
        <v>Vk.com: Android applications in Google Play</v>
      </c>
      <c r="M185" s="5" t="str">
        <f>IFERROR(__xludf.DUMMYFUNCTION("GOOGLETRANSLATE(G185)"),"Android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86">
      <c r="A186" s="1" t="s">
        <v>590</v>
      </c>
      <c r="B186" s="1" t="s">
        <v>602</v>
      </c>
      <c r="D186" s="1">
        <v>5.0</v>
      </c>
      <c r="E186" s="4" t="s">
        <v>603</v>
      </c>
      <c r="F186" s="1" t="s">
        <v>16</v>
      </c>
      <c r="G186" s="1" t="s">
        <v>97</v>
      </c>
      <c r="H186" s="4" t="s">
        <v>98</v>
      </c>
      <c r="I186" s="2">
        <v>0.0</v>
      </c>
      <c r="J186" s="5" t="str">
        <f>IFERROR(__xludf.DUMMYFUNCTION("GOOGLETRANSLATE(A186)"),"VC")</f>
        <v>VC</v>
      </c>
      <c r="K186" s="6" t="str">
        <f>IFERROR(__xludf.DUMMYFUNCTION("GOOGLETRANSLATE(B186)"),"VKontakte: messages, video chat - App Store")</f>
        <v>VKontakte: messages, video chat - App Store</v>
      </c>
      <c r="M186" s="5" t="str">
        <f>IFERROR(__xludf.DUMMYFUNCTION("GOOGLETRANSLATE(G186)"),"App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187">
      <c r="A187" s="1" t="s">
        <v>590</v>
      </c>
      <c r="B187" s="1" t="s">
        <v>604</v>
      </c>
      <c r="C187" s="1" t="s">
        <v>605</v>
      </c>
      <c r="D187" s="1">
        <v>6.0</v>
      </c>
      <c r="E187" s="4" t="s">
        <v>606</v>
      </c>
      <c r="F187" s="1" t="s">
        <v>16</v>
      </c>
      <c r="G187" s="1" t="s">
        <v>604</v>
      </c>
      <c r="H187" s="4" t="s">
        <v>607</v>
      </c>
      <c r="I187" s="2">
        <v>1.0</v>
      </c>
      <c r="J187" s="5" t="str">
        <f>IFERROR(__xludf.DUMMYFUNCTION("GOOGLETRANSLATE(A187)"),"VC")</f>
        <v>VC</v>
      </c>
      <c r="K187" s="6" t="str">
        <f>IFERROR(__xludf.DUMMYFUNCTION("GOOGLETRANSLATE(B187)"),"VK messenger")</f>
        <v>VK messenger</v>
      </c>
      <c r="L187" s="5" t="str">
        <f>IFERROR(__xludf.DUMMYFUNCTION("GOOGLETRANSLATE(C187)"),"VK messenger. Use VK ID to start communication. To come in. Enter the sphere.")</f>
        <v>VK messenger. Use VK ID to start communication. To come in. Enter the sphere.</v>
      </c>
      <c r="M187" s="5" t="str">
        <f>IFERROR(__xludf.DUMMYFUNCTION("GOOGLETRANSLATE(G187)"),"VK messenger")</f>
        <v>VK messenger</v>
      </c>
    </row>
    <row r="188">
      <c r="A188" s="1" t="s">
        <v>590</v>
      </c>
      <c r="B188" s="1" t="s">
        <v>608</v>
      </c>
      <c r="C188" s="1" t="s">
        <v>609</v>
      </c>
      <c r="D188" s="1">
        <v>7.0</v>
      </c>
      <c r="E188" s="4" t="s">
        <v>610</v>
      </c>
      <c r="F188" s="1" t="s">
        <v>16</v>
      </c>
      <c r="G188" s="1" t="s">
        <v>31</v>
      </c>
      <c r="H188" s="4" t="s">
        <v>32</v>
      </c>
      <c r="I188" s="2">
        <v>1.0</v>
      </c>
      <c r="J188" s="5" t="str">
        <f>IFERROR(__xludf.DUMMYFUNCTION("GOOGLETRANSLATE(A188)"),"VC")</f>
        <v>VC</v>
      </c>
      <c r="K188" s="6" t="str">
        <f>IFERROR(__xludf.DUMMYFUNCTION("GOOGLETRANSLATE(B188)"),"VK (meanings)")</f>
        <v>VK (meanings)</v>
      </c>
      <c r="L188" s="5" t="str">
        <f>IFERROR(__xludf.DUMMYFUNCTION("GOOGLETRANSLATE(C188)"),"VK is the international name for the Russian social network VKontakte. VK - Russian Technological Corporation, until October 12, 2021 - Mail.Ru Group.")</f>
        <v>VK is the international name for the Russian social network VKontakte. VK - Russian Technological Corporation, until October 12, 2021 - Mail.Ru Group.</v>
      </c>
      <c r="M188" s="5" t="str">
        <f>IFERROR(__xludf.DUMMYFUNCTION("GOOGLETRANSLATE(G188)"),"Wikipedia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89">
      <c r="A189" s="1" t="s">
        <v>590</v>
      </c>
      <c r="B189" s="1" t="s">
        <v>611</v>
      </c>
      <c r="C189" s="1" t="s">
        <v>612</v>
      </c>
      <c r="D189" s="1">
        <v>8.0</v>
      </c>
      <c r="E189" s="4" t="s">
        <v>613</v>
      </c>
      <c r="F189" s="1" t="s">
        <v>16</v>
      </c>
      <c r="G189" s="1" t="s">
        <v>614</v>
      </c>
      <c r="H189" s="4" t="s">
        <v>615</v>
      </c>
      <c r="I189" s="2">
        <v>2.0</v>
      </c>
      <c r="J189" s="5" t="str">
        <f>IFERROR(__xludf.DUMMYFUNCTION("GOOGLETRANSLATE(A189)"),"VC")</f>
        <v>VC</v>
      </c>
      <c r="K189" s="6" t="str">
        <f>IFERROR(__xludf.DUMMYFUNCTION("GOOGLETRANSLATE(B189)"),"Buy VK shares (VKCO) 📈: cost today, forecast ...")</f>
        <v>Buy VK shares (VKCO) 📈: cost today, forecast ...</v>
      </c>
      <c r="L189" s="5" t="str">
        <f>IFERROR(__xludf.DUMMYFUNCTION("GOOGLETRANSLATE(C189)"),"VK shares (VKCO) for today. The price of the purchase and sale of securities (VKCO) to individuals online. VK quotes on the graphs, their dynamics, ...")</f>
        <v>VK shares (VKCO) for today. The price of the purchase and sale of securities (VKCO) to individuals online. VK quotes on the graphs, their dynamics, ...</v>
      </c>
      <c r="M189" s="5" t="str">
        <f>IFERROR(__xludf.DUMMYFUNCTION("GOOGLETRANSLATE(G189)"),"Tinkoff - credit and debit cards loans for business and individuals for the correct operation of the bank’s services, it is necessary to enable support to JavaScript persons for life to miss the cardcredit cards of the Card Card Card Signature Procedure O"&amp;"rphanage Simcoelectronic Simcatararifferavity Iat the money to any purpose on the collateral of real estate machine Real Estate Refine the credit under the key to the key to the auto -tank -raising accountant to investing score -core -scatalog Market teac"&amp;"hing for investors in terms of Terminaline Cooppyl Culpcrapel Pauls of therass Rousscadolicadolmark is to install insurance cascaps of the Keep -coat -alerture producers for the Roads of the Products of the Khvakinotyatryasalons of the Beauty Bliblogdliyb"&amp;"ildliybildliybildiytatelnatorskii/D Tylets for Travelers of the Stuffing Part Kavtovtsymokhoplivoykhovykhovo-Sobeskoye under DTKART for automotivelistovatokreditovanovanimi business BUSINESS BUSINESS BUSINESSE for the Small Business Account IPROMENTARY AN"&amp;"DPORT OF LLCTIRARIBYBUSTALUTALITARY OF CARTALUTALITARY BUSTSITS AND OVERNAITION OF BUSINESS PROGRASTION OF SUPPLISTION OF THE CROP For OOO, turn-the-road crediterderdraftate-reception lines of the payment of the Paying Acquiringinternet-AC Payments on Qro"&amp;"nline Casserosrossymochdolyamitinkoff Paybonuses for BUSINESS BUSINESS PARTERICIAL STORMARICARTSISTRICARTYSELLERSELLERALLERALLERARETER OF SAITS-ZAKUPEKIKELECTRONAL signature of counterparties for a large business accounting-card of cardiacs according to 1"&amp;"15-fostering reinforcements and Ecommercezerzelznitsa-Credituitual Project vehicle payments for self-employees with self-employees of individuals payments of taxi parking of a pawnshopposure of Mfogogoskupkupkipper account of the payroll ecviringinterinet"&amp;"-ACCOVIRINGPOS-TRADING PAYOFF PAYFF PAYABLIA Resolve Koruskoff will be responding to a partner density and overnights for business verification of counterparty premium-dimensor-premium to miss the card-to-the-service investment for life for life, the help"&amp;" of the help of the investment on taxprivate services for life consumption for Private Talksheposhepo Leznoecurs Valyutbankomata Tinkoffinkoff Pay Payage Continuations Tinkofoff is correctly entrusted by the current situations for product workings for Tin"&amp;"koff work to ITBUSTRISS AND Processing with client -Tink -dealerships of the Options of the Ovoltable Verozhot. What is the newcomer all the construction of customers Cabinetinernet-Bankinvestincoff Mobilltinkoff businessform to Tinkoff with a profitabili"&amp;"ty of up to 15% of the per annum of the annual sub-terminal card recommended by your friends of the ruble up to 30% to 5% per annum of the annual translations without commissioning cardcredit cards of the Credit of the Credit. the attachment of the recomm"&amp;"ended product card with free maintenance of Tinkoff Platinum until November 30 and do not pay for Serving the CartoTinkoff investment of the investment tariffs and the convenient attach to the investor card Tinkoff-patch for free: the telephone secretary "&amp;"Oleg 600 minutes 20 GB vocabulary, start a contribution with replenishment and partial withdrawal. Each month, receive interest on a card or deposit insemination of an inspections with an online calculator and discounts (KBM) for trouble-free, the cost of"&amp;" the products is trusted by more than 38 million customers of the Bank of the Year Bank Bank. Rutinkoff was recognized as the best in the following categories: “Care of Client ""Digital Bank of the Year"" ""Investment Company of the Year"" ""Investment Pr"&amp;"oduct of the Year"" ""Folk rating of insurance companies"" Details and Currency Curries between their accounts Payment for services and the removal of cash services Tinkoff examination of cash with Tinkoff ATss without a commission. И без карты если у вас"&amp;"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кэшб"&amp;"экаПопробоватьМобильное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Decem"&amp;"ber 31 and participate in the rally in details of deposits in rubles up to 141% how to get the maximum headquarters of cashback of the day, Tinkyfr »IPhone and returned to 100% expenditure1 000 000 ₽ for a trip to the trip, form a tourist insurance in Tin"&amp;"koff and participate in the drawing of priestly articles and news - on the blog Tinkoff work and developing your or other city, to take a vacancies, the formation of educational courses and paid development programs for the development F magazine Secret U"&amp;"nions of how to conduct business in Russia to be more fully fulfilled by the filling of full-wrapping in all products on all products in the product in the product of Tinkoff products Restaurants Services and Brands based on real reviews of retrieval holi"&amp;"days in 2023 year-Great Line for providing vacation for participants in their families: 8,800 555-89-77 more in more and more Correct. SK answers to questions of the Po-UskiSkakak write to the chatenstac to download the appendix to enter the personal tran"&amp;"smission of the transmission of the transfer of the transfer to write off the certificate or extract8 800 333-33-33-33 days of calls on the Russian-loop card-densium cards-refuketing, the Automobile Credit of the Authority of the Pro Tinkoff Private -Over"&amp;"puts of Opeling Oo -Sochasco on subscription to the border of Russia -Keep -Classure Predructions Apri -Bi -Vevybiytytytychitotnaturezh/D ticketsTinkoff Software, speech -making, business -consumer counter -regional Skupkupkupkuphkuphightihgaliyabovnia -C"&amp;"artadesityrassprochochkrochkroke of counterparties for businesscaedal-building products of food and orienteatrateatrateratechystavsalones of Beautiful-fuel-Avtopoiliblogloglogloglogs collection collection Pulcollectic collection Juniorfino T-monopolis Tin"&amp;"koffcoforo Tinkoff Gorodbol Shoy Business accountservices for paymentcore ecrings-editions-eedgosykupovusiness-regulations-regions-tinkoff datatinkoff Idtinkoff Casseter-Acquirital cassation, re-investment grab dulls for card-free-grade solutions for QR-c"&amp;"odes-inspection transpondumure KOFF PAIT COMPORTANT TINKOFF IDDENTIONS with Tinkoff Id Paypery Card-Cardioblog Polar-West Carrier-Brinder accounting auspremacy of the vocal-vileagstiligo-pupil of therapils Strategramminolcademia of investment-cardsimtarif"&amp;"ymarifystyumenos. Number-painting Number-sabotage number of Olegtktktkom Zhelnizhnizhnizhnizhchikatimi or refusal money-wrapping in the ITS Entamio Bankenovostiglobrabotatchki replenishment of the Bank of the Currency Counsers of the Contact Serving of th"&amp;"e Investors Centers Center of Corporate Information Information on interest rates under bank deposit agreements from the physical personnel of information by a professional participant in the market, the securities of a large online bank in the world Chan"&amp;"ging the conditions of products and services of the bankcartics of the Remote service of the remote service for the Distilled Democularation of compliance of working conditions by state regulatory requirements of labor protection of Tinkoff Bank JSC Infor"&amp;"mation on the duration of operating rooms of the Haval Automobile Automobile Automobile Automobile Automobile Automobile Automobile Automobile Automobile Automobile Automobile Automobile Automobile Autonom Credit card "" Based on the results of the online"&amp;" voting of the ""Compare"" service of the Service, INNITY.RU in 2023. Among 3 credit organizations in parameters: a) a large grace period for users of card b) Operational service and communication with a client B) Convenient receipt of the card. Tinkoff B"&amp;"ank uses Cookie files to personalize services and improving the convenience of using a website. ""Cookie"" are small files containing information about previous visits to the website. If you do not want to use the Cookie files change the browser settings."&amp;" © 2006–2023 Tinkoff Bank JSC Official Universal License Central Bank of the Russian Federation No. 2673english")</f>
        <v>Tinkoff - credit and debit cards loans for business and individuals for the correct operation of the bank’s services, it is necessary to enable support to JavaScript persons for life to miss the cardcredit cards of the Card Card Card Signature Procedure Orphanage Simcoelectronic Simcatararifferavity Iat the money to any purpose on the collateral of real estate machine Real Estate Refine the credit under the key to the key to the auto -tank -raising accountant to investing score -core -scatalog Market teaching for investors in terms of Terminaline Cooppyl Culpcrapel Pauls of therass Rousscadolicadolmark is to install insurance cascaps of the Keep -coat -alerture producers for the Roads of the Products of the Khvakinotyatryasalons of the Beauty Bliblogdliybildliybildliybildiytatelnatorskii/D Tylets for Travelers of the Stuffing Part Kavtovtsymokhoplivoykhovykhovo-Sobeskoye under DTKART for automotivelistovatokreditovanovanimi business BUSINESS BUSINESS BUSINESSE for the Small Business Account IPROMENTARY ANDPORT OF LLCTIRARIBYBUSTALUTALITARY OF CARTALUTALITARY BUSTSITS AND OVERNAITION OF BUSINESS PROGRASTION OF SUPPLISTION OF THE CROP For OOO, turn-the-road crediterderdraftate-reception lines of the payment of the Paying Acquiringinternet-AC Payments on Qronline Casserosrossymochdolyamitinkoff Paybonuses for BUSINESS BUSINESS PARTERICIAL STORMARICARTSISTRICARTYSELLERSELLERALLERALLERARETER OF SAITS-ZAKUPEKIKELECTRONAL signature of counterparties for a large business accounting-card of cardiacs according to 115-fostering reinforcements and Ecommercezerzelznitsa-Credituitual Project vehicle payments for self-employees with self-employees of individuals payments of taxi parking of a pawnshopposure of Mfogogoskupkupkipper account of the payroll ecviringinterinet-ACCOVIRINGPOS-TRADING PAYOFF PAYFF PAYABLIA Resolve Koruskoff will be responding to a partner density and overnights for business verification of counterparty premium-dimensor-premium to miss the card-to-the-service investment for life for life, the help of the help of the investment on taxprivate services for life consumption for Private Talksheposhepo Leznoecurs Valyutbankomata Tinkoffinkoff Pay Payage Continuations Tinkofoff is correctly entrusted by the current situations for product workings for Tinkoff work to ITBUSTRISS AND Processing with client -Tink -dealerships of the Options of the Ovoltable Verozhot. What is the newcomer all the construction of customers Cabinetinernet-Bankinvestincoff Mobilltinkoff businessform to Tinkoff with a profitability of up to 15% of the per annum of the annual sub-terminal card recommended by your friends of the ruble up to 30% to 5% per annum of the annual translations without commissioning cardcredit cards of the Credit of the Credit. the attachment of the recommended product card with free maintenance of Tinkoff Platinum until November 30 and do not pay for Serving the CartoTinkoff investment of the investment tariffs and the convenient attach to the investor card Tinkoff-patch for free: the telephone secretary Oleg 600 minutes 20 GB vocabulary, start a contribution with replenishment and partial withdrawal. Each month, receive interest on a card or deposit insemination of an inspections with an online calculator and discounts (KBM) for trouble-free, the cost of the products is trusted by more than 38 million customers of the Bank of the Year Bank Bank. Rutinkoff was recognized as the best in the following categories: “Care of Client "Digital Bank of the Year" "Investment Company of the Year" "Investment Product of the Year" "Folk rating of insurance companies" Details and Currency Curries between their accounts Payment for services and the removal of cash services Tinkoff examination of cash with Tinkoff ATss without a commission. И без карты если у вас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December 31 and participate in the rally in details of deposits in rubles up to 141% how to get the maximum headquarters of cashback of the day, Tinkyfr »IPhone and returned to 100% expenditure1 000 000 ₽ for a trip to the trip, form a tourist insurance in Tinkoff and participate in the drawing of priestly articles and news - on the blog Tinkoff work and developing your or other city, to take a vacancies, the formation of educational courses and paid development programs for the development F magazine Secret Unions of how to conduct business in Russia to be more fully fulfilled by the filling of full-wrapping in all products on all products in the product in the product of Tinkoff products Restaurants Services and Brands based on real reviews of retrieval holidays in 2023 year-Great Line for providing vacation for participants in their families: 8,800 555-89-77 more in more and more Correct. SK answers to questions of the Po-UskiSkakak write to the chatenstac to download the appendix to enter the personal transmission of the transmission of the transfer of the transfer to write off the certificate or extract8 800 333-33-33-33 days of calls on the Russian-loop card-densium cards-refuketing, the Automobile Credit of the Authority of the Pro Tinkoff Private -Overputs of Opeling Oo -Sochasco on subscription to the border of Russia -Keep -Classure Predructions Apri -Bi -Vevybiytytytychitotnaturezh/D ticketsTinkoff Software, speech -making, business -consumer counter -regional Skupkupkupkuphkuphightihgaliyabovnia -Cartadesityrassprochochkrochkroke of counterparties for businesscaedal-building products of food and orienteatrateatrateratechystavsalones of Beautiful-fuel-Avtopoiliblogloglogloglogs collection collection Pulcollectic collection Juniorfino T-monopolis Tinkoffcoforo Tinkoff Gorodbol Shoy Business accountservices for paymentcore ecrings-editions-eedgosykupovusiness-regulations-regions-tinkoff datatinkoff Idtinkoff Casseter-Acquirital cassation, re-investment grab dulls for card-free-grade solutions for QR-codes-inspection transpondumure KOFF PAIT COMPORTANT TINKOFF IDDENTIONS with Tinkoff Id Paypery Card-Cardioblog Polar-West Carrier-Brinder accounting auspremacy of the vocal-vileagstiligo-pupil of therapils Strategramminolcademia of investment-cardsimtarifymarifystyumenos. Number-painting Number-sabotage number of Olegtktktkom Zhelnizhnizhnizhnizhchikatimi or refusal money-wrapping in the ITS Entamio Bankenovostiglobrabotatchki replenishment of the Bank of the Currency Counsers of the Contact Serving of the Investors Centers Center of Corporate Information Information on interest rates under bank deposit agreements from the physical personnel of information by a professional participant in the market, the securities of a large online bank in the world Changing the conditions of products and services of the bankcartics of the Remote service of the remote service for the Distilled Democularation of compliance of working conditions by state regulatory requirements of labor protection of Tinkoff Bank JSC Information on the duration of operating rooms of the Haval Automobile Automobile Automobile Automobile Automobile Automobile Automobile Automobile Automobile Automobile Automobile Automobile Automobile Autonom Credit card " Based on the results of the online voting of the "Compare" service of the Service, INNITY.RU in 2023. Among 3 credit organizations in parameters: a) a large grace period for users of card b) Operational service and communication with a client B) Convenient receipt of the card. Tinkoff Bank uses Cookie files to personalize services and improving the convenience of using a website. "Cookie" are small files containing information about previous visits to the website. If you do not want to use the Cookie files change the browser settings. © 2006–2023 Tinkoff Bank JSC Official Universal License Central Bank of the Russian Federation No. 2673english</v>
      </c>
    </row>
    <row r="190">
      <c r="A190" s="1" t="s">
        <v>590</v>
      </c>
      <c r="B190" s="1" t="s">
        <v>616</v>
      </c>
      <c r="D190" s="1">
        <v>9.0</v>
      </c>
      <c r="E190" s="4" t="s">
        <v>617</v>
      </c>
      <c r="F190" s="1" t="s">
        <v>16</v>
      </c>
      <c r="G190" s="1" t="s">
        <v>618</v>
      </c>
      <c r="H190" s="4" t="s">
        <v>619</v>
      </c>
      <c r="I190" s="2">
        <v>2.0</v>
      </c>
      <c r="J190" s="5" t="str">
        <f>IFERROR(__xludf.DUMMYFUNCTION("GOOGLETRANSLATE(A190)"),"VC")</f>
        <v>VC</v>
      </c>
      <c r="K190" s="6" t="str">
        <f>IFERROR(__xludf.DUMMYFUNCTION("GOOGLETRANSLATE(B190)"),"VK Post - Mail.ru")</f>
        <v>VK Post - Mail.ru</v>
      </c>
      <c r="L190" s="5" t="str">
        <f>IFERROR(__xludf.DUMMYFUNCTION("GOOGLETRANSLATE(C190)"),"#VALUE!")</f>
        <v>#VALUE!</v>
      </c>
      <c r="M190" s="5" t="str">
        <f>IFERROR(__xludf.DUMMYFUNCTION("GOOGLETRANSLATE(G190)"),"Reducation")</f>
        <v>Reducation</v>
      </c>
    </row>
    <row r="191">
      <c r="A191" s="1" t="s">
        <v>590</v>
      </c>
      <c r="B191" s="4" t="s">
        <v>620</v>
      </c>
      <c r="D191" s="1">
        <v>10.0</v>
      </c>
      <c r="E191" s="4" t="s">
        <v>621</v>
      </c>
      <c r="F191" s="1" t="s">
        <v>16</v>
      </c>
      <c r="I191" s="2">
        <v>3.0</v>
      </c>
      <c r="J191" s="5" t="str">
        <f>IFERROR(__xludf.DUMMYFUNCTION("GOOGLETRANSLATE(A191)"),"VC")</f>
        <v>VC</v>
      </c>
      <c r="K191" s="7" t="str">
        <f>IFERROR(__xludf.DUMMYFUNCTION("GOOGLETRANSLATE(B191)"),"www.m.vk.ru/")</f>
        <v>www.m.vk.ru/</v>
      </c>
      <c r="L191" s="5" t="str">
        <f>IFERROR(__xludf.DUMMYFUNCTION("GOOGLETRANSLATE(C191)"),"#VALUE!")</f>
        <v>#VALUE!</v>
      </c>
      <c r="M191" s="5" t="str">
        <f>IFERROR(__xludf.DUMMYFUNCTION("GOOGLETRANSLATE(G191)"),"#VALUE!")</f>
        <v>#VALUE!</v>
      </c>
    </row>
    <row r="192">
      <c r="A192" s="1" t="s">
        <v>590</v>
      </c>
      <c r="B192" s="1" t="s">
        <v>622</v>
      </c>
      <c r="C192" s="1" t="s">
        <v>623</v>
      </c>
      <c r="D192" s="1">
        <v>11.0</v>
      </c>
      <c r="E192" s="4" t="s">
        <v>624</v>
      </c>
      <c r="F192" s="1" t="s">
        <v>16</v>
      </c>
      <c r="G192" s="1" t="s">
        <v>625</v>
      </c>
      <c r="H192" s="4" t="s">
        <v>626</v>
      </c>
      <c r="I192" s="2">
        <v>5.0</v>
      </c>
      <c r="J192" s="5" t="str">
        <f>IFERROR(__xludf.DUMMYFUNCTION("GOOGLETRANSLATE(A192)"),"VC")</f>
        <v>VC</v>
      </c>
      <c r="K192" s="6" t="str">
        <f>IFERROR(__xludf.DUMMYFUNCTION("GOOGLETRANSLATE(B192)"),"The switches of the button VK-30")</f>
        <v>The switches of the button VK-30</v>
      </c>
      <c r="L192" s="5" t="str">
        <f>IFERROR(__xludf.DUMMYFUNCTION("GOOGLETRANSLATE(C192)"),"The switches of the button Dekraft series VK-30 are designed to switch electrical circuits and indicate the condition of electrical circuits.")</f>
        <v>The switches of the button Dekraft series VK-30 are designed to switch electrical circuits and indicate the condition of electrical circuits.</v>
      </c>
      <c r="M192" s="5" t="str">
        <f>IFERROR(__xludf.DUMMYFUNCTION("GOOGLETRANSLATE(G192)"),"DEKRAFT low -voltage equipment continuing to view the website www.dek.ru, I agree using the COOKIE file owner in accordance with the “Policy on COOKIE files”, including the transfer of data specified in the policy of third parties - the Internet statistic"&amp;"s services. : 8 (800) 200 64 46 Moscow: +7 (495) 777 99 88o DekRaftaccatual Generation of compensation of reactive power controls KR-101 KS-101COMNISTORS KM-102-Sarcinus condenser KS-102-controllers of the KR-102ANTRARO REC Nange throttle DR-101 DR-102 ST"&amp;"RETENTEDSTENCE Lighting Lighting Light Lighting Lighting Lighting Modular Equipus Automatic Switches VA-105 10 CAUTOMATIC SHOUNTERS VA-105 DC 6ka / 10 CA-105 VA-105 DC UZDP-103Automatic Overpasses without thermal protection of the VA-103M 6 CaAARUTOME the"&amp;" switches of the VA-103 New 1P+N 4.5 series Caautomatic switches VA-103 6 CAUTOMATIC switches of the VA-103 NEW 6 Cadifentry machines DIF-103 1-phase 4.5 CADIPENITIONALARIC Automobiles DIF-103 1- 3-phase 6-different current of the series 03 NEW Dif-103.5 "&amp;"KAAURAUTO Matical switches wa- 101 4.5 CACSESSES for VA-101 VA-103M DIF-101 DIF-101S DIF-103 4.5ka NEW-Automatic switches VA-201 10 CARAITION OF ORTENTIONS OP-101 MODULE CONSTANCE MK-103Sinal lamps LS-10DLOSTRY MODULE RM-102 From the arc breakdown of UZDP"&amp;"-103 switches-units of the series VN-105 TREAR-DOINTIONAL SPIRITIVERS-SECOMENTERS of the VR-103 Differential current switches UZO-03 6-cadifentent automatic machines selective DIF-10 S 1- 3-phase 6-power machines DIF-10 1-3-phase 4.5KA Differential automa"&amp;"tic machines DIF-102 1-phase 4.5 cadifentential modules DM-103 for automatic switches VA-103 DOSCOMENTERS STU-103 BOODS-SECOMENTERS VEC-102 Prime Ministers cylindrical PC-102 100 Cassyl and switching equipment of the A-Autocratic circuit in the Corps of t"&amp;"he VA-330A NEWAC Reserve ABR-701 switches -Sectors of the VR-101 Sunsyl circuit breakers VA-300lautomatic input of the ABR-300-Contactors of the KM-102Automatic STRICTOR OF STARTICAL STRICTORS of the VA-430Automatic Switches in the Case of the VA-330Eutom"&amp;"atic Switches in the VA-300 Newwriter. 2 NEW series of the series PM-102-air automatic circuit breakers of the VA-750-air automatic circuit breakers of the VA-730 NEW-automatic switches in the casting housing of the VA-300 1P/2RPRECTIONS Frequency PC-510 "&amp;"(DEKV060) Electric Interior Contesters 2.0 Prime Ministers-Dressers-Disarmers of the PVR-102-Democratic District November-switches -Sectors of the PVR-101-Automatic circuit breakers VA-730 SHOULD circuit breakers VA-330 ASIL automatic circuit breakers VA-"&amp;"300COTTORS KM-103 Processing Service PN-101 U control and signaling relay Actual RK-102-Minor Electric Superior Relia and Accessories Rycorpus modular plastic series of Shchrn- P and Shchrv-pancake shields Distributive hinged/ built-in (Shirn/ SHRV) Distr"&amp;"ibution shields (SCE) shields with mounting panel (SCMP) shields switching hinges (ShchrnM) shields Sasive accounting hinged/ built-in (Shchrun Shkriv). Distribution devices collected (KVRA) of the introductory and distribution houses of all-free (KVRU CS"&amp;") Corps Modular Plastic (Boxes) SchRN-P series for automatic circuit breakers and grilles of SV-301 Corpus Modular Schrn-P Schrw-Micorpus. -Astral devices collected-divided devices (KVRU SP New) Capabilities Distribution Floor Basalt series (SRN Basalt) H"&amp;"eaters resistive NR-301 Systems for control of microclimate SKM-301 Contain switches of the KV-302 kV-303EELLECTRICAL Domestic dimensional measurement equipment TOP TOP-0 66 TShP-066analogical measuring devices am Incuphrous measuring instruments of AM VM"&amp;" MTSTOSKARARYARARARANTIAD BUY BUY TUSCISTACTACES OF COMPECTACTION OF COMMUNITION OF RASTENTS Power STRUCTIONARYMODULEMODULARICAL AND TEMATION OF ELECTRICAL ELECTRICS AND ASSESSENCES OF ACCOMMALITIONARY OFFICIAL OFFICIAL OFFICIAL OFFICE OFFICIAL OFFICE DEC"&amp;"IPTIONS OF COMPLEMITION OF RAC-10 CPL-10 Ractive Power KS-10 Rocket power controllers KS-10 1 Contactors KM-102-SAR Kosinus capacitors KS-102 Reactive power regulators KR-102 Anti-Rossel throttle DR-101 DR-102 Lighting equipment Industrial Light Light Lig"&amp;"hts Office Lighting Lighting Modular Equipment Modular Equiples VA-105 10A VA-105 DC 6ka / 10a Accessories for VA-10 VA-10 DC 103 Automatic Switches without thermal protection of the VA-103M 6ka series automatic circuit breakers of the VA-103 New 1P+N 4.5"&amp;"a automatic circuit breakers VA-103 6ka automatic circuit breakers of the VA-103 New 6ka differential machines DIF-10 1-phase 4.5KA differential machines DIF-103 1 -3-phase 6KA Differential current switches of the UZO-03 NEW 6ka series DEF-103 NEW 4.5ka a"&amp;"utomatic circuit breakers VA-101 4.5a accessories for VA-101 VA-103M DIF-10 DIF-10IS DIF-102 Dif-10 -103 4.5ka new circuit breakers VA-201 10ka restraints of overvoltage OP-101 Modular contributions MK-103 signal lamps LS-101 Roset Modular RM-102 Protecti"&amp;"ve Defense Devices UZDP-103 SECOMENTERS DEMIRENTERS TREATIONAL SPECIALS Series VR-103 Differential current switches RCD-03 6ka differential machines selective DIF-101 s 1- 3-phase 6ka differential machines DIF-101 1- 3-phase 4.5ka differential machines DI"&amp;"F-102 1-phase 4.5ka Differential modules DM- 103 For VA-103 automatic circuit breakers, SMOs-103 Subjects Subracters VN-102 Cylindrical PC-102 100ka Power and Communication Equipment automatic circuit breakers in the VA-330A NEW series Automatic input of "&amp;"the ABR-701 OBR-701 Detachments. -101 power automatic circuit breakers VA-300L Automatic input of the ABR-300 Contactors KM-102 Contactors of the KM-102 Automatic Contrifers of the VA-430 engine VA-430 automatic circuit breakers in the VA-330E series of t"&amp;"he VA-300 NEW relay. 102 NEW starters of the PM-102 series Air circuit breakers of the VA-750 series Air circuit breakers of the VA-730 NEW series automatic circuit breakers in the line of the VA-300 1P/2P case PC-510 frequency (DEKV060) Electric Industri"&amp;"al Electric Driving Confronters. -Disrosters of the PVR-102 series Frowsers-switches-unimportants of the PVR-10-101 series automatic circuit breakers VA-730 power circuit breakers VA-330 A power circuit breakers VA-300 Contactors KM-103 Frusters Knife con"&amp;"trol and signaling relay Active pr- 102 Control and measuring relay RK-101 Industrial connectors of the houses of electrical panels and accessories of the case modular plastic series Shrn-P and Shchrev-P Brot housing Distribution/ Building (SHRN/ SKRV) Sh"&amp;"ields Distribution Board (SCE) panels (SCM) shields (SCMP) shields Distributive hinged with mounting panel (Shchrnm) shields Distributive camshafts / embedded (Schrun Schriv) of the Building and Distributive Devices Corps Relotious (KVRA) of the Enthusias"&amp;"mary Devices CENTRAL (KVRU CS) Modular plastic (Boxes) Short-P series for Automatic switches control of microclimate SKM-301 KV-302 KV-302 KV-303 Electrical Speaking Accessories Meter-Believers Measuring Equipment Transformers TOP TOP-066 TShP-066 Analog "&amp;"measuring instruments AM VM digital devices AM VM MT Equipment Advantages Advantages Advantages Advantages Advantages are a huge assortment of 100%safety of products Certificates of compliance with GOST R Work in all regions of the Russian Federation News"&amp;" Read all news -day holidays in China from 02.02.2024 to 02/16/2024 Dear partners! We inform you that in connection with the New Year holidays in China from 02.02.2024 to 1 ... 11/03/2023 DECRAFT modular equipment DEKRAFT-switches-divisors of the VU-105 s"&amp;"eries Dear partners! The dekraft brand expands the assortment of the final distribution equipment ... 06.09.2023 DECRAFT modular equipment-three-position switches-divisors of the VR-103 Dear partners! The dekraft brand expands the assortment of the final "&amp;"distribution equipment ... 07.20.2023 Brushas Modular Equipment DEKRAFT 2023 Edition 5 Dear partners! We notify you of updating the brochure of the modular equipment DEKRAFT 2023. This is 5 of ... 05/29/2023 Automatic switches of the VA-103 VA-105 series:"&amp;" the EAEU Certificate GOST TS 004/2011 according to the standard GOST IEC 60947-2 (IEC 60947-2 )  Dear partners! We inform you about the successful testing of testing and obtaining the EAEU certificate ... 02.28.2023 Louge of accessories to the KM-102 Con"&amp;"tactors KM-102 Dear colleagues are pleased to report the expansion of the KM-102 Contactors assortment devices with DVs ... 02/27/2023 Copyright © 20000023. DEKRAFT all rights are protected. Creation of electronic catalogs - art project all Russia: 8 (800"&amp;") 200 64 46 Moscow: +7 (495) 777 99 88")</f>
        <v>DEKRAFT low -voltage equipment continuing to view the website www.dek.ru, I agree using the COOKIE file owner in accordance with the “Policy on COOKIE files”, including the transfer of data specified in the policy of third parties - the Internet statistics services. : 8 (800) 200 64 46 Moscow: +7 (495) 777 99 88o DekRaftaccatual Generation of compensation of reactive power controls KR-101 KS-101COMNISTORS KM-102-Sarcinus condenser KS-102-controllers of the KR-102ANTRARO REC Nange throttle DR-101 DR-102 STRETENTEDSTENCE Lighting Lighting Light Lighting Lighting Lighting Modular Equipus Automatic Switches VA-105 10 CAUTOMATIC SHOUNTERS VA-105 DC 6ka / 10 CA-105 VA-105 DC UZDP-103Automatic Overpasses without thermal protection of the VA-103M 6 CaAARUTOME the switches of the VA-103 New 1P+N 4.5 series Caautomatic switches VA-103 6 CAUTOMATIC switches of the VA-103 NEW 6 Cadifentry machines DIF-103 1-phase 4.5 CADIPENITIONALARIC Automobiles DIF-103 1- 3-phase 6-different current of the series 03 NEW Dif-103.5 KAAURAUTO Matical switches wa- 101 4.5 CACSESSES for VA-101 VA-103M DIF-101 DIF-101S DIF-103 4.5ka NEW-Automatic switches VA-201 10 CARAITION OF ORTENTIONS OP-101 MODULE CONSTANCE MK-103Sinal lamps LS-10DLOSTRY MODULE RM-102 From the arc breakdown of UZDP-103 switches-units of the series VN-105 TREAR-DOINTIONAL SPIRITIVERS-SECOMENTERS of the VR-103 Differential current switches UZO-03 6-cadifentent automatic machines selective DIF-10 S 1- 3-phase 6-power machines DIF-10 1-3-phase 4.5KA Differential automatic machines DIF-102 1-phase 4.5 cadifentential modules DM-103 for automatic switches VA-103 DOSCOMENTERS STU-103 BOODS-SECOMENTERS VEC-102 Prime Ministers cylindrical PC-102 100 Cassyl and switching equipment of the A-Autocratic circuit in the Corps of the VA-330A NEWAC Reserve ABR-701 switches -Sectors of the VR-101 Sunsyl circuit breakers VA-300lautomatic input of the ABR-300-Contactors of the KM-102Automatic STRICTOR OF STARTICAL STRICTORS of the VA-430Automatic Switches in the Case of the VA-330Eutomatic Switches in the VA-300 Newwriter. 2 NEW series of the series PM-102-air automatic circuit breakers of the VA-750-air automatic circuit breakers of the VA-730 NEW-automatic switches in the casting housing of the VA-300 1P/2RPRECTIONS Frequency PC-510 (DEKV060) Electric Interior Contesters 2.0 Prime Ministers-Dressers-Disarmers of the PVR-102-Democratic District November-switches -Sectors of the PVR-101-Automatic circuit breakers VA-730 SHOULD circuit breakers VA-330 ASIL automatic circuit breakers VA-300COTTORS KM-103 Processing Service PN-101 U control and signaling relay Actual RK-102-Minor Electric Superior Relia and Accessories Rycorpus modular plastic series of Shchrn- P and Shchrv-pancake shields Distributive hinged/ built-in (Shirn/ SHRV) Distribution shields (SCE) shields with mounting panel (SCMP) shields switching hinges (ShchrnM) shields Sasive accounting hinged/ built-in (Shchrun Shkriv). Distribution devices collected (KVRA) of the introductory and distribution houses of all-free (KVRU CS) Corps Modular Plastic (Boxes) SchRN-P series for automatic circuit breakers and grilles of SV-301 Corpus Modular Schrn-P Schrw-Micorpus. -Astral devices collected-divided devices (KVRU SP New) Capabilities Distribution Floor Basalt series (SRN Basalt) Heaters resistive NR-301 Systems for control of microclimate SKM-301 Contain switches of the KV-302 kV-303EELLECTRICAL Domestic dimensional measurement equipment TOP TOP-0 66 TShP-066analogical measuring devices am Incuphrous measuring instruments of AM VM MTSTOSKARARYARARARANTIAD BUY BUY TUSCISTACTACES OF COMPECTACTION OF COMMUNITION OF RASTENTS Power STRUCTIONARYMODULEMODULARICAL AND TEMATION OF ELECTRICAL ELECTRICS AND ASSESSENCES OF ACCOMMALITIONARY OFFICIAL OFFICIAL OFFICIAL OFFICE OFFICIAL OFFICE DECIPTIONS OF COMPLEMITION OF RAC-10 CPL-10 Ractive Power KS-10 Rocket power controllers KS-10 1 Contactors KM-102-SAR Kosinus capacitors KS-102 Reactive power regulators KR-102 Anti-Rossel throttle DR-101 DR-102 Lighting equipment Industrial Light Light Lights Office Lighting Lighting Modular Equipment Modular Equiples VA-105 10A VA-105 DC 6ka / 10a Accessories for VA-10 VA-10 DC 103 Automatic Switches without thermal protection of the VA-103M 6ka series automatic circuit breakers of the VA-103 New 1P+N 4.5a automatic circuit breakers VA-103 6ka automatic circuit breakers of the VA-103 New 6ka differential machines DIF-10 1-phase 4.5KA differential machines DIF-103 1 -3-phase 6KA Differential current switches of the UZO-03 NEW 6ka series DEF-103 NEW 4.5ka automatic circuit breakers VA-101 4.5a accessories for VA-101 VA-103M DIF-10 DIF-10IS DIF-102 Dif-10 -103 4.5ka new circuit breakers VA-201 10ka restraints of overvoltage OP-101 Modular contributions MK-103 signal lamps LS-101 Roset Modular RM-102 Protective Defense Devices UZDP-103 SECOMENTERS DEMIRENTERS TREATIONAL SPECIALS Series VR-103 Differential current switches RCD-03 6ka differential machines selective DIF-101 s 1- 3-phase 6ka differential machines DIF-101 1- 3-phase 4.5ka differential machines DIF-102 1-phase 4.5ka Differential modules DM- 103 For VA-103 automatic circuit breakers, SMOs-103 Subjects Subracters VN-102 Cylindrical PC-102 100ka Power and Communication Equipment automatic circuit breakers in the VA-330A NEW series Automatic input of the ABR-701 OBR-701 Detachments. -101 power automatic circuit breakers VA-300L Automatic input of the ABR-300 Contactors KM-102 Contactors of the KM-102 Automatic Contrifers of the VA-430 engine VA-430 automatic circuit breakers in the VA-330E series of the VA-300 NEW relay. 102 NEW starters of the PM-102 series Air circuit breakers of the VA-750 series Air circuit breakers of the VA-730 NEW series automatic circuit breakers in the line of the VA-300 1P/2P case PC-510 frequency (DEKV060) Electric Industrial Electric Driving Confronters. -Disrosters of the PVR-102 series Frowsers-switches-unimportants of the PVR-10-101 series automatic circuit breakers VA-730 power circuit breakers VA-330 A power circuit breakers VA-300 Contactors KM-103 Frusters Knife control and signaling relay Active pr- 102 Control and measuring relay RK-101 Industrial connectors of the houses of electrical panels and accessories of the case modular plastic series Shrn-P and Shchrev-P Brot housing Distribution/ Building (SHRN/ SKRV) Shields Distribution Board (SCE) panels (SCM) shields (SCMP) shields Distributive hinged with mounting panel (Shchrnm) shields Distributive camshafts / embedded (Schrun Schriv) of the Building and Distributive Devices Corps Relotious (KVRA) of the Enthusiasmary Devices CENTRAL (KVRU CS) Modular plastic (Boxes) Short-P series for Automatic switches control of microclimate SKM-301 KV-302 KV-302 KV-303 Electrical Speaking Accessories Meter-Believers Measuring Equipment Transformers TOP TOP-066 TShP-066 Analog measuring instruments AM VM digital devices AM VM MT Equipment Advantages Advantages Advantages Advantages Advantages are a huge assortment of 100%safety of products Certificates of compliance with GOST R Work in all regions of the Russian Federation News Read all news -day holidays in China from 02.02.2024 to 02/16/2024 Dear partners! We inform you that in connection with the New Year holidays in China from 02.02.2024 to 1 ... 11/03/2023 DECRAFT modular equipment DEKRAFT-switches-divisors of the VU-105 series Dear partners! The dekraft brand expands the assortment of the final distribution equipment ... 06.09.2023 DECRAFT modular equipment-three-position switches-divisors of the VR-103 Dear partners! The dekraft brand expands the assortment of the final distribution equipment ... 07.20.2023 Brushas Modular Equipment DEKRAFT 2023 Edition 5 Dear partners! We notify you of updating the brochure of the modular equipment DEKRAFT 2023. This is 5 of ... 05/29/2023 Automatic switches of the VA-103 VA-105 series: the EAEU Certificate GOST TS 004/2011 according to the standard GOST IEC 60947-2 (IEC 60947-2 )  Dear partners! We inform you about the successful testing of testing and obtaining the EAEU certificate ... 02.28.2023 Louge of accessories to the KM-102 Contactors KM-102 Dear colleagues are pleased to report the expansion of the KM-102 Contactors assortment devices with DVs ... 02/27/2023 Copyright © 20000023. DEKRAFT all rights are protected. Creation of electronic catalogs - art project all Russia: 8 (800) 200 64 46 Moscow: +7 (495) 777 99 88</v>
      </c>
    </row>
    <row r="193">
      <c r="A193" s="1" t="s">
        <v>590</v>
      </c>
      <c r="B193" s="1" t="s">
        <v>627</v>
      </c>
      <c r="C193" s="1" t="s">
        <v>628</v>
      </c>
      <c r="D193" s="1">
        <v>12.0</v>
      </c>
      <c r="E193" s="4" t="s">
        <v>629</v>
      </c>
      <c r="F193" s="1" t="s">
        <v>16</v>
      </c>
      <c r="G193" s="1" t="s">
        <v>630</v>
      </c>
      <c r="H193" s="4" t="s">
        <v>631</v>
      </c>
      <c r="I193" s="2">
        <v>2.0</v>
      </c>
      <c r="J193" s="5" t="str">
        <f>IFERROR(__xludf.DUMMYFUNCTION("GOOGLETRANSLATE(A193)"),"VC")</f>
        <v>VC</v>
      </c>
      <c r="K193" s="6" t="str">
        <f>IFERROR(__xludf.DUMMYFUNCTION("GOOGLETRANSLATE(B193)"),"VK Combo Submission")</f>
        <v>VK Combo Submission</v>
      </c>
      <c r="L193" s="5" t="str">
        <f>IFERROR(__xludf.DUMMYFUNCTION("GOOGLETRANSLATE(C193)"),"VK Combo is a discount subscription and special offers in popular services. Music, online cinema, cloud storage, discounts on education and books and ...")</f>
        <v>VK Combo is a discount subscription and special offers in popular services. Music, online cinema, cloud storage, discounts on education and books and ...</v>
      </c>
      <c r="M193" s="5" t="str">
        <f>IFERROR(__xludf.DUMMYFUNCTION("GOOGLETRANSLATE(G193)"),"Subscription VK Combo introduce promo code VK Music VK COMBO is more unavailable for buying your subscription will continue to work as usual you can manage it in your personal account: to use all discounts to change the method of payment for the end of th"&amp;"e end remains questions? Yes, a couple of questions are there how to subscribe? VK Combo subscription is not available for purchase, but you can issue a VK music subscription by clicking on the link. What is VK Combo? VK Combo is a subscription that allow"&amp;"s you to listen to VK music without advertising and also receive discounts on goods and services of partners: the education of the game in the cloud and much more .vk Combo costs 149 rubles a month. Subscription is extended automatically? Yes, you do not "&amp;"have to do it manually. Every month on the day of payment, we write off the money from the attached card. If we do not work the first time in the mail and try again - a minute before the end of the subscription and within the next seven days. It is that p"&amp;"ayment still does not pass. For example, when the card is blocked or there is no money on it. At this moment, we will report on the problem - and you can extend the VK Combo subscription. VK Combo acts throughout the Russian Federation? You can arrange VK"&amp;" Combo from anywhere in the country. But pay attention to that some services included in the subscription do not work in all cities of Russia. Can you transfer promotional codes received in VK Combo to friends? You can activate the promotional code only o"&amp;"nce. If you can’t use it (for example, you already use the service and the promotion is only for new users) then you can share it with friends. Can you change the payment card? You can change the card in your personal account. Go to the section “Subscript"&amp;"ions and payments” click on the “•••” button next to the heading “My card” → Change the subscription. If you bought a subscription through the VKontakte mobile application, you can manage it in the phone’s settings: • on Android: Google Play → “Menu” → “S"&amp;"ubscriptions” → VK; • on iOS: “Apple ID account account” → “Subscriptions” → VK. What to do if you can’t pay for a musical subscription or VK Combo? To pay for the VK Combo subscription: Practice on the website vkcombo.ru. Roll your profile → Go to the su"&amp;"bscription and payments tab → Bind the bank card. The payment will be written off automatically when the paid period is completed. To pay for the music subscription: follow the link. Take a bank card. The subscription will be valid until the end of the pa"&amp;"id deadline and the next time the money will be written off from the card. For iOS devices to avoid double write-offs in the future, we recommend untie the card in the App Store for the VK Combo. To do this, open the iPhone settings → Apple ID account (yo"&amp;"ur name and surname) → Subscriptions → VK Combo/Music without restrictions → cancel the subscription. How to cancel the automatic extension of the subscription? Go to the VK Combo account and open the “Subscriptions and Payments” section. Click the “•••” "&amp;"button and then select “Cover the subscription.” If you bought a subscription through the VKontakte mobile application can be canceled in the phone settings: • on Android: Google Play → “Menu” → “Subscriptions” → VK; • by iOS: “Apple ID account” → “Subscr"&amp;"iptions” → VK. If you bought a subscription in the mini-up of vk Combo can only be canceled. More about the abolition of the subscription: https://vk.com/faq19805 Whether a discount will work if personal cabinets will work VK Combo and Service (e.g. liter"&amp;"s) are tied to different numbers? Yes, if it is a promotional cod. Odnako, most discounts are tied to the phone number that you indicated when registering in VK Combo. Therefore, in order to use bonuses, log in to the service under the same accounting dat"&amp;"a as in a subscription.")</f>
        <v>Subscription VK Combo introduce promo code VK Music VK COMBO is more unavailable for buying your subscription will continue to work as usual you can manage it in your personal account: to use all discounts to change the method of payment for the end of the end remains questions? Yes, a couple of questions are there how to subscribe? VK Combo subscription is not available for purchase, but you can issue a VK music subscription by clicking on the link. What is VK Combo? VK Combo is a subscription that allows you to listen to VK music without advertising and also receive discounts on goods and services of partners: the education of the game in the cloud and much more .vk Combo costs 149 rubles a month. Subscription is extended automatically? Yes, you do not have to do it manually. Every month on the day of payment, we write off the money from the attached card. If we do not work the first time in the mail and try again - a minute before the end of the subscription and within the next seven days. It is that payment still does not pass. For example, when the card is blocked or there is no money on it. At this moment, we will report on the problem - and you can extend the VK Combo subscription. VK Combo acts throughout the Russian Federation? You can arrange VK Combo from anywhere in the country. But pay attention to that some services included in the subscription do not work in all cities of Russia. Can you transfer promotional codes received in VK Combo to friends? You can activate the promotional code only once. If you can’t use it (for example, you already use the service and the promotion is only for new users) then you can share it with friends. Can you change the payment card? You can change the card in your personal account. Go to the section “Subscriptions and payments” click on the “•••” button next to the heading “My card” → Change the subscription. If you bought a subscription through the VKontakte mobile application, you can manage it in the phone’s settings: • on Android: Google Play → “Menu” → “Subscriptions” → VK; • on iOS: “Apple ID account account” → “Subscriptions” → VK. What to do if you can’t pay for a musical subscription or VK Combo? To pay for the VK Combo subscription: Practice on the website vkcombo.ru. Roll your profile → Go to the subscription and payments tab → Bind the bank card. The payment will be written off automatically when the paid period is completed. To pay for the music subscription: follow the link. Take a bank card. The subscription will be valid until the end of the paid deadline and the next time the money will be written off from the card. For iOS devices to avoid double write-offs in the future, we recommend untie the card in the App Store for the VK Combo. To do this, open the iPhone settings → Apple ID account (your name and surname) → Subscriptions → VK Combo/Music without restrictions → cancel the subscription. How to cancel the automatic extension of the subscription? Go to the VK Combo account and open the “Subscriptions and Payments” section. Click the “•••” button and then select “Cover the subscription.” If you bought a subscription through the VKontakte mobile application can be canceled in the phone settings: • on Android: Google Play → “Menu” → “Subscriptions” → VK; • by iOS: “Apple ID account” → “Subscriptions” → VK. If you bought a subscription in the mini-up of vk Combo can only be canceled. More about the abolition of the subscription: https://vk.com/faq19805 Whether a discount will work if personal cabinets will work VK Combo and Service (e.g. liters) are tied to different numbers? Yes, if it is a promotional cod. Odnako, most discounts are tied to the phone number that you indicated when registering in VK Combo. Therefore, in order to use bonuses, log in to the service under the same accounting data as in a subscription.</v>
      </c>
    </row>
    <row r="194">
      <c r="A194" s="1" t="s">
        <v>590</v>
      </c>
      <c r="B194" s="1" t="s">
        <v>632</v>
      </c>
      <c r="D194" s="1">
        <v>13.0</v>
      </c>
      <c r="E194" s="4" t="s">
        <v>633</v>
      </c>
      <c r="F194" s="1" t="s">
        <v>16</v>
      </c>
      <c r="G194" s="1" t="s">
        <v>634</v>
      </c>
      <c r="H194" s="1" t="s">
        <v>635</v>
      </c>
      <c r="I194" s="2">
        <v>1.0</v>
      </c>
      <c r="J194" s="5" t="str">
        <f>IFERROR(__xludf.DUMMYFUNCTION("GOOGLETRANSLATE(A194)"),"VC")</f>
        <v>VC</v>
      </c>
      <c r="K194" s="6" t="str">
        <f>IFERROR(__xludf.DUMMYFUNCTION("GOOGLETRANSLATE(B194)"),"Career - VK / Company")</f>
        <v>Career - VK / Company</v>
      </c>
      <c r="M194" s="5" t="str">
        <f>IFERROR(__xludf.DUMMYFUNCTION("GOOGLETRANSLATE(G194)"),"Career of the company of the company's work of the work of the Commercial Commission of the Office in Moscow Projectingkaniykandidatatams work in Vkkommandamdamytykhotykhiye recommend friendly work all cities of removalnnovy Novgorodsankancamincamincamine"&amp;"rskadalenovs. Kazantomskoschiminskpoisk VKAYSISIST VK in the ranking of the best employers of Russia more relevant vacancies in 200+ projects select the right direction and join us with us to develop technologies for millions of development -develop -deve"&amp;"lopingbackendFrontenTendmobilebiqamachine LearningData Science Imgra development more vacancies -infrastructure administrations of thesredevopssapsapsapsist integration and development more vacancies analytics analytics are more vacancies -based more vaca"&amp;"ncies for Project control product. Kansiynformation security more than the vacanciesback Office Department of the Department of the Department of Personnel Department of the Department of Department Department of the Department of the Office develops the "&amp;"ecosystem, which includes more than 200 projects from different directions, connecting the vk Team -use of people through our projects to watch videos what is important for us? One VK team unites professionals who are working on hundreds of projects in va"&amp;"rious fields. We exchange ideas and experience we value a variety of opinions and approaches. The combination of technologies and examinations of different teams helps us create more advanced products and services. Development of any achievement is an occ"&amp;"asion to set new goals. We do not stop there and are always looking for an opportunity for new discoveries. Each employee has the opportunity to develop and gain new knowledge and skills to grow vertically and become part of the new projects within the VK"&amp;". Technologies for millions, we create technologies services and products that improve the quality of life of millions of users and make innovation available to everyone. We share experience and best practices with the market and influence the development"&amp;" of the entire industry. It is important for us to develop and improve our services by making them convenient and safe for all users. We support experiments and recognize errors: their solution allows you to make services more reliable and the experience "&amp;"of the team is invaluable. One VK team unites professionals who are working on hundreds of projects in various fields. We exchange ideas and experience we value a variety of opinions and approaches. The combination of technologies and examinations of diff"&amp;"erent teams helps us create more advanced products and services. Development of any achievement is an occasion to set new goals. We do not stop there and are always looking for an opportunity for new discoveries. Each employee has the opportunity to devel"&amp;"op and gain new knowledge and skills to grow vertically and become part of the new projects within the VK. Technologies for millions, we create technologies services and products that improve the quality of life of millions of users and make innovation av"&amp;"ailable to everyone. We share experience and best practices with the market and influence the development of the entire industry. It is important for us to develop and improve our services by making them convenient and safe for all users. We support exper"&amp;"iments and recognize errors: their solution allows you to make services more reliable and the experience of the team is invaluable. Commanding the VK whole team! VK is more than 200 projects and products that millions of people use daily. We invite you to"&amp;" create breakthrough and useful services together. Now, part of VK can become part of the already formed teams. If you have people with whom you can turn the mountains we have something to offer you. Opportunities for the commanding and vanchphpHp develop"&amp;"er MyTracker PHPGO Developer IAM User Flow Vk Cloud Gojava Developer (API Development Group) Odnokkendet / QA Automation Engineer on Android Autoqa Automat. Ion -Career ML INTACE VKontakte for the business Pythonmachine LearningbigDatahadooplinuxnlinalist"&amp;" in the operating direction of advertising technologies VK SQLsistema (VK Messenger) VKLSYSTEM ANALYSTARCHTARCHTER of solutions VK Tech Linuxarchitecture, more vacancies to become part of the team? 1 Open Choose one or more vacancies and respond! Fill out"&amp;" all the fields of the questionnaire and do not forget to attach the resume links to GitHub or Portfolio. The 2nd interview as a rule is 3-4 personal or online meetings with experts-it depends on the position of the position. 3 The solution we will take a"&amp;" small pause to make a decision and prepare a proposal for work. 4 Open after a proposal for work, we will return with the details about the process of registration and clarify What equipment you are used to working on. On the first working day, we tell t"&amp;"he office of the office and the introduction of the team how to become part of the team? Response1 Choose one or more vacancies and respond! Fill out all the fields of the questionnaire and do not forget to attach the resume links to GitHub or Portfolio. "&amp;"Interview2, as a rule, 3-4 personal or online meetings with experts are waiting for you-it depends on the level of position. Nutrition3 We will take a small pause to make a decision and prepare a proposal for work. Offfer4 after a proposal for work, we wi"&amp;"ll return with the details of the design and clarify the details and clarify What equipment are you used to working on. Blogchabkak to publish the application in the Rustore and connect monetization: step-by-step haidhabarposhagi guide: how do we make our"&amp;" own translator-habristers for Mlops: we choose between Vendorian and Open Source-reservoirs to combine devices with different transmission protocols for one IoT-flame Habrsemsk forecasts : What awaits the Date-Engineering in 2023 City October 27 October "&amp;"October October Benes Completed on October 05 October Tech Talks · Ai Research Completed September 22 of the Streetball with CTO | VK X South Hub completed on September 12 Apple Event | VK X Coffee &amp; Code is completed to watch all the event of a suitable "&amp;"vacancy? Leave your contacts and resume - we will contact you only for you an perfect vacancy. It is necessary for filling in emails that email address address is the email of the Analycedata-AnalyticsFronTendfull-Stackhelpdeskine LEARNINGMOBILEQASREADENT"&amp;"ER DEPARETERIARYARENTERIARYADOMENTERS Safety Department. Technical specialties KRSETENENSISISISISISISISTEMENCENCEMENCED Administrative Integration and Development of IT development IT Project Management Personnel Administration to the product management m"&amp;"anagement department Department department Department of ll-Stackhelpdeskmachine LearningMobileqasrem Adquair Department of the Department of Information Information Security Department of the Department of Product Analytics and Technical Specialties Crse"&amp;"te Administration Estemes Analystantine administrative -system integration and development of IT development to the product management IT PRODUCTION Personal Management to the product management project management department Department of Department Depar"&amp;"tment, to fill in your social network Github, drag out of my resume from the files from the files of myself, I agree with the policy of confidentiality policies I agree And I give consent to the processing of personal data. I want to receive notifications"&amp;" by mail of fresh vacancies. Send the resumes to the response we will contact as soon as thejection vacancy appears for you. Send another resume © 2023 VK")</f>
        <v>Career of the company of the company's work of the work of the Commercial Commission of the Office in Moscow Projectingkaniykandidatatams work in Vkkommandamdamytykhotykhiye recommend friendly work all cities of removalnnovy Novgorodsankancamincamincaminerskadalenovs. Kazantomskoschiminskpoisk VKAYSISIST VK in the ranking of the best employers of Russia more relevant vacancies in 200+ projects select the right direction and join us with us to develop technologies for millions of development -develop -developingbackendFrontenTendmobilebiqamachine LearningData Science Imgra development more vacancies -infrastructure administrations of thesredevopssapsapsapsist integration and development more vacancies analytics analytics are more vacancies -based more vacancies for Project control product. Kansiynformation security more than the vacanciesback Office Department of the Department of the Department of Personnel Department of the Department of Department Department of the Department of the Office develops the ecosystem, which includes more than 200 projects from different directions, connecting the vk Team -use of people through our projects to watch videos what is important for us? One VK team unites professionals who are working on hundreds of projects in various fields. We exchange ideas and experience we value a variety of opinions and approaches. The combination of technologies and examinations of different teams helps us create more advanced products and services. Development of any achievement is an occasion to set new goals. We do not stop there and are always looking for an opportunity for new discoveries. Each employee has the opportunity to develop and gain new knowledge and skills to grow vertically and become part of the new projects within the VK. Technologies for millions, we create technologies services and products that improve the quality of life of millions of users and make innovation available to everyone. We share experience and best practices with the market and influence the development of the entire industry. It is important for us to develop and improve our services by making them convenient and safe for all users. We support experiments and recognize errors: their solution allows you to make services more reliable and the experience of the team is invaluable. One VK team unites professionals who are working on hundreds of projects in various fields. We exchange ideas and experience we value a variety of opinions and approaches. The combination of technologies and examinations of different teams helps us create more advanced products and services. Development of any achievement is an occasion to set new goals. We do not stop there and are always looking for an opportunity for new discoveries. Each employee has the opportunity to develop and gain new knowledge and skills to grow vertically and become part of the new projects within the VK. Technologies for millions, we create technologies services and products that improve the quality of life of millions of users and make innovation available to everyone. We share experience and best practices with the market and influence the development of the entire industry. It is important for us to develop and improve our services by making them convenient and safe for all users. We support experiments and recognize errors: their solution allows you to make services more reliable and the experience of the team is invaluable. Commanding the VK whole team! VK is more than 200 projects and products that millions of people use daily. We invite you to create breakthrough and useful services together. Now, part of VK can become part of the already formed teams. If you have people with whom you can turn the mountains we have something to offer you. Opportunities for the commanding and vanchphpHp developer MyTracker PHPGO Developer IAM User Flow Vk Cloud Gojava Developer (API Development Group) Odnokkendet / QA Automation Engineer on Android Autoqa Automat. Ion -Career ML INTACE VKontakte for the business Pythonmachine LearningbigDatahadooplinuxnlinalist in the operating direction of advertising technologies VK SQLsistema (VK Messenger) VKLSYSTEM ANALYSTARCHTARCHTER of solutions VK Tech Linuxarchitecture, more vacancies to become part of the team? 1 Open Choose one or more vacancies and respond! Fill out all the fields of the questionnaire and do not forget to attach the resume links to GitHub or Portfolio. The 2nd interview as a rule is 3-4 personal or online meetings with experts-it depends on the position of the position. 3 The solution we will take a small pause to make a decision and prepare a proposal for work. 4 Open after a proposal for work, we will return with the details about the process of registration and clarify What equipment you are used to working on. On the first working day, we tell the office of the office and the introduction of the team how to become part of the team? Response1 Choose one or more vacancies and respond! Fill out all the fields of the questionnaire and do not forget to attach the resume links to GitHub or Portfolio. Interview2, as a rule, 3-4 personal or online meetings with experts are waiting for you-it depends on the level of position. Nutrition3 We will take a small pause to make a decision and prepare a proposal for work. Offfer4 after a proposal for work, we will return with the details of the design and clarify the details and clarify What equipment are you used to working on. Blogchabkak to publish the application in the Rustore and connect monetization: step-by-step haidhabarposhagi guide: how do we make our own translator-habristers for Mlops: we choose between Vendorian and Open Source-reservoirs to combine devices with different transmission protocols for one IoT-flame Habrsemsk forecasts : What awaits the Date-Engineering in 2023 City October 27 October October October Benes Completed on October 05 October Tech Talks · Ai Research Completed September 22 of the Streetball with CTO | VK X South Hub completed on September 12 Apple Event | VK X Coffee &amp; Code is completed to watch all the event of a suitable vacancy? Leave your contacts and resume - we will contact you only for you an perfect vacancy. It is necessary for filling in emails that email address address is the email of the Analycedata-AnalyticsFronTendfull-Stackhelpdeskine LEARNINGMOBILEQASREADENTER DEPARETERIARYARENTERIARYADOMENTERS Safety Department. Technical specialties KRSETENENSISISISISISISISTEMENCENCEMENCED Administrative Integration and Development of IT development IT Project Management Personnel Administration to the product management management department Department department Department of ll-Stackhelpdeskmachine LearningMobileqasrem Adquair Department of the Department of Information Information Security Department of the Department of Product Analytics and Technical Specialties Crsete Administration Estemes Analystantine administrative -system integration and development of IT development to the product management IT PRODUCTION Personal Management to the product management project management department Department of Department Department, to fill in your social network Github, drag out of my resume from the files from the files of myself, I agree with the policy of confidentiality policies I agree And I give consent to the processing of personal data. I want to receive notifications by mail of fresh vacancies. Send the resumes to the response we will contact as soon as thejection vacancy appears for you. Send another resume © 2023 VK</v>
      </c>
    </row>
    <row r="195">
      <c r="A195" s="1" t="s">
        <v>590</v>
      </c>
      <c r="B195" s="1" t="s">
        <v>636</v>
      </c>
      <c r="C195" s="1" t="s">
        <v>637</v>
      </c>
      <c r="D195" s="1">
        <v>14.0</v>
      </c>
      <c r="E195" s="4" t="s">
        <v>638</v>
      </c>
      <c r="F195" s="1" t="s">
        <v>16</v>
      </c>
      <c r="G195" s="1" t="s">
        <v>444</v>
      </c>
      <c r="H195" s="4" t="s">
        <v>445</v>
      </c>
      <c r="I195" s="2">
        <v>2.0</v>
      </c>
      <c r="J195" s="5" t="str">
        <f>IFERROR(__xludf.DUMMYFUNCTION("GOOGLETRANSLATE(A195)"),"VC")</f>
        <v>VC</v>
      </c>
      <c r="K195" s="6" t="str">
        <f>IFERROR(__xludf.DUMMYFUNCTION("GOOGLETRANSLATE(B195)"),"Vkontakte (@vkontakte) / x")</f>
        <v>Vkontakte (@vkontakte) / x</v>
      </c>
      <c r="L195" s="5" t="str">
        <f>IFERROR(__xludf.DUMMYFUNCTION("GOOGLETRANSLATE(C195)"),"In VK music there was a belt of updates (it is already working in a desktop and in VKontakte mobile applications and VK Music). It shows what kind of music they add to themselves ...")</f>
        <v>In VK music there was a belt of updates (it is already working in a desktop and in VKontakte mobile applications and VK Music). It shows what kind of music they add to themselves ...</v>
      </c>
      <c r="M195" s="5" t="str">
        <f>IFERROR(__xludf.DUMMYFUNCTION("GOOGLETRANSLATE(G195)"),"JavaScript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196">
      <c r="A196" s="1" t="s">
        <v>590</v>
      </c>
      <c r="B196" s="1" t="s">
        <v>639</v>
      </c>
      <c r="C196" s="1" t="s">
        <v>640</v>
      </c>
      <c r="D196" s="1">
        <v>15.0</v>
      </c>
      <c r="E196" s="4" t="s">
        <v>641</v>
      </c>
      <c r="F196" s="1" t="s">
        <v>16</v>
      </c>
      <c r="G196" s="1" t="s">
        <v>642</v>
      </c>
      <c r="H196" s="4" t="s">
        <v>643</v>
      </c>
      <c r="I196" s="2">
        <v>3.0</v>
      </c>
      <c r="J196" s="5" t="str">
        <f>IFERROR(__xludf.DUMMYFUNCTION("GOOGLETRANSLATE(A196)"),"VC")</f>
        <v>VC</v>
      </c>
      <c r="K196" s="6" t="str">
        <f>IFERROR(__xludf.DUMMYFUNCTION("GOOGLETRANSLATE(B196)"),"VK Cloud | IT Platform of Business Class from VK")</f>
        <v>VK Cloud | IT Platform of Business Class from VK</v>
      </c>
      <c r="L196" s="5" t="str">
        <f>IFERROR(__xludf.DUMMYFUNCTION("GOOGLETRANSLATE(C196)"),"The platform of the cloud services of a business class from VK for companies that choose to build IT solutions in the cloud.")</f>
        <v>The platform of the cloud services of a business class from VK for companies that choose to build IT solutions in the cloud.</v>
      </c>
      <c r="M196" s="5" t="str">
        <f>IFERROR(__xludf.DUMMYFUNCTION("GOOGLETRANSLATE(G196)"),"VK Cloud | IT Platform of the Business Class from the VK Product Product CCECTION CONCLUSTION PLASS PLASS PLASTING INSTALLY ABOUT Platformeric characteristics of platforms of the Platter-Treaty Conference Clusion Platformation Storage, Starting developmen"&amp;"t to the promotion of the CLUD NATIVE TUTUTION TUTUTIRICAL COMPLE TiTiyanashi online and offline terms of homelessness are successful by our clients release publications in the media about the Work of Work on VK Cloud Contact Contact the Cloud-Passing Doc"&amp;"ation Cloud Make a data analytics transparent and accessible to all business units to read the Keyskoyskak, we increased the speed of processing of queries using the cloud Arenadata DB Read Caseblogir Success Successor Consultation Platformation Informati"&amp;"on about platformers of platformation confirmation of the safety safety of the Platformation Platformation Platformation. Starting development of development before promotion of the Cloud National Diybest-pay Tutetoriac Popane of the Company General Infor"&amp;"mation about the company Mamarmits of online and offline -the event of the stature of storage is successful by our clients release publications in the media about the vkankania in vk cloud Contribution with the namublogamation of PartnerismVK Cloud Platfo"&amp;"rm with a wide set of cloud services for effective development and work with data for companies of any scale-resistance to the reservation of the refusal of Cloud-n Ative architecture that will allow your project to grow faster. Enforce with a reliable pa"&amp;"rtner who will ensure an individual approach and full implementation. Building expert technical support in real time and training commands for new approaches. Resistance the costs of time and resources by using a set of finished solutions tested on thousa"&amp;"nds of project servers in the cloud for the high accessibility of digital services for details of servers in the local Public and Private DNS VPN networks and load distribution and traffic filtering more object storage limited storage and transmission of "&amp;"the data array by S3 API. Processing thousands of queries per second in detail Kubernetes -scale and acceleration of applications delivery from Kubernetes as a service certified CNCF more data into the clouds of work and high accessibility of managed DBMS"&amp;"s. Fast launch of the finished service. In more details of the processing data and large data analysis with cloud infrastructure based on the Apache Hadoop Spark Clickhouse, more details of the cloud in the cloud and training of neural networks with NVIDI"&amp;"A® TESLA for the full cycle of ml development and joint work Data-commander-in-coves toll processing of data creation scalable solutions for the collection of processing and analytics of streaming data that are presented by the vision-final CV models for "&amp;"the analysis of photos and video recognition of texts and types of documents inquisitive technologies-recognition and synthesis of speech. Clearly decoding natural sound unified by APITITIONAL PROCESSION AND ADMISE-NESEROVOROVARISTION DELISHING AND WORK W"&amp;"ITH THE Applications and Service more than BK CLOUDALLY VK Cloud-resistant Architecture with reservation. Productive scaling of infrastructure-defined storage of data on the CE of CE PHATTICTION of cloud servers in accordance with the 152-fueling of your "&amp;"team and Expert support for the Social -ocal recovery of 9995%with financial guarantees24 / 7vash “IT-service of one window” Tsodytier III FZ-152 Location in the RFIAS / PAASPRESS PROPECTIONAL TECHNOLOGICAL WITH ANSWER INTRODUCTION OF THE CLUDSCROLL-CHIMB"&amp;"OMABOM IDDOSNADICROUS SERVICE to protect infrastructure and applications from all threats. Read more Load Balanging Sulfuries of failure tolerance through the distribution of traffic to virtual machines. Read moreManaged Servicesodinisting of cloud system"&amp;"s on the VK Cloud side. Monitoring and elimination of incidents. Read more DRASS-AREVENARY Restoration of IT infrastructure. Verid options for placement of Public services VK with flexible settings and convenient scales of the PRIVATITISSIONS and the func"&amp;"tionality of the private perimeter-ON PREMISES-Nastal, consulting a consultation of virtual engineering databases storage and other cloud services VK Clouds trust their business. Cloud technologies and services that help companies solve the most important"&amp;" tasks. Watch all the Ceyss of the Cloud Service Market. Technologies Analyst Case Methods and Much otherwise othernovember 29 2021 / News VK Cloud! More July 30 2021 / Development of the project in Kubernetes for 60 minutes in more detail NOTEMBER 29 202"&amp;"1 / News of Voice Assistant Marusya became accessible to the cloud of VK Cloud more than 3500 developers 300 Repositories of the open code20000 companies use technologies and digital solutions VK3500 developers of 300 repositories of open code20,000 compa"&amp;"nies use VK3500 developers of 300 Open Coda Outdoor Code of 20000 companies use technologies and digital solutions vkproductscloud storagecloud ContainersCloud Databascloud Bigud Big Data Oblako 152-FZVS Service Platformanic characteristics of the Platfor"&amp;"mation Service Services Service Portal Portal Portal Images of the United Medistersinologii Development-Commerce formation of the company-Bulgloglist of successes of the Success-Klazicatactical Information Classes Closure. Nus program technical support wi"&amp;"ll be communication Users of the Documentation Carding of the site © VK Cloud 2023. All rights are protected. Politics of privacy")</f>
        <v>VK Cloud | IT Platform of the Business Class from the VK Product Product CCECTION CONCLUSTION PLASS PLASS PLASTING INSTALLY ABOUT Platformeric characteristics of platforms of the Platter-Treaty Conference Clusion Platformation Storage, Starting development to the promotion of the CLUD NATIVE TUTUTION TUTUTIRICAL COMPLE TiTiyanashi online and offline terms of homelessness are successful by our clients release publications in the media about the Work of Work on VK Cloud Contact Contact the Cloud-Passing Docation Cloud Make a data analytics transparent and accessible to all business units to read the Keyskoyskak, we increased the speed of processing of queries using the cloud Arenadata DB Read Caseblogir Success Successor Consultation Platformation Information about platformers of platformation confirmation of the safety safety of the Platformation Platformation Platformation. Starting development of development before promotion of the Cloud National Diybest-pay Tutetoriac Popane of the Company General Information about the company Mamarmits of online and offline -the event of the stature of storage is successful by our clients release publications in the media about the vkankania in vk cloud Contribution with the namublogamation of PartnerismVK Cloud Platform with a wide set of cloud services for effective development and work with data for companies of any scale-resistance to the reservation of the refusal of Cloud-n Ative architecture that will allow your project to grow faster. Enforce with a reliable partner who will ensure an individual approach and full implementation. Building expert technical support in real time and training commands for new approaches. Resistance the costs of time and resources by using a set of finished solutions tested on thousands of project servers in the cloud for the high accessibility of digital services for details of servers in the local Public and Private DNS VPN networks and load distribution and traffic filtering more object storage limited storage and transmission of the data array by S3 API. Processing thousands of queries per second in detail Kubernetes -scale and acceleration of applications delivery from Kubernetes as a service certified CNCF more data into the clouds of work and high accessibility of managed DBMSs. Fast launch of the finished service. In more details of the processing data and large data analysis with cloud infrastructure based on the Apache Hadoop Spark Clickhouse, more details of the cloud in the cloud and training of neural networks with NVIDIA® TESLA for the full cycle of ml development and joint work Data-commander-in-coves toll processing of data creation scalable solutions for the collection of processing and analytics of streaming data that are presented by the vision-final CV models for the analysis of photos and video recognition of texts and types of documents inquisitive technologies-recognition and synthesis of speech. Clearly decoding natural sound unified by APITITIONAL PROCESSION AND ADMISE-NESEROVOROVARISTION DELISHING AND WORK WITH THE Applications and Service more than BK CLOUDALLY VK Cloud-resistant Architecture with reservation. Productive scaling of infrastructure-defined storage of data on the CE of CE PHATTICTION of cloud servers in accordance with the 152-fueling of your team and Expert support for the Social -ocal recovery of 9995%with financial guarantees24 / 7vash “IT-service of one window” Tsodytier III FZ-152 Location in the RFIAS / PAASPRESS PROPECTIONAL TECHNOLOGICAL WITH ANSWER INTRODUCTION OF THE CLUDSCROLL-CHIMBOMABOM IDDOSNADICROUS SERVICE to protect infrastructure and applications from all threats. Read more Load Balanging Sulfuries of failure tolerance through the distribution of traffic to virtual machines. Read moreManaged Servicesodinisting of cloud systems on the VK Cloud side. Monitoring and elimination of incidents. Read more DRASS-AREVENARY Restoration of IT infrastructure. Verid options for placement of Public services VK with flexible settings and convenient scales of the PRIVATITISSIONS and the functionality of the private perimeter-ON PREMISES-Nastal, consulting a consultation of virtual engineering databases storage and other cloud services VK Clouds trust their business. Cloud technologies and services that help companies solve the most important tasks. Watch all the Ceyss of the Cloud Service Market. Technologies Analyst Case Methods and Much otherwise othernovember 29 2021 / News VK Cloud! More July 30 2021 / Development of the project in Kubernetes for 60 minutes in more detail NOTEMBER 29 2021 / News of Voice Assistant Marusya became accessible to the cloud of VK Cloud more than 3500 developers 300 Repositories of the open code20000 companies use technologies and digital solutions VK3500 developers of 300 repositories of open code20,000 companies use VK3500 developers of 300 Open Coda Outdoor Code of 20000 companies use technologies and digital solutions vkproductscloud storagecloud ContainersCloud Databascloud Bigud Big Data Oblako 152-FZVS Service Platformanic characteristics of the Platformation Service Services Service Portal Portal Portal Images of the United Medistersinologii Development-Commerce formation of the company-Bulgloglist of successes of the Success-Klazicatactical Information Classes Closure. Nus program technical support will be communication Users of the Documentation Carding of the site © VK Cloud 2023. All rights are protected. Politics of privacy</v>
      </c>
    </row>
    <row r="197">
      <c r="A197" s="1" t="s">
        <v>590</v>
      </c>
      <c r="B197" s="1" t="s">
        <v>644</v>
      </c>
      <c r="D197" s="1">
        <v>16.0</v>
      </c>
      <c r="E197" s="4" t="s">
        <v>645</v>
      </c>
      <c r="F197" s="1" t="s">
        <v>16</v>
      </c>
      <c r="I197" s="2">
        <v>2.0</v>
      </c>
      <c r="J197" s="5" t="str">
        <f>IFERROR(__xludf.DUMMYFUNCTION("GOOGLETRANSLATE(A197)"),"VC")</f>
        <v>VC</v>
      </c>
      <c r="K197" s="6" t="str">
        <f>IFERROR(__xludf.DUMMYFUNCTION("GOOGLETRANSLATE(B197)"),"VK (earlier VK): Promotion price today, quotation schedule ...")</f>
        <v>VK (earlier VK): Promotion price today, quotation schedule ...</v>
      </c>
      <c r="M197" s="5" t="str">
        <f>IFERROR(__xludf.DUMMYFUNCTION("GOOGLETRANSLATE(G197)"),"#VALUE!")</f>
        <v>#VALUE!</v>
      </c>
    </row>
    <row r="198">
      <c r="A198" s="1" t="s">
        <v>590</v>
      </c>
      <c r="B198" s="1" t="s">
        <v>646</v>
      </c>
      <c r="C198" s="1" t="s">
        <v>647</v>
      </c>
      <c r="D198" s="1">
        <v>17.0</v>
      </c>
      <c r="E198" s="4" t="s">
        <v>648</v>
      </c>
      <c r="F198" s="1" t="s">
        <v>16</v>
      </c>
      <c r="G198" s="1" t="s">
        <v>649</v>
      </c>
      <c r="H198" s="4" t="s">
        <v>650</v>
      </c>
      <c r="I198" s="2">
        <v>2.0</v>
      </c>
      <c r="J198" s="5" t="str">
        <f>IFERROR(__xludf.DUMMYFUNCTION("GOOGLETRANSLATE(A198)"),"VC")</f>
        <v>VC</v>
      </c>
      <c r="K198" s="6" t="str">
        <f>IFERROR(__xludf.DUMMYFUNCTION("GOOGLETRANSLATE(B198)"),"Cloud gaming | VK Play")</f>
        <v>Cloud gaming | VK Play</v>
      </c>
      <c r="L198" s="5" t="str">
        <f>IFERROR(__xludf.DUMMYFUNCTION("GOOGLETRANSLATE(C198)"),"Play any PC, MacOS and Android device in the top games at maximum settings with VK Play Cloud. Large launches, virtual computer are available ...")</f>
        <v>Play any PC, MacOS and Android device in the top games at maximum settings with VK Play Cloud. Large launches, virtual computer are available ...</v>
      </c>
      <c r="M198" s="5" t="str">
        <f>IFERROR(__xludf.DUMMYFUNCTION("GOOGLETRANSLATE(G198)"),"Cloud gaming | VK Playyou Need to Enable Javascript to Run this App.")</f>
        <v>Cloud gaming | VK Playyou Need to Enable Javascript to Run this App.</v>
      </c>
    </row>
    <row r="199">
      <c r="A199" s="1" t="s">
        <v>590</v>
      </c>
      <c r="B199" s="1" t="s">
        <v>651</v>
      </c>
      <c r="C199" s="1" t="s">
        <v>153</v>
      </c>
      <c r="D199" s="1">
        <v>24.0</v>
      </c>
      <c r="E199" s="4" t="s">
        <v>652</v>
      </c>
      <c r="F199" s="1" t="s">
        <v>16</v>
      </c>
      <c r="I199" s="2">
        <v>1.0</v>
      </c>
      <c r="J199" s="5" t="str">
        <f>IFERROR(__xludf.DUMMYFUNCTION("GOOGLETRANSLATE(A199)"),"VC")</f>
        <v>VC</v>
      </c>
      <c r="K199" s="6" t="str">
        <f>IFERROR(__xludf.DUMMYFUNCTION("GOOGLETRANSLATE(B199)"),"Report of VK for the III quarter. Revenue is growing again")</f>
        <v>Report of VK for the III quarter. Revenue is growing again</v>
      </c>
      <c r="L199" s="5" t="str">
        <f>IFERROR(__xludf.DUMMYFUNCTION("GOOGLETRANSLATE(C199)"),"3 days ago -")</f>
        <v>3 days ago -</v>
      </c>
      <c r="M199" s="5" t="str">
        <f>IFERROR(__xludf.DUMMYFUNCTION("GOOGLETRANSLATE(G199)"),"#VALUE!")</f>
        <v>#VALUE!</v>
      </c>
    </row>
    <row r="200">
      <c r="A200" s="1" t="s">
        <v>590</v>
      </c>
      <c r="B200" s="1" t="s">
        <v>653</v>
      </c>
      <c r="C200" s="1" t="s">
        <v>654</v>
      </c>
      <c r="D200" s="1">
        <v>27.0</v>
      </c>
      <c r="E200" s="4" t="s">
        <v>655</v>
      </c>
      <c r="F200" s="1" t="s">
        <v>16</v>
      </c>
      <c r="G200" s="1" t="s">
        <v>656</v>
      </c>
      <c r="H200" s="4" t="s">
        <v>657</v>
      </c>
      <c r="I200" s="2">
        <v>1.0</v>
      </c>
      <c r="J200" s="5" t="str">
        <f>IFERROR(__xludf.DUMMYFUNCTION("GOOGLETRANSLATE(A200)"),"VC")</f>
        <v>VC</v>
      </c>
      <c r="K200" s="6" t="str">
        <f>IFERROR(__xludf.DUMMYFUNCTION("GOOGLETRANSLATE(B200)"),"Vk me")</f>
        <v>Vk me</v>
      </c>
      <c r="L200" s="5" t="str">
        <f>IFERROR(__xludf.DUMMYFUNCTION("GOOGLETRANSLATE(C200)"),"Be in touch with friends from VK and a telephone book; Call without restrictions with audio and video; Read the decoding of voice and video messages ...")</f>
        <v>Be in touch with friends from VK and a telephone book; Call without restrictions with audio and video; Read the decoding of voice and video messages ...</v>
      </c>
      <c r="M200" s="5" t="str">
        <f>IFERROR(__xludf.DUMMYFUNCTION("GOOGLETRANSLATE(G200)"),"The Official VK�Messenger        Web version    Quick and�Easy Messaging          Stay in touch with your VK�friends and�people from�your�phone�s contacts                  Call with no�limits on�audio or�video                  Read transcriptions of�voice"&amp;" and�video messages                  Share music photos videos files geotags and�even money                  Select colorful chat themes to�fit the�mood        Available onAndroidDownload in Google�PlayDownload in RuStoreDownload in AppGalleryiOSDownload "&amp;"in App StoreWindows betaDownload EXEMacOS betaDownload DMG      © 2023 VK Social Network Team���������� VK ����������Scan the QR code�to�install the app on�your phone")</f>
        <v>The Official VK�Messenger        Web version    Quick and�Easy Messaging          Stay in touch with your VK�friends and�people from�your�phone�s contacts                  Call with no�limits on�audio or�video                  Read transcriptions of�voice and�video messages                  Share music photos videos files geotags and�even money                  Select colorful chat themes to�fit the�mood        Available onAndroidDownload in Google�PlayDownload in RuStoreDownload in AppGalleryiOSDownload in App StoreWindows betaDownload EXEMacOS betaDownload DMG      © 2023 VK Social Network Team���������� VK ����������Scan the QR code�to�install the app on�your phone</v>
      </c>
    </row>
    <row r="201">
      <c r="A201" s="1" t="s">
        <v>590</v>
      </c>
      <c r="B201" s="1" t="s">
        <v>658</v>
      </c>
      <c r="C201" s="1" t="s">
        <v>659</v>
      </c>
      <c r="D201" s="1">
        <v>33.0</v>
      </c>
      <c r="E201" s="4" t="s">
        <v>660</v>
      </c>
      <c r="F201" s="1" t="s">
        <v>16</v>
      </c>
      <c r="G201" s="1" t="s">
        <v>661</v>
      </c>
      <c r="H201" s="4" t="s">
        <v>662</v>
      </c>
      <c r="I201" s="2">
        <v>5.0</v>
      </c>
      <c r="J201" s="5" t="str">
        <f>IFERROR(__xludf.DUMMYFUNCTION("GOOGLETRANSLATE(A201)"),"VC")</f>
        <v>VC</v>
      </c>
      <c r="K201" s="6" t="str">
        <f>IFERROR(__xludf.DUMMYFUNCTION("GOOGLETRANSLATE(B201)"),"«Lokomotiv")</f>
        <v>«Lokomotiv</v>
      </c>
      <c r="L201" s="5" t="str">
        <f>IFERROR(__xludf.DUMMYFUNCTION("GOOGLETRANSLATE(C201)"),"... TO BUY A TICKET. © VK Lokomotiv-Novosibirsk, 2008-2023. All rights reserved. Copying materials is allowed only with a link to the source.")</f>
        <v>... TO BUY A TICKET. © VK Lokomotiv-Novosibirsk, 2008-2023. All rights reserved. Copying materials is allowed only with a link to the source.</v>
      </c>
      <c r="M201" s="5" t="str">
        <f>IFERROR(__xludf.DUMMYFUNCTION("GOOGLETRANSLATE(G201)"),"Lokomotiv JavaScript Is Not Supported in the Your Browser or Are Disabled! Check settingsjavascript is not supported by your browser or disconnected! Check the settings of browser-Kupaylettelnovnovnovanovosovosovosovosovskostyskoye Presso Clubberao Clubbe"&amp;"rakhoba-Kovrovodstvo, administration of the administration of the Armen-shallow-shallow-male commander-in-arms of the Russian championship of the strongest cooker of the centuries Oloko-Twokontactypot-lane exiletic attributicatipdiopodies November 09: 00v"&amp;" Chita will start the third preliminary stage of Lokovoli-2023 Read more November 112: 00v Chita the third preliminary stage “Lokovoli-2023” starts Read more November 21:30 “Lokomotiv” enters the semifinals of the Russian Cup more in more detail November "&amp;"10: 00 Controls for the sale of tickets for all matches in November November 11:30 “Lokomotiv” goes to the semifinals of the Russian Cup November November 09: 00v Chita Starting the third preliminary stage “Lokovoles-2023” Read more November 21:30 “Lokomo"&amp;"tiv” enters the semifinals of the Russian Cup more in more detail November 10: 00 The sale of tickets for all matches in November November 10: 00 Prevent tickets for all matches in November November 09: 00V Chita Starts “Lokovoles-2023” more. November 21:"&amp;"30 “Lokomotiv” goes to the semifinals of the Russian Cup in more detail November 10: 00 Continuing the sale of tickets for all matches in November in the nationwide of the mattress of Novosibirsk31 (27:25 25:22 19:25 25:21) Belogorye Belgorod Cup of Russi"&amp;"a. Quaternary Date of the match 11/11/2023. 19: 00 Statistics of the conduct of the Khovosibirsk, the next match will begin after 3 days 8 hours14 minutes of the headset of Novosibirskshakhter Soligorsk Championship of Russia. Super League. Fifth tour Dat"&amp;"e of match 11/15/2023. 19: 00 Buying a ticket of conducting a conduct of the Khumsybirskaledar playersoperligamomolozhnaya ligavis of the game3: 0 Moscow Super League November 8, 202323: 00 Veeper 3: 1 Novosibirskkubka Russia November 1111119: 00 Strong-v"&amp;"iew-:-Novosibirskshchacchiyskiyskiy Russian Super League November 202319: November 202319: November 202319: November 202319: November 202319 00--:-Non-Siberian championary of Russia Super League November 118, 202318: 30--: -the Newsibirskshchiypionate of "&amp;"Russia Super League on November22, 2023------------- Russia Super League November 29, 202319: 00--:-Non Urengoy Cherdi Russian Super League December 19, 2023------- Russia Super League December 1923---------------- Russia---- Russia- -:-The Newsibirsk Sup"&amp;"reme Council of Super League December 20, 2023------------: Krasnoyarsk championary of Russia Super League December28, 2023---------------------- Russia Superliga January5 January 2024-------- Russia Super League January 8, 2024-------- Russia Super Leagu"&amp;"e13 January 2024 Revostivse News of News on November 12: 00v Chita will start the third preliminary stage of Lokovoli-2023 details of Russia on November 11 21:30 Lokomotiv enters the semifinals of the Russian Cup of Russia on November 10:00 Lokomotiv-“Bel"&amp;"ogorye”: Previous to the second match 1 /4 Cup of Russia in more detail on November 10: 00 Controls, selling tickets for all matches in November in November 9 November 09: 00s Birthday Sergey Ivanovich! More thanpari Super League on November 8: 55 Zhelevo"&amp;"zhniysk workers endure in the Moscow Supervisor November 7, 16:00 Dynamo - Lokomotiv: Lokomotiv: Lokomotiv: Lokomotiv: Lokomotiv Prevertering to the fourth round of the PARI super -legged Russians of Russia on November 5 23:30 “Lokomotiv” won a volitional"&amp;" victory in a tile -relaxation on November 4, 15:00 “Belogorye” - “Lokomotiv”: the preview of the first match of the 1/4 Cup of Russia more in more detail the press of the press November 10: 00 Kubok of Russia. “Lokomotiv” will accept “Belogorye” “Zenit” "&amp;"St. Petersburg-“torch” and other matches 1/4 final sports on November 12: 00 Grebennikov made Ace Semyshev gave a passage to his foot and “torch” seized leadership. Results of the 4th round super-league show November 14: 00kh leaders. In the Russian champ"&amp;"ionship there were no teams left without lost points-expression on November9 13:00 Dynamo crushed Lokomotiv on the presentation. In the volleyball super -League, an unexpected leader in November 9 13:00 ""The presentation was the decisive factor of victor"&amp;"y."" Bryansky and Pankov - about the match with Lokomotiv Sports on November 16: 00 Best in personal statistics in the first games 1/4 finalivfv 7 on November 09: 00 Sapozhkov realized 71% of attacks but Modena lost Monza (0: 3) Sports BO6 November 12: 00"&amp;" Sudyes gave heat in the Russian Cup: they resumed the completed game and taught Christenson to the racket of the Construction Camport on November 10: 00 Cub of Russia. “Zenit” in the St. Petersburg Break defeated “torch” and other matches 1/4 final sport"&amp;"s on November 16: 00 Mary Volar in retail are 7,900 and 9900 rubles on November 11: 00 Cup of Russia. Zenit Kazan defeated the Yenisei and other matches 1/4 final sports on November 20: 00 Signature of the Agreement between the VFV and the Administration "&amp;"of the Tomsk Region, October 21 23:00 Lokomotiv-Zenit Kazan. 2 Tour PARI Super League 202421 October 21: 00 Expanding the Museum of Club History on October 21, 22: 00 aid Tour of the Youth League 2024. The final gaming day17 October 23: 55th Tour of the Y"&amp;"outh League 2024. The first game day October 18, 18:00 Lokomotiv held a traditional meeting with the leadership24 September 20: 00th Brothers of the Volleyball Association of the Siberian Federal District on September 24 23: 55 finals of four on the locom"&amp;"otive arena - Matches for medals September 23 23: 55 Firal Four for the locomotive Arena - Day First22 September 23: 00 Dynamo - “Coerter” - “Dynamo” and the third day November 17: 00gosok and updated club bus October 23: 55 Option of the Museum of the Hi"&amp;"story of VK Lokomotiv - Forward to the victories on October 22: 00match Day | Lokomotiv - Zenit Kazan | The first home match of the Russian Championship on October14: 00 Medical - Lokomotiv in the season 2023/2412 October 21: 00 PRODUCTION PROSOMENT ACTIO"&amp;"N - Real locomotive October 12: 00 Martin Atanasov - A meeting at the airport October 23: 55 first medals of the season - bronze in Kaliningrad | Highlights - Lokomotiv vs Zenit2 September 14: 00 Sedding of the volleyball association of the Siberian Feder"&amp;"al District September 23: 55 Four Four Four Cup in Novosibirsk | Review of matches Tournament Superligamollage Ligasezon 2023/2024 Seson 2022/2023 Season 2021/2022 Season 2020/2021 Season 2019/2020s season 2018/2019 Cossack Russian Cupcubss of the Central"&amp;" Complex of the Russian Comericompion, Russian -Inger -Ingrailipodiglipo -Gyrelipot 40912: 72 Zenit431910: 33-river 43199: 34 Dinomas43199: 35 Belogorye431910: 46 Dinagome-La43199: 57 Zenit-Kasan43199: 58 Kuzbass4222810: 79enisyssia42269: 910 Shahter42257"&amp;": 911GAZPROM-yUGRA41345: 912 Neftyanik 41345: 1013Uural41336: 914ASK41334: 915ova401: 1216YURARA-SIDELOR40401: 12 Novosibirsk region Lokomotiv ""Lokomotiv-Angara"" CEVFIVBBOCHOBOCHOCHOK 24 Sub.fm Gropradio54TK ""Rail Continent"" Subscribe to the Tmber-Com"&amp;"merculum-Movisibirsklocomotive and Schorrukomotvnikhovstvosty administration of the median-nobility of the puffeline-chapelichelereaniyagogotype fanseleshchikhtykafanati attributes Hand accustomed links 8 (383) 271 89 91 Buy a ticket © VK Lokomotiv-Novosi"&amp;"birsk 2008-2023VS. The rights are protected. Copying materials is allowed only with a link to the source.")</f>
        <v>Lokomotiv JavaScript Is Not Supported in the Your Browser or Are Disabled! Check settingsjavascript is not supported by your browser or disconnected! Check the settings of browser-Kupaylettelnovnovnovanovosovosovosovosovskostyskoye Presso Clubberao Clubberakhoba-Kovrovodstvo, administration of the administration of the Armen-shallow-shallow-male commander-in-arms of the Russian championship of the strongest cooker of the centuries Oloko-Twokontactypot-lane exiletic attributicatipdiopodies November 09: 00v Chita will start the third preliminary stage of Lokovoli-2023 Read more November 112: 00v Chita the third preliminary stage “Lokovoli-2023” starts Read more November 21:30 “Lokomotiv” enters the semifinals of the Russian Cup more in more detail November 10: 00 Controls for the sale of tickets for all matches in November November 11:30 “Lokomotiv” goes to the semifinals of the Russian Cup November November 09: 00v Chita Starting the third preliminary stage “Lokovoles-2023” Read more November 21:30 “Lokomotiv” enters the semifinals of the Russian Cup more in more detail November 10: 00 The sale of tickets for all matches in November November 10: 00 Prevent tickets for all matches in November November 09: 00V Chita Starts “Lokovoles-2023” more. November 21:30 “Lokomotiv” goes to the semifinals of the Russian Cup in more detail November 10: 00 Continuing the sale of tickets for all matches in November in the nationwide of the mattress of Novosibirsk31 (27:25 25:22 19:25 25:21) Belogorye Belgorod Cup of Russia. Quaternary Date of the match 11/11/2023. 19: 00 Statistics of the conduct of the Khovosibirsk, the next match will begin after 3 days 8 hours14 minutes of the headset of Novosibirskshakhter Soligorsk Championship of Russia. Super League. Fifth tour Date of match 11/15/2023. 19: 00 Buying a ticket of conducting a conduct of the Khumsybirskaledar playersoperligamomolozhnaya ligavis of the game3: 0 Moscow Super League November 8, 202323: 00 Veeper 3: 1 Novosibirskkubka Russia November 1111119: 00 Strong-view-:-Novosibirskshchacchiyskiyskiy Russian Super League November 202319: November 202319: November 202319: November 202319: November 202319 00--:-Non-Siberian championary of Russia Super League November 118, 202318: 30--: -the Newsibirskshchiypionate of Russia Super League on November22, 2023------------- Russia Super League November 29, 202319: 00--:-Non Urengoy Cherdi Russian Super League December 19, 2023------- Russia Super League December 1923---------------- Russia---- Russia- -:-The Newsibirsk Supreme Council of Super League December 20, 2023------------: Krasnoyarsk championary of Russia Super League December28, 2023---------------------- Russia Superliga January5 January 2024-------- Russia Super League January 8, 2024-------- Russia Super League13 January 2024 Revostivse News of News on November 12: 00v Chita will start the third preliminary stage of Lokovoli-2023 details of Russia on November 11 21:30 Lokomotiv enters the semifinals of the Russian Cup of Russia on November 10:00 Lokomotiv-“Belogorye”: Previous to the second match 1 /4 Cup of Russia in more detail on November 10: 00 Controls, selling tickets for all matches in November in November 9 November 09: 00s Birthday Sergey Ivanovich! More thanpari Super League on November 8: 55 Zhelevozhniysk workers endure in the Moscow Supervisor November 7, 16:00 Dynamo - Lokomotiv: Lokomotiv: Lokomotiv: Lokomotiv: Lokomotiv Prevertering to the fourth round of the PARI super -legged Russians of Russia on November 5 23:30 “Lokomotiv” won a volitional victory in a tile -relaxation on November 4, 15:00 “Belogorye” - “Lokomotiv”: the preview of the first match of the 1/4 Cup of Russia more in more detail the press of the press November 10: 00 Kubok of Russia. “Lokomotiv” will accept “Belogorye” “Zenit” St. Petersburg-“torch” and other matches 1/4 final sports on November 12: 00 Grebennikov made Ace Semyshev gave a passage to his foot and “torch” seized leadership. Results of the 4th round super-league show November 14: 00kh leaders. In the Russian championship there were no teams left without lost points-expression on November9 13:00 Dynamo crushed Lokomotiv on the presentation. In the volleyball super -League, an unexpected leader in November 9 13:00 "The presentation was the decisive factor of victory." Bryansky and Pankov - about the match with Lokomotiv Sports on November 16: 00 Best in personal statistics in the first games 1/4 finalivfv 7 on November 09: 00 Sapozhkov realized 71% of attacks but Modena lost Monza (0: 3) Sports BO6 November 12: 00 Sudyes gave heat in the Russian Cup: they resumed the completed game and taught Christenson to the racket of the Construction Camport on November 10: 00 Cub of Russia. “Zenit” in the St. Petersburg Break defeated “torch” and other matches 1/4 final sports on November 16: 00 Mary Volar in retail are 7,900 and 9900 rubles on November 11: 00 Cup of Russia. Zenit Kazan defeated the Yenisei and other matches 1/4 final sports on November 20: 00 Signature of the Agreement between the VFV and the Administration of the Tomsk Region, October 21 23:00 Lokomotiv-Zenit Kazan. 2 Tour PARI Super League 202421 October 21: 00 Expanding the Museum of Club History on October 21, 22: 00 aid Tour of the Youth League 2024. The final gaming day17 October 23: 55th Tour of the Youth League 2024. The first game day October 18, 18:00 Lokomotiv held a traditional meeting with the leadership24 September 20: 00th Brothers of the Volleyball Association of the Siberian Federal District on September 24 23: 55 finals of four on the locomotive arena - Matches for medals September 23 23: 55 Firal Four for the locomotive Arena - Day First22 September 23: 00 Dynamo - “Coerter” - “Dynamo” and the third day November 17: 00gosok and updated club bus October 23: 55 Option of the Museum of the History of VK Lokomotiv - Forward to the victories on October 22: 00match Day | Lokomotiv - Zenit Kazan | The first home match of the Russian Championship on October14: 00 Medical - Lokomotiv in the season 2023/2412 October 21: 00 PRODUCTION PROSOMENT ACTION - Real locomotive October 12: 00 Martin Atanasov - A meeting at the airport October 23: 55 first medals of the season - bronze in Kaliningrad | Highlights - Lokomotiv vs Zenit2 September 14: 00 Sedding of the volleyball association of the Siberian Federal District September 23: 55 Four Four Four Cup in Novosibirsk | Review of matches Tournament Superligamollage Ligasezon 2023/2024 Seson 2022/2023 Season 2021/2022 Season 2020/2021 Season 2019/2020s season 2018/2019 Cossack Russian Cupcubss of the Central Complex of the Russian Comericompion, Russian -Inger -Ingrailipodiglipo -Gyrelipot 40912: 72 Zenit431910: 33-river 43199: 34 Dinomas43199: 35 Belogorye431910: 46 Dinagome-La43199: 57 Zenit-Kasan43199: 58 Kuzbass4222810: 79enisyssia42269: 910 Shahter42257: 911GAZPROM-yUGRA41345: 912 Neftyanik 41345: 1013Uural41336: 914ASK41334: 915ova401: 1216YURARA-SIDELOR40401: 12 Novosibirsk region Lokomotiv "Lokomotiv-Angara" CEVFIVBBOCHOBOCHOCHOK 24 Sub.fm Gropradio54TK "Rail Continent" Subscribe to the Tmber-Commerculum-Movisibirsklocomotive and Schorrukomotvnikhovstvosty administration of the median-nobility of the puffeline-chapelichelereaniyagogotype fanseleshchikhtykafanati attributes Hand accustomed links 8 (383) 271 89 91 Buy a ticket © VK Lokomotiv-Novosibirsk 2008-2023VS. The rights are protected. Copying materials is allowed only with a link to the source.</v>
      </c>
    </row>
    <row r="202">
      <c r="A202" s="1" t="s">
        <v>590</v>
      </c>
      <c r="B202" s="1" t="s">
        <v>663</v>
      </c>
      <c r="C202" s="1" t="s">
        <v>664</v>
      </c>
      <c r="D202" s="1">
        <v>35.0</v>
      </c>
      <c r="E202" s="4" t="s">
        <v>665</v>
      </c>
      <c r="F202" s="1" t="s">
        <v>16</v>
      </c>
      <c r="I202" s="2">
        <v>2.0</v>
      </c>
      <c r="J202" s="5" t="str">
        <f>IFERROR(__xludf.DUMMYFUNCTION("GOOGLETRANSLATE(A202)"),"VC")</f>
        <v>VC</v>
      </c>
      <c r="K202" s="6" t="str">
        <f>IFERROR(__xludf.DUMMYFUNCTION("GOOGLETRANSLATE(B202)"),"Promotions of the ICPAO ""VK""")</f>
        <v>Promotions of the ICPAO "VK"</v>
      </c>
      <c r="L202" s="5" t="str">
        <f>IFERROR(__xludf.DUMMYFUNCTION("GOOGLETRANSLATE(C202)"),"The cost of shares of the ICPAO ""VK"" (VKCO: MOOEX) on the Moscow Exchange, quotation graphics, real -time prices online.")</f>
        <v>The cost of shares of the ICPAO "VK" (VKCO: MOOEX) on the Moscow Exchange, quotation graphics, real -time prices online.</v>
      </c>
      <c r="M202" s="5" t="str">
        <f>IFERROR(__xludf.DUMMYFUNCTION("GOOGLETRANSLATE(G202)"),"#VALUE!")</f>
        <v>#VALUE!</v>
      </c>
    </row>
    <row r="203">
      <c r="A203" s="1" t="s">
        <v>590</v>
      </c>
      <c r="B203" s="1" t="s">
        <v>666</v>
      </c>
      <c r="C203" s="1" t="s">
        <v>667</v>
      </c>
      <c r="D203" s="1">
        <v>2.0</v>
      </c>
      <c r="E203" s="4" t="s">
        <v>668</v>
      </c>
      <c r="F203" s="1" t="s">
        <v>43</v>
      </c>
      <c r="G203" s="1" t="s">
        <v>120</v>
      </c>
      <c r="H203" s="4" t="s">
        <v>121</v>
      </c>
      <c r="I203" s="2">
        <v>0.0</v>
      </c>
      <c r="J203" s="5" t="str">
        <f>IFERROR(__xludf.DUMMYFUNCTION("GOOGLETRANSLATE(A203)"),"VC")</f>
        <v>VC</v>
      </c>
      <c r="K203" s="6" t="str">
        <f>IFERROR(__xludf.DUMMYFUNCTION("GOOGLETRANSLATE(B203)"),"VK: music, video, messenger - Apps on Google Play")</f>
        <v>VK: music, video, messenger - Apps on Google Play</v>
      </c>
      <c r="L203" s="5" t="str">
        <f>IFERROR(__xludf.DUMMYFUNCTION("GOOGLETRANSLATE(C203)"),"VK is an indispensable navigation tool. Its accurate real-time directions, comprehensive map data, and local business information make it a go-to for millions.")</f>
        <v>VK is an indispensable navigation tool. Its accurate real-time directions, comprehensive map data, and local business information make it a go-to for millions.</v>
      </c>
      <c r="M203" s="5" t="str">
        <f>IFERROR(__xludf.DUMMYFUNCTION("GOOGLETRANSLATE(G203)"),"Android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04">
      <c r="A204" s="1" t="s">
        <v>590</v>
      </c>
      <c r="B204" s="1" t="s">
        <v>669</v>
      </c>
      <c r="D204" s="1">
        <v>4.0</v>
      </c>
      <c r="E204" s="4" t="s">
        <v>670</v>
      </c>
      <c r="F204" s="1" t="s">
        <v>43</v>
      </c>
      <c r="G204" s="1" t="s">
        <v>97</v>
      </c>
      <c r="H204" s="4" t="s">
        <v>98</v>
      </c>
      <c r="I204" s="2">
        <v>0.0</v>
      </c>
      <c r="J204" s="5" t="str">
        <f>IFERROR(__xludf.DUMMYFUNCTION("GOOGLETRANSLATE(A204)"),"VC")</f>
        <v>VC</v>
      </c>
      <c r="K204" s="6" t="str">
        <f>IFERROR(__xludf.DUMMYFUNCTION("GOOGLETRANSLATE(B204)"),"VK: social network, messenger on the App Store")</f>
        <v>VK: social network, messenger on the App Store</v>
      </c>
      <c r="M204" s="5" t="str">
        <f>IFERROR(__xludf.DUMMYFUNCTION("GOOGLETRANSLATE(G204)"),"App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05">
      <c r="A205" s="1" t="s">
        <v>590</v>
      </c>
      <c r="B205" s="1" t="s">
        <v>671</v>
      </c>
      <c r="C205" s="1" t="s">
        <v>672</v>
      </c>
      <c r="D205" s="1">
        <v>6.0</v>
      </c>
      <c r="E205" s="4" t="s">
        <v>673</v>
      </c>
      <c r="F205" s="1" t="s">
        <v>43</v>
      </c>
      <c r="G205" s="1" t="s">
        <v>27</v>
      </c>
      <c r="H205" s="4" t="s">
        <v>28</v>
      </c>
      <c r="I205" s="2">
        <v>1.0</v>
      </c>
      <c r="J205" s="5" t="str">
        <f>IFERROR(__xludf.DUMMYFUNCTION("GOOGLETRANSLATE(A205)"),"VC")</f>
        <v>VC</v>
      </c>
      <c r="K205" s="6" t="str">
        <f>IFERROR(__xludf.DUMMYFUNCTION("GOOGLETRANSLATE(B205)"),"VK (service)")</f>
        <v>VK (service)</v>
      </c>
      <c r="L205" s="5" t="str">
        <f>IFERROR(__xludf.DUMMYFUNCTION("GOOGLETRANSLATE(C205)"),"VK is a Russian online social media and social networking service based in Saint Petersburg. VK is available in multiple languages but it is predominantly ...")</f>
        <v>VK is a Russian online social media and social networking service based in Saint Petersburg. VK is available in multiple languages but it is predominantly ...</v>
      </c>
      <c r="M205" s="5" t="str">
        <f>IFERROR(__xludf.DUMMYFUNCTION("GOOGLETRANSLATE(G205)"),"Wikipedia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206">
      <c r="A206" s="1" t="s">
        <v>590</v>
      </c>
      <c r="B206" s="4" t="s">
        <v>674</v>
      </c>
      <c r="D206" s="1">
        <v>7.0</v>
      </c>
      <c r="E206" s="4" t="s">
        <v>674</v>
      </c>
      <c r="F206" s="1" t="s">
        <v>43</v>
      </c>
      <c r="G206" s="1" t="s">
        <v>34</v>
      </c>
      <c r="H206" s="4" t="s">
        <v>675</v>
      </c>
      <c r="I206" s="2">
        <v>1.0</v>
      </c>
      <c r="J206" s="5" t="str">
        <f>IFERROR(__xludf.DUMMYFUNCTION("GOOGLETRANSLATE(A206)"),"VC")</f>
        <v>VC</v>
      </c>
      <c r="K206" s="7" t="str">
        <f>IFERROR(__xludf.DUMMYFUNCTION("GOOGLETRANSLATE(B206)"),"https://m.vk.ru/")</f>
        <v>https://m.vk.ru/</v>
      </c>
      <c r="M206" s="5" t="str">
        <f>IFERROR(__xludf.DUMMYFUNCTION("GOOGLETRANSLATE(G206)"),"VK.com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207">
      <c r="A207" s="1" t="s">
        <v>590</v>
      </c>
      <c r="B207" s="1" t="s">
        <v>676</v>
      </c>
      <c r="D207" s="1">
        <v>9.0</v>
      </c>
      <c r="E207" s="4" t="s">
        <v>677</v>
      </c>
      <c r="F207" s="1" t="s">
        <v>43</v>
      </c>
      <c r="G207" s="1" t="s">
        <v>302</v>
      </c>
      <c r="H207" s="4" t="s">
        <v>303</v>
      </c>
      <c r="I207" s="2">
        <v>3.0</v>
      </c>
      <c r="J207" s="5" t="str">
        <f>IFERROR(__xludf.DUMMYFUNCTION("GOOGLETRANSLATE(A207)"),"VC")</f>
        <v>VC</v>
      </c>
      <c r="K207" s="6" t="str">
        <f>IFERROR(__xludf.DUMMYFUNCTION("GOOGLETRANSLATE(B207)"),"My group of VK. Book nineteenth - result from Google Book")</f>
        <v>My group of VK. Book nineteenth - result from Google Book</v>
      </c>
      <c r="M207" s="5" t="str">
        <f>IFERROR(__xludf.DUMMYFUNCTION("GOOGLETRANSLATE(G207)"),"Google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08">
      <c r="A208" s="1" t="s">
        <v>590</v>
      </c>
      <c r="B208" s="1" t="s">
        <v>678</v>
      </c>
      <c r="D208" s="1">
        <v>11.0</v>
      </c>
      <c r="E208" s="4" t="s">
        <v>679</v>
      </c>
      <c r="F208" s="1" t="s">
        <v>43</v>
      </c>
      <c r="G208" s="1" t="s">
        <v>680</v>
      </c>
      <c r="H208" s="4" t="s">
        <v>681</v>
      </c>
      <c r="I208" s="2">
        <v>2.0</v>
      </c>
      <c r="J208" s="5" t="str">
        <f>IFERROR(__xludf.DUMMYFUNCTION("GOOGLETRANSLATE(A208)"),"VC")</f>
        <v>VC</v>
      </c>
      <c r="K208" s="6" t="str">
        <f>IFERROR(__xludf.DUMMYFUNCTION("GOOGLETRANSLATE(B208)"),"Figma (@vk) | Figma Community")</f>
        <v>Figma (@vk) | Figma Community</v>
      </c>
      <c r="M208" s="5" t="str">
        <f>IFERROR(__xludf.DUMMYFUNCTION("GOOGLETRANSLATE(G208)"),"Figma: The Collaborative Interface Design ToolSkip to main contentProductsFigmaAn all-in-one design platformDesignPrototypingDesign systemsDevelopmentDownloadsFigJamAn online whiteboard for teamsOnline whiteboardingStrategic planningTeam meetingsDiagrammi"&amp;"ngEnterpriseOverviewContact salesPricingResourcesBlogTemplatesCustomersPartnersPlugins and widgetsBest practicesResource libraryReports &amp; InsightsWebinarsHelp centerCommunityCommunity resourcesFree expertly crafted files you can duplicate remix and useEve"&amp;"nts and livestreamsEducation programUser groupsCommunity creatorsContact salesLog inGet started for freeGet started for freeGet started for freeProductsFigmaDesignPrototypingDesign systemsDevelopmentDownloadsFigJamOnline whiteboardingStrategic planningTea"&amp;"m meetingsDiagrammingEnterpriseOverviewContact salesPricingResourcesBlogTemplatesCustomersPartnersPlugins and widgetsBest practicesResource libraryReports &amp; InsightsWebinarsHelp centerCommunityCommunity resourcesEvents and livestreamsEducation programUser"&amp;" groupsCommunity creatorsContact salesLog inGet started for freeHow you design  align  and build  matters. Do it together with Figma.Get startedTrusted by teams atDesignCo-create in one spaceWork together in real time and empower designers to create in ne"&amp;"w ways. Keep workflows efficient with tools that give every team visibility throughout the process.Explore designPrototypeMake designs feel realCreate realistic prototypes that allow for quick iteration on flows and states. Test the full interactive exper"&amp;"ience to get better feedback sooner.Explore prototypingDev ModeNewBring design and dev closerIntroducing Dev Mode a new space in Figma for developers. Bring clarity to designs and give developers the tools they need to translate them into code.Explore Dev"&amp;" ModeDesign systemsScale design and developmentSave time and keep things consistent with reusable assets in shared libraries. Standardize components and variables so that there’s more time for exploration and less time doing busy work.Explore design syste"&amp;"msFigJamAlign your teamFigJam is an online whiteboard where everyone who builds products can collaborate. Use it to bring your team together in new ways from kickoffs and stand ups to rituals and retros.Explore FigJamTwitterYouTubeInstagramFacebookUse Cas"&amp;"esUI designUX designWireframingDiagrammingBrainstormingOnline whiteboardTeam collaborationAgile workflowsStrategic planningMind mappingConcept mappingTemplatesRemote designAgenciesFigma for educationExploreDesign featuresPrototyping featuresDesign systems"&amp;" featuresDevelopment FeaturesCollaboration featuresDesign processFigJamWhat's newReleasesPricingEnterpriseOrganizationProfessionalCustomersSecurityIntegrationsContactResourcesBlogBest practicesColor wheelSupportDevelopersResource libraryReports &amp; Insights"&amp;"WebinarsDownloadsCareersOur storyAffiliate programPartnersPrivacyModern Slavery StatementStatusCompareSketchAdobe XDInvision StudioFramerDesign on WindowsMiroEnglish")</f>
        <v>Figma: The Collaborative Interface Design ToolSkip to main contentProductsFigmaAn all-in-one design platformDesignPrototypingDesign systemsDevelopmentDownloadsFigJamAn online whiteboard for teamsOnline whiteboardingStrategic planningTeam meetingsDiagrammingEnterpriseOverviewContact salesPricingResourcesBlogTemplatesCustomersPartnersPlugins and widgetsBest practicesResource libraryReports &amp; InsightsWebinarsHelp centerCommunityCommunity resourcesFree expertly crafted files you can duplicate remix and useEvents and livestreamsEducation programUser groupsCommunity creatorsContact salesLog inGet started for freeGet started for freeGet started for freeProductsFigmaDesignPrototypingDesign systemsDevelopmentDownloadsFigJamOnline whiteboardingStrategic planningTeam meetingsDiagrammingEnterpriseOverviewContact salesPricingResourcesBlogTemplatesCustomersPartnersPlugins and widgetsBest practicesResource libraryReports &amp; InsightsWebinarsHelp centerCommunityCommunity resourcesEvents and livestreamsEducation programUser groupsCommunity creatorsContact salesLog inGet started for freeHow you design  align  and build  matters. Do it together with Figma.Get startedTrusted by teams atDesignCo-create in one spaceWork together in real time and empower designers to create in new ways. Keep workflows efficient with tools that give every team visibility throughout the process.Explore designPrototypeMake designs feel realCreate realistic prototypes that allow for quick iteration on flows and states. Test the full interactive experience to get better feedback sooner.Explore prototypingDev ModeNewBring design and dev closerIntroducing Dev Mode a new space in Figma for developers. Bring clarity to designs and give developers the tools they need to translate them into code.Explore Dev ModeDesign systemsScale design and developmentSave time and keep things consistent with reusable assets in shared libraries. Standardize components and variables so that there’s more time for exploration and less time doing busy work.Explore design systemsFigJamAlign your teamFigJam is an online whiteboard where everyone who builds products can collaborate. Use it to bring your team together in new ways from kickoffs and stand ups to rituals and retros.Explore FigJamTwitterYouTubeInstagramFacebookUse CasesUI designUX designWireframingDiagrammingBrainstormingOnline whiteboardTeam collaborationAgile workflowsStrategic planningMind mappingConcept mappingTemplatesRemote designAgenciesFigma for educationExploreDesign featuresPrototyping featuresDesign systems featuresDevelopment FeaturesCollaboration featuresDesign processFigJamWhat's newReleasesPricingEnterpriseOrganizationProfessionalCustomersSecurityIntegrationsContactResourcesBlogBest practicesColor wheelSupportDevelopersResource libraryReports &amp; InsightsWebinarsDownloadsCareersOur storyAffiliate programPartnersPrivacyModern Slavery StatementStatusCompareSketchAdobe XDInvision StudioFramerDesign on WindowsMiroEnglish</v>
      </c>
    </row>
    <row r="209">
      <c r="A209" s="1" t="s">
        <v>590</v>
      </c>
      <c r="B209" s="1" t="s">
        <v>682</v>
      </c>
      <c r="C209" s="1" t="s">
        <v>683</v>
      </c>
      <c r="D209" s="1">
        <v>12.0</v>
      </c>
      <c r="E209" s="4" t="s">
        <v>684</v>
      </c>
      <c r="F209" s="1" t="s">
        <v>43</v>
      </c>
      <c r="G209" s="1" t="s">
        <v>634</v>
      </c>
      <c r="H209" s="1" t="s">
        <v>635</v>
      </c>
      <c r="I209" s="2">
        <v>1.0</v>
      </c>
      <c r="J209" s="5" t="str">
        <f>IFERROR(__xludf.DUMMYFUNCTION("GOOGLETRANSLATE(A209)"),"VC")</f>
        <v>VC</v>
      </c>
      <c r="K209" s="6" t="str">
        <f>IFERROR(__xludf.DUMMYFUNCTION("GOOGLETRANSLATE(B209)"),"Vacancies")</f>
        <v>Vacancies</v>
      </c>
      <c r="L209" s="5" t="str">
        <f>IFERROR(__xludf.DUMMYFUNCTION("GOOGLETRANSLATE(C209)"),"Human Resources Manager for Compensation and Benefits · TeamLeAd Head (Teamlead) in advertising support VK · Development Manager ...")</f>
        <v>Human Resources Manager for Compensation and Benefits · TeamLeAd Head (Teamlead) in advertising support VK · Development Manager ...</v>
      </c>
      <c r="M209" s="5" t="str">
        <f>IFERROR(__xludf.DUMMYFUNCTION("GOOGLETRANSLATE(G209)"),"Career of the company of the company's work of the work of the Commercial Commission of the Office in Moscow Projectingkaniykandidatatams work in Vkkommandamdamytykhotykhiye recommend friendly work all cities of removalnnovy Novgorodsankancamincamincamine"&amp;"rskadalenovs. Kazantomskoschiminskpoisk VKAYSISIST VK in the ranking of the best employers of Russia more relevant vacancies in 200+ projects select the right direction and join us with us to develop technologies for millions of development -develop -deve"&amp;"lopingbackendFrontenTendmobilebiqamachine LearningData Science Imgra development more vacancies -infrastructure administrations of thesredevopssapsapsapsist integration and development more vacancies analytics analytics are more vacancies -based more vaca"&amp;"ncies for Project control product. Kansiynformation security more than the vacanciesback Office Department of the Department of the Department of Personnel Department of the Department of Department Department of the Department of the Office develops the "&amp;"ecosystem, which includes more than 200 projects from different directions, connecting the vk Team -use of people through our projects to watch videos what is important for us? One VK team unites professionals who are working on hundreds of projects in va"&amp;"rious fields. We exchange ideas and experience we value a variety of opinions and approaches. The combination of technologies and examinations of different teams helps us create more advanced products and services. Development of any achievement is an occ"&amp;"asion to set new goals. We do not stop there and are always looking for an opportunity for new discoveries. Each employee has the opportunity to develop and gain new knowledge and skills to grow vertically and become part of the new projects within the VK"&amp;". Technologies for millions, we create technologies services and products that improve the quality of life of millions of users and make innovation available to everyone. We share experience and best practices with the market and influence the development"&amp;" of the entire industry. It is important for us to develop and improve our services by making them convenient and safe for all users. We support experiments and recognize errors: their solution allows you to make services more reliable and the experience "&amp;"of the team is invaluable. One VK team unites professionals who are working on hundreds of projects in various fields. We exchange ideas and experience we value a variety of opinions and approaches. The combination of technologies and examinations of diff"&amp;"erent teams helps us create more advanced products and services. Development of any achievement is an occasion to set new goals. We do not stop there and are always looking for an opportunity for new discoveries. Each employee has the opportunity to devel"&amp;"op and gain new knowledge and skills to grow vertically and become part of the new projects within the VK. Technologies for millions, we create technologies services and products that improve the quality of life of millions of users and make innovation av"&amp;"ailable to everyone. We share experience and best practices with the market and influence the development of the entire industry. It is important for us to develop and improve our services by making them convenient and safe for all users. We support exper"&amp;"iments and recognize errors: their solution allows you to make services more reliable and the experience of the team is invaluable. Commanding the VK whole team! VK is more than 200 projects and products that millions of people use daily. We invite you to"&amp;" create breakthrough and useful services together. Now, part of VK can become part of the already formed teams. If you have people with whom you can turn the mountains we have something to offer you. Opportunities for the commanding and vanchphpHp develop"&amp;"er MyTracker PHPGO Developer IAM User Flow Vk Cloud Gojava Developer (API Development Group) Odnokkendet / QA Automation Engineer on Android Autoqa Automat. Ion -Career ML INTACE VKontakte for the business Pythonmachine LearningbigDatahadooplinuxnlinalist"&amp;" in the operating direction of advertising technologies VK SQLsistema (VK Messenger) VKLSYSTEM ANALYSTARCHTARCHTER of solutions VK Tech Linuxarchitecture, more vacancies to become part of the team? 1 Open Choose one or more vacancies and respond! Fill out"&amp;" all the fields of the questionnaire and do not forget to attach the resume links to GitHub or Portfolio. The 2nd interview as a rule is 3-4 personal or online meetings with experts-it depends on the position of the position. 3 The solution we will take a"&amp;" small pause to make a decision and prepare a proposal for work. 4 Open after a proposal for work, we will return with the details about the process of registration and clarify What equipment you are used to working on. On the first working day, we tell t"&amp;"he office of the office and the introduction of the team how to become part of the team? Response1 Choose one or more vacancies and respond! Fill out all the fields of the questionnaire and do not forget to attach the resume links to GitHub or Portfolio. "&amp;"Interview2, as a rule, 3-4 personal or online meetings with experts are waiting for you-it depends on the level of position. Nutrition3 We will take a small pause to make a decision and prepare a proposal for work. Offfer4 after a proposal for work, we wi"&amp;"ll return with the details of the design and clarify the details and clarify What equipment are you used to working on. Blogchabkak to publish the application in the Rustore and connect monetization: step-by-step haidhabarposhagi guide: how do we make our"&amp;" own translator-habristers for Mlops: we choose between Vendorian and Open Source-reservoirs to combine devices with different transmission protocols for one IoT-flame Habrsemsk forecasts : What awaits the Date-Engineering in 2023 City October 27 October "&amp;"October October Benes Completed on October 05 October Tech Talks · Ai Research Completed September 22 of the Streetball with CTO | VK X South Hub completed on September 12 Apple Event | VK X Coffee &amp; Code is completed to watch all the event of a suitable "&amp;"vacancy? Leave your contacts and resume - we will contact you only for you an perfect vacancy. It is necessary for filling in emails that email address address is the email of the Analycedata-AnalyticsFronTendfull-Stackhelpdeskine LEARNINGMOBILEQASREADENT"&amp;"ER DEPARETERIARYARENTERIARYADOMENTERS Safety Department. Technical specialties KRSETENENSISISISISISISISTEMENCENCEMENCED Administrative Integration and Development of IT development IT Project Management Personnel Administration to the product management m"&amp;"anagement department Department department Department of ll-Stackhelpdeskmachine LearningMobileqasrem Adquair Department of the Department of Information Information Security Department of the Department of Product Analytics and Technical Specialties Crse"&amp;"te Administration Estemes Analystantine administrative -system integration and development of IT development to the product management IT PRODUCTION Personal Management to the product management project management department Department of Department Depar"&amp;"tment, to fill in your social network Github, drag out of my resume from the files from the files of myself, I agree with the policy of confidentiality policies I agree And I give consent to the processing of personal data. I want to receive notifications"&amp;" by mail of fresh vacancies. Send the resumes to the response we will contact as soon as thejection vacancy appears for you. Send another resume © 2023 VK")</f>
        <v>Career of the company of the company's work of the work of the Commercial Commission of the Office in Moscow Projectingkaniykandidatatams work in Vkkommandamdamytykhotykhiye recommend friendly work all cities of removalnnovy Novgorodsankancamincamincaminerskadalenovs. Kazantomskoschiminskpoisk VKAYSISIST VK in the ranking of the best employers of Russia more relevant vacancies in 200+ projects select the right direction and join us with us to develop technologies for millions of development -develop -developingbackendFrontenTendmobilebiqamachine LearningData Science Imgra development more vacancies -infrastructure administrations of thesredevopssapsapsapsist integration and development more vacancies analytics analytics are more vacancies -based more vacancies for Project control product. Kansiynformation security more than the vacanciesback Office Department of the Department of the Department of Personnel Department of the Department of Department Department of the Department of the Office develops the ecosystem, which includes more than 200 projects from different directions, connecting the vk Team -use of people through our projects to watch videos what is important for us? One VK team unites professionals who are working on hundreds of projects in various fields. We exchange ideas and experience we value a variety of opinions and approaches. The combination of technologies and examinations of different teams helps us create more advanced products and services. Development of any achievement is an occasion to set new goals. We do not stop there and are always looking for an opportunity for new discoveries. Each employee has the opportunity to develop and gain new knowledge and skills to grow vertically and become part of the new projects within the VK. Technologies for millions, we create technologies services and products that improve the quality of life of millions of users and make innovation available to everyone. We share experience and best practices with the market and influence the development of the entire industry. It is important for us to develop and improve our services by making them convenient and safe for all users. We support experiments and recognize errors: their solution allows you to make services more reliable and the experience of the team is invaluable. One VK team unites professionals who are working on hundreds of projects in various fields. We exchange ideas and experience we value a variety of opinions and approaches. The combination of technologies and examinations of different teams helps us create more advanced products and services. Development of any achievement is an occasion to set new goals. We do not stop there and are always looking for an opportunity for new discoveries. Each employee has the opportunity to develop and gain new knowledge and skills to grow vertically and become part of the new projects within the VK. Technologies for millions, we create technologies services and products that improve the quality of life of millions of users and make innovation available to everyone. We share experience and best practices with the market and influence the development of the entire industry. It is important for us to develop and improve our services by making them convenient and safe for all users. We support experiments and recognize errors: their solution allows you to make services more reliable and the experience of the team is invaluable. Commanding the VK whole team! VK is more than 200 projects and products that millions of people use daily. We invite you to create breakthrough and useful services together. Now, part of VK can become part of the already formed teams. If you have people with whom you can turn the mountains we have something to offer you. Opportunities for the commanding and vanchphpHp developer MyTracker PHPGO Developer IAM User Flow Vk Cloud Gojava Developer (API Development Group) Odnokkendet / QA Automation Engineer on Android Autoqa Automat. Ion -Career ML INTACE VKontakte for the business Pythonmachine LearningbigDatahadooplinuxnlinalist in the operating direction of advertising technologies VK SQLsistema (VK Messenger) VKLSYSTEM ANALYSTARCHTARCHTER of solutions VK Tech Linuxarchitecture, more vacancies to become part of the team? 1 Open Choose one or more vacancies and respond! Fill out all the fields of the questionnaire and do not forget to attach the resume links to GitHub or Portfolio. The 2nd interview as a rule is 3-4 personal or online meetings with experts-it depends on the position of the position. 3 The solution we will take a small pause to make a decision and prepare a proposal for work. 4 Open after a proposal for work, we will return with the details about the process of registration and clarify What equipment you are used to working on. On the first working day, we tell the office of the office and the introduction of the team how to become part of the team? Response1 Choose one or more vacancies and respond! Fill out all the fields of the questionnaire and do not forget to attach the resume links to GitHub or Portfolio. Interview2, as a rule, 3-4 personal or online meetings with experts are waiting for you-it depends on the level of position. Nutrition3 We will take a small pause to make a decision and prepare a proposal for work. Offfer4 after a proposal for work, we will return with the details of the design and clarify the details and clarify What equipment are you used to working on. Blogchabkak to publish the application in the Rustore and connect monetization: step-by-step haidhabarposhagi guide: how do we make our own translator-habristers for Mlops: we choose between Vendorian and Open Source-reservoirs to combine devices with different transmission protocols for one IoT-flame Habrsemsk forecasts : What awaits the Date-Engineering in 2023 City October 27 October October October Benes Completed on October 05 October Tech Talks · Ai Research Completed September 22 of the Streetball with CTO | VK X South Hub completed on September 12 Apple Event | VK X Coffee &amp; Code is completed to watch all the event of a suitable vacancy? Leave your contacts and resume - we will contact you only for you an perfect vacancy. It is necessary for filling in emails that email address address is the email of the Analycedata-AnalyticsFronTendfull-Stackhelpdeskine LEARNINGMOBILEQASREADENTER DEPARETERIARYARENTERIARYADOMENTERS Safety Department. Technical specialties KRSETENENSISISISISISISISTEMENCENCEMENCED Administrative Integration and Development of IT development IT Project Management Personnel Administration to the product management management department Department department Department of ll-Stackhelpdeskmachine LearningMobileqasrem Adquair Department of the Department of Information Information Security Department of the Department of Product Analytics and Technical Specialties Crsete Administration Estemes Analystantine administrative -system integration and development of IT development to the product management IT PRODUCTION Personal Management to the product management project management department Department of Department Department, to fill in your social network Github, drag out of my resume from the files from the files of myself, I agree with the policy of confidentiality policies I agree And I give consent to the processing of personal data. I want to receive notifications by mail of fresh vacancies. Send the resumes to the response we will contact as soon as thejection vacancy appears for you. Send another resume © 2023 VK</v>
      </c>
    </row>
    <row r="210">
      <c r="A210" s="1" t="s">
        <v>590</v>
      </c>
      <c r="B210" s="1" t="s">
        <v>685</v>
      </c>
      <c r="D210" s="1">
        <v>13.0</v>
      </c>
      <c r="E210" s="4" t="s">
        <v>686</v>
      </c>
      <c r="F210" s="1" t="s">
        <v>43</v>
      </c>
      <c r="G210" s="1" t="s">
        <v>302</v>
      </c>
      <c r="H210" s="4" t="s">
        <v>303</v>
      </c>
      <c r="I210" s="2">
        <v>3.0</v>
      </c>
      <c r="J210" s="5" t="str">
        <f>IFERROR(__xludf.DUMMYFUNCTION("GOOGLETRANSLATE(A210)"),"VC")</f>
        <v>VC</v>
      </c>
      <c r="K210" s="6" t="str">
        <f>IFERROR(__xludf.DUMMYFUNCTION("GOOGLETRANSLATE(B210)"),"My group of VK. Speech and signatures to posts. The book is third")</f>
        <v>My group of VK. Speech and signatures to posts. The book is third</v>
      </c>
      <c r="M210" s="5" t="str">
        <f>IFERROR(__xludf.DUMMYFUNCTION("GOOGLETRANSLATE(G210)"),"Google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1">
      <c r="A211" s="1" t="s">
        <v>590</v>
      </c>
      <c r="B211" s="4" t="s">
        <v>687</v>
      </c>
      <c r="D211" s="1">
        <v>16.0</v>
      </c>
      <c r="E211" s="4" t="s">
        <v>688</v>
      </c>
      <c r="F211" s="1" t="s">
        <v>43</v>
      </c>
      <c r="G211" s="1" t="s">
        <v>689</v>
      </c>
      <c r="H211" s="4" t="s">
        <v>690</v>
      </c>
      <c r="I211" s="2">
        <v>2.0</v>
      </c>
      <c r="J211" s="5" t="str">
        <f>IFERROR(__xludf.DUMMYFUNCTION("GOOGLETRANSLATE(A211)"),"VC")</f>
        <v>VC</v>
      </c>
      <c r="K211" s="7" t="str">
        <f>IFERROR(__xludf.DUMMYFUNCTION("GOOGLETRANSLATE(B211)"),"VK.cc")</f>
        <v>VK.cc</v>
      </c>
      <c r="M211" s="5" t="str">
        <f>IFERROR(__xludf.DUMMYFUNCTION("GOOGLETRANSLATE(G211)"),"Sign in | VK               Install the VK mobile app              Stay in touch on the go with VK mobile.    Forgot password?First time here?Sign up for VKSign up for VKSign in with GoogleРусскийall languages »Desktop versionRecommendation technologies us"&amp;"ed")</f>
        <v>Sign in | VK               Install the VK mobile app              Stay in touch on the go with VK mobile.    Forgot password?First time here?Sign up for VKSign up for VKSign in with GoogleРусскийall languages »Desktop versionRecommendation technologies used</v>
      </c>
    </row>
    <row r="212">
      <c r="A212" s="1" t="s">
        <v>590</v>
      </c>
      <c r="B212" s="1" t="s">
        <v>691</v>
      </c>
      <c r="C212" s="1" t="s">
        <v>80</v>
      </c>
      <c r="D212" s="1">
        <v>17.0</v>
      </c>
      <c r="E212" s="4" t="s">
        <v>692</v>
      </c>
      <c r="F212" s="1" t="s">
        <v>43</v>
      </c>
      <c r="I212" s="2">
        <v>1.0</v>
      </c>
      <c r="J212" s="5" t="str">
        <f>IFERROR(__xludf.DUMMYFUNCTION("GOOGLETRANSLATE(A212)"),"VC")</f>
        <v>VC</v>
      </c>
      <c r="K212" s="6" t="str">
        <f>IFERROR(__xludf.DUMMYFUNCTION("GOOGLETRANSLATE(B212)"),"The revenue of VK for the third quarter showed a strong growth. ...")</f>
        <v>The revenue of VK for the third quarter showed a strong growth. ...</v>
      </c>
      <c r="L212" s="5" t="str">
        <f>IFERROR(__xludf.DUMMYFUNCTION("GOOGLETRANSLATE(C212)"),"19 hours ago -")</f>
        <v>19 hours ago -</v>
      </c>
      <c r="M212" s="5" t="str">
        <f>IFERROR(__xludf.DUMMYFUNCTION("GOOGLETRANSLATE(G212)"),"#VALUE!")</f>
        <v>#VALUE!</v>
      </c>
    </row>
    <row r="213">
      <c r="A213" s="1" t="s">
        <v>590</v>
      </c>
      <c r="B213" s="1" t="s">
        <v>693</v>
      </c>
      <c r="D213" s="1">
        <v>18.0</v>
      </c>
      <c r="E213" s="4" t="s">
        <v>694</v>
      </c>
      <c r="F213" s="1" t="s">
        <v>43</v>
      </c>
      <c r="G213" s="1" t="s">
        <v>695</v>
      </c>
      <c r="H213" s="4" t="s">
        <v>696</v>
      </c>
      <c r="I213" s="2">
        <v>5.0</v>
      </c>
      <c r="J213" s="5" t="str">
        <f>IFERROR(__xludf.DUMMYFUNCTION("GOOGLETRANSLATE(A213)"),"VC")</f>
        <v>VC</v>
      </c>
      <c r="K213" s="6" t="str">
        <f>IFERROR(__xludf.DUMMYFUNCTION("GOOGLETRANSLATE(B213)"),"VC")</f>
        <v>VC</v>
      </c>
      <c r="M213" s="5" t="str">
        <f>IFERROR(__xludf.DUMMYFUNCTION("GOOGLETRANSLATE(G213)"),"Wikoslovaryvikylovikar: the title page of viklivarvary to navigate to the search for the Russian viklovardobrot to the Russian vikvar - the multifunctional multilingual dictionary and the thesis in the discussion and replenishment of which everyone can pa"&amp;"rticipate. The word word was opened on May 1, 2004 and now it contains 1,314,06 articles on the words of word -of -word units. Nitsa and phrases of more than 600 languages ​​of the world. You can supplement and improve the already begun articles create ne"&amp;"w ones and also leave requests for the creation of new articles and to add values ​​already begun. If you are not a registered participant, then use an incubator to create articles. At the same time, it is recommended to use the rules for the design of ar"&amp;"ticles and the Vikiwaran reference section as an help. It is also possible to discuss the issues that arise in the partitions of the Page Pages of the discussion also have each article of the category, etc. On vikasososostleki -ketilexographic concept, th"&amp;"e structure of viklovary -based contractions of the design of the articles of literature, the creation of the articles of the articles in the vikwar -participants of the vijacan November 2023: for a month in Russian Skom Wikhoslovare created about 14,300 "&amp;"articles. September 2023: About 12,000 articles were created in the Russian Viklivar. August 2023: about 11,800 articles were created in the Russian Vikylovar. July 2023: about 9400 articles 2023 were created in the Russian Viklivar. : Over a month, about"&amp;" 8,000 articles 1 was created in the Russian Viklivar: the number of articles on the meter on the title page of the viklivar was about 1274 thousand male 2023: about 9300 articles were created in the Russian Viklivar. April 2023: about a month in the Russ"&amp;"ian viklovar created 9500 articles. Spring News Articles · In Russian in the Russian Language of CapteGoria -Sumantic Categories: Abstract relations between the Office of the Economic Affairs of the Evaluations of the Human Light -Human -Loan Grammarmatic"&amp;" Categories: Parts of Subscribing Greetings of the Message of Personnel -Summaries of the Democraticism of the Domestic Grammariystrymic nitramatic categories: described language -described language Logizma-Modkadkadkadkanovybreviator-dumper-and-mammorphh"&amp;"ms and others. Parts of the Slovisure of the Language of Languages ​​by the origin of the category in alphabetical storage of the vaults: Slavic language of the language of the language of the language of the language of the language of the language of th"&amp;"e language of the language Language-guaranic dictionary of the Russian Language of the Russian Language of the Rozausurus more frequent words of various linguists of the dictionary of the vocabulary of the pollutant friends of translator-red-painted word-"&amp;"speaking thematic tables: Abvgdeshezhziyklmnoprstufkhshshchshshchshshchshshchshshchshshchshchyabhazian English Arab-Armenia Armenian Armenia The Bulgarian Bigrethengers Greek Greek Georgian Data of the Data of the Data -Greek Igruck -Iskiylansian Iska -Li"&amp;"ngaisa -Lingaic -Lingaisky Koreki Koreansky Latin Litino Lithuanian Macedonian German -Service -Roseta Palipol Portuguese -Sulfyskoyan Tatar -Tutar -Tutar -Tutar -Firefire -February -Firefire -Februarys Khoratsa -Firefront The EXCHOSSKY ESTRUSPENTO -ESTAR"&amp;"OSKOYSKYASTOSKY YASKOSKYASHSKAYSKY YAVOSHKOVSKYASHICHSKOVSISTOSKY Articles here are written exclusively in Russian. Other languages ​​can be found in the appropriate language sections of Wiktionary: English | Bulgarian | Hungarian | Galician | Greek | Heb"&amp;"rew | Spanish | Italian | Chinese | Korean | Kurdish | Latin | Malagasky | Macedonian | German | Dutch | Polish | Portuguese | Romanian | Turkish | Ukrainian | Finnish | French | Swedish | Esperanto | Japanese spokes for all language sections (English) | "&amp;"General page of the Wiktionary Graduate Projects of the Foundation Vikimediavikipediac-language encyclopediavicemaging Media-fi-ovyloviki-oreginal text-okycitanium-okollectic collection okitatvykino-hungeries and guidelines of vicamine these knowledge of "&amp;"the knowledge of the Vikihi -Medistancubator Vikimedian Language section of the source - https://ru.wiktionary.org/w/index.php?title= Vypysyglivar: the post -staff_oldid=13217579 The system of consumption to compose the accounting recordings Immedic -base"&amp;"d Russian viewing of the CodaStoriyatoriyop -oscillation -based pages of an index -pages of the Estate page of the errors of the errors of the Ethnicity Events, There are a pages of the pages of the page on the page of the abbreviated URL-address of the w"&amp;"ikidan-prize/exported to make a bookstick as a PDFVRESIT for printing other projects vi-wound-free-mass-vikimedia Outreachy, vicotexts. Kidanneevikifunikhonceniimanikihimanovykinovicopediavikipyvikyvikyvyvikovikovikovikovikoviki -vertic is other languages"&amp;" ​​ال eyympة azərbaycancatalà ꮳꮃꭹ češtinadeutschελληνικάenglisheleestieuskara Galego हिन्दी Magyar հ Bahasa Indonesiaidoitaliano 日本語 jawa ಕನ್ನಡ 한국어 kurdîlimburgslietuviųmalagasy മലയാളം nederlandsnorskocitan ଓଡ଼ିଆ polskiSrom] I / SRPKHRVATSKISKI / srpskisv"&amp;"enska தமிழ் ไทย ไทย türkçejokoʻzbekcha / ўzbekchatiếng việt 中文 This page was last edited on November 10, 2023 at 10: 24. The text is available under the Creative Commons Attributation-Scharealike license in separate cases Additional conditions may apply. "&amp;"For more details, see the conditions of use. Politician of confidentiality of vikoslovaryaotokaz from liability of the behavior of development of the development of a cummant version")</f>
        <v>Wikoslovaryvikylovikar: the title page of viklivarvary to navigate to the search for the Russian viklovardobrot to the Russian vikvar - the multifunctional multilingual dictionary and the thesis in the discussion and replenishment of which everyone can participate. The word word was opened on May 1, 2004 and now it contains 1,314,06 articles on the words of word -of -word units. Nitsa and phrases of more than 600 languages ​​of the world. You can supplement and improve the already begun articles create new ones and also leave requests for the creation of new articles and to add values ​​already begun. If you are not a registered participant, then use an incubator to create articles. At the same time, it is recommended to use the rules for the design of articles and the Vikiwaran reference section as an help. It is also possible to discuss the issues that arise in the partitions of the Page Pages of the discussion also have each article of the category, etc. On vikasososostleki -ketilexographic concept, the structure of viklovary -based contractions of the design of the articles of literature, the creation of the articles of the articles in the vikwar -participants of the vijacan November 2023: for a month in Russian Skom Wikhoslovare created about 14,300 articles. September 2023: About 12,000 articles were created in the Russian Viklivar. August 2023: about 11,800 articles were created in the Russian Vikylovar. July 2023: about 9400 articles 2023 were created in the Russian Viklivar. : Over a month, about 8,000 articles 1 was created in the Russian Viklivar: the number of articles on the meter on the title page of the viklivar was about 1274 thousand male 2023: about 9300 articles were created in the Russian Viklivar. April 2023: about a month in the Russian viklovar created 9500 articles. Spring News Articles · In Russian in the Russian Language of CapteGoria -Sumantic Categories: Abstract relations between the Office of the Economic Affairs of the Evaluations of the Human Light -Human -Loan Grammarmatic Categories: Parts of Subscribing Greetings of the Message of Personnel -Summaries of the Democraticism of the Domestic Grammariystrymic nitramatic categories: described language -described language Logizma-Modkadkadkadkanovybreviator-dumper-and-mammorphhms and others. Parts of the Slovisure of the Language of Languages ​​by the origin of the category in alphabetical storage of the vaults: Slavic language of the language of the language of the language of the language of the language of the language of the language of the language Language-guaranic dictionary of the Russian Language of the Russian Language of the Rozausurus more frequent words of various linguists of the dictionary of the vocabulary of the pollutant friends of translator-red-painted word-speaking thematic tables: Abvgdeshezhziyklmnoprstufkhshshchshshchshshchshshchshshchshshchshchyabhazian English Arab-Armenia Armenian Armenia The Bulgarian Bigrethengers Greek Greek Georgian Data of the Data of the Data -Greek Igruck -Iskiylansian Iska -Lingaisa -Lingaic -Lingaisky Koreki Koreansky Latin Litino Lithuanian Macedonian German -Service -Roseta Palipol Portuguese -Sulfyskoyan Tatar -Tutar -Tutar -Tutar -Firefire -February -Firefire -Februarys Khoratsa -Firefront The EXCHOSSKY ESTRUSPENTO -ESTAROSKOYSKYASTOSKY YASKOSKYASHSKAYSKY YAVOSHKOVSKYASHICHSKOVSISTOSKY Articles here are written exclusively in Russian. Other languages ​​can be found in the appropriate language sections of Wiktionary: English | Bulgarian | Hungarian | Galician | Greek | Hebrew | Spanish | Italian | Chinese | Korean | Kurdish | Latin | Malagasky | Macedonian | German | Dutch | Polish | Portuguese | Romanian | Turkish | Ukrainian | Finnish | French | Swedish | Esperanto | Japanese spokes for all language sections (English) | General page of the Wiktionary Graduate Projects of the Foundation Vikimediavikipediac-language encyclopediavicemaging Media-fi-ovyloviki-oreginal text-okycitanium-okollectic collection okitatvykino-hungeries and guidelines of vicamine these knowledge of the knowledge of the Vikihi -Medistancubator Vikimedian Language section of the source - https://ru.wiktionary.org/w/index.php?title= Vypysyglivar: the post -staff_oldid=13217579 The system of consumption to compose the accounting recordings Immedic -based Russian viewing of the CodaStoriyatoriyop -oscillation -based pages of an index -pages of the Estate page of the errors of the errors of the Ethnicity Events, There are a pages of the pages of the page on the page of the abbreviated URL-address of the wikidan-prize/exported to make a bookstick as a PDFVRESIT for printing other projects vi-wound-free-mass-vikimedia Outreachy, vicotexts. Kidanneevikifunikhonceniimanikihimanovykinovicopediavikipyvikyvikyvyvikovikovikovikovikoviki -vertic is other languages ​​ال eyympة azərbaycancatalà ꮳꮃꭹ češtinadeutschελληνικάenglisheleestieuskara Galego हिन्दी Magyar հ Bahasa Indonesiaidoitaliano 日本語 jawa ಕನ್ನಡ 한국어 kurdîlimburgslietuviųmalagasy മലയാളം nederlandsnorskocitan ଓଡ଼ିଆ polskiSrom] I / SRPKHRVATSKISKI / srpskisvenska தமிழ் ไทย ไทย türkçejokoʻzbekcha / ўzbekchatiếng việt 中文 This page was last edited on November 10, 2023 at 10: 24. The text is available under the Creative Commons Attributation-Scharealike license in separate cases Additional conditions may apply. For more details, see the conditions of use. Politician of confidentiality of vikoslovaryaotokaz from liability of the behavior of development of the development of a cummant version</v>
      </c>
    </row>
    <row r="214">
      <c r="A214" s="1" t="s">
        <v>590</v>
      </c>
      <c r="B214" s="1" t="s">
        <v>697</v>
      </c>
      <c r="D214" s="1">
        <v>24.0</v>
      </c>
      <c r="E214" s="4" t="s">
        <v>698</v>
      </c>
      <c r="F214" s="1" t="s">
        <v>43</v>
      </c>
      <c r="G214" s="1" t="s">
        <v>302</v>
      </c>
      <c r="H214" s="4" t="s">
        <v>303</v>
      </c>
      <c r="I214" s="2">
        <v>3.0</v>
      </c>
      <c r="J214" s="5" t="str">
        <f>IFERROR(__xludf.DUMMYFUNCTION("GOOGLETRANSLATE(A214)"),"VC")</f>
        <v>VC</v>
      </c>
      <c r="K214" s="6" t="str">
        <f>IFERROR(__xludf.DUMMYFUNCTION("GOOGLETRANSLATE(B214)"),"My group of VK. The book is twenty -fifth")</f>
        <v>My group of VK. The book is twenty -fifth</v>
      </c>
      <c r="M214" s="5" t="str">
        <f>IFERROR(__xludf.DUMMYFUNCTION("GOOGLETRANSLATE(G214)"),"Google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5">
      <c r="A215" s="1" t="s">
        <v>590</v>
      </c>
      <c r="B215" s="1" t="s">
        <v>699</v>
      </c>
      <c r="D215" s="1">
        <v>25.0</v>
      </c>
      <c r="E215" s="4" t="s">
        <v>700</v>
      </c>
      <c r="F215" s="1" t="s">
        <v>43</v>
      </c>
      <c r="G215" s="1" t="s">
        <v>302</v>
      </c>
      <c r="H215" s="4" t="s">
        <v>303</v>
      </c>
      <c r="I215" s="2">
        <v>3.0</v>
      </c>
      <c r="J215" s="5" t="str">
        <f>IFERROR(__xludf.DUMMYFUNCTION("GOOGLETRANSLATE(A215)"),"VC")</f>
        <v>VC</v>
      </c>
      <c r="K215" s="6" t="str">
        <f>IFERROR(__xludf.DUMMYFUNCTION("GOOGLETRANSLATE(B215)"),"My group of VK. Book twentieth - result from Google Book")</f>
        <v>My group of VK. Book twentieth - result from Google Book</v>
      </c>
      <c r="M215" s="5" t="str">
        <f>IFERROR(__xludf.DUMMYFUNCTION("GOOGLETRANSLATE(G215)"),"Google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6">
      <c r="A216" s="1" t="s">
        <v>590</v>
      </c>
      <c r="B216" s="1" t="s">
        <v>676</v>
      </c>
      <c r="D216" s="1">
        <v>26.0</v>
      </c>
      <c r="E216" s="4" t="s">
        <v>701</v>
      </c>
      <c r="F216" s="1" t="s">
        <v>43</v>
      </c>
      <c r="G216" s="1" t="s">
        <v>302</v>
      </c>
      <c r="H216" s="4" t="s">
        <v>303</v>
      </c>
      <c r="I216" s="2">
        <v>3.0</v>
      </c>
      <c r="J216" s="5" t="str">
        <f>IFERROR(__xludf.DUMMYFUNCTION("GOOGLETRANSLATE(A216)"),"VC")</f>
        <v>VC</v>
      </c>
      <c r="K216" s="6" t="str">
        <f>IFERROR(__xludf.DUMMYFUNCTION("GOOGLETRANSLATE(B216)"),"My group of VK. Book nineteenth - result from Google Book")</f>
        <v>My group of VK. Book nineteenth - result from Google Book</v>
      </c>
      <c r="M216" s="5" t="str">
        <f>IFERROR(__xludf.DUMMYFUNCTION("GOOGLETRANSLATE(G216)"),"Google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7">
      <c r="A217" s="1" t="s">
        <v>590</v>
      </c>
      <c r="B217" s="1" t="s">
        <v>702</v>
      </c>
      <c r="D217" s="1">
        <v>27.0</v>
      </c>
      <c r="E217" s="4" t="s">
        <v>703</v>
      </c>
      <c r="F217" s="1" t="s">
        <v>43</v>
      </c>
      <c r="G217" s="1" t="s">
        <v>302</v>
      </c>
      <c r="H217" s="4" t="s">
        <v>303</v>
      </c>
      <c r="I217" s="2">
        <v>3.0</v>
      </c>
      <c r="J217" s="5" t="str">
        <f>IFERROR(__xludf.DUMMYFUNCTION("GOOGLETRANSLATE(A217)"),"VC")</f>
        <v>VC</v>
      </c>
      <c r="K217" s="6" t="str">
        <f>IFERROR(__xludf.DUMMYFUNCTION("GOOGLETRANSLATE(B217)"),"My group of VK. Speech and signatures to posts. The book is seventeenth")</f>
        <v>My group of VK. Speech and signatures to posts. The book is seventeenth</v>
      </c>
      <c r="M217" s="5" t="str">
        <f>IFERROR(__xludf.DUMMYFUNCTION("GOOGLETRANSLATE(G217)"),"Google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8">
      <c r="A218" s="1" t="s">
        <v>590</v>
      </c>
      <c r="B218" s="1" t="s">
        <v>704</v>
      </c>
      <c r="C218" s="1" t="s">
        <v>705</v>
      </c>
      <c r="D218" s="1">
        <v>28.0</v>
      </c>
      <c r="E218" s="4" t="s">
        <v>706</v>
      </c>
      <c r="F218" s="1" t="s">
        <v>43</v>
      </c>
      <c r="G218" s="1" t="s">
        <v>31</v>
      </c>
      <c r="H218" s="4" t="s">
        <v>32</v>
      </c>
      <c r="I218" s="2">
        <v>4.0</v>
      </c>
      <c r="J218" s="5" t="str">
        <f>IFERROR(__xludf.DUMMYFUNCTION("GOOGLETRANSLATE(A218)"),"VC")</f>
        <v>VC</v>
      </c>
      <c r="K218" s="6" t="str">
        <f>IFERROR(__xludf.DUMMYFUNCTION("GOOGLETRANSLATE(B218)"),"VK (company)")</f>
        <v>VK (company)</v>
      </c>
      <c r="L218" s="5" t="str">
        <f>IFERROR(__xludf.DUMMYFUNCTION("GOOGLETRANSLATE(C218)"),"VK (“VE-kA”; until October 12, 2021-Mail.Ru Group, until 2010-Digital Sky Technologies)-Russian Investment Technological Corporation, ...")</f>
        <v>VK (“VE-kA”; until October 12, 2021-Mail.Ru Group, until 2010-Digital Sky Technologies)-Russian Investment Technological Corporation, ...</v>
      </c>
      <c r="M218" s="5" t="str">
        <f>IFERROR(__xludf.DUMMYFUNCTION("GOOGLETRANSLATE(G218)"),"Wikipedia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219">
      <c r="A219" s="1" t="s">
        <v>590</v>
      </c>
      <c r="B219" s="1" t="s">
        <v>707</v>
      </c>
      <c r="C219" s="1" t="s">
        <v>708</v>
      </c>
      <c r="D219" s="1">
        <v>32.0</v>
      </c>
      <c r="E219" s="4" t="s">
        <v>709</v>
      </c>
      <c r="F219" s="1" t="s">
        <v>43</v>
      </c>
      <c r="G219" s="1" t="s">
        <v>710</v>
      </c>
      <c r="H219" s="1" t="s">
        <v>711</v>
      </c>
      <c r="I219" s="2">
        <v>1.0</v>
      </c>
      <c r="J219" s="5" t="str">
        <f>IFERROR(__xludf.DUMMYFUNCTION("GOOGLETRANSLATE(A219)"),"VC")</f>
        <v>VC</v>
      </c>
      <c r="K219" s="6" t="str">
        <f>IFERROR(__xludf.DUMMYFUNCTION("GOOGLETRANSLATE(B219)"),"VK Education")</f>
        <v>VK Education</v>
      </c>
      <c r="L219" s="5" t="str">
        <f>IFERROR(__xludf.DUMMYFUNCTION("GOOGLETRANSLATE(C219)"),"VK is more than 200 projects and services used by millions. You can join the team that creates them. Meet our office and ...")</f>
        <v>VK is more than 200 projects and services used by millions. You can join the team that creates them. Meet our office and ...</v>
      </c>
      <c r="M219" s="5" t="str">
        <f>IFERROR(__xludf.DUMMYFUNCTION("GOOGLETRANSLATE(G219)"),"VK EDUCATIONAL MOSTENTENTENTENTENTENTAMSISTOMANOVOSTOVTAVTICKS / Registration of future achievements of future accomplishments of the PROSOSSISTRY PROTECTIONS IN IT and Digital select one of the many free educational Its and digital projects. PROTENTIONAL"&amp;"LY AND ACCELLED KNOWLL ACTIVE ACTIVE OF THE PARTS OF THAT K Education of a large selection of programs of programs from dating it -Sphere to work in the VK team on real projects. We offer free programs and courses for a wide set of IT and digital-disposal"&amp;". Actual knowledge of experts of the VKV with teachers and mentors we create a comfortable environment for gaining useful knowledge and pumping in demand. Planned planned knowledge will be easy to use in practice- you can build A successful career in VK a"&amp;"nd industry. The meeting of the knowledge of talents - this is more than 200 projects and service -core use millions. You can join the team that creates them. Get to know our office and visit a virtual excursion. At the excursion and event of the event on"&amp;" November 10, 17:11, the open Olympiad of schoolchildren will go to the university without examination on November 2 21:11 Ambassador Meters VK in the academic year 2023/2024 Residents will participate in enlightenment events and youth forums Games devote"&amp;"d to IT and Digital, helping students and schoolchildren find their place in the world of technology. November.1 November 18:11 MSCO -covered registration at the Technocouple Olympics on sports programming on October 27 18:10 Massstarted the annual open O"&amp;"lympiad for the Cognitive Technologies Molveical October 18:10 The annual open Olympiad for programming “Cognitive Technologies” News News November 17:11 MSCPPOBITIONS Open Olympiad of schoolchildren will go to a university without an examination on Novem"&amp;"ber 2 21:11 Ambassadors VK Meters in the academic year 2023/2024 Brothers will participate in educational events and youth forums dedicated to lectures and games dedicated IT and Digital helping students and schoolchildren find their place in the world of"&amp;" technology. November.1 November 18:11 MSCOPLE CLASED Registration at the Technocouple Olympics for sports programming October 27 18:10 Moskstvstvo annual open Olympiad for programming “Cognitive Technologies” News November 17:11 Open -Master Schoolchildr"&amp;"en Olympiads will go to the university without exams news and events are questions old? Just write to us - let's answer in the near future. Get a questionnaire to register for the program? For registration for the selection, you need: 1. Fill out the appl"&amp;"icant’s questionnaire by indicating the current mail address and phone number as well as a university group and the course on which you study (to start the recruitment in January) or to which you are moving to (for applicants in August) .2. Choose a progr"&amp;"am or course in your personal account. 3. Follow the news of the program-we will publish them on the portal and in the VKontakte group as well as send you to the mail. What if you do not come to online testing? First, make sure that you check that mail th"&amp;"at was indicated during the registration of the program. Then check the “spam” folder - the letter could get there. A lift can also be found in your personal account on the project portal - it will be in the block with the program for which the applicatio"&amp;"n is submitted. If technical questions will arise in support: info@education.vk.company. Here you will find answers to the most common questions. If there is no question in the list, write to us! The main shutters of the Steaden and Kontaktyo Events VK ED"&amp;"UCATIONAL EPITIONS ASSECTION OF THE COMPLEDITION OF THE COMPLAY OF THE COMPLETIAL INFORMATIONS ON THE COUNDARY FORMERITISTIONS INSTROMENT TO YOURSELFT ACCOUNTING PROGRAMS OF VKOSTUSTIONS OF VKOSTSENT OF THE PRODUCTS OF ACBASSADICS OF ACTARSADINGS AND VACA"&amp;"NCESS NACEVK EducationVK for teachers © 2006-2023 version of the portal 1.4.13 Politics Confidentiality of thePlair agreement")</f>
        <v>VK EDUCATIONAL MOSTENTENTENTENTENTENTAMSISTOMANOVOSTOVTAVTICKS / Registration of future achievements of future accomplishments of the PROSOSSISTRY PROTECTIONS IN IT and Digital select one of the many free educational Its and digital projects. PROTENTIONALLY AND ACCELLED KNOWLL ACTIVE ACTIVE OF THE PARTS OF THAT K Education of a large selection of programs of programs from dating it -Sphere to work in the VK team on real projects. We offer free programs and courses for a wide set of IT and digital-disposal. Actual knowledge of experts of the VKV with teachers and mentors we create a comfortable environment for gaining useful knowledge and pumping in demand. Planned planned knowledge will be easy to use in practice- you can build A successful career in VK and industry. The meeting of the knowledge of talents - this is more than 200 projects and service -core use millions. You can join the team that creates them. Get to know our office and visit a virtual excursion. At the excursion and event of the event on November 10, 17:11, the open Olympiad of schoolchildren will go to the university without examination on November 2 21:11 Ambassador Meters VK in the academic year 2023/2024 Residents will participate in enlightenment events and youth forums Games devoted to IT and Digital, helping students and schoolchildren find their place in the world of technology. November.1 November 18:11 MSCO -covered registration at the Technocouple Olympics on sports programming on October 27 18:10 Massstarted the annual open Olympiad for the Cognitive Technologies Molveical October 18:10 The annual open Olympiad for programming “Cognitive Technologies” News News November 17:11 MSCPPOBITIONS Open Olympiad of schoolchildren will go to a university without an examination on November 2 21:11 Ambassadors VK Meters in the academic year 2023/2024 Brothers will participate in educational events and youth forums dedicated to lectures and games dedicated IT and Digital helping students and schoolchildren find their place in the world of technology. November.1 November 18:11 MSCOPLE CLASED Registration at the Technocouple Olympics for sports programming October 27 18:10 Moskstvstvo annual open Olympiad for programming “Cognitive Technologies” News November 17:11 Open -Master Schoolchildren Olympiads will go to the university without exams news and events are questions old? Just write to us - let's answer in the near future. Get a questionnaire to register for the program? For registration for the selection, you need: 1. Fill out the applicant’s questionnaire by indicating the current mail address and phone number as well as a university group and the course on which you study (to start the recruitment in January) or to which you are moving to (for applicants in August) .2. Choose a program or course in your personal account. 3. Follow the news of the program-we will publish them on the portal and in the VKontakte group as well as send you to the mail. What if you do not come to online testing? First, make sure that you check that mail that was indicated during the registration of the program. Then check the “spam” folder - the letter could get there. A lift can also be found in your personal account on the project portal - it will be in the block with the program for which the application is submitted. If technical questions will arise in support: info@education.vk.company. Here you will find answers to the most common questions. If there is no question in the list, write to us! The main shutters of the Steaden and Kontaktyo Events VK EDUCATIONAL EPITIONS ASSECTION OF THE COMPLEDITION OF THE COMPLAY OF THE COMPLETIAL INFORMATIONS ON THE COUNDARY FORMERITISTIONS INSTROMENT TO YOURSELFT ACCOUNTING PROGRAMS OF VKOSTUSTIONS OF VKOSTSENT OF THE PRODUCTS OF ACBASSADICS OF ACTARSADINGS AND VACANCESS NACEVK EducationVK for teachers © 2006-2023 version of the portal 1.4.13 Politics Confidentiality of thePlair agreement</v>
      </c>
    </row>
    <row r="220">
      <c r="A220" s="1" t="s">
        <v>712</v>
      </c>
      <c r="B220" s="1" t="s">
        <v>591</v>
      </c>
      <c r="C220" s="1" t="s">
        <v>713</v>
      </c>
      <c r="D220" s="1">
        <v>1.0</v>
      </c>
      <c r="E220" s="4" t="s">
        <v>593</v>
      </c>
      <c r="F220" s="1" t="s">
        <v>16</v>
      </c>
      <c r="G220" s="1" t="s">
        <v>34</v>
      </c>
      <c r="H220" s="4" t="s">
        <v>594</v>
      </c>
      <c r="I220" s="2">
        <v>3.0</v>
      </c>
      <c r="J220" s="5" t="str">
        <f>IFERROR(__xludf.DUMMYFUNCTION("GOOGLETRANSLATE(A220)"),"in contact with")</f>
        <v>in contact with</v>
      </c>
      <c r="K220" s="6" t="str">
        <f>IFERROR(__xludf.DUMMYFUNCTION("GOOGLETRANSLATE(B220)"),"VKontakte | Welcome")</f>
        <v>VKontakte | Welcome</v>
      </c>
      <c r="L220" s="5" t="str">
        <f>IFERROR(__xludf.DUMMYFUNCTION("GOOGLETRANSLATE(C220)"),"VKontakte is a universal remedy for communicating and searching for friends and classmates who use tens of millions of people daily.")</f>
        <v>VKontakte is a universal remedy for communicating and searching for friends and classmates who use tens of millions of people daily.</v>
      </c>
      <c r="M220" s="5" t="str">
        <f>IFERROR(__xludf.DUMMYFUNCTION("GOOGLETRANSLATE(G220)"),"VK.com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221">
      <c r="A221" s="1" t="s">
        <v>712</v>
      </c>
      <c r="B221" s="1" t="s">
        <v>595</v>
      </c>
      <c r="C221" s="1" t="s">
        <v>714</v>
      </c>
      <c r="D221" s="1">
        <v>2.0</v>
      </c>
      <c r="E221" s="4" t="s">
        <v>596</v>
      </c>
      <c r="F221" s="1" t="s">
        <v>16</v>
      </c>
      <c r="G221" s="1" t="s">
        <v>120</v>
      </c>
      <c r="H221" s="4" t="s">
        <v>121</v>
      </c>
      <c r="I221" s="2">
        <v>0.0</v>
      </c>
      <c r="J221" s="5" t="str">
        <f>IFERROR(__xludf.DUMMYFUNCTION("GOOGLETRANSLATE(A221)"),"in contact with")</f>
        <v>in contact with</v>
      </c>
      <c r="K221" s="6" t="str">
        <f>IFERROR(__xludf.DUMMYFUNCTION("GOOGLETRANSLATE(B221)"),"VKontakte: music, video, chat")</f>
        <v>VKontakte: music, video, chat</v>
      </c>
      <c r="L221" s="5" t="str">
        <f>IFERROR(__xludf.DUMMYFUNCTION("GOOGLETRANSLATE(C221)"),"VKontakte is communication, free calls, messenger and chat, music and video, games and mini-applications for any tasks, tens of millions of people and limitless ...")</f>
        <v>VKontakte is communication, free calls, messenger and chat, music and video, games and mini-applications for any tasks, tens of millions of people and limitless ...</v>
      </c>
      <c r="M221" s="5" t="str">
        <f>IFERROR(__xludf.DUMMYFUNCTION("GOOGLETRANSLATE(G221)"),"Android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22">
      <c r="A222" s="1" t="s">
        <v>712</v>
      </c>
      <c r="B222" s="1" t="s">
        <v>597</v>
      </c>
      <c r="C222" s="1" t="s">
        <v>598</v>
      </c>
      <c r="D222" s="1">
        <v>3.0</v>
      </c>
      <c r="E222" s="4" t="s">
        <v>599</v>
      </c>
      <c r="F222" s="1" t="s">
        <v>16</v>
      </c>
      <c r="G222" s="1" t="s">
        <v>31</v>
      </c>
      <c r="H222" s="4" t="s">
        <v>32</v>
      </c>
      <c r="I222" s="2">
        <v>1.0</v>
      </c>
      <c r="J222" s="5" t="str">
        <f>IFERROR(__xludf.DUMMYFUNCTION("GOOGLETRANSLATE(A222)"),"in contact with")</f>
        <v>in contact with</v>
      </c>
      <c r="K222" s="6" t="str">
        <f>IFERROR(__xludf.DUMMYFUNCTION("GOOGLETRANSLATE(B222)"),"In contact with")</f>
        <v>In contact with</v>
      </c>
      <c r="L222" s="5" t="str">
        <f>IFERROR(__xludf.DUMMYFUNCTION("GOOGLETRANSLATE(C222)"),"“Vkontakte” (international name-VK) is a Russian social network with headquarters in St. Petersburg. The site is available in 82 languages; Especially popular ...")</f>
        <v>“Vkontakte” (international name-VK) is a Russian social network with headquarters in St. Petersburg. The site is available in 82 languages; Especially popular ...</v>
      </c>
      <c r="M222" s="5" t="str">
        <f>IFERROR(__xludf.DUMMYFUNCTION("GOOGLETRANSLATE(G222)"),"Wikipedia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223">
      <c r="A223" s="1" t="s">
        <v>712</v>
      </c>
      <c r="B223" s="1" t="s">
        <v>602</v>
      </c>
      <c r="C223" s="1" t="s">
        <v>715</v>
      </c>
      <c r="D223" s="1">
        <v>4.0</v>
      </c>
      <c r="E223" s="4" t="s">
        <v>603</v>
      </c>
      <c r="F223" s="1" t="s">
        <v>16</v>
      </c>
      <c r="G223" s="1" t="s">
        <v>97</v>
      </c>
      <c r="H223" s="4" t="s">
        <v>98</v>
      </c>
      <c r="I223" s="2">
        <v>0.0</v>
      </c>
      <c r="J223" s="5" t="str">
        <f>IFERROR(__xludf.DUMMYFUNCTION("GOOGLETRANSLATE(A223)"),"in contact with")</f>
        <v>in contact with</v>
      </c>
      <c r="K223" s="6" t="str">
        <f>IFERROR(__xludf.DUMMYFUNCTION("GOOGLETRANSLATE(B223)"),"VKontakte: messages, video chat - App Store")</f>
        <v>VKontakte: messages, video chat - App Store</v>
      </c>
      <c r="L223" s="5" t="str">
        <f>IFERROR(__xludf.DUMMYFUNCTION("GOOGLETRANSLATE(C223)"),"VKontakte is communication, free calls, music and video, games and mini-applications for any tasks, tens of millions of people and unlimited possibilities for ...")</f>
        <v>VKontakte is communication, free calls, music and video, games and mini-applications for any tasks, tens of millions of people and unlimited possibilities for ...</v>
      </c>
      <c r="M223" s="5" t="str">
        <f>IFERROR(__xludf.DUMMYFUNCTION("GOOGLETRANSLATE(G223)"),"App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24">
      <c r="A224" s="1" t="s">
        <v>712</v>
      </c>
      <c r="B224" s="1" t="s">
        <v>716</v>
      </c>
      <c r="D224" s="1">
        <v>5.0</v>
      </c>
      <c r="E224" s="4" t="s">
        <v>717</v>
      </c>
      <c r="F224" s="1" t="s">
        <v>16</v>
      </c>
      <c r="I224" s="2">
        <v>2.0</v>
      </c>
      <c r="J224" s="5" t="str">
        <f>IFERROR(__xludf.DUMMYFUNCTION("GOOGLETRANSLATE(A224)"),"in contact with")</f>
        <v>in contact with</v>
      </c>
      <c r="K224" s="6" t="str">
        <f>IFERROR(__xludf.DUMMYFUNCTION("GOOGLETRANSLATE(B224)"),"VK")</f>
        <v>VK</v>
      </c>
      <c r="M224" s="5" t="str">
        <f>IFERROR(__xludf.DUMMYFUNCTION("GOOGLETRANSLATE(G224)"),"#VALUE!")</f>
        <v>#VALUE!</v>
      </c>
    </row>
    <row r="225">
      <c r="A225" s="1" t="s">
        <v>712</v>
      </c>
      <c r="B225" s="1" t="s">
        <v>636</v>
      </c>
      <c r="C225" s="1" t="s">
        <v>718</v>
      </c>
      <c r="D225" s="1">
        <v>6.0</v>
      </c>
      <c r="E225" s="4" t="s">
        <v>638</v>
      </c>
      <c r="F225" s="1" t="s">
        <v>16</v>
      </c>
      <c r="G225" s="1" t="s">
        <v>444</v>
      </c>
      <c r="H225" s="4" t="s">
        <v>445</v>
      </c>
      <c r="I225" s="2">
        <v>3.0</v>
      </c>
      <c r="J225" s="5" t="str">
        <f>IFERROR(__xludf.DUMMYFUNCTION("GOOGLETRANSLATE(A225)"),"in contact with")</f>
        <v>in contact with</v>
      </c>
      <c r="K225" s="6" t="str">
        <f>IFERROR(__xludf.DUMMYFUNCTION("GOOGLETRANSLATE(B225)"),"Vkontakte (@vkontakte) / x")</f>
        <v>Vkontakte (@vkontakte) / x</v>
      </c>
      <c r="L225" s="5" t="str">
        <f>IFERROR(__xludf.DUMMYFUNCTION("GOOGLETRANSLATE(C225)"),"VKontakte messages in foreign languages ​​can now be immediately translated inside the chat. To do this, in VKontakte or VK applications, you need to keep the right ...")</f>
        <v>VKontakte messages in foreign languages ​​can now be immediately translated inside the chat. To do this, in VKontakte or VK applications, you need to keep the right ...</v>
      </c>
      <c r="M225" s="5" t="str">
        <f>IFERROR(__xludf.DUMMYFUNCTION("GOOGLETRANSLATE(G225)"),"JavaScript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226">
      <c r="A226" s="1" t="s">
        <v>712</v>
      </c>
      <c r="B226" s="1" t="s">
        <v>719</v>
      </c>
      <c r="D226" s="1">
        <v>7.0</v>
      </c>
      <c r="E226" s="4" t="s">
        <v>655</v>
      </c>
      <c r="F226" s="1" t="s">
        <v>16</v>
      </c>
      <c r="G226" s="1" t="s">
        <v>656</v>
      </c>
      <c r="H226" s="4" t="s">
        <v>657</v>
      </c>
      <c r="I226" s="2">
        <v>1.0</v>
      </c>
      <c r="J226" s="5" t="str">
        <f>IFERROR(__xludf.DUMMYFUNCTION("GOOGLETRANSLATE(A226)"),"in contact with")</f>
        <v>in contact with</v>
      </c>
      <c r="K226" s="6" t="str">
        <f>IFERROR(__xludf.DUMMYFUNCTION("GOOGLETRANSLATE(B226)"),"Messenger from VKontakte")</f>
        <v>Messenger from VKontakte</v>
      </c>
      <c r="M226" s="5" t="str">
        <f>IFERROR(__xludf.DUMMYFUNCTION("GOOGLETRANSLATE(G226)"),"The Official VK�Messenger        Web version    Quick and�Easy Messaging          Stay in touch with your VK�friends and�people from�your�phone�s contacts                  Call with no�limits on�audio or�video                  Read transcriptions of�voice"&amp;" and�video messages                  Share music photos videos files geotags and�even money                  Select colorful chat themes to�fit the�mood        Available onAndroidDownload in Google�PlayDownload in RuStoreDownload in AppGalleryiOSDownload "&amp;"in App StoreWindows betaDownload EXEMacOS betaDownload DMG      © 2023 VK Social Network Team���������� VK ����������Scan the QR code�to�install the app on�your phone")</f>
        <v>The Official VK�Messenger        Web version    Quick and�Easy Messaging          Stay in touch with your VK�friends and�people from�your�phone�s contacts                  Call with no�limits on�audio or�video                  Read transcriptions of�voice and�video messages                  Share music photos videos files geotags and�even money                  Select colorful chat themes to�fit the�mood        Available onAndroidDownload in Google�PlayDownload in RuStoreDownload in AppGalleryiOSDownload in App StoreWindows betaDownload EXEMacOS betaDownload DMG      © 2023 VK Social Network Team���������� VK ����������Scan the QR code�to�install the app on�your phone</v>
      </c>
    </row>
    <row r="227">
      <c r="A227" s="1" t="s">
        <v>712</v>
      </c>
      <c r="B227" s="1" t="s">
        <v>720</v>
      </c>
      <c r="C227" s="1" t="s">
        <v>721</v>
      </c>
      <c r="D227" s="1">
        <v>8.0</v>
      </c>
      <c r="E227" s="4" t="s">
        <v>722</v>
      </c>
      <c r="F227" s="1" t="s">
        <v>16</v>
      </c>
      <c r="I227" s="2">
        <v>4.0</v>
      </c>
      <c r="J227" s="5" t="str">
        <f>IFERROR(__xludf.DUMMYFUNCTION("GOOGLETRANSLATE(A227)"),"in contact with")</f>
        <v>in contact with</v>
      </c>
      <c r="K227" s="6" t="str">
        <f>IFERROR(__xludf.DUMMYFUNCTION("GOOGLETRANSLATE(B227)"),"VKontakte - latest news today")</f>
        <v>VKontakte - latest news today</v>
      </c>
      <c r="L227" s="5" t="str">
        <f>IFERROR(__xludf.DUMMYFUNCTION("GOOGLETRANSLATE(C227)"),"In contact with. Read the latest news on the topic in the news feed on the RIA Novosti website. Fand Fest VKontakte 10, 11 and 12 will collect guests on Moscow ...")</f>
        <v>In contact with. Read the latest news on the topic in the news feed on the RIA Novosti website. Fand Fest VKontakte 10, 11 and 12 will collect guests on Moscow ...</v>
      </c>
      <c r="M227" s="5" t="str">
        <f>IFERROR(__xludf.DUMMYFUNCTION("GOOGLETRANSLATE(G227)"),"#VALUE!")</f>
        <v>#VALUE!</v>
      </c>
    </row>
    <row r="228">
      <c r="A228" s="1" t="s">
        <v>712</v>
      </c>
      <c r="B228" s="1" t="s">
        <v>723</v>
      </c>
      <c r="C228" s="1" t="s">
        <v>724</v>
      </c>
      <c r="D228" s="1">
        <v>9.0</v>
      </c>
      <c r="E228" s="4" t="s">
        <v>725</v>
      </c>
      <c r="F228" s="1" t="s">
        <v>16</v>
      </c>
      <c r="G228" s="1" t="s">
        <v>726</v>
      </c>
      <c r="H228" s="4" t="s">
        <v>727</v>
      </c>
      <c r="I228" s="2">
        <v>2.0</v>
      </c>
      <c r="J228" s="5" t="str">
        <f>IFERROR(__xludf.DUMMYFUNCTION("GOOGLETRANSLATE(A228)"),"in contact with")</f>
        <v>in contact with</v>
      </c>
      <c r="K228" s="6" t="str">
        <f>IFERROR(__xludf.DUMMYFUNCTION("GOOGLETRANSLATE(B228)"),"VKontakte company. Contacts, description and reviews")</f>
        <v>VKontakte company. Contacts, description and reviews</v>
      </c>
      <c r="L228" s="5" t="str">
        <f>IFERROR(__xludf.DUMMYFUNCTION("GOOGLETRANSLATE(C228)"),"VKontakte is a popular social network in Russia. More than 100 million people who exchange 15 billion messages and ...")</f>
        <v>VKontakte is a popular social network in Russia. More than 100 million people who exchange 15 billion messages and ...</v>
      </c>
      <c r="M228" s="5" t="str">
        <f>IFERROR(__xludf.DUMMYFUNCTION("GOOGLETRANSLATE(G228)"),"Companies of St. Petersburg. Businessmen of the St. Petersburg Policy Sunday November 12, 2023 $ € Subscribing on social networks: Search on the website of the heading finance and legal political science construction systems of the operation of the work o"&amp;"f the year of the year of the year-Knovostovostelovikhovaya news of the special project DP.ru is; St. Petersburg and Moscow 7099 Person1483333333 compounds218 Press Dosiere Press-Docial Recordic company of companies of a nurse-cheat-hazhacgoda01vitabank 3"&amp;"52 02 Russian museumanilova Alla Yuryevna 237 03fitness House 126 04 ROSTELEKOMOSEEVSKY Mikhail Eduardovich 111 05online store ""Utkonos"" 107 06 Group of companies ""Finams"" 100 07er-Telecom Holdingkuyaev 99 08 Ozon (ozone) 94 Show the assessment of Per"&amp;"son -cheatics Yevgeny Vladimirovich STRICK 349 02 -02 -Dmitry Vladimirovich 349 02 129 03-rhumin Andrey Valerievich Russian Networks 127 04 Luzhkov Yuri Mikhailovich 117 05Mamishev Vagif ImamovicavtoArmature 98 06 City Mimchenko Gennady Nikolaevichkhokkey"&amp;" Club ""SKA"" 92 07 Vyacheslavovich-Bank 79 08 Patrushev Andrei Nikolayevich 74 show all exclusive information about percliances about percliance Petersburg and Moscow. Watch all the specializations of the car (381) Associations of the Unions of the Party"&amp;" Funds (448) Banks and Finance (422) Business Safety (178) Business for Business (B2B) (674) Geodesy and Cartography (40) Urban Economy (136) Hotels and Hotels (125 ) The group of companies (39) Publishing house and printing (187) Computers and according "&amp;"to (640) Culture and art (356) Light industry (148) Forestry (168) Medicine and pharmaceuticals (469) Metal processing (188) Science and Education (649) Real Estate (488) Defense production (1) Public organizations (96) authorities (487) Food industry (32"&amp;"5) Advertising and PR (444) Recruiting (115) Restaurant Business (459) Communication of the Internet (195) Agriculture (93) Media (105) The glass industry (19) insurance (93) Construction and repair (2544) Fuel and energy complex (ФЗ) (315) Trade and serv"&amp;"ices (3124) Transport services (731) Tourism. Rest. Sports. Who ""in"" Business Petersburg ""is a catalog of reference and contact information of companies and persons of St. Petersburg of the Leningrad Region and Moscow. It describes the details of biogr"&amp;"aphies of representatives of business and social structures information about state institutions and public organizations. If you are our subscriber, then you can join us by sending an application through the site or by mail holiswho@dp.ru. Placement of i"&amp;"nformation about companies and persons on the information and reference portal “Who is who” is available only to the subscribers of “Business Petersburg”. Attention! Your information will be published if the presented information is relevant and will also"&amp;" comply with the format and the rules for posting information. Elena Voronkoordinator of the project “Who is someone” on issues of posting and changing information on the site you can contact the project coordinator at Whoiswho@dp.ru. All the company Pers"&amp;"onvsa Personvsa Plastress-Dosielly Placement of Information Yandex.Dzen Telegram Rubricantinations and legal-owned-building reports TERPROPECT of the year of year of the subscribers -spectacular expert Club ""DP"" Base Real Estate Dpriting Billionar Regio"&amp;"n is some kind of somewear. RFWELCOMEZONEO ""DP Business Press"" about the fraud of subscription in the publication address 197022 Sankan-Petersburg st. Instrumental d. 8 pom. 74. Show on the map phone (812) 328-28-28 E-mail Gazeta@dp.ru © 1993-2023 All r"&amp;"ights are protected by DP Business Press JSC is registered by the Federal Service for Supervision of Information Technologies and Mass Communications (Roskomnadzor (Roskomnadzor ) the number of the certificate of EL No. FS 77 - 65426 dated 04/18/2016. Fun"&amp;"ctions with financial support from the Ministry of Digital Development of Communications and Mass Communications of the Russian Federation. The in agents were recognized in the Russian Federation: LLC “Television Channel Rain” Analytical Center of Yuri Le"&amp;"vada, but “Fund for Combating Corruption” (recognized as an extremist organization), but the “Fund for the Protection of the Rights of Citizens” (recognized as an extremist organization) OD “Navalny headquarters” (recognized It is forbidden to extremist) "&amp;"this resource may contain materials 18+ Policy of the confidentiality of the use of information material -guard labor vehicle × if you are already registered: forgot the password? Or enter the account on social networks - this is the fastest! There is no "&amp;"account yet? Register for loading ..... Please Enable JavaScript to Continue Using this Application.")</f>
        <v>Companies of St. Petersburg. Businessmen of the St. Petersburg Policy Sunday November 12, 2023 $ € Subscribing on social networks: Search on the website of the heading finance and legal political science construction systems of the operation of the work of the year of the year of the year-Knovostovostelovikhovaya news of the special project DP.ru is; St. Petersburg and Moscow 7099 Person1483333333 compounds218 Press Dosiere Press-Docial Recordic company of companies of a nurse-cheat-hazhacgoda01vitabank 352 02 Russian museumanilova Alla Yuryevna 237 03fitness House 126 04 ROSTELEKOMOSEEVSKY Mikhail Eduardovich 111 05online store "Utkonos" 107 06 Group of companies "Finams" 100 07er-Telecom Holdingkuyaev 99 08 Ozon (ozone) 94 Show the assessment of Person -cheatics Yevgeny Vladimirovich STRICK 349 02 -02 -Dmitry Vladimirovich 349 02 129 03-rhumin Andrey Valerievich Russian Networks 127 04 Luzhkov Yuri Mikhailovich 117 05Mamishev Vagif ImamovicavtoArmature 98 06 City Mimchenko Gennady Nikolaevichkhokkey Club "SKA" 92 07 Vyacheslavovich-Bank 79 08 Patrushev Andrei Nikolayevich 74 show all exclusive information about percliances about percliance Petersburg and Moscow. Watch all the specializations of the car (381) Associations of the Unions of the Party Funds (448) Banks and Finance (422) Business Safety (178) Business for Business (B2B) (674) Geodesy and Cartography (40) Urban Economy (136) Hotels and Hotels (125 ) The group of companies (39) Publishing house and printing (187) Computers and according to (640) Culture and art (356) Light industry (148) Forestry (168) Medicine and pharmaceuticals (469) Metal processing (188) Science and Education (649) Real Estate (488) Defense production (1) Public organizations (96) authorities (487) Food industry (325) Advertising and PR (444) Recruiting (115) Restaurant Business (459) Communication of the Internet (195) Agriculture (93) Media (105) The glass industry (19) insurance (93) Construction and repair (2544) Fuel and energy complex (ФЗ) (315) Trade and services (3124) Transport services (731) Tourism. Rest. Sports. Who "in" Business Petersburg "is a catalog of reference and contact information of companies and persons of St. Petersburg of the Leningrad Region and Moscow. It describes the details of biographies of representatives of business and social structures information about state institutions and public organizations. If you are our subscriber, then you can join us by sending an application through the site or by mail holiswho@dp.ru. Placement of information about companies and persons on the information and reference portal “Who is who” is available only to the subscribers of “Business Petersburg”. Attention! Your information will be published if the presented information is relevant and will also comply with the format and the rules for posting information. Elena Voronkoordinator of the project “Who is someone” on issues of posting and changing information on the site you can contact the project coordinator at Whoiswho@dp.ru. All the company Personvsa Personvsa Plastress-Dosielly Placement of Information Yandex.Dzen Telegram Rubricantinations and legal-owned-building reports TERPROPECT of the year of year of the subscribers -spectacular expert Club "DP" Base Real Estate Dpriting Billionar Region is some kind of somewear. RFWELCOMEZONEO "DP Business Press" about the fraud of subscription in the publication address 197022 Sankan-Petersburg st. Instrumental d. 8 pom. 74. Show on the map phone (812) 328-28-28 E-mail Gazeta@dp.ru © 1993-2023 All rights are protected by DP Business Press JSC is registered by the Federal Service for Supervision of Information Technologies and Mass Communications (Roskomnadzor (Roskomnadzor ) the number of the certificate of EL No. FS 77 - 65426 dated 04/18/2016. Functions with financial support from the Ministry of Digital Development of Communications and Mass Communications of the Russian Federation. The in agents were recognized in the Russian Federation: LLC “Television Channel Rain” Analytical Center of Yuri Levada, but “Fund for Combating Corruption” (recognized as an extremist organization), but the “Fund for the Protection of the Rights of Citizens” (recognized as an extremist organization) OD “Navalny headquarters” (recognized It is forbidden to extremist) this resource may contain materials 18+ Policy of the confidentiality of the use of information material -guard labor vehicle × if you are already registered: forgot the password? Or enter the account on social networks - this is the fastest! There is no account yet? Register for loading ..... Please Enable JavaScript to Continue Using this Application.</v>
      </c>
    </row>
    <row r="229">
      <c r="A229" s="1" t="s">
        <v>712</v>
      </c>
      <c r="B229" s="1" t="s">
        <v>728</v>
      </c>
      <c r="C229" s="1" t="s">
        <v>729</v>
      </c>
      <c r="D229" s="1">
        <v>10.0</v>
      </c>
      <c r="E229" s="4" t="s">
        <v>730</v>
      </c>
      <c r="F229" s="1" t="s">
        <v>16</v>
      </c>
      <c r="G229" s="1" t="s">
        <v>731</v>
      </c>
      <c r="H229" s="1" t="s">
        <v>732</v>
      </c>
      <c r="I229" s="2">
        <v>2.0</v>
      </c>
      <c r="J229" s="5" t="str">
        <f>IFERROR(__xludf.DUMMYFUNCTION("GOOGLETRANSLATE(A229)"),"in contact with")</f>
        <v>in contact with</v>
      </c>
      <c r="K229" s="6" t="str">
        <f>IFERROR(__xludf.DUMMYFUNCTION("GOOGLETRANSLATE(B229)"),"VK / Home")</f>
        <v>VK / Home</v>
      </c>
      <c r="L229" s="5" t="str">
        <f>IFERROR(__xludf.DUMMYFUNCTION("GOOGLETRANSLATE(C229)"),"Favorite services in classmates and VKontakte. Play, find the right one, meet you, follow your health and solve many other problems right on the social network ...")</f>
        <v>Favorite services in classmates and VKontakte. Play, find the right one, meet you, follow your health and solve many other problems right on the social network ...</v>
      </c>
      <c r="M229" s="5" t="str">
        <f>IFERROR(__xludf.DUMMYFUNCTION("GOOGLETRANSLATE(G229)"),"VK / Home of the company of the company what is vkorbedaktaktyktydl business alarerecarler -avakariravakancaricarrevakancar of the Pressepress and release of the press service vkinvestorinestor-westering news and events reports and materials-corporate con"&amp;"trols of bloga-calendarcontacts Cyal liability of the reporting of the Blogs of Blogs - the place to meet people and companies to unite around that it is really important to connect the services so that it is even more convenient for you to use loving ser"&amp;"vices by them In classmates and in vkontakteg, find the right thing, get to know your health and solve many other tasks directly on the social network - you will not need to download a separate application. All thanks to thousands of mini-applications on "&amp;"the VK Mini Apps platform. New skill or a new profession in the profession master new specialties and skills with Skillbox Geekbrains and other educational projects. Contact from bloggers of authors and branding and entertaining videos-all these are smart"&amp;" algorithms of platforms Zen is selected in accordance with your interests. Measures with entertainment with entertainment songs and new releases in VK music ribbons with the trends of Chellenge and Show are in VK clips of the game Streaming and ESISTORS "&amp;"- in VK Play. The most popular Russian applications are in one place of the markets of social networks and Much more - access to all the popular domestic services in Rustore in the country. All the most important services for everyday affairs are collecte"&amp;"d for productivity - from mail to the calendar. And to cope with the tasks will help the voice assistant Marusya. For business-casualtics and entertainment of the productivity of the attachment of the attachments of the mixture-freeware and the formation "&amp;"of the formation and data releases on November10, 2023rustore will collect mobile developers on the Rustore Mobile Conf10 2023-sore. VK: 57% of users plan to buy household appliances and electronics offline on November10, 2023VK for the fifth time, spends"&amp;" Day of the fight against cyberbulling on November 9, 2023, the results of VK for the third quarter and nine months of 2023, 2023, 2023 there will be able to show the advertisement of tracks and playlists to the audience of other executors using VK advert"&amp;"isements on November5 2023VK in honor of the opening of the Russian exhibition-forum to watch all the press release of what is what is what is what is Vkuccontacttroktyktydl of businessary-careeravicarre-strokesPress and release-conflicts press services f"&amp;"or vkinvestors. News and events reports and materials of the corporate action and dividend blogacalemic contacts for investors SESGOBOCEL BLOGOS")</f>
        <v>VK / Home of the company of the company what is vkorbedaktaktyktydl business alarerecarler -avakariravakancaricarrevakancar of the Pressepress and release of the press service vkinvestorinestor-westering news and events reports and materials-corporate controls of bloga-calendarcontacts Cyal liability of the reporting of the Blogs of Blogs - the place to meet people and companies to unite around that it is really important to connect the services so that it is even more convenient for you to use loving services by them In classmates and in vkontakteg, find the right thing, get to know your health and solve many other tasks directly on the social network - you will not need to download a separate application. All thanks to thousands of mini-applications on the VK Mini Apps platform. New skill or a new profession in the profession master new specialties and skills with Skillbox Geekbrains and other educational projects. Contact from bloggers of authors and branding and entertaining videos-all these are smart algorithms of platforms Zen is selected in accordance with your interests. Measures with entertainment with entertainment songs and new releases in VK music ribbons with the trends of Chellenge and Show are in VK clips of the game Streaming and ESISTORS - in VK Play. The most popular Russian applications are in one place of the markets of social networks and Much more - access to all the popular domestic services in Rustore in the country. All the most important services for everyday affairs are collected for productivity - from mail to the calendar. And to cope with the tasks will help the voice assistant Marusya. For business-casualtics and entertainment of the productivity of the attachment of the attachments of the mixture-freeware and the formation of the formation and data releases on November10, 2023rustore will collect mobile developers on the Rustore Mobile Conf10 2023-sore. VK: 57% of users plan to buy household appliances and electronics offline on November10, 2023VK for the fifth time, spends Day of the fight against cyberbulling on November 9, 2023, the results of VK for the third quarter and nine months of 2023, 2023, 2023 there will be able to show the advertisement of tracks and playlists to the audience of other executors using VK advertisements on November5 2023VK in honor of the opening of the Russian exhibition-forum to watch all the press release of what is what is what is what is Vkuccontacttroktyktydl of businessary-careeravicarre-strokesPress and release-conflicts press services for vkinvestors. News and events reports and materials of the corporate action and dividend blogacalemic contacts for investors SESGOBOCEL BLOGOS</v>
      </c>
    </row>
    <row r="230">
      <c r="A230" s="1" t="s">
        <v>712</v>
      </c>
      <c r="B230" s="1" t="s">
        <v>733</v>
      </c>
      <c r="D230" s="1">
        <v>11.0</v>
      </c>
      <c r="E230" s="4" t="s">
        <v>734</v>
      </c>
      <c r="F230" s="1" t="s">
        <v>16</v>
      </c>
      <c r="G230" s="1" t="s">
        <v>228</v>
      </c>
      <c r="H230" s="4" t="s">
        <v>229</v>
      </c>
      <c r="I230" s="2">
        <v>0.0</v>
      </c>
      <c r="J230" s="5" t="str">
        <f>IFERROR(__xludf.DUMMYFUNCTION("GOOGLETRANSLATE(A230)"),"in contact with")</f>
        <v>in contact with</v>
      </c>
      <c r="K230" s="6" t="str">
        <f>IFERROR(__xludf.DUMMYFUNCTION("GOOGLETRANSLATE(B230)"),"VKontakte group - teacher's working tool")</f>
        <v>VKontakte group - teacher's working tool</v>
      </c>
      <c r="M230" s="5" t="str">
        <f>IFERROR(__xludf.DUMMYFUNCTION("GOOGLETRANSLATE(G230)"),"Google �����������������������PlayYouTube����������������������������������������� ����������������������Blogger����������������������� �������� »Account Options��������������� ������� ���������� � ������� �������������������� ��������������� ������������"&amp;"������������� ��������������������")</f>
        <v>Google �����������������������PlayYouTube����������������������������������������� ����������������������Blogger����������������������� �������� »Account Options��������������� ������� ���������� � ������� �������������������� ��������������� ������������������������� ��������������������</v>
      </c>
    </row>
    <row r="231">
      <c r="A231" s="1" t="s">
        <v>712</v>
      </c>
      <c r="B231" s="4" t="s">
        <v>620</v>
      </c>
      <c r="D231" s="1">
        <v>12.0</v>
      </c>
      <c r="E231" s="4" t="s">
        <v>621</v>
      </c>
      <c r="F231" s="1" t="s">
        <v>16</v>
      </c>
      <c r="I231" s="2">
        <v>1.0</v>
      </c>
      <c r="J231" s="5" t="str">
        <f>IFERROR(__xludf.DUMMYFUNCTION("GOOGLETRANSLATE(A231)"),"in contact with")</f>
        <v>in contact with</v>
      </c>
      <c r="K231" s="7" t="str">
        <f>IFERROR(__xludf.DUMMYFUNCTION("GOOGLETRANSLATE(B231)"),"www.m.vk.ru/")</f>
        <v>www.m.vk.ru/</v>
      </c>
      <c r="M231" s="5" t="str">
        <f>IFERROR(__xludf.DUMMYFUNCTION("GOOGLETRANSLATE(G231)"),"#VALUE!")</f>
        <v>#VALUE!</v>
      </c>
    </row>
    <row r="232">
      <c r="A232" s="1" t="s">
        <v>712</v>
      </c>
      <c r="B232" s="1" t="s">
        <v>735</v>
      </c>
      <c r="C232" s="1" t="s">
        <v>736</v>
      </c>
      <c r="D232" s="1">
        <v>13.0</v>
      </c>
      <c r="E232" s="4" t="s">
        <v>737</v>
      </c>
      <c r="F232" s="1" t="s">
        <v>16</v>
      </c>
      <c r="G232" s="1" t="s">
        <v>738</v>
      </c>
      <c r="H232" s="4" t="s">
        <v>739</v>
      </c>
      <c r="I232" s="2">
        <v>3.0</v>
      </c>
      <c r="J232" s="5" t="str">
        <f>IFERROR(__xludf.DUMMYFUNCTION("GOOGLETRANSLATE(A232)"),"in contact with")</f>
        <v>in contact with</v>
      </c>
      <c r="K232" s="6" t="str">
        <f>IFERROR(__xludf.DUMMYFUNCTION("GOOGLETRANSLATE(B232)"),"VKontakte - News and Articles")</f>
        <v>VKontakte - News and Articles</v>
      </c>
      <c r="L232" s="5" t="str">
        <f>IFERROR(__xludf.DUMMYFUNCTION("GOOGLETRANSLATE(C232)"),"VKontakte is a social network belonging to Mail.Ru Group. According to Similarweb, VKontakte is the first most popular site in Russia and Ukraine, ...")</f>
        <v>VKontakte is a social network belonging to Mail.Ru Group. According to Similarweb, VKontakte is the first most popular site in Russia and Ukraine, ...</v>
      </c>
      <c r="M232" s="5" t="str">
        <f>IFERROR(__xludf.DUMMYFUNCTION("GOOGLETRANSLATE(G232)"),"Rb.ru - new business and career technologies in the digital economy rb.ru Events Chance Data Courses Close -to -Rabricow -Stewshobeshobeshobeshobravsnicanschanschanscmentsesrb.ru Coordinaries Complete the Material Controlram Vacation Medical Contactwitter"&amp;" -graders BERDZNENVSHNOSTYSTYSTYTEDSTOKOKARER FINTECH Maps Search Gamburger News-Business Technologies Podkodkadkarier Carter Finder Search Reducing the Budget of the Russian Federation Renaits Renaits for renting warehouses of the Party Initiatives for B"&amp;"usiness: The main thing on November 11 is to follow the News-Apartners relevant for entrepreneurs, what will be fintech in the world and Russia: trends and forecasts in 2022, the volume of the world fintech-market amounted to $ 13384 billion Rb.ru Founder"&amp;"s' Mondays invites the event to a meeting on November 13 ( IT) AL has started accepting applications on RB Digital Awards 2024 You can submit an application until December 1, 2023 News All News November 09:29 “Yandex Lavka” will open Darkmalls in Moscow a"&amp;"nd St. Petersburg on November 11, 19:59 Applications Verification for the goal of combating VPN To harm business - “Kommersant” November 11, 17:51 Generation Z considers the “equipment” of the digital avatar more important than the real image - 56% on Nov"&amp;"ember 11, 15:30, income of concerts and show organizers in 2023 will be 38% lower than 2019 - about 365 billion rubles November 11 14:53 Xiaomi submitted applications for the registration of trademarks for the new Hyperos operating system on November 11 1"&amp;"3:23 A quarter of students use ChatGPT to increase the uniqueness of their texts-the study of the possibility on November 12, 2023 Ecological Prizes of the Moscow government on November 12, 2023 Student agricultural Accelerator on November 14 2023 Selecti"&amp;"on of breakthrough IT solutions for business all opportunities to read more Julia Obrovets real estate expert and investment maternity capital as an investment. How to make money work for you? Maria Kovaleva Head of the Yandex Production Laboratory of Edu"&amp;"cational Technologies as companies to train IT employees to the right Graid Anton Makarov Founder Divan.ru Trends in the development of the furniture market in 2023-2024 Ekaterina Makhova lawyer of the Moscow Bar Aprilines “Princesses and Partners” how to"&amp;" share an individual entrepreneur at Divorce business all materials of history What will be the next generation of design managers Mentor conductor or intermediary? Columns are looking for shots: two options for companies that cannot find “Top” in the mar"&amp;"ket how to solve the issue of lack of high -level specialists in Longrids to “move to another country is not Rocket Science”. How Russian Founders build a marketplace for relocation, the story of the startup Migrun, how to start selling in China: the top "&amp;"of trading platforms in China is high demand for the Rosya products of history of 5 trends in Fudtech on which investors from coffee drinks are relying to convenient food stories after death: how they earn money Brand brand brand brands are dead-long live"&amp;" the brand of history Chinese bloggers use digital clones to produce “not real person”, the possibilities of November 12, 2023 Environmental awards of the Moscow government on November 12, 2023 Student agricultural aperture on November 14, 2023 Selection "&amp;"of breakthrough IT solutions For business, all the possibilities of technology are all materials of the history of Neuralink Mask is ready to implant chips for people - despite the scandals around its experiments with monkeys according to many of them, th"&amp;"is glove all allows you to feel the touch in VR it costs less Humane: What is known about the characteristics and capabilities of the gadget, it is conceived as a smartphone without a screen of a column game of digitalization: is it worth it to start busi"&amp;"ness and whether it is possible to stop the figure never sleeping history. The Swedish startup is developing roads that charge electric cars during the movement of the power of France and Sweden already interested The project of history how Copilot works-"&amp;"the assistant with generative AI on Windows 11 writes the code and the texts launches programs and not only the history of the agency from different countries introduce the AI ​​in predicting the technology weather, it works faster but less predictable to"&amp;" find the password from Wi-Firalostarter of Natives of Apple. The AI ​​PIN gadget with II-Presentation Commitoriyakim will be the next generation of design managerovnovostorsmisz Four venture funds launched a joint program for startups at the early stage "&amp;"of historiacak to find a virus on the phone and delete it: tips for users of Android careers all the materials of history what to do if you are the main pessimist in the team and how Avoid the reputation of the eternal skeptics of the column how to become"&amp;" a leader: a memo for beginner leaders why it is important to love your work and what is the thinking of a multiplier of the column as twice two: how to quickly master the profession of an online course developer, one of the industrial marketer profession"&amp;"s-what kind of profession is this profession Hyde in the demanded profession of history 3 signs that you got into a toxic team a positive attitude - not always a good sign of the history of performance paradox: what if the team processes but does not fulf"&amp;"ill the plan we go out into the study zone of surfing tattoo tattoo and leave to care for the pet: The most unusual working bonuses so employers designate their priorities and quirks subscribe to the newsletter, subscribe to the newsletter Rusbase subscri"&amp;"be to the “Subscribe” button you consent to the processing of your personal data. See other mailings in the section on other types of mailings can be found out in the subscription section Subscribe to the newsletter subscription to the newsletter of Rusba"&amp;"se Subscribe, see other mailings in the section on other types of mailings, you can find out in the section RB.ru subscription about the company Advertising Tags to write all materials Services Chance Marketplace Data Courses Pipeline Social Telegram VKon"&amp;"takte Twitter Twitter Viber Zen Tiktok RBTOKARA LLC © 2012-2023 Khosting and technical support systems of Privacy Politicophary Password E-Mail PAROLLAGRASTITION IS A PIT? Registration for Rusbaseyamyapamiliae-mailparol, clicking on the ""Register"" butto"&amp;"n I agree with the terms of the user agreement if you forgot the password we will send it to you by e-mail your email")</f>
        <v>Rb.ru - new business and career technologies in the digital economy rb.ru Events Chance Data Courses Close -to -Rabricow -Stewshobeshobeshobeshobravsnicanschanschanscmentsesrb.ru Coordinaries Complete the Material Controlram Vacation Medical Contactwitter -graders BERDZNENVSHNOSTYSTYSTYTEDSTOKOKARER FINTECH Maps Search Gamburger News-Business Technologies Podkodkadkarier Carter Finder Search Reducing the Budget of the Russian Federation Renaits Renaits for renting warehouses of the Party Initiatives for Business: The main thing on November 11 is to follow the News-Apartners relevant for entrepreneurs, what will be fintech in the world and Russia: trends and forecasts in 2022, the volume of the world fintech-market amounted to $ 13384 billion Rb.ru Founders' Mondays invites the event to a meeting on November 13 ( IT) AL has started accepting applications on RB Digital Awards 2024 You can submit an application until December 1, 2023 News All News November 09:29 “Yandex Lavka” will open Darkmalls in Moscow and St. Petersburg on November 11, 19:59 Applications Verification for the goal of combating VPN To harm business - “Kommersant” November 11, 17:51 Generation Z considers the “equipment” of the digital avatar more important than the real image - 56% on November 11, 15:30, income of concerts and show organizers in 2023 will be 38% lower than 2019 - about 365 billion rubles November 11 14:53 Xiaomi submitted applications for the registration of trademarks for the new Hyperos operating system on November 11 13:23 A quarter of students use ChatGPT to increase the uniqueness of their texts-the study of the possibility on November 12, 2023 Ecological Prizes of the Moscow government on November 12, 2023 Student agricultural Accelerator on November 14 2023 Selection of breakthrough IT solutions for business all opportunities to read more Julia Obrovets real estate expert and investment maternity capital as an investment. How to make money work for you? Maria Kovaleva Head of the Yandex Production Laboratory of Educational Technologies as companies to train IT employees to the right Graid Anton Makarov Founder Divan.ru Trends in the development of the furniture market in 2023-2024 Ekaterina Makhova lawyer of the Moscow Bar Aprilines “Princesses and Partners” how to share an individual entrepreneur at Divorce business all materials of history What will be the next generation of design managers Mentor conductor or intermediary? Columns are looking for shots: two options for companies that cannot find “Top” in the market how to solve the issue of lack of high -level specialists in Longrids to “move to another country is not Rocket Science”. How Russian Founders build a marketplace for relocation, the story of the startup Migrun, how to start selling in China: the top of trading platforms in China is high demand for the Rosya products of history of 5 trends in Fudtech on which investors from coffee drinks are relying to convenient food stories after death: how they earn money Brand brand brand brands are dead-long live the brand of history Chinese bloggers use digital clones to produce “not real person”, the possibilities of November 12, 2023 Environmental awards of the Moscow government on November 12, 2023 Student agricultural aperture on November 14, 2023 Selection of breakthrough IT solutions For business, all the possibilities of technology are all materials of the history of Neuralink Mask is ready to implant chips for people - despite the scandals around its experiments with monkeys according to many of them, this glove all allows you to feel the touch in VR it costs less Humane: What is known about the characteristics and capabilities of the gadget, it is conceived as a smartphone without a screen of a column game of digitalization: is it worth it to start business and whether it is possible to stop the figure never sleeping history. The Swedish startup is developing roads that charge electric cars during the movement of the power of France and Sweden already interested The project of history how Copilot works-the assistant with generative AI on Windows 11 writes the code and the texts launches programs and not only the history of the agency from different countries introduce the AI ​​in predicting the technology weather, it works faster but less predictable to find the password from Wi-Firalostarter of Natives of Apple. The AI ​​PIN gadget with II-Presentation Commitoriyakim will be the next generation of design managerovnovostorsmisz Four venture funds launched a joint program for startups at the early stage of historiacak to find a virus on the phone and delete it: tips for users of Android careers all the materials of history what to do if you are the main pessimist in the team and how Avoid the reputation of the eternal skeptics of the column how to become a leader: a memo for beginner leaders why it is important to love your work and what is the thinking of a multiplier of the column as twice two: how to quickly master the profession of an online course developer, one of the industrial marketer professions-what kind of profession is this profession Hyde in the demanded profession of history 3 signs that you got into a toxic team a positive attitude - not always a good sign of the history of performance paradox: what if the team processes but does not fulfill the plan we go out into the study zone of surfing tattoo tattoo and leave to care for the pet: The most unusual working bonuses so employers designate their priorities and quirks subscribe to the newsletter, subscribe to the newsletter Rusbase subscribe to the “Subscribe” button you consent to the processing of your personal data. See other mailings in the section on other types of mailings can be found out in the subscription section Subscribe to the newsletter subscription to the newsletter of Rusbase Subscribe, see other mailings in the section on other types of mailings, you can find out in the section RB.ru subscription about the company Advertising Tags to write all materials Services Chance Marketplace Data Courses Pipeline Social Telegram VKontakte Twitter Twitter Viber Zen Tiktok RBTOKARA LLC © 2012-2023 Khosting and technical support systems of Privacy Politicophary Password E-Mail PAROLLAGRASTITION IS A PIT? Registration for Rusbaseyamyapamiliae-mailparol, clicking on the "Register" button I agree with the terms of the user agreement if you forgot the password we will send it to you by e-mail your email</v>
      </c>
    </row>
    <row r="233">
      <c r="A233" s="1" t="s">
        <v>712</v>
      </c>
      <c r="B233" s="1" t="s">
        <v>740</v>
      </c>
      <c r="D233" s="1">
        <v>14.0</v>
      </c>
      <c r="E233" s="4" t="s">
        <v>741</v>
      </c>
      <c r="F233" s="1" t="s">
        <v>16</v>
      </c>
      <c r="G233" s="1" t="s">
        <v>228</v>
      </c>
      <c r="H233" s="4" t="s">
        <v>229</v>
      </c>
      <c r="I233" s="2">
        <v>1.0</v>
      </c>
      <c r="J233" s="5" t="str">
        <f>IFERROR(__xludf.DUMMYFUNCTION("GOOGLETRANSLATE(A233)"),"in contact with")</f>
        <v>in contact with</v>
      </c>
      <c r="K233" s="6" t="str">
        <f>IFERROR(__xludf.DUMMYFUNCTION("GOOGLETRANSLATE(B233)"),"How to hack vkontakte pages? - The result from Google Books")</f>
        <v>How to hack vkontakte pages? - The result from Google Books</v>
      </c>
      <c r="M233" s="5" t="str">
        <f>IFERROR(__xludf.DUMMYFUNCTION("GOOGLETRANSLATE(G233)"),"Google �����������������������PlayYouTube����������������������������������������� ����������������������Blogger����������������������� �������� »Account Options��������������� ������� ���������� � ������� �������������������� ��������������� ������������"&amp;"������������� ��������������������")</f>
        <v>Google �����������������������PlayYouTube����������������������������������������� ����������������������Blogger����������������������� �������� »Account Options��������������� ������� ���������� � ������� �������������������� ��������������� ������������������������� ��������������������</v>
      </c>
    </row>
    <row r="234">
      <c r="A234" s="1" t="s">
        <v>712</v>
      </c>
      <c r="B234" s="1" t="s">
        <v>742</v>
      </c>
      <c r="D234" s="1">
        <v>15.0</v>
      </c>
      <c r="E234" s="4" t="s">
        <v>743</v>
      </c>
      <c r="F234" s="1" t="s">
        <v>16</v>
      </c>
      <c r="G234" s="1" t="s">
        <v>228</v>
      </c>
      <c r="H234" s="4" t="s">
        <v>229</v>
      </c>
      <c r="I234" s="2">
        <v>1.0</v>
      </c>
      <c r="J234" s="5" t="str">
        <f>IFERROR(__xludf.DUMMYFUNCTION("GOOGLETRANSLATE(A234)"),"in contact with")</f>
        <v>in contact with</v>
      </c>
      <c r="K234" s="6" t="str">
        <f>IFERROR(__xludf.DUMMYFUNCTION("GOOGLETRANSLATE(B234)"),"Women's business VKontakte without a million in your pocket")</f>
        <v>Women's business VKontakte without a million in your pocket</v>
      </c>
      <c r="M234" s="5" t="str">
        <f>IFERROR(__xludf.DUMMYFUNCTION("GOOGLETRANSLATE(G234)"),"Google �����������������������PlayYouTube����������������������������������������� ����������������������Blogger����������������������� �������� »Account Options��������������� ������� ���������� � ������� �������������������� ��������������� ������������"&amp;"������������� ��������������������")</f>
        <v>Google �����������������������PlayYouTube����������������������������������������� ����������������������Blogger����������������������� �������� »Account Options��������������� ������� ���������� � ������� �������������������� ��������������� ������������������������� ��������������������</v>
      </c>
    </row>
    <row r="235">
      <c r="A235" s="1" t="s">
        <v>712</v>
      </c>
      <c r="B235" s="1" t="s">
        <v>744</v>
      </c>
      <c r="C235" s="1" t="s">
        <v>745</v>
      </c>
      <c r="D235" s="1">
        <v>16.0</v>
      </c>
      <c r="E235" s="4" t="s">
        <v>746</v>
      </c>
      <c r="F235" s="1" t="s">
        <v>16</v>
      </c>
      <c r="G235" s="1" t="s">
        <v>747</v>
      </c>
      <c r="H235" s="4" t="s">
        <v>748</v>
      </c>
      <c r="I235" s="2">
        <v>5.0</v>
      </c>
      <c r="J235" s="5" t="str">
        <f>IFERROR(__xludf.DUMMYFUNCTION("GOOGLETRANSLATE(A235)"),"in contact with")</f>
        <v>in contact with</v>
      </c>
      <c r="K235" s="6" t="str">
        <f>IFERROR(__xludf.DUMMYFUNCTION("GOOGLETRANSLATE(B235)"),"Urgently in public! 5 communities on proper nutrition in")</f>
        <v>Urgently in public! 5 communities on proper nutrition in</v>
      </c>
      <c r="L235" s="5" t="str">
        <f>IFERROR(__xludf.DUMMYFUNCTION("GOOGLETRANSLATE(C235)"),"2 days ago -")</f>
        <v>2 days ago -</v>
      </c>
      <c r="M235" s="5" t="str">
        <f>IFERROR(__xludf.DUMMYFUNCTION("GOOGLETRANSLATE(G235)"),"News of advertising and marketing | Adindex.ru-Osciller cabinet-based publishing an interviewsproektyammy! Substantisharsov-Novosti-Remoittings NewDigitalremadiamadiadihnology CaptegoriaOh and Indoorbtl / event Services / BTLDIDIZHIL Services / Digital Se"&amp;"rvicemedia / Mediaadtech / Martechkhodroygoykatalogyxadysadindy -calendar of the events of the events Mapsadindex City Confereseadindex Award Branddigital Brand Daywolf DEX contacts+7 495 789-47-49+7 909 622-90-02info@adindex.ru on social networks: News N"&amp;"ews News We Express the Main News for November 10 20:18 | Apple's trend for discrimination for discrimination of advertising in WhatsApp and the date of “disclosure of potential” of AI from marketers - news review in foreign media 18:42 | The trends have "&amp;"said #non -kyberbulling and shot a social thriller with Christina Asmus 16:51 | Social projects non-fiction of books about the game industry grew by 20% 15:22 | Read trends 60% of Russians surveyed plan to buy household appliances and electronics in offli"&amp;"ne 12:18 | Studies by the Drozdov from ""In the world of animals"" made ""in the world of"" dentists """" for ""tasty - and points"" 11:10 | CreativeVadim Sokolovsky was appointed General Director of Amedia Production 09:21 | The personnelactivity of buye"&amp;"rs at sales decreased by 4-7% 08:16 | Trends of the Card to Adventure Tourism in Russia grew by 30% 07:50 | Video conferencing services trends in Russia can grow to $ 40 million 07:46 | The trends of news of the focus of attention We say the main news for"&amp;" November 10, VK said #Netkiberbulling Vadim Sokolovsky was appointed general director of AMedia Production, customer activity at the sale of Apple’s penalty for discrimination for the WhatsApp advertisement and the date of “Disclosure of Potential” and m"&amp;"arketer from the marketer to Plik! 5 communities on proper nutrition in VKontakte Alina Chereshneva VK: “Client happiness needs to be digitized in any case,” the news of the Megafon partners is resurrected the cost of traffic in online stores of Kutserin "&amp;"Kutsyna, the director of the digital platforms “Everest” spoke about the research of advertising campaigns on November10 The Socialist agency will hold the online forces of the focusing focus that they choose and with whom they compare: what can be found "&amp;"out about competitors from social media, marketing director of Brand Analytics Valentina Zykova about competitive analysis of the social networks of blogs and outlets on the example of domestic cosmetics brands as a company perceives the use of AI in busi"&amp;"ness and everyday life How widely the AI ​​penetrated our lives and work how to apply neural networks in business and what people are afraid of using such technologies for ratings ratings ratings Adindex# -Rating1mpstats No. 103232AdMitad №1CPA/Partnershi"&amp;"ps 20233POLAD VIDEO podcasts of interviews and sales: why there are conflicts And how to solve them interviews in fashion: how are the changes in this area affect the ADSUP Mirkeisycase and the MAXIM taxi service: how to attract unique users from the Asia"&amp;" -like Nectarin and Miratorg: how to get 48 million impressions for 2 months of the Case of the Logic agency: How to reduce the cost of Lida more than two times the Rosst Case: how to increase the share of the male audience by more than 60%CAS STS and Dom"&amp;"klik: how to find the key to the efficiency of the BYYD and Cherkizovo efficiency and Cherkizovo. : how to increase the recognition of the brand by 60% using the Rewarded Video Adskeis “Trajectory” and the Kit Soler agency: how to reduce the SDR in three "&amp;"months by increasing sales by 15% AGM case: how long -term interests from the site metric can help in targeted advertising Case “Samokat” and Adventum: how to increase the revenue from users 25 times in the publication of publication of publication in a p"&amp;"ublic with the help of notifications! 5 of communities on proper nutrition on VKontakte together with VKontakte, we present a new selection of publics: this time Adindex identified the most popular communities about the proper nutrition of marketings that"&amp;" they choose and with whom they compare: what can be found out about competitors from social impedia to find out what consumers value In the products of competitors, why they choose or shut off, it is not necessary to carry out expensive research to use i"&amp;"ndustrial espionage and competitive intelligence. Users ... COMPARY OF HOUSE SOCIENTS The Society perceives the application of AI in business and everyday life how widely AI penetrated our lives and work how to apply neural networks in business and what p"&amp;"eople are afraid of using such technologies. This is not only stated in the first two parts of the icontext study ... Technologies “Neuroset and a person work in tandem”: how Fix Price uses neural networks to work with the content of images for packaging "&amp;"the personalization of letters and the creation of distributions - what tasks can solve the neural networks in retail The Fix Price Communications Director ... of the UAE conjunctural facilities: where and why go to Russian advertisers, the United Arab Em"&amp;"irates have been experiencing an influx of Russian citizens, including entrepreneurs, told the column. And they are facing the question of promotion in new markets. About which channels should be used ... Agencylidia Pozdnyakov Adwile: “That Message with "&amp;"whom the brand goes to the consumer is important” Despite the law on the labeling of advertising, the native handling of creativity in the form of recommendations does not lose its relevance. About what is native TGB (textual and graphic blocks.-Approx. E"&amp;"d.) From what amount ... canal in the public! 4 Communities on VKontakte facts, together with VKontakte, present a new selection of publics: this time Adindex identified the most popular communities about the facts of the day Cultural Exchange psychology "&amp;"for the PRA: 5 books that will improve your communications skills to the PR manager who does not know how to make contacts in The work is not easy. Someone has done this without problems since childhood and someone has to work on themselves. Together with"&amp;" the book service “Liters” ... Adindex twalin Chereshnev VK: “Client happiness needs to be digitized in any case” more than half of consumers are going to buy New Year's gifts for seasonal sales of the Efimov Omd Resolution: “Now the time is more importan"&amp;"t when the branding” Afisha09/11matemarketing14 /11th marketer conference22/11china Business forum23/11 “Sales Main” 30/11tinkoff Ecommerce 202330/11th of corporate education-202330/11ADIDEX Awards01/12russian Creative Award Propro a megamarket project an"&amp;"d Adindex about gifts and care. Play the game share your stories with market colleagues and receive gifts from an updated marketplace. How to protect the media project together with Yandex Advertising, together with the Yandex Advertising team, we have cr"&amp;"eated an interactive guide for protecting the media project: in it you will face the insidious issues of three experts about budget covers and efficiency with our hero. ... Go Up 2023: “On the threshold of an advertisement Singolarity ”Adindex output conf"&amp;"erence on how the advertising market changes and what future the future awaits us all. Adindex City 2023. The entire conference content was talked about on Adindex City Conference. Records of presentation sections of interviews with speakers and other use"&amp;"ful content. Ratingswalls Ratingspieces of Adindex Ratings #parting 11mpstats No. 1statomatization of sales on marketplaces 20232admitad №1cpa/Partnerships 20233BUZZOLA No. 1933BUZOLA VIDEO 2023ADINDECHNOLOGY MAP 2023ADVERADERTSING MAP 202 3Digital MAP 20"&amp;"22/2023TECHNOLOGY MAP 2022ADVERTISING MAP 202221TECHNOLOGY MAP 2021ADVERDERTISING MAP 2020TECHNOLOGY MAP 2020 © Adindex. RU 2023 Conditions for the publication of the Federal Service for Supervision of the Communications of Information Technologies and Ma"&amp;"ss Communications (Roskomnadzor) of March 07, 2017. EL No. FS 77 - 68950 Founder: LLC ""A.A.I."" Editor: Eshnazarova Tatyana Azamatovna all information about the license of a group of confidentiality -usualPlassic agreement on the processing of personal d"&amp;"ata mockery for the processing of personal data on the Adindex.ru website applies recommendation technologies (information technologies for providing information on the systematization and analysis of information related to the preferences of users of the"&amp;" Internet of those located on the territory of the Russian Federation). Detailed information of the Menu -designer for the project on the site of the Partnies -Kutalognovoshtynashi products of products of the foods Print EditionDionadindex MarketAdindex M"&amp;"apsmys on communication contacttorsTelegram -classmate ! Podkastyafisharss-Novosti-Radostytigitalrekhotiamediamadiachnologycategoryohoh and indoorbtl/EventiChasyxyadic-calendar of the events of the events Mapsadindex City Conference 2020201920 7adindex Aw"&amp;"ards20222022021202019 Brand 202220220212020202018Digital Brand DAY20232022202120-22020/Adindex contacts")</f>
        <v>News of advertising and marketing | Adindex.ru-Osciller cabinet-based publishing an interviewsproektyammy! Substantisharsov-Novosti-Remoittings NewDigitalremadiamadiadihnology CaptegoriaOh and Indoorbtl / event Services / BTLDIDIZHIL Services / Digital Servicemedia / Mediaadtech / Martechkhodroygoykatalogyxadysadindy -calendar of the events of the events Mapsadindex City Confereseadindex Award Branddigital Brand Daywolf DEX contacts+7 495 789-47-49+7 909 622-90-02info@adindex.ru on social networks: News News News We Express the Main News for November 10 20:18 | Apple's trend for discrimination for discrimination of advertising in WhatsApp and the date of “disclosure of potential” of AI from marketers - news review in foreign media 18:42 | The trends have said #non -kyberbulling and shot a social thriller with Christina Asmus 16:51 | Social projects non-fiction of books about the game industry grew by 20% 15:22 | Read trends 60% of Russians surveyed plan to buy household appliances and electronics in offline 12:18 | Studies by the Drozdov from "In the world of animals" made "in the world of" dentists "" for "tasty - and points" 11:10 | CreativeVadim Sokolovsky was appointed General Director of Amedia Production 09:21 | The personnelactivity of buyers at sales decreased by 4-7% 08:16 | Trends of the Card to Adventure Tourism in Russia grew by 30% 07:50 | Video conferencing services trends in Russia can grow to $ 40 million 07:46 | The trends of news of the focus of attention We say the main news for November 10, VK said #Netkiberbulling Vadim Sokolovsky was appointed general director of AMedia Production, customer activity at the sale of Apple’s penalty for discrimination for the WhatsApp advertisement and the date of “Disclosure of Potential” and marketer from the marketer to Plik! 5 communities on proper nutrition in VKontakte Alina Chereshneva VK: “Client happiness needs to be digitized in any case,” the news of the Megafon partners is resurrected the cost of traffic in online stores of Kutserin Kutsyna, the director of the digital platforms “Everest” spoke about the research of advertising campaigns on November10 The Socialist agency will hold the online forces of the focusing focus that they choose and with whom they compare: what can be found out about competitors from social media, marketing director of Brand Analytics Valentina Zykova about competitive analysis of the social networks of blogs and outlets on the example of domestic cosmetics brands as a company perceives the use of AI in business and everyday life How widely the AI ​​penetrated our lives and work how to apply neural networks in business and what people are afraid of using such technologies for ratings ratings ratings Adindex# -Rating1mpstats No. 103232AdMitad №1CPA/Partnerships 20233POLAD VIDEO podcasts of interviews and sales: why there are conflicts And how to solve them interviews in fashion: how are the changes in this area affect the ADSUP Mirkeisycase and the MAXIM taxi service: how to attract unique users from the Asia -like Nectarin and Miratorg: how to get 48 million impressions for 2 months of the Case of the Logic agency: How to reduce the cost of Lida more than two times the Rosst Case: how to increase the share of the male audience by more than 60%CAS STS and Domklik: how to find the key to the efficiency of the BYYD and Cherkizovo efficiency and Cherkizovo. : how to increase the recognition of the brand by 60% using the Rewarded Video Adskeis “Trajectory” and the Kit Soler agency: how to reduce the SDR in three months by increasing sales by 15% AGM case: how long -term interests from the site metric can help in targeted advertising Case “Samokat” and Adventum: how to increase the revenue from users 25 times in the publication of publication of publication in a public with the help of notifications! 5 of communities on proper nutrition on VKontakte together with VKontakte, we present a new selection of publics: this time Adindex identified the most popular communities about the proper nutrition of marketings that they choose and with whom they compare: what can be found out about competitors from social impedia to find out what consumers value In the products of competitors, why they choose or shut off, it is not necessary to carry out expensive research to use industrial espionage and competitive intelligence. Users ... COMPARY OF HOUSE SOCIENTS The Society perceives the application of AI in business and everyday life how widely AI penetrated our lives and work how to apply neural networks in business and what people are afraid of using such technologies. This is not only stated in the first two parts of the icontext study ... Technologies “Neuroset and a person work in tandem”: how Fix Price uses neural networks to work with the content of images for packaging the personalization of letters and the creation of distributions - what tasks can solve the neural networks in retail The Fix Price Communications Director ... of the UAE conjunctural facilities: where and why go to Russian advertisers, the United Arab Emirates have been experiencing an influx of Russian citizens, including entrepreneurs, told the column. And they are facing the question of promotion in new markets. About which channels should be used ... Agencylidia Pozdnyakov Adwile: “That Message with whom the brand goes to the consumer is important” Despite the law on the labeling of advertising, the native handling of creativity in the form of recommendations does not lose its relevance. About what is native TGB (textual and graphic blocks.-Approx. Ed.) From what amount ... canal in the public! 4 Communities on VKontakte facts, together with VKontakte, present a new selection of publics: this time Adindex identified the most popular communities about the facts of the day Cultural Exchange psychology for the PRA: 5 books that will improve your communications skills to the PR manager who does not know how to make contacts in The work is not easy. Someone has done this without problems since childhood and someone has to work on themselves. Together with the book service “Liters” ... Adindex twalin Chereshnev VK: “Client happiness needs to be digitized in any case” more than half of consumers are going to buy New Year's gifts for seasonal sales of the Efimov Omd Resolution: “Now the time is more important when the branding” Afisha09/11matemarketing14 /11th marketer conference22/11china Business forum23/11 “Sales Main” 30/11tinkoff Ecommerce 202330/11th of corporate education-202330/11ADIDEX Awards01/12russian Creative Award Propro a megamarket project and Adindex about gifts and care. Play the game share your stories with market colleagues and receive gifts from an updated marketplace. How to protect the media project together with Yandex Advertising, together with the Yandex Advertising team, we have created an interactive guide for protecting the media project: in it you will face the insidious issues of three experts about budget covers and efficiency with our hero. ... Go Up 2023: “On the threshold of an advertisement Singolarity ”Adindex output conference on how the advertising market changes and what future the future awaits us all. Adindex City 2023. The entire conference content was talked about on Adindex City Conference. Records of presentation sections of interviews with speakers and other useful content. Ratingswalls Ratingspieces of Adindex Ratings #parting 11mpstats No. 1statomatization of sales on marketplaces 20232admitad №1cpa/Partnerships 20233BUZZOLA No. 1933BUZOLA VIDEO 2023ADINDECHNOLOGY MAP 2023ADVERADERTSING MAP 202 3Digital MAP 2022/2023TECHNOLOGY MAP 2022ADVERTISING MAP 202221TECHNOLOGY MAP 2021ADVERDERTISING MAP 2020TECHNOLOGY MAP 2020 © Adindex. RU 2023 Conditions for the publication of the Federal Service for Supervision of the Communications of Information Technologies and Mass Communications (Roskomnadzor) of March 07, 2017. EL No. FS 77 - 68950 Founder: LLC "A.A.I." Editor: Eshnazarova Tatyana Azamatovna all information about the license of a group of confidentiality -usualPlassic agreement on the processing of personal data mockery for the processing of personal data on the Adindex.ru website applies recommendation technologies (information technologies for providing information on the systematization and analysis of information related to the preferences of users of the Internet of those located on the territory of the Russian Federation). Detailed information of the Menu -designer for the project on the site of the Partnies -Kutalognovoshtynashi products of products of the foods Print EditionDionadindex MarketAdindex Mapsmys on communication contacttorsTelegram -classmate ! Podkastyafisharss-Novosti-Radostytigitalrekhotiamediamadiachnologycategoryohoh and indoorbtl/EventiChasyxyadic-calendar of the events of the events Mapsadindex City Conference 2020201920 7adindex Awards20222022021202019 Brand 202220220212020202018Digital Brand DAY20232022202120-22020/Adindex contacts</v>
      </c>
    </row>
    <row r="236">
      <c r="A236" s="1" t="s">
        <v>712</v>
      </c>
      <c r="B236" s="1" t="s">
        <v>597</v>
      </c>
      <c r="C236" s="1" t="s">
        <v>749</v>
      </c>
      <c r="D236" s="1">
        <v>17.0</v>
      </c>
      <c r="E236" s="4" t="s">
        <v>750</v>
      </c>
      <c r="F236" s="1" t="s">
        <v>16</v>
      </c>
      <c r="G236" s="1" t="s">
        <v>751</v>
      </c>
      <c r="H236" s="4" t="s">
        <v>752</v>
      </c>
      <c r="I236" s="2">
        <v>3.0</v>
      </c>
      <c r="J236" s="5" t="str">
        <f>IFERROR(__xludf.DUMMYFUNCTION("GOOGLETRANSLATE(A236)"),"in contact with")</f>
        <v>in contact with</v>
      </c>
      <c r="K236" s="6" t="str">
        <f>IFERROR(__xludf.DUMMYFUNCTION("GOOGLETRANSLATE(B236)"),"In contact with")</f>
        <v>In contact with</v>
      </c>
      <c r="L236" s="5" t="str">
        <f>IFERROR(__xludf.DUMMYFUNCTION("GOOGLETRANSLATE(C236)"),"Description: VKontakte unites millions of people, allowing you to communicate and exchange news from anywhere in the world. You can send messages, share ...")</f>
        <v>Description: VKontakte unites millions of people, allowing you to communicate and exchange news from anywhere in the world. You can send messages, share ...</v>
      </c>
      <c r="M236" s="5" t="str">
        <f>IFERROR(__xludf.DUMMYFUNCTION("GOOGLETRANSLATE(G236)"),"4PDA����������������������� ������ ��������������������������� ������ ������������������������ ������ ������������DevDB������� ����������� � ��������������� ������ ������������������� �������������� ������ ��������������-������������� ������ �������������"&amp;"���������������������� ��������� ���������������������������� ��������� ����������������� ������������ ��������� ������������������������������ ��������� ���������������������������� ��������� ������������������������� ��������� ��������������������������"&amp;"������������������ ������ ��������������������������� ������ ������������������������ ������ ������������DevDB������� ����������� � ��������������� ������ ������������������� �������������� ������ ��������������-������������� ������ ����������������������"&amp;"������������� ��������� ���������������������������� ��������� ����������������� ������������ ��������� ������������������������������ ��������� ���������������������������� ��������� ������������������������� ��������� ���������������������    ���2011.11"&amp;".23News��������� ���� ������-������: ��� HUAWEI MateBook D16 �������� � ������?����������� ����������� �� �� �������� ���������� ����� ��� ������������. � ��������� �� ����� �� �������� ����������� ����� � ��������� � ����� ���������. � HUAWEI MateBook D1"&amp;"6 ���� ��� ����������� ��� ���������� ������ ����� �� �������. ������������ ��� ��������� ��� ������ � �������� ������������ ������������� �������� ����������. # HUAWEI HUAWEI MateBook D16�����2711.11.23������ �������� ������� ������� ����������� �� �����"&amp;"����� �� ����� ���������� �������������� �� ������ ��������� ���� �� ���������� �� ����������� ���� ��������� ������������� ���������� � ����. ������� ������ ����� ����� � 200 ������� ����������� ������� ���������� ���������� ������������� ������ ��������"&amp;"� ����� �������� ������������ ����������� �� ���������. �����&lt;div&gt;&lt;/div&gt;&lt;div&gt;&lt;/div&gt;&lt;div&gt;&lt;/div&gt;&lt;a href='/2023/11/12/5941970/' target='_blank'&gt;&lt;img src='https://4pda.to/s/as6yz0trtkPQebz1ermz2EylMGHkIz0lgV7WHDqKU6O5VrENk8Tc05ciIvOk.jpg'  title=''  /&gt;&lt;/a&gt;&lt;di"&amp;"v &gt;&lt;img src='https://4pda.to/s/as6yvl4DoepPz1rrtZNkaja13rwHs.gif'     /&gt;&lt;/div&gt;&lt;div&gt;&lt;/div&gt;&lt;div&gt;&lt;/div&gt;1611.11.23������ �����Xbox �������� ����� 20 ��� ��������� �� ������� � � ��� ���� ������ ��� � 2022-�Microsoft ���������� �������� � ���������� � ������� "&amp;"�������� �� �������� Xbox. � �������� ���������� ���������� ����� ���������� ������� �������� �� ����������. # Microsoft�����2911.11.23������ ���������� ��������� ��������������� ��� ���������������� Blind Spot Gear �� ������ ������� LumiCard � ����� ����"&amp;"��� ���������� �� �������� � ������ ���������. ���������� �������� � ���������� �������� ������������ ������� � 500 ����� �������� ������� ��� �������� ���� � ������ �������.  �����6511.11.23������ ������� ������� � ���� ��������� ������� ����� � ��������"&amp;"��� LTA Research ������������� ����������� Google ������� ������ ��������� � ������ ���������� ��������� ��������� Pathfinder 1 � ������ �������� � ���� ������������ ��������. � ����� �������� ��������� 1245 ����� � ��� ����������� ��� Boeing-737. ����� �"&amp;"����811.11.23News����� ILIFE T10S: ��� �� � ���� ����� � �� ����� � �� ����������� �� ������� ����������� ����������� �������-��������� �� � ����� ��������� ������ � ������������� ���������� �������. ��� ������ ������������ ������������ ��� ���� ������� �"&amp;"�������������� ������� �������. ��� � ���������� ILIFE T10S. # ����� ILIFE ILIFE T10S�����1111.11.23������ ���������� ������� ���������� ������� ��������� �������� �� ������������������� �� ������������� ������������ ������������ � ������������ ������� ��"&amp;"����� �������� ��� ��������� ������������ ������� ��������� ������������. ��� �������� ���������� ������� �������� � ���������� �������� �������������� ���� �� ������� ���� ����� �������� �� ����. �����&lt;div&gt;&lt;/div&gt;&lt;div&gt;&lt;/div&gt;&lt;div&gt;&lt;/div&gt;&lt;a href='/2023/11/12"&amp;"/8196196/' target='_blank'&gt;&lt;img src='https://4pda.to/s/as6yz2pQlot8w5b66uz0WbaVlcz2gBfXZYRHamFXO0knf7BPCQ8hdpD1t3K.jpg'  title=''  /&gt;&lt;/a&gt;&lt;div &gt;&lt;img src='https://4pda.to/s/as6yu42hlyXjD7kQLqbvVMOGid.gif'     /&gt;&lt;/div&gt;&lt;div&gt;&lt;/div&gt;&lt;div&gt;&lt;/div&gt;1511.11.23������ �"&amp;"����������� OTEC ������� ������� ������������ ������������������ ������� Global OTEC ������ � ���� ����� ��������� ���������� �������������� �������� ������� ������ ��� ��������� ��������� ����������. ��� � 2026 ���� ����������� ���������� ��������� �����"&amp;"���� 15 ��� � ������������������ ���-���� � ��������. �����1011.11.23������ ���������� Baldur�s Gate III �������� ���-������� ��� ��������� ���� Paramore [�����]�� ����� ����������� Baldur�s Gate III ������ ����� ������������� � ������ ����������� ����� �"&amp;"������ � ����������� �������. � ���� �� ���������� ��� ������� ��������� � ������� ��������� ��� ������������� �����������. �����1211.11.23������ ����������� �������� ��������� �������� ��������������� �������������� ���������� ����������� � ����������� �"&amp;"��������� ������� ����� � ������� ����� �������� ����������� ������ ��������� �������� MACS0416 ������� ��������� � ���������� ������� ���� ������� ���������. ��� �������� ��������������� ������ ��-�� ���� ��� ��� ��������� � ����������� ���������� ������"&amp;"��� ���������� �����. �����3111.11.23������ �������Ulefone Power Armor 18T Ultra � ������������ � ������������ � ��� �� 9600 ������������� �������� � ��� �� ������ ������� ������� ��� ����������� �� � ������ ���������� ����� ��� ������������ ������ �� ���"&amp;"������ � �������� �������������� ������������. �������� Ulefone ������� ����������� ����� ��� ��������������� ������� ����� Power Armor � �� ���������������� ������� � ������������ ���������������� ����������������. �� 17 ������ �� ����� ���������� �� ���"&amp;"�������� ����. # Ulefone Ulefone Power Armor 18T Ultra�����3011.11.23������ ���������� ���������� Samson ������� �������������� � ���� [�����]�������� �������� ���������� Samson Switchblade �������� ���� ������ ����� � ������������� ��������� �����-������"&amp;" � �����-����. �� ����� �� ������ 150 ������ ������� ������ �������� �������� ����� 6 ����� ����� ���� ������ �����������. �����3311.11.23������ ����������� ���������� �� ����� ������� ���� ����� ��������� ������������� ������� �� ������� ������� Decluttr"&amp;" ������� ������������ ���������� �� ������ ������������ ������� ������������ ���������� �� �������� (NEISS). ���������� ���������� ��� ���������� ������ ��������� � �������������� ������� ���� �������� ������ � ��������� ������ ���������� ����� �� ����� �"&amp;"������ ���������. �����1311.11.23����� ���������KUMI KU6 Meta: ������ �� ���� ������ ������ � NFC ����� ��� �� 2000 ���������������������� �� ������� ������� �������� KUMI ������� ������� � ���������� ���������� �� AliExpress. �� ����� ��������� ���� ����"&amp;"� ���������� ����� ���� KU6 Meta ����������� �������� �� ������ ��������� ������� ����������� ���������� ���������� � ��� � ��� ���� ���������� ������ NFC.  # KUMI KUMI KU6 Meta�����2811.11.23����� ��������������������� OnePlus Watch 2: ��������� ����� ��"&amp;"���� � ������ �������������� �������� OnLeaks ����������� ������ ����������� ������� ��������� ����� ����� �� OnePlus. ��� ������� ����������� ������ ����������� ����� ����������� ��������� �� Qualcomm � ��� �������������� ����� ������������ �������.  # O"&amp;"nePlus OnePlus Watch 2�����1611.11.23������ ����������� �� ��: ���������� ������ �� ���� ������ ������ ����� ������� ��� ���� ��������� ����� ������ �������� ��� ������ ������ ������� ����� ���� � ���������� � �������� �� ����������� �� ��������� Warhamme"&amp;"r 40000. ���� ������ ������������ � ����� ��� ����� ����� ������ ��������� �� � �������� �� ����������� ������. �����2911.11.23����� ���������Dreame L20 Ultra: ������ ��� ������� �� ���� ����� ���������� ��������� ��� ����� ��� ���������� �������-��������"&amp;"� � ������ ��� ����� ������ �� ���������� ��������� ��� ����������� ��� ���������� ������. �� ������������� �� ����� �� ����� � ��������� ����������� ���-�� �����. �������� Dreame L20 Ultra ����� ����� ������� ����� �� ����� ����������� � ����� ��������� "&amp;"�� �����. � ��� ���������������� ��� ��� ������ �����.  # Dreame�����2511.11.23����� ��������������� �� 40% �� Infinix: ��������� �������� � �������� �� �������� ������������� Infinix ������ �������������� � ���������� ���������� ����������� ������� � ���"&amp;"����� ��� �� ����� ��� ���������� ���������. �� ������� �� 40% �������� ����� ���������� ��������� �� ���� �� 7990 ������ �������� � ��������� 8000 ������ � ������������ �������� ����� ��� �� ������ ������. # Infinix�����3211.11.23������ ��Porsche �������"&amp;"� ����� ��������� ���������� ������������������� ����������������� ���������� ������ � ����� ����������� ������� Panamera ������������� � ��������������� �� �������� ��������� ���������� Porsche Driver Experience. �����������  ������ �������� � ����� ����"&amp;"���� �������� ����������� ����������� ��������� ���������� � �������� ���������. # Porshe�����2411.11.23����� ���������Kingroon KLP1 � ������������ 3D-������ �� ��������� ���������� ������� 3D-�������� ������ �������� �� � ���������� ��� �����������������"&amp;"�� � �������� ����������. �������� � ������� ������ �������� ����� ������� ���� ��������� ������ �� ������ ������ ����� ��� ������ �������� ��� ���� ������������ �������� ������� ������ ��� ������ ������. � ��� �� ������ ��� ������������� � ������� �����."&amp;" �� ����� ������� ��� 3D-�������� � ���������� � ��� ��� �������� ���������. ����� ������ � ������ Kingroon KLP1 �������������� �� ���������� AliExpress �� ��������� ����.  # Kingroon�����2211.11.23������ ��Microsoft ��������� ����� ����������� ����������"&amp;"�� ChatGPT��� ����� ������� � �������� ���� ������� �� ��� ��������� �������� �� ����� �� ������������? ��� ���������� Microsoft ��������� ����� ����������� ������������ ���������� ���-��� ChatGPT � ���������� �������� ��� ��������� ���������������� �����"&amp;"��. # Microsoft OpenAI ChatGPT OpenAI����� ����������6330.10.23������ ��������Samsung ����������� ������-������� ����������� Z Flip5�� ������ 20-����� ��������� ����������� Samsung E700 �������� ��������� ����������� ������ ��������� ��������� Z Flip5 � �"&amp;"��������� Retro. ������� �������� � ������������ ��������� ������ ������������� � ������� ��������� ����������� ������� �� ����������� ������. �����1511.11.23������ ���� Rimac Nevera ���������� ����������� ������ ��������������������� �������� Rimac Never"&amp;"� � ��������� ��� �������� ������� ������ � �� ���� ��� �� �������� �������� ������ �����. ������ ��� ���������� �� ����� ATP � �������� ���������� ��� ������ ����� ���� ��� �� ������������� �� ���� ���� ��������� ����� 23 ����������. �����5811.11.23�����"&amp;"� �������-�������� ����� ��������� ������������ ����������������� ����� �� ������������ �������� Dictador ������� �� ����� ������ ������������ ��������� ������������ ������ ������������ �������� Hanson Robotics. ���������� ��� � �������� ���� ����������� "&amp;"������������ ����� ������. �����1211.11.23������ ���������� Starfield ������� ����� ����� �������� �� ����� Bethesda �������������������� ������� ����� Starfield ������ ��� �������� ����������� ������� ������ � �������� ���������� Bethesda ���������� �� �"&amp;"��� ����. � ��� �� �������� �������� ����� ������������ Deus Ex � ���� ��-�������� �����. �����4111.11.23����� �������������� �� ����: Blackview Tab 18 � ������� ������� �������� �� ��������� ����� ����� ���������� ��� ������� �� AliExpress �������� Black"&amp;"view ���������� ����� ���������� ��������� Tab 18 �� ��������� ����. � ���� ������� ����� ������ �������� ����� ������ ����� ����������� ��������� ��-������ � ��������� ���� � ��� ��� �����? �����2511.11.23������ ���������� ������ ������ � ������������ ��"&amp;"������� ������������������� ����������� ��������� (ESA) ����������� ������ ����������� ���������� � ������� ������������ ��������� ��������. �� ��� ����������� ��������� ������ ���������� ��������� IC 342 ������������ ��������� NGC 6822 ������� �������� �"&amp;"�������� NGC 6397 � ���������� ������� ������. �����5611.11.23������ ������ ����� �������� � �������������� ��������� ��������� ������� � ������������ Airloom Energy �� ��������� �������� � ���������� ���������������� ������ ���� ������� ����� ����� �����"&amp;"�� ��������� ��������� �������. � ����� ���������� � ���� ����� ������ Breakthrough Energy Ventures ��� ����������� �� �������� ������� 4 �������� �������� ���. �����3311.11.23NewsWhatsApp ��������� ������������� �� ������ �������� Rockstar ������� ������"&amp;"� GTA VI. ������� �� ���������������� ������ ������� ��������� ���� ����. � ���� �������: Xiaomi 14 Pro iPhone 15 Pro Max � Galaxy S23 Ultra � ���������� �������� ������� WhatsApp � ����� �������� GTA VI. # weekly�����3711.11.23������ ��� ����� ����� ����"&amp;"����� 44-������� �������� ������������������� ������� Lyte Aviation ������� � ����� �������� 44-�������� �������������� �������� � ������������ ������� � ��������. ���� ��������� ��������� � ������������ ��������� � 300 ��/� � ���������� ������ ����� 1000"&amp;" ���������� ��� ���������� ��������� Rotodyne 1950-� �����. ����� ����������18230.10.23�������� ������������-��������� Microsoft ��������� � �������� �������� ������� Windows Phone����� �� ������ Microsoft � �������� �������� ���������� �� Windows �������"&amp;"��� ������� ������ � ������ ������������ ������������� Windows PhoneExperience. � ����� ����� � ������� X �� ������� ��������� �������� ����������� ������� ��������� ��������� � ��������� ��. �����1011.11.23������ ���������� ������ � ��� Microsoft �������"&amp;"��� �������� Game Pass � ������������� ��� ����� ����� �������� � ��������� Microsoft ������ � 2024 ���� ���� �� ������� ����������� � ���������� ������ � Xbox Game Pass Ultimate. �� ����� ������� ����������� � ��� � ���������� ���� �������� �������� ����"&amp;"� �� �������. �����5711.11.23������ ��� Tesla Cybertruck �������� ������������ ���������� ����� [����]�� ��������� ������ �� ���������������� ������ �������� Cybertruck  ����� ��� ����������� ������� ����������� Tesla ��� ������� �� ����� �������������� �"&amp;"����� � ����� ������ ����� � �����-������. ��� ������ ����� ������� ����� �� ��������� ���������� � ������ �����.  # Tesla Cybertruck�����2511.11.23������ ��NASA ������������ � ������ �������������� ����� �������������������� NASA ������������ ��� � �����"&amp;"����������� ���������� �������� ���� ������ ���� ����� ����������� �� ����������� �������� �������. ����� ������� ������ ���������� � ���������� ���� �������� ������ ����������� � ����� ��������� �����. # NASA�����4210.11.23����� ���������Oukitel OT5: ���"&amp;"�� 12 ������ ��������� Helio G99 �� 32 �� ��� � ����� ���������������� �� ������� ������ � ���������� �� ���� �������� ���� ������� ��� ��������� ����� ��� ������ � ��������� � ������ �����. � ��� ������ ��� ������ ����� ������ ������ �����. � ������ �� �"&amp;"��� Oukitel ��������� ������� OT5 � 12-�������� ��������. ������� � ���� ����������� ������������ ����� ������ � ����� �����������.  # Oukitel Oukitel OT5����� ����������242.11.23�������� ���������������� ��������� Redmi ������� ������� ������� HyperOS���"&amp;"������ ���������� ��������������� Redmi �� ������������� ����� ������������ ������� HyperOS. � ������ ������ ���������� ������� ������� ����� �� ����� ����� ��������� ������� ��� �������������� �����. �����21810.11.23����� ��������������: ��� ��� ��������"&amp;"�� �� ������� ��������� ���������?�� ��������� ��������� ��� �������� ��������� ������������ �� ����������������� �������� � ����������� ��������� ��������� ���������. ���������� ��� ������ ������� � ��� ����� � ������������ ���������. �� ��� ��� ��� ����"&amp;"���� ������� ������� � ���� ����� ��� ������ ��������������� ������������� �� �� �������. ���-�� �������� �� �������� �������������� ���������� �� ������������� �������. ������ ������� ��� ������������ ��������� ��� ��� ������� � �������������. ��� ������"&amp;"� �������� �������� �������� ����. ������������ � ���������� � ������������ ��� ����� ��� ���������� �� ������� ��������� ���������? # �����������3110.11.23��������� ���������� ���������. ��������� ������ ��������� DLSS � FSR � Starfield [�����]����� ����"&amp;" Starfield �������-�� ������� � ���� ��������� DLSS 3.5 � � ��� ��������� ������ ����� ���������� � �� ��������� � FSR. ���� ������� �������� NVIDIA �������� ������� �����. �����2010.11.23������ ��������������� #3176: ��������� ����������� Samsung Polesta"&amp;"r Phone � vivo Y79+� ���� ������� ��������: Samsung �������� ��� ������� ������������; Polestar Phone ����� �� ����� �� ������; � ���� ���������� ���������������� �������� vivo Y79+. # Samsung vivo ������� Polestar�����6810.11.23����� ���������Sony PlaySt"&amp;"ation Portal �������� �� Steam Deck [�����]�� ��������� ���� �� ������������ ������ ������ � ���� ������ ���������� ������ ����� � ����������� � ������� ������ ������������ ���������� �� Sony � PlayStation Portal. ��������� �� �������� �������� ������ � �"&amp;"������ ������������ Dualsense �� PlayStation 5 � Steam Deck �� �������� Valve. # Sony Sony PlayStation Portal�����1310.11.23����� �������������� ����-�� �� AyaNeo �������� Nintendo NES � ������ Apple Mac��������� ��������� ������������� ����������� ������"&amp;"��� AyaNeo �������� ����������� ����� ����� ������������ ������������. � ����� ���� ������ ���� ����� ������� ���� �� �� ������ ������� ���� ��� ����������� ������� ������������ Apple � Nintendo.  # AyaNeo�����6110.11.23����� ������������������ � ������ �"&amp;"�������� ����� ������ ����������������� ����� ����� ���������� �� ����������� ����� ������������� ����� ����� �������������� ���������� ��� ������ ���������� �������� ��� ����������. ����� ������� ������ ��������� � ������� ����� ������� �������� �� �����"&amp;"���. # �������� ����������956.11.23��������� ��������Bethesda �������� ������� �� ������� Starfield �� ���� ��������� �������Starfield ����� ��������� �������������� ��� ��������� ��������: ������ ��������� ������ ������� � ���� �� ��� �� � ����� � ������"&amp;"� ����� �������� ������� � �������������� � ������������� ��� �����-���� ������ ����. ������� �� ��� ����� ������ �������� �� ������� ������� �������. �����810.11.23�������� �������EGS ������� ����� Golden Light ��������� � ������������ � Epic Games ���� "&amp;"������������ ������ �� ������ ������� �������� �� ���������� ������������ �� �������� ������� ���������� ��� ����� ���� �������� �������. �� ���� ������ � ������� ������������� Epic Games Store ������ �������� ����� ��������� ��������� �����-������. �����"&amp;"1710.11.23����� ���������������� � �������: ������� ���������� ����������� Ugreen ��������� � ������� ������� ������������� ����������� Ugreen ������� � ����� ������� � ������� ���������� ���������� �� AliExpress. �� ��������� ����� ����� ����� ��������� "&amp;"������� ��������� ���������. �������� ����������� � ���������� ���������� ������� ���������� ������������ ����������� � ���������� � ������������ �������������. # Ugreen�����4610.11.23����� ���������Apple Samsung � Google ������������ ��� �������� �������"&amp;" ��������� ����� ���������������� ��������������� �������� ���� ������������ ����� ������� ����� ����� ������� ������� � �����. ��� Apple Google � Samsung ��������� � ��������������� ����� ������ � ����� ������� Allegion Assa Abloy Qualcomm � NXP ��������"&amp;" � �������� ��������� ��������� ��� �����-������ � �������� ������ Aliro. # Apple Samsung Google�����4210.11.23����� ���������Google ���������� ������� ��� ������������� Android-����������Google �������� �� ���������� � �������� ��� ������������� ��������"&amp;" ����������� ���� ���������� � ��������� �������� Google Play. ������ �������� ������������ ��������� ��������������� �� �������� � ������������ �������� ��� Android. # Google Google Play�����1810.11.23�������� �������������: ��������� Mass Effect ������ "&amp;"�� ������ 2029 ����������� BioWare ������ ���������� ������� ������� ��������� ����� ����������� ����� Mass Effect. ������ ��������� �������� ��� ������ ������ ��� � ��������� ���� �� ��� �� �� ���. �����2010.11.23������� �������������� ����� ��� � ������"&amp;"��� �������� OnePlus Pad Go?������ ������� �� OnePlus �������� � ����� ���������� �����������. ������ ���������� 90-�������� ������� � ����� �����������. ��� ���� ���� ������� ����� �� ��������� � ������������ Pad. �������� ������ ������ �� ��������. # On"&amp;"ePlus OnePlus Pad Go�����4210.11.23����� ����������������� ��������� ������ ������� ������ ��� ������ ����� ���������������� ��� � ��������� ��������� ����� ������ ����������� �� �����-����� � eSIM ������������ ��� �� ����� ��� � �� ���������. �������� ��"&amp;"������ ������ ����� ��� ������ ��������� ����������� ����������� ��� ���������� ���������. # �����������4010.11.23����� �������������� �������� Digma �� ��������� � ��������� ������������� Digma ������������ �� ���������� ����� ����� ������ ������ �������"&amp;"�� ������������ ���������: BT-15 BT-16 BT-17 � BT-18. ��� ������������ ����������� ��� �� Bluetooth ��� � � ������� ������ ��� ��������� �� ������������ � ������� ����������� ���������. # Digma�����1410.11.23�������� ������������� ������������. ������ ���"&amp;"�� Arcane ����� ���� �������� [�����]Riot Games ��� �������� ��� ����� ��� ��������� ��������� League of Legends � ������� ����-����� �������� � ����������� ������ ������ ����� �������� ��������� ������������� ���� ����������� Arcane ������� �������-�� ��"&amp;"����� ���� �������� ������� ������. �����2410.11.23����� ���������FOSSiBOT F101 Pro: ��� ������ �������� ����������� � NFC���������� ������������ ����� FOSSiBOT ����������� ����� ��������� �������� F101 Pro. ����� ��� ���������� � ���������� ������������ "&amp;"����������� ������� ������� ��� ������ � ��������� ������������� ������ �������. � ��� ��� ��� ���� ����� 10 000 ������. # FOSSiBOT FOSSiBOT F101 Pro�����5710.11.23������ ��������Xiaomi Pad 7 Pro ������� ��������� Snapdragon 8 Gen 2�������� Digital Chat S"&amp;"tation ������� ����� ������������� ��� �� ����������� ������������ �������� Xiaomi Pad 7 Pro � ����� ������� ������ ����������� ��� �������� ���� � Snapdragon 8 Gen 2. ������ MySmartPrice �������� ������ ����������� �� ����� ����������. # Xiaomi Xiaomi Pa"&amp;"d 7 Pro�����4110.11.23����� �������������������� ����� Qualcomm ����������� ��� � �� ����������������������� � ������ ���� ���������� ����������� ����� Snapdragon Satellite �� Qualcomm ������ ���� ���������� �� ������ �������� 2023-�� �� ����������� �� Sn"&amp;"apdragon 8 Gen 2. ��� �������� � ����� � ��� ����� ���������� �� ���� Snadragon 8 Gen 3 � � ����������� ����� ������ �� ������. ������ ����� �������� ������� ����� �������.  # Qualcomm�����13910.11.23�������� ���������� �������� ������ ������ �������� ���"&amp;"������� ����������� ������ ��������� TelecomDaily�������� �� ���� �������� ���������� ��������� � ������ ������� ���������������� ��� �� 20% � �������� �� ���� ���������� ���������� ���������. �����2510.11.23�������� ���������Philips ��������� 48-��������"&amp;" ������� ������� � Windows Hello�������� Philips ��������� ����������� ��������� ����� ������� 49B2U5900CH. ������� �������� �������� � ������������ ��������� ����� � ����� ���� ����� ����������� ������� �����������. # Philips�����2110.11.23�������� �����"&amp;"��������������� Chery Luxeed S7 � ������������� ����� �������-������ �� ��������� HUAWEI����������������� Chery�������� ���� ������ ������������ Luxeed S7. ������� �������� � ���������������� ������������� ����� ���������� ����� ������� ����� �������� ���"&amp;"������ �� �� �� HUAWEI. # Chery Chery Luxeed S7�����1310.11.23�������� ��������������� OPPO Reno11 �������� �� ������� � ����������� ����OPPO ��������� ��������� ��������� ���������� Reno �������� ������ OPPO Reno11 � ����� �� Pro-������. � ���������� ���"&amp;"���� ������� ����� �������� ������������ ������ � ������������� ������ ����������� ����������������� ����� �� ������ ��������. # OPPO OPPO Reno11�����810.11.23�������� �������� ������ ����. Sony �������� ��� ����� �������� ���-��������� ��������� ��������"&amp;"��� ������� �������� ��������� ������� ���� ������ ����� �������� ��������� ����-������� ���� �� ������. Sony ������ �� ���������� � ������� � ������������ ���������� ����� �������� ������ ������� �������� ������ �� ��� ���� ������ ��������. �����3310.11."&amp;"23������ ��������Infinix Smart 8 � ������� 90 �� � ������������� ���������� ������� � $102�������� Infinix ����������� ��������� �������� Smart 8. ��� ������������� ����� ���������� ������������� ����� � ������ ��������� ������������ � ������������ ������"&amp;"������ ���������� ����������� ������ � ��������� �������� �������. # Infinix Infinix Smart 8�����3510.11.23������ �������Teclast T40HD: ����� ������ 2K-������� � ���������� �� �������� ����������������� ����� ������������ Android-�������� � ������� ������"&amp;"� � ������� ����������� ������� ������������ � ���������� ������ ��������. ��� ���� �������� ���������� �� ����������� ����� �������: �� 17 ������ Teclast T40HD � ������������ ������� ������ � ������������� �� 7200 ��� ����� ���������� �� ����������� ����"&amp;". # Teclast�����1510.11.23�������� �������� ���������� �����. Call of Duty: Modern Warfare III ���������� ��� DLC�������� Call of Duty ����� ��������� �������� ������ ������ Call of Duty: Modern Warfare III ����� ��� ������� �������� � ���� �� ������ ����"&amp;"� ��� �� ��� �� ��������� ������ �������� �� ���������� � ������� ��������. ��� ������� ������� ������ �� Bloomberg � ����������� ��������� ������ ������� �� ������� ����������� ������� ��������. �����4610.11.23������ ��������Soundcore�Space One � �������"&amp;"� � ANC � 55 ������ ������������. ������� ����� � ������?�������� Anker ����������� �� ���������� ����� ��������� ������������ �������� Soundcore Space One. �� ������� ����������� � �������� �������������� � �� ��������������� ��� ������������ ���������� "&amp;"���� ������� ���������� �����. ����� ���� ������� �������� ��������� ������ LDAC � ����� ������������ ������������ ������������� � ��������� � �������� ������� �������. # Anker Anker Soundcore Space One�����1234567� ��������������� �������������������� ��"&amp;"������������ ��������������� �� ��������������� ������������������������ ���������� ���������������� Cooperation information in EnglishDevDB������� ��������� ���������DevFAQ���� ������ �� ��������� ��������������� �� ����� ������/�������� � ������ �� ����"&amp;"� ����� �������� ����������� � ������� ������� Ctrl+Enter � �������� ��� �� ���� ���������� (������������ � ������������ �� ������������).© 2005-2023 «4PDA».4PDA® - ������������������ �������� ����.������� �������������� ��������������� �� ���������������")</f>
        <v>4PDA����������������������� ������ ��������������������������� ������ ������������������������ ������ ������������DevDB������� ����������� � ��������������� ������ ������������������� �������������� ������ ��������������-������������� ������ ����������������������������������� ��������� ���������������������������� ��������� ����������������� ������������ ��������� ������������������������������ ��������� ���������������������������� ��������� ������������������������� ��������� �������������������������������������������� ������ ��������������������������� ������ ������������������������ ������ ������������DevDB������� ����������� � ��������������� ������ ������������������� �������������� ������ ��������������-������������� ������ ����������������������������������� ��������� ���������������������������� ��������� ����������������� ������������ ��������� ������������������������������ ��������� ���������������������������� ��������� ������������������������� ��������� ���������������������    ���2011.11.23News��������� ���� ������-������: ��� HUAWEI MateBook D16 �������� � ������?����������� ����������� �� �� �������� ���������� ����� ��� ������������. � ��������� �� ����� �� �������� ����������� ����� � ��������� � ����� ���������. � HUAWEI MateBook D16 ���� ��� ����������� ��� ���������� ������ ����� �� �������. ������������ ��� ��������� ��� ������ � �������� ������������ ������������� �������� ����������. # HUAWEI HUAWEI MateBook D16�����2711.11.23������ �������� ������� ������� ����������� �� ���������� �� ����� ���������� �������������� �� ������ ��������� ���� �� ���������� �� ����������� ���� ��������� ������������� ���������� � ����. ������� ������ ����� ����� � 200 ������� ����������� ������� ���������� ���������� ������������� ������ ��������� ����� �������� ������������ ����������� �� ���������. �����&lt;div&gt;&lt;/div&gt;&lt;div&gt;&lt;/div&gt;&lt;div&gt;&lt;/div&gt;&lt;a href='/2023/11/12/5941970/' target='_blank'&gt;&lt;img src='https://4pda.to/s/as6yz0trtkPQebz1ermz2EylMGHkIz0lgV7WHDqKU6O5VrENk8Tc05ciIvOk.jpg'  title=''  /&gt;&lt;/a&gt;&lt;div &gt;&lt;img src='https://4pda.to/s/as6yvl4DoepPz1rrtZNkaja13rwHs.gif'     /&gt;&lt;/div&gt;&lt;div&gt;&lt;/div&gt;&lt;div&gt;&lt;/div&gt;1611.11.23������ �����Xbox �������� ����� 20 ��� ��������� �� ������� � � ��� ���� ������ ��� � 2022-�Microsoft ���������� �������� � ���������� � ������� �������� �� �������� Xbox. � �������� ���������� ���������� ����� ���������� ������� �������� �� ����������. # Microsoft�����2911.11.23������ ���������� ��������� ��������������� ��� ���������������� Blind Spot Gear �� ������ ������� LumiCard � ����� ������� ���������� �� �������� � ������ ���������. ���������� �������� � ���������� �������� ������������ ������� � 500 ����� �������� ������� ��� �������� ���� � ������ �������.  �����6511.11.23������ ������� ������� � ���� ��������� ������� ����� � ����������� LTA Research ������������� ����������� Google ������� ������ ��������� � ������ ���������� ��������� ��������� Pathfinder 1 � ������ �������� � ���� ������������ ��������. � ����� �������� ��������� 1245 ����� � ��� ����������� ��� Boeing-737. ����� �����811.11.23News����� ILIFE T10S: ��� �� � ���� ����� � �� ����� � �� ����������� �� ������� ����������� ����������� �������-��������� �� � ����� ��������� ������ � ������������� ���������� �������. ��� ������ ������������ ������������ ��� ���� ������� ��������������� ������� �������. ��� � ���������� ILIFE T10S. # ����� ILIFE ILIFE T10S�����1111.11.23������ ���������� ������� ���������� ������� ��������� �������� �� ������������������� �� ������������� ������������ ������������ � ������������ ������� ������� �������� ��� ��������� ������������ ������� ��������� ������������. ��� �������� ���������� ������� �������� � ���������� �������� �������������� ���� �� ������� ���� ����� �������� �� ����. �����&lt;div&gt;&lt;/div&gt;&lt;div&gt;&lt;/div&gt;&lt;div&gt;&lt;/div&gt;&lt;a href='/2023/11/12/8196196/' target='_blank'&gt;&lt;img src='https://4pda.to/s/as6yz2pQlot8w5b66uz0WbaVlcz2gBfXZYRHamFXO0knf7BPCQ8hdpD1t3K.jpg'  title=''  /&gt;&lt;/a&gt;&lt;div &gt;&lt;img src='https://4pda.to/s/as6yu42hlyXjD7kQLqbvVMOGid.gif'     /&gt;&lt;/div&gt;&lt;div&gt;&lt;/div&gt;&lt;div&gt;&lt;/div&gt;1511.11.23������ ������������ OTEC ������� ������� ������������ ������������������ ������� Global OTEC ������ � ���� ����� ��������� ���������� �������������� �������� ������� ������ ��� ��������� ��������� ����������. ��� � 2026 ���� ����������� ���������� ��������� ��������� 15 ��� � ������������������ ���-���� � ��������. �����1011.11.23������ ���������� Baldur�s Gate III �������� ���-������� ��� ��������� ���� Paramore [�����]�� ����� ����������� Baldur�s Gate III ������ ����� ������������� � ������ ����������� ����� ������� � ����������� �������. � ���� �� ���������� ��� ������� ��������� � ������� ��������� ��� ������������� �����������. �����1211.11.23������ ����������� �������� ��������� �������� ��������������� �������������� ���������� ����������� � ����������� ���������� ������� ����� � ������� ����� �������� ����������� ������ ��������� �������� MACS0416 ������� ��������� � ���������� ������� ���� ������� ���������. ��� �������� ��������������� ������ ��-�� ���� ��� ��� ��������� � ����������� ���������� ��������� ���������� �����. �����3111.11.23������ �������Ulefone Power Armor 18T Ultra � ������������ � ������������ � ��� �� 9600 ������������� �������� � ��� �� ������ ������� ������� ��� ����������� �� � ������ ���������� ����� ��� ������������ ������ �� ��������� � �������� �������������� ������������. �������� Ulefone ������� ����������� ����� ��� ��������������� ������� ����� Power Armor � �� ���������������� ������� � ������������ ���������������� ����������������. �� 17 ������ �� ����� ���������� �� ����������� ����. # Ulefone Ulefone Power Armor 18T Ultra�����3011.11.23������ ���������� ���������� Samson ������� �������������� � ���� [�����]�������� �������� ���������� Samson Switchblade �������� ���� ������ ����� � ������������� ��������� �����-������ � �����-����. �� ����� �� ������ 150 ������ ������� ������ �������� �������� ����� 6 ����� ����� ���� ������ �����������. �����3311.11.23������ ����������� ���������� �� ����� ������� ���� ����� ��������� ������������� ������� �� ������� ������� Decluttr ������� ������������ ���������� �� ������ ������������ ������� ������������ ���������� �� �������� (NEISS). ���������� ���������� ��� ���������� ������ ��������� � �������������� ������� ���� �������� ������ � ��������� ������ ���������� ����� �� ����� ������� ���������. �����1311.11.23����� ���������KUMI KU6 Meta: ������ �� ���� ������ ������ � NFC ����� ��� �� 2000 ���������������������� �� ������� ������� �������� KUMI ������� ������� � ���������� ���������� �� AliExpress. �� ����� ��������� ���� ����� ���������� ����� ���� KU6 Meta ����������� �������� �� ������ ��������� ������� ����������� ���������� ���������� � ��� � ��� ���� ���������� ������ NFC.  # KUMI KUMI KU6 Meta�����2811.11.23����� ��������������������� OnePlus Watch 2: ��������� ����� ������ � ������ �������������� �������� OnLeaks ����������� ������ ����������� ������� ��������� ����� ����� �� OnePlus. ��� ������� ����������� ������ ����������� ����� ����������� ��������� �� Qualcomm � ��� �������������� ����� ������������ �������.  # OnePlus OnePlus Watch 2�����1611.11.23������ ����������� �� ��: ���������� ������ �� ���� ������ ������ ����� ������� ��� ���� ��������� ����� ������ �������� ��� ������ ������ ������� ����� ���� � ���������� � �������� �� ����������� �� ��������� Warhammer 40000. ���� ������ ������������ � ����� ��� ����� ����� ������ ��������� �� � �������� �� ����������� ������. �����2911.11.23����� ���������Dreame L20 Ultra: ������ ��� ������� �� ���� ����� ���������� ��������� ��� ����� ��� ���������� �������-��������� � ������ ��� ����� ������ �� ���������� ��������� ��� ����������� ��� ���������� ������. �� ������������� �� ����� �� ����� � ��������� ����������� ���-�� �����. �������� Dreame L20 Ultra ����� ����� ������� ����� �� ����� ����������� � ����� ��������� �� �����. � ��� ���������������� ��� ��� ������ �����.  # Dreame�����2511.11.23����� ��������������� �� 40% �� Infinix: ��������� �������� � �������� �� �������� ������������� Infinix ������ �������������� � ���������� ���������� ����������� ������� � �������� ��� �� ����� ��� ���������� ���������. �� ������� �� 40% �������� ����� ���������� ��������� �� ���� �� 7990 ������ �������� � ��������� 8000 ������ � ������������ �������� ����� ��� �� ������ ������. # Infinix�����3211.11.23������ ��Porsche �������� ����� ��������� ���������� ������������������� ����������������� ���������� ������ � ����� ����������� ������� Panamera ������������� � ��������������� �� �������� ��������� ���������� Porsche Driver Experience. �����������  ������ �������� � ����� �������� �������� ����������� ����������� ��������� ���������� � �������� ���������. # Porshe�����2411.11.23����� ���������Kingroon KLP1 � ������������ 3D-������ �� ��������� ���������� ������� 3D-�������� ������ �������� �� � ���������� ��� ������������������� � �������� ����������. �������� � ������� ������ �������� ����� ������� ���� ��������� ������ �� ������ ������ ����� ��� ������ �������� ��� ���� ������������ �������� ������� ������ ��� ������ ������. � ��� �� ������ ��� ������������� � ������� �����. �� ����� ������� ��� 3D-�������� � ���������� � ��� ��� �������� ���������. ����� ������ � ������ Kingroon KLP1 �������������� �� ���������� AliExpress �� ��������� ����.  # Kingroon�����2211.11.23������ ��Microsoft ��������� ����� ����������� ������������ ChatGPT��� ����� ������� � �������� ���� ������� �� ��� ��������� �������� �� ����� �� ������������? ��� ���������� Microsoft ��������� ����� ����������� ������������ ���������� ���-��� ChatGPT � ���������� �������� ��� ��������� ���������������� �������. # Microsoft OpenAI ChatGPT OpenAI����� ����������6330.10.23������ ��������Samsung ����������� ������-������� ����������� Z Flip5�� ������ 20-����� ��������� ����������� Samsung E700 �������� ��������� ����������� ������ ��������� ��������� Z Flip5 � ���������� Retro. ������� �������� � ������������ ��������� ������ ������������� � ������� ��������� ����������� ������� �� ����������� ������. �����1511.11.23������ ���� Rimac Nevera ���������� ����������� ������ ��������������������� �������� Rimac Never� � ��������� ��� �������� ������� ������ � �� ���� ��� �� �������� �������� ������ �����. ������ ��� ���������� �� ����� ATP � �������� ���������� ��� ������ ����� ���� ��� �� ������������� �� ���� ���� ��������� ����� 23 ����������. �����5811.11.23������ �������-�������� ����� ��������� ������������ ����������������� ����� �� ������������ �������� Dictador ������� �� ����� ������ ������������ ��������� ������������ ������ ������������ �������� Hanson Robotics. ���������� ��� � �������� ���� ����������� ������������ ����� ������. �����1211.11.23������ ���������� Starfield ������� ����� ����� �������� �� ����� Bethesda �������������������� ������� ����� Starfield ������ ��� �������� ����������� ������� ������ � �������� ���������� Bethesda ���������� �� ���� ����. � ��� �� �������� �������� ����� ������������ Deus Ex � ���� ��-�������� �����. �����4111.11.23����� �������������� �� ����: Blackview Tab 18 � ������� ������� �������� �� ��������� ����� ����� ���������� ��� ������� �� AliExpress �������� Blackview ���������� ����� ���������� ��������� Tab 18 �� ��������� ����. � ���� ������� ����� ������ �������� ����� ������ ����� ����������� ��������� ��-������ � ��������� ���� � ��� ��� �����? �����2511.11.23������ ���������� ������ ������ � ������������ ��������� ������������������� ����������� ��������� (ESA) ����������� ������ ����������� ���������� � ������� ������������ ��������� ��������. �� ��� ����������� ��������� ������ ���������� ��������� IC 342 ������������ ��������� NGC 6822 ������� �������� ��������� NGC 6397 � ���������� ������� ������. �����5611.11.23������ ������ ����� �������� � �������������� ��������� ��������� ������� � ������������ Airloom Energy �� ��������� �������� � ���������� ���������������� ������ ���� ������� ����� ����� ������� ��������� ��������� �������. � ����� ���������� � ���� ����� ������ Breakthrough Energy Ventures ��� ����������� �� �������� ������� 4 �������� �������� ���. �����3311.11.23NewsWhatsApp ��������� ������������� �� ������ �������� Rockstar ������� ������� GTA VI. ������� �� ���������������� ������ ������� ��������� ���� ����. � ���� �������: Xiaomi 14 Pro iPhone 15 Pro Max � Galaxy S23 Ultra � ���������� �������� ������� WhatsApp � ����� �������� GTA VI. # weekly�����3711.11.23������ ��� ����� ����� ��������� 44-������� �������� ������������������� ������� Lyte Aviation ������� � ����� �������� 44-�������� �������������� �������� � ������������ ������� � ��������. ���� ��������� ��������� � ������������ ��������� � 300 ��/� � ���������� ������ ����� 1000 ���������� ��� ���������� ��������� Rotodyne 1950-� �����. ����� ����������18230.10.23�������� ������������-��������� Microsoft ��������� � �������� �������� ������� Windows Phone����� �� ������ Microsoft � �������� �������� ���������� �� Windows ���������� ������� ������ � ������ ������������ ������������� Windows PhoneExperience. � ����� ����� � ������� X �� ������� ��������� �������� ����������� ������� ��������� ��������� � ��������� ��. �����1011.11.23������ ���������� ������ � ��� Microsoft ���������� �������� Game Pass � ������������� ��� ����� ����� �������� � ��������� Microsoft ������ � 2024 ���� ���� �� ������� ����������� � ���������� ������ � Xbox Game Pass Ultimate. �� ����� ������� ����������� � ��� � ���������� ���� �������� �������� ����� �� �������. �����5711.11.23������ ��� Tesla Cybertruck �������� ������������ ���������� ����� [����]�� ��������� ������ �� ���������������� ������ �������� Cybertruck  ����� ��� ����������� ������� ����������� Tesla ��� ������� �� ����� �������������� ������ � ����� ������ ����� � �����-������. ��� ������ ����� ������� ����� �� ��������� ���������� � ������ �����.  # Tesla Cybertruck�����2511.11.23������ ��NASA ������������ � ������ �������������� ����� �������������������� NASA ������������ ��� � ���������������� ���������� �������� ���� ������ ���� ����� ����������� �� ����������� �������� �������. ����� ������� ������ ���������� � ���������� ���� �������� ������ ����������� � ����� ��������� �����. # NASA�����4210.11.23����� ���������Oukitel OT5: ����� 12 ������ ��������� Helio G99 �� 32 �� ��� � ����� ���������������� �� ������� ������ � ���������� �� ���� �������� ���� ������� ��� ��������� ����� ��� ������ � ��������� � ������ �����. � ��� ������ ��� ������ ����� ������ ������ �����. � ������ �� ���� Oukitel ��������� ������� OT5 � 12-�������� ��������. ������� � ���� ����������� ������������ ����� ������ � ����� �����������.  # Oukitel Oukitel OT5����� ����������242.11.23�������� ���������������� ��������� Redmi ������� ������� ������� HyperOS��������� ���������� ��������������� Redmi �� ������������� ����� ������������ ������� HyperOS. � ������ ������ ���������� ������� ������� ����� �� ����� ����� ��������� ������� ��� �������������� �����. �����21810.11.23����� ��������������: ��� ��� ���������� �� ������� ��������� ���������?�� ��������� ��������� ��� �������� ��������� ������������ �� ����������������� �������� � ����������� ��������� ��������� ���������. ���������� ��� ������ ������� � ��� ����� � ������������ ���������. �� ��� ��� ��� �������� ������� ������� � ���� ����� ��� ������ ��������������� ������������� �� �� �������. ���-�� �������� �� �������� �������������� ���������� �� ������������� �������. ������ ������� ��� ������������ ��������� ��� ��� ������� � �������������. ��� ������� �������� �������� �������� ����. ������������ � ���������� � ������������ ��� ����� ��� ���������� �� ������� ��������� ���������? # �����������3110.11.23��������� ���������� ���������. ��������� ������ ��������� DLSS � FSR � Starfield [�����]����� ���� Starfield �������-�� ������� � ���� ��������� DLSS 3.5 � � ��� ��������� ������ ����� ���������� � �� ��������� � FSR. ���� ������� �������� NVIDIA �������� ������� �����. �����2010.11.23������ ��������������� #3176: ��������� ����������� Samsung Polestar Phone � vivo Y79+� ���� ������� ��������: Samsung �������� ��� ������� ������������; Polestar Phone ����� �� ����� �� ������; � ���� ���������� ���������������� �������� vivo Y79+. # Samsung vivo ������� Polestar�����6810.11.23����� ���������Sony PlayStation Portal �������� �� Steam Deck [�����]�� ��������� ���� �� ������������ ������ ������ � ���� ������ ���������� ������ ����� � ����������� � ������� ������ ������������ ���������� �� Sony � PlayStation Portal. ��������� �� �������� �������� ������ � ������� ������������ Dualsense �� PlayStation 5 � Steam Deck �� �������� Valve. # Sony Sony PlayStation Portal�����1310.11.23����� �������������� ����-�� �� AyaNeo �������� Nintendo NES � ������ Apple Mac��������� ��������� ������������� ����������� ��������� AyaNeo �������� ����������� ����� ����� ������������ ������������. � ����� ���� ������ ���� ����� ������� ���� �� �� ������ ������� ���� ��� ����������� ������� ������������ Apple � Nintendo.  # AyaNeo�����6110.11.23����� ������������������ � ������ ��������� ����� ������ ����������������� ����� ����� ���������� �� ����������� ����� ������������� ����� ����� �������������� ���������� ��� ������ ���������� �������� ��� ����������. ����� ������� ������ ��������� � ������� ����� ������� �������� �� ��������. # �������� ����������956.11.23��������� ��������Bethesda �������� ������� �� ������� Starfield �� ���� ��������� �������Starfield ����� ��������� �������������� ��� ��������� ��������: ������ ��������� ������ ������� � ���� �� ��� �� � ����� � ������� ����� �������� ������� � �������������� � ������������� ��� �����-���� ������ ����. ������� �� ��� ����� ������ �������� �� ������� ������� �������. �����810.11.23�������� �������EGS ������� ����� Golden Light ��������� � ������������ � Epic Games ���� ������������ ������ �� ������ ������� �������� �� ���������� ������������ �� �������� ������� ���������� ��� ����� ���� �������� �������. �� ���� ������ � ������� ������������� Epic Games Store ������ �������� ����� ��������� ��������� �����-������. �����1710.11.23����� ���������������� � �������: ������� ���������� ����������� Ugreen ��������� � ������� ������� ������������� ����������� Ugreen ������� � ����� ������� � ������� ���������� ���������� �� AliExpress. �� ��������� ����� ����� ����� ��������� ������� ��������� ���������. �������� ����������� � ���������� ���������� ������� ���������� ������������ ����������� � ���������� � ������������ �������������. # Ugreen�����4610.11.23����� ���������Apple Samsung � Google ������������ ��� �������� ������� ��������� ����� ���������������� ��������������� �������� ���� ������������ ����� ������� ����� ����� ������� ������� � �����. ��� Apple Google � Samsung ��������� � ��������������� ����� ������ � ����� ������� Allegion Assa Abloy Qualcomm � NXP �������� � �������� ��������� ��������� ��� �����-������ � �������� ������ Aliro. # Apple Samsung Google�����4210.11.23����� ���������Google ���������� ������� ��� ������������� Android-����������Google �������� �� ���������� � �������� ��� ������������� �������� ����������� ���� ���������� � ��������� �������� Google Play. ������ �������� ������������ ��������� ��������������� �� �������� � ������������ �������� ��� Android. # Google Google Play�����1810.11.23�������� �������������: ��������� Mass Effect ������ �� ������ 2029 ����������� BioWare ������ ���������� ������� ������� ��������� ����� ����������� ����� Mass Effect. ������ ��������� �������� ��� ������ ������ ��� � ��������� ���� �� ��� �� �� ���. �����2010.11.23������� �������������� ����� ��� � ��������� �������� OnePlus Pad Go?������ ������� �� OnePlus �������� � ����� ���������� �����������. ������ ���������� 90-�������� ������� � ����� �����������. ��� ���� ���� ������� ����� �� ��������� � ������������ Pad. �������� ������ ������ �� ��������. # OnePlus OnePlus Pad Go�����4210.11.23����� ����������������� ��������� ������ ������� ������ ��� ������ ����� ���������������� ��� � ��������� ��������� ����� ������ ����������� �� �����-����� � eSIM ������������ ��� �� ����� ��� � �� ���������. �������� �������� ������ ����� ��� ������ ��������� ����������� ����������� ��� ���������� ���������. # �����������4010.11.23����� �������������� �������� Digma �� ��������� � ��������� ������������� Digma ������������ �� ���������� ����� ����� ������ ������ ��������� ������������ ���������: BT-15 BT-16 BT-17 � BT-18. ��� ������������ ����������� ��� �� Bluetooth ��� � � ������� ������ ��� ��������� �� ������������ � ������� ����������� ���������. # Digma�����1410.11.23�������� ������������� ������������. ������ ����� Arcane ����� ���� �������� [�����]Riot Games ��� �������� ��� ����� ��� ��������� ��������� League of Legends � ������� ����-����� �������� � ����������� ������ ������ ����� �������� ��������� ������������� ���� ����������� Arcane ������� �������-�� ������� ���� �������� ������� ������. �����2410.11.23����� ���������FOSSiBOT F101 Pro: ��� ������ �������� ����������� � NFC���������� ������������ ����� FOSSiBOT ����������� ����� ��������� �������� F101 Pro. ����� ��� ���������� � ���������� ������������ ����������� ������� ������� ��� ������ � ��������� ������������� ������ �������. � ��� ��� ��� ���� ����� 10 000 ������. # FOSSiBOT FOSSiBOT F101 Pro�����5710.11.23������ ��������Xiaomi Pad 7 Pro ������� ��������� Snapdragon 8 Gen 2�������� Digital Chat Station ������� ����� ������������� ��� �� ����������� ������������ �������� Xiaomi Pad 7 Pro � ����� ������� ������ ����������� ��� �������� ���� � Snapdragon 8 Gen 2. ������ MySmartPrice �������� ������ ����������� �� ����� ����������. # Xiaomi Xiaomi Pad 7 Pro�����4110.11.23����� �������������������� ����� Qualcomm ����������� ��� � �� ����������������������� � ������ ���� ���������� ����������� ����� Snapdragon Satellite �� Qualcomm ������ ���� ���������� �� ������ �������� 2023-�� �� ����������� �� Snapdragon 8 Gen 2. ��� �������� � ����� � ��� ����� ���������� �� ���� Snadragon 8 Gen 3 � � ����������� ����� ������ �� ������. ������ ����� �������� ������� ����� �������.  # Qualcomm�����13910.11.23�������� ���������� �������� ������ ������ �������� ���������� ����������� ������ ��������� TelecomDaily�������� �� ���� �������� ���������� ��������� � ������ ������� ���������������� ��� �� 20% � �������� �� ���� ���������� ���������� ���������. �����2510.11.23�������� ���������Philips ��������� 48-�������� ������� ������� � Windows Hello�������� Philips ��������� ����������� ��������� ����� ������� 49B2U5900CH. ������� �������� �������� � ������������ ��������� ����� � ����� ���� ����� ����������� ������� �����������. # Philips�����2110.11.23�������� �������������������� Chery Luxeed S7 � ������������� ����� �������-������ �� ��������� HUAWEI����������������� Chery�������� ���� ������ ������������ Luxeed S7. ������� �������� � ���������������� ������������� ����� ���������� ����� ������� ����� �������� ��������� �� �� �� HUAWEI. # Chery Chery Luxeed S7�����1310.11.23�������� ��������������� OPPO Reno11 �������� �� ������� � ����������� ����OPPO ��������� ��������� ��������� ���������� Reno �������� ������ OPPO Reno11 � ����� �� Pro-������. � ���������� ������� ������� ����� �������� ������������ ������ � ������������� ������ ����������� ����������������� ����� �� ������ ��������. # OPPO OPPO Reno11�����810.11.23�������� �������� ������ ����. Sony �������� ��� ����� �������� ���-��������� ��������� ����������� ������� �������� ��������� ������� ���� ������ ����� �������� ��������� ����-������� ���� �� ������. Sony ������ �� ���������� � ������� � ������������ ���������� ����� �������� ������ ������� �������� ������ �� ��� ���� ������ ��������. �����3310.11.23������ ��������Infinix Smart 8 � ������� 90 �� � ������������� ���������� ������� � $102�������� Infinix ����������� ��������� �������� Smart 8. ��� ������������� ����� ���������� ������������� ����� � ������ ��������� ������������ � ������������ ������������ ���������� ����������� ������ � ��������� �������� �������. # Infinix Infinix Smart 8�����3510.11.23������ �������Teclast T40HD: ����� ������ 2K-������� � ���������� �� �������� ����������������� ����� ������������ Android-�������� � ������� ������� � ������� ����������� ������� ������������ � ���������� ������ ��������. ��� ���� �������� ���������� �� ����������� ����� �������: �� 17 ������ Teclast T40HD � ������������ ������� ������ � ������������� �� 7200 ��� ����� ���������� �� ����������� ����. # Teclast�����1510.11.23�������� �������� ���������� �����. Call of Duty: Modern Warfare III ���������� ��� DLC�������� Call of Duty ����� ��������� �������� ������ ������ Call of Duty: Modern Warfare III ����� ��� ������� �������� � ���� �� ������ ����� ��� �� ��� �� ��������� ������ �������� �� ���������� � ������� ��������. ��� ������� ������� ������ �� Bloomberg � ����������� ��������� ������ ������� �� ������� ����������� ������� ��������. �����4610.11.23������ ��������Soundcore�Space One � �������� � ANC � 55 ������ ������������. ������� ����� � ������?�������� Anker ����������� �� ���������� ����� ��������� ������������ �������� Soundcore Space One. �� ������� ����������� � �������� �������������� � �� ��������������� ��� ������������ ���������� ���� ������� ���������� �����. ����� ���� ������� �������� ��������� ������ LDAC � ����� ������������ ������������ ������������� � ��������� � �������� ������� �������. # Anker Anker Soundcore Space One�����1234567� ��������������� �������������������� �������������� ��������������� �� ��������������� ������������������������ ���������� ���������������� Cooperation information in EnglishDevDB������� ��������� ���������DevFAQ���� ������ �� ��������� ��������������� �� ����� ������/�������� � ������ �� ����� ����� �������� ����������� � ������� ������� Ctrl+Enter � �������� ��� �� ���� ���������� (������������ � ������������ �� ������������).© 2005-2023 «4PDA».4PDA® - ������������������ �������� ����.������� �������������� ��������������� �� ���������������</v>
      </c>
    </row>
    <row r="237">
      <c r="A237" s="1" t="s">
        <v>712</v>
      </c>
      <c r="B237" s="1" t="s">
        <v>753</v>
      </c>
      <c r="D237" s="1">
        <v>2.0</v>
      </c>
      <c r="E237" s="4" t="s">
        <v>754</v>
      </c>
      <c r="F237" s="1" t="s">
        <v>43</v>
      </c>
      <c r="G237" s="1" t="s">
        <v>302</v>
      </c>
      <c r="H237" s="4" t="s">
        <v>303</v>
      </c>
      <c r="I237" s="2">
        <v>3.0</v>
      </c>
      <c r="J237" s="5" t="str">
        <f>IFERROR(__xludf.DUMMYFUNCTION("GOOGLETRANSLATE(A237)"),"in contact with")</f>
        <v>in contact with</v>
      </c>
      <c r="K237" s="6" t="str">
        <f>IFERROR(__xludf.DUMMYFUNCTION("GOOGLETRANSLATE(B237)"),"Business promotion in VKontakte. Systems approach")</f>
        <v>Business promotion in VKontakte. Systems approach</v>
      </c>
      <c r="M237" s="5" t="str">
        <f>IFERROR(__xludf.DUMMYFUNCTION("GOOGLETRANSLATE(G237)"),"Google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38">
      <c r="A238" s="1" t="s">
        <v>712</v>
      </c>
      <c r="B238" s="1" t="s">
        <v>755</v>
      </c>
      <c r="D238" s="1">
        <v>3.0</v>
      </c>
      <c r="E238" s="4" t="s">
        <v>756</v>
      </c>
      <c r="F238" s="1" t="s">
        <v>43</v>
      </c>
      <c r="G238" s="1" t="s">
        <v>302</v>
      </c>
      <c r="H238" s="4" t="s">
        <v>303</v>
      </c>
      <c r="I238" s="2">
        <v>1.0</v>
      </c>
      <c r="J238" s="5" t="str">
        <f>IFERROR(__xludf.DUMMYFUNCTION("GOOGLETRANSLATE(A238)"),"in contact with")</f>
        <v>in contact with</v>
      </c>
      <c r="K238" s="6" t="str">
        <f>IFERROR(__xludf.DUMMYFUNCTION("GOOGLETRANSLATE(B238)"),"Social networks: VKontakte, Facebook and others ...")</f>
        <v>Social networks: VKontakte, Facebook and others ...</v>
      </c>
      <c r="M238" s="5" t="str">
        <f>IFERROR(__xludf.DUMMYFUNCTION("GOOGLETRANSLATE(G238)"),"Google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39">
      <c r="A239" s="1" t="s">
        <v>712</v>
      </c>
      <c r="B239" s="1" t="s">
        <v>733</v>
      </c>
      <c r="D239" s="1">
        <v>4.0</v>
      </c>
      <c r="E239" s="4" t="s">
        <v>757</v>
      </c>
      <c r="F239" s="1" t="s">
        <v>43</v>
      </c>
      <c r="G239" s="1" t="s">
        <v>302</v>
      </c>
      <c r="H239" s="4" t="s">
        <v>303</v>
      </c>
      <c r="I239" s="2">
        <v>0.0</v>
      </c>
      <c r="J239" s="5" t="str">
        <f>IFERROR(__xludf.DUMMYFUNCTION("GOOGLETRANSLATE(A239)"),"in contact with")</f>
        <v>in contact with</v>
      </c>
      <c r="K239" s="6" t="str">
        <f>IFERROR(__xludf.DUMMYFUNCTION("GOOGLETRANSLATE(B239)"),"VKontakte group - teacher's working tool")</f>
        <v>VKontakte group - teacher's working tool</v>
      </c>
      <c r="M239" s="5" t="str">
        <f>IFERROR(__xludf.DUMMYFUNCTION("GOOGLETRANSLATE(G239)"),"Google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0">
      <c r="A240" s="1" t="s">
        <v>712</v>
      </c>
      <c r="B240" s="1" t="s">
        <v>758</v>
      </c>
      <c r="D240" s="1">
        <v>5.0</v>
      </c>
      <c r="E240" s="4" t="s">
        <v>759</v>
      </c>
      <c r="F240" s="1" t="s">
        <v>43</v>
      </c>
      <c r="G240" s="1" t="s">
        <v>302</v>
      </c>
      <c r="H240" s="4" t="s">
        <v>303</v>
      </c>
      <c r="I240" s="2">
        <v>1.0</v>
      </c>
      <c r="J240" s="5" t="str">
        <f>IFERROR(__xludf.DUMMYFUNCTION("GOOGLETRANSLATE(A240)"),"in contact with")</f>
        <v>in contact with</v>
      </c>
      <c r="K240" s="6" t="str">
        <f>IFERROR(__xludf.DUMMYFUNCTION("GOOGLETRANSLATE(B240)"),"Durov code. The real story of VKontakte and its creator")</f>
        <v>Durov code. The real story of VKontakte and its creator</v>
      </c>
      <c r="M240" s="5" t="str">
        <f>IFERROR(__xludf.DUMMYFUNCTION("GOOGLETRANSLATE(G240)"),"Google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1">
      <c r="A241" s="1" t="s">
        <v>712</v>
      </c>
      <c r="B241" s="1" t="s">
        <v>760</v>
      </c>
      <c r="D241" s="1">
        <v>6.0</v>
      </c>
      <c r="E241" s="4" t="s">
        <v>761</v>
      </c>
      <c r="F241" s="1" t="s">
        <v>43</v>
      </c>
      <c r="G241" s="1" t="s">
        <v>302</v>
      </c>
      <c r="H241" s="4" t="s">
        <v>303</v>
      </c>
      <c r="I241" s="2">
        <v>1.0</v>
      </c>
      <c r="J241" s="5" t="str">
        <f>IFERROR(__xludf.DUMMYFUNCTION("GOOGLETRANSLATE(A241)"),"in contact with")</f>
        <v>in contact with</v>
      </c>
      <c r="K241" s="6" t="str">
        <f>IFERROR(__xludf.DUMMYFUNCTION("GOOGLETRANSLATE(B241)"),"Promotion in telegram, VKontakte and not only. 27 ...")</f>
        <v>Promotion in telegram, VKontakte and not only. 27 ...</v>
      </c>
      <c r="M241" s="5" t="str">
        <f>IFERROR(__xludf.DUMMYFUNCTION("GOOGLETRANSLATE(G241)"),"Google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2">
      <c r="A242" s="1" t="s">
        <v>712</v>
      </c>
      <c r="B242" s="1" t="s">
        <v>666</v>
      </c>
      <c r="C242" s="1" t="s">
        <v>762</v>
      </c>
      <c r="D242" s="1">
        <v>9.0</v>
      </c>
      <c r="E242" s="4" t="s">
        <v>668</v>
      </c>
      <c r="F242" s="1" t="s">
        <v>43</v>
      </c>
      <c r="G242" s="1" t="s">
        <v>120</v>
      </c>
      <c r="H242" s="4" t="s">
        <v>121</v>
      </c>
      <c r="I242" s="2">
        <v>0.0</v>
      </c>
      <c r="J242" s="5" t="str">
        <f>IFERROR(__xludf.DUMMYFUNCTION("GOOGLETRANSLATE(A242)"),"in contact with")</f>
        <v>in contact with</v>
      </c>
      <c r="K242" s="6" t="str">
        <f>IFERROR(__xludf.DUMMYFUNCTION("GOOGLETRANSLATE(B242)"),"VK: music, video, messenger - Apps on Google Play")</f>
        <v>VK: music, video, messenger - Apps on Google Play</v>
      </c>
      <c r="L242" s="5" t="str">
        <f>IFERROR(__xludf.DUMMYFUNCTION("GOOGLETRANSLATE(C242)"),"VKontakte unites tens of millions of people by offering unlimited features for communication, entertainment, business and sharing news from anywhere around ...")</f>
        <v>VKontakte unites tens of millions of people by offering unlimited features for communication, entertainment, business and sharing news from anywhere around ...</v>
      </c>
      <c r="M242" s="5" t="str">
        <f>IFERROR(__xludf.DUMMYFUNCTION("GOOGLETRANSLATE(G242)"),"Android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43">
      <c r="A243" s="1" t="s">
        <v>712</v>
      </c>
      <c r="B243" s="1" t="s">
        <v>669</v>
      </c>
      <c r="C243" s="1" t="s">
        <v>763</v>
      </c>
      <c r="D243" s="1">
        <v>10.0</v>
      </c>
      <c r="E243" s="4" t="s">
        <v>670</v>
      </c>
      <c r="F243" s="1" t="s">
        <v>43</v>
      </c>
      <c r="G243" s="1" t="s">
        <v>97</v>
      </c>
      <c r="H243" s="4" t="s">
        <v>98</v>
      </c>
      <c r="I243" s="2">
        <v>0.0</v>
      </c>
      <c r="J243" s="5" t="str">
        <f>IFERROR(__xludf.DUMMYFUNCTION("GOOGLETRANSLATE(A243)"),"in contact with")</f>
        <v>in contact with</v>
      </c>
      <c r="K243" s="6" t="str">
        <f>IFERROR(__xludf.DUMMYFUNCTION("GOOGLETRANSLATE(B243)"),"VK: social network, messenger on the App Store")</f>
        <v>VK: social network, messenger on the App Store</v>
      </c>
      <c r="L243" s="5" t="str">
        <f>IFERROR(__xludf.DUMMYFUNCTION("GOOGLETRANSLATE(C243)"),"VKontakte unites tens of millions of people by offering unlimited features for communication, dating, entertainment, business and sharing news from anywhere ...")</f>
        <v>VKontakte unites tens of millions of people by offering unlimited features for communication, dating, entertainment, business and sharing news from anywhere ...</v>
      </c>
      <c r="M243" s="5" t="str">
        <f>IFERROR(__xludf.DUMMYFUNCTION("GOOGLETRANSLATE(G243)"),"App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44">
      <c r="A244" s="1" t="s">
        <v>712</v>
      </c>
      <c r="B244" s="1" t="s">
        <v>671</v>
      </c>
      <c r="C244" s="1" t="s">
        <v>764</v>
      </c>
      <c r="D244" s="1">
        <v>13.0</v>
      </c>
      <c r="E244" s="4" t="s">
        <v>673</v>
      </c>
      <c r="F244" s="1" t="s">
        <v>43</v>
      </c>
      <c r="G244" s="1" t="s">
        <v>27</v>
      </c>
      <c r="H244" s="4" t="s">
        <v>28</v>
      </c>
      <c r="I244" s="2">
        <v>1.0</v>
      </c>
      <c r="J244" s="5" t="str">
        <f>IFERROR(__xludf.DUMMYFUNCTION("GOOGLETRANSLATE(A244)"),"in contact with")</f>
        <v>in contact with</v>
      </c>
      <c r="K244" s="6" t="str">
        <f>IFERROR(__xludf.DUMMYFUNCTION("GOOGLETRANSLATE(B244)"),"VK (service)")</f>
        <v>VK (service)</v>
      </c>
      <c r="L244" s="5" t="str">
        <f>IFERROR(__xludf.DUMMYFUNCTION("GOOGLETRANSLATE(C244)"),"VK (short for its original name VKontakte; Russian: ВКонтакте, meaning InContact) is a Russian online social media and social networking service based in Saint ...")</f>
        <v>VK (short for its original name VKontakte; Russian: ВКонтакте, meaning InContact) is a Russian online social media and social networking service based in Saint ...</v>
      </c>
      <c r="M244" s="5" t="str">
        <f>IFERROR(__xludf.DUMMYFUNCTION("GOOGLETRANSLATE(G244)"),"Wikipedia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245">
      <c r="A245" s="1" t="s">
        <v>712</v>
      </c>
      <c r="B245" s="1" t="s">
        <v>597</v>
      </c>
      <c r="C245" s="1" t="s">
        <v>765</v>
      </c>
      <c r="D245" s="1">
        <v>14.0</v>
      </c>
      <c r="E245" s="4" t="s">
        <v>766</v>
      </c>
      <c r="F245" s="1" t="s">
        <v>43</v>
      </c>
      <c r="G245" s="1" t="s">
        <v>273</v>
      </c>
      <c r="H245" s="4" t="s">
        <v>476</v>
      </c>
      <c r="I245" s="2">
        <v>2.0</v>
      </c>
      <c r="J245" s="5" t="str">
        <f>IFERROR(__xludf.DUMMYFUNCTION("GOOGLETRANSLATE(A245)"),"in contact with")</f>
        <v>in contact with</v>
      </c>
      <c r="K245" s="6" t="str">
        <f>IFERROR(__xludf.DUMMYFUNCTION("GOOGLETRANSLATE(B245)"),"In contact with")</f>
        <v>In contact with</v>
      </c>
      <c r="L245" s="5" t="str">
        <f>IFERROR(__xludf.DUMMYFUNCTION("GOOGLETRANSLATE(C245)"),"VKontakte is the most popular social network in Russia and the CIS countries. We provide an unlimited content of content of any formats and an open platform for ...")</f>
        <v>VKontakte is the most popular social network in Russia and the CIS countries. We provide an unlimited content of content of any formats and an open platform for ...</v>
      </c>
      <c r="M245" s="5" t="str">
        <f>IFERROR(__xludf.DUMMYFUNCTION("GOOGLETRANSLATE(G245)"),"Update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246">
      <c r="A246" s="1" t="s">
        <v>712</v>
      </c>
      <c r="B246" s="1" t="s">
        <v>767</v>
      </c>
      <c r="C246" s="1" t="s">
        <v>768</v>
      </c>
      <c r="D246" s="1">
        <v>17.0</v>
      </c>
      <c r="E246" s="4" t="s">
        <v>769</v>
      </c>
      <c r="F246" s="1" t="s">
        <v>43</v>
      </c>
      <c r="I246" s="2">
        <v>2.0</v>
      </c>
      <c r="J246" s="5" t="str">
        <f>IFERROR(__xludf.DUMMYFUNCTION("GOOGLETRANSLATE(A246)"),"in contact with")</f>
        <v>in contact with</v>
      </c>
      <c r="K246" s="6" t="str">
        <f>IFERROR(__xludf.DUMMYFUNCTION("GOOGLETRANSLATE(B246)"),"VK - Crunchbase Company Profile &amp; Funding")</f>
        <v>VK - Crunchbase Company Profile &amp; Funding</v>
      </c>
      <c r="L246" s="5" t="str">
        <f>IFERROR(__xludf.DUMMYFUNCTION("GOOGLETRANSLATE(C246)"),"VK, formerly known as Vkontakte.ru, originated in Russia in 2006 and now dominates the post-soviet social networking space.")</f>
        <v>VK, formerly known as Vkontakte.ru, originated in Russia in 2006 and now dominates the post-soviet social networking space.</v>
      </c>
      <c r="M246" s="5" t="str">
        <f>IFERROR(__xludf.DUMMYFUNCTION("GOOGLETRANSLATE(G246)"),"#VALUE!")</f>
        <v>#VALUE!</v>
      </c>
    </row>
    <row r="247">
      <c r="A247" s="1" t="s">
        <v>712</v>
      </c>
      <c r="B247" s="1" t="s">
        <v>770</v>
      </c>
      <c r="D247" s="1">
        <v>20.0</v>
      </c>
      <c r="E247" s="4" t="s">
        <v>771</v>
      </c>
      <c r="F247" s="1" t="s">
        <v>43</v>
      </c>
      <c r="G247" s="1" t="s">
        <v>302</v>
      </c>
      <c r="H247" s="4" t="s">
        <v>303</v>
      </c>
      <c r="I247" s="2">
        <v>3.0</v>
      </c>
      <c r="J247" s="5" t="str">
        <f>IFERROR(__xludf.DUMMYFUNCTION("GOOGLETRANSLATE(A247)"),"in contact with")</f>
        <v>in contact with</v>
      </c>
      <c r="K247" s="6" t="str">
        <f>IFERROR(__xludf.DUMMYFUNCTION("GOOGLETRANSLATE(B247)"),"Your business in VKontakte. How to involve 100 customers per day")</f>
        <v>Your business in VKontakte. How to involve 100 customers per day</v>
      </c>
      <c r="M247" s="5" t="str">
        <f>IFERROR(__xludf.DUMMYFUNCTION("GOOGLETRANSLATE(G247)"),"Google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8">
      <c r="A248" s="1" t="s">
        <v>712</v>
      </c>
      <c r="B248" s="1" t="s">
        <v>755</v>
      </c>
      <c r="D248" s="1">
        <v>21.0</v>
      </c>
      <c r="E248" s="4" t="s">
        <v>772</v>
      </c>
      <c r="F248" s="1" t="s">
        <v>43</v>
      </c>
      <c r="G248" s="1" t="s">
        <v>302</v>
      </c>
      <c r="H248" s="4" t="s">
        <v>303</v>
      </c>
      <c r="I248" s="2">
        <v>3.0</v>
      </c>
      <c r="J248" s="5" t="str">
        <f>IFERROR(__xludf.DUMMYFUNCTION("GOOGLETRANSLATE(A248)"),"in contact with")</f>
        <v>in contact with</v>
      </c>
      <c r="K248" s="6" t="str">
        <f>IFERROR(__xludf.DUMMYFUNCTION("GOOGLETRANSLATE(B248)"),"Social networks: VKontakte, Facebook and others ...")</f>
        <v>Social networks: VKontakte, Facebook and others ...</v>
      </c>
      <c r="M248" s="5" t="str">
        <f>IFERROR(__xludf.DUMMYFUNCTION("GOOGLETRANSLATE(G248)"),"Google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9">
      <c r="A249" s="1" t="s">
        <v>712</v>
      </c>
      <c r="B249" s="1" t="s">
        <v>773</v>
      </c>
      <c r="D249" s="1">
        <v>22.0</v>
      </c>
      <c r="E249" s="4" t="s">
        <v>774</v>
      </c>
      <c r="F249" s="1" t="s">
        <v>43</v>
      </c>
      <c r="G249" s="1" t="s">
        <v>302</v>
      </c>
      <c r="H249" s="4" t="s">
        <v>303</v>
      </c>
      <c r="I249" s="2">
        <v>3.0</v>
      </c>
      <c r="J249" s="5" t="str">
        <f>IFERROR(__xludf.DUMMYFUNCTION("GOOGLETRANSLATE(A249)"),"in contact with")</f>
        <v>in contact with</v>
      </c>
      <c r="K249" s="6" t="str">
        <f>IFERROR(__xludf.DUMMYFUNCTION("GOOGLETRANSLATE(B249)"),"13 secrets of high coverage of VKontakte - the result from Google Books")</f>
        <v>13 secrets of high coverage of VKontakte - the result from Google Books</v>
      </c>
      <c r="M249" s="5" t="str">
        <f>IFERROR(__xludf.DUMMYFUNCTION("GOOGLETRANSLATE(G249)"),"Google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50">
      <c r="A250" s="1" t="s">
        <v>712</v>
      </c>
      <c r="B250" s="1" t="s">
        <v>775</v>
      </c>
      <c r="C250" s="1" t="s">
        <v>153</v>
      </c>
      <c r="D250" s="1">
        <v>35.0</v>
      </c>
      <c r="E250" s="4" t="s">
        <v>776</v>
      </c>
      <c r="F250" s="1" t="s">
        <v>43</v>
      </c>
      <c r="G250" s="1" t="s">
        <v>777</v>
      </c>
      <c r="H250" s="4" t="s">
        <v>778</v>
      </c>
      <c r="I250" s="2">
        <v>5.0</v>
      </c>
      <c r="J250" s="5" t="str">
        <f>IFERROR(__xludf.DUMMYFUNCTION("GOOGLETRANSLATE(A250)"),"in contact with")</f>
        <v>in contact with</v>
      </c>
      <c r="K250" s="6" t="str">
        <f>IFERROR(__xludf.DUMMYFUNCTION("GOOGLETRANSLATE(B250)"),"VKontakte does not work - November 8, 2023")</f>
        <v>VKontakte does not work - November 8, 2023</v>
      </c>
      <c r="L250" s="5" t="str">
        <f>IFERROR(__xludf.DUMMYFUNCTION("GOOGLETRANSLATE(C250)"),"3 days ago -")</f>
        <v>3 days ago -</v>
      </c>
      <c r="M250" s="5" t="str">
        <f>IFERROR(__xludf.DUMMYFUNCTION("GOOGLETRANSLATE(G250)"),"Novosibirsk news - main news today | NGS - news Novosibirsk Real estate work video TsGDE to meet Novye Knight Telegramvs News ""In two years it will shoot."" Auroist - about the new rules for the parallel import of a car, a known developer dictates a new "&amp;"format of quality of life - what awaits the buyers of apartments ""Perhaps change in prices in the direction of increase."" Why is there such an expensive gasoline in Russia and whether it will become cheaper “here is a lake and no one yells at night”: in"&amp;" a very calm area they started construction and reduced the prices for housing of Dudia* check for discrediting the army of the Russian Federation: the news for the 11th of November 11 to buy a two -story townhouse in The green zone at a price is cheaper "&amp;"than an ordinary apartment was simply not explained how to walk on two legs. How the “four-bearer” family from Turkey nature or the benefit of civilization lives: residents of the new complex near the lake do not have to choose “I called you slaves and sl"&amp;"aves”: Alla Pugacheva turned to the Hamitheloma of the Data Centers and the service provider signed an agreement on cooperation of wealth and love ! What to meet the new 2024 year-the advice of an astrologer and the Numerologist-business community ""Equiu"&amp;"m"" invites Siberian entrepreneurs to visit ""it turns out to be killed and there will be nothing for you"": as a tormentor of Vera Pekhteleva, he scored her to death and then his dreams of dreams in a cottage with his own Plot: eco -nickel on the bosom o"&amp;"f nature opens the doors to Novosibirski “rushes with drift”: under Novosibirsk torn VAZ scared the local residents of DJ and gifts: a cozy restaurant in the center invites to celebrate the New Year “Codes and these cards I did not say”: the young mother "&amp;"lost 70 thousand Faced with particularly sophisticated scammers at the left bank: a unique complex of apartments will decorate the Marxa Square, with the right -bank part of the southern transit - for the Left -Bank project they allocated half a billion r"&amp;"eception for 1 ruble: the Novosibirsk clinic reduced the price of surgery for those who needed operations of the Ryazan region. 19 wagons went off the rails: a photo from the scene of the incident in which you can buy a number: how to get a passive income"&amp;" without immersion in a hotel business business (we will tell you that it talks about you about you space and time: status LCD and a picturesque square for Royal Park ""Bigl did not run: the dog escaped from the owners and rushes around Novosibirsk for 9 "&amp;"days-no one can catch the school workers in Tatarsk for negligence-in the institution the 11-year-old girl"" We-participants of the big experiment ""was beaten: why do neighbors in high-rise buildings ride at night at night Paul balls? In Novosibirsk, the"&amp;"y made a parody of the film “Furious: Hobbs and Show”: Video from the contesting Siberian was forbidden to ride on the purchased Lexus RX - the former owner came across drunk behind the rudders to excite: a difficult test for knowledge of slang - 12 quest"&amp;"ions that are surprised by the grass : look at eight abandoned villages of Russia in which life stopped by a football player from Novosibirsk came to the “Dom-2” to a spectacular blondincase of 15 thousand took the “box”: the story of the rescue service m"&amp;"anager who was put for drugs of two Siberians found on the basis of recreation in Altai: men died in Zarrysama drowned in borrowings. We are studying the statements of the State Duma deputy who advocates the purity of the Russian language Mamarfushenka Du"&amp;"shenka! How to replace the hat to save the hairstyle and how to stylishly wrap himself in the scarf wintering of the fallen. The mass fight near the bar in the center of Novosibirsk got into the video-the police began to check “I began to shurate in every"&amp;" way”: the passenger quarreled with the driver of the minibus-he forbade him to speak by telephone from Krasnokamensk-to Cannes. How Victoria Bonya escaped from a village with convicts gave birth to a billionaire and made her face for 20 million to prepar"&amp;"e for -27 degrees: how temperature changes in Novosibirsk will affect the future crop -urgent Meriva of the Ob River found the body of a man in fishing clothes “eats only through a tube” : In Tatarsk, the schoolgirl hit the head on the head-the details of"&amp;" the incident-1996 incidented-Siberian: we look at unique photos and remember the youth-how they met Yeltsin and built the Mikhailovskaya embankment, they want to demolish the 59-year building-what could appear on its location: ugly signs were closed by N"&amp;"ovosibirsk There is a design code in the city, but it doesn’t work as not to cry and not to clock ”: why pensioners are going to trade rubbish in the cold and what they buy at the Novosibirsk“ flea ”traders with perennial experience shared that they inter"&amp;"fere with old things 43 minutes2 20525 The main video in the country City Crime Business urgently Live covered Novosibirsk in mid-November-Bastrykin demanded a report on an attack by a teenager on a 11-year-old girl at school-the world was beaten up to th"&amp;"e hospital: he ran from Dagestan to Sevastopol “thought it could not be worse to be worse "": Siberian was mistakenly sold an apartment to close loans - the buyer has dozens of such transactions of 50% on the foundation when ordering a house from a profil"&amp;"ed shirt in the Narymsky Square: drivers turned the park into a huge parking lot - the apogee of autohamism"" Gas streamed over the whole street "": in Novosibirsk: in Novosibirsk Strange smoke was going on a gas station from the bus - could it be Metango"&amp;"rod to bring as a gift from Novosibirsk? Souvenirs that you can even eat on October 242121 610 Novosibirsk noticed teenagers who cling to trains11 hours2 75118 announcements “We don’t earn on the Socialist”: the developer told why it builds kindergartens "&amp;"of the school and outpatient clinics on November8, 6 930 industries “began to scream something in Berdsk with waste Waters-a passerby saved it12 hours5 14629 Prossevoli bastard driver UAZ: there were terrible shots from a frontal accident at the northern "&amp;"detour13 hours10 50835 Cultules of middle-aged men want to talk: the cult performance of Muscovites will show in the huge arena November310 766 Loose at the edges: a 7-year-old girl fell to the open hatch in Novosibi in Novosibi RSCK14 hours6 60144v Black"&amp;" Friday can save a million on buying an apartment. In which new buildings there is a discount on November 910 34319 Poll have already changed rubber by car? Voting on October 24187 Formation “This is a lot of crying”: the former basketball player became a"&amp;" coach for children with features on November15 68415 Hand -free buildings for new buildings is still lower than for the secondary: what options to buy housing have the Novosibirsk people November15 682 Protection “already eats” The rescuers thanked the h"&amp;"ead - how he feels15 hours7 84852 -Social -subject of Morozov: in Novosibirsk they noticed the November rainbow16 hours6 10919Avto ""It will shoot after two years."" Auroist - about the new rules of parallel imports of cars 43 minutes1 2759economics ""It "&amp;"is possible to change prices in the direction of increase."" Why in Russia such an expensive gasoline and whether it will become cheaper 1 hour 1 18829 page and Miruria Dudia* are checked for discrediting the army of the Russian Federation: News for Novem"&amp;"ber 110, 657172VS News News")</f>
        <v>Novosibirsk news - main news today | NGS - news Novosibirsk Real estate work video TsGDE to meet Novye Knight Telegramvs News "In two years it will shoot." Auroist - about the new rules for the parallel import of a car, a known developer dictates a new format of quality of life - what awaits the buyers of apartments "Perhaps change in prices in the direction of increase." Why is there such an expensive gasoline in Russia and whether it will become cheaper “here is a lake and no one yells at night”: in a very calm area they started construction and reduced the prices for housing of Dudia* check for discrediting the army of the Russian Federation: the news for the 11th of November 11 to buy a two -story townhouse in The green zone at a price is cheaper than an ordinary apartment was simply not explained how to walk on two legs. How the “four-bearer” family from Turkey nature or the benefit of civilization lives: residents of the new complex near the lake do not have to choose “I called you slaves and slaves”: Alla Pugacheva turned to the Hamitheloma of the Data Centers and the service provider signed an agreement on cooperation of wealth and love ! What to meet the new 2024 year-the advice of an astrologer and the Numerologist-business community "Equium" invites Siberian entrepreneurs to visit "it turns out to be killed and there will be nothing for you": as a tormentor of Vera Pekhteleva, he scored her to death and then his dreams of dreams in a cottage with his own Plot: eco -nickel on the bosom of nature opens the doors to Novosibirski “rushes with drift”: under Novosibirsk torn VAZ scared the local residents of DJ and gifts: a cozy restaurant in the center invites to celebrate the New Year “Codes and these cards I did not say”: the young mother lost 70 thousand Faced with particularly sophisticated scammers at the left bank: a unique complex of apartments will decorate the Marxa Square, with the right -bank part of the southern transit - for the Left -Bank project they allocated half a billion reception for 1 ruble: the Novosibirsk clinic reduced the price of surgery for those who needed operations of the Ryazan region. 19 wagons went off the rails: a photo from the scene of the incident in which you can buy a number: how to get a passive income without immersion in a hotel business business (we will tell you that it talks about you about you space and time: status LCD and a picturesque square for Royal Park "Bigl did not run: the dog escaped from the owners and rushes around Novosibirsk for 9 days-no one can catch the school workers in Tatarsk for negligence-in the institution the 11-year-old girl" We-participants of the big experiment "was beaten: why do neighbors in high-rise buildings ride at night at night Paul balls? In Novosibirsk, they made a parody of the film “Furious: Hobbs and Show”: Video from the contesting Siberian was forbidden to ride on the purchased Lexus RX - the former owner came across drunk behind the rudders to excite: a difficult test for knowledge of slang - 12 questions that are surprised by the grass : look at eight abandoned villages of Russia in which life stopped by a football player from Novosibirsk came to the “Dom-2” to a spectacular blondincase of 15 thousand took the “box”: the story of the rescue service manager who was put for drugs of two Siberians found on the basis of recreation in Altai: men died in Zarrysama drowned in borrowings. We are studying the statements of the State Duma deputy who advocates the purity of the Russian language Mamarfushenka Dushenka! How to replace the hat to save the hairstyle and how to stylishly wrap himself in the scarf wintering of the fallen. The mass fight near the bar in the center of Novosibirsk got into the video-the police began to check “I began to shurate in every way”: the passenger quarreled with the driver of the minibus-he forbade him to speak by telephone from Krasnokamensk-to Cannes. How Victoria Bonya escaped from a village with convicts gave birth to a billionaire and made her face for 20 million to prepare for -27 degrees: how temperature changes in Novosibirsk will affect the future crop -urgent Meriva of the Ob River found the body of a man in fishing clothes “eats only through a tube” : In Tatarsk, the schoolgirl hit the head on the head-the details of the incident-1996 incidented-Siberian: we look at unique photos and remember the youth-how they met Yeltsin and built the Mikhailovskaya embankment, they want to demolish the 59-year building-what could appear on its location: ugly signs were closed by Novosibirsk There is a design code in the city, but it doesn’t work as not to cry and not to clock ”: why pensioners are going to trade rubbish in the cold and what they buy at the Novosibirsk“ flea ”traders with perennial experience shared that they interfere with old things 43 minutes2 20525 The main video in the country City Crime Business urgently Live covered Novosibirsk in mid-November-Bastrykin demanded a report on an attack by a teenager on a 11-year-old girl at school-the world was beaten up to the hospital: he ran from Dagestan to Sevastopol “thought it could not be worse to be worse ": Siberian was mistakenly sold an apartment to close loans - the buyer has dozens of such transactions of 50% on the foundation when ordering a house from a profiled shirt in the Narymsky Square: drivers turned the park into a huge parking lot - the apogee of autohamism" Gas streamed over the whole street ": in Novosibirsk: in Novosibirsk Strange smoke was going on a gas station from the bus - could it be Metangorod to bring as a gift from Novosibirsk? Souvenirs that you can even eat on October 242121 610 Novosibirsk noticed teenagers who cling to trains11 hours2 75118 announcements “We don’t earn on the Socialist”: the developer told why it builds kindergartens of the school and outpatient clinics on November8, 6 930 industries “began to scream something in Berdsk with waste Waters-a passerby saved it12 hours5 14629 Prossevoli bastard driver UAZ: there were terrible shots from a frontal accident at the northern detour13 hours10 50835 Cultules of middle-aged men want to talk: the cult performance of Muscovites will show in the huge arena November310 766 Loose at the edges: a 7-year-old girl fell to the open hatch in Novosibi in Novosibi RSCK14 hours6 60144v Black Friday can save a million on buying an apartment. In which new buildings there is a discount on November 910 34319 Poll have already changed rubber by car? Voting on October 24187 Formation “This is a lot of crying”: the former basketball player became a coach for children with features on November15 68415 Hand -free buildings for new buildings is still lower than for the secondary: what options to buy housing have the Novosibirsk people November15 682 Protection “already eats” The rescuers thanked the head - how he feels15 hours7 84852 -Social -subject of Morozov: in Novosibirsk they noticed the November rainbow16 hours6 10919Avto "It will shoot after two years." Auroist - about the new rules of parallel imports of cars 43 minutes1 2759economics "It is possible to change prices in the direction of increase." Why in Russia such an expensive gasoline and whether it will become cheaper 1 hour 1 18829 page and Miruria Dudia* are checked for discrediting the army of the Russian Federation: News for November 110, 657172VS News News</v>
      </c>
    </row>
    <row r="251">
      <c r="A251" s="1" t="s">
        <v>779</v>
      </c>
      <c r="B251" s="1" t="s">
        <v>780</v>
      </c>
      <c r="C251" s="1" t="s">
        <v>781</v>
      </c>
      <c r="D251" s="1">
        <v>1.0</v>
      </c>
      <c r="E251" s="4" t="s">
        <v>782</v>
      </c>
      <c r="F251" s="1" t="s">
        <v>16</v>
      </c>
      <c r="I251" s="2">
        <v>1.0</v>
      </c>
      <c r="J251" s="5" t="str">
        <f>IFERROR(__xludf.DUMMYFUNCTION("GOOGLETRANSLATE(A251)"),"Gdz")</f>
        <v>Gdz</v>
      </c>
      <c r="K251" s="6" t="str">
        <f>IFERROR(__xludf.DUMMYFUNCTION("GOOGLETRANSLATE(B251)"),"GDZ: Ready -made homework for grade 1-11 - gdz.ru")</f>
        <v>GDZ: Ready -made homework for grade 1-11 - gdz.ru</v>
      </c>
      <c r="L251" s="5" t="str">
        <f>IFERROR(__xludf.DUMMYFUNCTION("GOOGLETRANSLATE(C251)"),"GDZ will be an excellent motivation for students to study. They will help to learn how to analyze their own activities and think logically. Which will significantly increase ...")</f>
        <v>GDZ will be an excellent motivation for students to study. They will help to learn how to analyze their own activities and think logically. Which will significantly increase ...</v>
      </c>
      <c r="M251" s="5" t="str">
        <f>IFERROR(__xludf.DUMMYFUNCTION("GOOGLETRANSLATE(G251)"),"#VALUE!")</f>
        <v>#VALUE!</v>
      </c>
    </row>
    <row r="252">
      <c r="A252" s="1" t="s">
        <v>779</v>
      </c>
      <c r="B252" s="1" t="s">
        <v>783</v>
      </c>
      <c r="C252" s="1" t="s">
        <v>784</v>
      </c>
      <c r="D252" s="1">
        <v>2.0</v>
      </c>
      <c r="E252" s="4" t="s">
        <v>785</v>
      </c>
      <c r="F252" s="1" t="s">
        <v>16</v>
      </c>
      <c r="G252" s="1" t="s">
        <v>786</v>
      </c>
      <c r="H252" s="4" t="s">
        <v>787</v>
      </c>
      <c r="I252" s="2">
        <v>1.0</v>
      </c>
      <c r="J252" s="5" t="str">
        <f>IFERROR(__xludf.DUMMYFUNCTION("GOOGLETRANSLATE(A252)"),"Gdz")</f>
        <v>Gdz</v>
      </c>
      <c r="K252" s="6" t="str">
        <f>IFERROR(__xludf.DUMMYFUNCTION("GOOGLETRANSLATE(B252)"),"GDZ - finished homework | Answers without errors")</f>
        <v>GDZ - finished homework | Answers without errors</v>
      </c>
      <c r="L252" s="5" t="str">
        <f>IFERROR(__xludf.DUMMYFUNCTION("GOOGLETRANSLATE(C252)"),"High -quality GDZ and solutions in the subjects of the school curriculum. The answers contain step -by -step actions, the translation of the text to new textbooks and notebooks.")</f>
        <v>High -quality GDZ and solutions in the subjects of the school curriculum. The answers contain step -by -step actions, the translation of the text to new textbooks and notebooks.</v>
      </c>
      <c r="M252" s="5" t="str">
        <f>IFERROR(__xludf.DUMMYFUNCTION("GOOGLETRANSLATE(G252)"),"GDZ - finished homework | Answers without errors.fm gdzlassy -prizes -replacement aircraft12345678910111algebra Geometry Mathematics Russian Language Belorussian Language Language Physics Physics Chemistry Biology Informatics Ukrainian Language Language L"&amp;"anguage Literature Literature Geography Drawing Astronomy Human and World Honey. Preparation of nature studies of the basis of health music iso -social studies Ecology Ecology Technology Natural Science Spanish art Chinese language Kubanovy Kubanovka Kaza"&amp;"kh language the world of nature and man Physical education in every student in life are moments when he could not understand in the lesson what the teacher explains to him. And I really do not want to lag behind peers. Usually, at such moments, GDZ can he"&amp;"lp with which you can successfully master a new topic and spend less time on homework. After all, all the well -known textbooks and workbooks for the school curriculum are collected here who do not need additional clarification. And now you do not need to"&amp;" purchase residents, and this is a budget saving. Such a textbook is divided into topics that are fully consistent with the curriculum. Also, the State Duma contains several options for solving problems contain answers to all questions as well as a video "&amp;"solution. This is very convenient to figure out the material incomprehensible to you with specific examples. Usually, parents watch the residents in order to control how their children do homework. And the students, in turn, or simply write off the finish"&amp;"ed task. And there is nothing shameful in this, because the materials every year are more and more difficult and difficult, but there is not enough time. Indeed, in addition to the educational process, there are other hobbies and concerns. The dedicated t"&amp;"echnique is actively used by some tutors who try to explain the subject with certain difficulties to their students. This approach has already gained certain confidence in itself because of its effectiveness and simplicity. Many parents who were concerned"&amp;" about the educational successes of their children and their future, especially if the student plans to enter the secondary school after grade 9 or a higher educational institution after grade 11, will also begin to use it. OGE GVE) exam and final exams a"&amp;"t school. Popular GDZ Algebra 7th grade authors: Yu.N. Makarychev N.G. Mindyuk Algebra Grade 8 Authors: Yu.N. Makarychev N.G. Mindyuk Algebra 9th grade basic level authors: Yu.N. Makarychev N.G. Mindyuk Geometry 7-9 Grade Authors: L.S. Atanasyan V.F. Butu"&amp;"zov mathematics Grade 6 authors: N.Ya. Vilenkin V.I. Zhokhov Mathematics Grade 5 Authors: N.Ya. Vilenkin V.I. Zhokhov Russian language grade 6 authors: M.T. Baranov T.A. Ladyzhenskaya Russian language grade 7 authors: M.T. Baranov T.A. Ladyzhenskaya drawi"&amp;"ng grade 9 Workbook Author: V.N. Vinogradov © 2023 ""GDZ.FM"" [email protected]")</f>
        <v>GDZ - finished homework | Answers without errors.fm gdzlassy -prizes -replacement aircraft12345678910111algebra Geometry Mathematics Russian Language Belorussian Language Language Physics Physics Chemistry Biology Informatics Ukrainian Language Language Language Literature Literature Geography Drawing Astronomy Human and World Honey. Preparation of nature studies of the basis of health music iso -social studies Ecology Ecology Technology Natural Science Spanish art Chinese language Kubanovy Kubanovka Kazakh language the world of nature and man Physical education in every student in life are moments when he could not understand in the lesson what the teacher explains to him. And I really do not want to lag behind peers. Usually, at such moments, GDZ can help with which you can successfully master a new topic and spend less time on homework. After all, all the well -known textbooks and workbooks for the school curriculum are collected here who do not need additional clarification. And now you do not need to purchase residents, and this is a budget saving. Such a textbook is divided into topics that are fully consistent with the curriculum. Also, the State Duma contains several options for solving problems contain answers to all questions as well as a video solution. This is very convenient to figure out the material incomprehensible to you with specific examples. Usually, parents watch the residents in order to control how their children do homework. And the students, in turn, or simply write off the finished task. And there is nothing shameful in this, because the materials every year are more and more difficult and difficult, but there is not enough time. Indeed, in addition to the educational process, there are other hobbies and concerns. The dedicated technique is actively used by some tutors who try to explain the subject with certain difficulties to their students. This approach has already gained certain confidence in itself because of its effectiveness and simplicity. Many parents who were concerned about the educational successes of their children and their future, especially if the student plans to enter the secondary school after grade 9 or a higher educational institution after grade 11, will also begin to use it. OGE GVE) exam and final exams at school. Popular GDZ Algebra 7th grade authors: Yu.N. Makarychev N.G. Mindyuk Algebra Grade 8 Authors: Yu.N. Makarychev N.G. Mindyuk Algebra 9th grade basic level authors: Yu.N. Makarychev N.G. Mindyuk Geometry 7-9 Grade Authors: L.S. Atanasyan V.F. Butuzov mathematics Grade 6 authors: N.Ya. Vilenkin V.I. Zhokhov Mathematics Grade 5 Authors: N.Ya. Vilenkin V.I. Zhokhov Russian language grade 6 authors: M.T. Baranov T.A. Ladyzhenskaya Russian language grade 7 authors: M.T. Baranov T.A. Ladyzhenskaya drawing grade 9 Workbook Author: V.N. Vinogradov © 2023 "GDZ.FM" [email protected]</v>
      </c>
    </row>
    <row r="253">
      <c r="A253" s="1" t="s">
        <v>779</v>
      </c>
      <c r="B253" s="1" t="s">
        <v>788</v>
      </c>
      <c r="C253" s="1" t="s">
        <v>789</v>
      </c>
      <c r="D253" s="1">
        <v>3.0</v>
      </c>
      <c r="E253" s="4" t="s">
        <v>790</v>
      </c>
      <c r="F253" s="1" t="s">
        <v>16</v>
      </c>
      <c r="G253" s="1" t="s">
        <v>791</v>
      </c>
      <c r="H253" s="4" t="s">
        <v>792</v>
      </c>
      <c r="I253" s="2">
        <v>1.0</v>
      </c>
      <c r="J253" s="5" t="str">
        <f>IFERROR(__xludf.DUMMYFUNCTION("GOOGLETRANSLATE(A253)"),"Gdz")</f>
        <v>Gdz</v>
      </c>
      <c r="K253" s="6" t="str">
        <f>IFERROR(__xludf.DUMMYFUNCTION("GOOGLETRANSLATE(B253)"),"GDZ - ready -made homework and residents")</f>
        <v>GDZ - ready -made homework and residents</v>
      </c>
      <c r="L253" s="5" t="str">
        <f>IFERROR(__xludf.DUMMYFUNCTION("GOOGLETRANSLATE(C253)"),"GDZ (finished homework) for grades 1-11, online Reshebniks in all school subjects, answers to working and laboratory notebooks.")</f>
        <v>GDZ (finished homework) for grades 1-11, online Reshebniks in all school subjects, answers to working and laboratory notebooks.</v>
      </c>
      <c r="M253" s="5" t="str">
        <f>IFERROR(__xludf.DUMMYFUNCTION("GOOGLETRANSLATE(G253)"),"GDZ - ready -made homework and Reshebniks Reshebniks GDZ1 Grade Mathematics Russian Language Language Language German Language Language Literature Man and World Environmental Studies Fundamentals of Health Music. Music World of Nature and Human Physical C"&amp;"ulture 2 Grade Language Language Belorussian Belorian Language Language Ukrainian Language Language French German Language Literature Man and World Conducting Fundamentals of Health Music Arts Surrounding the World Spanish language Kazakh language world o"&amp;"f nature and man grade 3 Mathematics Russian Language Belorian language English language informatics Ukrainian language German language literature human and world music surrounding the world Technology Spanish language Kazakh language Kazakh World of Natu"&amp;"re and Human 4 Grade Mathematics Russian Language Belorussian language English language informatics Ukrainian language French language literature human language and world basics of health. Music art surrounding world technology Spanish language of the wor"&amp;"ld of nature and man grade 5 mathematics Russian Belorian English physics physics physics physics Physics Informatics Ukrainian language French language German language History Geography Man and World Obzh Natural Studies Music Student Technology Spanish "&amp;"Language Art Chinese Language Kubanovka Kazakh language Grade 6 Mathematics Russian Language Language Language Language Physics Physics Language Language Language Girderi Language History History Literacies Geography Oblast Environmental Studies Natural S"&amp;"cience Music social studies Ecology Technology Spanish language art Chinese language Kubanovka Kazakh language Kazakh language grade 7 algebra geometry Mathematics Russian language Belarusian language physics physics chemistry biology Ukrainian language F"&amp;"rench language history Literature Drawing music vital language technology Spanish art Chinese language grade 8 algebra geometry Mathematics Russian language Belarusian language physics physics chemistry Biology Informatics Ukrainian language French langua"&amp;"ge History Literature Geography Drawing Social Studies Ecology Technology Spanish language art Kubanovka Kazakh language Algebra Geometry Mathematics Russian Belorian Beli Physics Biological Informatics Ukrainian Language French German language History Li"&amp;"terature Geography Drawing Social Studies Technology Spanish language art Kubanovka Kazakh language grade 10 Algebra Geometry Mathematics Russian Language Belorussian Language Belorian Chemistry Biology Informatics Ukrainian Language Language German Langu"&amp;"age Literature Literature Geography Medication. Preparation of OBZH Social Studies Spanish language Kubanovka Kazakh language grade 11 algebra geometry Mathematics Russian language Belarusian language physics physics Chemistry Biology Informatics Ukrainia"&amp;"n language French language history Literature geography Astronomy honey. Preparation of OBZH Social Studies Spanish Kazakh language of a video solution from scratch virtual hosting from 1575 rubles/month. GDZ for the 1-11 classes of objects of classes1234"&amp;"567891011algebra1234567891011111111111123456789111matomatics1234567891011 Russian language123456789111234567891111 English English English English English English English 8910111physics1234567891011HIMIMA1234567891011112345678910111informatics123456789111"&amp;"111111111111112345678910111111111111111frazus language1234567891011111111111111111011111111111111111111111111111111111111111 History12345678910111112345678910111112345678911011111111111Astronomy12345678910111111111111111111111111111111101011MED. Training1"&amp;"234567891011 8910111ECOLOGY12345678910111111112345678910111111111123456789101111 -test language1234567891111111111111111111111kitsky language12345678911kubanovania12345678910101010101010101010101010101010101010101010101010101010AR Kazakh language123456789"&amp;"1011 MIRETURY AND HOME123456789101111PHIZUSTURT1234567891011 What should I choose an online solution? If you are looking for quality material, capable of helping in solving exercises from a school textbook, then you opened a suitable training portal - meg"&amp;"aresheba. Here, qualitatively disassembled tasks from all books of a comprehensive school are given to your attention. Whether the Russian language or literature mathematics or its sections of Algebra with geometry chemistry physics History of English and"&amp;" German - the correct answers to all tasks are presented on the website with the GDZ. The electronic resource works around the clock and is available from any device: the computer of the tablet phone. Each collection with ready -made answers on megaresheb"&amp;"e has been developed in detail by specialists working in the education system and help to better delve into the educational process. The authors provide all the right decisions in a very understandable and rather brief form than third -party projects (hel"&amp;"ping with GDZ Skolololo or dugs). The information on the site is fully complies with the requirements of the Federal State Educational Standard and is relevant for the new 2020. The online sentence is an excellent reference and preparatory material that s"&amp;"tudents will be able to use throughout the training at school and not only. All the pluses of the GDZ for schoolchildren and their parents are the task of collections-not just give the opportunity to write off the “home” but increase their own performance"&amp;" and effectiveness. Our Reshebniks surpass all competitors (GDZ Lol Soldor Megabotan Help or Euroki) according to many criteria and have a number of practical functions: they allow any student to deal with incomprehensible topics and consider the rules fo"&amp;"r fulfilling each example; Also, students can easily use such publications for self -testing solved homework; The largest base of residents for different countries (Russia Belarus Kazakhstan Kyrgyzstan and others); contains a course of video plays; annual"&amp;" renewal of GDZ; several types of solutions; Suitable for teachers to draw up a plan of classes and control sections; They will be useful to parents to check the ""home"" of the child; Easy search for the right textbook on a special indicator or auxiliary"&amp;" navigation. All exercises each task or translation in all benefits have their own serial numbers that correspond to those in the original edition. Therefore, the use of such manuals does not imply any difficulties with the search for the required number."&amp;" Each author in his publication tells how to correctly use his book. And they all converge in one opinion: do not mechanically write off ready -made information from GDZOTPUTIN. Before use, you first need to try to solve the whole task yourself. And use t"&amp;"he Reshebnik only in case of difficulties or for independent preparation for the following topics and paragraphs of the notebook. Of course, such literature develops the student’s analytical ability by a child’s constant analysis of his own activity searc"&amp;"h for errors on guitar and their corrections. Also, children become more independent and not dependent on their parents in the curriculum. Recommendations for schoolchildren study - this is the most wonderful time at this moment you are most developing, y"&amp;"ou comprehend new sciences and various facts. Set a goal - to become who you want to be and move towards it. Pay more attention to objects related to your dream. If you are a technician, teach mathematical disciplines if a philosopher is humanitarian. The"&amp;" main thing is not to be thoughtlessly attributing to work, and on the contrary, carefully understand the new material to learn the rules not to forget about exceptions to shed all exercises and view the video lessons. Popular textbooks of Algebra Grade 7"&amp;" authors: Yu.N. Makarychev N.G. Mindyuk K.I. Neshkov S.B. Suvorova Physics: Education 2015-2023 Algebra Grade 8 Authors: Yu.N. Makarychev N.G. Mindyuk K.I. Neshkov S.B. Suvorova Physics: Education 2015-2023 Algebra Grade 9 Basic level authors: Yu.N. Makar"&amp;"ychev N.G. Mindyuk K.I. Neshkov S.B. Suvorova Physics: Enlightenment 2015-2023 Geometry 7 -9 class Authors: L.S. Atanasyan V.F. Butuzov S.B. Kadomsev E.G. Poznyak I.I. Yudinizdaty: Education 2016-2023 Mathematics Grade 6 Authors: N.Ya. Vilenkin V.I. Zhokh"&amp;"ov A.S. Chesnokov S.I. Schwarzburgdership: Mnemosina 2015-2017 Mathematics Grade 5 Authors: N.Ya. Vilenkin V.I. Zhokhov A.S. Chesnokov S.I. Schwarzburdzdzda: Mnemosina Mathematics Grade 4 Authors: M.I. Moro M.A. Bantova G.V. Beltyukovyzda: Enlightenment 2"&amp;"015-2023 Type: School of Russia Part 12 Russian Language Grade 5 Authors: M.T. Baranov T.A. Ladyzhenskaya L.A. Trostentsova L.T. Grigoryan I.I. Kulibaba N.V. Ladyzhenskaya Poster: Education 2016-2023 Type: Part 12 Russian language Grade 6 Authors: M.T. Ba"&amp;"ranov T.A. Ladyzhenskaya L.A. Trost Vostentzzda: Education 2015-2023 Type: Part 12 Mathematics Grade 6 Basic level Authors: A.G. Merzlyak V.B. Polonsky M.S. Yakizazzdaniye: Ventana-Graf Enlightenment 2016-2023 Type: Algorithm for the success of Algebra Gr"&amp;"ade 7 Basic level authors: A. G. Merzlyak V. B. Polonsky M. S. Yakirizdaty: Ventana-Grav 2016-2023 Social studies 5th grade Author: Bogolyubov L. N. Razznitaniy: Enlightenment © 2023 “Megaresheba.ru” [Email Protected] Virtual hosting from 1575 rubles/mont"&amp;"h.")</f>
        <v>GDZ - ready -made homework and Reshebniks Reshebniks GDZ1 Grade Mathematics Russian Language Language Language German Language Language Literature Man and World Environmental Studies Fundamentals of Health Music. Music World of Nature and Human Physical Culture 2 Grade Language Language Belorussian Belorian Language Language Ukrainian Language Language French German Language Literature Man and World Conducting Fundamentals of Health Music Arts Surrounding the World Spanish language Kazakh language world of nature and man grade 3 Mathematics Russian Language Belorian language English language informatics Ukrainian language German language literature human and world music surrounding the world Technology Spanish language Kazakh language Kazakh World of Nature and Human 4 Grade Mathematics Russian Language Belorussian language English language informatics Ukrainian language French language literature human language and world basics of health. Music art surrounding world technology Spanish language of the world of nature and man grade 5 mathematics Russian Belorian English physics physics physics physics Physics Informatics Ukrainian language French language German language History Geography Man and World Obzh Natural Studies Music Student Technology Spanish Language Art Chinese Language Kubanovka Kazakh language Grade 6 Mathematics Russian Language Language Language Language Physics Physics Language Language Language Girderi Language History History Literacies Geography Oblast Environmental Studies Natural Science Music social studies Ecology Technology Spanish language art Chinese language Kubanovka Kazakh language Kazakh language grade 7 algebra geometry Mathematics Russian language Belarusian language physics physics chemistry biology Ukrainian language French language history Literature Drawing music vital language technology Spanish art Chinese language grade 8 algebra geometry Mathematics Russian language Belarusian language physics physics chemistry Biology Informatics Ukrainian language French language History Literature Geography Drawing Social Studies Ecology Technology Spanish language art Kubanovka Kazakh language Algebra Geometry Mathematics Russian Belorian Beli Physics Biological Informatics Ukrainian Language French German language History Literature Geography Drawing Social Studies Technology Spanish language art Kubanovka Kazakh language grade 10 Algebra Geometry Mathematics Russian Language Belorussian Language Belorian Chemistry Biology Informatics Ukrainian Language Language German Language Literature Literature Geography Medication. Preparation of OBZH Social Studies Spanish language Kubanovka Kazakh language grade 11 algebra geometry Mathematics Russian language Belarusian language physics physics Chemistry Biology Informatics Ukrainian language French language history Literature geography Astronomy honey. Preparation of OBZH Social Studies Spanish Kazakh language of a video solution from scratch virtual hosting from 1575 rubles/month. GDZ for the 1-11 classes of objects of classes1234567891011algebra1234567891011111111111123456789111matomatics1234567891011 Russian language123456789111234567891111 English English English English English English English 8910111physics1234567891011HIMIMA1234567891011112345678910111informatics123456789111111111111111112345678910111111111111111frazus language1234567891011111111111111111011111111111111111111111111111111111111111 History12345678910111112345678910111112345678911011111111111Astronomy12345678910111111111111111111111111111111101011MED. Training1234567891011 8910111ECOLOGY12345678910111111112345678910111111111123456789101111 -test language1234567891111111111111111111111kitsky language12345678911kubanovania12345678910101010101010101010101010101010101010101010101010101010AR Kazakh language1234567891011 MIRETURY AND HOME123456789101111PHIZUSTURT1234567891011 What should I choose an online solution? If you are looking for quality material, capable of helping in solving exercises from a school textbook, then you opened a suitable training portal - megaresheba. Here, qualitatively disassembled tasks from all books of a comprehensive school are given to your attention. Whether the Russian language or literature mathematics or its sections of Algebra with geometry chemistry physics History of English and German - the correct answers to all tasks are presented on the website with the GDZ. The electronic resource works around the clock and is available from any device: the computer of the tablet phone. Each collection with ready -made answers on megareshebe has been developed in detail by specialists working in the education system and help to better delve into the educational process. The authors provide all the right decisions in a very understandable and rather brief form than third -party projects (helping with GDZ Skolololo or dugs). The information on the site is fully complies with the requirements of the Federal State Educational Standard and is relevant for the new 2020. The online sentence is an excellent reference and preparatory material that students will be able to use throughout the training at school and not only. All the pluses of the GDZ for schoolchildren and their parents are the task of collections-not just give the opportunity to write off the “home” but increase their own performance and effectiveness. Our Reshebniks surpass all competitors (GDZ Lol Soldor Megabotan Help or Euroki) according to many criteria and have a number of practical functions: they allow any student to deal with incomprehensible topics and consider the rules for fulfilling each example; Also, students can easily use such publications for self -testing solved homework; The largest base of residents for different countries (Russia Belarus Kazakhstan Kyrgyzstan and others); contains a course of video plays; annual renewal of GDZ; several types of solutions; Suitable for teachers to draw up a plan of classes and control sections; They will be useful to parents to check the "home" of the child; Easy search for the right textbook on a special indicator or auxiliary navigation. All exercises each task or translation in all benefits have their own serial numbers that correspond to those in the original edition. Therefore, the use of such manuals does not imply any difficulties with the search for the required number. Each author in his publication tells how to correctly use his book. And they all converge in one opinion: do not mechanically write off ready -made information from GDZOTPUTIN. Before use, you first need to try to solve the whole task yourself. And use the Reshebnik only in case of difficulties or for independent preparation for the following topics and paragraphs of the notebook. Of course, such literature develops the student’s analytical ability by a child’s constant analysis of his own activity search for errors on guitar and their corrections. Also, children become more independent and not dependent on their parents in the curriculum. Recommendations for schoolchildren study - this is the most wonderful time at this moment you are most developing, you comprehend new sciences and various facts. Set a goal - to become who you want to be and move towards it. Pay more attention to objects related to your dream. If you are a technician, teach mathematical disciplines if a philosopher is humanitarian. The main thing is not to be thoughtlessly attributing to work, and on the contrary, carefully understand the new material to learn the rules not to forget about exceptions to shed all exercises and view the video lessons. Popular textbooks of Algebra Grade 7 authors: Yu.N. Makarychev N.G. Mindyuk K.I. Neshkov S.B. Suvorova Physics: Education 2015-2023 Algebra Grade 8 Authors: Yu.N. Makarychev N.G. Mindyuk K.I. Neshkov S.B. Suvorova Physics: Education 2015-2023 Algebra Grade 9 Basic level authors: Yu.N. Makarychev N.G. Mindyuk K.I. Neshkov S.B. Suvorova Physics: Enlightenment 2015-2023 Geometry 7 -9 class Authors: L.S. Atanasyan V.F. Butuzov S.B. Kadomsev E.G. Poznyak I.I. Yudinizdaty: Education 2016-2023 Mathematics Grade 6 Authors: N.Ya. Vilenkin V.I. Zhokhov A.S. Chesnokov S.I. Schwarzburgdership: Mnemosina 2015-2017 Mathematics Grade 5 Authors: N.Ya. Vilenkin V.I. Zhokhov A.S. Chesnokov S.I. Schwarzburdzdzda: Mnemosina Mathematics Grade 4 Authors: M.I. Moro M.A. Bantova G.V. Beltyukovyzda: Enlightenment 2015-2023 Type: School of Russia Part 12 Russian Language Grade 5 Authors: M.T. Baranov T.A. Ladyzhenskaya L.A. Trostentsova L.T. Grigoryan I.I. Kulibaba N.V. Ladyzhenskaya Poster: Education 2016-2023 Type: Part 12 Russian language Grade 6 Authors: M.T. Baranov T.A. Ladyzhenskaya L.A. Trost Vostentzzda: Education 2015-2023 Type: Part 12 Mathematics Grade 6 Basic level Authors: A.G. Merzlyak V.B. Polonsky M.S. Yakizazzdaniye: Ventana-Graf Enlightenment 2016-2023 Type: Algorithm for the success of Algebra Grade 7 Basic level authors: A. G. Merzlyak V. B. Polonsky M. S. Yakirizdaty: Ventana-Grav 2016-2023 Social studies 5th grade Author: Bogolyubov L. N. Razznitaniy: Enlightenment © 2023 “Megaresheba.ru” [Email Protected] Virtual hosting from 1575 rubles/month.</v>
      </c>
    </row>
    <row r="254">
      <c r="A254" s="1" t="s">
        <v>779</v>
      </c>
      <c r="B254" s="1" t="s">
        <v>793</v>
      </c>
      <c r="C254" s="1" t="s">
        <v>794</v>
      </c>
      <c r="D254" s="1">
        <v>4.0</v>
      </c>
      <c r="E254" s="4" t="s">
        <v>795</v>
      </c>
      <c r="F254" s="1" t="s">
        <v>16</v>
      </c>
      <c r="I254" s="2">
        <v>1.0</v>
      </c>
      <c r="J254" s="5" t="str">
        <f>IFERROR(__xludf.DUMMYFUNCTION("GOOGLETRANSLATE(A254)"),"Gdz")</f>
        <v>Gdz</v>
      </c>
      <c r="K254" s="6" t="str">
        <f>IFERROR(__xludf.DUMMYFUNCTION("GOOGLETRANSLATE(B254)"),"Reshebniks GDZ online for free")</f>
        <v>Reshebniks GDZ online for free</v>
      </c>
      <c r="L254" s="5" t="str">
        <f>IFERROR(__xludf.DUMMYFUNCTION("GOOGLETRANSLATE(C254)"),"Author's residents, GDZ are intended for use by students and teachers as an additional manual to study the subject. All material ...")</f>
        <v>Author's residents, GDZ are intended for use by students and teachers as an additional manual to study the subject. All material ...</v>
      </c>
      <c r="M254" s="5" t="str">
        <f>IFERROR(__xludf.DUMMYFUNCTION("GOOGLETRANSLATE(G254)"),"#VALUE!")</f>
        <v>#VALUE!</v>
      </c>
    </row>
    <row r="255">
      <c r="A255" s="1" t="s">
        <v>779</v>
      </c>
      <c r="B255" s="1" t="s">
        <v>796</v>
      </c>
      <c r="C255" s="1" t="s">
        <v>797</v>
      </c>
      <c r="D255" s="1">
        <v>5.0</v>
      </c>
      <c r="E255" s="4" t="s">
        <v>798</v>
      </c>
      <c r="F255" s="1" t="s">
        <v>16</v>
      </c>
      <c r="G255" s="1" t="s">
        <v>799</v>
      </c>
      <c r="H255" s="1" t="s">
        <v>800</v>
      </c>
      <c r="I255" s="2">
        <v>1.0</v>
      </c>
      <c r="J255" s="5" t="str">
        <f>IFERROR(__xludf.DUMMYFUNCTION("GOOGLETRANSLATE(A255)"),"Gdz")</f>
        <v>Gdz</v>
      </c>
      <c r="K255" s="6" t="str">
        <f>IFERROR(__xludf.DUMMYFUNCTION("GOOGLETRANSLATE(B255)"),"GDZ RF - ready homework")</f>
        <v>GDZ RF - ready homework</v>
      </c>
      <c r="L255" s="5" t="str">
        <f>IFERROR(__xludf.DUMMYFUNCTION("GOOGLETRANSLATE(C255)"),"GDZ of the Russian Federation - we have selected ready -made solutions to homework. You will find answers to questions, a brief and complete solution of problems, translations of texts from English, ...")</f>
        <v>GDZ of the Russian Federation - we have selected ready -made solutions to homework. You will find answers to questions, a brief and complete solution of problems, translations of texts from English, ...</v>
      </c>
      <c r="M255" s="5" t="str">
        <f>IFERROR(__xludf.DUMMYFUNCTION("GOOGLETRANSLATE(G255)"),"GDZ of the Russian Federation - ready -made homework Relations of the solution of solutions 1 class Mathematics English language Russian language German language Informatics Fundamentals of Health Music Arts Surdoning World and World Technology World of N"&amp;"ature and Human Physical Culture 2 Class Mathematics English language Russian Language Belorian language French Informatics Fundamentals of Health Music Arts Surviving World Man and World Technology Spanish language Kazakh language world of nature and man"&amp;" grade 3 Mathematics English language Russian language Belarusian Language Language Language Language Language Language Language Music Music Literature The World and World Technology Spanish Kazakh language world of nature and man Grade 4 mathematics Engl"&amp;"ish language Russian language Belarusian language Ukrainian language Formatics Fundamentally Health Music. Literature The world surrounding world and world Technology Spanish language Kazakh language world of nature and man grade 5 mathematics English Rus"&amp;"sian physics physics physics German Language Belorussian language Ukrainian language Biology History History Informatics GEDERSTY MUSSIALS LITYTURITARY Human Science Human Science Human Science Human Science Human Science and World Technology Spanish Lang"&amp;"uage Art Chinese Language Kubanovka Kazakh language Grade 6 Mathematics English Language Language Physics Physics Belorian Language Biology Biology History Informatics OBZh Geography Fundamentally Health Music Literature Literature Ecology Technology Natu"&amp;"ral Science Spanish Art The Art Chinese Language Cubances Kazakh language Grade 7 Mathematics English language Algebra Geometry Physics Chemistry Chemistry Belorussian Language Language Biology History History History Literature Literature Literature SCHO"&amp;"ODICATION DEATHING Ecology Ecology Technology Technology Spanish Art Chinese language Kubanovyka Kazakh language Grade 8 Mathematics Russian language Algebra Geometry Physics Chemistry German Language Belorussian language Ukrainian language Biology Histor"&amp;"y History History Literature Literature Drawing Ecology Technology Spanish Art Clobes 9th grade Mathematics English language Algebra geometry Physics Chemistry German Belorussian language Ukrainian language Biology History History Informatics Basics Funda"&amp;"mentals Health Literature SCHOOKING DECHISHING ISSACK ISSAND CUBANCHIARY COMPLANUSED CLAMICASH LANGUAGE DIARDICTIC LANGUAGY LANGUARY Russian LAVICISH GEOMICIAL LANGUAGED BELIUSSICAL LANGUARY LANGUARY BELISH Biology Biology History Informatics OBZh Geograp"&amp;"hy Literature Social Studies honey. Preparation of the Spanish language Kubanovsty Kazakh language 11th grade Mathematics English language Russian language algebra Geometry Physics Chemistry German Belorussian language Ukrainian Language Biology History H"&amp;"istory Informatics Obzh Geography Literature Social Studies Honey. Preparation of Astronomy Spanish language Kazakh language to establish an application create a site from scratch GDZ RF - ready homework Reshebniks Popular GDZ Russian language Grade 6 aut"&amp;"hors: M.T. Baranov T.A. Ladyzhenskaya Russian language grade 5 authors: M.T. Baranov T.A. Ladyzhenskaya Russian language grade 6 authors: M.M. Razumovskaya S.I. Lvova Russian language grade 6 practice authors: G.K. Lidman-Orlova S.N. Pimenova Russian lang"&amp;"uage grade 4 authors: V.P. Kanakina V.G. Goretsky mathematics Grade 6 authors: N.Ya. Vilenkin V.I. Zhokhov Mathematics Grade 4 Authors: M.I. Moro M.A. Banitova Mathematics Grade 5 basic level authors: A.G. Merzlyak V.B. Polonsky mathematics 6th grade basi"&amp;"c level authors: A.G. Merzlyak V.B. Polonsky English language grade 4 collection of exercises Spotlight authors: Bykova N.I. Pospelova M.D. The world around 3 class workbook Author: A.A. Pleshakov Mathematics Grade 4 Authors: Bashmakov M.I. Nefyodova M.G."&amp;" There is a myth about humanities and techies. Some - they write poetry and do not mind reading the classical literature others - do not depart from the computer and love exclusively accurate sciences. But this is too categorical opinion. Due to such gros"&amp;"s separation, students consider themselves incapable of science in advance. Mastery depends on the desire to understand certain things. Patience and a little effort! There is no division into groups capable and no. There is a red diploma that proves that "&amp;"to get it can be able to understand various topics. To become a professional and reach the goal, it is necessary to regularly devote time to independent classes. Of course, this is difficult to do this, therefore, there are virtual consultants. Currently,"&amp;" there is a tendency to increase the amount of material in basic school subjects. However, the clock on the study of many disciplines is reduced. This significantly affects the academic performance of schoolchildren, because they simply do not have enough"&amp;" time to learn all the new material. And to help students cope with the increased load, the authors of the textbooks prepare collections with ready -made homework. What are online regionalists on our website GDZ.rfjeza Parents and teachers often think tha"&amp;"t this is just a good method to write off answers, but in fact it is not. The use of such manuals carries a lot of positive points. Online GDZ will help: tighten assessments thereby increasing the level of performance; qualitatively prepare for verificati"&amp;"on control independent final work as well as various tests of dictations to exposures of works and even the exam and the OGE; quickly cope with homework; disassemble missing topics; Work on mistakes and eradicate their appearance. Why should you seek help"&amp;" from educational and methodological complexes through the GDZV school period often many difficulties, among which there is, for example, it is difficult for them to learn the whole theory to be prepared for a control dictation to testing the presentation"&amp;" as well as incorrectly completed work to deterioration of relations from The teacher and mothers and dad can be upset because of doubles and triples, and as a result, the desire and motivation to try to study. Boys and girls this year is not easy. Despit"&amp;"e the fact that the material from the elementary school course, many still manage to drag three and deuces home. This happens for several reasons: children can get sick of colds and therefore pass part of the lessons; Almost every child has two or three m"&amp;"andatory mugs or sections that take away forces and time; Some guys have their own pace of assimilation of new information and so far do not keep up with others; Boys and girls do not always understand what the teacher explains due to the carelessness of "&amp;"the fatigue of the desire to eat, etc.; Some students are not interested in lessons in previous classes and now reluctantly go to school. To solve the above problems, qualified methodologists advise students to start a reliable auxiliary resource that wil"&amp;"l always tell you not only the correct answer, but also the way to solve any task. Import the pluses of such resources is also that there are clues and useful comments to absolutely all mandatory subjects. The student will find detailed explanations of va"&amp;"rious mathematical theories and detailed solutions of the problems. Also here are the analysis of exercises in Russian and analyzes of works and stories in literature. In addition, a virtual consultant trains in natural sciences like chemistry of biology "&amp;"to natural science to a person and peace and so on. It is also important to note that online GDZs are created for students of any stage of training. The baby who recently went to school can also contact him and only gets used to the situation. Also, it wi"&amp;"ll be useful to go to the service of the middle level to repeat the passed or look a little forward and of course the collection will be necessary for a high school student who needs to prepare for the OGE or the exam. © 2023 GDZ.rf Feedback: admin@gdz")</f>
        <v>GDZ of the Russian Federation - ready -made homework Relations of the solution of solutions 1 class Mathematics English language Russian language German language Informatics Fundamentals of Health Music Arts Surdoning World and World Technology World of Nature and Human Physical Culture 2 Class Mathematics English language Russian Language Belorian language French Informatics Fundamentals of Health Music Arts Surviving World Man and World Technology Spanish language Kazakh language world of nature and man grade 3 Mathematics English language Russian language Belarusian Language Language Language Language Language Language Language Music Music Literature The World and World Technology Spanish Kazakh language world of nature and man Grade 4 mathematics English language Russian language Belarusian language Ukrainian language Formatics Fundamentally Health Music. Literature The world surrounding world and world Technology Spanish language Kazakh language world of nature and man grade 5 mathematics English Russian physics physics physics German Language Belorussian language Ukrainian language Biology History History Informatics GEDERSTY MUSSIALS LITYTURITARY Human Science Human Science Human Science Human Science Human Science and World Technology Spanish Language Art Chinese Language Kubanovka Kazakh language Grade 6 Mathematics English Language Language Physics Physics Belorian Language Biology Biology History Informatics OBZh Geography Fundamentally Health Music Literature Literature Ecology Technology Natural Science Spanish Art The Art Chinese Language Cubances Kazakh language Grade 7 Mathematics English language Algebra Geometry Physics Chemistry Chemistry Belorussian Language Language Biology History History History Literature Literature Literature SCHOODICATION DEATHING Ecology Ecology Technology Technology Spanish Art Chinese language Kubanovyka Kazakh language Grade 8 Mathematics Russian language Algebra Geometry Physics Chemistry German Language Belorussian language Ukrainian language Biology History History History Literature Literature Drawing Ecology Technology Spanish Art Clobes 9th grade Mathematics English language Algebra geometry Physics Chemistry German Belorussian language Ukrainian language Biology History History Informatics Basics Fundamentals Health Literature SCHOOKING DECHISHING ISSACK ISSAND CUBANCHIARY COMPLANUSED CLAMICASH LANGUAGE DIARDICTIC LANGUAGY LANGUARY Russian LAVICISH GEOMICIAL LANGUAGED BELIUSSICAL LANGUARY LANGUARY BELISH Biology Biology History Informatics OBZh Geography Literature Social Studies honey. Preparation of the Spanish language Kubanovsty Kazakh language 11th grade Mathematics English language Russian language algebra Geometry Physics Chemistry German Belorussian language Ukrainian Language Biology History History Informatics Obzh Geography Literature Social Studies Honey. Preparation of Astronomy Spanish language Kazakh language to establish an application create a site from scratch GDZ RF - ready homework Reshebniks Popular GDZ Russian language Grade 6 authors: M.T. Baranov T.A. Ladyzhenskaya Russian language grade 5 authors: M.T. Baranov T.A. Ladyzhenskaya Russian language grade 6 authors: M.M. Razumovskaya S.I. Lvova Russian language grade 6 practice authors: G.K. Lidman-Orlova S.N. Pimenova Russian language grade 4 authors: V.P. Kanakina V.G. Goretsky mathematics Grade 6 authors: N.Ya. Vilenkin V.I. Zhokhov Mathematics Grade 4 Authors: M.I. Moro M.A. Banitova Mathematics Grade 5 basic level authors: A.G. Merzlyak V.B. Polonsky mathematics 6th grade basic level authors: A.G. Merzlyak V.B. Polonsky English language grade 4 collection of exercises Spotlight authors: Bykova N.I. Pospelova M.D. The world around 3 class workbook Author: A.A. Pleshakov Mathematics Grade 4 Authors: Bashmakov M.I. Nefyodova M.G. There is a myth about humanities and techies. Some - they write poetry and do not mind reading the classical literature others - do not depart from the computer and love exclusively accurate sciences. But this is too categorical opinion. Due to such gross separation, students consider themselves incapable of science in advance. Mastery depends on the desire to understand certain things. Patience and a little effort! There is no division into groups capable and no. There is a red diploma that proves that to get it can be able to understand various topics. To become a professional and reach the goal, it is necessary to regularly devote time to independent classes. Of course, this is difficult to do this, therefore, there are virtual consultants. Currently, there is a tendency to increase the amount of material in basic school subjects. However, the clock on the study of many disciplines is reduced. This significantly affects the academic performance of schoolchildren, because they simply do not have enough time to learn all the new material. And to help students cope with the increased load, the authors of the textbooks prepare collections with ready -made homework. What are online regionalists on our website GDZ.rfjeza Parents and teachers often think that this is just a good method to write off answers, but in fact it is not. The use of such manuals carries a lot of positive points. Online GDZ will help: tighten assessments thereby increasing the level of performance; qualitatively prepare for verification control independent final work as well as various tests of dictations to exposures of works and even the exam and the OGE; quickly cope with homework; disassemble missing topics; Work on mistakes and eradicate their appearance. Why should you seek help from educational and methodological complexes through the GDZV school period often many difficulties, among which there is, for example, it is difficult for them to learn the whole theory to be prepared for a control dictation to testing the presentation as well as incorrectly completed work to deterioration of relations from The teacher and mothers and dad can be upset because of doubles and triples, and as a result, the desire and motivation to try to study. Boys and girls this year is not easy. Despite the fact that the material from the elementary school course, many still manage to drag three and deuces home. This happens for several reasons: children can get sick of colds and therefore pass part of the lessons; Almost every child has two or three mandatory mugs or sections that take away forces and time; Some guys have their own pace of assimilation of new information and so far do not keep up with others; Boys and girls do not always understand what the teacher explains due to the carelessness of the fatigue of the desire to eat, etc.; Some students are not interested in lessons in previous classes and now reluctantly go to school. To solve the above problems, qualified methodologists advise students to start a reliable auxiliary resource that will always tell you not only the correct answer, but also the way to solve any task. Import the pluses of such resources is also that there are clues and useful comments to absolutely all mandatory subjects. The student will find detailed explanations of various mathematical theories and detailed solutions of the problems. Also here are the analysis of exercises in Russian and analyzes of works and stories in literature. In addition, a virtual consultant trains in natural sciences like chemistry of biology to natural science to a person and peace and so on. It is also important to note that online GDZs are created for students of any stage of training. The baby who recently went to school can also contact him and only gets used to the situation. Also, it will be useful to go to the service of the middle level to repeat the passed or look a little forward and of course the collection will be necessary for a high school student who needs to prepare for the OGE or the exam. © 2023 GDZ.rf Feedback: admin@gdz</v>
      </c>
    </row>
    <row r="256">
      <c r="A256" s="1" t="s">
        <v>779</v>
      </c>
      <c r="B256" s="1" t="s">
        <v>801</v>
      </c>
      <c r="C256" s="1" t="s">
        <v>802</v>
      </c>
      <c r="D256" s="1">
        <v>6.0</v>
      </c>
      <c r="E256" s="4" t="s">
        <v>803</v>
      </c>
      <c r="F256" s="1" t="s">
        <v>16</v>
      </c>
      <c r="I256" s="2">
        <v>1.0</v>
      </c>
      <c r="J256" s="5" t="str">
        <f>IFERROR(__xludf.DUMMYFUNCTION("GOOGLETRANSLATE(A256)"),"Gdz")</f>
        <v>Gdz</v>
      </c>
      <c r="K256" s="6" t="str">
        <f>IFERROR(__xludf.DUMMYFUNCTION("GOOGLETRANSLATE(B256)"),"GDZ: Homework is excellent - pomogalka.me")</f>
        <v>GDZ: Homework is excellent - pomogalka.me</v>
      </c>
      <c r="L256" s="5" t="str">
        <f>IFERROR(__xludf.DUMMYFUNCTION("GOOGLETRANSLATE(C256)"),"Ready -made homework is an opportunity to prepare qualitatively in different subjects without paying money to tutors. Sometimes adults do not understand that ...")</f>
        <v>Ready -made homework is an opportunity to prepare qualitatively in different subjects without paying money to tutors. Sometimes adults do not understand that ...</v>
      </c>
      <c r="M256" s="5" t="str">
        <f>IFERROR(__xludf.DUMMYFUNCTION("GOOGLETRANSLATE(G256)"),"#VALUE!")</f>
        <v>#VALUE!</v>
      </c>
    </row>
    <row r="257">
      <c r="A257" s="1" t="s">
        <v>779</v>
      </c>
      <c r="B257" s="1" t="s">
        <v>804</v>
      </c>
      <c r="C257" s="1" t="s">
        <v>805</v>
      </c>
      <c r="D257" s="1">
        <v>7.0</v>
      </c>
      <c r="E257" s="4" t="s">
        <v>806</v>
      </c>
      <c r="F257" s="1" t="s">
        <v>16</v>
      </c>
      <c r="G257" s="1" t="s">
        <v>807</v>
      </c>
      <c r="H257" s="4" t="s">
        <v>808</v>
      </c>
      <c r="I257" s="2">
        <v>1.0</v>
      </c>
      <c r="J257" s="5" t="str">
        <f>IFERROR(__xludf.DUMMYFUNCTION("GOOGLETRANSLATE(A257)"),"Gdz")</f>
        <v>Gdz</v>
      </c>
      <c r="K257" s="6" t="str">
        <f>IFERROR(__xludf.DUMMYFUNCTION("GOOGLETRANSLATE(B257)"),"GDZ without errors, Reshebnik for school textbooks 1-11 ...")</f>
        <v>GDZ without errors, Reshebnik for school textbooks 1-11 ...</v>
      </c>
      <c r="L257" s="5" t="str">
        <f>IFERROR(__xludf.DUMMYFUNCTION("GOOGLETRANSLATE(C257)"),"GDZ without errors for students of grades 1–11 in mathematics, Russian, English, algebra, geometry and physics. Detailed and step -by -step solutions from teachers ...")</f>
        <v>GDZ without errors for students of grades 1–11 in mathematics, Russian, English, algebra, geometry and physics. Detailed and step -by -step solutions from teachers ...</v>
      </c>
      <c r="M257" s="5" t="str">
        <f>IFERROR(__xludf.DUMMYFUNCTION("GOOGLETRANSLATE(G257)"),"GDZ - ready -made homework of grade 1-11 - Skysmart solutions")</f>
        <v>GDZ - ready -made homework of grade 1-11 - Skysmart solutions</v>
      </c>
    </row>
    <row r="258">
      <c r="A258" s="1" t="s">
        <v>779</v>
      </c>
      <c r="B258" s="1" t="s">
        <v>809</v>
      </c>
      <c r="C258" s="1" t="s">
        <v>810</v>
      </c>
      <c r="D258" s="1">
        <v>8.0</v>
      </c>
      <c r="E258" s="4" t="s">
        <v>811</v>
      </c>
      <c r="F258" s="1" t="s">
        <v>16</v>
      </c>
      <c r="G258" s="1" t="s">
        <v>812</v>
      </c>
      <c r="H258" s="4" t="s">
        <v>813</v>
      </c>
      <c r="I258" s="2">
        <v>1.0</v>
      </c>
      <c r="J258" s="5" t="str">
        <f>IFERROR(__xludf.DUMMYFUNCTION("GOOGLETRANSLATE(A258)"),"Gdz")</f>
        <v>Gdz</v>
      </c>
      <c r="K258" s="6" t="str">
        <f>IFERROR(__xludf.DUMMYFUNCTION("GOOGLETRANSLATE(B258)"),"OK GDZ - photo Search for Reshebniks. Thousands of collections in ...")</f>
        <v>OK GDZ - photo Search for Reshebniks. Thousands of collections in ...</v>
      </c>
      <c r="L258" s="5" t="str">
        <f>IFERROR(__xludf.DUMMYFUNCTION("GOOGLETRANSLATE(C258)"),"At their core, ready -made homework are competently, in accordance with the requirements of education standards, decorated solutions for all ...")</f>
        <v>At their core, ready -made homework are competently, in accordance with the requirements of education standards, decorated solutions for all ...</v>
      </c>
      <c r="M258" s="5" t="str">
        <f>IFERROR(__xludf.DUMMYFUNCTION("GOOGLETRANSLATE(G258)"),"OK GDZ - photo Search for Reshebniks. Thousands of collections in the frame from you. Novoekon inspectors of the lesson -table of the tasks of the dictatorial -ponds of the process of classblog11lgebrahbraiybiraliytriography of the Geography of the Grace "&amp;"-by -Russian class 19th -biobiology geography of the Brandiyskiybiology Geography of anometeria -formatoriystoriystoriystermathematemathematics of the Russian grade 7 classalgebraitraibiology geometry -formatriymmetoriystoriystoriystoriystermathematemathe"&amp;"matics of grade and Literature of the Russian Classes 4 Class Hangliocr. Mirin -formatimathematemathematemathematemathemathemathemical class 3nggliocr. Mirin -formatimathematemathemathemathemathemical class2 Class Hangliocr. Mirliteramathematemathemathema"&amp;"themathemathemical -Russian dictations of the analysis of the poems of the course of the course of the tutorials of the lessons of the assignment of the GDZ - thousands of the top solutions at the ends of your finger, even those who recently were skeptica"&amp;"l of the State Duma, find them convenient and useful in their practice. The minimum of time is spent on finding the right answer. An opportunity to use the solver at any time of the day is far from all the advantages and advantages that these materials di"&amp;"stinguish. Increase your own performance to find out something new by taking a set Textbook-recipient from a different from the school curriculum in the subject-each user finds his own method and principle of applying these sources. What is favorably dist"&amp;"inguished by the online reference book? In essence, ready-made homework represent competently in In accordance with the requirements of the standards of education, executed solutions for all tasks by exercises and issues presented in the training manual t"&amp;"o which they are intended. In the finished answers of Euroki presented on the website. Org: all possible options for solving the task are considered if they are supposed in it; there are visual tools - graphs of the pattern of scheme so that the user as a"&amp;"ccurately understood the meaning of the presented solution; detailed comments are given - to understand the logic of the essence of the algorithm of finding The right decision to each task of the collection. A wide selection of residents in all subjects o"&amp;"f the school curriculum, namely in algebra mathematics, is presented. Russian as well as English biology of the history of geography, etc., resource is constantly updated to organize the most complete and high -quality work of interested users with it, co"&amp;"ntains the most relevant information. The advantage of the application of the GDZ in the educational process of the main goals of which is the online collections of ready -made answers: Organization of self -testing development skills of effective and eff"&amp;"ective independent work; the ability to understand how complex tasks are solved what is especially important for those for schoolchildren who, for one reason or another, missed the occupation block or are on remote family/home forms of training; assistanc"&amp;"e to parents of schoolchildren - using these data, they will be able to quickly and efficiently and efficiently Check the knowledge of your child in any discipline; this is a convenient tool for teachers and tutors for the competent organization of the sy"&amp;"stematization of their work - to plan to control the quality of students' knowledge. The collector of ready -made solutions is an excellent motivator that allows you to balance the intensive work and the necessary full rest and subsequently strive To keep"&amp;" the result obtained. A quality tool for self -training and development of self -control skills - using a reserve, you can engage in regularly and systematically mastering the material of school disciplines for various teaching materials and programs. Or "&amp;"- use it only when serious difficulties arise in the development of the material. So you can not only improve estimates by receiving a higher score, but also to acquire valuable and useful skills in analyzing your own self -training errors. Having spent a"&amp;" minimum of time, each user will be able to count on a high result! Classes: grade 2 grade4 grade5 grade6 grade7 Class8 Class9 Class10 Class11 Classes: Algebrai Englishbiology/OKR. Mirgegeography of the heinometriometry of anestorialiteraemathemathematima"&amp;"timatimatimatimatimatimatimatiyphyphysica -chimsimimi with study: dictations of the analysis of the analysis of the poem, autocratic list inspectors Task Task Company: On the soil advertising on the website © 2021 Copyright. All rights reserved. Copyright"&amp;" holder SIA Ksenokss. Address: 1069 Kurzemes Prospekt 106/45 Riga Latvia.: +371 29-851-888 E-mail: [Email Protected]")</f>
        <v>OK GDZ - photo Search for Reshebniks. Thousands of collections in the frame from you. Novoekon inspectors of the lesson -table of the tasks of the dictatorial -ponds of the process of classblog11lgebrahbraiybiraliytriography of the Geography of the Grace -by -Russian class 19th -biobiology geography of the Brandiyskiybiology Geography of anometeria -formatoriystoriystoriystermathematemathematics of the Russian grade 7 classalgebraitraibiology geometry -formatriymmetoriystoriystoriystoriystermathematemathematics of grade and Literature of the Russian Classes 4 Class Hangliocr. Mirin -formatimathematemathematemathematemathemathemathemical class 3nggliocr. Mirin -formatimathematemathemathemathemathemical class2 Class Hangliocr. Mirliteramathematemathemathemathemathemathemical -Russian dictations of the analysis of the poems of the course of the course of the tutorials of the lessons of the assignment of the GDZ - thousands of the top solutions at the ends of your finger, even those who recently were skeptical of the State Duma, find them convenient and useful in their practice. The minimum of time is spent on finding the right answer. An opportunity to use the solver at any time of the day is far from all the advantages and advantages that these materials distinguish. Increase your own performance to find out something new by taking a set Textbook-recipient from a different from the school curriculum in the subject-each user finds his own method and principle of applying these sources. What is favorably distinguished by the online reference book? In essence, ready-made homework represent competently in In accordance with the requirements of the standards of education, executed solutions for all tasks by exercises and issues presented in the training manual to which they are intended. In the finished answers of Euroki presented on the website. Org: all possible options for solving the task are considered if they are supposed in it; there are visual tools - graphs of the pattern of scheme so that the user as accurately understood the meaning of the presented solution; detailed comments are given - to understand the logic of the essence of the algorithm of finding The right decision to each task of the collection. A wide selection of residents in all subjects of the school curriculum, namely in algebra mathematics, is presented. Russian as well as English biology of the history of geography, etc., resource is constantly updated to organize the most complete and high -quality work of interested users with it, contains the most relevant information. The advantage of the application of the GDZ in the educational process of the main goals of which is the online collections of ready -made answers: Organization of self -testing development skills of effective and effective independent work; the ability to understand how complex tasks are solved what is especially important for those for schoolchildren who, for one reason or another, missed the occupation block or are on remote family/home forms of training; assistance to parents of schoolchildren - using these data, they will be able to quickly and efficiently and efficiently Check the knowledge of your child in any discipline; this is a convenient tool for teachers and tutors for the competent organization of the systematization of their work - to plan to control the quality of students' knowledge. The collector of ready -made solutions is an excellent motivator that allows you to balance the intensive work and the necessary full rest and subsequently strive To keep the result obtained. A quality tool for self -training and development of self -control skills - using a reserve, you can engage in regularly and systematically mastering the material of school disciplines for various teaching materials and programs. Or - use it only when serious difficulties arise in the development of the material. So you can not only improve estimates by receiving a higher score, but also to acquire valuable and useful skills in analyzing your own self -training errors. Having spent a minimum of time, each user will be able to count on a high result! Classes: grade 2 grade4 grade5 grade6 grade7 Class8 Class9 Class10 Class11 Classes: Algebrai Englishbiology/OKR. Mirgegeography of the heinometriometry of anestorialiteraemathemathematimatimatimatimatimatimatimatimatiyphyphysica -chimsimimi with study: dictations of the analysis of the analysis of the poem, autocratic list inspectors Task Task Company: On the soil advertising on the website © 2021 Copyright. All rights reserved. Copyright holder SIA Ksenokss. Address: 1069 Kurzemes Prospekt 106/45 Riga Latvia.: +371 29-851-888 E-mail: [Email Protected]</v>
      </c>
    </row>
    <row r="259">
      <c r="A259" s="1" t="s">
        <v>779</v>
      </c>
      <c r="B259" s="1" t="s">
        <v>814</v>
      </c>
      <c r="C259" s="1" t="s">
        <v>815</v>
      </c>
      <c r="D259" s="1">
        <v>9.0</v>
      </c>
      <c r="E259" s="4" t="s">
        <v>816</v>
      </c>
      <c r="F259" s="1" t="s">
        <v>16</v>
      </c>
      <c r="G259" s="1" t="s">
        <v>120</v>
      </c>
      <c r="H259" s="4" t="s">
        <v>121</v>
      </c>
      <c r="I259" s="2">
        <v>0.0</v>
      </c>
      <c r="J259" s="5" t="str">
        <f>IFERROR(__xludf.DUMMYFUNCTION("GOOGLETRANSLATE(A259)"),"Gdz")</f>
        <v>Gdz</v>
      </c>
      <c r="K259" s="6" t="str">
        <f>IFERROR(__xludf.DUMMYFUNCTION("GOOGLETRANSLATE(B259)"),"My Reshebnik - Applications in Google Play - GDZ")</f>
        <v>My Reshebnik - Applications in Google Play - GDZ</v>
      </c>
      <c r="L259" s="5" t="str">
        <f>IFERROR(__xludf.DUMMYFUNCTION("GOOGLETRANSLATE(C259)"),"Appendix ""GDZ: My Reshebnik"" provides the opportunity for users to quickly find their textbook and check the correct answers to any school materials ...")</f>
        <v>Appendix "GDZ: My Reshebnik" provides the opportunity for users to quickly find their textbook and check the correct answers to any school materials ...</v>
      </c>
      <c r="M259" s="5" t="str">
        <f>IFERROR(__xludf.DUMMYFUNCTION("GOOGLETRANSLATE(G259)"),"Android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60">
      <c r="A260" s="1" t="s">
        <v>779</v>
      </c>
      <c r="B260" s="1" t="s">
        <v>817</v>
      </c>
      <c r="C260" s="1" t="s">
        <v>818</v>
      </c>
      <c r="D260" s="1">
        <v>10.0</v>
      </c>
      <c r="E260" s="4" t="s">
        <v>819</v>
      </c>
      <c r="F260" s="1" t="s">
        <v>16</v>
      </c>
      <c r="G260" s="1" t="s">
        <v>820</v>
      </c>
      <c r="H260" s="1" t="s">
        <v>821</v>
      </c>
      <c r="I260" s="2">
        <v>1.0</v>
      </c>
      <c r="J260" s="5" t="str">
        <f>IFERROR(__xludf.DUMMYFUNCTION("GOOGLETRANSLATE(A260)"),"Gdz")</f>
        <v>Gdz</v>
      </c>
      <c r="K260" s="6" t="str">
        <f>IFERROR(__xludf.DUMMYFUNCTION("GOOGLETRANSLATE(B260)"),"Gdz.ltd: Ready homework for free!")</f>
        <v>Gdz.ltd: Ready homework for free!</v>
      </c>
      <c r="L260" s="5" t="str">
        <f>IFERROR(__xludf.DUMMYFUNCTION("GOOGLETRANSLATE(C260)"),"A great site with GDZ (ready -made homework), on which you will find solutions to all school textbooks for free.")</f>
        <v>A great site with GDZ (ready -made homework), on which you will find solutions to all school textbooks for free.</v>
      </c>
      <c r="M260" s="5" t="str">
        <f>IFERROR(__xludf.DUMMYFUNCTION("GOOGLETRANSLATE(G260)"),"Gdz.ltd: Ready homework for free! Gdz.ltdggdzgdzgdzgdzgdemetzksys123456789101112345678910111 English123456789101111123456789101111234567891011111111111informatics12345 6789101111111234567891011111111111234567891011MATEMATICA1234567891011111111123456789112"&amp;"345678911111111111111russian language123456789101010101010101010101010101010101010101010101010101010101010AR Zika12345678910111HIMIA1234567891011NALY BOOKS BARASHKOVASKORYS of exercises (to the textbook Vereshchagina 2018) English language ""Exam"" Barash"&amp;"kova -Belief (to the textbook Vereshchagina) English ""Examination"" Baranov -Evancesema Evances (deep -deep level) Class 2 ""Enlightenment"" Bara Nova The Kopylova Evansuchebnik (in -depth level) English class2 “Enlightenment” “Enlightenment” Afanasyev M"&amp;"ikheeva Baranov Chupranaccontrol work of English 2 Grade “Drof” Afanasyev Mikheeva Working Class2 “Drof” why GDZs have such popularity. The orderly parent considers his child the most beautiful and smartest. Therefore, when their offspring go to school, t"&amp;"hey believe that everything will go smoothly there. However, children rarely respond to expectations very early showing their individuality. Extremely quickly, schoolchildren are divided into humanities and lovers of exact sciences. Therefore, there are a"&amp;"lways objects with which students have problems. Difficulties are not necessarily serious, but one way or another cannot be avoided. And if parents still manage to smooth out roughnesses with home tasks until the fifth grade, then it is more difficult to "&amp;"do later. And sometimes a lack of knowledge among students begins to be felt before because sometimes dads and mothers do not have enough time to check their children. Most often, this leads to a decrease in performance and as a result a tutor is hired. O"&amp;"f course, no one denies the benefits of these classes, but it is impossible not to admit that sometimes this is very significantly in case of pockets, especially when the student has problems with several disciplines. The most optimal in such cases can be"&amp;" considered residents that can now be found in any subject and class. Many people think that this, on the contrary, will harm the child if he only learns to write off. But a lot in this case depends on parents. If you explain to your child how to handle s"&amp;"imilar manuals, then they will only strengthen knowledge and increase academic performance. GDZ - solves or exacerbates the problem. At the beginning of the educational process, when schoolchildren are still too impulsive, psychologists still do not recom"&amp;"mend giving residents for independent work. But they will provide excellent assistance to parents who can devote time to checking d/s because she will no longer take so much time. At the same time, dads and mothers will get acquainted with the modern pres"&amp;"entation of material in schools and will be able to help their child correct the mistakes that he made. In the older grades, you can teach the child to independently use collections to show the correct principle of working with them. This will develop res"&amp;"ponsibility in the child perseverance thoroughness. In addition, most schoolchildren will relate to this as the manifestation of confidence from adults, therefore, they will not want to lose it and is unlikely to abuse the write -off. Whether it is worth "&amp;"trusting the GDZ. All the Reshebniks are written exclusively by people who have a teaching education. And not only purely theoretical but also practical. The authors know how to present material to the students to remember and learn it. It is also importa"&amp;"nt that all the manuals are written strictly in accordance with the textbooks that are used in the school curriculum. Thus, the students even engaged in the write -off of the material repeat the previously studied in the classroom that it cannot but postp"&amp;"one the memory since the correlation of theory and practice is in front of his eyes. What are we ready to offer. What kind of textbook children are almost impossible, but on our website Gdz.ltd we tried to provide all the residents that you may need from "&amp;"grades 1 to 11. Here you can find collections of various authors and without any problems. Since your children a long and difficult path awaits your children, then you should not complicate it if you have a real opportunity to help the child with confiden"&amp;"ce and well study. Indeed, it is thanks to the support of loved ones that the children begin to make more efforts to prove that the faith in them is justified. Men1 grade2 grade 3 class5 grade 5 class7 class9 class10 class11 Class-POLUCAL BOOKS BUTUZOBUBN"&amp;"ICHEMETRIARY 7-9 Enlightenment Botuzovyan Butuzovoivnikgeometry10-11 Grade Vilenokin Vilenokin "" Schwarzburduchabnikmatmatika 6 Mnemosina Vilenkin Zhokhov Chesnokovchochematics Grade 5 Mnemosin GDZ.LTD 2023, Contact all questions by mail: [Email Protecte"&amp;"d]")</f>
        <v>Gdz.ltd: Ready homework for free! Gdz.ltdggdzgdzgdzgdzgdemetzksys123456789101112345678910111 English123456789101111123456789101111234567891011111111111informatics12345 6789101111111234567891011111111111234567891011MATEMATICA1234567891011111111123456789112345678911111111111111russian language123456789101010101010101010101010101010101010101010101010101010101010AR Zika12345678910111HIMIA1234567891011NALY BOOKS BARASHKOVASKORYS of exercises (to the textbook Vereshchagina 2018) English language "Exam" Barashkova -Belief (to the textbook Vereshchagina) English "Examination" Baranov -Evancesema Evances (deep -deep level) Class 2 "Enlightenment" Bara Nova The Kopylova Evansuchebnik (in -depth level) English class2 “Enlightenment” “Enlightenment” Afanasyev Mikheeva Baranov Chupranaccontrol work of English 2 Grade “Drof” Afanasyev Mikheeva Working Class2 “Drof” why GDZs have such popularity. The orderly parent considers his child the most beautiful and smartest. Therefore, when their offspring go to school, they believe that everything will go smoothly there. However, children rarely respond to expectations very early showing their individuality. Extremely quickly, schoolchildren are divided into humanities and lovers of exact sciences. Therefore, there are always objects with which students have problems. Difficulties are not necessarily serious, but one way or another cannot be avoided. And if parents still manage to smooth out roughnesses with home tasks until the fifth grade, then it is more difficult to do later. And sometimes a lack of knowledge among students begins to be felt before because sometimes dads and mothers do not have enough time to check their children. Most often, this leads to a decrease in performance and as a result a tutor is hired. Of course, no one denies the benefits of these classes, but it is impossible not to admit that sometimes this is very significantly in case of pockets, especially when the student has problems with several disciplines. The most optimal in such cases can be considered residents that can now be found in any subject and class. Many people think that this, on the contrary, will harm the child if he only learns to write off. But a lot in this case depends on parents. If you explain to your child how to handle similar manuals, then they will only strengthen knowledge and increase academic performance. GDZ - solves or exacerbates the problem. At the beginning of the educational process, when schoolchildren are still too impulsive, psychologists still do not recommend giving residents for independent work. But they will provide excellent assistance to parents who can devote time to checking d/s because she will no longer take so much time. At the same time, dads and mothers will get acquainted with the modern presentation of material in schools and will be able to help their child correct the mistakes that he made. In the older grades, you can teach the child to independently use collections to show the correct principle of working with them. This will develop responsibility in the child perseverance thoroughness. In addition, most schoolchildren will relate to this as the manifestation of confidence from adults, therefore, they will not want to lose it and is unlikely to abuse the write -off. Whether it is worth trusting the GDZ. All the Reshebniks are written exclusively by people who have a teaching education. And not only purely theoretical but also practical. The authors know how to present material to the students to remember and learn it. It is also important that all the manuals are written strictly in accordance with the textbooks that are used in the school curriculum. Thus, the students even engaged in the write -off of the material repeat the previously studied in the classroom that it cannot but postpone the memory since the correlation of theory and practice is in front of his eyes. What are we ready to offer. What kind of textbook children are almost impossible, but on our website Gdz.ltd we tried to provide all the residents that you may need from grades 1 to 11. Here you can find collections of various authors and without any problems. Since your children a long and difficult path awaits your children, then you should not complicate it if you have a real opportunity to help the child with confidence and well study. Indeed, it is thanks to the support of loved ones that the children begin to make more efforts to prove that the faith in them is justified. Men1 grade2 grade 3 class5 grade 5 class7 class9 class10 class11 Class-POLUCAL BOOKS BUTUZOBUBNICHEMETRIARY 7-9 Enlightenment Botuzovyan Butuzovoivnikgeometry10-11 Grade Vilenokin Vilenokin " Schwarzburduchabnikmatmatika 6 Mnemosina Vilenkin Zhokhov Chesnokovchochematics Grade 5 Mnemosin GDZ.LTD 2023, Contact all questions by mail: [Email Protected]</v>
      </c>
    </row>
    <row r="261">
      <c r="A261" s="1" t="s">
        <v>779</v>
      </c>
      <c r="B261" s="1" t="s">
        <v>822</v>
      </c>
      <c r="C261" s="1" t="s">
        <v>823</v>
      </c>
      <c r="D261" s="1">
        <v>11.0</v>
      </c>
      <c r="E261" s="4" t="s">
        <v>824</v>
      </c>
      <c r="F261" s="1" t="s">
        <v>16</v>
      </c>
      <c r="G261" s="1" t="s">
        <v>120</v>
      </c>
      <c r="H261" s="4" t="s">
        <v>121</v>
      </c>
      <c r="I261" s="2">
        <v>1.0</v>
      </c>
      <c r="J261" s="5" t="str">
        <f>IFERROR(__xludf.DUMMYFUNCTION("GOOGLETRANSLATE(A261)"),"Gdz")</f>
        <v>Gdz</v>
      </c>
      <c r="K261" s="6" t="str">
        <f>IFERROR(__xludf.DUMMYFUNCTION("GOOGLETRANSLATE(B261)"),"SKYSMART Solutions: GDZ on Izi")</f>
        <v>SKYSMART Solutions: GDZ on Izi</v>
      </c>
      <c r="L261" s="5" t="str">
        <f>IFERROR(__xludf.DUMMYFUNCTION("GOOGLETRANSLATE(C261)"),"Description. Arrow_forward. SKYSMART Solutions are a GDZ application for a school with which you can get GDZ from a photo in mathematics, English and GDZ by ...")</f>
        <v>Description. Arrow_forward. SKYSMART Solutions are a GDZ application for a school with which you can get GDZ from a photo in mathematics, English and GDZ by ...</v>
      </c>
      <c r="M261" s="5" t="str">
        <f>IFERROR(__xludf.DUMMYFUNCTION("GOOGLETRANSLATE(G261)"),"Android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62">
      <c r="A262" s="1" t="s">
        <v>779</v>
      </c>
      <c r="B262" s="1" t="s">
        <v>825</v>
      </c>
      <c r="C262" s="1" t="s">
        <v>826</v>
      </c>
      <c r="D262" s="1">
        <v>12.0</v>
      </c>
      <c r="E262" s="4" t="s">
        <v>827</v>
      </c>
      <c r="F262" s="1" t="s">
        <v>16</v>
      </c>
      <c r="G262" s="1" t="s">
        <v>34</v>
      </c>
      <c r="H262" s="4" t="s">
        <v>35</v>
      </c>
      <c r="I262" s="2">
        <v>2.0</v>
      </c>
      <c r="J262" s="5" t="str">
        <f>IFERROR(__xludf.DUMMYFUNCTION("GOOGLETRANSLATE(A262)"),"Gdz")</f>
        <v>Gdz</v>
      </c>
      <c r="K262" s="6" t="str">
        <f>IFERROR(__xludf.DUMMYFUNCTION("GOOGLETRANSLATE(B262)"),"Gdz.ru - Reshebnik")</f>
        <v>Gdz.ru - Reshebnik</v>
      </c>
      <c r="L262" s="5" t="str">
        <f>IFERROR(__xludf.DUMMYFUNCTION("GOOGLETRANSLATE(C262)"),"GDZ (finished homework), Reshebniks in the main school subjects for grades 1-4 and 5-11: GDZ in mathematics, algebra, geometry, Russian language, ...")</f>
        <v>GDZ (finished homework), Reshebniks in the main school subjects for grades 1-4 and 5-11: GDZ in mathematics, algebra, geometry, Russian language, ...</v>
      </c>
      <c r="M262" s="5" t="str">
        <f>IFERROR(__xludf.DUMMYFUNCTION("GOOGLETRANSLATE(G262)"),"VK.com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263">
      <c r="A263" s="1" t="s">
        <v>779</v>
      </c>
      <c r="B263" s="1" t="s">
        <v>828</v>
      </c>
      <c r="D263" s="1">
        <v>13.0</v>
      </c>
      <c r="E263" s="4" t="s">
        <v>829</v>
      </c>
      <c r="F263" s="1" t="s">
        <v>16</v>
      </c>
      <c r="G263" s="1" t="s">
        <v>830</v>
      </c>
      <c r="H263" s="1" t="s">
        <v>831</v>
      </c>
      <c r="I263" s="2">
        <v>1.0</v>
      </c>
      <c r="J263" s="5" t="str">
        <f>IFERROR(__xludf.DUMMYFUNCTION("GOOGLETRANSLATE(A263)"),"Gdz")</f>
        <v>Gdz</v>
      </c>
      <c r="K263" s="6" t="str">
        <f>IFERROR(__xludf.DUMMYFUNCTION("GOOGLETRANSLATE(B263)"),"GDZ - ready -made homework and residents")</f>
        <v>GDZ - ready -made homework and residents</v>
      </c>
      <c r="M263" s="5" t="str">
        <f>IFERROR(__xludf.DUMMYFUNCTION("GOOGLETRANSLATE(G263)"),"ГДЗ - готовые домашния задания и решебники  GDZ.PUB МенюНайтиГДЗ (готовые домашние задания)ПредметыКлассы1234567891011Алгебра1234567891011Английский язык1234567891011Биология1234567891011География1234567891011Геометрия1234567891011Информатика1234567891011"&amp;"История1234567891011Литература1234567891011Математика1234567891011Немецкий язык1234567891011Окружающий мир1234567891011Русский язык1234567891011Физика1234567891011Химия1234567891011Популярные книгиНемецкий язык 4 классУчебникБим Рыжова1 2«Просвещение»Лите"&amp;"ратура 1 классУчебникКацПланета знаний«Дрофа»Математика 3 классУчебникМоро Бантова БельтюковаШкола России«Просвещение»Биология 11 классУчебникБалан Верес ""Professions"" History of the 8th class of class 8 Mitrofanov Podfanov ""Drof"" English language 10 "&amp;"class Kazyrbaevawarem ""title"" Literature 6 class Ustinova Shamchikov1 2-algorithm ""Ventana-Graf"" algebrain 7 class Balass ""GDZ-good assistant Textbook from the first grade students It is necessary to absorb a large amount of information. Over time, t"&amp;"he training program will only become more complicated. Because of this, the attitude to study should be serious in nature not only in children, but also in their parents from whom for the most part and a direct example is taken. Considering the complexity"&amp;" of the general course of the teacher will not always be able to analyze in detail with the students all the subtleties of the subjects. That is why it is so important to be careful about all the words of the teacher and delve into the essence of discipli"&amp;"ne and not leave any spaces. In addition, it is necessary to instill in the children the habit of repeating the material completed at home in order to better learn it. In full naturally, not all of students will turn out from the first second and even thi"&amp;"rd time. Therefore, sometimes they will need help and support from adults. Since not all mothers and dads boast of deep knowledge in all subjects, they can come to the rescue of the revenue and more adult students who will help to understand their tasks. "&amp;"What is the help of GDZ? Since parents do not always have the opportunity to hire a tutor and many simply They do not believe in the effectiveness of these classes or a good way out of the situation can be the use of residents. Thanks to the logical struc"&amp;"ture and thorough solutions, the guys have the opportunity to track the whole principle of performing a particular exercise to identify what exactly they have errors and successfully cope with their correction. Moms and dads can, without spending unnecess"&amp;"ary time, qualitatively check their children and indicate the correct ways of deciding, thereby taking a direct part in the learning process. The main thing is that the students do not forget that these manuals cannot replace the direct mental in any case"&amp;" The process A is intended only for auxiliary assistance in case of difficulties. Therefore, the usual write -off can only worsen academic performance, while a thorough study of tasks will help not only receive good estimates, but also increase the genera"&amp;"l baggage of knowledge. Is it necessary to trust the GDZ? This is a very logical question given that the disinformation that is loved so much on the Internet. Therefore, do not forget that printed publications are written by professors who have more than "&amp;"one year of teaching behind their backs. In addition, these experts know all the nuances of those objects that are disassembled on the pages of the GDZ. The tasks and solutions presented on the site are completely identical to the original manuals. What i"&amp;"s our participation? The difficulties in studying are inevitable since every year new nuances arise in the learning program that cause many questions among students. On our website gdz.pub, soliders include all the necessary explanations and additions tha"&amp;"t will help the children to deal with any difficulties. © 2019-2023 “GDZ.PUB” [Email Protected] Close Processing Classes1234567891012345678910111ARITA 234567891011112345678910111112345678910111111123456789101111informatics123456789101111111123456789111111"&amp;"11123456789101MATEMATEMATICA11234567891 011 -German language1234567891011 Crowning MIR1234567891011ARUSH LANGUAGE123456789101IPHISICA1234567891011HIMIMA123456789101111")</f>
        <v>ГДЗ - готовые домашния задания и решебники  GDZ.PUB МенюНайтиГДЗ (готовые домашние задания)ПредметыКлассы1234567891011Алгебра1234567891011Английский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язык1234567891011Окружающий мир1234567891011Русский язык1234567891011Физика1234567891011Химия1234567891011Популярные книгиНемецкий язык 4 классУчебникБим Рыжова1 2«Просвещение»Литература 1 классУчебникКацПланета знаний«Дрофа»Математика 3 классУчебникМоро Бантова БельтюковаШкола России«Просвещение»Биология 11 классУчебникБалан Верес "Professions" History of the 8th class of class 8 Mitrofanov Podfanov "Drof" English language 10 class Kazyrbaevawarem "title" Literature 6 class Ustinova Shamchikov1 2-algorithm "Ventana-Graf" algebrain 7 class Balass "GDZ-good assistant Textbook from the first grade students It is necessary to absorb a large amount of information. Over time, the training program will only become more complicated. Because of this, the attitude to study should be serious in nature not only in children, but also in their parents from whom for the most part and a direct example is taken. Considering the complexity of the general course of the teacher will not always be able to analyze in detail with the students all the subtleties of the subjects. That is why it is so important to be careful about all the words of the teacher and delve into the essence of discipline and not leave any spaces. In addition, it is necessary to instill in the children the habit of repeating the material completed at home in order to better learn it. In full naturally, not all of students will turn out from the first second and even third time. Therefore, sometimes they will need help and support from adults. Since not all mothers and dads boast of deep knowledge in all subjects, they can come to the rescue of the revenue and more adult students who will help to understand their tasks. What is the help of GDZ? Since parents do not always have the opportunity to hire a tutor and many simply They do not believe in the effectiveness of these classes or a good way out of the situation can be the use of residents. Thanks to the logical structure and thorough solutions, the guys have the opportunity to track the whole principle of performing a particular exercise to identify what exactly they have errors and successfully cope with their correction. Moms and dads can, without spending unnecessary time, qualitatively check their children and indicate the correct ways of deciding, thereby taking a direct part in the learning process. The main thing is that the students do not forget that these manuals cannot replace the direct mental in any case The process A is intended only for auxiliary assistance in case of difficulties. Therefore, the usual write -off can only worsen academic performance, while a thorough study of tasks will help not only receive good estimates, but also increase the general baggage of knowledge. Is it necessary to trust the GDZ? This is a very logical question given that the disinformation that is loved so much on the Internet. Therefore, do not forget that printed publications are written by professors who have more than one year of teaching behind their backs. In addition, these experts know all the nuances of those objects that are disassembled on the pages of the GDZ. The tasks and solutions presented on the site are completely identical to the original manuals. What is our participation? The difficulties in studying are inevitable since every year new nuances arise in the learning program that cause many questions among students. On our website gdz.pub, soliders include all the necessary explanations and additions that will help the children to deal with any difficulties. © 2019-2023 “GDZ.PUB” [Email Protected] Close Processing Classes1234567891012345678910111ARITA 234567891011112345678910111112345678910111111123456789101111informatics12345678910111111112345678911111111123456789101MATEMATEMATICA11234567891 011 -German language1234567891011 Crowning MIR1234567891011ARUSH LANGUAGE123456789101IPHISICA1234567891011HIMIMA123456789101111</v>
      </c>
    </row>
    <row r="264">
      <c r="A264" s="1" t="s">
        <v>779</v>
      </c>
      <c r="B264" s="1" t="s">
        <v>832</v>
      </c>
      <c r="D264" s="1">
        <v>14.0</v>
      </c>
      <c r="E264" s="4" t="s">
        <v>833</v>
      </c>
      <c r="F264" s="1" t="s">
        <v>16</v>
      </c>
      <c r="G264" s="1" t="s">
        <v>834</v>
      </c>
      <c r="H264" s="4" t="s">
        <v>835</v>
      </c>
      <c r="I264" s="2">
        <v>1.0</v>
      </c>
      <c r="J264" s="5" t="str">
        <f>IFERROR(__xludf.DUMMYFUNCTION("GOOGLETRANSLATE(A264)"),"Gdz")</f>
        <v>Gdz</v>
      </c>
      <c r="K264" s="6" t="str">
        <f>IFERROR(__xludf.DUMMYFUNCTION("GOOGLETRANSLATE(B264)"),"GDZ for grade 1-11 - Reshebnik.com")</f>
        <v>GDZ for grade 1-11 - Reshebnik.com</v>
      </c>
      <c r="M264" s="5" t="str">
        <f>IFERROR(__xludf.DUMMYFUNCTION("GOOGLETRANSLATE(G264)"),"GDZ for grade 1-11 - Reshebnik. Klasses. Classes1234567891011VSE OF THE SEMPLEMATMATEMATEMATICARICARY LANGUAGEGEGEGEGEGEGEMETRIOMETRIOMICHIMICHICHICARY LAVICOUSH LAVICOUSH LAVICOSIC LANGUICASIC LANGUICASIC LAVISUSICA -FORMAROURAROLOGYARISEDSISEDARISAROURA"&amp;"RY ONE HEALTHOUSOSE OF HEALTHMARIOSED MAREMISELITERS INFORMATIONS. The preparation of the world man and the mirastronomy of an ecology technology test of the Spanish language of the Kubanovykazakh language of nature and a person of the video, at some poin"&amp;"t, every schoolboy feels that in his life the time has come for homework and lessons begins to take more and more time than usual than usual. Some of the students continue to persistently learn to receive good grades in subjects. The rest stop worrying ab"&amp;"out their knowledge turn away from studying, sliding down in the ladder with respect to academic performance and behavior. The main and primary task of our resource is to help students of all categories and ages in simplifying and accelerating the prepara"&amp;"tion of homework. Using the GDZ textbook on the chosen subject and having familiarized himself with the answer of any schoolboy, he is able to figure it out independently with the solution method for which he will subsequently receive a high appraisal. Wh"&amp;"en the student does not have obvious abilities for independent comparison of solutions to problems, then any adult is able to help. It will not be difficult for any mothers and dads to help their child using the Reshebs of the modern type that are written"&amp;" in quite affordable language. That is why parents can become active participants in the process of studying their children. And to schoolchildren with these reliable and convenient assistants, as duging will become easier to study. Why is it worth choosi"&amp;"ng exactly our online recruits? The GDZ has not been developed at all like cheat sheets for thoughtless write -off as many think. Experienced and professional methodologists created such a resource as an additional manual for an original printed school te"&amp;"xtbook. With its help, the student will be able to not only independently fix the material covered, but also qualitatively prepare for all types of tests, namely: by the control testing independent testing, the presentation of a vocabulary dictation and e"&amp;"ven to the main and single state exams. How to use auxiliary manuals, it is important to learn that it is simply not recommended to write off the finished keys to your notebook because it will be a bear service and such a student will never increase his t"&amp;"rue level of knowledge. You need to do all the tasks yourself and then the resulting result with the answer presented on the Reshebnik.com website. Such a virtual consultant will be able to perfectly prepare the student with any initial level of knowledge"&amp;" and training. The main advantages of using the online collection: a schoolboy can understand the topic independently without resorting to the help of adults and tutors; Having made a task, the student must cheer up with the Reshebnik and check how much h"&amp;"e learned the program; Using the electronic version, you can access a book from anywhere in the world; In the case of an incorrect response, GDZ will help you find a mistake and tell you how to correct. The explanations on what subjects are there on our w"&amp;"ebsite a solid of a com an important advantage of this portal is that there are clues and useful comments to absolutely all compulsory disciplines. The student will find detailed explanations of various mathematical theories and detailed solutions of the "&amp;"problems. Also here are the analysis of exercises in Russian and analyzes of works and stories in literature. In addition, a virtual consultant trains in natural sciences like chemistry of biology to the surrounding world. It is also important to note tha"&amp;"t online GDZs are created for students of any level of education. The baby who recently went to school can also contact him and only gets used to the situation. Also, it will be useful to go to the service of the middle level to repeat the traveled or loo"&amp;"k a little forward and of course the collection will be necessary for a high school student who is preparing with might and main for the OGE or the exam. Although the manual was created exclusively for students to use it and teachers in order to diversify"&amp;" their lessons. Many teachers use online GDZ to draw up a plan and consolidate their knowledge. Now let's list the other advantages of such an online assistant: you can view the data without even having a computer - just go from a phone or tablet and find"&amp;" out the answers to the tasks of interest; The service presents a video with explanations sorted into categories - this allows you to easily find the necessary answers and cope with the task; You no longer need to wait for the parents to return from work "&amp;"or the teacher will finally be freed in order to explain to you the principle of solving the next example; It will help to catch up (if for some reason the student missed the lesson, then you can close the gaps in your memory yourself and it is not necess"&amp;"ary to go to an expensive tutor or sign up for paid courses); It works online around the clock without any interruptions only you need to connect to the Internet. So do not lose time and rather start to deal with this unique educational and methodological"&amp;" complex. Then five and four will not make themselves wait and the academic performance will increase immediately! Any of the Reshak residents presented on our Internet resource is a real find for schoolchildren of different categories. Since all these de"&amp;"cisions are compiled with approval and, in accordance with certain requirements of the Ministry of Education and Science of the Russian Federation, they contain the correct results and confirmed information. We have everything you need to complete any hom"&amp;"ework. Come in will not regret it! © Reshebnik.com 2023 [Email Protected]")</f>
        <v>GDZ for grade 1-11 - Reshebnik. Klasses. Classes1234567891011VSE OF THE SEMPLEMATMATEMATEMATICARICARY LANGUAGEGEGEGEGEGEGEMETRIOMETRIOMICHIMICHICHICARY LAVICOUSH LAVICOUSH LAVICOSIC LANGUICASIC LANGUICASIC LAVISUSICA -FORMAROURAROLOGYARISEDSISEDARISAROURARY ONE HEALTHOUSOSE OF HEALTHMARIOSED MAREMISELITERS INFORMATIONS. The preparation of the world man and the mirastronomy of an ecology technology test of the Spanish language of the Kubanovykazakh language of nature and a person of the video, at some point, every schoolboy feels that in his life the time has come for homework and lessons begins to take more and more time than usual than usual. Some of the students continue to persistently learn to receive good grades in subjects. The rest stop worrying about their knowledge turn away from studying, sliding down in the ladder with respect to academic performance and behavior. The main and primary task of our resource is to help students of all categories and ages in simplifying and accelerating the preparation of homework. Using the GDZ textbook on the chosen subject and having familiarized himself with the answer of any schoolboy, he is able to figure it out independently with the solution method for which he will subsequently receive a high appraisal. When the student does not have obvious abilities for independent comparison of solutions to problems, then any adult is able to help. It will not be difficult for any mothers and dads to help their child using the Reshebs of the modern type that are written in quite affordable language. That is why parents can become active participants in the process of studying their children. And to schoolchildren with these reliable and convenient assistants, as duging will become easier to study. Why is it worth choosing exactly our online recruits? The GDZ has not been developed at all like cheat sheets for thoughtless write -off as many think. Experienced and professional methodologists created such a resource as an additional manual for an original printed school textbook. With its help, the student will be able to not only independently fix the material covered, but also qualitatively prepare for all types of tests, namely: by the control testing independent testing, the presentation of a vocabulary dictation and even to the main and single state exams. How to use auxiliary manuals, it is important to learn that it is simply not recommended to write off the finished keys to your notebook because it will be a bear service and such a student will never increase his true level of knowledge. You need to do all the tasks yourself and then the resulting result with the answer presented on the Reshebnik.com website. Such a virtual consultant will be able to perfectly prepare the student with any initial level of knowledge and training. The main advantages of using the online collection: a schoolboy can understand the topic independently without resorting to the help of adults and tutors; Having made a task, the student must cheer up with the Reshebnik and check how much he learned the program; Using the electronic version, you can access a book from anywhere in the world; In the case of an incorrect response, GDZ will help you find a mistake and tell you how to correct. The explanations on what subjects are there on our website a solid of a com an important advantage of this portal is that there are clues and useful comments to absolutely all compulsory disciplines. The student will find detailed explanations of various mathematical theories and detailed solutions of the problems. Also here are the analysis of exercises in Russian and analyzes of works and stories in literature. In addition, a virtual consultant trains in natural sciences like chemistry of biology to the surrounding world. It is also important to note that online GDZs are created for students of any level of education. The baby who recently went to school can also contact him and only gets used to the situation. Also, it will be useful to go to the service of the middle level to repeat the traveled or look a little forward and of course the collection will be necessary for a high school student who is preparing with might and main for the OGE or the exam. Although the manual was created exclusively for students to use it and teachers in order to diversify their lessons. Many teachers use online GDZ to draw up a plan and consolidate their knowledge. Now let's list the other advantages of such an online assistant: you can view the data without even having a computer - just go from a phone or tablet and find out the answers to the tasks of interest; The service presents a video with explanations sorted into categories - this allows you to easily find the necessary answers and cope with the task; You no longer need to wait for the parents to return from work or the teacher will finally be freed in order to explain to you the principle of solving the next example; It will help to catch up (if for some reason the student missed the lesson, then you can close the gaps in your memory yourself and it is not necessary to go to an expensive tutor or sign up for paid courses); It works online around the clock without any interruptions only you need to connect to the Internet. So do not lose time and rather start to deal with this unique educational and methodological complex. Then five and four will not make themselves wait and the academic performance will increase immediately! Any of the Reshak residents presented on our Internet resource is a real find for schoolchildren of different categories. Since all these decisions are compiled with approval and, in accordance with certain requirements of the Ministry of Education and Science of the Russian Federation, they contain the correct results and confirmed information. We have everything you need to complete any homework. Come in will not regret it! © Reshebnik.com 2023 [Email Protected]</v>
      </c>
    </row>
    <row r="265">
      <c r="A265" s="1" t="s">
        <v>779</v>
      </c>
      <c r="B265" s="1" t="s">
        <v>836</v>
      </c>
      <c r="C265" s="1" t="s">
        <v>818</v>
      </c>
      <c r="D265" s="1">
        <v>15.0</v>
      </c>
      <c r="E265" s="4" t="s">
        <v>837</v>
      </c>
      <c r="F265" s="1" t="s">
        <v>16</v>
      </c>
      <c r="G265" s="1" t="s">
        <v>838</v>
      </c>
      <c r="H265" s="4" t="s">
        <v>839</v>
      </c>
      <c r="I265" s="2">
        <v>1.0</v>
      </c>
      <c r="J265" s="5" t="str">
        <f>IFERROR(__xludf.DUMMYFUNCTION("GOOGLETRANSLATE(A265)"),"Gdz")</f>
        <v>Gdz</v>
      </c>
      <c r="K265" s="6" t="str">
        <f>IFERROR(__xludf.DUMMYFUNCTION("GOOGLETRANSLATE(B265)"),"GDZ: Ready -made homework without frost")</f>
        <v>GDZ: Ready -made homework without frost</v>
      </c>
      <c r="L265" s="5" t="str">
        <f>IFERROR(__xludf.DUMMYFUNCTION("GOOGLETRANSLATE(C265)"),"A great site with GDZ (ready -made homework), on which you will find solutions to all school textbooks for free.")</f>
        <v>A great site with GDZ (ready -made homework), on which you will find solutions to all school textbooks for free.</v>
      </c>
      <c r="M265" s="5" t="str">
        <f>IFERROR(__xludf.DUMMYFUNCTION("GOOGLETRANSLATE(G265)"),"GDZ: Ready -made homework without troubles gdzbezmorokigdzdzdzytklasses123456789101algebra1234567891011 English1234567891011111Astronomy1234567891101112345678911111234567 89101111111234567891011111111234567891011111111ocrodalization12345678910111111111234"&amp;"5678911111111111111111111111111111MATEMATICA12345678911111111111111111111111111111111111110111111111011111111011111110111111101111111011111110111111101111110111111110AR 1234567891011 Faculture12345678910111111111234567891011 -Russian language1234567891011"&amp;" technology1234567891011physics12345678911111111111112345678 910111112345678910111ECOLOGY1234567891011ECHOSK1234567891011NARY BOOKS OF MASIMOVARY LANGUAGE CLOSE 5 Vereshchagina Afanasyeva English test 3 class Aleksandrova Verbitsky Bogdano -Russian langua"&amp;"ge, Big Sadomovo Sannikovanemetsky language. Russian language test 5th grade flyaginggeegransmord to the GDZ have such popularity. The life of each parent once comes the time when The child has to be assembled to school. Perhaps for the guys themselves th"&amp;"is moment is still not as exciting as for their mothers and dads. Naturally there are certain expectations that the older generation directs to future schoolchildren. But the first class came and everything turned out to be completely different from it. I"&amp;"t seemed to be. The education system has undergone significant changes, then the program for students is significantly different from that which their parents once studied. The load that leads to a quick loss of interest in the educational process by chil"&amp;"dren has increased significantly. The volumes of d/s have also increased due to which students have practically no free time. In older grades, this problem is aggravated. All more often for schoolchildren and their parents, GDZs who have several very impo"&amp;"rtant advantages come to the rescue. The most basic is perhaps a significant saving of time that gives children a chance to do something else besides studying. Another advantage of these manuals can be called that mothers and dads do not have to spend muc"&amp;"h time checking their offspring. GDZ - solves or exacerbates the problem. In many ways, these collections can help with the control and systematization of knowledge in children. But in elementary school, when students are not yet able to understand the co"&amp;"rrect principle of working with GDZ, support from parents is expected. Of course, it is preferable to shift these responsibilities to someone else, therefore, they often resort to the services of tutors. But if you take into account the number of items fo"&amp;"r which additional classes are required, their help is quite expensive. Unfortunately, not everyone can afford it. In addition, most tutors use the same GDZ. The functionality and availability of these manuals is designed to use absolutely any person what"&amp;"ever knowledge he has. Therefore, after the fifth grade, you can gradually begin the preparation of the child to begin to use them on his own. The most important principle of which should be guided by the schoolboy is the one that GDZ will benefit if it i"&amp;"s used as an auxiliary material to check the performed d/s and not as a permanent cheat sheet. Is it necessary to trust the GDZ. Mnogys are asked by this question. On the one hand, it seems to be irrational to give schoolchildren a similar leadership wher"&amp;"e all ready -made answers are presented throughout the training rate. On the other hand, do not forget that these collections were originally compiled for teachers to speed up their work on students' homework. All the residents were written exclusively by"&amp;" teachers and professors, therefore, their works can be trusted. It is worth paying attention to the fact that modern schoolchildren set too large volumes of homework and extremely little time is given to their implementation. Arriving in constant anxiety"&amp;", children can be subject to a nervous breakdown, therefore, the use of GDZ is not only justified but also quite logical. What are we ready to offer. The very beginning when the child only goes to school is quite difficult to predict what he will have cra"&amp;"ving and what objects will cause big problems. Therefore, we decided to provide parents and schoolchildren on their own to choose the Reshebnik that they need by posting a full-fledged catalog on the GDZ on our website gdzbezmoroki.com. Class1 class2 grad"&amp;"e4 grade7 Class 19 Class10 Class11 Class11 Class11 Class11 Class11 Class11 Grade")</f>
        <v>GDZ: Ready -made homework without troubles gdzbezmorokigdzdzdzytklasses123456789101algebra1234567891011 English1234567891011111Astronomy1234567891101112345678911111234567 89101111111234567891011111111234567891011111111ocrodalization123456789101111111112345678911111111111111111111111111111MATEMATICA12345678911111111111111111111111111111111111110111111111011111111011111110111111101111111011111110111111101111110111111110AR 1234567891011 Faculture12345678910111111111234567891011 -Russian language1234567891011 technology1234567891011physics12345678911111111111112345678 910111112345678910111ECOLOGY1234567891011ECHOSK1234567891011NARY BOOKS OF MASIMOVARY LANGUAGE CLOSE 5 Vereshchagina Afanasyeva English test 3 class Aleksandrova Verbitsky Bogdano -Russian language, Big Sadomovo Sannikovanemetsky language. Russian language test 5th grade flyaginggeegransmord to the GDZ have such popularity. The life of each parent once comes the time when The child has to be assembled to school. Perhaps for the guys themselves this moment is still not as exciting as for their mothers and dads. Naturally there are certain expectations that the older generation directs to future schoolchildren. But the first class came and everything turned out to be completely different from it. It seemed to be. The education system has undergone significant changes, then the program for students is significantly different from that which their parents once studied. The load that leads to a quick loss of interest in the educational process by children has increased significantly. The volumes of d/s have also increased due to which students have practically no free time. In older grades, this problem is aggravated. All more often for schoolchildren and their parents, GDZs who have several very important advantages come to the rescue. The most basic is perhaps a significant saving of time that gives children a chance to do something else besides studying. Another advantage of these manuals can be called that mothers and dads do not have to spend much time checking their offspring. GDZ - solves or exacerbates the problem. In many ways, these collections can help with the control and systematization of knowledge in children. But in elementary school, when students are not yet able to understand the correct principle of working with GDZ, support from parents is expected. Of course, it is preferable to shift these responsibilities to someone else, therefore, they often resort to the services of tutors. But if you take into account the number of items for which additional classes are required, their help is quite expensive. Unfortunately, not everyone can afford it. In addition, most tutors use the same GDZ. The functionality and availability of these manuals is designed to use absolutely any person whatever knowledge he has. Therefore, after the fifth grade, you can gradually begin the preparation of the child to begin to use them on his own. The most important principle of which should be guided by the schoolboy is the one that GDZ will benefit if it is used as an auxiliary material to check the performed d/s and not as a permanent cheat sheet. Is it necessary to trust the GDZ. Mnogys are asked by this question. On the one hand, it seems to be irrational to give schoolchildren a similar leadership where all ready -made answers are presented throughout the training rate. On the other hand, do not forget that these collections were originally compiled for teachers to speed up their work on students' homework. All the residents were written exclusively by teachers and professors, therefore, their works can be trusted. It is worth paying attention to the fact that modern schoolchildren set too large volumes of homework and extremely little time is given to their implementation. Arriving in constant anxiety, children can be subject to a nervous breakdown, therefore, the use of GDZ is not only justified but also quite logical. What are we ready to offer. The very beginning when the child only goes to school is quite difficult to predict what he will have craving and what objects will cause big problems. Therefore, we decided to provide parents and schoolchildren on their own to choose the Reshebnik that they need by posting a full-fledged catalog on the GDZ on our website gdzbezmoroki.com. Class1 class2 grade4 grade7 Class 19 Class10 Class11 Class11 Class11 Class11 Class11 Class11 Grade</v>
      </c>
    </row>
    <row r="266">
      <c r="A266" s="1" t="s">
        <v>779</v>
      </c>
      <c r="B266" s="1" t="s">
        <v>840</v>
      </c>
      <c r="C266" s="1" t="s">
        <v>841</v>
      </c>
      <c r="D266" s="1">
        <v>16.0</v>
      </c>
      <c r="E266" s="4" t="s">
        <v>842</v>
      </c>
      <c r="F266" s="1" t="s">
        <v>16</v>
      </c>
      <c r="I266" s="2">
        <v>1.0</v>
      </c>
      <c r="J266" s="5" t="str">
        <f>IFERROR(__xludf.DUMMYFUNCTION("GOOGLETRANSLATE(A266)"),"Gdz")</f>
        <v>Gdz</v>
      </c>
      <c r="K266" s="6" t="str">
        <f>IFERROR(__xludf.DUMMYFUNCTION("GOOGLETRANSLATE(B266)"),"Result: GDZ to textbooks and working notebooks from 1 to 11 ...")</f>
        <v>Result: GDZ to textbooks and working notebooks from 1 to 11 ...</v>
      </c>
      <c r="L266" s="5" t="str">
        <f>IFERROR(__xludf.DUMMYFUNCTION("GOOGLETRANSLATE(C266)"),"Ready -made homework for Resinkka.ru will help to hand over the test and do homework for the five. Exercises are checked by experts.")</f>
        <v>Ready -made homework for Resinkka.ru will help to hand over the test and do homework for the five. Exercises are checked by experts.</v>
      </c>
      <c r="M266" s="5" t="str">
        <f>IFERROR(__xludf.DUMMYFUNCTION("GOOGLETRANSLATE(G266)"),"#VALUE!")</f>
        <v>#VALUE!</v>
      </c>
    </row>
    <row r="267">
      <c r="A267" s="1" t="s">
        <v>779</v>
      </c>
      <c r="B267" s="1" t="s">
        <v>843</v>
      </c>
      <c r="C267" s="1" t="s">
        <v>818</v>
      </c>
      <c r="D267" s="1">
        <v>17.0</v>
      </c>
      <c r="E267" s="4" t="s">
        <v>844</v>
      </c>
      <c r="F267" s="1" t="s">
        <v>16</v>
      </c>
      <c r="G267" s="1" t="s">
        <v>845</v>
      </c>
      <c r="H267" s="4" t="s">
        <v>846</v>
      </c>
      <c r="I267" s="2">
        <v>1.0</v>
      </c>
      <c r="J267" s="5" t="str">
        <f>IFERROR(__xludf.DUMMYFUNCTION("GOOGLETRANSLATE(A267)"),"Gdz")</f>
        <v>Gdz</v>
      </c>
      <c r="K267" s="6" t="str">
        <f>IFERROR(__xludf.DUMMYFUNCTION("GOOGLETRANSLATE(B267)"),"GDZ: Ready -made homework for free online on ...")</f>
        <v>GDZ: Ready -made homework for free online on ...</v>
      </c>
      <c r="L267" s="5" t="str">
        <f>IFERROR(__xludf.DUMMYFUNCTION("GOOGLETRANSLATE(C267)"),"A great site with GDZ (ready -made homework), on which you will find solutions to all school textbooks for free.")</f>
        <v>A great site with GDZ (ready -made homework), on which you will find solutions to all school textbooks for free.</v>
      </c>
      <c r="M267" s="5" t="str">
        <f>IFERROR(__xludf.DUMMYFUNCTION("GOOGLETRANSLATE(G267)"),"ГДЗ: Готовые домашние задания бесплатно онлайн на МегаШпора Megashpora.com МенюГДЗ1234567891011Алгебра1234567891011Английский язык1234567891011Астрономия1234567891011Белорусский язык1234567891011Биология1234567891011География1234567891011Геометрия12345678"&amp;"91011Информатика1234567891011История1234567891011Литература1234567891011Математика1234567891011Немецкий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язык1234567891011Технология1234567891011Физика1234567891"&amp;"011Французский язык1234567891011Химия1234567891011Черчение1234567891011Экология1234567891011Экономика1234567891011ГДЗ1234567891011Алгебра1234567891011Английский язык1234567891011Астрономия1234567891011Белорусский язык1234567891011Биология1234567891011Геог"&amp;"рафия1234567891011Геометрия1234567891011Информатика1234567891011История1234567891011Литература1234567891011Математика1234567891011Немецкий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язык1234567891011Техн"&amp;"ология1234567891011Физика1234567891011Французский язык1234567891011Химия1234567891011Черчение1234567891011Экология1234567891011Экономика1234567891011Популярные ГДЗРусский язык 7 классУчебникЛадыженская Баранов ТростенцоваПросвещениеАнглийский язык 9 класс"&amp;"Рабочая тетрадьRainbowАфанасьева Михеева БарановаТитулДля чего были придуманы ГДЗКогда ребенок идет в школу то родители поначалу мало задумываются About the difficulties that will arise before their children. And the difficulties will certainly appear bec"&amp;"ause a little student will have a thorny path of long at eleven. And if at first all the sharp corners can still be easily smooth out quite easily, then from the fifth grade training takes a very serious turn when it is impossible to do without help. Ever"&amp;"y year, the Ministry of Education more and more complicates the school curriculum trying to accommodate as much knowledge as possible in children. At the same time, the personal characteristics of students are not taken into account at all, because someon"&amp;"e is easy for someone, and someone needs more time to assimilate new material. In addition, there are problems with the teacher's composition. There are no good teachers who can clearly explain and tell. And if you came across a teacher who quickly played"&amp;" a lesson and left children with a bunch of questions? What to do in this case? Of course, you can hire a tutor that will deal with your child as much as necessary. But again, several tutors in various subjects that will come a couple of times a week or m"&amp;"ore are quite capable of ruining an average family. In order to maintain the family budget and be sure that your child will receive knowledge in full and learn only for good grades, experts offer to use GDZ. GDZ - help to schoolchildren and their parents "&amp;"first of all residents and all accompanying manuals were designed for parents that They would like to control the knowledge of their children. Since every year the curriculum is slightly modified, it is quite natural that those knowledge that the older ge"&amp;"neration received is a little outdated. And many are no longer able to provide effective help to your child in preparing homework. Therefore, using the help of the GDZ, parents will be able to not only make sure that their child did the right d/z but also"&amp;" help him in case of difficulties. Schoolists can also calmly use the help of residents in various objects. The fundamental moment in this case is that the GDZ is designed not just for aimless write -off, but for memorizing the previously completed materi"&amp;"al and consolidating it through the solution of practical tasks. Also, these manuals are a great opportunity to prepare a student for exams and final verification work. The repetition of the gathered in one siren of the gathered in one siren will clearly "&amp;"not be superfluous, since many students sometimes forget what they taught at the beginning of the course. Why you can be sure of the correctness of the GDZEI of the leadership are written by experienced teachers teaching at universities and universities. "&amp;"However, from the calculation of the age of schoolchildren, they tried to present all the material in the extremely accessible form so that students could calmly operate on the information received. In particularly difficult cases, the authors did not sti"&amp;"nt on comments. With the help of their manuals, they once again proved that study can bring joy if the student understands what exactly he teaches. We offer my weapon our website gdz.chat can find GDZ for any subject from grades 1 to 11. Just go to the si"&amp;"te and choose the sieve that you need. We tried to adapt the site as much as possible to the needs of students and their parents, providing the opportunity to find the manual of exactly the author that you need. Facilitate your children to your children, "&amp;"because they have ahead of them and so many difficulties and we will help you with pleasure! New Gdz Russian language grades 3 and control work of MAKAKIMOVAKICIAN LANGUAGE GROUND AFARSEVAGINARY AFANASEVIEVASKY 3 class 3 class of class 3 Bogdanovsheneman "&amp;"nicovar -warning12 megashpora.com © 2018 -2023 [email protected]")</f>
        <v>ГДЗ: Готовые домашние задания бесплатно онлайн на МегаШпора Megashpora.com МенюГДЗ1234567891011Алгебра1234567891011Английский язык1234567891011Астрономия1234567891011Белорусский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язык1234567891011Технология1234567891011Физика1234567891011Французский язык1234567891011Химия1234567891011Черчение1234567891011Экология1234567891011Экономика1234567891011ГДЗ1234567891011Алгебра1234567891011Английский язык1234567891011Астрономия1234567891011Белорусский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язык1234567891011Технология1234567891011Физика1234567891011Французский язык1234567891011Химия1234567891011Черчение1234567891011Экология1234567891011Экономика1234567891011Популярные ГДЗРусский язык 7 классУчебникЛадыженская Баранов ТростенцоваПросвещениеАнглийский язык 9 классРабочая тетрадьRainbowАфанасьева Михеева БарановаТитулДля чего были придуманы ГДЗКогда ребенок идет в школу то родители поначалу мало задумываются About the difficulties that will arise before their children. And the difficulties will certainly appear because a little student will have a thorny path of long at eleven. And if at first all the sharp corners can still be easily smooth out quite easily, then from the fifth grade training takes a very serious turn when it is impossible to do without help. Every year, the Ministry of Education more and more complicates the school curriculum trying to accommodate as much knowledge as possible in children. At the same time, the personal characteristics of students are not taken into account at all, because someone is easy for someone, and someone needs more time to assimilate new material. In addition, there are problems with the teacher's composition. There are no good teachers who can clearly explain and tell. And if you came across a teacher who quickly played a lesson and left children with a bunch of questions? What to do in this case? Of course, you can hire a tutor that will deal with your child as much as necessary. But again, several tutors in various subjects that will come a couple of times a week or more are quite capable of ruining an average family. In order to maintain the family budget and be sure that your child will receive knowledge in full and learn only for good grades, experts offer to use GDZ. GDZ - help to schoolchildren and their parents first of all residents and all accompanying manuals were designed for parents that They would like to control the knowledge of their children. Since every year the curriculum is slightly modified, it is quite natural that those knowledge that the older generation received is a little outdated. And many are no longer able to provide effective help to your child in preparing homework. Therefore, using the help of the GDZ, parents will be able to not only make sure that their child did the right d/z but also help him in case of difficulties. Schoolists can also calmly use the help of residents in various objects. The fundamental moment in this case is that the GDZ is designed not just for aimless write -off, but for memorizing the previously completed material and consolidating it through the solution of practical tasks. Also, these manuals are a great opportunity to prepare a student for exams and final verification work. The repetition of the gathered in one siren of the gathered in one siren will clearly not be superfluous, since many students sometimes forget what they taught at the beginning of the course. Why you can be sure of the correctness of the GDZEI of the leadership are written by experienced teachers teaching at universities and universities. However, from the calculation of the age of schoolchildren, they tried to present all the material in the extremely accessible form so that students could calmly operate on the information received. In particularly difficult cases, the authors did not stint on comments. With the help of their manuals, they once again proved that study can bring joy if the student understands what exactly he teaches. We offer my weapon our website gdz.chat can find GDZ for any subject from grades 1 to 11. Just go to the site and choose the sieve that you need. We tried to adapt the site as much as possible to the needs of students and their parents, providing the opportunity to find the manual of exactly the author that you need. Facilitate your children to your children, because they have ahead of them and so many difficulties and we will help you with pleasure! New Gdz Russian language grades 3 and control work of MAKAKIMOVAKICIAN LANGUAGE GROUND AFARSEVAGINARY AFANASEVIEVASKY 3 class 3 class of class 3 Bogdanovsheneman nicovar -warning12 megashpora.com © 2018 -2023 [email protected]</v>
      </c>
    </row>
    <row r="268">
      <c r="A268" s="1" t="s">
        <v>779</v>
      </c>
      <c r="B268" s="1" t="s">
        <v>847</v>
      </c>
      <c r="C268" s="1" t="s">
        <v>848</v>
      </c>
      <c r="D268" s="1">
        <v>18.0</v>
      </c>
      <c r="E268" s="4" t="s">
        <v>849</v>
      </c>
      <c r="F268" s="1" t="s">
        <v>16</v>
      </c>
      <c r="I268" s="2">
        <v>1.0</v>
      </c>
      <c r="J268" s="5" t="str">
        <f>IFERROR(__xludf.DUMMYFUNCTION("GOOGLETRANSLATE(A268)"),"Gdz")</f>
        <v>Gdz</v>
      </c>
      <c r="K268" s="6" t="str">
        <f>IFERROR(__xludf.DUMMYFUNCTION("GOOGLETRANSLATE(B268)"),"GDZ - ready -made answers to all homework from Putin")</f>
        <v>GDZ - ready -made answers to all homework from Putin</v>
      </c>
      <c r="L268" s="5" t="str">
        <f>IFERROR(__xludf.DUMMYFUNCTION("GOOGLETRANSLATE(C268)"),"GDZ from Putin - ready -made answers to all homework ... On the educational portal ""GDZ from Putin Info"" there are ready -made answers, qualitatively executed ...")</f>
        <v>GDZ from Putin - ready -made answers to all homework ... On the educational portal "GDZ from Putin Info" there are ready -made answers, qualitatively executed ...</v>
      </c>
      <c r="M268" s="5" t="str">
        <f>IFERROR(__xludf.DUMMYFUNCTION("GOOGLETRANSLATE(G268)"),"#VALUE!")</f>
        <v>#VALUE!</v>
      </c>
    </row>
    <row r="269">
      <c r="A269" s="1" t="s">
        <v>779</v>
      </c>
      <c r="B269" s="1" t="s">
        <v>850</v>
      </c>
      <c r="C269" s="1" t="s">
        <v>851</v>
      </c>
      <c r="D269" s="1">
        <v>3.0</v>
      </c>
      <c r="E269" s="4" t="s">
        <v>852</v>
      </c>
      <c r="F269" s="1" t="s">
        <v>43</v>
      </c>
      <c r="G269" s="1" t="s">
        <v>853</v>
      </c>
      <c r="H269" s="4" t="s">
        <v>854</v>
      </c>
      <c r="I269" s="2">
        <v>1.0</v>
      </c>
      <c r="J269" s="5" t="str">
        <f>IFERROR(__xludf.DUMMYFUNCTION("GOOGLETRANSLATE(A269)"),"Gdz")</f>
        <v>Gdz</v>
      </c>
      <c r="K269" s="6" t="str">
        <f>IFERROR(__xludf.DUMMYFUNCTION("GOOGLETRANSLATE(B269)"),"GDZ (DZH): ready -made homework and answers - kzgdz ...")</f>
        <v>GDZ (DZH): ready -made homework and answers - kzgdz ...</v>
      </c>
      <c r="L269" s="5" t="str">
        <f>IFERROR(__xludf.DUMMYFUNCTION("GOOGLETRANSLATE(C269)"),"GDZ (DZH) for lessons for grades 1-11, solved tasks in mathematics, algebra, geometry, physics, chemistry.")</f>
        <v>GDZ (DZH) for lessons for grades 1-11, solved tasks in mathematics, algebra, geometry, physics, chemistry.</v>
      </c>
      <c r="M269" s="5" t="str">
        <f>IFERROR(__xludf.DUMMYFUNCTION("GOOGLETRANSLATE(G269)"),"GDZ (DZH): ready -made homework and answers - kzgdz.com kzgdz.com did not find a textbook? Grade 2 grade4 grade5 grade7 grade 19 class 9 class11 classes × conce. Algebra × × concele 789101111112geometry × optus 789101111informatics × comfort × opta × opta"&amp;" tilі2345678910 × Kazakh language and literature × opto × comfort × comfort × comfort × conce. 789 × 11 -Russian literature × conce. 56 × opto reading × comfort × comfort × comfort × concea × opto × conce.manse × comfort × comfort × comfort × conce. × 789"&amp;" × close × comfort × optu × comfort × comfort × comfort × comfort × comfort × comfort × comfort × comfort × comfort Kazakhstan × comfort × comfort × comfort did not find a textbook? Welcome to the site you made the right choice! A rich training program in"&amp;"cludes many disciplines. Each new lesson carries a stream of terms of theorems of examples. Lessons in the class home preparation additional classes of electives take a lot of effort and time from a modern schoolboy. Sometimes the information given by the"&amp;" teacher is difficult to perceive and is not absorbed in forty minutes. Arriving home, the student cannot correctly fulfill the ""household"" feels stupidly reduced interest in studying. At such moments, specialized literature is useful that our team has "&amp;"carefully left for you. All solutions and correct answers are collected in the most difficult sciences: algebra mathematics and geometry physics and chemistry. We note the beneficial functions of the Reshebniks: self -testing the analysis of our work for "&amp;"errors to identify gaps in knowledge at the initial stage of the under the implementation of the complex task of the parents to oversee the child’s educational process and also give an explanation of one or another terminology to master the self -esteem a"&amp;"nd self -confidence adaptation to the school course manifestation of a competitive interest. The knowledge is sure of it! ""GDZ"" is not about a thoughtless Writing is primarily a tool for increasing academic performance at the school of maximum benefit a"&amp;"nd pleasure from educational activities. The manual is also perfect for mothers and dads of teachers and tutors. © kzgdz.com 2023 Astana Kazakhstani copyright holders Dytgdz@gmail.com")</f>
        <v>GDZ (DZH): ready -made homework and answers - kzgdz.com kzgdz.com did not find a textbook? Grade 2 grade4 grade5 grade7 grade 19 class 9 class11 classes × conce. Algebra × × concele 789101111112geometry × optus 789101111informatics × comfort × opta × opta tilі2345678910 × Kazakh language and literature × opto × comfort × comfort × comfort × conce. 789 × 11 -Russian literature × conce. 56 × opto reading × comfort × comfort × comfort × concea × opto × conce.manse × comfort × comfort × comfort × conce. × 789 × close × comfort × optu × comfort × comfort × comfort × comfort × comfort × comfort × comfort × comfort × comfort Kazakhstan × comfort × comfort × comfort did not find a textbook? Welcome to the site you made the right choice! A rich training program includes many disciplines. Each new lesson carries a stream of terms of theorems of examples. Lessons in the class home preparation additional classes of electives take a lot of effort and time from a modern schoolboy. Sometimes the information given by the teacher is difficult to perceive and is not absorbed in forty minutes. Arriving home, the student cannot correctly fulfill the "household" feels stupidly reduced interest in studying. At such moments, specialized literature is useful that our team has carefully left for you. All solutions and correct answers are collected in the most difficult sciences: algebra mathematics and geometry physics and chemistry. We note the beneficial functions of the Reshebniks: self -testing the analysis of our work for errors to identify gaps in knowledge at the initial stage of the under the implementation of the complex task of the parents to oversee the child’s educational process and also give an explanation of one or another terminology to master the self -esteem and self -confidence adaptation to the school course manifestation of a competitive interest. The knowledge is sure of it! "GDZ" is not about a thoughtless Writing is primarily a tool for increasing academic performance at the school of maximum benefit and pleasure from educational activities. The manual is also perfect for mothers and dads of teachers and tutors. © kzgdz.com 2023 Astana Kazakhstani copyright holders Dytgdz@gmail.com</v>
      </c>
    </row>
    <row r="270">
      <c r="A270" s="1" t="s">
        <v>779</v>
      </c>
      <c r="B270" s="1" t="s">
        <v>855</v>
      </c>
      <c r="C270" s="1" t="s">
        <v>856</v>
      </c>
      <c r="D270" s="1">
        <v>8.0</v>
      </c>
      <c r="E270" s="4" t="s">
        <v>857</v>
      </c>
      <c r="F270" s="1" t="s">
        <v>43</v>
      </c>
      <c r="G270" s="1" t="s">
        <v>858</v>
      </c>
      <c r="H270" s="1" t="s">
        <v>859</v>
      </c>
      <c r="I270" s="2">
        <v>1.0</v>
      </c>
      <c r="J270" s="5" t="str">
        <f>IFERROR(__xludf.DUMMYFUNCTION("GOOGLETRANSLATE(A270)"),"Gdz")</f>
        <v>Gdz</v>
      </c>
      <c r="K270" s="6" t="str">
        <f>IFERROR(__xludf.DUMMYFUNCTION("GOOGLETRANSLATE(B270)"),"GDZ Rare GODICAL MASTERS - Reshebniks (GDZ) 1 ...")</f>
        <v>GDZ Rare GODICAL MASTERS - Reshebniks (GDZ) 1 ...</v>
      </c>
      <c r="L270" s="5" t="str">
        <f>IFERROR(__xludf.DUMMYFUNCTION("GOOGLETRANSLATE(C270)"),"Reshebniks (GDZ) 1 - 11 grade. GDZ answers in all subjects and solving homework for 5✚❗ Any online Reshebnik added to our GDZ site.")</f>
        <v>Reshebniks (GDZ) 1 - 11 grade. GDZ answers in all subjects and solving homework for 5✚❗ Any online Reshebnik added to our GDZ site.</v>
      </c>
      <c r="M270" s="5" t="str">
        <f>IFERROR(__xludf.DUMMYFUNCTION("GOOGLETRANSLATE(G270)"),"GDZ Raditable homework ❗ - Reshebniks (GDZ) 1 - 11 Grade to the content of Search for: 1 Classic language of themate -math -swing of myrrus reading2 Classic language -formatamathematamathematamathematimatamatamathematimatamatamatamatamatamatamatematematem"&amp;"atematematematematematematematematematematematematematematematematomatomalitural readable language of the Miranglian linguistic linguistic reader. KA4 CLASSIC LANGUAGEMATICARATICARA -FORMATICARY LANGUAGE OF THE CREAMING MIRMAMUSIC5 CLASMARAMARAROMARARY LA"&amp;"NGURAROURARYSHICAL LUNDERISTICTISTORITISTORITIABIOLOGIOLOGIOLOGISEN FORMATICARY CLASSIC SUNGSISTICAL MARNGLISHMATICARICARY PUSCOMATICARY LANGURAROUROOODIROOOLOGIOLOGIRAROURARY Language 7 Class -Russian Language Linguistic Landing Physicalgi -formatibiolog"&amp;"y, geometry of the Imariystory8 Classic language -hagliygliymmetrochemical nesting, neniya GDZ Red -ready homework 1 Classic language of the language of the world -circulating myrrus -shock -circuent reading of the Classic language -formatamathemathemathe"&amp;"mathematimathemathemathematimathemathemathematimathematimathemathematimathematimathemathematical language linguistic readership 3 Classic linguistic linguistic -formal formatical readematomatama -enlarged language -formatomathematical re -subjects of the "&amp;"city of peace KA5 classmate -Russian language of the English language of the English linguistics of the monstoriystoriystori -formatic -formatics language of the class of class of the Class -Mathematics of the Language of the Language -formatiystoriystori"&amp;"ystoriyegioliolitheuman language of the 7th grade Russian Language Languages ​​of the Languages ​​8 Clames PACHACHLIISHIC LAVGEGHEGHIMIMICHIMENBISHISHISHISHOGOSHISHIography Informatiology Technology 9 CLASSICALISHIC LANGUAGICAICAROGOBROBOGHMIMICHIMICISHIC"&amp;"ARY LISTIOGIOLOGIOLOGYAROGISHISHISHISHISHISHISHISHOGISHICS10 CLASSIC CLASS CLAMS CLAMS CLAMS CLAMS CLAS CLASS CLAS CLASS Mirgeeography Informatics Chhydriystoriystoriystoriystoriytihiology Obzhemuzheymmetriyemetskiye technology, our GDZ will be useful to "&amp;"you? The site with ready -made home tasks is options that are designed competently and in full compliance with the required standards of the educational system of the Russian Federation . Everyone can find a lot of positive aspects in the already prepared"&amp;" GDZ answers: various solutions to the tasks (in case of their presence); a visual demonstration of tools-schedules of illustrations that allow more in detail to understand the meaning of the solution that is presented; detailed comments due to the studen"&amp;"t understands The essence of the logic and algorithm of the correct solutions and answers; a large selection of GDZ Reshebniks in almost all school subjects, including the Russian language, mathematics of the geometry of chemistry of the English language "&amp;"of history, etc. The resource base of gdz.red regularly updates and contains relevant data. What is the resource useful? Disputes about the benefits of the resource of ready-made homework and GDZ answers began to subside, since even skeptical experts were"&amp;" assessed the usefulness of solver and convenience. The process requires a minimum of time to search for the right solution, but at the same time the student manages to train his mind skills and to adults to remember the school curriculum. Moreover, every"&amp;"one has their own principles and methods of using these sources. What is the GDZ Reshebnik online for? First of all, ready -made homework online are designed to relieve exorbitant loads in the modern system of school education and form self -control of th"&amp;"eir own approaches to solutions to complex problems. The current educational system raises a lot of questions - both schoolchildren and teachers and parents of students complain about excessive loads. Developed by experienced specialists in the field of p"&amp;"edagogy and all types of disciplines, the GDZ complex in disciplines makes it possible to simplify the process of preparing for the lessons. This is a great way to arm yourself in skills in such objects as: physics; chemistry; geography; biology; geometry"&amp;"; algebra; Russian language and literature; foreign languages ​​and literature (to choose from); computer science, etc. Advantages of GDZV than the benefits of ready -made homework for students ? There are many answers to this question, among which the fo"&amp;"llowing points are most relevant: the effectiveness of the online Reshebniks is proved by the fact that not only school students but adults use it. Thus, parents can, with the help of GDZ-answers, gain or make up for their knowledge and help their beloved"&amp;" child perform qualitatively homework; the child develops self-testing skills The ability to work independently and effectively; students who have missed for certain reasons or located on a remote (home/family) system) training is given the opportunity to"&amp;" understand the ways of solving complex problems; the motivational component - Reshebniks allow you to systematize independent homework: to control the plan and determine the quality of students' knowledge to balance the intensity of the lessons, which ma"&amp;"kes it possible to get a good rest and excellent results. GDZs are a universal tool that can be used as a method of self -training And as finding skills. Using the Reshebnik, you can deal with the child at any time easily and at ease, mastering the new ma"&amp;"terial in various subjects. Also, the use of ready -made solved homework allows you to additionally train skills in any discipline and increase the ball estimate. It is important to note that the GDZ online was created as an auxiliary material for student"&amp;"s, regardless of the stage of teaching persons on the training of a middle level for those who decided to get a little ahead of time and test their abilities on tasks of a more complex nature in preparation for passing the USE or OGE. How to use the Reshe"&amp;"bnik? The GDZ Reshebnik is designed to study students with a missed or incomprehensible paragraph. Thus, a child can once and in more detail with the help of solving the problem to master the material completed and subsequently independently form a large "&amp;"part of the answers. The best way to use the GDZ for children is to use the Reshebnik parents as a test at home knowledge of the knowledge gained at school. Thanks to the material provided, adults can easily update their knowledge and plunge into the topi"&amp;"c and also focus on the most important objects and educate children with a conscious attitude to online GDZ only to complete complex tasks in order to understand the subject in more detail The solutions and answers of the State Duma on our website were te"&amp;"sted from leading teachers and do not contain typos and errors. A competent and professional approach to preparing ready -made answers to questions guarantees for students and parents an excellent result of mastering subjects. The company’s team regularly"&amp;" monitors the process of changes in education and disciplines in particular and updates them in the order of current time. Fail with friends of the confidentiality communication policy on the preparations for the preparations for the USED for the United S"&amp;"tates © 2023 GDZ Red")</f>
        <v>GDZ Raditable homework ❗ - Reshebniks (GDZ) 1 - 11 Grade to the content of Search for: 1 Classic language of themate -math -swing of myrrus reading2 Classic language -formatamathematamathematamathematimatamatamathematimatamatamatamatamatamatamatematematematematematematematematematematematematematematematematematematematomatomalitural readable language of the Miranglian linguistic linguistic reader. KA4 CLASSIC LANGUAGEMATICARATICARA -FORMATICARY LANGUAGE OF THE CREAMING MIRMAMUSIC5 CLASMARAMARAROMARARY LANGURAROURARYSHICAL LUNDERISTICTISTORITISTORITIABIOLOGIOLOGIOLOGISEN FORMATICARY CLASSIC SUNGSISTICAL MARNGLISHMATICARICARY PUSCOMATICARY LANGURAROUROOODIROOOLOGIOLOGIRAROURARY Language 7 Class -Russian Language Linguistic Landing Physicalgi -formatibiology, geometry of the Imariystory8 Classic language -hagliygliymmetrochemical nesting, neniya GDZ Red -ready homework 1 Classic language of the language of the world -circulating myrrus -shock -circuent reading of the Classic language -formatamathemathemathemathematimathemathemathematimathemathemathematimathematimathemathematimathematimathemathematical language linguistic readership 3 Classic linguistic linguistic -formal formatical readematomatama -enlarged language -formatomathematical re -subjects of the city of peace KA5 classmate -Russian language of the English language of the English linguistics of the monstoriystoriystori -formatic -formatics language of the class of class of the Class -Mathematics of the Language of the Language -formatiystoriystoriystoriyegioliolitheuman language of the 7th grade Russian Language Languages ​​of the Languages ​​8 Clames PACHACHLIISHIC LAVGEGHEGHIMIMICHIMENBISHISHISHISHOGOSHISHIography Informatiology Technology 9 CLASSICALISHIC LANGUAGICAICAROGOBROBOGHMIMICHIMICISHICARY LISTIOGIOLOGIOLOGYAROGISHISHISHISHISHISHISHISHOGISHICS10 CLASSIC CLASS CLAMS CLAMS CLAMS CLAMS CLAS CLASS CLAS CLASS Mirgeeography Informatics Chhydriystoriystoriystoriystoriytihiology Obzhemuzheymmetriyemetskiye technology, our GDZ will be useful to you? The site with ready -made home tasks is options that are designed competently and in full compliance with the required standards of the educational system of the Russian Federation . Everyone can find a lot of positive aspects in the already prepared GDZ answers: various solutions to the tasks (in case of their presence); a visual demonstration of tools-schedules of illustrations that allow more in detail to understand the meaning of the solution that is presented; detailed comments due to the student understands The essence of the logic and algorithm of the correct solutions and answers; a large selection of GDZ Reshebniks in almost all school subjects, including the Russian language, mathematics of the geometry of chemistry of the English language of history, etc. The resource base of gdz.red regularly updates and contains relevant data. What is the resource useful? Disputes about the benefits of the resource of ready-made homework and GDZ answers began to subside, since even skeptical experts were assessed the usefulness of solver and convenience. The process requires a minimum of time to search for the right solution, but at the same time the student manages to train his mind skills and to adults to remember the school curriculum. Moreover, everyone has their own principles and methods of using these sources. What is the GDZ Reshebnik online for? First of all, ready -made homework online are designed to relieve exorbitant loads in the modern system of school education and form self -control of their own approaches to solutions to complex problems. The current educational system raises a lot of questions - both schoolchildren and teachers and parents of students complain about excessive loads. Developed by experienced specialists in the field of pedagogy and all types of disciplines, the GDZ complex in disciplines makes it possible to simplify the process of preparing for the lessons. This is a great way to arm yourself in skills in such objects as: physics; chemistry; geography; biology; geometry; algebra; Russian language and literature; foreign languages ​​and literature (to choose from); computer science, etc. Advantages of GDZV than the benefits of ready -made homework for students ? There are many answers to this question, among which the following points are most relevant: the effectiveness of the online Reshebniks is proved by the fact that not only school students but adults use it. Thus, parents can, with the help of GDZ-answers, gain or make up for their knowledge and help their beloved child perform qualitatively homework; the child develops self-testing skills The ability to work independently and effectively; students who have missed for certain reasons or located on a remote (home/family) system) training is given the opportunity to understand the ways of solving complex problems; the motivational component - Reshebniks allow you to systematize independent homework: to control the plan and determine the quality of students' knowledge to balance the intensity of the lessons, which makes it possible to get a good rest and excellent results. GDZs are a universal tool that can be used as a method of self -training And as finding skills. Using the Reshebnik, you can deal with the child at any time easily and at ease, mastering the new material in various subjects. Also, the use of ready -made solved homework allows you to additionally train skills in any discipline and increase the ball estimate. It is important to note that the GDZ online was created as an auxiliary material for students, regardless of the stage of teaching persons on the training of a middle level for those who decided to get a little ahead of time and test their abilities on tasks of a more complex nature in preparation for passing the USE or OGE. How to use the Reshebnik? The GDZ Reshebnik is designed to study students with a missed or incomprehensible paragraph. Thus, a child can once and in more detail with the help of solving the problem to master the material completed and subsequently independently form a large part of the answers. The best way to use the GDZ for children is to use the Reshebnik parents as a test at home knowledge of the knowledge gained at school. Thanks to the material provided, adults can easily update their knowledge and plunge into the topic and also focus on the most important objects and educate children with a conscious attitude to online GDZ only to complete complex tasks in order to understand the subject in more detail The solutions and answers of the State Duma on our website were tested from leading teachers and do not contain typos and errors. A competent and professional approach to preparing ready -made answers to questions guarantees for students and parents an excellent result of mastering subjects. The company’s team regularly monitors the process of changes in education and disciplines in particular and updates them in the order of current time. Fail with friends of the confidentiality communication policy on the preparations for the preparations for the USED for the United States © 2023 GDZ Red</v>
      </c>
    </row>
    <row r="271">
      <c r="A271" s="1" t="s">
        <v>779</v>
      </c>
      <c r="B271" s="1" t="s">
        <v>860</v>
      </c>
      <c r="C271" s="1" t="s">
        <v>861</v>
      </c>
      <c r="D271" s="1">
        <v>10.0</v>
      </c>
      <c r="E271" s="4" t="s">
        <v>862</v>
      </c>
      <c r="F271" s="1" t="s">
        <v>43</v>
      </c>
      <c r="G271" s="1" t="s">
        <v>863</v>
      </c>
      <c r="H271" s="1" t="s">
        <v>864</v>
      </c>
      <c r="I271" s="2">
        <v>2.0</v>
      </c>
      <c r="J271" s="5" t="str">
        <f>IFERROR(__xludf.DUMMYFUNCTION("GOOGLETRANSLATE(A271)"),"Gdz")</f>
        <v>Gdz</v>
      </c>
      <c r="K271" s="6" t="str">
        <f>IFERROR(__xludf.DUMMYFUNCTION("GOOGLETRANSLATE(B271)"),"Resheb - Reshebniks and Belarusian GDZ 2023")</f>
        <v>Resheb - Reshebniks and Belarusian GDZ 2023</v>
      </c>
      <c r="L271" s="5" t="str">
        <f>IFERROR(__xludf.DUMMYFUNCTION("GOOGLETRANSLATE(C271)"),"On the Resheb website, you will find residents of school textbooks for all classes. High -quality GDZ in all subjects is completely free!")</f>
        <v>On the Resheb website, you will find residents of school textbooks for all classes. High -quality GDZ in all subjects is completely free!</v>
      </c>
      <c r="M271" s="5" t="str">
        <f>IFERROR(__xludf.DUMMYFUNCTION("GOOGLETRANSLATE(G271)"),"Resesiba - Reshebnikii and Belarusian glasses 2023 1st grade mathematussky language 3th grade mathematusian language language language language language language language language language language language and the world 6th grade math mathematorarus lang"&amp;"uage Belarusian English Language English language language 8th grade algebredsomometriyarusian language language language language writing 9th grade algebredsometriyasonographyographyography: grade algebrelussian language language language language 11th g"&amp;"rade algebraussian lazykhangeliy languagebelorussian spring ыкфизикахишеба. Reshebniki and Gdz 2023mattematics2-6 Class23456algebra7-11 Class7891011Geometrie7-11 Class7891011 Belgium2-11 Class23-11 Class34567891011 199345678910111011x Imi 7-11 Class789101"&amp;"10110110110110110110115 Class5789istory5 Class5Neography and Mir3-5 Class35Geography Language6 Class5674567891011PopulareMatics 5 Classgerasimov V. D. Pyutko O. N.2017 Gatatematika 6 Grasserasimov V. D. Pyutko O. Нер грусский 6 Classmurina L. A Ignatovich"&amp;" T. V.2020 GRUSE 7 CLASSVILYS T. N. Litvinko F. M.2020 Gbelous language 6 classwalcut g. M. Zelyanko V. U.2020 draw sermes gd f benefits for you? Scientist teachers reap the grief of Belarusian School. With our school resolves of the school can be ranged "&amp;"by a range topic. Hod Solvents helps learned logical action information in the use of information from the management of refunting information from the manner of what he can start with the material. It is also important to be faithful to be fugitive to it"&amp;" shind children No Mogut Tselikom and the full rooms. admin@resheba.top We in VKontakte Copyright NoticeContacts © Chronic 2023")</f>
        <v>Resesiba - Reshebnikii and Belarusian glasses 2023 1st grade mathematussky language 3th grade mathematusian language language language language language language language language language language language and the world 6th grade math mathematorarus language Belarusian English Language English language language 8th grade algebredsomometriyarusian language language language language writing 9th grade algebredsometriyasonographyographyography: grade algebrelussian language language language language 11th grade algebraussian lazykhangeliy languagebelorussian spring ыкфизикахишеба. Reshebniki and Gdz 2023mattematics2-6 Class23456algebra7-11 Class7891011Geometrie7-11 Class7891011 Belgium2-11 Class23-11 Class34567891011 199345678910111011x Imi 7-11 Class78910110110110110110110110115 Class5789istory5 Class5Neography and Mir3-5 Class35Geography Language6 Class5674567891011PopulareMatics 5 Classgerasimov V. D. Pyutko O. N.2017 Gatatematika 6 Grasserasimov V. D. Pyutko O. Нер грусский 6 Classmurina L. A Ignatovich T. V.2020 GRUSE 7 CLASSVILYS T. N. Litvinko F. M.2020 Gbelous language 6 classwalcut g. M. Zelyanko V. U.2020 draw sermes gd f benefits for you? Scientist teachers reap the grief of Belarusian School. With our school resolves of the school can be ranged by a range topic. Hod Solvents helps learned logical action information in the use of information from the management of refunting information from the manner of what he can start with the material. It is also important to be faithful to be fugitive to it shind children No Mogut Tselikom and the full rooms. admin@resheba.top We in VKontakte Copyright NoticeContacts © Chronic 2023</v>
      </c>
    </row>
    <row r="272">
      <c r="A272" s="1" t="s">
        <v>779</v>
      </c>
      <c r="B272" s="1" t="s">
        <v>865</v>
      </c>
      <c r="C272" s="1" t="s">
        <v>866</v>
      </c>
      <c r="D272" s="1">
        <v>11.0</v>
      </c>
      <c r="E272" s="4" t="s">
        <v>867</v>
      </c>
      <c r="F272" s="1" t="s">
        <v>43</v>
      </c>
      <c r="I272" s="2">
        <v>2.0</v>
      </c>
      <c r="J272" s="5" t="str">
        <f>IFERROR(__xludf.DUMMYFUNCTION("GOOGLETRANSLATE(A272)"),"Gdz")</f>
        <v>Gdz</v>
      </c>
      <c r="K272" s="6" t="str">
        <f>IFERROR(__xludf.DUMMYFUNCTION("GOOGLETRANSLATE(B272)"),"Ready -made homework (GDZ) answers to workers ...")</f>
        <v>Ready -made homework (GDZ) answers to workers ...</v>
      </c>
      <c r="L272" s="5" t="str">
        <f>IFERROR(__xludf.DUMMYFUNCTION("GOOGLETRANSLATE(C272)"),"Ready-made homework for grades 1-11. Today, GDZ is available to everyone in various school subjects for grade 1 - 11, from algebra and ending ...")</f>
        <v>Ready-made homework for grades 1-11. Today, GDZ is available to everyone in various school subjects for grade 1 - 11, from algebra and ending ...</v>
      </c>
      <c r="M272" s="5" t="str">
        <f>IFERROR(__xludf.DUMMYFUNCTION("GOOGLETRANSLATE(G272)"),"#VALUE!")</f>
        <v>#VALUE!</v>
      </c>
    </row>
    <row r="273">
      <c r="A273" s="1" t="s">
        <v>779</v>
      </c>
      <c r="B273" s="1" t="s">
        <v>868</v>
      </c>
      <c r="C273" s="1" t="s">
        <v>869</v>
      </c>
      <c r="D273" s="1">
        <v>13.0</v>
      </c>
      <c r="E273" s="4" t="s">
        <v>870</v>
      </c>
      <c r="F273" s="1" t="s">
        <v>43</v>
      </c>
      <c r="G273" s="1" t="s">
        <v>120</v>
      </c>
      <c r="H273" s="4" t="s">
        <v>121</v>
      </c>
      <c r="I273" s="2">
        <v>0.0</v>
      </c>
      <c r="J273" s="5" t="str">
        <f>IFERROR(__xludf.DUMMYFUNCTION("GOOGLETRANSLATE(A273)"),"Gdz")</f>
        <v>Gdz</v>
      </c>
      <c r="K273" s="6" t="str">
        <f>IFERROR(__xludf.DUMMYFUNCTION("GOOGLETRANSLATE(B273)"),"GDZ: Homework Reshebnik")</f>
        <v>GDZ: Homework Reshebnik</v>
      </c>
      <c r="L273" s="5" t="str">
        <f>IFERROR(__xludf.DUMMYFUNCTION("GOOGLETRANSLATE(C273)"),"15 Mar. 2023. -")</f>
        <v>15 Mar. 2023. -</v>
      </c>
      <c r="M273" s="5" t="str">
        <f>IFERROR(__xludf.DUMMYFUNCTION("GOOGLETRANSLATE(G273)"),"Android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74">
      <c r="A274" s="1" t="s">
        <v>779</v>
      </c>
      <c r="B274" s="1" t="s">
        <v>871</v>
      </c>
      <c r="C274" s="1" t="s">
        <v>872</v>
      </c>
      <c r="D274" s="1">
        <v>14.0</v>
      </c>
      <c r="E274" s="4" t="s">
        <v>873</v>
      </c>
      <c r="F274" s="1" t="s">
        <v>43</v>
      </c>
      <c r="G274" s="1" t="s">
        <v>874</v>
      </c>
      <c r="H274" s="4" t="s">
        <v>875</v>
      </c>
      <c r="I274" s="2">
        <v>1.0</v>
      </c>
      <c r="J274" s="5" t="str">
        <f>IFERROR(__xludf.DUMMYFUNCTION("GOOGLETRANSLATE(A274)"),"Gdz")</f>
        <v>Gdz</v>
      </c>
      <c r="K274" s="6" t="str">
        <f>IFERROR(__xludf.DUMMYFUNCTION("GOOGLETRANSLATE(B274)"),"SHIP: GDZ, Resebors and Tutorials Online")</f>
        <v>SHIP: GDZ, Resebors and Tutorials Online</v>
      </c>
      <c r="L274" s="5" t="str">
        <f>IFERROR(__xludf.DUMMYFUNCTION("GOOGLETRANSLATE(C274)"),"On our portal you can find GDZ for any class. Only high -quality textbooks and dies. All ready homework is available on your ...")</f>
        <v>On our portal you can find GDZ for any class. Only high -quality textbooks and dies. All ready homework is available on your ...</v>
      </c>
      <c r="M274" s="5" t="str">
        <f>IFERROR(__xludf.DUMMYFUNCTION("GOOGLETRANSLATE(G274)"),"GDZ Reserves and online textbooks Lawn Ukrainian textbooks (GDZ) online Ukrainian textbooks (GDZ) online select your class: 1 class2 class3 class44 Grades - just click on the desired class and select your item. There are solutions to all school subjects: "&amp;"mathematics algebra geometry Ukrainian English and others. Solving any tasks-without mistakes! On our school portal you will find ready -made homework that are compiled and tested by qualified specialists. These exercises are made with a minimum number of"&amp;" descriptions and printing inconsistencies. Each task will be done on ""excellent""! All ready homework in your smartphone! We suggest you use the mobile version of the site and get fast access to ready homework. Solve the difficulties with online trainin"&amp;"g! Download on your mobile almost instantly! If your device works on Android platform you have the opportunity to download our app. Current accessories in the portal are constantly updating and adding new GDZs following changes in the modern school curric"&amp;"ulum. If you are looking for new solutions from 2021 to 2023 you can easily find them on our site ""at school"". We are in your vash phone phone - your assistant who will help you find the answer to the task or download a textbook from the school program "&amp;"without any restrictions. Vshkole.com is a portal on which you can find textbooks and releases (GDZ) in all subjects of the school program for different classes. The site is adapted to your smartphone. The portal team has made a lot of efforts to have pro"&amp;"blems finding the right information. Use with pleasure !!! contact us")</f>
        <v>GDZ Reserves and online textbooks Lawn Ukrainian textbooks (GDZ) online Ukrainian textbooks (GDZ) online select your class: 1 class2 class3 class44 Grades - just click on the desired class and select your item. There are solutions to all school subjects: mathematics algebra geometry Ukrainian English and others. Solving any tasks-without mistakes! On our school portal you will find ready -made homework that are compiled and tested by qualified specialists. These exercises are made with a minimum number of descriptions and printing inconsistencies. Each task will be done on "excellent"! All ready homework in your smartphone! We suggest you use the mobile version of the site and get fast access to ready homework. Solve the difficulties with online training! Download on your mobile almost instantly! If your device works on Android platform you have the opportunity to download our app. Current accessories in the portal are constantly updating and adding new GDZs following changes in the modern school curriculum. If you are looking for new solutions from 2021 to 2023 you can easily find them on our site "at school". We are in your vash phone phone - your assistant who will help you find the answer to the task or download a textbook from the school program without any restrictions. Vshkole.com is a portal on which you can find textbooks and releases (GDZ) in all subjects of the school program for different classes. The site is adapted to your smartphone. The portal team has made a lot of efforts to have problems finding the right information. Use with pleasure !!! contact us</v>
      </c>
    </row>
    <row r="275">
      <c r="A275" s="1" t="s">
        <v>779</v>
      </c>
      <c r="B275" s="1" t="s">
        <v>876</v>
      </c>
      <c r="D275" s="1">
        <v>17.0</v>
      </c>
      <c r="E275" s="4" t="s">
        <v>877</v>
      </c>
      <c r="F275" s="1" t="s">
        <v>43</v>
      </c>
      <c r="G275" s="1" t="s">
        <v>97</v>
      </c>
      <c r="H275" s="4" t="s">
        <v>98</v>
      </c>
      <c r="I275" s="2">
        <v>2.0</v>
      </c>
      <c r="J275" s="5" t="str">
        <f>IFERROR(__xludf.DUMMYFUNCTION("GOOGLETRANSLATE(A275)"),"Gdz")</f>
        <v>Gdz</v>
      </c>
      <c r="K275" s="6" t="str">
        <f>IFERROR(__xludf.DUMMYFUNCTION("GOOGLETRANSLATE(B275)"),"GDZ: My Reshebnik - App Store")</f>
        <v>GDZ: My Reshebnik - App Store</v>
      </c>
      <c r="L275" s="5" t="str">
        <f>IFERROR(__xludf.DUMMYFUNCTION("GOOGLETRANSLATE(C275)"),"#VALUE!")</f>
        <v>#VALUE!</v>
      </c>
      <c r="M275" s="5" t="str">
        <f>IFERROR(__xludf.DUMMYFUNCTION("GOOGLETRANSLATE(G275)"),"App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76">
      <c r="A276" s="1" t="s">
        <v>779</v>
      </c>
      <c r="B276" s="1" t="s">
        <v>878</v>
      </c>
      <c r="C276" s="1" t="s">
        <v>879</v>
      </c>
      <c r="D276" s="1">
        <v>20.0</v>
      </c>
      <c r="E276" s="4" t="s">
        <v>880</v>
      </c>
      <c r="F276" s="1" t="s">
        <v>43</v>
      </c>
      <c r="G276" s="1" t="s">
        <v>881</v>
      </c>
      <c r="H276" s="4" t="s">
        <v>882</v>
      </c>
      <c r="I276" s="2">
        <v>3.0</v>
      </c>
      <c r="J276" s="5" t="str">
        <f>IFERROR(__xludf.DUMMYFUNCTION("GOOGLETRANSLATE(A276)"),"Gdz")</f>
        <v>Gdz</v>
      </c>
      <c r="K276" s="6" t="str">
        <f>IFERROR(__xludf.DUMMYFUNCTION("GOOGLETRANSLATE(B276)"),"GDZ")</f>
        <v>GDZ</v>
      </c>
      <c r="L276" s="5" t="str">
        <f>IFERROR(__xludf.DUMMYFUNCTION("GOOGLETRANSLATE(C276)"),"The Göttingen Digitization Center (GDZ) records printing works, manuscripts and images electronically and provides them for research, teaching and studying ...")</f>
        <v>The Göttingen Digitization Center (GDZ) records printing works, manuscripts and images electronically and provides them for research, teaching and studying ...</v>
      </c>
      <c r="M276" s="5" t="str">
        <f>IFERROR(__xludf.DUMMYFUNCTION("GOOGLETRANSLATE(G276)"),"Gdzgöttinger Digitization Center GDD A service of the Sub Göttingen Search Search for Search Search Text Metadata and Full Type -Existed Search Closing Proceedings and Handwritten Göttingen Digitization Center (GDZ) Collect printing works and images elect"&amp;"ronically and provides them for research. Italized Pages and find out about the services offered by us. Mlsibiricavariavd17 mainstreamVd17 Novavavd18 Digital science history zoologicahilfe On the search contact details protection feedback feeding feeders "&amp;"feedmastodon yeast scannedzvdd - Central directory of digitized printing is not yet in our digital stock? Then try it in our ZVDD portal The more than 1,600,000 nationwide digitized works. Apply the sponsorship for the digitization of your desired book. V"&amp;"ia controlled user access, students and scientists can access the core magazines of German research. Access is carried out via libraries and scientific institutions that have subscribed to the DIGI police. The offer currently includes over 135 magazines f"&amp;"rom 18 specialist areas! Gutenberg Digital Visits The Faksimile of the Göttinger Gutenberg Bible.Keyboard_arrow_upZeit")</f>
        <v>Gdzgöttinger Digitization Center GDD A service of the Sub Göttingen Search Search for Search Search Text Metadata and Full Type -Existed Search Closing Proceedings and Handwritten Göttingen Digitization Center (GDZ) Collect printing works and images electronically and provides them for research. Italized Pages and find out about the services offered by us. Mlsibiricavariavd17 mainstreamVd17 Novavavd18 Digital science history zoologicahilfe On the search contact details protection feedback feeding feeders feedmastodon yeast scannedzvdd - Central directory of digitized printing is not yet in our digital stock? Then try it in our ZVDD portal The more than 1,600,000 nationwide digitized works. Apply the sponsorship for the digitization of your desired book. Via controlled user access, students and scientists can access the core magazines of German research. Access is carried out via libraries and scientific institutions that have subscribed to the DIGI police. The offer currently includes over 135 magazines from 18 specialist areas! Gutenberg Digital Visits The Faksimile of the Göttinger Gutenberg Bible.Keyboard_arrow_upZeit</v>
      </c>
    </row>
    <row r="277">
      <c r="A277" s="1" t="s">
        <v>883</v>
      </c>
      <c r="B277" s="1" t="s">
        <v>884</v>
      </c>
      <c r="D277" s="1">
        <v>1.0</v>
      </c>
      <c r="E277" s="4" t="s">
        <v>885</v>
      </c>
      <c r="F277" s="1" t="s">
        <v>16</v>
      </c>
      <c r="I277" s="2">
        <v>1.0</v>
      </c>
      <c r="J277" s="5" t="str">
        <f>IFERROR(__xludf.DUMMYFUNCTION("GOOGLETRANSLATE(A277)"),"Gypsophyla")</f>
        <v>Gypsophyla</v>
      </c>
      <c r="K277" s="6" t="str">
        <f>IFERROR(__xludf.DUMMYFUNCTION("GOOGLETRANSLATE(B277)"),"Gypsophyla: photo and description, flower value and what ...")</f>
        <v>Gypsophyla: photo and description, flower value and what ...</v>
      </c>
      <c r="L277" s="5" t="str">
        <f>IFERROR(__xludf.DUMMYFUNCTION("GOOGLETRANSLATE(C277)"),"#VALUE!")</f>
        <v>#VALUE!</v>
      </c>
      <c r="M277" s="5" t="str">
        <f>IFERROR(__xludf.DUMMYFUNCTION("GOOGLETRANSLATE(G277)"),"#VALUE!")</f>
        <v>#VALUE!</v>
      </c>
    </row>
    <row r="278">
      <c r="A278" s="1" t="s">
        <v>883</v>
      </c>
      <c r="B278" s="1" t="s">
        <v>886</v>
      </c>
      <c r="D278" s="1">
        <v>2.0</v>
      </c>
      <c r="E278" s="4" t="s">
        <v>887</v>
      </c>
      <c r="F278" s="1" t="s">
        <v>16</v>
      </c>
      <c r="G278" s="1" t="s">
        <v>888</v>
      </c>
      <c r="H278" s="4" t="s">
        <v>889</v>
      </c>
      <c r="I278" s="2">
        <v>1.0</v>
      </c>
      <c r="J278" s="5" t="str">
        <f>IFERROR(__xludf.DUMMYFUNCTION("GOOGLETRANSLATE(A278)"),"Gypsophyla")</f>
        <v>Gypsophyla</v>
      </c>
      <c r="K278" s="6" t="str">
        <f>IFERROR(__xludf.DUMMYFUNCTION("GOOGLETRANSLATE(B278)"),"Gypsophyla: Flower Description | Encyclopedia of flowers")</f>
        <v>Gypsophyla: Flower Description | Encyclopedia of flowers</v>
      </c>
      <c r="L278" s="5" t="str">
        <f>IFERROR(__xludf.DUMMYFUNCTION("GOOGLETRANSLATE(C278)"),"#VALUE!")</f>
        <v>#VALUE!</v>
      </c>
      <c r="M278" s="5" t="str">
        <f>IFERROR(__xludf.DUMMYFUNCTION("GOOGLETRANSLATE(G278)"),"Flower delivery in St. Petersburg (24/7) - a courier at a house with flowers inexpensive - flowering fresh flowers! Supply12.11.2023 05: 00o coloromaniado -payment and delivered corporate clients wholesale florasty -contact recovery of a review of the com"&amp;"pany to recover/registration and more colors - more colors! Addresses of storesancanketersburg8 (800) 550-10-72 around the clock 00r. About flower addiction Payment and delivery to corporate clients, flowers in bulk, wedding floristry Contacts Review-Pete"&amp;"rsburghlvod/Registration 0 0 Saint Petersburgspunitications forxpress Supply with Alstromeria with Gulls with Herbiers with Herbes with Orchids with Roses with Rosems with Tyulpans with Chrysant Emams with sunflower with Daesophils with gypsophymes like t"&amp;"oy Kraft Monobukets Field dry flowers VIP bouquets Modern floristry large bouquets inexpensive flowers on colors pink bouquets Orange bouquets Red Bouquets Green Bouquets White Bouquets White Bouquets at a price of 1000-2500 r. 2500-3500 p. 3500-5000 p. F"&amp;"rom 5000 p. With free delivery, popular bouquet of chrysanthemums “Alicia” bouquet of 5 fragrant lilies bouquet of 5 hydrangeas mix roses (quantity) 101 rose 51 rose 25 roses 35 roses in color white roses yellow roses red roses cream roses pink roses Colo"&amp;"r roses along the variety bush roses pionivate roses of roses White o'hara in size of roses 40 cm rose 50 cm rose 70 cm Flowers of alstromeria amarillis MIX Herberia gypsophiles Gladioli Gornias Hoodysses of orchids of Tulpa Freesye Eusta Eusta Popular al"&amp;"stemeils of Amarilis Amariye Amariy KS Gerbera Hydrangea MIX Lilia Euro Sunflower Chrysanthemum Extra Extra Khrisanthemum Buynoye Chrysanthemum Bush yellow chrysanthemum bush chrysanthemum bush chrysanthemum santini Mix all flowers of a piece of rose box "&amp;"in a box of pionois in a basket of basket with roses hats flowers in a cup of mother 26 November Autumn Birthday men's bouquets Wedding New Year February on February 14 March Easter last call and graduation day of love and fidelity on September 1 teacher "&amp;"Corporate Bouquets Gifts Soft toys Candy Balls Candles Topperes Gift/Registration Cook your bouquet -nibtespresses on the composition of albums Gerbieramis Gerberamis Gorniisias Irisamis Liliamis Orchidamis Rosamisamims Mashkamis Tulipamis Chrysanthemamy "&amp;"Sunolnuhamis Gypsophylamine Typuis Typoleskontmone -Buypesuccuscouses of Buchaye Flourist flowering flowerpot bougins. Drumstones of bouquet bouquenced bouquet bouquet bouquet bouquet bouquet price1000-2500 p.2500-3500 p.3500-5000 p. 5000 r. chrysanthemum"&amp;" “Alicia” bouquet of 5 fragrant liliibuk from 5 gendenzies of the rose mixer (quantity) 101 rose51 rose25 rose15 rose35 rosepo flowering draws of pipe drawing draws of rhyme pale In dimensorosis 40 shreds 50 shreds 60 shreds 70 cm flowers Without category"&amp;" of alstepromariyamarillis mixed -hagigierberitsypsophilosophilosolisyliliaylillylillylillylililiahidehideulpanhitulpanihrizanthememicularizantemapopular alustromarillis mixergortenzia, myxlilia eurosliahrizanthematema Belaya Belahyaminantem Kustovaya Kus"&amp;"tovaya Kustov Zheltamyrizanthema Buyseen Mikshrizanthematem Kustovaya Christ's pink chicesantem Santini Mixws flowers Ploti compositions flowers in boxes in boxes to boxcoreses from flowering stones from rosamimylap boxes in the cup Harvesting Mother's Da"&amp;"y on November 26 November 1914 on February 19 March 19 on February 19 on February 19 March Easter bell and graduation of the Family of Love and fidelity1 September -worker teachers of corporate bouquets Gifts Soft toys of fireflowers of firewall sharysvec"&amp;"hitop -dopes sets Address of Stageomania store Payment and delivery to corporate customers. Wedding floristry Contacts Contacts Send Readingbooks: 0 P. Bonuses: 100 buy in 1 clickbook Of the 9 pink Eusta3 710 rubles 3329 rub: 99 buy in 1 clickbook pink fl"&amp;"amingo from bush roses6 820 rub. 4129 rubles: 123 buy in 1 clicucbuket “15 alstrient” 4 340 rub. 3659 rub: 109 Buy 1 clicobes on the Day - 1 rose bush Juliet - 1 Kraspedia - 1 panic - 1 group Greens Salal - 1 chrysanthemum Santini - 4 pistach - 1 package "&amp;"tape. Magic bouquet (s) 2 965 rub. 2345 rub. Bonuses: 70 buy in 1 clicks of the bouquet: 9 east mix packaging tape bouquet of 9 east mix3 710 rub. 3329 rub. Bonuses: 99 Buy to buy in 1 clicks of the bouquet: Kenyan rose mix 35 packaging tape Bouquet “35 K"&amp;"enya Mix” 3 630 rub. 3359 rub. Bonuses: 100 buy a bouquet in 1 clicks: rose bush juliet 1 vibournum compactum 1 Nerina Bowdeni Sophie 1 of Seruria 1 Alstomeria 2 Herbera-Mini 3 Chrysanthemum Santini 3 Packaging Buy Bouquet Bucket 4 800 rub. 3535 rub. Bonu"&amp;"ses: 106 buy in 1 clickwall Barbatus - 1 herbera - 3 rose bush juliet 60 -2 viburnum 5 - 1 group Greens Salal - 2 chrysanthemums of Santini - 2 pistach - 1 package tape. Bouquet ""Summer disappearance"" 4 555 rub. 3655 rub. Bonuses: 109 buy in 1 clicks of"&amp;" the bouquet: a bush chrysanthemum 15 package tape bouquet of 15 white bush chrysanthemums4 075 rubles 3825 rub. Bonuses: 114 Buy to buy in 1 clicks of the bouquet: 25 tulips mix packaging tape bouquet of 25 tulips MIX4 370 rub. 3989 rub. Bonuses: 119 buy"&amp;" in 1 clicks of the bouquet: Rosa Ecuador 40-50cm 15 Packaging tape Bouquet of 15 red roses 40-50 cm (Ecuador) 4 735 rub. 4545 rub. Bonuses: 136 buy in 1 click examination of the bouquet all-and-size: Rosa Ecuador 40-50cm 15 Packaging tape Bouquet of 15 r"&amp;"ed roses 40-50 cm (Ecuador) 4 735 rub. 4545 rub. Bonuses: 136 Buy to buy in 1 clicks of the bouquet: Kenyan rose mix 35 packaging tape Bouquet ""35 Kenya Mix"" 3 630 rubles 3359 rub. Bonuses: 100 Buy Buy in 1 clicks of the bouquet: 51 rose Kenya Mix packa"&amp;"ging tape Bouquet “51 Kenya Mix” 5 110 rub. 4705 rub. Bonuses: 141 Buy to buy in 1 clicks of the bouquet: rose bush madame bombastik 15 ribbon 2 packing matte 1 bouquet of 15 roses Madame Bombastik6 550 rub. 5805 rub. Bonuses: 174 Buy a bouquet in 1 click"&amp;"s of the bouquet: 25 Ecuador roses packaging ribbon bouquet of 25 red roses 40 cm (Ecuador) in packaging7 965 rub .6689 rub. Bonuses: 200 buy in 1 clickswall of the bouquet: 101 Kenyan rose mix 40 cm packaging tape 101 Kenyan rose mix9 730 rubles 8905 rub"&amp;". Bonuses: 267 Buy in 1 clicks of the bouquet: 15 pink roses Ecuador 70cm packaging tape bouquet of 15 pink roses 70 cm5 690 rub. 5265 rub. Bonuses: 157 buy in 1 clicks of the bouquet: Rosa Ecuador 60-70cm 15 package tape bouquet of 15 red roses 60-70 cm "&amp;"(Ecuador) 5 330 rubles 5265 rub. Bonuses: 157 buy in 1 click examination of the all -yielding autumn | Autumn bouquets - 1 rose bush Juliet - 1 Kraspedia - 1 panic - 1 group Greens Salal - 1 chrysanthemum Santini - 4 pistach - 1 package of the tape. Magic"&amp;" bouquet (s) 2 965 rub. 2345 rub. Bonuses: Buy 70 in 1 clickger - 3 rose bush juliet 60 - 2 viburnum - 05 Kraspedia - 2 panic - 1 group Greens Salal - 3 chrysanthemums of Santini - 4 pistach - 1 package ribbon. Magic bouquet (m) 4 589 rub. 4205r. Bonuses:"&amp;" 126 Buy a bouquet in 1 clicks: Viburnum compactum 1 rose bush Juliet 1 Clematis 1 rose bush flush 3 decor Pavin 1 Alstomeria 3 Estoma 5 Estoma 2 packaging 2 packing tape “Poultry milk” 6,250 rubles 5185 rub. Bonuses: 155 Buy a bouquet in 1 clicks: Alstro"&amp;"meria 5 Faerwork 4 Faurflesh 1 Palm leaves Decor 2 leucoper of 1 asparagus eda 1 gerbera-mini 3 chrysanthemum 2 solidago 1 tape Bouquet Bouquet “Autumn Foliage” 6 730 rubles 5519 rub. Bonuses: 165 Buy a bouquet in 1 clicks in 1 clicks: a bush juliet 1 vib"&amp;"ournum compactum 1 Nerina Bowdeni Sophie 1 of Seruria 1 Alstromeria 2 Herbera-Mini 3 Chrysanthemum Santini 3 Packaging tape “Sea buckthorn fruit drink” 4 800 rubles 3535 rub. Bonuses: 106 buy in 1 click Clig -colored 2 pistach 5 chrysanthemum beigudi ed 5"&amp;" rose 50 3 chrysanthemum Santini 3 Cloves Holland 3 Matthiol 3 orchid Tsimbidium 7 Gerbera 1 packaging tape “Juicy mango” 8 950 rubles 8745 rub. Bonuses: 262 Buy in 1 clicrosa Baby 2 Lagurus 5 paint glitter 02 Freesia 2 cloves Holland 1 Mattiol 1 eucalypt"&amp;"us zinerey 1 pumpkin oasis in the Golden Autumn pumpkin 3 580 rub. 3179 rub. Bonuses: 95 is not in stock - 3 rose bush - 2 viburnum 5 - 1 slumks of Kovyl 40cm - 03 group Greens Salal - 2 pistach - 1 package tape. Bouquet ""Supernatural Autumn"" (s) 4 520 "&amp;"rubles 3535 rub. Bonuses: 106 is not in stock to examine all the benefits of the dried -flowered bouquet: dry flowers packaging tape Bouquet ""Pink Chocolate"" 4799 rub. Bonuses: 143 buy in 1 clicks of the bouquet: dry flowers packaging tape Bouquet “Fier"&amp;"y Dance” 7199 rub. Bonuses: 215 buy in 1 clicks of the bouquet: dry flowers packaging tape Bouquet ""Melody Provence"" 7799p. Bonuses: 233 buy in 1 clicks of the bouquet: dry flowers packaging tape Bouquet ""Moonlit Night"" 5399 rub. Bonuses: 161 buy in 1"&amp;" clico viewing of flowers and bouquets in the St. Petersburg Bouquet: clove 49 eucalyptus Nicole 3 packaging tape “Carrie” 10755 rub: 322 Buy 1 clicgerbier - 3 roses bush julutta 60 - 2 Kalina - 05 Kraspedia - 05 Kraspedia - 05 Kraspedia - 05 Kraspedy 2 p"&amp;"anicomas - 1 group Greens Salal - 3 chrysanthemum Santini - 4 pistach - 1 packaging tape. Magic bouquet (m) 4205 rubles: 126 Buy in 1 clicks of the bouquet: clove 10 lemonium 3 pampas grass 3 Pittosporum 2 Eustoma 6 packaging Barbie Bouquet (M) 8339 rub: "&amp;"250 Buy 1 Clicks Buket: Cliff 7 Lemonium 2 pampas grass 2 pittosporum 1 eastoma 5 packaging tape Barbie Bouquet (s) 6029 rubles: 180 buy in 1 clicks of the bouquet: Bergrass 5 Hypericum 10 lilia 10 leaves 2 packages 2 pack tape “Mowgli” 6819 rub: 204 Buy "&amp;"to buy In 1 clicks of the bouquet: rosehip 3 dolphinium 2 rose Juliet 4 eucalyptus 2 chamelacium 3 chrysanthemum bigudi 3 packaging tape bouquet ""Almodovar"" (m) 8039 rubles: 241 Buy 1 clicked bouquet: rosehip 4 dolphinium 2 rose Juliet 4 eucalipium 5 la"&amp;"melatsium 5 chrysanthemum beigudi 5 package tape bouquet ""Almodovar"" (l) 9935 rubles: 298 Buy in 1 clicks of the bouquet: rose bush 5 pistach 5 chrysanthemum bigudi 3 cloves Holland 3 rose 50cm tape ""Coffee Cream"" 6709 . Bonuses: 201 Buy a bouquet in "&amp;"1 clicks: bush Juliet 2 Ferehelium 2 Chrysanthemum Santini 4 Delphinium 1 Clematis 1 clove 1 clicks of the bouquet: gerbera 5 rose bush juliet 3 dolphinium 2 Clematis 3 cloves 3 nerzanthemum Santini 5 Kovyl 1 asparagus 1 pink 3 packaging Buy Bouquet ""Sha"&amp;"mpan"" (l) 9089 rub: 272 Buy in 1 clicked tunkering tank: Club 10 Dolphinium 3 Kovyl 30 Corilius 2 lilies euro 2 rose 50cm 5 asparagus 1 chrysanthemum Santini 10 Eucalyptus zinerey 2 package Buy Bouquet “Seoul” 10315 rub: 309 Buy 1 clicks of the bouquet: "&amp;"rose piano Freyland 7 ceresantem Vienna 5 rose 50sm 3 mattiola 3 anthurium 1 eucalyptus zinerey 2 tape “Berry juice” 8615 rub. Bonuses: 258 There is no color composition of the composition of the composition: tulip 5 rose 50 cm3 cloves of Holland 4 mattio"&amp;"l 2 pistach 3 box Oasis composition “Spring Morning” 4,530 rub. 3519 rub. Bonuses: 105 buy in 1 clickship composition: eastoma 2 rose 50cm 10 Ranunkulus 4 mattiol 3 gerbera water mix 1 clove Holland Caramel 3 Evcalipte Parvifolia 2 Lilac 2 Rosus 2 rose Ho"&amp;"lland Austin Juliet 50 cm pink 2 halubic goros 1 oasis 1 oasis 3 The composition in the hat box “Warm Dawn” 16 095 rub. 12585 rub. Bonuses: 377 buy in 1 clicks of composition: alstromeria 3 tulip 5 clove 5 rose Ecuador 3 eucalyptus Posolip 1 pistach 3 cot"&amp;"ton 3 hypericum 3 Line Oasis film composition in the wooden box “Air Zephyra” 5235 rub. Bonuses: 157 buy in 1 clicks of composition: oasis rose bush Juliet 3 Eustoma 5 cloves 3 gypsophila 2 mattiol 3 Ranunkulus 4 rose 60cm 8 ruscus 2 eucalyptus compositio"&amp;"n composition in the Hap “winter tenderness” 16 935r.12159 rub. Bonuses: 364 buy in 1 clico view of Visionly Helch the Flower online store of coloromanias of colorfulness - this is not only a network of flower supermarkets with a wide assortment, but also"&amp;" primarily the delivery of the latest colors and bouquets compiled directly at the time of order by the best florists of the city. A detailed logistics system and a team of professionals allows us to deliver a bouquet that can satisfy even the most exquis"&amp;"ite requests at anywhere in St. Petersburg at any time convenient for you. The Internet of the Flower Flower Flower Story is a convenient online service designed to save your time. With us, you can quickly and without unnecessary troubles with a bouquet o"&amp;"f flowers with round -the -clock delivery of the house with a courier in St. Petersburg. How to order a bouquet with delivery? Before placing the order, read the assortment of the products we offer. This is very exciting and convenient - the presented flo"&amp;"ral compositions are divided by topics. In “Florie”, you can quickly and inexpensively buy wedding and gift men and female children's and other spectacular bouquets with round-the-clock delivery in St. Petersburg. In more detail about the company fresh fl"&amp;"owers from your own warehouse packaging of the bouquet Designer-paid postcard with your textbook for care to Gydroktoto before delivery before delivery Delivery from 5,000 rublesMS I liked the bouquet? I like the bouquet? I bring a new one! Fresh flowers "&amp;"from the warehouse packaging of the bouquet Designer -paid postcard with your text compartment for care for the delivery of 5,000 rubles from 5,000 rublesMS Improvement about the delivery, I liked the bouquet! I brought it a new one! Reviews about our sal"&amp;"on of Flowerover Kornienko10 September 2023 Transparted flowers. Wonderful service. The first time I saw such a variety of roses. Beauty August30, 2023 Khorozhny store. I ordered flowers as a gift. They brought to the time indicated. The bouquet is excell"&amp;"ent. The courier is polite. There is an option - they do not say that this is flowers. I recommend it. Diana Maslennikova August25 August 2023 Tsettes Great, the girl perfectly served. These flowers have been standing for a week now and they don’t think t"&amp;"hey are going to wander) Anastasia Tyuyeva on August 23, 2023, there are still original bouquets according to the last or penultimate word of floristry. Bouquets are extremely long before 3 weeks. Delicious desserts there. Often the questions asked, how t"&amp;"o make flowers? Order for the delivery of bouquets in St. Petersburg can be issued through the site basket for a free-flywoman 8 (800) 550-10-72 as well as with the help of messengers-WhatsApp Viber Telegram orweshat. In addition, you can contact us to pl"&amp;"ace an order of a bouquet through an online chat. Navigate write us a letter by e-mail [email protected] or order a call back. How to pay for the order? You can pay for the order in one of the listed methods: Cash to the courier when receiving a bouquet s"&amp;"ite using a banking card card card Courier upon receipt of the bouquet at what time are orders are accepted? On the site and by phone, the order for bouquets of flowers can be issued round -the -clock. At what time are orders are delivered? Delivery of a "&amp;"bouquet of flowers by courier in St. Petersburg and the region is carried out around the clock. How much does the delivery of flowers cost? The cost of delivery of orders in the amount of up to 5000 rubles is 299 within the room. Orders for bouquets from "&amp;"5000 rubles are delivered free of charge. Is it possible to pick up flowers yourself? Yes, you can pick up flowers in one of our salons. Their full list of work schedule and telephone can be seen here. How long does it take to order a bouquet? It is best "&amp;"to place the order at least 3 hours before the desired delivery time. But the diligent workload can take less time. Is it possible to order the delivery of the bouquet to the suburbs? Yes, besides St. Petersburg, we also deliver flowers to the nearest sub"&amp;"urbs - Kolpino Pushkinovsevosk Sestroretsk Kronstadt Krasnoye village of Sertolovo Lomonosov Pavlovsk Strelna. Information about the delivery of bouquets to other cities, you can clarify with the manager. Is it possible to order the delivery of flowers by"&amp;" the exact time? Yes, you can arrange the delivery of flowers at exactly the appointed time. It is better to make such an order in advance. The cost of the service is +350 rubles. Is it possible to order anonymous flower delivery? No problem, the courier "&amp;"can deliver your order without telling the name of the sender. How to find out that the bouquet was delivered? Each client receives an SMS notification on the fact of the executed order. Is it possible to look at the bouquet before it is presented? Yes, a"&amp;" florist can take a picture of the finished bouquet and send a photo to you. What to do if I do not know the accurate address of the recipient? Courier can contact the recipient by phone and clarify the delivery address and convenient time. For this, when"&amp;" placing an order in the basket, mark the item “I don't know the recipient’s address. Specify the sweatyer ”or“ Call the recipient to clarify the time and address ”. What else can you add to the bouquet? You can add a free postcard with any signature up t"&amp;"o 100 characters to the bouquet. To do this, activate in the basket the item “Add a postcard no more than 100 characters” and fill out the “Text on the Postcard” field. In addition, you can add a gift to the bouquet - a soft toy of sweets or balloon. You "&amp;"can see all -breeds here. Questions? You can set them by calling the free phone 8 (800) 550-10-72. Subscribe to our news about promotions and special offers! And get a promotional code for a 5% discount on any product! Subscribe and get a discount! About "&amp;"the company, flower shops and delivery policemen of confidentiality corporate clients of wholesale and return of goods and the return of goods, let's be friends? 8 800 550-10-72 In Russia free 24/78 900 640-00-77 On the company Tsvetovkakania stores and t"&amp;"he delivery policy of confidentiality corporate customers of the optimum warantia and the return of goods and encyclopedias of flower, let's be friends? 8 800 550-10-72 In Russia free 24/78 900 640-00-77 On the company Tsvetovkakania stores and the delive"&amp;"ry policy of confidentiality corporate customers of the optimum warantia and the return of goods and encyclopedias of flower, let's be friends? 8 800 550-10-72 Building in Russia Free Coound 24/78 900 640-00-77 Delivery for low-mobility groups of the popu"&amp;"lation. Delivery in any time interval is carried out free of charge! Up the name of the product is added to the basket to buy an order to order for the application! We will send a promotional code for a discount to your mail in the near future! Well, buy "&amp;"the name of the product in one clica format the application is accepted! We will contact you in the near future")</f>
        <v>Flower delivery in St. Petersburg (24/7) - a courier at a house with flowers inexpensive - flowering fresh flowers! Supply12.11.2023 05: 00o coloromaniado -payment and delivered corporate clients wholesale florasty -contact recovery of a review of the company to recover/registration and more colors - more colors! Addresses of storesancanketersburg8 (800) 550-10-72 around the clock 00r. About flower addiction Payment and delivery to corporate clients, flowers in bulk, wedding floristry Contacts Review-Petersburghlvod/Registration 0 0 Saint Petersburgspunitications forxpress Supply with Alstromeria with Gulls with Herbiers with Herbes with Orchids with Roses with Rosems with Tyulpans with Chrysant Emams with sunflower with Daesophils with gypsophymes like toy Kraft Monobukets Field dry flowers VIP bouquets Modern floristry large bouquets inexpensive flowers on colors pink bouquets Orange bouquets Red Bouquets Green Bouquets White Bouquets White Bouquets at a price of 1000-2500 r. 2500-3500 p. 3500-5000 p. From 5000 p. With free delivery, popular bouquet of chrysanthemums “Alicia” bouquet of 5 fragrant lilies bouquet of 5 hydrangeas mix roses (quantity) 101 rose 51 rose 25 roses 35 roses in color white roses yellow roses red roses cream roses pink roses Color roses along the variety bush roses pionivate roses of roses White o'hara in size of roses 40 cm rose 50 cm rose 70 cm Flowers of alstromeria amarillis MIX Herberia gypsophiles Gladioli Gornias Hoodysses of orchids of Tulpa Freesye Eusta Eusta Popular alstemeils of Amarilis Amariye Amariy KS Gerbera Hydrangea MIX Lilia Euro Sunflower Chrysanthemum Extra Extra Khrisanthemum Buynoye Chrysanthemum Bush yellow chrysanthemum bush chrysanthemum bush chrysanthemum santini Mix all flowers of a piece of rose box in a box of pionois in a basket of basket with roses hats flowers in a cup of mother 26 November Autumn Birthday men's bouquets Wedding New Year February on February 14 March Easter last call and graduation day of love and fidelity on September 1 teacher Corporate Bouquets Gifts Soft toys Candy Balls Candles Topperes Gift/Registration Cook your bouquet -nibtespresses on the composition of albums Gerbieramis Gerberamis Gorniisias Irisamis Liliamis Orchidamis Rosamisamims Mashkamis Tulipamis Chrysanthemamy Sunolnuhamis Gypsophylamine Typuis Typoleskontmone -Buypesuccuscouses of Buchaye Flourist flowering flowerpot bougins. Drumstones of bouquet bouquenced bouquet bouquet bouquet bouquet bouquet price1000-2500 p.2500-3500 p.3500-5000 p. 5000 r. chrysanthemum “Alicia” bouquet of 5 fragrant liliibuk from 5 gendenzies of the rose mixer (quantity) 101 rose51 rose25 rose15 rose35 rosepo flowering draws of pipe drawing draws of rhyme pale In dimensorosis 40 shreds 50 shreds 60 shreds 70 cm flowers Without category of alstepromariyamarillis mixed -hagigierberitsypsophilosophilosolisyliliaylillylillylillylililiahidehideulpanhitulpanihrizanthememicularizantemapopular alustromarillis mixergortenzia, myxlilia eurosliahrizanthematema Belaya Belahyaminantem Kustovaya Kustovaya Kustov Zheltamyrizanthema Buyseen Mikshrizanthematem Kustovaya Christ's pink chicesantem Santini Mixws flowers Ploti compositions flowers in boxes in boxes to boxcoreses from flowering stones from rosamimylap boxes in the cup Harvesting Mother's Day on November 26 November 1914 on February 19 March 19 on February 19 on February 19 March Easter bell and graduation of the Family of Love and fidelity1 September -worker teachers of corporate bouquets Gifts Soft toys of fireflowers of firewall sharysvechitop -dopes sets Address of Stageomania store Payment and delivery to corporate customers. Wedding floristry Contacts Contacts Send Readingbooks: 0 P. Bonuses: 100 buy in 1 clickbook Of the 9 pink Eusta3 710 rubles 3329 rub: 99 buy in 1 clickbook pink flamingo from bush roses6 820 rub. 4129 rubles: 123 buy in 1 clicucbuket “15 alstrient” 4 340 rub. 3659 rub: 109 Buy 1 clicobes on the Day - 1 rose bush Juliet - 1 Kraspedia - 1 panic - 1 group Greens Salal - 1 chrysanthemum Santini - 4 pistach - 1 package tape. Magic bouquet (s) 2 965 rub. 2345 rub. Bonuses: 70 buy in 1 clicks of the bouquet: 9 east mix packaging tape bouquet of 9 east mix3 710 rub. 3329 rub. Bonuses: 99 Buy to buy in 1 clicks of the bouquet: Kenyan rose mix 35 packaging tape Bouquet “35 Kenya Mix” 3 630 rub. 3359 rub. Bonuses: 100 buy a bouquet in 1 clicks: rose bush juliet 1 vibournum compactum 1 Nerina Bowdeni Sophie 1 of Seruria 1 Alstomeria 2 Herbera-Mini 3 Chrysanthemum Santini 3 Packaging Buy Bouquet Bucket 4 800 rub. 3535 rub. Bonuses: 106 buy in 1 clickwall Barbatus - 1 herbera - 3 rose bush juliet 60 -2 viburnum 5 - 1 group Greens Salal - 2 chrysanthemums of Santini - 2 pistach - 1 package tape. Bouquet "Summer disappearance" 4 555 rub. 3655 rub. Bonuses: 109 buy in 1 clicks of the bouquet: a bush chrysanthemum 15 package tape bouquet of 15 white bush chrysanthemums4 075 rubles 3825 rub. Bonuses: 114 Buy to buy in 1 clicks of the bouquet: 25 tulips mix packaging tape bouquet of 25 tulips MIX4 370 rub. 3989 rub. Bonuses: 119 buy in 1 clicks of the bouquet: Rosa Ecuador 40-50cm 15 Packaging tape Bouquet of 15 red roses 40-50 cm (Ecuador) 4 735 rub. 4545 rub. Bonuses: 136 buy in 1 click examination of the bouquet all-and-size: Rosa Ecuador 40-50cm 15 Packaging tape Bouquet of 15 red roses 40-50 cm (Ecuador) 4 735 rub. 4545 rub. Bonuses: 136 Buy to buy in 1 clicks of the bouquet: Kenyan rose mix 35 packaging tape Bouquet "35 Kenya Mix" 3 630 rubles 3359 rub. Bonuses: 100 Buy Buy in 1 clicks of the bouquet: 51 rose Kenya Mix packaging tape Bouquet “51 Kenya Mix” 5 110 rub. 4705 rub. Bonuses: 141 Buy to buy in 1 clicks of the bouquet: rose bush madame bombastik 15 ribbon 2 packing matte 1 bouquet of 15 roses Madame Bombastik6 550 rub. 5805 rub. Bonuses: 174 Buy a bouquet in 1 clicks of the bouquet: 25 Ecuador roses packaging ribbon bouquet of 25 red roses 40 cm (Ecuador) in packaging7 965 rub .6689 rub. Bonuses: 200 buy in 1 clickswall of the bouquet: 101 Kenyan rose mix 40 cm packaging tape 101 Kenyan rose mix9 730 rubles 8905 rub. Bonuses: 267 Buy in 1 clicks of the bouquet: 15 pink roses Ecuador 70cm packaging tape bouquet of 15 pink roses 70 cm5 690 rub. 5265 rub. Bonuses: 157 buy in 1 clicks of the bouquet: Rosa Ecuador 60-70cm 15 package tape bouquet of 15 red roses 60-70 cm (Ecuador) 5 330 rubles 5265 rub. Bonuses: 157 buy in 1 click examination of the all -yielding autumn | Autumn bouquets - 1 rose bush Juliet - 1 Kraspedia - 1 panic - 1 group Greens Salal - 1 chrysanthemum Santini - 4 pistach - 1 package of the tape. Magic bouquet (s) 2 965 rub. 2345 rub. Bonuses: Buy 70 in 1 clickger - 3 rose bush juliet 60 - 2 viburnum - 05 Kraspedia - 2 panic - 1 group Greens Salal - 3 chrysanthemums of Santini - 4 pistach - 1 package ribbon. Magic bouquet (m) 4 589 rub. 4205r. Bonuses: 126 Buy a bouquet in 1 clicks: Viburnum compactum 1 rose bush Juliet 1 Clematis 1 rose bush flush 3 decor Pavin 1 Alstomeria 3 Estoma 5 Estoma 2 packaging 2 packing tape “Poultry milk” 6,250 rubles 5185 rub. Bonuses: 155 Buy a bouquet in 1 clicks: Alstromeria 5 Faerwork 4 Faurflesh 1 Palm leaves Decor 2 leucoper of 1 asparagus eda 1 gerbera-mini 3 chrysanthemum 2 solidago 1 tape Bouquet Bouquet “Autumn Foliage” 6 730 rubles 5519 rub. Bonuses: 165 Buy a bouquet in 1 clicks in 1 clicks: a bush juliet 1 vibournum compactum 1 Nerina Bowdeni Sophie 1 of Seruria 1 Alstromeria 2 Herbera-Mini 3 Chrysanthemum Santini 3 Packaging tape “Sea buckthorn fruit drink” 4 800 rubles 3535 rub. Bonuses: 106 buy in 1 click Clig -colored 2 pistach 5 chrysanthemum beigudi ed 5 rose 50 3 chrysanthemum Santini 3 Cloves Holland 3 Matthiol 3 orchid Tsimbidium 7 Gerbera 1 packaging tape “Juicy mango” 8 950 rubles 8745 rub. Bonuses: 262 Buy in 1 clicrosa Baby 2 Lagurus 5 paint glitter 02 Freesia 2 cloves Holland 1 Mattiol 1 eucalyptus zinerey 1 pumpkin oasis in the Golden Autumn pumpkin 3 580 rub. 3179 rub. Bonuses: 95 is not in stock - 3 rose bush - 2 viburnum 5 - 1 slumks of Kovyl 40cm - 03 group Greens Salal - 2 pistach - 1 package tape. Bouquet "Supernatural Autumn" (s) 4 520 rubles 3535 rub. Bonuses: 106 is not in stock to examine all the benefits of the dried -flowered bouquet: dry flowers packaging tape Bouquet "Pink Chocolate" 4799 rub. Bonuses: 143 buy in 1 clicks of the bouquet: dry flowers packaging tape Bouquet “Fiery Dance” 7199 rub. Bonuses: 215 buy in 1 clicks of the bouquet: dry flowers packaging tape Bouquet "Melody Provence" 7799p. Bonuses: 233 buy in 1 clicks of the bouquet: dry flowers packaging tape Bouquet "Moonlit Night" 5399 rub. Bonuses: 161 buy in 1 clico viewing of flowers and bouquets in the St. Petersburg Bouquet: clove 49 eucalyptus Nicole 3 packaging tape “Carrie” 10755 rub: 322 Buy 1 clicgerbier - 3 roses bush julutta 60 - 2 Kalina - 05 Kraspedia - 05 Kraspedia - 05 Kraspedia - 05 Kraspedy 2 panicomas - 1 group Greens Salal - 3 chrysanthemum Santini - 4 pistach - 1 packaging tape. Magic bouquet (m) 4205 rubles: 126 Buy in 1 clicks of the bouquet: clove 10 lemonium 3 pampas grass 3 Pittosporum 2 Eustoma 6 packaging Barbie Bouquet (M) 8339 rub: 250 Buy 1 Clicks Buket: Cliff 7 Lemonium 2 pampas grass 2 pittosporum 1 eastoma 5 packaging tape Barbie Bouquet (s) 6029 rubles: 180 buy in 1 clicks of the bouquet: Bergrass 5 Hypericum 10 lilia 10 leaves 2 packages 2 pack tape “Mowgli” 6819 rub: 204 Buy to buy In 1 clicks of the bouquet: rosehip 3 dolphinium 2 rose Juliet 4 eucalyptus 2 chamelacium 3 chrysanthemum bigudi 3 packaging tape bouquet "Almodovar" (m) 8039 rubles: 241 Buy 1 clicked bouquet: rosehip 4 dolphinium 2 rose Juliet 4 eucalipium 5 lamelatsium 5 chrysanthemum beigudi 5 package tape bouquet "Almodovar" (l) 9935 rubles: 298 Buy in 1 clicks of the bouquet: rose bush 5 pistach 5 chrysanthemum bigudi 3 cloves Holland 3 rose 50cm tape "Coffee Cream" 6709 . Bonuses: 201 Buy a bouquet in 1 clicks: bush Juliet 2 Ferehelium 2 Chrysanthemum Santini 4 Delphinium 1 Clematis 1 clove 1 clicks of the bouquet: gerbera 5 rose bush juliet 3 dolphinium 2 Clematis 3 cloves 3 nerzanthemum Santini 5 Kovyl 1 asparagus 1 pink 3 packaging Buy Bouquet "Shampan" (l) 9089 rub: 272 Buy in 1 clicked tunkering tank: Club 10 Dolphinium 3 Kovyl 30 Corilius 2 lilies euro 2 rose 50cm 5 asparagus 1 chrysanthemum Santini 10 Eucalyptus zinerey 2 package Buy Bouquet “Seoul” 10315 rub: 309 Buy 1 clicks of the bouquet: rose piano Freyland 7 ceresantem Vienna 5 rose 50sm 3 mattiola 3 anthurium 1 eucalyptus zinerey 2 tape “Berry juice” 8615 rub. Bonuses: 258 There is no color composition of the composition of the composition: tulip 5 rose 50 cm3 cloves of Holland 4 mattiol 2 pistach 3 box Oasis composition “Spring Morning” 4,530 rub. 3519 rub. Bonuses: 105 buy in 1 clickship composition: eastoma 2 rose 50cm 10 Ranunkulus 4 mattiol 3 gerbera water mix 1 clove Holland Caramel 3 Evcalipte Parvifolia 2 Lilac 2 Rosus 2 rose Holland Austin Juliet 50 cm pink 2 halubic goros 1 oasis 1 oasis 3 The composition in the hat box “Warm Dawn” 16 095 rub. 12585 rub. Bonuses: 377 buy in 1 clicks of composition: alstromeria 3 tulip 5 clove 5 rose Ecuador 3 eucalyptus Posolip 1 pistach 3 cotton 3 hypericum 3 Line Oasis film composition in the wooden box “Air Zephyra” 5235 rub. Bonuses: 157 buy in 1 clicks of composition: oasis rose bush Juliet 3 Eustoma 5 cloves 3 gypsophila 2 mattiol 3 Ranunkulus 4 rose 60cm 8 ruscus 2 eucalyptus composition composition in the Hap “winter tenderness” 16 935r.12159 rub. Bonuses: 364 buy in 1 clico view of Visionly Helch the Flower online store of coloromanias of colorfulness - this is not only a network of flower supermarkets with a wide assortment, but also primarily the delivery of the latest colors and bouquets compiled directly at the time of order by the best florists of the city. A detailed logistics system and a team of professionals allows us to deliver a bouquet that can satisfy even the most exquisite requests at anywhere in St. Petersburg at any time convenient for you. The Internet of the Flower Flower Flower Story is a convenient online service designed to save your time. With us, you can quickly and without unnecessary troubles with a bouquet of flowers with round -the -clock delivery of the house with a courier in St. Petersburg. How to order a bouquet with delivery? Before placing the order, read the assortment of the products we offer. This is very exciting and convenient - the presented floral compositions are divided by topics. In “Florie”, you can quickly and inexpensively buy wedding and gift men and female children's and other spectacular bouquets with round-the-clock delivery in St. Petersburg. In more detail about the company fresh flowers from your own warehouse packaging of the bouquet Designer-paid postcard with your textbook for care to Gydroktoto before delivery before delivery Delivery from 5,000 rublesMS I liked the bouquet? I like the bouquet? I bring a new one! Fresh flowers from the warehouse packaging of the bouquet Designer -paid postcard with your text compartment for care for the delivery of 5,000 rubles from 5,000 rublesMS Improvement about the delivery, I liked the bouquet! I brought it a new one! Reviews about our salon of Flowerover Kornienko10 September 2023 Transparted flowers. Wonderful service. The first time I saw such a variety of roses. Beauty August30, 2023 Khorozhny store. I ordered flowers as a gift. They brought to the time indicated. The bouquet is excellent. The courier is polite. There is an option - they do not say that this is flowers. I recommend it. Diana Maslennikova August25 August 2023 Tsettes Great, the girl perfectly served. These flowers have been standing for a week now and they don’t think they are going to wander) Anastasia Tyuyeva on August 23, 2023, there are still original bouquets according to the last or penultimate word of floristry. Bouquets are extremely long before 3 weeks. Delicious desserts there. Often the questions asked, how to make flowers? Order for the delivery of bouquets in St. Petersburg can be issued through the site basket for a free-flywoman 8 (800) 550-10-72 as well as with the help of messengers-WhatsApp Viber Telegram orweshat. In addition, you can contact us to place an order of a bouquet through an online chat. Navigate write us a letter by e-mail [email protected] or order a call back. How to pay for the order? You can pay for the order in one of the listed methods: Cash to the courier when receiving a bouquet site using a banking card card card Courier upon receipt of the bouquet at what time are orders are accepted? On the site and by phone, the order for bouquets of flowers can be issued round -the -clock. At what time are orders are delivered? Delivery of a bouquet of flowers by courier in St. Petersburg and the region is carried out around the clock. How much does the delivery of flowers cost? The cost of delivery of orders in the amount of up to 5000 rubles is 299 within the room. Orders for bouquets from 5000 rubles are delivered free of charge. Is it possible to pick up flowers yourself? Yes, you can pick up flowers in one of our salons. Their full list of work schedule and telephone can be seen here. How long does it take to order a bouquet? It is best to place the order at least 3 hours before the desired delivery time. But the diligent workload can take less time. Is it possible to order the delivery of the bouquet to the suburbs? Yes, besides St. Petersburg, we also deliver flowers to the nearest suburbs - Kolpino Pushkinovsevosk Sestroretsk Kronstadt Krasnoye village of Sertolovo Lomonosov Pavlovsk Strelna. Information about the delivery of bouquets to other cities, you can clarify with the manager. Is it possible to order the delivery of flowers by the exact time? Yes, you can arrange the delivery of flowers at exactly the appointed time. It is better to make such an order in advance. The cost of the service is +350 rubles. Is it possible to order anonymous flower delivery? No problem, the courier can deliver your order without telling the name of the sender. How to find out that the bouquet was delivered? Each client receives an SMS notification on the fact of the executed order. Is it possible to look at the bouquet before it is presented? Yes, a florist can take a picture of the finished bouquet and send a photo to you. What to do if I do not know the accurate address of the recipient? Courier can contact the recipient by phone and clarify the delivery address and convenient time. For this, when placing an order in the basket, mark the item “I don't know the recipient’s address. Specify the sweatyer ”or“ Call the recipient to clarify the time and address ”. What else can you add to the bouquet? You can add a free postcard with any signature up to 100 characters to the bouquet. To do this, activate in the basket the item “Add a postcard no more than 100 characters” and fill out the “Text on the Postcard” field. In addition, you can add a gift to the bouquet - a soft toy of sweets or balloon. You can see all -breeds here. Questions? You can set them by calling the free phone 8 (800) 550-10-72. Subscribe to our news about promotions and special offers! And get a promotional code for a 5% discount on any product! Subscribe and get a discount! About the company, flower shops and delivery policemen of confidentiality corporate clients of wholesale and return of goods and the return of goods, let's be friends? 8 800 550-10-72 In Russia free 24/78 900 640-00-77 On the company Tsvetovkakania stores and the delivery policy of confidentiality corporate customers of the optimum warantia and the return of goods and encyclopedias of flower, let's be friends? 8 800 550-10-72 In Russia free 24/78 900 640-00-77 On the company Tsvetovkakania stores and the delivery policy of confidentiality corporate customers of the optimum warantia and the return of goods and encyclopedias of flower, let's be friends? 8 800 550-10-72 Building in Russia Free Coound 24/78 900 640-00-77 Delivery for low-mobility groups of the population. Delivery in any time interval is carried out free of charge! Up the name of the product is added to the basket to buy an order to order for the application! We will send a promotional code for a discount to your mail in the near future! Well, buy the name of the product in one clica format the application is accepted! We will contact you in the near future</v>
      </c>
    </row>
    <row r="279">
      <c r="A279" s="1" t="s">
        <v>883</v>
      </c>
      <c r="B279" s="1" t="s">
        <v>890</v>
      </c>
      <c r="D279" s="1">
        <v>3.0</v>
      </c>
      <c r="E279" s="4" t="s">
        <v>891</v>
      </c>
      <c r="F279" s="1" t="s">
        <v>16</v>
      </c>
      <c r="I279" s="2">
        <v>1.0</v>
      </c>
      <c r="J279" s="5" t="str">
        <f>IFERROR(__xludf.DUMMYFUNCTION("GOOGLETRANSLATE(A279)"),"Gypsophyla")</f>
        <v>Gypsophyla</v>
      </c>
      <c r="K279" s="6" t="str">
        <f>IFERROR(__xludf.DUMMYFUNCTION("GOOGLETRANSLATE(B279)"),"Bouquet of gypsophils C - buy in Grozny for 3200 rubles.")</f>
        <v>Bouquet of gypsophils C - buy in Grozny for 3200 rubles.</v>
      </c>
      <c r="L279" s="5" t="str">
        <f>IFERROR(__xludf.DUMMYFUNCTION("GOOGLETRANSLATE(C279)"),"#VALUE!")</f>
        <v>#VALUE!</v>
      </c>
      <c r="M279" s="5" t="str">
        <f>IFERROR(__xludf.DUMMYFUNCTION("GOOGLETRANSLATE(G279)"),"#VALUE!")</f>
        <v>#VALUE!</v>
      </c>
    </row>
    <row r="280">
      <c r="A280" s="1" t="s">
        <v>883</v>
      </c>
      <c r="B280" s="1" t="s">
        <v>892</v>
      </c>
      <c r="C280" s="1" t="s">
        <v>893</v>
      </c>
      <c r="D280" s="1">
        <v>4.0</v>
      </c>
      <c r="E280" s="4" t="s">
        <v>894</v>
      </c>
      <c r="F280" s="1" t="s">
        <v>16</v>
      </c>
      <c r="I280" s="2">
        <v>1.0</v>
      </c>
      <c r="J280" s="5" t="str">
        <f>IFERROR(__xludf.DUMMYFUNCTION("GOOGLETRANSLATE(A280)"),"Gypsophyla")</f>
        <v>Gypsophyla</v>
      </c>
      <c r="K280" s="6" t="str">
        <f>IFERROR(__xludf.DUMMYFUNCTION("GOOGLETRANSLATE(B280)"),"Gypsophiles, buy in Moscow, urgently for ...")</f>
        <v>Gypsophiles, buy in Moscow, urgently for ...</v>
      </c>
      <c r="L280" s="5" t="str">
        <f>IFERROR(__xludf.DUMMYFUNCTION("GOOGLETRANSLATE(C280)"),"Gypsophiles on Flowwow. ✨ Fast delivery: tracking the courier on the map! ✨ Attractive prices from 1250 rubles per bouquet of gypsophils, we work 24/7.")</f>
        <v>Gypsophiles on Flowwow. ✨ Fast delivery: tracking the courier on the map! ✨ Attractive prices from 1250 rubles per bouquet of gypsophils, we work 24/7.</v>
      </c>
      <c r="M280" s="5" t="str">
        <f>IFERROR(__xludf.DUMMYFUNCTION("GOOGLETRANSLATE(G280)"),"#VALUE!")</f>
        <v>#VALUE!</v>
      </c>
    </row>
    <row r="281">
      <c r="A281" s="1" t="s">
        <v>883</v>
      </c>
      <c r="B281" s="1" t="s">
        <v>895</v>
      </c>
      <c r="C281" s="1" t="s">
        <v>896</v>
      </c>
      <c r="D281" s="1">
        <v>5.0</v>
      </c>
      <c r="E281" s="4" t="s">
        <v>897</v>
      </c>
      <c r="F281" s="1" t="s">
        <v>16</v>
      </c>
      <c r="I281" s="2">
        <v>1.0</v>
      </c>
      <c r="J281" s="5" t="str">
        <f>IFERROR(__xludf.DUMMYFUNCTION("GOOGLETRANSLATE(A281)"),"Gypsophyla")</f>
        <v>Gypsophyla</v>
      </c>
      <c r="K281" s="6" t="str">
        <f>IFERROR(__xludf.DUMMYFUNCTION("GOOGLETRANSLATE(B281)"),"Buy bouquets of gypsophil to buy at low prices in the Internet ...")</f>
        <v>Buy bouquets of gypsophil to buy at low prices in the Internet ...</v>
      </c>
      <c r="L281" s="5" t="str">
        <f>IFERROR(__xludf.DUMMYFUNCTION("GOOGLETRANSLATE(C281)"),"Bouquets of gypsophiles in the OZON online store! The most affordable prices for 565300! ✓ Characteristics ✓ Photo ✓ Assortment ✓ Reviews ✓ Warranty ✓ Instrost!")</f>
        <v>Bouquets of gypsophiles in the OZON online store! The most affordable prices for 565300! ✓ Characteristics ✓ Photo ✓ Assortment ✓ Reviews ✓ Warranty ✓ Instrost!</v>
      </c>
      <c r="M281" s="5" t="str">
        <f>IFERROR(__xludf.DUMMYFUNCTION("GOOGLETRANSLATE(G281)"),"#VALUE!")</f>
        <v>#VALUE!</v>
      </c>
    </row>
    <row r="282">
      <c r="A282" s="1" t="s">
        <v>883</v>
      </c>
      <c r="B282" s="1" t="s">
        <v>898</v>
      </c>
      <c r="C282" s="1" t="s">
        <v>899</v>
      </c>
      <c r="D282" s="1">
        <v>6.0</v>
      </c>
      <c r="E282" s="4" t="s">
        <v>900</v>
      </c>
      <c r="F282" s="1" t="s">
        <v>16</v>
      </c>
      <c r="G282" s="1" t="s">
        <v>901</v>
      </c>
      <c r="H282" s="4" t="s">
        <v>902</v>
      </c>
      <c r="I282" s="2">
        <v>1.0</v>
      </c>
      <c r="J282" s="5" t="str">
        <f>IFERROR(__xludf.DUMMYFUNCTION("GOOGLETRANSLATE(A282)"),"Gypsophyla")</f>
        <v>Gypsophyla</v>
      </c>
      <c r="K282" s="6" t="str">
        <f>IFERROR(__xludf.DUMMYFUNCTION("GOOGLETRANSLATE(B282)"),"Buy bouquets of gypsophiles at a price of 890 rubles in Samara")</f>
        <v>Buy bouquets of gypsophiles at a price of 890 rubles in Samara</v>
      </c>
      <c r="L282" s="5" t="str">
        <f>IFERROR(__xludf.DUMMYFUNCTION("GOOGLETRANSLATE(C282)"),"The site shows a huge selection of gypsophila bouquets at low prices. Flower delivery in Samara within 2 hours. Before placing an order is available ...")</f>
        <v>The site shows a huge selection of gypsophila bouquets at low prices. Flower delivery in Samara within 2 hours. Before placing an order is available ...</v>
      </c>
      <c r="M282" s="5" t="str">
        <f>IFERROR(__xludf.DUMMYFUNCTION("GOOGLETRANSLATE(G282)"),"Flawry - flowers and gifts with delivery in Russia - a large selection of bouquets from the best florists of the city of the city of Support to Flawrypay and Delivery of the company Kontaktytybyttykoye delivery of 20 minutes of the selected city depends o"&amp;"n the assortment of the selected city depends on the assortment of goods stores in 261 cities of Russians every day more florists in different regions join us every day Therefore, it will not be difficult for you to order a bouquet with the delivery of fl"&amp;"owers to the Moscow Blowers to St. Petersburg Flowers to Samarevoronefatyumenoschiklashkrase, the bouquet I liked the bouquet, but you don’t fit into the budget, you can make a similar one to reduce the cost of bouquets and disciplees. Zhenya You can get "&amp;"additional discounts on promotional codes for bouquets when paying for an order for an individual approach to each client Floriste, you can get a professional advice from a specialist on all interests of the bouquet of the bouquet -resident 2000 ₽ Transki"&amp;"dnunkid -sales a reservoir. OV clients4.89 general rating basis 17731 reviews Customers Flowers by LUSI on November 11 at 23: 38 -Extensive bouquet for a sister very tenderly beautiful packaging Fresh flowers 🩷 Moscow Ekaterina FlowerStorg November 11 at"&amp;" 20: 57 paint bouquet of flowers. An unusual coloring and color one to one as from a picture, the girl really liked the city of Moscow Riviera on November 11 at 19: a 23 -playing bouquet I really liked the bouquet $ Moscow Floral Accord November 11 at 10:"&amp;" 21CPASIBO Big you! An unrealistically beautiful pot is everything as in the photo the price is magnificent, I wish you development and promotion! Moscow EVA Flowers Chrisantem - 10; Chamomile - 7; Packaging - 5; Atlase tape - November 2 11 at 10: 00 Gene"&amp;"ral guys super that florist is that delivery - I advise everything at the level! Moscow Roman M.Mosbuketikrosis - 11 packaging - 4 tapes - 1 November 11 at 02: 48 Non for the first time I order flowers here with delivery, everything is quickly beautiful! "&amp;"Moscow Mango La Fiori November 10 at 22: 51VS Super birthday is delighted :) Moscow Rozamir on November 10 at 19: 59 -in -line service bouquet was taken to time. It looks amazingly packed beautifully and concisely. Moscow Flowers by Lusi on November 10 at"&amp;" 12: 04SPASIBO GREATIONALY employees politely clearly explained) G. Moscow download the Flawry application there is even more convenient there after a chat with the florist -free stores of your city more than 70470 bouquets and the buyer's gifts and a 100"&amp;"% guarantee of returning from Flawery is to profitably order Delivery is just when choosing bouquets of flowers is huge. We are a trading platform on which store offers from all over Russia are located. Discount stocks and a bonus program will make delive"&amp;"ry even more pleasant. Oo company and delivery of the partnership from liability of confidentiality of the use of the use of promoted news and promotions of contacts109316 Moscow Volgogradsky Prospekt 43 K3Email: info@flawery.ruteleph: 8 800 350-32-75 gra"&amp;"phics Center - From 08:00 to 22:00 seven days a day off. Application of applications on the site takes place around the clock, their execution takes place according to the operating mode of the cabin. © 2016-2023 Flavrey.ru LLC 1197746088759inn 7722471876"&amp;"KPP 772201001")</f>
        <v>Flawry - flowers and gifts with delivery in Russia - a large selection of bouquets from the best florists of the city of the city of Support to Flawrypay and Delivery of the company Kontaktytybyttykoye delivery of 20 minutes of the selected city depends on the assortment of the selected city depends on the assortment of goods stores in 261 cities of Russians every day more florists in different regions join us every day Therefore, it will not be difficult for you to order a bouquet with the delivery of flowers to the Moscow Blowers to St. Petersburg Flowers to Samarevoronefatyumenoschiklashkrase, the bouquet I liked the bouquet, but you don’t fit into the budget, you can make a similar one to reduce the cost of bouquets and disciplees. Zhenya You can get additional discounts on promotional codes for bouquets when paying for an order for an individual approach to each client Floriste, you can get a professional advice from a specialist on all interests of the bouquet of the bouquet -resident 2000 ₽ Transkidnunkid -sales a reservoir. OV clients4.89 general rating basis 17731 reviews Customers Flowers by LUSI on November 11 at 23: 38 -Extensive bouquet for a sister very tenderly beautiful packaging Fresh flowers 🩷 Moscow Ekaterina FlowerStorg November 11 at 20: 57 paint bouquet of flowers. An unusual coloring and color one to one as from a picture, the girl really liked the city of Moscow Riviera on November 11 at 19: a 23 -playing bouquet I really liked the bouquet $ Moscow Floral Accord November 11 at 10: 21CPASIBO Big you! An unrealistically beautiful pot is everything as in the photo the price is magnificent, I wish you development and promotion! Moscow EVA Flowers Chrisantem - 10; Chamomile - 7; Packaging - 5; Atlase tape - November 2 11 at 10: 00 General guys super that florist is that delivery - I advise everything at the level! Moscow Roman M.Mosbuketikrosis - 11 packaging - 4 tapes - 1 November 11 at 02: 48 Non for the first time I order flowers here with delivery, everything is quickly beautiful! Moscow Mango La Fiori November 10 at 22: 51VS Super birthday is delighted :) Moscow Rozamir on November 10 at 19: 59 -in -line service bouquet was taken to time. It looks amazingly packed beautifully and concisely. Moscow Flowers by Lusi on November 10 at 12: 04SPASIBO GREATIONALY employees politely clearly explained) G. Moscow download the Flawry application there is even more convenient there after a chat with the florist -free stores of your city more than 70470 bouquets and the buyer's gifts and a 100% guarantee of returning from Flawery is to profitably order Delivery is just when choosing bouquets of flowers is huge. We are a trading platform on which store offers from all over Russia are located. Discount stocks and a bonus program will make delivery even more pleasant. Oo company and delivery of the partnership from liability of confidentiality of the use of the use of promoted news and promotions of contacts109316 Moscow Volgogradsky Prospekt 43 K3Email: info@flawery.ruteleph: 8 800 350-32-75 graphics Center - From 08:00 to 22:00 seven days a day off. Application of applications on the site takes place around the clock, their execution takes place according to the operating mode of the cabin. © 2016-2023 Flavrey.ru LLC 1197746088759inn 7722471876KPP 772201001</v>
      </c>
    </row>
    <row r="283">
      <c r="A283" s="1" t="s">
        <v>883</v>
      </c>
      <c r="B283" s="1" t="s">
        <v>903</v>
      </c>
      <c r="D283" s="1">
        <v>7.0</v>
      </c>
      <c r="E283" s="4" t="s">
        <v>904</v>
      </c>
      <c r="F283" s="1" t="s">
        <v>16</v>
      </c>
      <c r="G283" s="1" t="s">
        <v>905</v>
      </c>
      <c r="H283" s="4" t="s">
        <v>906</v>
      </c>
      <c r="I283" s="2">
        <v>1.0</v>
      </c>
      <c r="J283" s="5" t="str">
        <f>IFERROR(__xludf.DUMMYFUNCTION("GOOGLETRANSLATE(A283)"),"Gypsophyla")</f>
        <v>Gypsophyla</v>
      </c>
      <c r="K283" s="6" t="str">
        <f>IFERROR(__xludf.DUMMYFUNCTION("GOOGLETRANSLATE(B283)"),"Hypsophyla monobuk (dimensions s, m, l)")</f>
        <v>Hypsophyla monobuk (dimensions s, m, l)</v>
      </c>
      <c r="L283" s="5" t="str">
        <f>IFERROR(__xludf.DUMMYFUNCTION("GOOGLETRANSLATE(C283)"),"#VALUE!")</f>
        <v>#VALUE!</v>
      </c>
      <c r="M283" s="5" t="str">
        <f>IFERROR(__xludf.DUMMYFUNCTION("GOOGLETRANSLATE(G283)"),"Flower delivery in Yekaterinburg is inexpensive-you can buy flowers and order on the site-online store ""Flower shop"" Authorization electronic postaparol has a password? Input-register-in-the-stroke-Kontaktyo agreements of the Call Call Order Name: Your "&amp;"Phone: Comment: Send a Consider the Consider processing Personal data.+7 (343) 243-57-43 Account 0 Autorization / Registration (0) Comparison (0) Basket Cart-cleaning your basket empty! Basket purchasing ordering orderelor-post-Mail compartment to correct"&amp;" the orders of the “Send order” button you will give consent to the processing of personal data. Menukategories category category Categories Flower Buildings Flower Buildings Bouquet Bouquet Bouquets of Razmono/Duo Bouquet -Tsettyy Rolizhizyziroziy Less -"&amp;"in -Kistyuy Dry -Military Composition Flowering Boxing Flowering Boxing Boxing Candles and Decor for Homewesses for Homewesses for Homewalls and Decor for Home Home Flovadecor for a home -sample and candlesticksuhnikuhotsetytuytuybukets of flowering -hot "&amp;"bouquet bouquets of rosmon/duo bouquets of a tapethy -kategoriairozyrosis piercial painting toys of flowers Composition -flowing flowing boxes of flowing baskets of flowers for flowers homewaters candles and decor for house -cavevazyvazi for flowers for h"&amp;"ome -eaters and candlesticksuhniki -intelligent bouquet Alice from 2750 ₽ Buy free shipbuket Angelina 12350 ₽ Buy Free delivery with roses and amarillis 8500 ₽ ₽ ₽ Free Ariana's Free Succabuk with Miss Piggi roses and bush roses 7550 ₽ Buy a bouquet of Va"&amp;"silisa with orchids and a lilac 4500 ₽ Buy Versavia Bouquet 4700 ₽ Buy Daniella bouquet 2700 ₽ Darina bouquet with amarillis 4800 ₽/duo/trio Bounx from roses Playa Blanca from 4700 ₽ Trinomi rose and alstromeria 2500 ₽ Buy Monobuk from Kendlite roses from"&amp;" 4700 ₽ Buy Monobuk from 15 roses Plai Blank with an eucalyptus 4500 ₽ Monobuette of 15 pink roses Faith 3200 ₽ Buy a baton of roses and bush roses 3000 ₽ Buy a mono -cap of colored gypsophila (dimensions S m l) from 1740 ₽ Buy in stock from 18.10 Faith a"&amp;"nd chameelazium 4900 ₽ Buy bouquets from a foster pay -pay -pay -pay -boiler of 25 roses Playa Blanca with eucalyptus 7950 ₽ Monobouket of 15 roses with an eucalyptus of 4500 ₽ Buy a mono -boilet of the Femkes of 4700 ₽ Buy Монобукет из роз Шиммер							 "&amp;"								 									от 3750 ₽															 						  Купить								Уточните наличиеБЕСПЛАТНАЯ ДОСТАВКАБукет из 25 белых роз Мондиаль							 								 									6750 ₽															 						  Купить								Букет из 15 красных роз							 								 									4050 ₽"&amp;"															 						  Купить								Букет из персиковых роз Мисс Пигги							 								 									от 2900 ₽															 						  Купить								ПредзаказБЕСПЛАТНАЯ ДОСТАВКАБукет из 51 красной розы							 								 									13770 ₽															 						  К"&amp;"упить								КомпозицииБЕСПЛАТНАЯ ДОСТАВКАКорзина Амелия							 								 									5200 ₽ Buy a hit season! Felicia basket with peonia and orchids 4400 ₽ Buy box No. 10 with orchids 3650 ₽ Buy a composition in a wooden box No. 5 2500 ₽ Free Matilda Free Fr"&amp;"ee Free Delivkorzina with a Granate 5300 ₽ Jessica 6300 ₽ Buy Free delivery of velvet No. 20 of 51 red rose size l 11500 ₽ Buying conditions for delivery of orders is carried out in Yekaterinburg and nearby cities (Verkhnyaya Pyshma Berezovsky Revda Pervo"&amp;"uralsk, etc.). On holidays, such as on February 14 on February 5-8, Mother September 1, September 1 - Delivery takes place at an increased rate of +100 rubles to the basic cost of delivery! Delivery cost of 400 rubles for a purchase of 5,000 rubles. Micro"&amp;"districts 450 rubles (Elizabeth Ceramics Solnechny UC (state farm) wide Michurinsky 7 Key river Schuvakish Veer Shatash (from isopylets) compressor (Poultry Plant) Himmash (light Simalendi) Lower Rudnodtarifs for delivery to other settlements can be viewe"&amp;"d in the section of orders. hours from 10 to 22 hours without holidays and weekends, orders are delivered around the clock! Delivery from 23 to 8 hours takes place at an increased tariff of +100 rubles to the base value. When placing the order, our manage"&amp;"r will contact you by phone to confirm the order and clarify the convenient for the convenient You are delivery time. If you want to get a photo of your flowers before delivery, write to us in WhatsApp or call +7 (904) 548-62-57. Teriffs for delivery of t"&amp;"he city delivery costs for the Ekadbestvo (400 rubles when ordering up to 5000) Relieved microdistricts450 rubles is a big source 650 rubles upper pyshma650 rubles 650 rubles mid -Uralsk750 rubles750 rubles 750 rubles aipatrushi850 rubles. Sysert850 ruble"&amp;"s MAMDARY 850 rubles STRARY STRACTS950 rubles KAKOSULINO1050 rubles Dubrovo1150 rubles1450 rubles1550 rubles1550 rubles1550 rubles PAPERALSK1650 rubles Dinas1750 rubles Servyere1750 RU resumed1850 rubles, delivery to other cities, you can clarify from the"&amp;" Florista Office of payment You can pay for the order in one of the following ways: payment by bank card online (Visa MasterCard Mir) in cash or bank card In the store. Nacquer or bank card, the courier upon receipt of the order. Current money, if the buy"&amp;"er is canceled by the buyer after making payment, the money is returned to the client in the way that they were transferred to the seller. To buy a clicky-email comprehensive component to the promoted to the “Send order” button you Give consent to the pro"&amp;"cessing of personal data.whatsApptelegramna of our website uses Cookie Yandex Metric and Google Analytics to improve the user interface. To find out what personal data and cookie files are used to follow the link. After sending with feedback or registrati"&amp;"on forms on the site, you consent to all the conditions in the policy of processing personal data Salon of Flower and Decor for the House-Flower shop 2023+7 (343) 243-57-43 Call order call name: Your phone: Your phone Comment: Send the Namen to the “Send”"&amp;" button you consent to the processing of personal data. We in the network We accept payments")</f>
        <v>Flower delivery in Yekaterinburg is inexpensive-you can buy flowers and order on the site-online store "Flower shop" Authorization electronic postaparol has a password? Input-register-in-the-stroke-Kontaktyo agreements of the Call Call Order Name: Your Phone: Comment: Send a Consider the Consider processing Personal data.+7 (343) 243-57-43 Account 0 Autorization / Registration (0) Comparison (0) Basket Cart-cleaning your basket empty! Basket purchasing ordering orderelor-post-Mail compartment to correct the orders of the “Send order” button you will give consent to the processing of personal data. Menukategories category category Categories Flower Buildings Flower Buildings Bouquet Bouquet Bouquets of Razmono/Duo Bouquet -Tsettyy Rolizhizyziroziy Less -in -Kistyuy Dry -Military Composition Flowering Boxing Flowering Boxing Boxing Candles and Decor for Homewesses for Homewesses for Homewalls and Decor for Home Home Flovadecor for a home -sample and candlesticksuhnikuhotsetytuytuybukets of flowering -hot bouquet bouquets of rosmon/duo bouquets of a tapethy -kategoriairozyrosis piercial painting toys of flowers Composition -flowing flowing boxes of flowing baskets of flowers for flowers homewaters candles and decor for house -cavevazyvazi for flowers for home -eaters and candlesticksuhniki -intelligent bouquet Alice from 2750 ₽ Buy free shipbuket Angelina 12350 ₽ Buy Free delivery with roses and amarillis 8500 ₽ ₽ ₽ Free Ariana's Free Succabuk with Miss Piggi roses and bush roses 7550 ₽ Buy a bouquet of Vasilisa with orchids and a lilac 4500 ₽ Buy Versavia Bouquet 4700 ₽ Buy Daniella bouquet 2700 ₽ Darina bouquet with amarillis 4800 ₽/duo/trio Bounx from roses Playa Blanca from 4700 ₽ Trinomi rose and alstromeria 2500 ₽ Buy Monobuk from Kendlite roses from 4700 ₽ Buy Monobuk from 15 roses Plai Blank with an eucalyptus 4500 ₽ Monobuette of 15 pink roses Faith 3200 ₽ Buy a baton of roses and bush roses 3000 ₽ Buy a mono -cap of colored gypsophila (dimensions S m l) from 1740 ₽ Buy in stock from 18.10 Faith and chameelazium 4900 ₽ Buy bouquets from a foster pay -pay -pay -pay -boiler of 25 roses Playa Blanca with eucalyptus 7950 ₽ Monobouket of 15 roses with an eucalyptus of 4500 ₽ Buy a mono -boilet of the Femkes of 4700 ₽ Buy Монобукет из роз Шиммер							 								 									от 3750 ₽															 						  Купить								Уточните наличиеБЕСПЛАТНАЯ ДОСТАВКАБукет из 25 белых роз Мондиаль							 								 									6750 ₽															 						  Купить								Букет из 15 красных роз							 								 									4050 ₽															 						  Купить								Букет из персиковых роз Мисс Пигги							 								 									от 2900 ₽															 						  Купить								ПредзаказБЕСПЛАТНАЯ ДОСТАВКАБукет из 51 красной розы							 								 									13770 ₽															 						  Купить								КомпозицииБЕСПЛАТНАЯ ДОСТАВКАКорзина Амелия							 								 									5200 ₽ Buy a hit season! Felicia basket with peonia and orchids 4400 ₽ Buy box No. 10 with orchids 3650 ₽ Buy a composition in a wooden box No. 5 2500 ₽ Free Matilda Free Free Free Delivkorzina with a Granate 5300 ₽ Jessica 6300 ₽ Buy Free delivery of velvet No. 20 of 51 red rose size l 11500 ₽ Buying conditions for delivery of orders is carried out in Yekaterinburg and nearby cities (Verkhnyaya Pyshma Berezovsky Revda Pervouralsk, etc.). On holidays, such as on February 14 on February 5-8, Mother September 1, September 1 - Delivery takes place at an increased rate of +100 rubles to the basic cost of delivery! Delivery cost of 400 rubles for a purchase of 5,000 rubles. Microdistricts 450 rubles (Elizabeth Ceramics Solnechny UC (state farm) wide Michurinsky 7 Key river Schuvakish Veer Shatash (from isopylets) compressor (Poultry Plant) Himmash (light Simalendi) Lower Rudnodtarifs for delivery to other settlements can be viewed in the section of orders. hours from 10 to 22 hours without holidays and weekends, orders are delivered around the clock! Delivery from 23 to 8 hours takes place at an increased tariff of +100 rubles to the base value. When placing the order, our manager will contact you by phone to confirm the order and clarify the convenient for the convenient You are delivery time. If you want to get a photo of your flowers before delivery, write to us in WhatsApp or call +7 (904) 548-62-57. Teriffs for delivery of the city delivery costs for the Ekadbestvo (400 rubles when ordering up to 5000) Relieved microdistricts450 rubles is a big source 650 rubles upper pyshma650 rubles 650 rubles mid -Uralsk750 rubles750 rubles 750 rubles aipatrushi850 rubles. Sysert850 rubles MAMDARY 850 rubles STRARY STRACTS950 rubles KAKOSULINO1050 rubles Dubrovo1150 rubles1450 rubles1550 rubles1550 rubles1550 rubles PAPERALSK1650 rubles Dinas1750 rubles Servyere1750 RU resumed1850 rubles, delivery to other cities, you can clarify from the Florista Office of payment You can pay for the order in one of the following ways: payment by bank card online (Visa MasterCard Mir) in cash or bank card In the store. Nacquer or bank card, the courier upon receipt of the order. Current money, if the buyer is canceled by the buyer after making payment, the money is returned to the client in the way that they were transferred to the seller. To buy a clicky-email comprehensive component to the promoted to the “Send order” button you Give consent to the processing of personal data.whatsApptelegramna of our website uses Cookie Yandex Metric and Google Analytics to improve the user interface. To find out what personal data and cookie files are used to follow the link. After sending with feedback or registration forms on the site, you consent to all the conditions in the policy of processing personal data Salon of Flower and Decor for the House-Flower shop 2023+7 (343) 243-57-43 Call order call name: Your phone: Your phone Comment: Send the Namen to the “Send” button you consent to the processing of personal data. We in the network We accept payments</v>
      </c>
    </row>
    <row r="284">
      <c r="A284" s="1" t="s">
        <v>883</v>
      </c>
      <c r="B284" s="1" t="s">
        <v>907</v>
      </c>
      <c r="C284" s="1" t="s">
        <v>908</v>
      </c>
      <c r="D284" s="1">
        <v>8.0</v>
      </c>
      <c r="E284" s="4" t="s">
        <v>909</v>
      </c>
      <c r="F284" s="1" t="s">
        <v>16</v>
      </c>
      <c r="G284" s="1" t="s">
        <v>910</v>
      </c>
      <c r="H284" s="4" t="s">
        <v>911</v>
      </c>
      <c r="I284" s="2">
        <v>1.0</v>
      </c>
      <c r="J284" s="5" t="str">
        <f>IFERROR(__xludf.DUMMYFUNCTION("GOOGLETRANSLATE(A284)"),"Gypsophyla")</f>
        <v>Gypsophyla</v>
      </c>
      <c r="K284" s="6" t="str">
        <f>IFERROR(__xludf.DUMMYFUNCTION("GOOGLETRANSLATE(B284)"),"Gypsophila buy a bouquet in Moscow with delivery ...")</f>
        <v>Gypsophila buy a bouquet in Moscow with delivery ...</v>
      </c>
      <c r="L284" s="5" t="str">
        <f>IFERROR(__xludf.DUMMYFUNCTION("GOOGLETRANSLATE(C284)"),"Gypsophila with delivery in Moscow from the Magic Flower online store at competitive prices. Order flowers right now: +7 (499) 490-10-90.")</f>
        <v>Gypsophila with delivery in Moscow from the Magic Flower online store at competitive prices. Order flowers right now: +7 (499) 490-10-90.</v>
      </c>
      <c r="M284" s="5" t="str">
        <f>IFERROR(__xludf.DUMMYFUNCTION("GOOGLETRANSLATE(G284)"),"           Flower delivery in Moscow in 2 hours. Buy a bouquet of flowers with home delivery-Magic Flower delivery and Payment Guarantee Article Reviews Contacts about us to enter the Flower Flower delivery in Moscow Call me +7 (499) 490-10-90 8 (800) 600"&amp;"-65-76 We work daily with 08:00 to 24:00 Write to us add us in WhatsApp +7 (499) 490-10-90 or write help you help choose flowers; We will inform the status of the order; Let's talk about delivery capabilities; Promotions products with discount Combo Flowe"&amp;"rs Rose Rose Rose Premium rose bush roses of chrysanthemum cloves of gerberia gypsophila gypsophila pionois Ranunculus Irisa Narcissas of Alstomeria Eastoma Matiolla Hyacinth Delphinium until 2000 ₽ Buckets 101 rose 51 roseni skka rose bouquets ""Magical"&amp;""" 51 rose mono -boob coat prefabricated Bouquets Hat Boxes Mini-Bouquet Bouquet in a rose basket Rosal roses white roses pink roses lilac roses raspberry roses multi-colored roses yellow roses Cream roses Blue roses height rose 40 cm rose 60 cm rose 70 c"&amp;"m 100 Rose 3 roses 5 roses roses9 roses 15 roses 19 rose21 rose 25 roses Rose75 rose101 rose501 rose according to the type of roses of kenya kuvodaroza Premium. Classic type of rose basket in the rose -shaped rose -shaped tulip -shaped red -bore -zero -ze"&amp;"ro -zero -sprinkle otnoye -oorangealfiolpo amount of 11 tulips 15 tulips 19 Tulpanov 21 tulip 31 tulip 35 tulips 51 tulip 101 tulip, type of assembly Mono -boiled bouquets with tulipamytylpana to basketwalpana in a box in a box for a woman for a girl to a"&amp;" child colleague birthday birth flowers for a wedding, I love sorry the child love Female Valentine's Day Valentine's Day March 8 September 1 Day New Year Gifts Gifts Strawberries in Chocolate Ballon Air Balls Farmers Gift Baskets VAZS Soft toys Gift bags"&amp;" Toppers candles cards and envelopes Eat bouquets of strawberries in chocolate Gift baskets Galls finished compositions bouquet with sharahamoro sharovontans from sharshshara for tribal cocliefs Sharovpo Type of Sharovlatex Balls Foil of Sharyprozen Balls"&amp;" Summarizing Sharybolly balls Bubblesars on rolled balls with balls of balls of balls of ball balls gruzdshara Figushara without a pattern Balls with confetti balls of chrompo -painted blue blue green silver silver green Black Black Black Birthday Birthda"&amp;"y Wedding Wedding of the Child Calling from the maternity hospital1 September 19 on February 8, March 8, Matkaya Matermodnoye Helloweenno to Godmamapaiparaphedshebenkudl lovers, we will deliver fast delivery in 2 hours or an order at our expense. Fresh fl"&amp;"owers guarantee 5-day resistance or replace the bouquet. Will the quality guarantee will not like the bouquet? Replace within 24 hours. Photo control will show the bouquet before sending high -quality service a polite service from a call to the door. Deli"&amp;"very of flowers in Moscow Category Flowers 2005 Bouquets 2073 Roses 1166 Balloons 447 Age 2253 Com 2253 Gifts 242 edible 180 Up to 2000 rub 187 Color color white turquoise golden coral creamy raspberry mex multicolor orange rosy pink -sire Build assembly "&amp;"type of white-raspberry white yellow multi-colored occasion Hare birthday to wedding size 100 25 25 30 35 40 45 50 60 70 Price price ₽ Compassing clips! Free gift for the bouquet! 2 590 ₽ 35 multi -colored roses 40cm - a box of makarun as a gift! 6 review"&amp;"s order buy in 1 click 3 990 ₽ Bouquet of roses gerber and east - strawberries in chocolate as a gift! 0 reviews order buy in 1 click 5 490 ₽ 101 White rose- Box Makarun as a gift! 2 reviews order buy in 1 click 3 290 ₽ Bouquet of 51 red and white roses -"&amp;" boxing box as a gift! 4 reviews order buy in 1 click 4 590 ₽ 51 lilac and white rose- boxing box as a gift! 5 reviews order buy in 1 click 4 890 ₽ Bouquet of 35 yellow tulips- boxing box as a gift! 0 reviews order buy in 1 click 3 290 ₽ 2 790 ₽ Bouquet o"&amp;"f 5 blue hydrangeas - strawberries in chocolate as a gift! 1 reviews order buy in 1 click 5 990 ₽ 4 990 ₽ Bouquet of 11 multi -colored hydrangeas - strawberries in chocolate as a gift! 2 reviews order buy in 1 click Show 101 more rose 5 490 ₽ Bouquet of 1"&amp;"01 multi -colored roses in craft 169 reviews order buy in 1 click 5 490 ₽ 101 White rose Buy in 1 click 5 490 ₽ 101 Red rose 181 reviews Buy Buy 1 click 5 490 ₽ 101 Red rose in a film 317 reviews order Buy 1 click 5 490 ₽ 101 Yellow rose 66 reviews Buy in"&amp;" 1 click 5 490 ₽ 101 rose 101 Berry mix in a film 90 reviews order buy in 1 click 5 490 ₽ Bouquet of 101 orange roses in a film 76 reviews order Buy 1 click Show Piones 7 190 ₽ Bouquet of 9 peonies 4 reviews Buy in 1 click 8 490 ₽ 11 white Pions 11 review"&amp;"s order buy in 1 click 7 190 ₽ Bouquet of 9 white peonies 1 reviews order buy in 1 click 5 790 ₽ Bouquet of 7 white peonies In 1 click 24 990 ₽ 35 multi -colored peonies 0 reviews order buy in 1 click 10 690 ₽ Bouquet with lilac and ranculus 1 reviews ord"&amp;"er Buy 1 click 5 790 ₽ Bouquet of 7 pink peonies 6 Clicks Buy in 1 click Show until 2000 until 2000 rub 1 390 ₽ Bouquet of 11 raspberry roses 3 reviews Buy Buy in 1 click 1 590 ₽ 9 pink roses Premium 50 cm 6 reviews Buy Buy 1 390 ₽ Bouquet of 11 rose rose"&amp;"s with eucalyptus 6 reviews order Buy in 1 click 890 ₽ Bouquet of 3 red roses 50 cm 0 reviews Buy Buy 1 click 1 190 ₽ Bouquet of 5 red roses 50 cm 1 reviews to order in 1 click 1 490 ₽ Bouquet of 5 red roses 60 cm 0 reviews order Buy 1 click 1 490 ₽ Bouqu"&amp;"et of 15 lilac roses Click 3 290 ₽ Bouquet of tulips of irises and eucalyptus 3 reviews order buy in 1 click 3 090 ₽ Bouquet of tulips alstromerium and iris 2 reviews order Buy 1 click 3 590 ₽ Bouquet with tulpans alstrient and stature 2 reviews order Buy"&amp;" in 1 click 3 990 ₽ Bouquet of roses of diantus and hydrangeas 1 reviews to order buy in 1 click 2 890 ₽ Bouquet of roses and tulips 1 reviews order Buy 1 click 6 190 ₽ Bouquet with mattiola and peonies 1 Clicks Buy in 1 click 10 690 ₽ Bouquet with Lilac "&amp;"and Ranunkulus 1 reviews order Buy 1 click show another bouquets of strawberries (Magic Candy) 3 290 ₽ Strawberry bouquet (Gold size S) 0 reviews order Buy 1 click 4 990 ₽ Strawberry bouquet (confetti size L) 0 reviews 0 reviews Order buy in 1 click 3 990"&amp;" ₽ Bouquet of strawberries (confetti size m) 0 reviews order Buy 1 click 3 990 ₽ Strawberry bouquet (Faberge size m) 0 reviews order Buy 1 click 3 290 ₽ Strawberry bouquet (Love S) 0 reviews Order buy in 1 click 3 290 ₽ Bounet bouquet (heart Size s) 0 rev"&amp;"iews order Buy 1 click 3 990 ₽ Basket with strawberries “Berry mix” 0 reviews order 1 click 6 990 ₽ Box - Surprise with strawberries “Ball of flowers” ​​0 reviews Buy 1 click show another 51 rose 3 790 ₽ Bouquet of 51 pink roses in a hat box 3 reviews ord"&amp;"er Buy 1 click 3 790 ₽ Bouquet of 51 red rose in a hat box 1 reviews order Buy in 1 click 3 790 ₽ Bouquet of 51 fiery roses in a hat box 1 reviews order buy in 1 click 3 790 ₽ Bouquet of 51 multi -colored roses in a hat box 1 reviews order Buy 1 Click Sho"&amp;"w Hydension 3 990 ₽ Bouquet of Dianthus roses and hydrangeas 1 reviews order buy in 1 click 7 990 ₽ 6 390 ₽ Bouquet of 15 multi -colored hydrangeas 13 reviews to order in 1 click 5 990 ₽ 4 990 ₽ Bouquet of 11 pink hydrangeas 5 Clicks Buy 4 990 ₽ Bouquet f"&amp;"rom rose cloves of hydrangeas and east 3 reviews Buy Buy 1 click Show more hat boxes 3 790 ₽ Bouquet of 51 pink roses in a hat box 3 reviews order Buy 1 190 ₽ 51 tulip in a hat box 0 reviews order Buy 1 click 3 190 ₽ Bouquet of 11 multi -colored gypsophil"&amp;"es in a hat box 2 reviews order buy in 1 click 3 190 ₽ Bouquet of 11 orange gypsophils in a hat box 0 reviews Order Buy 1 Click Show also tulips hit 3 790 ₽ Bouquet of flowers from tulips and dioatus 4 reviews 4 reviews Order buy in 1 click 6 690 ₽ 51 Whi"&amp;"te tulip 2 reviews to order Buy 1 click 2 890 ₽ Bouquet of tulips and bush roses 3 reviews order Buy 1 click 12 290 ₽ 101 Red tulip 1 Clicks Buy in 1 click Show also plaster 3 190 ₽ Bouquet of 11 multi -colored gypsophiles in a hat box 2 reviews order buy"&amp;" in 1 click 3 190 ₽ Bouquet of 11 turquoise gypsophil in a hat box 3 reviews order Buy 1 click 3 290 ₽ Bouquet of 15 pink gypsophilia 2 reviews Buy Buy 1 Click 4 890 ₽ Bouquet of flowers from 25 multi -colored gypsophiles 0 reviews order buy in 1 click Sh"&amp;"ow more roses Premium 2 790 ₽ Bouquet of 15 roses Premium 60 cm 12 Clicks Buy in 1 590 ₽ 9 pink roses Premium 50 cm 6 cm in order to order Buy in 1 click 5 390 ₽ Bouquet of 15 roses Ecuador 70 cm 0 reviews order buy in 1 click 7 390 ₽ Bouquet of 15 white "&amp;"roses Ecuador 100 cm 1 reviews to order 1 click Show more products with a discount 4 290 ₽ 3 490 ₽ 7 blue hydrangeas 3 reviews order buy in 1 click 7 990 ₽ 6 390 ₽ 15 blue hydrangeas 1 reviews order buy in 1 click 7 990 ₽ 6 390 ₽ 15 multi -colored hydrang"&amp;"eas 7 reviews Buy in 1 click 5 990 ₽ 4 990 ₽ 11 multi -colored multi -colored Highways 7 reviews order buy in 1 click Show also order flowers with delivery of flowers delivery in an instant to change the mood of a person to drive away the spleen and sadne"&amp;"ss. Indeed, for any woman, a bouquet is always a welcome gift regardless of the holiday and reason. Flowers are a simple and universal way to make the life of a loved one brighter and more colorful. The Magic Flower online store offers to order flowers wi"&amp;"th home or office delivery. Professional florists will select the perfect composition for any reason. We always have a luxurious bouquet for the anniversary, a modest, fragrant presentation for congratulations on a professional holiday, an original floral"&amp;" ensemble for March 8 for a sister or a lover. A rich selection of colors in the catalog is supplemented by sweet bouquets toys and accessories as well as a unique design in hat boxes and baskets. Bouquets to the house delivery of flowers in Moscow are pe"&amp;"rformed by couriers without days off. We offer stylish modern bouquets of flowers. You can order mono -boobs by selecting the required number of buds and complex compositions with different plants. If you need flowers urgently leave a request by phone ind"&amp;"icate all the details of the order - we will collect and send a bouquet to the specified address to the house within two hours. Applications for flowers are accepted around the clock. We send delivery by courier on the same day with a bouquet to any addre"&amp;"ss in the capital and Moscow Region. Proceeding is possible from the store for free for regular customers are discounts. We guarantee that the recipient of our floral arrangements will be delighted. Buyers 5072 reviews show another 5,490 ₽ Dmitry 101 red "&amp;"rose bouquet was very beautiful quickly. We are satisfied with all. Thank you 09.11.2023 1 990 ₽ Irina ilinets bouquet of 9 raspberry roses 60 cm acquired a colleague for the second time. For the first time the birthday girl was delighted in the quality o"&amp;"f the flowers. I hope that even today everything will pass as well. Thank you so much for your work. Sincerely Irina 09.11.2023 1 390 ₽ Julia bouquet of 1 blue hydrangea in craft Beautiful fresh flowers! Very beautifully packed. They attached the instruct"&amp;"ions to attach an envelope and a postcard in it! I was satisfied! Thank you! 11.11.2023 3 790 ₽ Elena Bouquet of 51 pink roses in a hat box purchased here a bouquet sent a photo when it was assembled very beautifully. Thanks a lot! 11/08/2023 Show more us"&amp;"eful information on how to surprise their favorite girls - delivery of flowers to the house Modern girls are far from Turgenevskaya young ladies and surprise them completely difficult. What only wow .. TOP-10 reasons to give flowers to the lives of people"&amp;" of the 21st century have entered a new fashion trend-to make non-standard gifts. What is not giving .. how to care for a bouquet in a hat box flowers - a traditional and affordable sign of attention for a beloved woman of a mother’s daughter or colleague"&amp;" in RA .. How to choose the right flowers? It would seem that it could be easier than buying flowers for a woman. But in some situations to choose .. Questions and answers 1. What ways to pay? Payment to the courier in cash or bank card upon receipt of th"&amp;"e Bank card online 2. How to order flowers? You can place an order by phone or on the site by adding a bouquet you like to the basket and filling out all the necessary fields. 3. Do you have urgent home delivery? The minimum possible time of delivery of t"&amp;"he bouquet of flowers immediately after placing the order is 2 hours. 4. At what time is bouquet delivery? Delivery time or office in Moscow - from 7:00 to 1:00 in the Moscow region - from 9:00 to 24:00. Magic Flower - delivery of flower bouquets in Mosco"&amp;"w and the region. We accept orders around the clock. Bouquets with a unique style from leading florists. Write to us information guarantee Return Support Privacy Policy Agreement Contacts Contacts Reviews about the site about us Site map Legal information"&amp;" branch in St. Petersburg Popular flowers bouquets of strawberries. Gifts edible bouquets of 101 metro station settlements Magic Flower +7 ( 499) 490-10-90 8 (800) 600-65-76 We work daily from 08:00 to 24:00 call me +7 (499) 490-10-90 | 8 (800) 600-65-76 "&amp;"Buket@magikalflower.ru 129594 Moscow 3rd passage Maryina Grove House 5 Magic Flower © 2023")</f>
        <v>           Flower delivery in Moscow in 2 hours. Buy a bouquet of flowers with home delivery-Magic Flower delivery and Payment Guarantee Article Reviews Contacts about us to enter the Flower Flower delivery in Moscow Call me +7 (499) 490-10-90 8 (800) 600-65-76 We work daily with 08:00 to 24:00 Write to us add us in WhatsApp +7 (499) 490-10-90 or write help you help choose flowers; We will inform the status of the order; Let's talk about delivery capabilities; Promotions products with discount Combo Flowers Rose Rose Rose Premium rose bush roses of chrysanthemum cloves of gerberia gypsophila gypsophila pionois Ranunculus Irisa Narcissas of Alstomeria Eastoma Matiolla Hyacinth Delphinium until 2000 ₽ Buckets 101 rose 51 roseni skka rose bouquets "Magical" 51 rose mono -boob coat prefabricated Bouquets Hat Boxes Mini-Bouquet Bouquet in a rose basket Rosal roses white roses pink roses lilac roses raspberry roses multi-colored roses yellow roses Cream roses Blue roses height rose 40 cm rose 60 cm rose 70 cm 100 Rose 3 roses 5 roses roses9 roses 15 roses 19 rose21 rose 25 roses Rose75 rose101 rose501 rose according to the type of roses of kenya kuvodaroza Premium. Classic type of rose basket in the rose -shaped rose -shaped tulip -shaped red -bore -zero -zero -zero -sprinkle otnoye -oorangealfiolpo amount of 11 tulips 15 tulips 19 Tulpanov 21 tulip 31 tulip 35 tulips 51 tulip 101 tulip, type of assembly Mono -boiled bouquets with tulipamytylpana to basketwalpana in a box in a box for a woman for a girl to a child colleague birthday birth flowers for a wedding, I love sorry the child love Female Valentine's Day Valentine's Day March 8 September 1 Day New Year Gifts Gifts Strawberries in Chocolate Ballon Air Balls Farmers Gift Baskets VAZS Soft toys Gift bags Toppers candles cards and envelopes Eat bouquets of strawberries in chocolate Gift baskets Galls finished compositions bouquet with sharahamoro sharovontans from sharshshara for tribal cocliefs Sharovpo Type of Sharovlatex Balls Foil of Sharyprozen Balls Summarizing Sharybolly balls Bubblesars on rolled balls with balls of balls of balls of ball balls gruzdshara Figushara without a pattern Balls with confetti balls of chrompo -painted blue blue green silver silver green Black Black Black Birthday Birthday Wedding Wedding of the Child Calling from the maternity hospital1 September 19 on February 8, March 8, Matkaya Matermodnoye Helloweenno to Godmamapaiparaphedshebenkudl lovers, we will deliver fast delivery in 2 hours or an order at our expense. Fresh flowers guarantee 5-day resistance or replace the bouquet. Will the quality guarantee will not like the bouquet? Replace within 24 hours. Photo control will show the bouquet before sending high -quality service a polite service from a call to the door. Delivery of flowers in Moscow Category Flowers 2005 Bouquets 2073 Roses 1166 Balloons 447 Age 2253 Com 2253 Gifts 242 edible 180 Up to 2000 rub 187 Color color white turquoise golden coral creamy raspberry mex multicolor orange rosy pink -sire Build assembly type of white-raspberry white yellow multi-colored occasion Hare birthday to wedding size 100 25 25 30 35 40 45 50 60 70 Price price ₽ Compassing clips! Free gift for the bouquet! 2 590 ₽ 35 multi -colored roses 40cm - a box of makarun as a gift! 6 reviews order buy in 1 click 3 990 ₽ Bouquet of roses gerber and east - strawberries in chocolate as a gift! 0 reviews order buy in 1 click 5 490 ₽ 101 White rose- Box Makarun as a gift! 2 reviews order buy in 1 click 3 290 ₽ Bouquet of 51 red and white roses - boxing box as a gift! 4 reviews order buy in 1 click 4 590 ₽ 51 lilac and white rose- boxing box as a gift! 5 reviews order buy in 1 click 4 890 ₽ Bouquet of 35 yellow tulips- boxing box as a gift! 0 reviews order buy in 1 click 3 290 ₽ 2 790 ₽ Bouquet of 5 blue hydrangeas - strawberries in chocolate as a gift! 1 reviews order buy in 1 click 5 990 ₽ 4 990 ₽ Bouquet of 11 multi -colored hydrangeas - strawberries in chocolate as a gift! 2 reviews order buy in 1 click Show 101 more rose 5 490 ₽ Bouquet of 101 multi -colored roses in craft 169 reviews order buy in 1 click 5 490 ₽ 101 White rose Buy in 1 click 5 490 ₽ 101 Red rose 181 reviews Buy Buy 1 click 5 490 ₽ 101 Red rose in a film 317 reviews order Buy 1 click 5 490 ₽ 101 Yellow rose 66 reviews Buy in 1 click 5 490 ₽ 101 rose 101 Berry mix in a film 90 reviews order buy in 1 click 5 490 ₽ Bouquet of 101 orange roses in a film 76 reviews order Buy 1 click Show Piones 7 190 ₽ Bouquet of 9 peonies 4 reviews Buy in 1 click 8 490 ₽ 11 white Pions 11 reviews order buy in 1 click 7 190 ₽ Bouquet of 9 white peonies 1 reviews order buy in 1 click 5 790 ₽ Bouquet of 7 white peonies In 1 click 24 990 ₽ 35 multi -colored peonies 0 reviews order buy in 1 click 10 690 ₽ Bouquet with lilac and ranculus 1 reviews order Buy 1 click 5 790 ₽ Bouquet of 7 pink peonies 6 Clicks Buy in 1 click Show until 2000 until 2000 rub 1 390 ₽ Bouquet of 11 raspberry roses 3 reviews Buy Buy in 1 click 1 590 ₽ 9 pink roses Premium 50 cm 6 reviews Buy Buy 1 390 ₽ Bouquet of 11 rose roses with eucalyptus 6 reviews order Buy in 1 click 890 ₽ Bouquet of 3 red roses 50 cm 0 reviews Buy Buy 1 click 1 190 ₽ Bouquet of 5 red roses 50 cm 1 reviews to order in 1 click 1 490 ₽ Bouquet of 5 red roses 60 cm 0 reviews order Buy 1 click 1 490 ₽ Bouquet of 15 lilac roses Click 3 290 ₽ Bouquet of tulips of irises and eucalyptus 3 reviews order buy in 1 click 3 090 ₽ Bouquet of tulips alstromerium and iris 2 reviews order Buy 1 click 3 590 ₽ Bouquet with tulpans alstrient and stature 2 reviews order Buy in 1 click 3 990 ₽ Bouquet of roses of diantus and hydrangeas 1 reviews to order buy in 1 click 2 890 ₽ Bouquet of roses and tulips 1 reviews order Buy 1 click 6 190 ₽ Bouquet with mattiola and peonies 1 Clicks Buy in 1 click 10 690 ₽ Bouquet with Lilac and Ranunkulus 1 reviews order Buy 1 click show another bouquets of strawberries (Magic Candy) 3 290 ₽ Strawberry bouquet (Gold size S) 0 reviews order Buy 1 click 4 990 ₽ Strawberry bouquet (confetti size L) 0 reviews 0 reviews Order buy in 1 click 3 990 ₽ Bouquet of strawberries (confetti size m) 0 reviews order Buy 1 click 3 990 ₽ Strawberry bouquet (Faberge size m) 0 reviews order Buy 1 click 3 290 ₽ Strawberry bouquet (Love S) 0 reviews Order buy in 1 click 3 290 ₽ Bounet bouquet (heart Size s) 0 reviews order Buy 1 click 3 990 ₽ Basket with strawberries “Berry mix” 0 reviews order 1 click 6 990 ₽ Box - Surprise with strawberries “Ball of flowers” ​​0 reviews Buy 1 click show another 51 rose 3 790 ₽ Bouquet of 51 pink roses in a hat box 3 reviews order Buy 1 click 3 790 ₽ Bouquet of 51 red rose in a hat box 1 reviews order Buy in 1 click 3 790 ₽ Bouquet of 51 fiery roses in a hat box 1 reviews order buy in 1 click 3 790 ₽ Bouquet of 51 multi -colored roses in a hat box 1 reviews order Buy 1 Click Show Hydension 3 990 ₽ Bouquet of Dianthus roses and hydrangeas 1 reviews order buy in 1 click 7 990 ₽ 6 390 ₽ Bouquet of 15 multi -colored hydrangeas 13 reviews to order in 1 click 5 990 ₽ 4 990 ₽ Bouquet of 11 pink hydrangeas 5 Clicks Buy 4 990 ₽ Bouquet from rose cloves of hydrangeas and east 3 reviews Buy Buy 1 click Show more hat boxes 3 790 ₽ Bouquet of 51 pink roses in a hat box 3 reviews order Buy 1 190 ₽ 51 tulip in a hat box 0 reviews order Buy 1 click 3 190 ₽ Bouquet of 11 multi -colored gypsophiles in a hat box 2 reviews order buy in 1 click 3 190 ₽ Bouquet of 11 orange gypsophils in a hat box 0 reviews Order Buy 1 Click Show also tulips hit 3 790 ₽ Bouquet of flowers from tulips and dioatus 4 reviews 4 reviews Order buy in 1 click 6 690 ₽ 51 White tulip 2 reviews to order Buy 1 click 2 890 ₽ Bouquet of tulips and bush roses 3 reviews order Buy 1 click 12 290 ₽ 101 Red tulip 1 Clicks Buy in 1 click Show also plaster 3 190 ₽ Bouquet of 11 multi -colored gypsophiles in a hat box 2 reviews order buy in 1 click 3 190 ₽ Bouquet of 11 turquoise gypsophil in a hat box 3 reviews order Buy 1 click 3 290 ₽ Bouquet of 15 pink gypsophilia 2 reviews Buy Buy 1 Click 4 890 ₽ Bouquet of flowers from 25 multi -colored gypsophiles 0 reviews order buy in 1 click Show more roses Premium 2 790 ₽ Bouquet of 15 roses Premium 60 cm 12 Clicks Buy in 1 590 ₽ 9 pink roses Premium 50 cm 6 cm in order to order Buy in 1 click 5 390 ₽ Bouquet of 15 roses Ecuador 70 cm 0 reviews order buy in 1 click 7 390 ₽ Bouquet of 15 white roses Ecuador 100 cm 1 reviews to order 1 click Show more products with a discount 4 290 ₽ 3 490 ₽ 7 blue hydrangeas 3 reviews order buy in 1 click 7 990 ₽ 6 390 ₽ 15 blue hydrangeas 1 reviews order buy in 1 click 7 990 ₽ 6 390 ₽ 15 multi -colored hydrangeas 7 reviews Buy in 1 click 5 990 ₽ 4 990 ₽ 11 multi -colored multi -colored Highways 7 reviews order buy in 1 click Show also order flowers with delivery of flowers delivery in an instant to change the mood of a person to drive away the spleen and sadness. Indeed, for any woman, a bouquet is always a welcome gift regardless of the holiday and reason. Flowers are a simple and universal way to make the life of a loved one brighter and more colorful. The Magic Flower online store offers to order flowers with home or office delivery. Professional florists will select the perfect composition for any reason. We always have a luxurious bouquet for the anniversary, a modest, fragrant presentation for congratulations on a professional holiday, an original floral ensemble for March 8 for a sister or a lover. A rich selection of colors in the catalog is supplemented by sweet bouquets toys and accessories as well as a unique design in hat boxes and baskets. Bouquets to the house delivery of flowers in Moscow are performed by couriers without days off. We offer stylish modern bouquets of flowers. You can order mono -boobs by selecting the required number of buds and complex compositions with different plants. If you need flowers urgently leave a request by phone indicate all the details of the order - we will collect and send a bouquet to the specified address to the house within two hours. Applications for flowers are accepted around the clock. We send delivery by courier on the same day with a bouquet to any address in the capital and Moscow Region. Proceeding is possible from the store for free for regular customers are discounts. We guarantee that the recipient of our floral arrangements will be delighted. Buyers 5072 reviews show another 5,490 ₽ Dmitry 101 red rose bouquet was very beautiful quickly. We are satisfied with all. Thank you 09.11.2023 1 990 ₽ Irina ilinets bouquet of 9 raspberry roses 60 cm acquired a colleague for the second time. For the first time the birthday girl was delighted in the quality of the flowers. I hope that even today everything will pass as well. Thank you so much for your work. Sincerely Irina 09.11.2023 1 390 ₽ Julia bouquet of 1 blue hydrangea in craft Beautiful fresh flowers! Very beautifully packed. They attached the instructions to attach an envelope and a postcard in it! I was satisfied! Thank you! 11.11.2023 3 790 ₽ Elena Bouquet of 51 pink roses in a hat box purchased here a bouquet sent a photo when it was assembled very beautifully. Thanks a lot! 11/08/2023 Show more useful information on how to surprise their favorite girls - delivery of flowers to the house Modern girls are far from Turgenevskaya young ladies and surprise them completely difficult. What only wow .. TOP-10 reasons to give flowers to the lives of people of the 21st century have entered a new fashion trend-to make non-standard gifts. What is not giving .. how to care for a bouquet in a hat box flowers - a traditional and affordable sign of attention for a beloved woman of a mother’s daughter or colleague in RA .. How to choose the right flowers? It would seem that it could be easier than buying flowers for a woman. But in some situations to choose .. Questions and answers 1. What ways to pay? Payment to the courier in cash or bank card upon receipt of the Bank card online 2. How to order flowers? You can place an order by phone or on the site by adding a bouquet you like to the basket and filling out all the necessary fields. 3. Do you have urgent home delivery? The minimum possible time of delivery of the bouquet of flowers immediately after placing the order is 2 hours. 4. At what time is bouquet delivery? Delivery time or office in Moscow - from 7:00 to 1:00 in the Moscow region - from 9:00 to 24:00. Magic Flower - delivery of flower bouquets in Moscow and the region. We accept orders around the clock. Bouquets with a unique style from leading florists. Write to us information guarantee Return Support Privacy Policy Agreement Contacts Contacts Reviews about the site about us Site map Legal information branch in St. Petersburg Popular flowers bouquets of strawberries. Gifts edible bouquets of 101 metro station settlements Magic Flower +7 ( 499) 490-10-90 8 (800) 600-65-76 We work daily from 08:00 to 24:00 call me +7 (499) 490-10-90 | 8 (800) 600-65-76 Buket@magikalflower.ru 129594 Moscow 3rd passage Maryina Grove House 5 Magic Flower © 2023</v>
      </c>
    </row>
    <row r="285">
      <c r="A285" s="1" t="s">
        <v>883</v>
      </c>
      <c r="B285" s="1" t="s">
        <v>912</v>
      </c>
      <c r="C285" s="1" t="s">
        <v>913</v>
      </c>
      <c r="D285" s="1">
        <v>9.0</v>
      </c>
      <c r="E285" s="4" t="s">
        <v>914</v>
      </c>
      <c r="F285" s="1" t="s">
        <v>16</v>
      </c>
      <c r="G285" s="1" t="s">
        <v>915</v>
      </c>
      <c r="H285" s="1" t="s">
        <v>916</v>
      </c>
      <c r="I285" s="2">
        <v>1.0</v>
      </c>
      <c r="J285" s="5" t="str">
        <f>IFERROR(__xludf.DUMMYFUNCTION("GOOGLETRANSLATE(A285)"),"Gypsophyla")</f>
        <v>Gypsophyla</v>
      </c>
      <c r="K285" s="6" t="str">
        <f>IFERROR(__xludf.DUMMYFUNCTION("GOOGLETRANSLATE(B285)"),"Buy bouquets from gypsophila to buy inexpensively in Moscow")</f>
        <v>Buy bouquets from gypsophila to buy inexpensively in Moscow</v>
      </c>
      <c r="L285" s="5" t="str">
        <f>IFERROR(__xludf.DUMMYFUNCTION("GOOGLETRANSLATE(C285)"),"Inexpensively buy bouquets from gypsophiles in the online store, prices from 990 ₽ in Moscow-order with free delivery. We work around the clock!")</f>
        <v>Inexpensively buy bouquets from gypsophiles in the online store, prices from 990 ₽ in Moscow-order with free delivery. We work around the clock!</v>
      </c>
      <c r="M285" s="5" t="str">
        <f>IFERROR(__xludf.DUMMYFUNCTION("GOOGLETRANSLATE(G285)"),"Delivery of flowers to a house in Moscow around the clock to order bouquets in the online store Moscow Adler Anapelsk Astrakhan Barnaul Belgorod Berdsk Bryansk Beligan Velikogor Vladimir Volgograd Volga Voronezh Golendzhik Grozny Dzerzhinsk Dolgoprudny Ye"&amp;"katerinburg Ekaterinburg Izhevsk Ishoshkar-Ola Kalinina Kazan Kazan Kazan Kazan Kazan Kazan Kazan Kazan Kazan Kazan Kazan Kazan Kazan Kazan Kazan Kazan Kazan Kazan Kazan Kazan Kazan Kazan Kazan Kazan Kazan Kazan Kazan Kazan Kazan Kazan Kazan Kazan ols Lug"&amp;"a Kemerovo Kirov Kolomna Korolev Kostroma Krasnodar Krasnoyarsk Kurgan Kursk Lipetsk Magnitogorsk Makhachkala Murmansk Naberezhnye Chelny Naro-Fominsk Nefteyugansk Nizhnekamsk Nizhny Novgorod Nizhny Tagil Novokuznetsk Novosibirsk Noginsk Omsk Orenburg Per"&amp;"m Perm Prokopyvsk Pushkino Ramenovskoye Ramenovskoye Ramenovsko Rostov-on-Don Ryazan Samara St. Petersburg Saransk Saratov Sevastopol Sergiev Posad Serpukhov Simferopol Smolensk Sochi Stavropol Sterlitamak Surgut Syktyvkar Taganrog Togbov Togliatti Tula T"&amp;"ula Tyumen Ulan-Ulanovsk Ufarovsk Cheboksara Chelyabinsk Cherepovets Chitels Yakutsk Yakovlvl bouquets for a girl Builders to their comedians DBU on holidays for the anniversary On February 14 on March 8, on March 8 on May 9, on the last call to the final"&amp;" call on September 1, on the composition of gypsophiles of anemone chamomile, hyacinths Ranunculus Freesia Eustoma Hortensi Piono Khelly Chrysanthemia Alstomeria Tulipa orchid Irisa Lilia type large, small beautiful original chic in the form hearts on col"&amp;"oring creamy multi -colored pink white yellow red blue roses according to rose peonies with rose peonies with chrysanthemums bush roses pionivate rose varieties with lilies in size 15 roses 25 pcs. 31 rose 51 pcs. Big bouquets of roses from roses on color"&amp;"ing yellow pink red white creamy blue rainbow black 101 rose in a box in the basket heart bush pionivate white red orange flowers in the box rose pionoid roses of chrysanthemum orchids tulips of lilies of chrysanthemums of chrysanthemums of pionovids orch"&amp;"ids orhids VK Gifts about us Payment Promotions questions and answers 800 333-22-69 Menus Moscow Adler Anapa Arkhangelsk Astrakhan Barnaul Bernaul Berdsk Bryansk Bryansk Veliky Novgorod Vladimir Volgograd Volzhsky Voronezh Golendzhik Grozny Dzerzhinsk Dol"&amp;"goprudny Yekaterinburg Izoshkutsk Yoshkar-Oola Ningrad Kaluga Kemerovo Kirov Kolomna Korolev Korolev Kostroma Krasnodar Krasnoyarsk Kursk Lipetsk Magnitogorsk Makhachkala murmansk Naberezhnye Chelny Naro-Fominsk Nefteyugansk Nizhnekamsk Nizhny Novgorod Ni"&amp;"zhny Tagil Novokuznetsk Novorossiysk Novosibirsk Orenburg Penza Penza Permypopypyevsk Prokopypypyk But Ramenskoye Reutov Rostov-on-Don Ryazan Samara St. Petersburg Saransk Saratov Sevastopol Sergiev Sergiev Simferopol Simferopol Smolensk Sochovs Solitamak"&amp;" Syktyvkar Taganrog Togbov Togliatti Toli Tula Tula Tyumen Ulan-Ulanovsk Ufarovsk Cheboksary Chelyabinsk Cherepovets Yakutsk Yakoslavl on Reviews Payment Gallery Contacts Contacts Contacts Moscow st. Big Bronnaya village of 7 Master in Moscow: Mira Avenue"&amp;" 88 Pav. 147 Pyatnitskaya street 12 p. 2 Usacheva street 29 bldg. 8 Goncharaya Street 38 Cash Lane 5 p. 4 st. Yana Rainis d. 10 Search 8 (800) 333-22-69 8 (952) 840-77-77 around the clock* Opening hours: from 06:00 to 00:00 Delivery: around the clock, the"&amp;" basket is empty your basket is empty! X Bouquets about VIP-boots for a girl birthday bouquet to mom to customers colleague for a wedding on holidays on a holiday on the anniversary on February 14 on March 8 on May 9 on the last call for graduation on Sep"&amp;"tember 1, on the composition of the Ranacints Ranunkulusa Freesia Eustoma Hortensi Hortensi Hypsophiles Hypsofiles. Pionoles Calla chrysanthemum alstromeria tulips orchids Irisa Lilia Types type Kraft boketeers large small beautiful original chic gorgeous"&amp;" in the form of a heart in the form of painting creamy pink red red roses roses with peonies with chrysanthemums bush roses rose with lilies in size to lilies in size. 15 roses 25 pcs. 31 rose 51 pcs. Big bouquets of roses from roses on coloring yellow pi"&amp;"nk red white creamy blue rainbow black 101 roses in a box in the basket heart bush pionivate white red orange flowers in the box rose pionoid roses of chrysanthemums of orchids tulips of lilies of chrysanthemum pionome roses orchids roses roses Irose Iros"&amp;"is Darki Promotions Price are the most favorable price regarding quality. The choice in the assortment is more than a thousand different colors. Quality flowers of first freshness. We give a guarantee! Delivery round -the -clock delivery when ordering fro"&amp;"m 2500 rubles. Reviews Real reviews with photos from our customers. The best offer of 19 pink tulips in the R416 box is a cylinder with bright tulips of 19 pink tulips in a box with the addition of ribbons .... 4,990 rubles. In a basket of 19 hyacinths in"&amp;" a box with ribbons R200, a light cylinder with fragrant hyacinths of 19 hyacinths The color of hyacinths and cylinder can be selected .... 4 090 rubles. In the basket, a bouquet of 11 branches of lush pink hydrangea R704 Pink bouquet of lush hydrangea 11"&amp;" branches of hydrangea with decoration .... 13,750 rubles. In the basket 31 branch of white freesia in the black box R855 is a stylish composition with white milling 31 branch of fragrant freesia in a box .... 4,790 rubles. In the basket of 31 red tulip i"&amp;"n the R194 hat box, a light cylinder with red tulips 31 red tulip color of tulips and cylinder can be under .... 6,950 rubles. 6 603 rub. In the basket, a bouquet is 11 hyacinths in the design of R1073 Bouquet of pink hyacinths 11 large buds in the packag"&amp;"e .... 4,750 rubles. In the basket, a bouquet 3 branches of hydrangea mix with the design of R713 bouquet of hydrangea mix 3 branches of hydrangea mix with decoration .... 3,890 rubles. In the basket, a bouquet of 25 branches of white freesia in the packa"&amp;"ging R1099 is a delicate fragrant bouquet of 25 branches of white freesia with decoration .... 5 490 rubles. In the basket, a bouquet of roses and irises with the design of the R1059 is a prefabricated bouquet with a design of 10 cream roses 19 irises in "&amp;"a package .... 5 850 rubles. In the basket 201 tulip assorted R294 Basket with tulips 201 Assorted tulips in the basket .... 36,200 rubles. In the basket, a bouquet of 11 pink hyacinths with the design of R1081 Delicate bouquet of fragrant hyacinths 11 br"&amp;"anches with decoration .... 4,790 rubles. In the basket, a bouquet of 5 branches of hydrangea MIX R754 Bouquet of Hortensi Mix White and Blue Hydrangea 5 Ves is a beautiful bouquet design .... 6 490 rubles. In the basket, a bouquet 51 branch of freesia in"&amp;" black craft R853 bouquet of fragrant freesia 51 branch of white freesia in craft .... 9,390 rubles. In the basket, the composition in the box of tulips and irises R3246 is a stylish composition in a box of 20 yellow tulips of 35 lilac irises .... 12,950 "&amp;"rubles. In the basket of 29 pink tulips in the R974 box, the composition in the box of 29 pale pink tulips .... 6 590 rubles. 6 261 rub. In the basket, a bouquet of 15 hyacinths mix with an ofomorm R1090 A fragrant bouquet of hyacinths 15 pieces of mix wi"&amp;"th decoration .... 6 190 rubles. In the basket, a bouquet of 5 branches of pink large hydrangea R694 is a bouquet of delicate pink hydrangea 5 branches of large hydrangea in craft .... 6,490 rubles. In the basket, the prefabricated box with white milling "&amp;"and roses R854 A fragrant composition in the cylinder of 30 branches of white freesia 19 branches of white bush rose is decorated .... 10,790 rubles. In the basket, the assembly bouquet of irises and chrysanthemums in craft R1511 A prefabricated bright bo"&amp;"uquet of 15 irises 10 pink chrysanthemum design of the bouquet .... 8 660 rubles. In the basket of the balloon balls of the heart R773, composition balloons of the heart are 29 latex hearts 1 foil heart .... 5 590 rub. In the basket, popular products bouq"&amp;"uet of 9 branches of a bush rose with a package R527 bouquet of pink rose 9 branches of a fluffy bush rose decoration in craft with the addition of ... 4,750 rubles. In the basket, a prefabricated bouquet is white roses and alstromeria R497 a prefabricate"&amp;"d bouquet of white roses and alstromeria 11 roses 10 branches of pink alstromeria decoration in ... 4,830 rubles. In the basket, a bouquet 101 rose is red and white with a packaging R501 Union of a scarlet and white shade is harmoniously manifested in a l"&amp;"arge fresh bouquet of 101 roses. He is neatly ... 17 050 rub. 16 198 rub. In the basket, a large bouquet 101 Red pionic rose R110 is a juicy languid passionate bouquet of 101 large roses of an unusual shape will become a temptation for its own ... 34,850 "&amp;"rubles. In the basket, a huge bouquet is 101 pink peony with the design of the R175 huge bouquet of pink peonies 101 pink peony ribbon design ... 44 190 rubles. In the basket, a bouquet of 7 roses in the package R70 Bouquet-commercial 7 white roses in cra"&amp;"ft decoration with the addition of ribbons ... 3,350 rubles. In the basket, a large bouquet of 101 white roses in craft R494 A large bouquet of 101 white bud will be a special gift. Fresh beautiful roses attract ... 16,990 rubles. In the basket, a bouquet"&amp;" of 9 branches of chrysanthemum in craft R129 White chamomile chrysanthemum bouquet 9 fluffy branches decoration in craft ... 4,420 rubles. In the basket, a bouquet-commercial 1 branch of hydrangea R692 Bouquet-complex with a package of 1 branch of fluffy"&amp;" hydrangea with a decoration ... 1,950 rubles. In the basket 101 red rose is 150 cm with R886 high roses of exquisite red shade 150 cm high will conquer the female heart. You can arrange a bo ... 70 700 rubles. In the basket, a bouquet of 9 large red rose"&amp;"s r66 bouquet of 9 large red roses design of craft tape ... 4,390 rubles. In the basket, a bouquet of roses in craft R455 bouquet of prefabricated roses red roses 9 pcs Pink roses 5 pcs Cream roses 5 branches ... 5 350 rubles. In the basket of 15 branches"&amp;" of multi-colored chrysanthemums with a package of R131, a prefabricated white-pink bouquet 15 branches of chamomile chrysanthemum decoration in craft ... 6,740 rubles. In the basket, a bouquet of 9 blue roses in craft R249 Bouquet of blue roses European "&amp;"blue roses with a large bud - 9 pcs in craft ... 5,350 rubles. In the basket, a bouquet of 25 pionoid bush roses with a package R157 bouquet of bush pionivate roses pink bush pionivate roses - 25 pcs decorating the tape to ... 9,150 rubles. In the basket,"&amp;" a prefabricated bouquet with red roses in the packaging R301 Rose bouquet composition: red roses Pionovid roses white cotton Greens Decoration ... 3,590 rubles. In the basket, the assembly bouquet of roses and chrysanthemums with the design of the R80 as"&amp;"sembly bouquet with chrysanthemum 5 pink roses 7 branches of chrysanthemum 10 branches of eastoma ... 8 588 rubles. In the basket of a bouquet of 25 red roses in craft R102, a bouquet of 25 large red roses decoration of the Kraft tape is paid separately ."&amp;".. 5,490 rubles. 5 216 rubles. In the basket, a bouquet of 15 red roses with the design of R67 is a bouquet of 15 large red roses design of tape craft ... 3 920 rubles. In the basket, the bouquet is a large red rose with ribbons R104 bouquet of 51 large r"&amp;"ed rose decoration with ribbons ... 7 050 rub. In the basket we recommend a hat box with roses and pasta R149 a cylinder with roses and pasta 15 white roses and 9 pasta color the color of roses and cylinder can be selected .... 7,150 rubles. 6 793 rub. In"&amp;" the basket, a bouquet of 9 blue roses in craft R249 Bouquet of blue roses European blue roses with a large bud - 9 pcs design in craft .... 5 350 rubles. In the basket, the bouquet is 21 large red rose r68 bouquet of 21 large rose design of tape craft .."&amp;".. 4 900 rubles. In the basket, the assembly bouquet of roses and chrysanthemums with the design of the R80 assembly bouquet with chrysanthemum 5 pink roses 7 branches of chrysanthemum 10 branches of eastoma .... 8 588 rubles. In the basket, a prefabricat"&amp;"ed bouquet with red roses in the packaging R301 Rose bouquet composition: Red roses Pionovid roses white cotton Greens Decoration .... 3 590 rubles. In the basket, a bouquet 31 red rose in craft R103 Bouquet of scarlet roses 31 scarlet rose variety presti"&amp;"ge design craft tape .... 6 190 rub. 5 881 rub. In a basket, flowers in a box of 25 red roses R148 are a light cylinder with red roses of 25 red roses the color of roses and a cylinder can be selected .... 6 090 rubles. 5 786 rub. In the basket, a large b"&amp;"ouquet 101 Red High rose R373 composition of 101 red roses symbolizes feelings. The buds smell delicious. Lush bouquet before .... 35 390 rub. In the basket 101 Blue rose with the design of flowers in the bouquet R378 101 Blue dazzling rose makes the bouq"&amp;"uet even more exclusive. The color passes the aura Taena .... 30 650 rubles. In the basket, a box with pasta r210 Box -room with pasta. Macaroni composition of flowers cookies of pasta - 5 pcs .... 3,390 rubles. In the basket of 19 pink roses in the R146 "&amp;"box, a light cylinder with pink roses of 19 bright pink roses color of roses and cylinder can be selected .... 5 590 rubles. In the basket, a delicate box with pionoid roses and pasta R214 is a delicate box with pionoid roses and pasta, a prefabricated co"&amp;"mposition of flowers cookies .... 5 850 rubles. In the basket heart is 31 red rose in the box R167 Red Heart in the box 31 red rose decoration in the box .... 7 250 rubles. In the basket, the pionivate roses of the orchids and hydrangea R237 composition i"&amp;"n white colors in the cylinder white pionic roses Snowel hydrangea large orchids .... 8 450 rubles. In the basket of 25 large pionoid roses in the R202 box, a cylinder with pionoid roses large -headed peonia roses - 25 pcs Kraft ribbons .... 11 550 rubles"&amp;". In the basket 51 red pionivate rose in a box with ribbons R75 cylinder with pionoid roses, large -headed pionoid roses - 51 pcs. Kraft ribbons .... 20 550 rubles. 19 523 rubles. In the basket, a bouquet of 51 pionivate rose with ribbons R145 Tender pion"&amp;"ivate roses Pink O'Hara 51 pink rose formulation of the tape is possible ..... 14 050 rubles. In the basket, a bouquet of 25 rose roses in black craft R395 Bouquet of 25 pink roses decoration in black craft .... 5 490 rub. 19 white Call in the Black Box R"&amp;"731 is beneficial in the basket of white calico composition in a box of 19 Call in a black box ... 8 190 rubles. 6 990 rub. In the basket 51 orchid bouquet in the box R789, the composition of the orchids Assorted in the box 51 buds of orchids ... 22,950 r"&amp;"ub. 19,990 rub. In the basket, the bouquet 101 branch of Freesia mix R856 is a large bouquet of fragrant freesia 101 branch of multi -colored freesia with the addition of greens and off ... 20,390 rubles. 15 590 rub. In the basket, a bouquet of 19 branche"&amp;"s of white freesia in craft R851 is a delicate bouquet of white freesia in craft 19 branches of fragrant freesia with a decoration ... 4,750 rubles. 3 590 rub. In the basket, a bouquet 31 white calla in craft R738 is a stylish bouquet of snow -white calic"&amp;"o 31 white large calla in packaging with ribbons ... 12,450 rubles. 9 550 rub. In the basket, a bouquet of 39 irises with the design of R119 Bouquet of bright irises 39 irises design in craft ... 6,750 rubles. 5 550 rub. In the basket, a bouquet of 75 pin"&amp;"k peonies with the design of R1094 A large bouquet of pink peonies 75 large buds with ribbons ... 39,690 rubles. 36 950 rub. In the basket of basket 51 branch of chrysanthemum assortem R300 basket of bright chrysanthemum 51 branch of chrysanthemum assortm"&amp;"ent in the basket ... 120 188 rubles. 11 990 rub. In the basket, a prefabricated bouquet with orchids and irises R122 bouquet of irises and orchids 20 irises design in craft 19 cream roses 10 rose orchids ... 9,250 rubles. 6 950 rub. In the basket, a pref"&amp;"abricated bouquet with orchids and callas R641 A prefabricated bouquet with orchids 5 burgundy calists 5 large buds of orchids white eastoma 5 branches ... 10,090 rubles. 8 550 rub. In the basket, the impressions of our store 1214 reviews are executed per"&amp;"fectly. A polite operational manager correctly and quickly helped with flowers. Execution and delivery were very pleased. Thank you! Alexey 11/30/2022 ordered flowers from another city. Everyone did it just great !!! They sent a photo of the flowers of th"&amp;"e box of the finished gift! Delivered exactly to the time. The birthday girl was battered by Larisa 09.11.2022 The best! We made our holiday! Decoration in the form of flowers is always to the place! We gave this bouquet to mom and then together it was di"&amp;"smantled on the vases and placed in the hall! It turned out 9 VAZ !!!! Our holiday was fragrant thanks to your efforts! Nastya 09/03/2022 I express my personal thanks to the employee Yulia, the communication is not very intrusive. Yes, and flowers to the "&amp;"addressee were to the taste of which is important of course. Peter 08/16/2022 ordered this bouquet for the teacher. They chose for a long time with the whole class ..... Anna Viktorovna was surprised how we guessed with color under her new dress Ahahaha w"&amp;"as cool! Thank you for the beautiful flowers! Masha and the company 07.08.2022 The first time I write a review with the words of gratitude! I had the pleasure of ordering flowers from you to get a decent bouquet and on time that for me are the most import"&amp;"ant criteria for flowing colors. Alla 08.08.2022 All Hood Vitya 07/30/2022 In life, the bouquet looks more than in your photo it caused inconvenience! I had to urgently look for a new vase: (((Irina 07/29/2022 A beautiful bouquet of the aroma for the whol"&amp;"e house! My wife is happy! The first time you ordered))) Cyril 07/14/2022 There are no emotions how amazing this bouquet! You are wizards! Thousands of thanks! Olenka 07/14/2022 did not find a suitable option? We will make a composition taking into accoun"&amp;"t your wishes and budget! Call us and order by phone: 8 (800) 333-22-69 or order a return call our photo View all 8 (952) 840-77-77 WhatsApp: 7952840777 Moscow st. Big Bronnaya village of 7 Master in Moscow: Mira Avenue 88 Pav. 147 Pyatnitskaya street 12 "&amp;"p. 2 Usacheva street 29 bldg. 8 Goncharaya Street 38 Cash Lane 5 p. 4 st. Yana Rynis d. 10 Opening hours: from 06:00 to 00:00 Delivery: around the clock about VIP-boots to girl Birthday Bouquet Bouquet to my mother to customers colleague for a wedding on "&amp;"holidays on a anniversary on February 14 on March 9 on May 9 on May 9 The last call to the graduation on September 1, on the composition of the composition of the drywalls of the anemone chamomile hyacinths, Ranunkulus Freesia Eustoma Hortensi Piono Khell"&amp;"y Chrysanthemum Alstomeria Tulpans of orchids Irisa Lilia, Large small, beautiful original gorgeous gorgeous in the form of a heart in color. Multi-colored yellow red red blue we are in socialists :      Задать вопрос         Доставка цветов в городе: Адл"&amp;"ер Анапа Архангельск Астрахань Барнаул Белгород Бердск Бийск Брянск Великий Новгород Владивосток Владимир Волгоград Волжский Вологда Воронеж Геленджик Грозный Дзержинск Долгопрудный Екатеринбург Зеленоград Иваново Ижевск Иркутск Йошкар-ола Казань Калининг"&amp;"рад Калуга Кемерово Киров Коломна Королев Кострома Краснодар Красноярск Курган Курск Липецк Magnitogorsk Makhachkala Moscow Murmansk Naberezhnye Naro-Fominsk Nefteyugansk Nizhnekamsk Nizhny Novgorod Nizhny Tagil Novokuznetsk Novorossiysk Novosibirsk Omsk "&amp;"Orenburg Orenburg Penza Perm Podolsk Pushkinsko Ramenskoye Reutov Rostov Rostov-Don Samara Samara Samara Samara Samara Samara Samara Samara Samara Samara Samara Samara Samara Samara Samara Samara Samara Samara Samara Samara Samara Samara Samara Samara Sam"&amp;"ara Samara Samara Samara Samara Samara Samara Samara Burg Saransk Saratov Sevastopol Sergiev Posad Serpukhov Simferopol Smolensk Sochi Stavropol Sterlitamak Surgut Syktyvkar Taganrog Tolly Togliatti Tomsk Tula Tula Ulan-Ulan-Ude Ulyanovsk Ufarovsk Cheboks"&amp;"ary Chelyabinsk Cherepovets Chita Yakutsk Yaloslavl © 2023 is not a public offer. Promotion of the online store Toptimum.ru")</f>
        <v>Delivery of flowers to a house in Moscow around the clock to order bouquets in the online store Moscow Adler Anapelsk Astrakhan Barnaul Belgorod Berdsk Bryansk Beligan Velikogor Vladimir Volgograd Volga Voronezh Golendzhik Grozny Dzerzhinsk Dolgoprudny Yekaterinburg Ekaterinburg Izhevsk Ishoshkar-Ola Kalinina Kazan Kazan Kazan Kazan Kazan Kazan Kazan Kazan Kazan Kazan Kazan Kazan Kazan Kazan Kazan Kazan Kazan Kazan Kazan Kazan Kazan Kazan Kazan Kazan Kazan Kazan Kazan Kazan Kazan Kazan Kazan Kazan ols Luga Kemerovo Kirov Kolomna Korolev Kostroma Krasnodar Krasnoyarsk Kurgan Kursk Lipetsk Magnitogorsk Makhachkala Murmansk Naberezhnye Chelny Naro-Fominsk Nefteyugansk Nizhnekamsk Nizhny Novgorod Nizhny Tagil Novokuznetsk Novosibirsk Noginsk Omsk Orenburg Perm Perm Prokopyvsk Pushkino Ramenovskoye Ramenovskoye Ramenovsko Rostov-on-Don Ryazan Samara St. Petersburg Saransk Saratov Sevastopol Sergiev Posad Serpukhov Simferopol Smolensk Sochi Stavropol Sterlitamak Surgut Syktyvkar Taganrog Togbov Togliatti Tula Tula Tyumen Ulan-Ulanovsk Ufarovsk Cheboksara Chelyabinsk Cherepovets Chitels Yakutsk Yakovlvl bouquets for a girl Builders to their comedians DBU on holidays for the anniversary On February 14 on March 8, on March 8 on May 9, on the last call to the final call on September 1, on the composition of gypsophiles of anemone chamomile, hyacinths Ranunculus Freesia Eustoma Hortensi Piono Khelly Chrysanthemia Alstomeria Tulipa orchid Irisa Lilia type large, small beautiful original chic in the form hearts on coloring creamy multi -colored pink white yellow red blue roses according to rose peonies with rose peonies with chrysanthemums bush roses pionivate rose varieties with lilies in size 15 roses 25 pcs. 31 rose 51 pcs. Big bouquets of roses from roses on coloring yellow pink red white creamy blue rainbow black 101 rose in a box in the basket heart bush pionivate white red orange flowers in the box rose pionoid roses of chrysanthemum orchids tulips of lilies of chrysanthemums of chrysanthemums of pionovids orchids orhids VK Gifts about us Payment Promotions questions and answers 800 333-22-69 Menus Moscow Adler Anapa Arkhangelsk Astrakhan Barnaul Bernaul Berdsk Bryansk Bryansk Veliky Novgorod Vladimir Volgograd Volzhsky Voronezh Golendzhik Grozny Dzerzhinsk Dolgoprudny Yekaterinburg Izoshkutsk Yoshkar-Oola Ningrad Kaluga Kemerovo Kirov Kolomna Korolev Korolev Kostroma Krasnodar Krasnoyarsk Kursk Lipetsk Magnitogorsk Makhachkala murmansk Naberezhnye Chelny Naro-Fominsk Nefteyugansk Nizhnekamsk Nizhny Novgorod Nizhny Tagil Novokuznetsk Novorossiysk Novosibirsk Orenburg Penza Penza Permypopypyevsk Prokopypypyk But Ramenskoye Reutov Rostov-on-Don Ryazan Samara St. Petersburg Saransk Saratov Sevastopol Sergiev Sergiev Simferopol Simferopol Smolensk Sochovs Solitamak Syktyvkar Taganrog Togbov Togliatti Toli Tula Tula Tyumen Ulan-Ulanovsk Ufarovsk Cheboksary Chelyabinsk Cherepovets Yakutsk Yakoslavl on Reviews Payment Gallery Contacts Contacts Contacts Moscow st. Big Bronnaya village of 7 Master in Moscow: Mira Avenue 88 Pav. 147 Pyatnitskaya street 12 p. 2 Usacheva street 29 bldg. 8 Goncharaya Street 38 Cash Lane 5 p. 4 st. Yana Rainis d. 10 Search 8 (800) 333-22-69 8 (952) 840-77-77 around the clock* Opening hours: from 06:00 to 00:00 Delivery: around the clock, the basket is empty your basket is empty! X Bouquets about VIP-boots for a girl birthday bouquet to mom to customers colleague for a wedding on holidays on a holiday on the anniversary on February 14 on March 8 on May 9 on the last call for graduation on September 1, on the composition of the Ranacints Ranunkulusa Freesia Eustoma Hortensi Hortensi Hypsophiles Hypsofiles. Pionoles Calla chrysanthemum alstromeria tulips orchids Irisa Lilia Types type Kraft boketeers large small beautiful original chic gorgeous in the form of a heart in the form of painting creamy pink red red roses roses with peonies with chrysanthemums bush roses rose with lilies in size to lilies in size. 15 roses 25 pcs. 31 rose 51 pcs. Big bouquets of roses from roses on coloring yellow pink red white creamy blue rainbow black 101 roses in a box in the basket heart bush pionivate white red orange flowers in the box rose pionoid roses of chrysanthemums of orchids tulips of lilies of chrysanthemum pionome roses orchids roses roses Irose Irosis Darki Promotions Price are the most favorable price regarding quality. The choice in the assortment is more than a thousand different colors. Quality flowers of first freshness. We give a guarantee! Delivery round -the -clock delivery when ordering from 2500 rubles. Reviews Real reviews with photos from our customers. The best offer of 19 pink tulips in the R416 box is a cylinder with bright tulips of 19 pink tulips in a box with the addition of ribbons .... 4,990 rubles. In a basket of 19 hyacinths in a box with ribbons R200, a light cylinder with fragrant hyacinths of 19 hyacinths The color of hyacinths and cylinder can be selected .... 4 090 rubles. In the basket, a bouquet of 11 branches of lush pink hydrangea R704 Pink bouquet of lush hydrangea 11 branches of hydrangea with decoration .... 13,750 rubles. In the basket 31 branch of white freesia in the black box R855 is a stylish composition with white milling 31 branch of fragrant freesia in a box .... 4,790 rubles. In the basket of 31 red tulip in the R194 hat box, a light cylinder with red tulips 31 red tulip color of tulips and cylinder can be under .... 6,950 rubles. 6 603 rub. In the basket, a bouquet is 11 hyacinths in the design of R1073 Bouquet of pink hyacinths 11 large buds in the package .... 4,750 rubles. In the basket, a bouquet 3 branches of hydrangea mix with the design of R713 bouquet of hydrangea mix 3 branches of hydrangea mix with decoration .... 3,890 rubles. In the basket, a bouquet of 25 branches of white freesia in the packaging R1099 is a delicate fragrant bouquet of 25 branches of white freesia with decoration .... 5 490 rubles. In the basket, a bouquet of roses and irises with the design of the R1059 is a prefabricated bouquet with a design of 10 cream roses 19 irises in a package .... 5 850 rubles. In the basket 201 tulip assorted R294 Basket with tulips 201 Assorted tulips in the basket .... 36,200 rubles. In the basket, a bouquet of 11 pink hyacinths with the design of R1081 Delicate bouquet of fragrant hyacinths 11 branches with decoration .... 4,790 rubles. In the basket, a bouquet of 5 branches of hydrangea MIX R754 Bouquet of Hortensi Mix White and Blue Hydrangea 5 Ves is a beautiful bouquet design .... 6 490 rubles. In the basket, a bouquet 51 branch of freesia in black craft R853 bouquet of fragrant freesia 51 branch of white freesia in craft .... 9,390 rubles. In the basket, the composition in the box of tulips and irises R3246 is a stylish composition in a box of 20 yellow tulips of 35 lilac irises .... 12,950 rubles. In the basket of 29 pink tulips in the R974 box, the composition in the box of 29 pale pink tulips .... 6 590 rubles. 6 261 rub. In the basket, a bouquet of 15 hyacinths mix with an ofomorm R1090 A fragrant bouquet of hyacinths 15 pieces of mix with decoration .... 6 190 rubles. In the basket, a bouquet of 5 branches of pink large hydrangea R694 is a bouquet of delicate pink hydrangea 5 branches of large hydrangea in craft .... 6,490 rubles. In the basket, the prefabricated box with white milling and roses R854 A fragrant composition in the cylinder of 30 branches of white freesia 19 branches of white bush rose is decorated .... 10,790 rubles. In the basket, the assembly bouquet of irises and chrysanthemums in craft R1511 A prefabricated bright bouquet of 15 irises 10 pink chrysanthemum design of the bouquet .... 8 660 rubles. In the basket of the balloon balls of the heart R773, composition balloons of the heart are 29 latex hearts 1 foil heart .... 5 590 rub. In the basket, popular products bouquet of 9 branches of a bush rose with a package R527 bouquet of pink rose 9 branches of a fluffy bush rose decoration in craft with the addition of ... 4,750 rubles. In the basket, a prefabricated bouquet is white roses and alstromeria R497 a prefabricated bouquet of white roses and alstromeria 11 roses 10 branches of pink alstromeria decoration in ... 4,830 rubles. In the basket, a bouquet 101 rose is red and white with a packaging R501 Union of a scarlet and white shade is harmoniously manifested in a large fresh bouquet of 101 roses. He is neatly ... 17 050 rub. 16 198 rub. In the basket, a large bouquet 101 Red pionic rose R110 is a juicy languid passionate bouquet of 101 large roses of an unusual shape will become a temptation for its own ... 34,850 rubles. In the basket, a huge bouquet is 101 pink peony with the design of the R175 huge bouquet of pink peonies 101 pink peony ribbon design ... 44 190 rubles. In the basket, a bouquet of 7 roses in the package R70 Bouquet-commercial 7 white roses in craft decoration with the addition of ribbons ... 3,350 rubles. In the basket, a large bouquet of 101 white roses in craft R494 A large bouquet of 101 white bud will be a special gift. Fresh beautiful roses attract ... 16,990 rubles. In the basket, a bouquet of 9 branches of chrysanthemum in craft R129 White chamomile chrysanthemum bouquet 9 fluffy branches decoration in craft ... 4,420 rubles. In the basket, a bouquet-commercial 1 branch of hydrangea R692 Bouquet-complex with a package of 1 branch of fluffy hydrangea with a decoration ... 1,950 rubles. In the basket 101 red rose is 150 cm with R886 high roses of exquisite red shade 150 cm high will conquer the female heart. You can arrange a bo ... 70 700 rubles. In the basket, a bouquet of 9 large red roses r66 bouquet of 9 large red roses design of craft tape ... 4,390 rubles. In the basket, a bouquet of roses in craft R455 bouquet of prefabricated roses red roses 9 pcs Pink roses 5 pcs Cream roses 5 branches ... 5 350 rubles. In the basket of 15 branches of multi-colored chrysanthemums with a package of R131, a prefabricated white-pink bouquet 15 branches of chamomile chrysanthemum decoration in craft ... 6,740 rubles. In the basket, a bouquet of 9 blue roses in craft R249 Bouquet of blue roses European blue roses with a large bud - 9 pcs in craft ... 5,350 rubles. In the basket, a bouquet of 25 pionoid bush roses with a package R157 bouquet of bush pionivate roses pink bush pionivate roses - 25 pcs decorating the tape to ... 9,150 rubles. In the basket, a prefabricated bouquet with red roses in the packaging R301 Rose bouquet composition: red roses Pionovid roses white cotton Greens Decoration ... 3,590 rubles. In the basket, the assembly bouquet of roses and chrysanthemums with the design of the R80 assembly bouquet with chrysanthemum 5 pink roses 7 branches of chrysanthemum 10 branches of eastoma ... 8 588 rubles. In the basket of a bouquet of 25 red roses in craft R102, a bouquet of 25 large red roses decoration of the Kraft tape is paid separately ... 5,490 rubles. 5 216 rubles. In the basket, a bouquet of 15 red roses with the design of R67 is a bouquet of 15 large red roses design of tape craft ... 3 920 rubles. In the basket, the bouquet is a large red rose with ribbons R104 bouquet of 51 large red rose decoration with ribbons ... 7 050 rub. In the basket we recommend a hat box with roses and pasta R149 a cylinder with roses and pasta 15 white roses and 9 pasta color the color of roses and cylinder can be selected .... 7,150 rubles. 6 793 rub. In the basket, a bouquet of 9 blue roses in craft R249 Bouquet of blue roses European blue roses with a large bud - 9 pcs design in craft .... 5 350 rubles. In the basket, the bouquet is 21 large red rose r68 bouquet of 21 large rose design of tape craft .... 4 900 rubles. In the basket, the assembly bouquet of roses and chrysanthemums with the design of the R80 assembly bouquet with chrysanthemum 5 pink roses 7 branches of chrysanthemum 10 branches of eastoma .... 8 588 rubles. In the basket, a prefabricated bouquet with red roses in the packaging R301 Rose bouquet composition: Red roses Pionovid roses white cotton Greens Decoration .... 3 590 rubles. In the basket, a bouquet 31 red rose in craft R103 Bouquet of scarlet roses 31 scarlet rose variety prestige design craft tape .... 6 190 rub. 5 881 rub. In a basket, flowers in a box of 25 red roses R148 are a light cylinder with red roses of 25 red roses the color of roses and a cylinder can be selected .... 6 090 rubles. 5 786 rub. In the basket, a large bouquet 101 Red High rose R373 composition of 101 red roses symbolizes feelings. The buds smell delicious. Lush bouquet before .... 35 390 rub. In the basket 101 Blue rose with the design of flowers in the bouquet R378 101 Blue dazzling rose makes the bouquet even more exclusive. The color passes the aura Taena .... 30 650 rubles. In the basket, a box with pasta r210 Box -room with pasta. Macaroni composition of flowers cookies of pasta - 5 pcs .... 3,390 rubles. In the basket of 19 pink roses in the R146 box, a light cylinder with pink roses of 19 bright pink roses color of roses and cylinder can be selected .... 5 590 rubles. In the basket, a delicate box with pionoid roses and pasta R214 is a delicate box with pionoid roses and pasta, a prefabricated composition of flowers cookies .... 5 850 rubles. In the basket heart is 31 red rose in the box R167 Red Heart in the box 31 red rose decoration in the box .... 7 250 rubles. In the basket, the pionivate roses of the orchids and hydrangea R237 composition in white colors in the cylinder white pionic roses Snowel hydrangea large orchids .... 8 450 rubles. In the basket of 25 large pionoid roses in the R202 box, a cylinder with pionoid roses large -headed peonia roses - 25 pcs Kraft ribbons .... 11 550 rubles. In the basket 51 red pionivate rose in a box with ribbons R75 cylinder with pionoid roses, large -headed pionoid roses - 51 pcs. Kraft ribbons .... 20 550 rubles. 19 523 rubles. In the basket, a bouquet of 51 pionivate rose with ribbons R145 Tender pionivate roses Pink O'Hara 51 pink rose formulation of the tape is possible ..... 14 050 rubles. In the basket, a bouquet of 25 rose roses in black craft R395 Bouquet of 25 pink roses decoration in black craft .... 5 490 rub. 19 white Call in the Black Box R731 is beneficial in the basket of white calico composition in a box of 19 Call in a black box ... 8 190 rubles. 6 990 rub. In the basket 51 orchid bouquet in the box R789, the composition of the orchids Assorted in the box 51 buds of orchids ... 22,950 rub. 19,990 rub. In the basket, the bouquet 101 branch of Freesia mix R856 is a large bouquet of fragrant freesia 101 branch of multi -colored freesia with the addition of greens and off ... 20,390 rubles. 15 590 rub. In the basket, a bouquet of 19 branches of white freesia in craft R851 is a delicate bouquet of white freesia in craft 19 branches of fragrant freesia with a decoration ... 4,750 rubles. 3 590 rub. In the basket, a bouquet 31 white calla in craft R738 is a stylish bouquet of snow -white calico 31 white large calla in packaging with ribbons ... 12,450 rubles. 9 550 rub. In the basket, a bouquet of 39 irises with the design of R119 Bouquet of bright irises 39 irises design in craft ... 6,750 rubles. 5 550 rub. In the basket, a bouquet of 75 pink peonies with the design of R1094 A large bouquet of pink peonies 75 large buds with ribbons ... 39,690 rubles. 36 950 rub. In the basket of basket 51 branch of chrysanthemum assortem R300 basket of bright chrysanthemum 51 branch of chrysanthemum assortment in the basket ... 120 188 rubles. 11 990 rub. In the basket, a prefabricated bouquet with orchids and irises R122 bouquet of irises and orchids 20 irises design in craft 19 cream roses 10 rose orchids ... 9,250 rubles. 6 950 rub. In the basket, a prefabricated bouquet with orchids and callas R641 A prefabricated bouquet with orchids 5 burgundy calists 5 large buds of orchids white eastoma 5 branches ... 10,090 rubles. 8 550 rub. In the basket, the impressions of our store 1214 reviews are executed perfectly. A polite operational manager correctly and quickly helped with flowers. Execution and delivery were very pleased. Thank you! Alexey 11/30/2022 ordered flowers from another city. Everyone did it just great !!! They sent a photo of the flowers of the box of the finished gift! Delivered exactly to the time. The birthday girl was battered by Larisa 09.11.2022 The best! We made our holiday! Decoration in the form of flowers is always to the place! We gave this bouquet to mom and then together it was dismantled on the vases and placed in the hall! It turned out 9 VAZ !!!! Our holiday was fragrant thanks to your efforts! Nastya 09/03/2022 I express my personal thanks to the employee Yulia, the communication is not very intrusive. Yes, and flowers to the addressee were to the taste of which is important of course. Peter 08/16/2022 ordered this bouquet for the teacher. They chose for a long time with the whole class ..... Anna Viktorovna was surprised how we guessed with color under her new dress Ahahaha was cool! Thank you for the beautiful flowers! Masha and the company 07.08.2022 The first time I write a review with the words of gratitude! I had the pleasure of ordering flowers from you to get a decent bouquet and on time that for me are the most important criteria for flowing colors. Alla 08.08.2022 All Hood Vitya 07/30/2022 In life, the bouquet looks more than in your photo it caused inconvenience! I had to urgently look for a new vase: (((Irina 07/29/2022 A beautiful bouquet of the aroma for the whole house! My wife is happy! The first time you ordered))) Cyril 07/14/2022 There are no emotions how amazing this bouquet! You are wizards! Thousands of thanks! Olenka 07/14/2022 did not find a suitable option? We will make a composition taking into account your wishes and budget! Call us and order by phone: 8 (800) 333-22-69 or order a return call our photo View all 8 (952) 840-77-77 WhatsApp: 7952840777 Moscow st. Big Bronnaya village of 7 Master in Moscow: Mira Avenue 88 Pav. 147 Pyatnitskaya street 12 p. 2 Usacheva street 29 bldg. 8 Goncharaya Street 38 Cash Lane 5 p. 4 st. Yana Rynis d. 10 Opening hours: from 06:00 to 00:00 Delivery: around the clock about VIP-boots to girl Birthday Bouquet Bouquet to my mother to customers colleague for a wedding on holidays on a anniversary on February 14 on March 9 on May 9 on May 9 The last call to the graduation on September 1, on the composition of the composition of the drywalls of the anemone chamomile hyacinths, Ranunkulus Freesia Eustoma Hortensi Piono Khelly Chrysanthemum Alstomeria Tulpans of orchids Irisa Lilia, Large small, beautiful original gorgeous gorgeous in the form of a heart in color. Multi-colored yellow red red blue we are in socialists :      Задать вопрос         Доставка цветов в городе: Адлер Анапа Архангельск Астрахань Барнаул Белгород Бердск Бийск Брянск Великий Новгород Владивосток Владимир Волгоград Волжский Вологда Воронеж Геленджик Грозный Дзержинск Долгопрудный Екатеринбург Зеленоград Иваново Ижевск Иркутск Йошкар-ола Казань Калининград Калуга Кемерово Киров Коломна Королев Кострома Краснодар Красноярск Курган Курск Липецк Magnitogorsk Makhachkala Moscow Murmansk Naberezhnye Naro-Fominsk Nefteyugansk Nizhnekamsk Nizhny Novgorod Nizhny Tagil Novokuznetsk Novorossiysk Novosibirsk Omsk Orenburg Orenburg Penza Perm Podolsk Pushkinsko Ramenskoye Reutov Rostov Rostov-Don Samara Samara Samara Samara Samara Samara Samara Samara Samara Samara Samara Samara Samara Samara Samara Samara Samara Samara Samara Samara Samara Samara Samara Samara Samara Samara Samara Samara Samara Samara Samara Samara Burg Saransk Saratov Sevastopol Sergiev Posad Serpukhov Simferopol Smolensk Sochi Stavropol Sterlitamak Surgut Syktyvkar Taganrog Tolly Togliatti Tomsk Tula Tula Ulan-Ulan-Ude Ulyanovsk Ufarovsk Cheboksary Chelyabinsk Cherepovets Chita Yakutsk Yaloslavl © 2023 is not a public offer. Promotion of the online store Toptimum.ru</v>
      </c>
    </row>
    <row r="286">
      <c r="A286" s="1" t="s">
        <v>883</v>
      </c>
      <c r="B286" s="1" t="s">
        <v>917</v>
      </c>
      <c r="D286" s="1">
        <v>10.0</v>
      </c>
      <c r="E286" s="4" t="s">
        <v>918</v>
      </c>
      <c r="F286" s="1" t="s">
        <v>16</v>
      </c>
      <c r="G286" s="1" t="s">
        <v>919</v>
      </c>
      <c r="H286" s="4" t="s">
        <v>920</v>
      </c>
      <c r="I286" s="2">
        <v>1.0</v>
      </c>
      <c r="J286" s="5" t="str">
        <f>IFERROR(__xludf.DUMMYFUNCTION("GOOGLETRANSLATE(A286)"),"Gypsophyla")</f>
        <v>Gypsophyla</v>
      </c>
      <c r="K286" s="6" t="str">
        <f>IFERROR(__xludf.DUMMYFUNCTION("GOOGLETRANSLATE(B286)"),"Gypsophyls | Delivery gypsophil in Severodvinsk")</f>
        <v>Gypsophyls | Delivery gypsophil in Severodvinsk</v>
      </c>
      <c r="L286" s="5" t="str">
        <f>IFERROR(__xludf.DUMMYFUNCTION("GOOGLETRANSLATE(C286)"),"#VALUE!")</f>
        <v>#VALUE!</v>
      </c>
      <c r="M286" s="5" t="str">
        <f>IFERROR(__xludf.DUMMYFUNCTION("GOOGLETRANSLATE(G286)"),"Flower salon ""101 rose"" || Flower delivery in Severodvinskr-T Lenin 6/348 (911) 554 3844PR-T Marine 54A8 (911) 557 3844 Delivery of colors in Severodvinsk 24/7 12.11.23 Steam Flower Flower 0CART ITEM0 cards as a gift with each bouquet! Registration of A"&amp;"uthorization Flowers of Alstromeria of Chrysanthema Eustoma lilia gerberra Cross bouquets gypsophile bouquets up to 2000 p. From 2000 to 5000 p. Bouquets from 5000 p. Flowers Gifts Gifts and toys Soft toys Toppers Sweetings Information, Pay the Bonas Prog"&amp;"rampric-T Lenin 6/348 (911) 554 3844PR-T Marine 54A8 (911) 557 38440 NOT Found the desired bouquet? Gather your own! Cashback 5% with each purchase bonus rubles and pay them up to 100% of your order1 bonus = 1 pournet -consultation Floristan, Floristan, F"&amp;"lorista, if you have questions! Credted to the gift with each bouquet - Colorful card as a gift! Bonus systemacopotes and pay until 100% cost of flowers! We will deliver a bouquet for 1 cluster shipping 24/7 catalogs of alstromeria gerberry bouquets of ch"&amp;"rysanthemums. Gifts sweets Toppers Box of Flowers Gypsophila Soft toys flowers and bouquets recommend choosing new items 170 bouquet of 11 roses 2810 ₽ Buy 170 bouquet ""Autumn Listopad"" 22 The aroma of night ""4100 ₽ Buy 170 bouquet"" Hot meeting ""5650"&amp;" ₽ Buy a bouquet of 11 roses 2810 ₽ Buy a bouquet of 9 roses 60 cm 2450 ₽ Buy sweets"" Raphaello ""150 g 550 ₽ Buy"" Scarlet Dawn ""2500 ₽ Buy a bouquet"" Autumn Listopad ""2420 ₽ Buy a bouquet"" Velvet meadow ""2940 ₽ Buy 19 roses + Greens 5350 ₽ Buy Top"&amp;"per"" Happy Birthday ""100 ₽ Buy 5 roses + greens 1950 ₽ Buy"" Autumn rose ""2220 ₽ Buy a bouquet of 19 roses 4620 ₽ Buy a bouquet of 25 roses 6010 ₽ Buy a bouquet ""May Morning"" 2270 ₽ Buy a bouquet '' Snow White Chamomile '2490 ₽ Buy ""Flower Ball"" 27"&amp;"80 ₽ Buy Dove Promises 118 g 500 ₽ Buy ""Date"" 2050 ₽ Buy a bouquet ""Ecuadorian"" 3370 ₽ Buy a bouquet ""Dream"" 2910 ₽ Buy a bouquet ""Spring"" 3800 ₽ Buy a bouquet of gerber and chrysanthemum 2510 ₽ Buy a bouquet ""Herberium"" 2770 ₽ Buy a bouquet of "&amp;"chrysanthemum 3430 ₽ Buy ""Shine"" 2690 ₽ Buy a bouquet "" Noir ""4100 ₽ Buy bouquet"" Pink flamingo ""4010 ₽ Buy bouquet"" Explosion of emotions ""3770 ₽ Buy 9 roses + greens 2850 ₽ Buy 5 roses + greens 1950 ₽ Buy a bouquet of gerber and chrysanthemum Ec"&amp;"uador stakes 60 SMEM -CASE! Buy roses flowers and bouquets recommend 145 19 roses + greens 5350 ₽ Buy 145 bouquet ""Exciting aroma"" 3420 ₽ Buy 145 bouquet of 19 roses 4620 ₽ Buy 145 bouquet ""Melody of tenderness"" 3200 ₽ Buy 145 bouquet ""Rubin sunset "&amp;"""3830 ₽ Buy 145 Box of colors"" Paints of the Autumn ""4770 ₽ Buy a catalog for catalog and Article 07, 2020 0 Commentary program Rules for participating in a bonus program: To calculate the points, you need to register in your personal account on the si"&amp;"te on the link: Registration of registration from each purchase at the century. .. Read more how to care for flowers? First of all - cut the stems! Roses have a hard wood stalk cut them diagonally and chrysanthemums of tulips of the lilies of the irises a"&amp;"nd other horizontally. Cutting needs a wire ... Read more January 05, 2020 0 compensers January 05, 2020 0 Commentaries what to pay attention to when buying roses? When choosing roses, special attention should be paid to the flower bud: it should be suffi"&amp;"ciently dense elastic and not too soft. The best option is if the bud is RA ... Read more Flower Salon 101 Rosao Gophannalon Flower ""101 Rose"" - Flower delivery in Severodvinsk why do customers choose us? The store is conveniently located in the old par"&amp;"t of the city and works every day around the clock! Delivery in Severodvinsk, including on the O. Yagra, is carried out in 24/7 mode. From us you can buy not only roses, but also alstromeria gerberey chrysanthemums of eastoma lilies as well as supplement "&amp;"the bouquet with a soft toy with helium balloons or a sweet gift. Flowers 2 times a week, therefore, we guarantee the freshness of the delivered bouquet! Bonus accumulative system and SMS - delivery report report ! Ordering a bouquet with delivery in Seve"&amp;"rodvinsk is very simple: Put the selected composition in the basket with a convenient way and after 1 hour the freshest flowers will delight your recipient. To buy roses, you must additionally select the desired color and packaging in the product card. Yo"&amp;"u can also register on our website and become a member of the bonus program, paying with bonus points up to 100% of the cost of ordered goods. Do not miss your chance to profitably buy flowers in Severodvinsk! Consultation of floristan, in a chat florista"&amp;" If you have questions! A postcard as a gift with each bouquet is a colorful postcard as a gift! Bonus systemacle and pay up to 100% cost of flowers! Let's deliver the bouquet for 1 clockwork 24 /7 × CLOSEXNE TARDENDY ID ordered the bouquet ""Bright Emoti"&amp;"ons"" 2023-11-12 06: 45: 12 contacts of Lenin Ave 6/34 8 (911) 554 3844 Ave. Marine 54a 8 (911) 557 3844 Information Information Bonus program How to pay for ? Delivery Policy of Privacy Return and Exchange of goods Contacts Personal cabinet cabinet cabin"&amp;"etistry of the site of the site of the School of Continue Subscribe! Be in the know of our shares and suggestions! Subscribe to connect! Flower Salon ""101 Rose"" © 2018 - 2023 Creation of the site: Artweb29")</f>
        <v>Flower salon "101 rose" || Flower delivery in Severodvinskr-T Lenin 6/348 (911) 554 3844PR-T Marine 54A8 (911) 557 3844 Delivery of colors in Severodvinsk 24/7 12.11.23 Steam Flower Flower 0CART ITEM0 cards as a gift with each bouquet! Registration of Authorization Flowers of Alstromeria of Chrysanthema Eustoma lilia gerberra Cross bouquets gypsophile bouquets up to 2000 p. From 2000 to 5000 p. Bouquets from 5000 p. Flowers Gifts Gifts and toys Soft toys Toppers Sweetings Information, Pay the Bonas Programpric-T Lenin 6/348 (911) 554 3844PR-T Marine 54A8 (911) 557 38440 NOT Found the desired bouquet? Gather your own! Cashback 5% with each purchase bonus rubles and pay them up to 100% of your order1 bonus = 1 pournet -consultation Floristan, Floristan, Florista, if you have questions! Credted to the gift with each bouquet - Colorful card as a gift! Bonus systemacopotes and pay until 100% cost of flowers! We will deliver a bouquet for 1 cluster shipping 24/7 catalogs of alstromeria gerberry bouquets of chrysanthemums. Gifts sweets Toppers Box of Flowers Gypsophila Soft toys flowers and bouquets recommend choosing new items 170 bouquet of 11 roses 2810 ₽ Buy 170 bouquet "Autumn Listopad" 22 The aroma of night "4100 ₽ Buy 170 bouquet" Hot meeting "5650 ₽ Buy a bouquet of 11 roses 2810 ₽ Buy a bouquet of 9 roses 60 cm 2450 ₽ Buy sweets" Raphaello "150 g 550 ₽ Buy" Scarlet Dawn "2500 ₽ Buy a bouquet" Autumn Listopad "2420 ₽ Buy a bouquet" Velvet meadow "2940 ₽ Buy 19 roses + Greens 5350 ₽ Buy Topper" Happy Birthday "100 ₽ Buy 5 roses + greens 1950 ₽ Buy" Autumn rose "2220 ₽ Buy a bouquet of 19 roses 4620 ₽ Buy a bouquet of 25 roses 6010 ₽ Buy a bouquet "May Morning" 2270 ₽ Buy a bouquet '' Snow White Chamomile '2490 ₽ Buy "Flower Ball" 2780 ₽ Buy Dove Promises 118 g 500 ₽ Buy "Date" 2050 ₽ Buy a bouquet "Ecuadorian" 3370 ₽ Buy a bouquet "Dream" 2910 ₽ Buy a bouquet "Spring" 3800 ₽ Buy a bouquet of gerber and chrysanthemum 2510 ₽ Buy a bouquet "Herberium" 2770 ₽ Buy a bouquet of chrysanthemum 3430 ₽ Buy "Shine" 2690 ₽ Buy a bouquet " Noir "4100 ₽ Buy bouquet" Pink flamingo "4010 ₽ Buy bouquet" Explosion of emotions "3770 ₽ Buy 9 roses + greens 2850 ₽ Buy 5 roses + greens 1950 ₽ Buy a bouquet of gerber and chrysanthemum Ecuador stakes 60 SMEM -CASE! Buy roses flowers and bouquets recommend 145 19 roses + greens 5350 ₽ Buy 145 bouquet "Exciting aroma" 3420 ₽ Buy 145 bouquet of 19 roses 4620 ₽ Buy 145 bouquet "Melody of tenderness" 3200 ₽ Buy 145 bouquet "Rubin sunset "3830 ₽ Buy 145 Box of colors" Paints of the Autumn "4770 ₽ Buy a catalog for catalog and Article 07, 2020 0 Commentary program Rules for participating in a bonus program: To calculate the points, you need to register in your personal account on the site on the link: Registration of registration from each purchase at the century. .. Read more how to care for flowers? First of all - cut the stems! Roses have a hard wood stalk cut them diagonally and chrysanthemums of tulips of the lilies of the irises and other horizontally. Cutting needs a wire ... Read more January 05, 2020 0 compensers January 05, 2020 0 Commentaries what to pay attention to when buying roses? When choosing roses, special attention should be paid to the flower bud: it should be sufficiently dense elastic and not too soft. The best option is if the bud is RA ... Read more Flower Salon 101 Rosao Gophannalon Flower "101 Rose" - Flower delivery in Severodvinsk why do customers choose us? The store is conveniently located in the old part of the city and works every day around the clock! Delivery in Severodvinsk, including on the O. Yagra, is carried out in 24/7 mode. From us you can buy not only roses, but also alstromeria gerberey chrysanthemums of eastoma lilies as well as supplement the bouquet with a soft toy with helium balloons or a sweet gift. Flowers 2 times a week, therefore, we guarantee the freshness of the delivered bouquet! Bonus accumulative system and SMS - delivery report report ! Ordering a bouquet with delivery in Severodvinsk is very simple: Put the selected composition in the basket with a convenient way and after 1 hour the freshest flowers will delight your recipient. To buy roses, you must additionally select the desired color and packaging in the product card. You can also register on our website and become a member of the bonus program, paying with bonus points up to 100% of the cost of ordered goods. Do not miss your chance to profitably buy flowers in Severodvinsk! Consultation of floristan, in a chat florista If you have questions! A postcard as a gift with each bouquet is a colorful postcard as a gift! Bonus systemacle and pay up to 100% cost of flowers! Let's deliver the bouquet for 1 clockwork 24 /7 × CLOSEXNE TARDENDY ID ordered the bouquet "Bright Emotions" 2023-11-12 06: 45: 12 contacts of Lenin Ave 6/34 8 (911) 554 3844 Ave. Marine 54a 8 (911) 557 3844 Information Information Bonus program How to pay for ? Delivery Policy of Privacy Return and Exchange of goods Contacts Personal cabinet cabinet cabinetistry of the site of the site of the School of Continue Subscribe! Be in the know of our shares and suggestions! Subscribe to connect! Flower Salon "101 Rose" © 2018 - 2023 Creation of the site: Artweb29</v>
      </c>
    </row>
    <row r="287">
      <c r="A287" s="1" t="s">
        <v>883</v>
      </c>
      <c r="B287" s="1" t="s">
        <v>921</v>
      </c>
      <c r="D287" s="1">
        <v>11.0</v>
      </c>
      <c r="E287" s="4" t="s">
        <v>922</v>
      </c>
      <c r="F287" s="1" t="s">
        <v>16</v>
      </c>
      <c r="G287" s="1" t="s">
        <v>923</v>
      </c>
      <c r="H287" s="4" t="s">
        <v>924</v>
      </c>
      <c r="I287" s="2">
        <v>1.0</v>
      </c>
      <c r="J287" s="5" t="str">
        <f>IFERROR(__xludf.DUMMYFUNCTION("GOOGLETRANSLATE(A287)"),"Gypsophyla")</f>
        <v>Gypsophyla</v>
      </c>
      <c r="K287" s="6" t="str">
        <f>IFERROR(__xludf.DUMMYFUNCTION("GOOGLETRANSLATE(B287)"),"Gypsophyla flower delivery - price")</f>
        <v>Gypsophyla flower delivery - price</v>
      </c>
      <c r="L287" s="5" t="str">
        <f>IFERROR(__xludf.DUMMYFUNCTION("GOOGLETRANSLATE(C287)"),"#VALUE!")</f>
        <v>#VALUE!</v>
      </c>
      <c r="M287" s="5" t="str">
        <f>IFERROR(__xludf.DUMMYFUNCTION("GOOGLETRANSLATE(G287)"),"Flower delivery in St. Petersburg | Order flowers with the delivery to the house of the Domo and the Payment of the Overweceable Articles for the Wedding Square to call the call+7 (921) 904-60-65vash basket: 0r0+7 (921) 904-6055 Bouquets from flowers acco"&amp;"rding with chamomiles of chrysanthemamymibuettes with iris -lisiacs with lysiantudes+eastomabuketes with alstroomeriramiribuetes with tulipamybukets with pionam -bells with fields of gypsophilas with hydrangeas -boots with gyoprikum -booths from ware Cami"&amp;"popular flowers to type: hearts from color bouquenced bouquet bouquencap bouquet bouquet bouquet bouquets of dried flowers bouquets in a box according to the composition : With diantumi -diantus gypsophilos Rosamimis Rosamis Hortensiyamis Pionamis Irisant"&amp;"hemamis Liziantamis Tulpanamis Statiyz with wooden boxes in hat boxes Size: Large bouquets in boxes in the hat -boxes in square boxes PSOPHIL11 Gypsofil15 Gypsofilpo size: gypsophiles in a box of minihypsyophiles in a box Xlcom Position from gypsofilles c"&amp;"olor : Rainbow gypsofilablabic gypsophylaxy gypsophylarose gypsophylaviolet gypsophylapilaplapov type: gypsophiles with rose -rose daisies: baskets with rosamirosis in hats in gearbox in quantity: 5 roses roses rose151 rose151 rose 20120 Red pinkish draws"&amp;" of Miksinia drawing draws Roses Flowers of alstrome -meterichelpanyromashkiyarizanthemysanthemysyanthus (eastoma) irishystacarosilkitvitiadia (oxypetalum) cloves of diantyshegshegipioniculisolidagogyphylamatiolamatio -north -north -north -north -nurtures"&amp;" of pionias in size: in a large box of square corage 9 Pions15 Pions51 Pion101 Pionpo color: pink peony pionicoral peony pion -pionists Myxmaline peoniador piono piono type: peonies in hats box -pioneer roses of tulips in quantity : 25 tulips35 tulips51 t"&amp;"ulpan101 tulpanpo with color: white yellow -zero -rose -zerozhovymikovspo type: tulips in a hat box in the basket Gifts Hand -handed -work cards of the confysshopti -shaped toys, wholesale -in toys, optotulpan, wholesale. Bouquets for March 8th for discha"&amp;"rge bouquets for Birthday for the day of St. Valentinebakes on Day Students for the New Freight of Foreign Affairs Order a bouquet to order a bouquet of flowers delivery in St. Petersburg to show a filter at a price ... up to 1000 rubles. 1000 to 2000 rub"&amp;"les. 2000 to 3500 rubles, 3500 to 5000 rubles. 5000 rubles. .. kisses ... draws of -and -racksy -sulpionesypynypaniylpaniagsantemesyegseriberiberekumperikumigu -peroxolidagophyphyxophysophylaneziol -ny -ny radiolandi -nyandhi -nyndia -vytivia -derivadia -"&amp;"derivia -deriviastomerias ... Who ... for the mother of the woman's beloved girlfriend of the girlfriend of the girlfriend Water ... A reason ... On the birthday of the holiday anniversary for recognition of love, apologizing for the gratitude, the congra"&amp;"tulation of the Book for the discharge for weddups. .. in color ... delicate yoke-orbelly-free-bonded-bonded-stained-stained-flowered-colored green-erando-aged-based flowers of flowers according to St. Petersburgguction, fast viewing of 11 rainbow gypsoph"&amp;"ils (Holland) gypsophila Rainbow-11 high-altitude-60 cm. Packaging. Packaging-on-on-and-dime Country-Holland. 2750 P2150 RISK in 1 click Quick viewing of a bouquet of 7 rainbow gypsophiles (Holland) gypsophil varieties Rainbow-7 height-60 cm. Packaging-on"&amp;" selection tape-Atlas Country-Holland. 2390 P1700 Rubricate in 1 click quick viewing of a bouquet of triogortens Mix (Holland) -3 pcs . Form and fuamiran substrate-shit. 3900 P2550 RELACE OF 1 click fast viewing of a bouquet of hydrangea Alikantebalay hyd"&amp;"rangea (Holland) -1 pcs. Diantus pink-4 pcs. (variety Nahema) Alstromeria-4 pcs. Eucalyptus2990 Raille in 1 click quick viewing of a bouquet of hydrangea Valencia Hydrangea (Holland) -1 pcs. Diantus white-4 pcs. (MoonLight variety) Alstromeria Belaya 4 pc"&amp;"s. 3400 Rubricate in 1 click quick viewing of 25 white diatus and raffello into the blue boxing cloves (Colombia) -25 pcs. Varort-dianthus st moonlight Greens-Fistashka Box (20x26x20 cm.3850 RELUARE OF 1 click quick viewing of 25 pink diatus and raffello "&amp;"in white boxing cloves (Colombia) -25 pcs. Varortion Green Fistashki (20x26x20 cm. 3850 REMART IN 1 click RAM FAST View 15 white and pink dioatuses in blue boxing and white cloves (Colombia) -15 pcs. Varort-onhema and MoonLight greens Box (20 x3600 P2600 "&amp;"REMACTION OF 1 Click quickly View Bouquet of 15 white and pink dianthouses and white cloves (Colombia) -15 pcs. Varort-dianthus st nahema and dianthus st moonlight packaging3200 p2300 Rong to 1 click quick viewing of white roses of dianthus and twidyrosis"&amp;"-5 pcs. Pink cloves (Columbia) -4 pcs. Ianthus ST Nahema Twisia-4 Greens-Fistashka UP2650 RECECTION in 1 click, quick viewing of a bouquet of pink dioatuses and twiydiarose cloves (Colombia) -6 pcs. Varort-dianthus st nahema Twidia (oxypetalum) -5 pcs. En"&amp;"venue-fistash2400 Rubricate in 1 click quick viewing of a bouquet of 9 pink diatus pink cloves (Colombia) -9 pcs. variety-dianthus st nahema greens-fistashka packaging-foamyran podl2900 p2150 Rong to 1 click fast viewing heart of 31 rose 50 cm 50 cm long."&amp;" Red variety Red Naomi wide satin ribbon red color. 6900 p3100 READD View white gypsophila and chamomile in the box XL (Holland) Costate-rim Field gypsophila white box (225 x 29 cm) Bukete height 40-45 cm. Ribbon-A4500 P2800 RISKED 1 click quick viewing w"&amp;"hite gypsophila and chamomile in the Mini box ( Holland) Social-fruits Field gypsophila white box (18 x 24 cm.) The height of the bouquet is 30-35 cm .. tape-AT3700 P2350 RECIPE in 1 click, quick viewing of the bouquet of daisies and gypsophila (large) co"&amp;"mposition: chamomile (matrix) -11 Gypsophyla-6 Country-Holland Packaging-Kraft ATPLASNAL. 3100 P2900 RECECTION in 1 click in sales catalogHchites, quick viewing of 15 white and pink alstrientialstormeria MIX (Holland) -15 pcs. Packaging-craft for the subs"&amp;"trate-shit wide satin ribbon. 2350 RECEPT 1 click quick viewing of the bouquet of 11 white gypsophiles (Holland) gypsophilus of the premium-11 pcs. Height up to 65 cm. Packaging-selection tape-Ath-Holland2150 Rabocate 1 click fast viewing blue hydrangea h"&amp;"ydrangea (Holland) -1 pcs Packaging-fuamiran Subela satin ribbon .2500 p1700 REMACTION OF 1 click quick viewing white hydraces Belaya (Holland) -1 pcs Packaging-Foamiraran Substarpat Athlance Ribbon .2500 p1700 Rubricate in 1 click fast viewing pink hydra"&amp;"ngea rose (Holland) -1 pcs Packaging-foamyran Substitution Satsis ribbon. 2500 p1700 Rubricate Blue hydrangea in white boxegeegortenzia of Blue (Holland) -1 pcs Box (18 x 18 cm) Bouquet height 25 cm. Autlas tish2700 p1990 Rabricate Razkoye Click Pink Hydr"&amp;"angea in Blue Borobkegorentia Pink (Holland) -1 pcs Box ( 18 x 18 cm.) The height of the bouquet is 25 cm. The tape tish2700 P1990 REMACT 1 Click Rapid viewing of the bouquet of the trio in the hats of the gearbox Mix (Holland) -3 pcs Box (225 x 29 cm) Bu"&amp;"kete height 45 cm. Fire. -Atlas-tie 4500 P2850 RECECTION in 1 click quick viewing of a bouquet of hydrangea Alikantebalaya hydrangea (Holland) -1 pcs. Diantus pink-4 pcs. (variety Nahema) Alstromeria-4 pcs. Eucalyptus2990 Raille in 1 click quick viewing o"&amp;"f a bouquet of hydrangea Valencia Hydrangea (Holland) -1 pcs. Diantus white-4 pcs. (MoonLight variety) Alstromeria Belaya-4 pcs. 3400 Rubricate in 1 click quick viewing 15 white and pink dianthouses in white boxes and white cloves (Colombia) -15 pcs. Varo"&amp;"rt-Nahema and MoonLight Greens-Fistashka Box (20 x3600 P2600 RELACK IN 1 click fast viewing 15 white and pink dioatuses in pink hate-haired and white cloves (Columbia) -15 pcs. Variety and MoonLight greens-fiber (20 x3 600 P2600 RECRIVE 1 Click Quick View"&amp;" Bouquet of 15 white and pink diatus and tweidiaurosis and white cloves (Colombia) -15 pcs. Varort-dianthus st nahema and dianthus st moonlight Twiziy-3250 R ordering in 1 clic and pink Diantosovroza and white cloves (Colombia) -15 pcs. Vort-dianthus st n"&amp;"ahema and dianthus st moonlight packaging3200 p2300 Rubricate a quick viewing of the bouquet of pink diatus and alstrusterirose cloves (Columbia)- Anthus st nahema alstromeria-4 pcs. Eucalyptus-1 pc. Pack2150 Rubricate in 1 click fast viewing of a bouquet"&amp;" of white roses and diantus carnation (Colombia) -4 pcs. variety-dianthus st nahema rose-5 pcs. Greens-Evvkalipt packaging-f2250 Rubricate in 1 click in the catalogbooks in boxes fast viewing Hater box of 7 pink peon stages: peonies of the Sarah Bernhard-"&amp;"7 box (18 x 24 cm) bouquet height 28 cm. 1 click fast viewing 29 white and pink roses in the hat-cutting-29 roses of the verta naomi and aqua box (225 x 29 cm) bouquet height 45 cm. Ribbon-ATPLASHIENCE .. 3650 REMOVE 1 click quick viewing of the box of 9 "&amp;"pink peonies with rafellosostav-pioneer sarah bernhard-9 varieties Raffallo 240 gr. Box (20x26x20 cm.) The height of the bouquet 30 cm ... 4290 READ in 1 click quick viewing of 25 white roses and Raffello in the blue box-machine-25 roses of the veteh of R"&amp;"affallo 240 g. Box (20x26x20 cm.) The height of the bouquet 30 cm ... 5700 p3850 Rubricate in 1 click fast viewing Hat box of 7 pink peonies: peonies of the sarah bernhard-7 box (18 x 24 cm) bouquet height 28 cm. Tape Atlase .. 2990 REMART 1 Click quick v"&amp;"iewing of the box of 5 rainbow chrysanthematum-artisanthemum bush 5 box (18 x 24 cm.) The height of the bouquet is 28 cm. ..1990 REMACTION OF 1 click RAM Red Roses in the Hat Corobscolism-29 roses Red Naomi Box (225 x 29 cm) Bukete height 45 cm. Ribbon-At"&amp;"las ... 3250 RECRIVE 1 click quick viewing of 5 white chrysanthemums In pink happed gearboxes, a bush-5 box (18 x 24 cm), the bouquet height is 28 cm. Autlas ribbon ... 1790 Red to order 1 click in a 100% guarantee of the quality of the goods. We deliver "&amp;"only fresh flowers on time if you did not like the bouquet change it to a new one within 48 hours* Free postcard in a bouquet with text or your name photo or video at the time of presenting bouquets as a photograph of 600pcs more than 600pcs. Delivery of "&amp;"Incognito SMS notification about delivery of the bouquet to give and It is always nice to get bouquets, and if delivery is organized to the house, then this is doubly fine. The pluses of such a service: to pick up a flower masterpiece, you do not need to "&amp;"leave the house or office. You do not need to wake up early in the morning or run in late at night to go out into the frost of heavy rain or heat behind flowers. You need to move around the city on the road and idle in traffic jams. Do not worry about the"&amp;" preservation of the composition. All these troubles will take over the courier and you can only get gratitude for a pleasant surprise. Nash the courier will equally quickly bring the bouquet as early awakening at 7 a.m. and at 12 a.m. Designers wrap flow"&amp;"ers into special packaging protecting from external factors. The buds are preserved by fresh fragrant whole without fallen and wilted petals. To order from us, it is enough to fill out an application on the site or contact a consultant by phone. It is pos"&amp;"sible to pay in cash after receipt. We will work in St. Petersburg and the Barcelona chopper offers a luxurious floral diversity. The assortment has the freshest flowers of different types and varieties from foreign suppliers. We cooperate with companies "&amp;"from Ecuador Holland Israel. Carefully select each flower with meticulously examine the stems and leaves. Only selected plants fall into the assortment. Competent and creative florists work in our team. Complete the flower ensembles corresponding to diffe"&amp;"rent events: the birthday of the wedding triumph of the landmark dates of a thematic or official holiday. The company's specialists regularly improve floristic skills of floristic skills, and introduce them to the composition. The reviews of customers wer"&amp;"e ordered a large box with gypsophila quickly and quickly. The flowers look good as in the photo that they sent before sending. Separately, it is worth noting the manager’s robot sent a photo of previously taken bouquets for example and a photo of my orde"&amp;"r. Thanks a lot. Thank you very much to the employees of Barcelona - clearly quickly with complete compliance with the agreements, the bouquet ordered we ordered and timely prepared! And this despite the workload and excitement on the eve of March 8! And "&amp;"the freshest tulips :))) 10.09.2022 A beautiful bouquet of 15 rainbow gypsophiles. Many thanks to the salon for the timely delivery! Very beautiful flowers. The bouquet is very huge. The daughter was delighted about this and dreamed! Thanks to the salon f"&amp;"or the chic bouquet of flowers for discharge from the maternity hospital with her son !!! The flowers are very beautiful and stood in a vase delighting the eye !!! I am very pleased !!! We will order only you now !!! Unfortunately, the review is negative."&amp;" I ordered a bouquet of peonies while in another city. They wrapped in craft with bicycles. There was no other to the request for a request to change the wrapper and was generally sent by courier ... Probably I just have no taste ... I made an order in th"&amp;"e company ""Barcelona"" for my girlfriend. I would like to express my gratitude to the company. A friend was delighted. It is nice when everything from the first call to the store to the presentation of the bouquet by courier is respect for the organizati"&amp;"on. A friend liked the punctuality and politeness of the courier, a modern thought -out packaging surprised the roses that became better every day. My friend liked the gift and I, as employees of the store, did their job. I am excellent in prize for all t"&amp;"he holidays only here. Bouquets are always freshlyKistanota in time. Thanks to the best flowers store in the metro district of Alexander Nevsky (was in many). He was surprised by the freshness of flowers and the level of service. Extremely tactful seller!"&amp;" Flowers are already the third day and a hint of drying has been using the services of this company that was not just once. Flowers are always fresh cultural couriers delivery at the appointed time. Thank you for peonies! This is not the first time I have"&amp;" been taking these flowers in this place. Always fresh and beautiful. Sellers are responsive and pleasant. I will contact more than once. Order the all-lasting beautiful bouquet of flowers 01/01/2019 .. Read details on March 8 to colleagues 04/01/2019 .. "&amp;"Read more on the girl Happy 01/04/2019 .. Read detail to manage the Barcelonavash E-Mail Club Subscrib STO networks: On a caste of the color appliances Kontaktattovka and Payment of the Paratous Articles of the frequent questions, the address address: Tel"&amp;"lyzhnaya St. 37 lit. U Opening hours: from 9:00 to 21:00 +7 (921) 904-60-65 order the calls to the payment: development of the site Rozavetrov × Composition: Description: Select the size of the length (cm): 50607090 Sciences: READDING ONE CLASED WITH CLAC"&amp;"K? social. networks: 100% guarantee of the quality of goods. We deliver only fresh flowers on time if you did not like the bouquet change it to a new one within 48 hours* Free postcard in a bouquet with text or your name photo or video at the time of pres"&amp;"enting bouquets as a photograph of 600pcs more than 600pcs. Delivery of bouquets of incognito SMS notification about the delivery of the bouquet to load still load")</f>
        <v>Flower delivery in St. Petersburg | Order flowers with the delivery to the house of the Domo and the Payment of the Overweceable Articles for the Wedding Square to call the call+7 (921) 904-60-65vash basket: 0r0+7 (921) 904-6055 Bouquets from flowers according with chamomiles of chrysanthemamymibuettes with iris -lisiacs with lysiantudes+eastomabuketes with alstroomeriramiribuetes with tulipamybukets with pionam -bells with fields of gypsophilas with hydrangeas -boots with gyoprikum -booths from ware Camipopular flowers to type: hearts from color bouquenced bouquet bouquencap bouquet bouquet bouquet bouquets of dried flowers bouquets in a box according to the composition : With diantumi -diantus gypsophilos Rosamimis Rosamis Hortensiyamis Pionamis Irisanthemamis Liziantamis Tulpanamis Statiyz with wooden boxes in hat boxes Size: Large bouquets in boxes in the hat -boxes in square boxes PSOPHIL11 Gypsofil15 Gypsofilpo size: gypsophiles in a box of minihypsyophiles in a box Xlcom Position from gypsofilles color : Rainbow gypsofilablabic gypsophylaxy gypsophylarose gypsophylaviolet gypsophylapilaplapov type: gypsophiles with rose -rose daisies: baskets with rosamirosis in hats in gearbox in quantity: 5 roses roses rose151 rose151 rose 20120 Red pinkish draws of Miksinia drawing draws Roses Flowers of alstrome -meterichelpanyromashkiyarizanthemysanthemysyanthus (eastoma) irishystacarosilkitvitiadia (oxypetalum) cloves of diantyshegshegipioniculisolidagogyphylamatiolamatio -north -north -north -north -nurtures of pionias in size: in a large box of square corage 9 Pions15 Pions51 Pion101 Pionpo color: pink peony pionicoral peony pion -pionists Myxmaline peoniador piono piono type: peonies in hats box -pioneer roses of tulips in quantity : 25 tulips35 tulips51 tulpan101 tulpanpo with color: white yellow -zero -rose -zerozhovymikovspo type: tulips in a hat box in the basket Gifts Hand -handed -work cards of the confysshopti -shaped toys, wholesale -in toys, optotulpan, wholesale. Bouquets for March 8th for discharge bouquets for Birthday for the day of St. Valentinebakes on Day Students for the New Freight of Foreign Affairs Order a bouquet to order a bouquet of flowers delivery in St. Petersburg to show a filter at a price ... up to 1000 rubles. 1000 to 2000 rubles. 2000 to 3500 rubles, 3500 to 5000 rubles. 5000 rubles. .. kisses ... draws of -and -racksy -sulpionesypynypaniylpaniagsantemesyegseriberiberekumperikumigu -peroxolidagophyphyxophysophylaneziol -ny -ny radiolandi -nyandhi -nyndia -vytivia -derivadia -derivia -deriviastomerias ... Who ... for the mother of the woman's beloved girlfriend of the girlfriend of the girlfriend Water ... A reason ... On the birthday of the holiday anniversary for recognition of love, apologizing for the gratitude, the congratulation of the Book for the discharge for weddups. .. in color ... delicate yoke-orbelly-free-bonded-bonded-stained-stained-flowered-colored green-erando-aged-based flowers of flowers according to St. Petersburgguction, fast viewing of 11 rainbow gypsophils (Holland) gypsophila Rainbow-11 high-altitude-60 cm. Packaging. Packaging-on-on-and-dime Country-Holland. 2750 P2150 RISK in 1 click Quick viewing of a bouquet of 7 rainbow gypsophiles (Holland) gypsophil varieties Rainbow-7 height-60 cm. Packaging-on selection tape-Atlas Country-Holland. 2390 P1700 Rubricate in 1 click quick viewing of a bouquet of triogortens Mix (Holland) -3 pcs . Form and fuamiran substrate-shit. 3900 P2550 RELACE OF 1 click fast viewing of a bouquet of hydrangea Alikantebalay hydrangea (Holland) -1 pcs. Diantus pink-4 pcs. (variety Nahema) Alstromeria-4 pcs. Eucalyptus2990 Raille in 1 click quick viewing of a bouquet of hydrangea Valencia Hydrangea (Holland) -1 pcs. Diantus white-4 pcs. (MoonLight variety) Alstromeria Belaya 4 pcs. 3400 Rubricate in 1 click quick viewing of 25 white diatus and raffello into the blue boxing cloves (Colombia) -25 pcs. Varort-dianthus st moonlight Greens-Fistashka Box (20x26x20 cm.3850 RELUARE OF 1 click quick viewing of 25 pink diatus and raffello in white boxing cloves (Colombia) -25 pcs. Varortion Green Fistashki (20x26x20 cm. 3850 REMART IN 1 click RAM FAST View 15 white and pink dioatuses in blue boxing and white cloves (Colombia) -15 pcs. Varort-onhema and MoonLight greens Box (20 x3600 P2600 REMACTION OF 1 Click quickly View Bouquet of 15 white and pink dianthouses and white cloves (Colombia) -15 pcs. Varort-dianthus st nahema and dianthus st moonlight packaging3200 p2300 Rong to 1 click quick viewing of white roses of dianthus and twidyrosis-5 pcs. Pink cloves (Columbia) -4 pcs. Ianthus ST Nahema Twisia-4 Greens-Fistashka UP2650 RECECTION in 1 click, quick viewing of a bouquet of pink dioatuses and twiydiarose cloves (Colombia) -6 pcs. Varort-dianthus st nahema Twidia (oxypetalum) -5 pcs. Envenue-fistash2400 Rubricate in 1 click quick viewing of a bouquet of 9 pink diatus pink cloves (Colombia) -9 pcs. variety-dianthus st nahema greens-fistashka packaging-foamyran podl2900 p2150 Rong to 1 click fast viewing heart of 31 rose 50 cm 50 cm long. Red variety Red Naomi wide satin ribbon red color. 6900 p3100 READD View white gypsophila and chamomile in the box XL (Holland) Costate-rim Field gypsophila white box (225 x 29 cm) Bukete height 40-45 cm. Ribbon-A4500 P2800 RISKED 1 click quick viewing white gypsophila and chamomile in the Mini box ( Holland) Social-fruits Field gypsophila white box (18 x 24 cm.) The height of the bouquet is 30-35 cm .. tape-AT3700 P2350 RECIPE in 1 click, quick viewing of the bouquet of daisies and gypsophila (large) composition: chamomile (matrix) -11 Gypsophyla-6 Country-Holland Packaging-Kraft ATPLASNAL. 3100 P2900 RECECTION in 1 click in sales catalogHchites, quick viewing of 15 white and pink alstrientialstormeria MIX (Holland) -15 pcs. Packaging-craft for the substrate-shit wide satin ribbon. 2350 RECEPT 1 click quick viewing of the bouquet of 11 white gypsophiles (Holland) gypsophilus of the premium-11 pcs. Height up to 65 cm. Packaging-selection tape-Ath-Holland2150 Rabocate 1 click fast viewing blue hydrangea hydrangea (Holland) -1 pcs Packaging-fuamiran Subela satin ribbon .2500 p1700 REMACTION OF 1 click quick viewing white hydraces Belaya (Holland) -1 pcs Packaging-Foamiraran Substarpat Athlance Ribbon .2500 p1700 Rubricate in 1 click fast viewing pink hydrangea rose (Holland) -1 pcs Packaging-foamyran Substitution Satsis ribbon. 2500 p1700 Rubricate Blue hydrangea in white boxegeegortenzia of Blue (Holland) -1 pcs Box (18 x 18 cm) Bouquet height 25 cm. Autlas tish2700 p1990 Rabricate Razkoye Click Pink Hydrangea in Blue Borobkegorentia Pink (Holland) -1 pcs Box ( 18 x 18 cm.) The height of the bouquet is 25 cm. The tape tish2700 P1990 REMACT 1 Click Rapid viewing of the bouquet of the trio in the hats of the gearbox Mix (Holland) -3 pcs Box (225 x 29 cm) Bukete height 45 cm. Fire. -Atlas-tie 4500 P2850 RECECTION in 1 click quick viewing of a bouquet of hydrangea Alikantebalaya hydrangea (Holland) -1 pcs. Diantus pink-4 pcs. (variety Nahema) Alstromeria-4 pcs. Eucalyptus2990 Raille in 1 click quick viewing of a bouquet of hydrangea Valencia Hydrangea (Holland) -1 pcs. Diantus white-4 pcs. (MoonLight variety) Alstromeria Belaya-4 pcs. 3400 Rubricate in 1 click quick viewing 15 white and pink dianthouses in white boxes and white cloves (Colombia) -15 pcs. Varort-Nahema and MoonLight Greens-Fistashka Box (20 x3600 P2600 RELACK IN 1 click fast viewing 15 white and pink dioatuses in pink hate-haired and white cloves (Columbia) -15 pcs. Variety and MoonLight greens-fiber (20 x3 600 P2600 RECRIVE 1 Click Quick View Bouquet of 15 white and pink diatus and tweidiaurosis and white cloves (Colombia) -15 pcs. Varort-dianthus st nahema and dianthus st moonlight Twiziy-3250 R ordering in 1 clic and pink Diantosovroza and white cloves (Colombia) -15 pcs. Vort-dianthus st nahema and dianthus st moonlight packaging3200 p2300 Rubricate a quick viewing of the bouquet of pink diatus and alstrusterirose cloves (Columbia)- Anthus st nahema alstromeria-4 pcs. Eucalyptus-1 pc. Pack2150 Rubricate in 1 click fast viewing of a bouquet of white roses and diantus carnation (Colombia) -4 pcs. variety-dianthus st nahema rose-5 pcs. Greens-Evvkalipt packaging-f2250 Rubricate in 1 click in the catalogbooks in boxes fast viewing Hater box of 7 pink peon stages: peonies of the Sarah Bernhard-7 box (18 x 24 cm) bouquet height 28 cm. 1 click fast viewing 29 white and pink roses in the hat-cutting-29 roses of the verta naomi and aqua box (225 x 29 cm) bouquet height 45 cm. Ribbon-ATPLASHIENCE .. 3650 REMOVE 1 click quick viewing of the box of 9 pink peonies with rafellosostav-pioneer sarah bernhard-9 varieties Raffallo 240 gr. Box (20x26x20 cm.) The height of the bouquet 30 cm ... 4290 READ in 1 click quick viewing of 25 white roses and Raffello in the blue box-machine-25 roses of the veteh of Raffallo 240 g. Box (20x26x20 cm.) The height of the bouquet 30 cm ... 5700 p3850 Rubricate in 1 click fast viewing Hat box of 7 pink peonies: peonies of the sarah bernhard-7 box (18 x 24 cm) bouquet height 28 cm. Tape Atlase .. 2990 REMART 1 Click quick viewing of the box of 5 rainbow chrysanthematum-artisanthemum bush 5 box (18 x 24 cm.) The height of the bouquet is 28 cm. ..1990 REMACTION OF 1 click RAM Red Roses in the Hat Corobscolism-29 roses Red Naomi Box (225 x 29 cm) Bukete height 45 cm. Ribbon-Atlas ... 3250 RECRIVE 1 click quick viewing of 5 white chrysanthemums In pink happed gearboxes, a bush-5 box (18 x 24 cm), the bouquet height is 28 cm. Autlas ribbon ... 1790 Red to order 1 click in a 100% guarantee of the quality of the goods. We deliver only fresh flowers on time if you did not like the bouquet change it to a new one within 48 hours* Free postcard in a bouquet with text or your name photo or video at the time of presenting bouquets as a photograph of 600pcs more than 600pcs. Delivery of Incognito SMS notification about delivery of the bouquet to give and It is always nice to get bouquets, and if delivery is organized to the house, then this is doubly fine. The pluses of such a service: to pick up a flower masterpiece, you do not need to leave the house or office. You do not need to wake up early in the morning or run in late at night to go out into the frost of heavy rain or heat behind flowers. You need to move around the city on the road and idle in traffic jams. Do not worry about the preservation of the composition. All these troubles will take over the courier and you can only get gratitude for a pleasant surprise. Nash the courier will equally quickly bring the bouquet as early awakening at 7 a.m. and at 12 a.m. Designers wrap flowers into special packaging protecting from external factors. The buds are preserved by fresh fragrant whole without fallen and wilted petals. To order from us, it is enough to fill out an application on the site or contact a consultant by phone. It is possible to pay in cash after receipt. We will work in St. Petersburg and the Barcelona chopper offers a luxurious floral diversity. The assortment has the freshest flowers of different types and varieties from foreign suppliers. We cooperate with companies from Ecuador Holland Israel. Carefully select each flower with meticulously examine the stems and leaves. Only selected plants fall into the assortment. Competent and creative florists work in our team. Complete the flower ensembles corresponding to different events: the birthday of the wedding triumph of the landmark dates of a thematic or official holiday. The company's specialists regularly improve floristic skills of floristic skills, and introduce them to the composition. The reviews of customers were ordered a large box with gypsophila quickly and quickly. The flowers look good as in the photo that they sent before sending. Separately, it is worth noting the manager’s robot sent a photo of previously taken bouquets for example and a photo of my order. Thanks a lot. Thank you very much to the employees of Barcelona - clearly quickly with complete compliance with the agreements, the bouquet ordered we ordered and timely prepared! And this despite the workload and excitement on the eve of March 8! And the freshest tulips :))) 10.09.2022 A beautiful bouquet of 15 rainbow gypsophiles. Many thanks to the salon for the timely delivery! Very beautiful flowers. The bouquet is very huge. The daughter was delighted about this and dreamed! Thanks to the salon for the chic bouquet of flowers for discharge from the maternity hospital with her son !!! The flowers are very beautiful and stood in a vase delighting the eye !!! I am very pleased !!! We will order only you now !!! Unfortunately, the review is negative. I ordered a bouquet of peonies while in another city. They wrapped in craft with bicycles. There was no other to the request for a request to change the wrapper and was generally sent by courier ... Probably I just have no taste ... I made an order in the company "Barcelona" for my girlfriend. I would like to express my gratitude to the company. A friend was delighted. It is nice when everything from the first call to the store to the presentation of the bouquet by courier is respect for the organization. A friend liked the punctuality and politeness of the courier, a modern thought -out packaging surprised the roses that became better every day. My friend liked the gift and I, as employees of the store, did their job. I am excellent in prize for all the holidays only here. Bouquets are always freshlyKistanota in time. Thanks to the best flowers store in the metro district of Alexander Nevsky (was in many). He was surprised by the freshness of flowers and the level of service. Extremely tactful seller! Flowers are already the third day and a hint of drying has been using the services of this company that was not just once. Flowers are always fresh cultural couriers delivery at the appointed time. Thank you for peonies! This is not the first time I have been taking these flowers in this place. Always fresh and beautiful. Sellers are responsive and pleasant. I will contact more than once. Order the all-lasting beautiful bouquet of flowers 01/01/2019 .. Read details on March 8 to colleagues 04/01/2019 .. Read more on the girl Happy 01/04/2019 .. Read detail to manage the Barcelonavash E-Mail Club Subscrib STO networks: On a caste of the color appliances Kontaktattovka and Payment of the Paratous Articles of the frequent questions, the address address: Tellyzhnaya St. 37 lit. U Opening hours: from 9:00 to 21:00 +7 (921) 904-60-65 order the calls to the payment: development of the site Rozavetrov × Composition: Description: Select the size of the length (cm): 50607090 Sciences: READDING ONE CLASED WITH CLACK? social. networks: 100% guarantee of the quality of goods. We deliver only fresh flowers on time if you did not like the bouquet change it to a new one within 48 hours* Free postcard in a bouquet with text or your name photo or video at the time of presenting bouquets as a photograph of 600pcs more than 600pcs. Delivery of bouquets of incognito SMS notification about the delivery of the bouquet to load still load</v>
      </c>
    </row>
    <row r="288">
      <c r="A288" s="1" t="s">
        <v>883</v>
      </c>
      <c r="B288" s="1" t="s">
        <v>925</v>
      </c>
      <c r="C288" s="1" t="s">
        <v>926</v>
      </c>
      <c r="D288" s="1">
        <v>12.0</v>
      </c>
      <c r="E288" s="4" t="s">
        <v>927</v>
      </c>
      <c r="F288" s="1" t="s">
        <v>16</v>
      </c>
      <c r="G288" s="1" t="s">
        <v>928</v>
      </c>
      <c r="H288" s="4" t="s">
        <v>929</v>
      </c>
      <c r="I288" s="2">
        <v>1.0</v>
      </c>
      <c r="J288" s="5" t="str">
        <f>IFERROR(__xludf.DUMMYFUNCTION("GOOGLETRANSLATE(A288)"),"Gypsophyla")</f>
        <v>Gypsophyla</v>
      </c>
      <c r="K288" s="6" t="str">
        <f>IFERROR(__xludf.DUMMYFUNCTION("GOOGLETRANSLATE(B288)"),"Buy a bouquet of gypsophila with delivery by St.")</f>
        <v>Buy a bouquet of gypsophila with delivery by St.</v>
      </c>
      <c r="L288" s="5" t="str">
        <f>IFERROR(__xludf.DUMMYFUNCTION("GOOGLETRANSLATE(C288)"),"Buy a bouquet of gypsophiles in the Flower online store ""Tsvetovik"". Original bouquets of gyprofila with delivery in St. Petersburg. Quality assurance.")</f>
        <v>Buy a bouquet of gypsophiles in the Flower online store "Tsvetovik". Original bouquets of gyprofila with delivery in St. Petersburg. Quality assurance.</v>
      </c>
      <c r="M288" s="5" t="str">
        <f>IFERROR(__xludf.DUMMYFUNCTION("GOOGLETRANSLATE(G288)"),"Flower delivery in St. Petersburg Buy inexpensively to order from color-vyksanksancsankest-store-Bank shopping card of the post-postcard+7 (812) 7779204vsa flowering vehicle bouquets of a dump truck floristic and sadbonuses with purchasescore customer-bui"&amp;"lding-post-posts Address Resisty Reverse Speed ​​References References And shops ← back to catalogbooks made of rosrosis, swing rosypionivid roses ← Back to catalogamalstromeririopriyel (dianthus ) Herbersycintyycypsofilaphylagiolsyolishyliasilylylyliamat"&amp;"e -alpyolapionylapioneshimashimashimashimashimschimashimshomaskhomaskhomashocykhirizanthemenanthemoma (lisianthus) tulip an assortment ← Back to catalogs of flower compliment to the boxes in the boxes ← Back to catalogs Skniki ← Back to catalogbooks Bride"&amp;" -devastic decoration decor ← Back to catalogs for flowering agents and fertilizer -it -art flowers and cascess plants for interiors in 60 minutes of the novelty of the novelty More bunches Heath+7 (812) 7779204 Extract me TELGRAMVIBERWHATSAPACAPCASINA0 A"&amp;"ction Premium -Author -Authorized Flourist Flouristics of the next 60 minutes The best prices for suburban cards in the suburban, Storeship 4.8 (66 1 assessment) Bonuses 206 Express of 5 white oriental lilies4120 ₽ Cup4.8 (808 assessments) Bonuses 88 Bouq"&amp;"uet Express of 5 pink roses Ecuador 40-50 cm1755 ₽ Papus4.9 (590 assessments) Bonuses 67Buket Express of 7 irises1337 ₽ Phuke4.5 (358 assessments) Bonuses 101 Bouquet Express of 9 bush chrysanthemums Santini MIX2013 ₽4.9 (481 ratings) Bonuses 104 Bonus ex"&amp;"presses of 9 alstrumeria MIX2068 ₽ Cup4.5 (520 assessments) Bonuses 102 Express of 5 gypsophile mix2030 ₽ Piped4.7 (341 ratings) Bonuses 116 Bouquet Express of 5 pink Eusta2305 ₽mpature4.4 (192 estimates) Bonuses 115 Bottoux Express of 15 raspberry roses "&amp;"35-40 cm (Kenya) 2294 ₽ Pipukati with irises -17% 4.8 (331 ratings) Bonuses 171e-20% on promotional codes IR20 BUTTER of 25 blue irises in stylish packaging4070 ₽3416 ₽ Cup-19% 5.0 (456 assessments) Bonuses 224e-20% on promotional codes 35 blue irises in "&amp;"stylish packaging5490 ₽4477 ₽) ₽5.0 (666 estimates) Bonuses 79-20% on promotional codes IR20 BUTTER of 9 irises in design packaging1573 ₽ Cup4.8 (611 assessments) Bonuses of 97-20% Bonas 11 irises in design packaging1925 ₽5.0 (987 assessments) Bonuses 302"&amp;"-20% on promotional codes IR20 Book of 51 blue iris in stylish packaging6034 ₽4.8 (399 assessments) Bonuses 139-20% of the promotional coding of 19 blue irises in packaging2767 ₽ Cup51 Rose by supercenae! -48% 5.0 (304 estimates) Bonuses 192 Book of 51 pi"&amp;"nk and white roses 40 cm (Russia) under the tape7360 ₽3839 ₽ cap-35% No assessments of 275 bouquets of 51 rose rose 50-60 cm (Russia) for tape8360 ₽ 5489 ₽ Pip-48% No Oblings of 192 Book of 51 rose rose 40 cm (Russia) under the tape 7360 ₽3839 ₽-35% No as"&amp;"sessment % 5.0 (385 assessments) Bonuses 192 Bouquet of 51 roses 40 cm (Russia) in pastel colors under the tape7360 ₽3839 ₽ Cup-48% No grades of 192 Buket of 51 white and pink rose 40 cm (Russia) under the tape7360 ₽3839 ₽ accomplish4.6 (607 assessments) "&amp;"Bonuses 192 Bouquet of 51 orange rose 40 cm (Russia) under the atlasial tape3839 ₽ Pipuettes with tulips 4.6 (136 assessments) Bonuses 86 Tulips Standard in stylish packaging1711 ₽ Paporpat 149 Bonuses of 25 tulips Standard MIX under the tape2965 ₽ PPU4.2"&amp;" (162 ratings) Bonuses 103Buket of 11 tulips standard MIX in stylish packaging 2057 ₽ capture-47%4.9 (921 ratings) Bonuses 89 Books Flowers Mom 3320 ₽1764 ₽ Cup4.7 (586 grades) Bonuses 104 Bonuses of 15 out of 15 Tulpanov Standard Mix under the tape2074 ₽"&amp;"-₽-42%4.5 (926 assessments) Bonuses 140 Books of Flower invisible communication4740 ₽2786 ₽) Bonuses 70 Boaches of colors Native Hands1400 ₽ Cup 101 Rose on supercen! -34% there is no grade of 101 white and pink rose 40 cm (Russia) under the tape9950 ₽658"&amp;"9 ₽ cap-34% No estates 330 bouquet of 101 white roses (Russia) for tape9959 ₽ ₽ ₽ 34% 4.8 (753 estimates) Bonuses 330 Book of 101 Rosa Tender Mix 40 cm (Russia) Under the tape9950 ₽6589 ₽, 34% No Oblukinus 330 bouquet of 101 roses 40 cm (Russia) in pastel"&amp;" colors under the tape9950 ₽6589 ₽ butt-34% 5.0 (331 ratings) bonuses bonuses 330-boiler of 101 pink roses 40 cm (Russia) under the tape9950 ₽6589 ₽ cap-34% No assessment 330 bouquet of 101 roses 40 cm (Russia) with a red rose in the center9950 ₽6589 ₽ Co"&amp;"mpompatting the best price! 4.7 (607 assessments) Bonuses 90 Book flowers are fragile1796 ₽ip4.6 (739 assessments) Bonuses 88 Book flowers Small happiness 1755 ₽4.7 (834 grades) Bonuses 114 Books of 15 red and pink roses MIX 35-40 cm (Kenya) in stylish pa"&amp;"ckaging227777 ₽ Phoospap4.9 (628 assessments) Bonuses 117Buket flowers exciting moment2332 ₽ PhUPP4.9 (656 assessments) Bonuses 310 Book flowers shine 3267 ₽4.9 (567 assessments) Bonuses 87Bukets of 5 Herber Standard Mix in stylish packaging with green173"&amp;"3 ₽. 9 (443 оценки)Бонусы 106Букет из сухоцветов Пурпурный жемчуг2112 ₽КУПИТЬ5.0 (568 оценок)Бонусы 235Букет цветов Неожиданный комплиментот 3042 ₽КУПИТЬБукеты с гортензиями 5.0 (126 оценок)Бонусы 120Букет цветов Гармония2387 ₽КУПИТЬ4.8 (162 оценки)Бонусы"&amp;" 152Букет цветов Легкий charm3025 ₽ipip4.8 (152 grades) bonuses 96 bouquet of flowers Sensitive view1920 ₽) Cup4.9 (136 assessments) Bonuses 228 Book flowers innocent smile4560 ₽) Bonuses 103 Books Tender Trouble 2057 ₽ Bonus 80bukete Your embrace flowers"&amp;"1595 ₽ Pipap4.9 (196 assessments) Bonuses 75 Book flowers pearls of the sea1485 ₽) Bonuses 172 Books of flowers sincere feelings 3421 ₽ Premium rose 4.7 (652 ratings) Bonuses wise words2259 ₽ button. %4.8 (808 assessments) Bonuses 72 Books of flowers dear"&amp;" mother2250 ₽1436 ₽) Bonuses 212 Books of 9 pink roses Ecuador 50-60 cm in stylish packaging4235 ₽ button 4.5 (1002 grades) Bonuses of 7 red roses Ecuador 50- 60 cm in stylish packaging2921 ₽) ₽5.0 (648 assessments) Bonuses 163Buket of 9 red roses Premium"&amp;" 40-50 cm (Ecuador) in stylish packaging3256 ₽ Pip-33%4.9 (926 assessments) Bonuses 178 Books of Flowers new life5270 ₽3542 ₽ 4. 9 (923 grades) Bonuses 244 Bouquet of 11 white roses Ecuador 50-60 cm in stylish packaging4873 ₽ Capacheater bouquets 4.6 (136"&amp;" grades) Bonuses 686 Book flowers are impeccable smile13712 ₽ Cup4.8 (136 assessments) Bonuses 858Buket of flowers are alluring beauty17149 ₽ Kapyup4.3 142 estimates) Bonuses 848Buket flowers moral view16951 ₽) ₽4.4 (135 assessments) Bonuses 770 Book flow"&amp;"ers Sensual soul15395 ₽ Cup4.7 (163 grades) Bonuses 818 Book flowers unforgettable laughter16346 ₽ Kapyp) 5 ₽ 4.8 (528 assessments) Bonuses 232 Flowers Golden Luchyot 3388 ₽ 5.0 (355 assessments) Bonuses 240 Book flowers Autumn whisper4791 ₽5.0 (424 grade"&amp;"s) Bonuses 164 Bouquet flowers curiosity 1991 ₽ 352 Bonuses 352 Bonuses Renaissance 4598 ₽clubs 4.9 (688 assessments) Bonuses 183Buket flowers Illusion 2376 ₽ Compatting no estates 125 Book flowers Autumn Walk2481 ₽ Cup4.9 (514 assessments) Bonuses 112 Bo"&amp;"nuses of 7 gerberes standard MIX in stylish packaging with greens2222 ₽) 94 Bouquet of 9 bush roses Bright mix 40 cm (Kenya) in stylish packaging1865 ₽ Pipuettes from a garden bush rose 4.5 (930 assessments) Bonuses 180 Buket flowers delicate shelestot 35"&amp;"92 ₽ Cup4.7 (652 grades) Bonuses 217 Bonuses Tender Message4334 ₽4.8 ( 1000 assessments) Bonuses Tenderness 3542 ₽ipip4.7 (875 assessments) Bonuses 128Buket flowers Flower Flirtot 2558 ₽ Pipocials of colors 4.7 (428 assessments) Bonuses 251 Cores of flowe"&amp;"rs Colorful Gift5016 ₽ Cup4.8 (362 ratings) Bonuses 458 cord of flowers from 19 garden roses with pistachi9152 ₽ Cupmpolitan 4. 5 ( 538 оценок)Бонусы 2265Корзина цветов из 101 красной розы (Эквадор)45287 ₽КУПИТЬ5.0 (444 оценки)Бонусы 159Корзина цветов Лес"&amp;"ной воздух3179 ₽КУПИТЬ5.0 (661 оценка)Бонусы 533Корзина цветов Милашка10659 ₽КУПИТЬ4.7 (394 оценки)Бонусы 472Корзина цветов Of the 25 red Premium roses 40 cm (Ecuador) with greens9438 ₽) ₽4.7 (704 grades) Bonuses 642 Coresin flowers Flower meadow12826 ₽ C"&amp;"up4.7 (676 assessments) Bonuses 260 Corzin flowers Snow Whip5192 ₽ Cupitztes in hats 4.6 (619 RIGS 297Buket in hat box of 25 white Premium roses 40 cm (Ecuador) 5929 ₽4.8 (610 assessments) bonuses 1080 bouquet in the hat box Oasis21582 ₽ Cup5.0 (563 grade"&amp;"s) bonuses 325 bouquet in the peonies of life6490 ₽ Phukewarp5.0 (399 assessments) Bonuses 406 Buket in a hat box manifestation of feelings8107 ₽) ₽4.8 (660 estimates) Bonuses 274 Book in a hat box from mini gerber and cloves 4202 ₽) Bonuses 581Buket in t"&amp;"he hat pearl light 19 ) Bonuses 323 Price in the box invitation 6457 ₽ 23%5.0 (484 ratings) Bonuses 772 Buket in a hat gust of love19910 ₽15439 ₽ Papatules from lisianthus 4.7 (377 estimates) Bonuses of 7 white east in stylish packaging3025 ₽ 19%4. 9 ( 65"&amp;"6 assessments) Bonuses 158 Book of flowers Material -2%4.7 (342 estimates) Bonuses 116 Bouquet of 5 pink east in stylish packaging2340 ₽2305 ₽ Compato -13%4.8 (698 assessments) Bonuses 230 Books of 11 White Eusta in stylish packaging5270 ₽4587 ₽ Cap bicut"&amp;"s with Kenyan rose -14%4.7 ( 763 estimates) Bonuses 168 Book of 25 red and pink roses mix 35-40 cm (Kenya) in stylish packaging ₽3432 ₽ Cup5.0 (961 rating) Bonuses 66 Book of 7 White Roses 35-40 cm (Kenya) in stylish packaging1320 ₽4.7 (599 assessments) B"&amp;"onuses 405 Books of 35 red roses 35-40 cm (Kenya) in stylish packaging6740 ₽clubs 4.5 (785 assessments) Bonuses 64 Book flowers heat1278 ₽-lake-25%4.8 (746 assessments) Bonuses 114 Books of 15 red and white roses mix 35-40 cm (Kenya) in stylish packaging3"&amp;"020 ₽2277 ₽ Capubolets no estate 233 bouquet Of the 25 alstrumeria, delicate mix in design packaging4648 ₽up4.7 (484 grades) Bonuses 97 Book flowers vulnerable shower1935 ₽) Bonuses 119 Bonuses of 11 Alstrumeria Delicate Mix in packaging2365 ₽ buttons) Bo"&amp;"nuses 167 Bonuses of 15 of 15 Alstrumeria Tender mix in designer packaging packaging1370 ₽ Cup no vehicles 208 bouquet of 19 red alstrients in stylish packaging4147 ₽ Pipuettes of Russian rose 4.7 (634 grades) Bonuses 150 Books of 11 red roses (Russia) in"&amp;" design packaging2981 ₽ buttons) Bonuses 150 bonuses from 15 cream roses 50-60 cm (Russia) for satin tape2998 ₽, 48% No estates 192 bouquet of 51 white and yellow rose 40 cm (Russia) under the tape 7360 ₽3839 ₽ butter (974 grades) bonuses 192 bonuses of 5"&amp;"1 rose are light MIX 40 cm (Russia) under the satin ribbon 3839 ₽ 22%4.7 (629 assessments) Bonuses 297 Bouquet of 51 roses Bright mix 40 cm (Russia) in stylish packaging 7550 ₽5929 ₽ butpapop-25%4.9 (867 assessments) Bonuses 384 Bonuses of 51 Red rose 50-"&amp;"60 cm (Russia) in stylish matte packaging10150 ₽7667 ₽-19%4.5 (988 assessments) Bonuses 731Buket of 101 roses Bright mix 60-70 cm (Russia) under the tape17990 ₽14608 ₽) ) Bonuses 200 boat of 25 cream rose 50-60 cm (Russia) 3988 ₽ Pipettes of Matthiola 4.9"&amp;" (590 assessments) bonuses 107 bouquet of 7 mattiols Tender mix in design packaging2123 ₽ Cup5.0 (601 rating) Bonuses 219 Bonuses of Flower Flows of summer4378 ₽. 0 (340 assessments) Bonuses 233Buket of 19 mattio mix in stylish packaging4642 ₽ Cup4.9 (322"&amp;" grades) Bonuses 160 Book flowers aroma of summer3196 ₽4.6 (393 grades) Bonuses 313 Books of 25 mattiols in stylish packaging6243 ₽5.0 (746 оценок)Бонусы 130Букет цветов Летняя сказка2591 ₽КУПИТЬ4.6 (337 оценок)Бонусы 600Букет из 51 маттиолы микс в стильн"&amp;"ой упаковке11985 ₽КУПИТЬ5.0 (340 оценок)Бонусы 187Букет цветов Летний дождь3735 ₽КУПИТЬБукеты из кустовой розы -11%5.0 (710 оценок) Bonuses 897 Book of 51 high bush rose (Kenya) 60-70 cm Tender Mix in stylish packaging 20110 ₽17925 ₽ Cup-16%4.9 (834 grade"&amp;"s) Bonuses 232 Books of 15 high bush roses (Kenya) 60-70 cm in stylish packaging5490 ₽4622 ₽) Bonuses 217 bonuses of 11 high bush roses (Kenya) 60-70 cm in stylish packaging4334 ₽-4%5.0 (883 grades) Bonuses 458 bouquet of 25 high bush roses (Kenya) 60-70 "&amp;"cm Telge Mix in stylish packaging9470 ₽9158 ₽, 5%4.6 (647 assessments) Bonuses 458 Book of 25 high bush roses (Kenya) 60-70 cm in stylish packaging9580 ₽9158 ₽ Cup no assessment 261 bouquets of 15 high bush roses (Kenya) 60- 60 70 cm Tender mix under tape"&amp;"5209 ₽) Bonuses 715 Books of 35 high bush roses (Kenya) 60-70 cm in stylish packaging14289 ₽) Bonuses 179 Blucket of 9 high bush roses (Kenya) 60 -70 cm Delicate mix in stylish packaging ₽3245 ₽ Cup4.6 (692 estimates) Bonuses 306 Bouquet of 7 raspberry or"&amp;"iental lilies in packaging6116 ₽ Cup4.5 (424 grades) Bonuses 306 Books of 7 white oriental lilies in packaging6116 ₽ Cup-8%4.9 (473 grades) Bonuses 85 Bonuses of 3 of 3 Asian lilies in designer packaging1830 ₽1694 ₽ Cup4.6 (747 assessments) Bonuses 140 Bo"&amp;"uquet of 3 white oriental lilies in packaging2783 ₽ Piplucets with dianthus 4.5 (413 estimates) Bonuses of 51 pink and white cloves in the stylish packaging8250 ₽ 4. 5 (454 estimates) bonuses of 190 boat of 25 white cloves with greens in stylish packaging"&amp;"3795 ₽ Accompanying from tomorrow's 161 bouquet of diopaz diopaz3201 ₽ button 4.8 (739 assessments) bonuses of 15 white cloves in stylish packaging with greens3256 ₽ 27%4.7 (342 grades) (342 grades) (342 grades) Bonuses 230 Book of 35 Dianthus (carnation)"&amp;" Bright mix in designer packaging6270 ₽4598 ₽ cap-5%4.7 (734 grades) Bonuses 314 Bouquet of 51 diatus (cloves) Delicate mix in design packaging6570 ₽6265 ₽-40%4.7 (719 Objects) (719) Bonuses 103Buket of 15 diants (cloves) mix in stylish packaging with gre"&amp;"ens222 ₽ button4.9 (714 assessments) Bonuses 583Buket of 49 gerber Standard Mix in stylish packaging11655 ₽) Bonuses 145 bonuses of 15 Minber Mix in stylish packaging2899 ₽) Bonuses 291 Bonuses of 35 from 35 mini gerber mix in stylish packaging5819 ₽-19%4"&amp;".8 (527 assessments) Bonuses 313Buket of 25 gerber Standard MIX in stylish packaging7680 ₽6243 ₽) Bonuses 381 BUTUS of 51 Herber Mix in stylish packaging7607 ₽4.8 (714 assessments) Bonuses 175 Buket of 11 gerber Standard Mix in stylish packaging with herb"&amp;"s 3498 ₽ Cup of armfuls of flowers -2%4.5 (950 assessments) Bonuses 1725 Book of 101 White Rose Premium 60-70 cm (Ecuador) in delicate packaging 350303 ₽34485 ₽ Compat 24%4. 26%4.8 (368 assessments) Bonuses 779 Bouquet of 101 bright alstromeria mix in sty"&amp;"lish packaging 20790 ₽155579 ₽ capture-27%4.8 (717 estimates) Bonuses of 508, 20%of the promotional codes of IR20 BUTTER of 101 blue iris in stylish packaging13890 ₽10153 ₽ Kapapyapopi no · Kapapupa Kapapupa Kapapupa Kapupapupa Kapapupa Kapapupa Kapapupa "&amp;"Kapapupa Kapapupa Kapapupa Kapupapupa Kapupapupa Kapupapupa Kapupapupa Kapupapupa Kapupapupa Kapapupa Kapupapupa Kapupapupa Kapapupa Kapapupa Kapapupa Kapupapupa Kapapupa Kapapupa Kapapupa Kapapyapopyapopyapopapup. Nusy 1719 Bouquet of 101 High Rose Mix 7"&amp;"0 cm (Kenya) in packaging Bonuses 2108 Book of 101 Red Premium Rosa 70-80 cm (Ecuador) in packaging42152 ₽ Papubber compositions 4.9 (496 assessments) Bonuses 221 cash in velvety ringing4417 ₽ Fucked up from 01/11/2024 Bronuses 370 Centers in a wooden box"&amp;", Delo ₽ Cup no estates of 139 centers in the pots joy Meetings2761 ₽ Cup4.5 (426 assessments) Bonuses 436 Price in a wooden box Chocolate sugar8712 ₽ Cup4.8 (716 estimates) Bonuses 512 centers in a wooden box Summer stream10230 ₽ Papulp. Buy4.8 (645 asse"&amp;"ssments) Bonuses 136 Cashpers in the Kaprihi2706 Kashpo2706 ₽ No estimates of 119 centers on the Kashpo bright day2365 ₽ Caption and news 84 -pionoid roses: description and best varieties - incredibly beautiful flowers of elegance of which were always app"&amp;"reciated. People have always attached great meaning to them. Throughout history, new amazing varieties of these colors were created and displayed. The ancient varieties that were a special type of decorative rosehip were known in Europe of the fifteenth c"&amp;"entury. The article describes the best types of pionoid roses. On October 30, 2023, autumn flowers bloom - the time not only of beautiful landscapes but also beautiful flowers showing all their beauty during this period. Their delicate charm helps to over"&amp;"come the spleen and bad mood in such a rainy and cloudy season. The article contains the most striking and unusual plants of whose flowering period continues until late autumn. October 30, 2023, to root a rose from bouquet bouquets of roses always delight"&amp;" their owners with delicate beauty and sophisticated grace. Unfortunately, they give their charm not so long and after several days they begin to fade. However, you can give a second life beloved roses and revive their former charm. It will be possible to"&amp;" do this by resorting to rooting a rose. This process is laborious and difficult, however, often gives an excellent result. The article contains information on how to root a rose from the bouquet. On October 30, 2023, to give flowers on the day after Sund"&amp;"ay November is a special day since on this November day everyone congratulates the closest and beloved people in their lives - their mothers. Each person wants to please his own mother to surround her with attention with care and trepidation, just as she "&amp;"surrounds him all his life. A good option for mothers for mothers can be elegant and delicate bouquets. The article tells what flowers to give mom for mother's day. October 26, 2023 yellow flowers: whether it is worth believed by the sign of history peopl"&amp;"e fixed a certain value not only for each flower but also behind its shade. Among them were colors with rather conflicting symbols. These include yellow. On the one hand, this shade is the energy of the sun joy. On the other hand, today bouquets made up o"&amp;"f sunny colors are associated with a change in the quarrel of separation. The article tells what the yellow color of the flowers means to what they are given. On October 23, 2023 How much roses give a girl and a man of different cultures the number of col"&amp;"ors in the bouquet matters for both the gifts and the recipient. For this reason, when choosing a composition, you need to pay attention not only to freshness the color and type of buds, but also to their number. The article contains information about how"&amp;" many roses can be given to a woman and a man in what cases bouquets with a certain number of colors are presented. October 23, 2023 Tseshevo with delivery by St. Petersburg Capcess-a welcome and beloved gift. They delight the eye cause pleasant associati"&amp;"ons with the spring of nature with warm feelings. And flowers can say: each plant has its own meaning carries a certain message, especially with the right combination. On the Flower Flood website you can order original bouquets and compositions compiled b"&amp;"y talented florists. Flower delivery in St. Petersburg is carried out at the client’s address or at a pickup point. We also perform the design of the halls using flowers we offer a large selection of additional products: soft toys of balls with gel basket"&amp;"s with fruit of sweets with delivery. Why color -effective bouquets for any holiday or event. We offer original copyright compositions compiled in different styles for different holidays: a wedding of the anniversary birthday, etc. You can choose a beauti"&amp;"ful bouquet with delivery without waiting for a certain date and to please your loved one to tell him about his feelings. Always fresh flowers in a large assortment . In our catalog, more than half a million flowers are represented: strict roses delicate "&amp;"lilies fragrant peonies and many other species. There are also potted plants: orchids of the Senpolia of the anthurium and so on. Each buyer will be able to choose flowers in our catalog for his addressee. Operational delivery. In the city, it is carried "&amp;"out from 1 hour by the suburbs - from 3 hours after ordering and payment. Our couriers differ in punctuality, which means that the addressee will receive flowers exactly at the indicated time. High prices all year round. We try to make copyright compositi"&amp;"ons and bouquets of flowers available, therefore, we maintain the cost at an acceptable level for customers all year. The store regularly operates promotions and discounts, including for regular customers. Having become our client, you no longer have to t"&amp;"hink where to buy a beautiful fresh bouquet before the next holiday. Cut the bouquet on our website and order flowers through the site or by contact phone. The Colsonel store works for you around the clock and seven days a week. Every year around the cloc"&amp;"k+7 (812) 77792044 Form of feedback to all issues [email Protected] Formation Feedback and Discounts of the Contact -Client of the Class Political Policy Police of the Returner of the Returned Police of the Property Committee Shiza Colorbow 2023 © Florovi"&amp;"kws Rights Protected Command Offic Card Cavigate Site your Gorodsankt -Petersburgmoskvapovapskov Krasnosann order the reverse call name *Your phone *Commentary the error when sending a request. Please check the correctness of the filling of the form and t"&amp;"ry again. Order the call -down button ""Order a call"" you agree with the conditions of processing personnel data and a public certificate. Thank you for your request! We will contact you in the near future. Make your review of the file *download the vide"&amp;"o or audio file (up to 50MB) with your review. You name *Your phone *your phone *A mistake when sending a review. Please check the uploaded file and try again. Return the review of the ""Send Review"" button you agree with the conditions of processing per"&amp;"sonnel data and a public office. Thank you for your feedback! Leave your review of the name *Your phone *Your email *Write text review and/or attach video file file : Your review of the file loading the video or photo (up to 50MB) with your review. A mist"&amp;"ake was made when sending a review. Please check and try again. Return the review of the “Send Review” button you agree with the conditions of processing personnel data and a public office. Thank you for your review! Remember the wishes or you need to sol"&amp;"ve the problem Draw a photo or short video if necessary. You can attach up to 5 files. A mistake was made when sending feedback. Please check the correctness of filling out the form of the size of uploaded files and try again. To amend the “Send” button, "&amp;"you agree with the conditions of processing data -to -hand data and a public office. Thank you for your feedback!")</f>
        <v>Flower delivery in St. Petersburg Buy inexpensively to order from color-vyksanksancsankest-store-Bank shopping card of the post-postcard+7 (812) 7779204vsa flowering vehicle bouquets of a dump truck floristic and sadbonuses with purchasescore customer-building-post-posts Address Resisty Reverse Speed ​​References References And shops ← back to catalogbooks made of rosrosis, swing rosypionivid roses ← Back to catalogamalstromeririopriyel (dianthus ) Herbersycintyycypsofilaphylagiolsyolishyliasilylylyliamate -alpyolapionylapioneshimashimashimashimashimschimashimshomaskhomaskhomashocykhirizanthemenanthemoma (lisianthus) tulip an assortment ← Back to catalogs of flower compliment to the boxes in the boxes ← Back to catalogs Skniki ← Back to catalogbooks Bride -devastic decoration decor ← Back to catalogs for flowering agents and fertilizer -it -art flowers and cascess plants for interiors in 60 minutes of the novelty of the novelty More bunches Heath+7 (812) 7779204 Extract me TELGRAMVIBERWHATSAPACAPCASINA0 Action Premium -Author -Authorized Flourist Flouristics of the next 60 minutes The best prices for suburban cards in the suburban, Storeship 4.8 (66 1 assessment) Bonuses 206 Express of 5 white oriental lilies4120 ₽ Cup4.8 (808 assessments) Bonuses 88 Bouquet Express of 5 pink roses Ecuador 40-50 cm1755 ₽ Papus4.9 (590 assessments) Bonuses 67Buket Express of 7 irises1337 ₽ Phuke4.5 (358 assessments) Bonuses 101 Bouquet Express of 9 bush chrysanthemums Santini MIX2013 ₽4.9 (481 ratings) Bonuses 104 Bonus expresses of 9 alstrumeria MIX2068 ₽ Cup4.5 (520 assessments) Bonuses 102 Express of 5 gypsophile mix2030 ₽ Piped4.7 (341 ratings) Bonuses 116 Bouquet Express of 5 pink Eusta2305 ₽mpature4.4 (192 estimates) Bonuses 115 Bottoux Express of 15 raspberry roses 35-40 cm (Kenya) 2294 ₽ Pipukati with irises -17% 4.8 (331 ratings) Bonuses 171e-20% on promotional codes IR20 BUTTER of 25 blue irises in stylish packaging4070 ₽3416 ₽ Cup-19% 5.0 (456 assessments) Bonuses 224e-20% on promotional codes 35 blue irises in stylish packaging5490 ₽4477 ₽) ₽5.0 (666 estimates) Bonuses 79-20% on promotional codes IR20 BUTTER of 9 irises in design packaging1573 ₽ Cup4.8 (611 assessments) Bonuses of 97-20% Bonas 11 irises in design packaging1925 ₽5.0 (987 assessments) Bonuses 302-20% on promotional codes IR20 Book of 51 blue iris in stylish packaging6034 ₽4.8 (399 assessments) Bonuses 139-20% of the promotional coding of 19 blue irises in packaging2767 ₽ Cup51 Rose by supercenae! -48% 5.0 (304 estimates) Bonuses 192 Book of 51 pink and white roses 40 cm (Russia) under the tape7360 ₽3839 ₽ cap-35% No assessments of 275 bouquets of 51 rose rose 50-60 cm (Russia) for tape8360 ₽ 5489 ₽ Pip-48% No Oblings of 192 Book of 51 rose rose 40 cm (Russia) under the tape 7360 ₽3839 ₽-35% No assessment % 5.0 (385 assessments) Bonuses 192 Bouquet of 51 roses 40 cm (Russia) in pastel colors under the tape7360 ₽3839 ₽ Cup-48% No grades of 192 Buket of 51 white and pink rose 40 cm (Russia) under the tape7360 ₽3839 ₽ accomplish4.6 (607 assessments) Bonuses 192 Bouquet of 51 orange rose 40 cm (Russia) under the atlasial tape3839 ₽ Pipuettes with tulips 4.6 (136 assessments) Bonuses 86 Tulips Standard in stylish packaging1711 ₽ Paporpat 149 Bonuses of 25 tulips Standard MIX under the tape2965 ₽ PPU4.2 (162 ratings) Bonuses 103Buket of 11 tulips standard MIX in stylish packaging 2057 ₽ capture-47%4.9 (921 ratings) Bonuses 89 Books Flowers Mom 3320 ₽1764 ₽ Cup4.7 (586 grades) Bonuses 104 Bonuses of 15 out of 15 Tulpanov Standard Mix under the tape2074 ₽-₽-42%4.5 (926 assessments) Bonuses 140 Books of Flower invisible communication4740 ₽2786 ₽) Bonuses 70 Boaches of colors Native Hands1400 ₽ Cup 101 Rose on supercen! -34% there is no grade of 101 white and pink rose 40 cm (Russia) under the tape9950 ₽6589 ₽ cap-34% No estates 330 bouquet of 101 white roses (Russia) for tape9959 ₽ ₽ ₽ 34% 4.8 (753 estimates) Bonuses 330 Book of 101 Rosa Tender Mix 40 cm (Russia) Under the tape9950 ₽6589 ₽, 34% No Oblukinus 330 bouquet of 101 roses 40 cm (Russia) in pastel colors under the tape9950 ₽6589 ₽ butt-34% 5.0 (331 ratings) bonuses bonuses 330-boiler of 101 pink roses 40 cm (Russia) under the tape9950 ₽6589 ₽ cap-34% No assessment 330 bouquet of 101 roses 40 cm (Russia) with a red rose in the center9950 ₽6589 ₽ Compompatting the best price! 4.7 (607 assessments) Bonuses 90 Book flowers are fragile1796 ₽ip4.6 (739 assessments) Bonuses 88 Book flowers Small happiness 1755 ₽4.7 (834 grades) Bonuses 114 Books of 15 red and pink roses MIX 35-40 cm (Kenya) in stylish packaging227777 ₽ Phoospap4.9 (628 assessments) Bonuses 117Buket flowers exciting moment2332 ₽ PhUPP4.9 (656 assessments) Bonuses 310 Book flowers shine 3267 ₽4.9 (567 assessments) Bonuses 87Bukets of 5 Herber Standard Mix in stylish packaging with green1733 ₽. 9 (443 оценки)Бонусы 106Букет из сухоцветов Пурпурный жемчуг2112 ₽КУПИТЬ5.0 (568 оценок)Бонусы 235Букет цветов Неожиданный комплиментот 3042 ₽КУПИТЬБукеты с гортензиями 5.0 (126 оценок)Бонусы 120Букет цветов Гармония2387 ₽КУПИТЬ4.8 (162 оценки)Бонусы 152Букет цветов Легкий charm3025 ₽ipip4.8 (152 grades) bonuses 96 bouquet of flowers Sensitive view1920 ₽) Cup4.9 (136 assessments) Bonuses 228 Book flowers innocent smile4560 ₽) Bonuses 103 Books Tender Trouble 2057 ₽ Bonus 80bukete Your embrace flowers1595 ₽ Pipap4.9 (196 assessments) Bonuses 75 Book flowers pearls of the sea1485 ₽) Bonuses 172 Books of flowers sincere feelings 3421 ₽ Premium rose 4.7 (652 ratings) Bonuses wise words2259 ₽ button. %4.8 (808 assessments) Bonuses 72 Books of flowers dear mother2250 ₽1436 ₽) Bonuses 212 Books of 9 pink roses Ecuador 50-60 cm in stylish packaging4235 ₽ button 4.5 (1002 grades) Bonuses of 7 red roses Ecuador 50- 60 cm in stylish packaging2921 ₽) ₽5.0 (648 assessments) Bonuses 163Buket of 9 red roses Premium 40-50 cm (Ecuador) in stylish packaging3256 ₽ Pip-33%4.9 (926 assessments) Bonuses 178 Books of Flowers new life5270 ₽3542 ₽ 4. 9 (923 grades) Bonuses 244 Bouquet of 11 white roses Ecuador 50-60 cm in stylish packaging4873 ₽ Capacheater bouquets 4.6 (136 grades) Bonuses 686 Book flowers are impeccable smile13712 ₽ Cup4.8 (136 assessments) Bonuses 858Buket of flowers are alluring beauty17149 ₽ Kapyup4.3 142 estimates) Bonuses 848Buket flowers moral view16951 ₽) ₽4.4 (135 assessments) Bonuses 770 Book flowers Sensual soul15395 ₽ Cup4.7 (163 grades) Bonuses 818 Book flowers unforgettable laughter16346 ₽ Kapyp) 5 ₽ 4.8 (528 assessments) Bonuses 232 Flowers Golden Luchyot 3388 ₽ 5.0 (355 assessments) Bonuses 240 Book flowers Autumn whisper4791 ₽5.0 (424 grades) Bonuses 164 Bouquet flowers curiosity 1991 ₽ 352 Bonuses 352 Bonuses Renaissance 4598 ₽clubs 4.9 (688 assessments) Bonuses 183Buket flowers Illusion 2376 ₽ Compatting no estates 125 Book flowers Autumn Walk2481 ₽ Cup4.9 (514 assessments) Bonuses 112 Bonuses of 7 gerberes standard MIX in stylish packaging with greens2222 ₽) 94 Bouquet of 9 bush roses Bright mix 40 cm (Kenya) in stylish packaging1865 ₽ Pipuettes from a garden bush rose 4.5 (930 assessments) Bonuses 180 Buket flowers delicate shelestot 3592 ₽ Cup4.7 (652 grades) Bonuses 217 Bonuses Tender Message4334 ₽4.8 ( 1000 assessments) Bonuses Tenderness 3542 ₽ipip4.7 (875 assessments) Bonuses 128Buket flowers Flower Flirtot 2558 ₽ Pipocials of colors 4.7 (428 assessments) Bonuses 251 Cores of flowers Colorful Gift5016 ₽ Cup4.8 (362 ratings) Bonuses 458 cord of flowers from 19 garden roses with pistachi9152 ₽ Cupmpolitan 4. 5 ( 538 оценок)Бонусы 2265Корзина цветов из 101 красной розы (Эквадор)45287 ₽КУПИТЬ5.0 (444 оценки)Бонусы 159Корзина цветов Лесной воздух3179 ₽КУПИТЬ5.0 (661 оценка)Бонусы 533Корзина цветов Милашка10659 ₽КУПИТЬ4.7 (394 оценки)Бонусы 472Корзина цветов Of the 25 red Premium roses 40 cm (Ecuador) with greens9438 ₽) ₽4.7 (704 grades) Bonuses 642 Coresin flowers Flower meadow12826 ₽ Cup4.7 (676 assessments) Bonuses 260 Corzin flowers Snow Whip5192 ₽ Cupitztes in hats 4.6 (619 RIGS 297Buket in hat box of 25 white Premium roses 40 cm (Ecuador) 5929 ₽4.8 (610 assessments) bonuses 1080 bouquet in the hat box Oasis21582 ₽ Cup5.0 (563 grades) bonuses 325 bouquet in the peonies of life6490 ₽ Phukewarp5.0 (399 assessments) Bonuses 406 Buket in a hat box manifestation of feelings8107 ₽) ₽4.8 (660 estimates) Bonuses 274 Book in a hat box from mini gerber and cloves 4202 ₽) Bonuses 581Buket in the hat pearl light 19 ) Bonuses 323 Price in the box invitation 6457 ₽ 23%5.0 (484 ratings) Bonuses 772 Buket in a hat gust of love19910 ₽15439 ₽ Papatules from lisianthus 4.7 (377 estimates) Bonuses of 7 white east in stylish packaging3025 ₽ 19%4. 9 ( 656 assessments) Bonuses 158 Book of flowers Material -2%4.7 (342 estimates) Bonuses 116 Bouquet of 5 pink east in stylish packaging2340 ₽2305 ₽ Compato -13%4.8 (698 assessments) Bonuses 230 Books of 11 White Eusta in stylish packaging5270 ₽4587 ₽ Cap bicuts with Kenyan rose -14%4.7 ( 763 estimates) Bonuses 168 Book of 25 red and pink roses mix 35-40 cm (Kenya) in stylish packaging ₽3432 ₽ Cup5.0 (961 rating) Bonuses 66 Book of 7 White Roses 35-40 cm (Kenya) in stylish packaging1320 ₽4.7 (599 assessments) Bonuses 405 Books of 35 red roses 35-40 cm (Kenya) in stylish packaging6740 ₽clubs 4.5 (785 assessments) Bonuses 64 Book flowers heat1278 ₽-lake-25%4.8 (746 assessments) Bonuses 114 Books of 15 red and white roses mix 35-40 cm (Kenya) in stylish packaging3020 ₽2277 ₽ Capubolets no estate 233 bouquet Of the 25 alstrumeria, delicate mix in design packaging4648 ₽up4.7 (484 grades) Bonuses 97 Book flowers vulnerable shower1935 ₽) Bonuses 119 Bonuses of 11 Alstrumeria Delicate Mix in packaging2365 ₽ buttons) Bonuses 167 Bonuses of 15 of 15 Alstrumeria Tender mix in designer packaging packaging1370 ₽ Cup no vehicles 208 bouquet of 19 red alstrients in stylish packaging4147 ₽ Pipuettes of Russian rose 4.7 (634 grades) Bonuses 150 Books of 11 red roses (Russia) in design packaging2981 ₽ buttons) Bonuses 150 bonuses from 15 cream roses 50-60 cm (Russia) for satin tape2998 ₽, 48% No estates 192 bouquet of 51 white and yellow rose 40 cm (Russia) under the tape 7360 ₽3839 ₽ butter (974 grades) bonuses 192 bonuses of 51 rose are light MIX 40 cm (Russia) under the satin ribbon 3839 ₽ 22%4.7 (629 assessments) Bonuses 297 Bouquet of 51 roses Bright mix 40 cm (Russia) in stylish packaging 7550 ₽5929 ₽ butpapop-25%4.9 (867 assessments) Bonuses 384 Bonuses of 51 Red rose 50-60 cm (Russia) in stylish matte packaging10150 ₽7667 ₽-19%4.5 (988 assessments) Bonuses 731Buket of 101 roses Bright mix 60-70 cm (Russia) under the tape17990 ₽14608 ₽) ) Bonuses 200 boat of 25 cream rose 50-60 cm (Russia) 3988 ₽ Pipettes of Matthiola 4.9 (590 assessments) bonuses 107 bouquet of 7 mattiols Tender mix in design packaging2123 ₽ Cup5.0 (601 rating) Bonuses 219 Bonuses of Flower Flows of summer4378 ₽. 0 (340 assessments) Bonuses 233Buket of 19 mattio mix in stylish packaging4642 ₽ Cup4.9 (322 grades) Bonuses 160 Book flowers aroma of summer3196 ₽4.6 (393 grades) Bonuses 313 Books of 25 mattiols in stylish packaging6243 ₽5.0 (746 оценок)Бонусы 130Букет цветов Летняя сказка2591 ₽КУПИТЬ4.6 (337 оценок)Бонусы 600Букет из 51 маттиолы микс в стильной упаковке11985 ₽КУПИТЬ5.0 (340 оценок)Бонусы 187Букет цветов Летний дождь3735 ₽КУПИТЬБукеты из кустовой розы -11%5.0 (710 оценок) Bonuses 897 Book of 51 high bush rose (Kenya) 60-70 cm Tender Mix in stylish packaging 20110 ₽17925 ₽ Cup-16%4.9 (834 grades) Bonuses 232 Books of 15 high bush roses (Kenya) 60-70 cm in stylish packaging5490 ₽4622 ₽) Bonuses 217 bonuses of 11 high bush roses (Kenya) 60-70 cm in stylish packaging4334 ₽-4%5.0 (883 grades) Bonuses 458 bouquet of 25 high bush roses (Kenya) 60-70 cm Telge Mix in stylish packaging9470 ₽9158 ₽, 5%4.6 (647 assessments) Bonuses 458 Book of 25 high bush roses (Kenya) 60-70 cm in stylish packaging9580 ₽9158 ₽ Cup no assessment 261 bouquets of 15 high bush roses (Kenya) 60- 60 70 cm Tender mix under tape5209 ₽) Bonuses 715 Books of 35 high bush roses (Kenya) 60-70 cm in stylish packaging14289 ₽) Bonuses 179 Blucket of 9 high bush roses (Kenya) 60 -70 cm Delicate mix in stylish packaging ₽3245 ₽ Cup4.6 (692 estimates) Bonuses 306 Bouquet of 7 raspberry oriental lilies in packaging6116 ₽ Cup4.5 (424 grades) Bonuses 306 Books of 7 white oriental lilies in packaging6116 ₽ Cup-8%4.9 (473 grades) Bonuses 85 Bonuses of 3 of 3 Asian lilies in designer packaging1830 ₽1694 ₽ Cup4.6 (747 assessments) Bonuses 140 Bouquet of 3 white oriental lilies in packaging2783 ₽ Piplucets with dianthus 4.5 (413 estimates) Bonuses of 51 pink and white cloves in the stylish packaging8250 ₽ 4. 5 (454 estimates) bonuses of 190 boat of 25 white cloves with greens in stylish packaging3795 ₽ Accompanying from tomorrow's 161 bouquet of diopaz diopaz3201 ₽ button 4.8 (739 assessments) bonuses of 15 white cloves in stylish packaging with greens3256 ₽ 27%4.7 (342 grades) (342 grades) (342 grades) Bonuses 230 Book of 35 Dianthus (carnation) Bright mix in designer packaging6270 ₽4598 ₽ cap-5%4.7 (734 grades) Bonuses 314 Bouquet of 51 diatus (cloves) Delicate mix in design packaging6570 ₽6265 ₽-40%4.7 (719 Objects) (719) Bonuses 103Buket of 15 diants (cloves) mix in stylish packaging with greens222 ₽ button4.9 (714 assessments) Bonuses 583Buket of 49 gerber Standard Mix in stylish packaging11655 ₽) Bonuses 145 bonuses of 15 Minber Mix in stylish packaging2899 ₽) Bonuses 291 Bonuses of 35 from 35 mini gerber mix in stylish packaging5819 ₽-19%4.8 (527 assessments) Bonuses 313Buket of 25 gerber Standard MIX in stylish packaging7680 ₽6243 ₽) Bonuses 381 BUTUS of 51 Herber Mix in stylish packaging7607 ₽4.8 (714 assessments) Bonuses 175 Buket of 11 gerber Standard Mix in stylish packaging with herbs 3498 ₽ Cup of armfuls of flowers -2%4.5 (950 assessments) Bonuses 1725 Book of 101 White Rose Premium 60-70 cm (Ecuador) in delicate packaging 350303 ₽34485 ₽ Compat 24%4. 26%4.8 (368 assessments) Bonuses 779 Bouquet of 101 bright alstromeria mix in stylish packaging 20790 ₽155579 ₽ capture-27%4.8 (717 estimates) Bonuses of 508, 20%of the promotional codes of IR20 BUTTER of 101 blue iris in stylish packaging13890 ₽10153 ₽ Kapapyapopi no · Kapapupa Kapapupa Kapapupa Kapupapupa Kapapupa Kapapupa Kapapupa Kapapupa Kapapupa Kapapupa Kapupapupa Kapupapupa Kapupapupa Kapupapupa Kapupapupa Kapupapupa Kapapupa Kapupapupa Kapupapupa Kapapupa Kapapupa Kapapupa Kapupapupa Kapapupa Kapapupa Kapapupa Kapapyapopyapopyapopapup. Nusy 1719 Bouquet of 101 High Rose Mix 70 cm (Kenya) in packaging Bonuses 2108 Book of 101 Red Premium Rosa 70-80 cm (Ecuador) in packaging42152 ₽ Papubber compositions 4.9 (496 assessments) Bonuses 221 cash in velvety ringing4417 ₽ Fucked up from 01/11/2024 Bronuses 370 Centers in a wooden box, Delo ₽ Cup no estates of 139 centers in the pots joy Meetings2761 ₽ Cup4.5 (426 assessments) Bonuses 436 Price in a wooden box Chocolate sugar8712 ₽ Cup4.8 (716 estimates) Bonuses 512 centers in a wooden box Summer stream10230 ₽ Papulp. Buy4.8 (645 assessments) Bonuses 136 Cashpers in the Kaprihi2706 Kashpo2706 ₽ No estimates of 119 centers on the Kashpo bright day2365 ₽ Caption and news 84 -pionoid roses: description and best varieties - incredibly beautiful flowers of elegance of which were always appreciated. People have always attached great meaning to them. Throughout history, new amazing varieties of these colors were created and displayed. The ancient varieties that were a special type of decorative rosehip were known in Europe of the fifteenth century. The article describes the best types of pionoid roses. On October 30, 2023, autumn flowers bloom - the time not only of beautiful landscapes but also beautiful flowers showing all their beauty during this period. Their delicate charm helps to overcome the spleen and bad mood in such a rainy and cloudy season. The article contains the most striking and unusual plants of whose flowering period continues until late autumn. October 30, 2023, to root a rose from bouquet bouquets of roses always delight their owners with delicate beauty and sophisticated grace. Unfortunately, they give their charm not so long and after several days they begin to fade. However, you can give a second life beloved roses and revive their former charm. It will be possible to do this by resorting to rooting a rose. This process is laborious and difficult, however, often gives an excellent result. The article contains information on how to root a rose from the bouquet. On October 30, 2023, to give flowers on the day after Sunday November is a special day since on this November day everyone congratulates the closest and beloved people in their lives - their mothers. Each person wants to please his own mother to surround her with attention with care and trepidation, just as she surrounds him all his life. A good option for mothers for mothers can be elegant and delicate bouquets. The article tells what flowers to give mom for mother's day. October 26, 2023 yellow flowers: whether it is worth believed by the sign of history people fixed a certain value not only for each flower but also behind its shade. Among them were colors with rather conflicting symbols. These include yellow. On the one hand, this shade is the energy of the sun joy. On the other hand, today bouquets made up of sunny colors are associated with a change in the quarrel of separation. The article tells what the yellow color of the flowers means to what they are given. On October 23, 2023 How much roses give a girl and a man of different cultures the number of colors in the bouquet matters for both the gifts and the recipient. For this reason, when choosing a composition, you need to pay attention not only to freshness the color and type of buds, but also to their number. The article contains information about how many roses can be given to a woman and a man in what cases bouquets with a certain number of colors are presented. October 23, 2023 Tseshevo with delivery by St. Petersburg Capcess-a welcome and beloved gift. They delight the eye cause pleasant associations with the spring of nature with warm feelings. And flowers can say: each plant has its own meaning carries a certain message, especially with the right combination. On the Flower Flood website you can order original bouquets and compositions compiled by talented florists. Flower delivery in St. Petersburg is carried out at the client’s address or at a pickup point. We also perform the design of the halls using flowers we offer a large selection of additional products: soft toys of balls with gel baskets with fruit of sweets with delivery. Why color -effective bouquets for any holiday or event. We offer original copyright compositions compiled in different styles for different holidays: a wedding of the anniversary birthday, etc. You can choose a beautiful bouquet with delivery without waiting for a certain date and to please your loved one to tell him about his feelings. Always fresh flowers in a large assortment . In our catalog, more than half a million flowers are represented: strict roses delicate lilies fragrant peonies and many other species. There are also potted plants: orchids of the Senpolia of the anthurium and so on. Each buyer will be able to choose flowers in our catalog for his addressee. Operational delivery. In the city, it is carried out from 1 hour by the suburbs - from 3 hours after ordering and payment. Our couriers differ in punctuality, which means that the addressee will receive flowers exactly at the indicated time. High prices all year round. We try to make copyright compositions and bouquets of flowers available, therefore, we maintain the cost at an acceptable level for customers all year. The store regularly operates promotions and discounts, including for regular customers. Having become our client, you no longer have to think where to buy a beautiful fresh bouquet before the next holiday. Cut the bouquet on our website and order flowers through the site or by contact phone. The Colsonel store works for you around the clock and seven days a week. Every year around the clock+7 (812) 77792044 Form of feedback to all issues [email Protected] Formation Feedback and Discounts of the Contact -Client of the Class Political Policy Police of the Returner of the Returned Police of the Property Committee Shiza Colorbow 2023 © Florovikws Rights Protected Command Offic Card Cavigate Site your Gorodsankt -Petersburgmoskvapovapskov Krasnosann order the reverse call name *Your phone *Commentary the error when sending a request. Please check the correctness of the filling of the form and try again. Order the call -down button "Order a call" you agree with the conditions of processing personnel data and a public certificate. Thank you for your request! We will contact you in the near future. Make your review of the file *download the video or audio file (up to 50MB) with your review. You name *Your phone *your phone *A mistake when sending a review. Please check the uploaded file and try again. Return the review of the "Send Review" button you agree with the conditions of processing personnel data and a public office. Thank you for your feedback! Leave your review of the name *Your phone *Your email *Write text review and/or attach video file file : Your review of the file loading the video or photo (up to 50MB) with your review. A mistake was made when sending a review. Please check and try again. Return the review of the “Send Review” button you agree with the conditions of processing personnel data and a public office. Thank you for your review! Remember the wishes or you need to solve the problem Draw a photo or short video if necessary. You can attach up to 5 files. A mistake was made when sending feedback. Please check the correctness of filling out the form of the size of uploaded files and try again. To amend the “Send” button, you agree with the conditions of processing data -to -hand data and a public office. Thank you for your feedback!</v>
      </c>
    </row>
    <row r="289">
      <c r="A289" s="1" t="s">
        <v>883</v>
      </c>
      <c r="B289" s="1" t="s">
        <v>930</v>
      </c>
      <c r="D289" s="1">
        <v>13.0</v>
      </c>
      <c r="E289" s="4" t="s">
        <v>931</v>
      </c>
      <c r="F289" s="1" t="s">
        <v>16</v>
      </c>
      <c r="G289" s="1" t="s">
        <v>932</v>
      </c>
      <c r="H289" s="4" t="s">
        <v>933</v>
      </c>
      <c r="I289" s="2">
        <v>1.0</v>
      </c>
      <c r="J289" s="5" t="str">
        <f>IFERROR(__xludf.DUMMYFUNCTION("GOOGLETRANSLATE(A289)"),"Gypsophyla")</f>
        <v>Gypsophyla</v>
      </c>
      <c r="K289" s="6" t="str">
        <f>IFERROR(__xludf.DUMMYFUNCTION("GOOGLETRANSLATE(B289)"),"Pink gypsophila bouquet")</f>
        <v>Pink gypsophila bouquet</v>
      </c>
      <c r="L289" s="5" t="str">
        <f>IFERROR(__xludf.DUMMYFUNCTION("GOOGLETRANSLATE(C289)"),"#VALUE!")</f>
        <v>#VALUE!</v>
      </c>
      <c r="M289" s="5" t="str">
        <f>IFERROR(__xludf.DUMMYFUNCTION("GOOGLETRANSLATE(G289)"),"Official Grand Caprice: Flourist Studio and Flower Groze50 Ready Bouquets-Always! +7 (4912) 50-22-24 Catalog Bouquets with delivery from 30 Ministry of Pibedatate-Goglobuschkhenytskiybucks from dried-flowered combo! Investigation dial-free-based rosynegyp"&amp;"santema SY and lilies -devastic bouquet bouquenced toys and balls Ready -made bouquets of copyright bouquets Delivery and payment Contacts Catalog 0 Catalog Bouquets with delivery from 30 Ministry of Public Summarian Goglobuschenitsky Bukes from dried -co"&amp;"lor -fluid combo! Rousin -free drawing pinky -based drawing -pro -chryzanthemonypionypypsofiladiats and liliswades bouquet boulers and shara Ready -made bouquets copyright bouquets Delivery and payment of contacts 50 bouquets in stock from 30 minutes to w"&amp;"atch the bouquet Option bouquet -ready -made bouquets of roshypsyuphylapionary -autonomous bouquet bouquets roses -10% Ø 30↕ 40 Bouquet of pink bouquet rose from 2,590 ₽ Select ↕ 40 bouquet of white bouquet roses from 1,590 ₽ Select Ø 25↕ 40 bouquet of ro"&amp;"ses ""Orange in chocolate"" 1 290 ₽ order in 1 click -8% Ø 20↕ 40 Bouquet of white and red bouquet roses from 1,990 ₽ Select ↕ 40 bouquet of red bouquet roses from 1,590 ₽ Choose -8% Ø 20↕ 40 bouquet of white and pink bouquet roses from 2 190 ₽ Choose -7%"&amp;" ↕ 40 bouquet of red bouquet rose from 1,990 ₽ Choose a bouquet from a pale pink bouquet rose from 1,590 ₽ choose -14% ↕ 40 bouquet of white bouquet roses from 1,990 ₽ Select ↕ 40 Bouquet of white and pink bouquet roses from 1,590 ₽ Select ↕ 40 bouquet of"&amp;" pink bouquet rose from 1,690 ₽ Choose -2% bouquet of red bonus roses from 6 790 ₽ Choose ↕ 70 bouquet of red roses Ecuador from 2 190 ₽ -6% Ø 20↕ 40 Bouquet of red bouquet roses from 3,590 ₽ Select Ø 25↕ 40 Bashing of 51 red bouquet rose 5 190 ₽ into a b"&amp;"asket of 1 click Bouquet of red bouquet roses from 2,290 ₽ Select ↕ 70 bouquet of pink Ecuador premium roses from 2 190 ₽ Choose -3% bouquet of white premium roses from 6 790 ₽ Choose a bouquet of premium white roses Ecuador from 2 190 ₽ Choose a bouquet "&amp;"of red and red bouquet roses from 1,890 ₽ Select Ø 25↕ 45 A fragrant bouquet ""Lolipop"" 1 590 ₽ order in 1 click a bouquet of bouquet roses with eucalyptus from 2,990 ₽, choose a composition of red bouquet rose with eucalyptus from 2 190 ₽ Choose a bouqu"&amp;"et of pink roses from 2,990 ₽ Choose a bouquet of 2,990 ₽ choose -4% bouquet of red bonus roses 140 cm from 8 390 ₽ Choose a bouquet of red bouquet roses with eucalyptus from 2,790 ₽ Choose -8% bouquet of red and red bouquet roses from 2 790 ₽ choose a co"&amp;"mposition of white bouquet rose from Eucalyptus in a pink box of 2 190 ₽ Choose -8% bouquet of white and lilac bouquet roses from 1,990 ₽ Choose -8% bouquet of lilac bouquet roses from 1,990 ₽ choose a composition from a white bouquet rose with eucabalip "&amp;"in a gray box from 2 190 ₽ choose -1% bouquet of white roses from 2 990 ₽ Choose -8% bouquet of 51 premium rose ""Red Heart"" 13 690 ₽ 12 590 ₽ in a basket of 1 click composition of 151 bouquet roses ""with love!"" 13 390 ₽ order in 1 click -7% bouquet fr"&amp;"om orange premium roses from 6 790 ₽ Choose a bouquet from fiery premium roses Ecuador from 2 190 ₽ Choose -4% bouquet of 101 premium rose ""Red Heart"" 25 590 ₽ 24 690 ₽ order In 1 click -10% bouquet of pink high roses from 6 890 ₽ Choose a bouquet of br"&amp;"ight pink high roses (15pcs) 2 790 ₽ order in 1 click ↕ 40 bouquet of red bouquet roses from 2 290 ₽ Choose a bouquet of 5 bushes cream roses 1 990 ₽ order in 1 click a basket of 151 white rose with eucalyptus 14 590 ₽ order in 1 click Basket from 151 bou"&amp;"quet red roses 12 990 ₽ Order in 1 click of a basket of 75 red and white bouquet roses 6 890 ₽ order in 1 click Bouquet of 51 premium rose ""White Heart"" 12 590 ₽ in a basket of 1 click of 5 bushes of 5 bushes roses 1,890 ₽ order in 1 click of 5 bouquet "&amp;"red roses 1 990 ₽ order in 1 click Bouquet of 25 high raspberry roses 4 190 ₽ Order in 1 click ↕ 40 bouquet of red bouquet rose from 2 190 ₽ Choose a backbenching officer of the Batkovichi really liked it! I chose a bouquet for a girl. September 25th. The"&amp;"y said that he was formed on 09.24. It has been standing for 4 days now and it has become more beautiful and more beautiful! Flowers bite the bouquet increases in volume. Thank you! On September 28, I. I. Very magnificent flowers! On September 22, I will "&amp;"enormous for efficiency and professionalism! They collected a bouquet very quickly two hours after the order pleased the culprit of the celebration on Mayam on Mayam on Instagram @grand_kapriz to customers delivery and payment for the return of goods Gift"&amp;" certificates Bonuses Personal Account Leave information about us FAQ Contacts Public Offer Privacy Agreement We are in communication+7 ( 4912) 50-22-24 subscription to the news, access exclusive discomespects will work on the Insale-development of the si"&amp;"te-GO.Studio workshop of floristry Grand Caprice 2023 0 ₽ Buckets with delivery from 30 minimum aidatraticoglobuschkrican bouquets from dried-flowered computers! Bouquet Rozycustrian Rozyre -Proserian Rozyrizantemypionium -Sigipsophiladians and Lililsaade"&amp;"b Bouquet -mug -shirty toys and balls Fast contractual phone: Name: Name: receive notifications about ordering the help of notifications about the order, you can not only receive actual information by order but also have a quick communication channel with"&amp;" the store: place an order")</f>
        <v>Official Grand Caprice: Flourist Studio and Flower Groze50 Ready Bouquets-Always! +7 (4912) 50-22-24 Catalog Bouquets with delivery from 30 Ministry of Pibedatate-Goglobuschkhenytskiybucks from dried-flowered combo! Investigation dial-free-based rosynegypsantema SY and lilies -devastic bouquet bouquenced toys and balls Ready -made bouquets of copyright bouquets Delivery and payment Contacts Catalog 0 Catalog Bouquets with delivery from 30 Ministry of Public Summarian Goglobuschenitsky Bukes from dried -color -fluid combo! Rousin -free drawing pinky -based drawing -pro -chryzanthemonypionypypsofiladiats and liliswades bouquet boulers and shara Ready -made bouquets copyright bouquets Delivery and payment of contacts 50 bouquets in stock from 30 minutes to watch the bouquet Option bouquet -ready -made bouquets of roshypsyuphylapionary -autonomous bouquet bouquets roses -10% Ø 30↕ 40 Bouquet of pink bouquet rose from 2,590 ₽ Select ↕ 40 bouquet of white bouquet roses from 1,590 ₽ Select Ø 25↕ 40 bouquet of roses "Orange in chocolate" 1 290 ₽ order in 1 click -8% Ø 20↕ 40 Bouquet of white and red bouquet roses from 1,990 ₽ Select ↕ 40 bouquet of red bouquet roses from 1,590 ₽ Choose -8% Ø 20↕ 40 bouquet of white and pink bouquet roses from 2 190 ₽ Choose -7% ↕ 40 bouquet of red bouquet rose from 1,990 ₽ Choose a bouquet from a pale pink bouquet rose from 1,590 ₽ choose -14% ↕ 40 bouquet of white bouquet roses from 1,990 ₽ Select ↕ 40 Bouquet of white and pink bouquet roses from 1,590 ₽ Select ↕ 40 bouquet of pink bouquet rose from 1,690 ₽ Choose -2% bouquet of red bonus roses from 6 790 ₽ Choose ↕ 70 bouquet of red roses Ecuador from 2 190 ₽ -6% Ø 20↕ 40 Bouquet of red bouquet roses from 3,590 ₽ Select Ø 25↕ 40 Bashing of 51 red bouquet rose 5 190 ₽ into a basket of 1 click Bouquet of red bouquet roses from 2,290 ₽ Select ↕ 70 bouquet of pink Ecuador premium roses from 2 190 ₽ Choose -3% bouquet of white premium roses from 6 790 ₽ Choose a bouquet of premium white roses Ecuador from 2 190 ₽ Choose a bouquet of red and red bouquet roses from 1,890 ₽ Select Ø 25↕ 45 A fragrant bouquet "Lolipop" 1 590 ₽ order in 1 click a bouquet of bouquet roses with eucalyptus from 2,990 ₽, choose a composition of red bouquet rose with eucalyptus from 2 190 ₽ Choose a bouquet of pink roses from 2,990 ₽ Choose a bouquet of 2,990 ₽ choose -4% bouquet of red bonus roses 140 cm from 8 390 ₽ Choose a bouquet of red bouquet roses with eucalyptus from 2,790 ₽ Choose -8% bouquet of red and red bouquet roses from 2 790 ₽ choose a composition of white bouquet rose from Eucalyptus in a pink box of 2 190 ₽ Choose -8% bouquet of white and lilac bouquet roses from 1,990 ₽ Choose -8% bouquet of lilac bouquet roses from 1,990 ₽ choose a composition from a white bouquet rose with eucabalip in a gray box from 2 190 ₽ choose -1% bouquet of white roses from 2 990 ₽ Choose -8% bouquet of 51 premium rose "Red Heart" 13 690 ₽ 12 590 ₽ in a basket of 1 click composition of 151 bouquet roses "with love!" 13 390 ₽ order in 1 click -7% bouquet from orange premium roses from 6 790 ₽ Choose a bouquet from fiery premium roses Ecuador from 2 190 ₽ Choose -4% bouquet of 101 premium rose "Red Heart" 25 590 ₽ 24 690 ₽ order In 1 click -10% bouquet of pink high roses from 6 890 ₽ Choose a bouquet of bright pink high roses (15pcs) 2 790 ₽ order in 1 click ↕ 40 bouquet of red bouquet roses from 2 290 ₽ Choose a bouquet of 5 bushes cream roses 1 990 ₽ order in 1 click a basket of 151 white rose with eucalyptus 14 590 ₽ order in 1 click Basket from 151 bouquet red roses 12 990 ₽ Order in 1 click of a basket of 75 red and white bouquet roses 6 890 ₽ order in 1 click Bouquet of 51 premium rose "White Heart" 12 590 ₽ in a basket of 1 click of 5 bushes of 5 bushes roses 1,890 ₽ order in 1 click of 5 bouquet red roses 1 990 ₽ order in 1 click Bouquet of 25 high raspberry roses 4 190 ₽ Order in 1 click ↕ 40 bouquet of red bouquet rose from 2 190 ₽ Choose a backbenching officer of the Batkovichi really liked it! I chose a bouquet for a girl. September 25th. They said that he was formed on 09.24. It has been standing for 4 days now and it has become more beautiful and more beautiful! Flowers bite the bouquet increases in volume. Thank you! On September 28, I. I. Very magnificent flowers! On September 22, I will enormous for efficiency and professionalism! They collected a bouquet very quickly two hours after the order pleased the culprit of the celebration on Mayam on Mayam on Instagram @grand_kapriz to customers delivery and payment for the return of goods Gift certificates Bonuses Personal Account Leave information about us FAQ Contacts Public Offer Privacy Agreement We are in communication+7 ( 4912) 50-22-24 subscription to the news, access exclusive discomespects will work on the Insale-development of the site-GO.Studio workshop of floristry Grand Caprice 2023 0 ₽ Buckets with delivery from 30 minimum aidatraticoglobuschkrican bouquets from dried-flowered computers! Bouquet Rozycustrian Rozyre -Proserian Rozyrizantemypionium -Sigipsophiladians and Lililsaadeb Bouquet -mug -shirty toys and balls Fast contractual phone: Name: Name: receive notifications about ordering the help of notifications about the order, you can not only receive actual information by order but also have a quick communication channel with the store: place an order</v>
      </c>
    </row>
    <row r="290">
      <c r="A290" s="1" t="s">
        <v>883</v>
      </c>
      <c r="B290" s="1" t="s">
        <v>934</v>
      </c>
      <c r="C290" s="1" t="s">
        <v>935</v>
      </c>
      <c r="D290" s="1">
        <v>14.0</v>
      </c>
      <c r="E290" s="4" t="s">
        <v>936</v>
      </c>
      <c r="F290" s="1" t="s">
        <v>16</v>
      </c>
      <c r="G290" s="1" t="s">
        <v>937</v>
      </c>
      <c r="H290" s="4" t="s">
        <v>938</v>
      </c>
      <c r="I290" s="2">
        <v>1.0</v>
      </c>
      <c r="J290" s="5" t="str">
        <f>IFERROR(__xludf.DUMMYFUNCTION("GOOGLETRANSLATE(A290)"),"Gypsophyla")</f>
        <v>Gypsophyla</v>
      </c>
      <c r="K290" s="6" t="str">
        <f>IFERROR(__xludf.DUMMYFUNCTION("GOOGLETRANSLATE(B290)"),"Bouquets of gypsophila with delivery in Moscow, buy ...")</f>
        <v>Bouquets of gypsophila with delivery in Moscow, buy ...</v>
      </c>
      <c r="L290" s="5" t="str">
        <f>IFERROR(__xludf.DUMMYFUNCTION("GOOGLETRANSLATE(C290)"),"Bouquets of gypsophila with delivery · Large box with gypsophila · Bouquet of gypsophila · giant box with gypsophila")</f>
        <v>Bouquets of gypsophila with delivery · Large box with gypsophila · Bouquet of gypsophila · giant box with gypsophila</v>
      </c>
      <c r="M290" s="5" t="str">
        <f>IFERROR(__xludf.DUMMYFUNCTION("GOOGLETRANSLATE(G290)"),"Flower delivery in Moscow | Bouquet with delivery to the house to the office “Buketonline” about us about the stores of delivery of the Kontaktatka and payment +7 (495) 767 52 30 +7 (495) 767 52 30 order the reverse call → +7 985 767 52 30th birthday of L"&amp;"ubrichemumemememo -zypo number 51 rose rose101 rose Flower -free draws draw -up draws of rhymic rhyme rhysipo rosypionividous draws Gran Provip Rozytylpano -zyalpanyllpanyllpanyllyalpanimariyanemonyanemiacyazinhypin -hygi -ilpilago -hylasiyndisylavillylnh"&amp;"idehpolevolniholnhipilleneholnhilonhopolniyeraneholnhilosynumsiremashysirerizirinhrizirinhin EMEMIUSTOMACTSETS OF PLASTURETS in KOROKOBUKETVO BURCHETS BUST BURCHTUTIONS BUSTEN BUSTEN BOOKBOKETS ROSBUTE TULPAN -corporate bouquets on March 8 March 8 on Marc"&amp;"h 8 Birthday Birthday Bridebuket Bridebukets for the wedding of St. Valentine's Day on February 23 on September 1 for a teacher of teacher Bouquet bouquet bouquet year of cocked color of the color of the baskets and composition of the composition In hat b"&amp;"oxes from a color -compartment from a rosicomposition from Tulpanovv, a composition of podscharikikonfets and cakes and cakes and toys with fruits +7 (495) 767 52 to order a reverse call → +7 985 767 52 30 Korszins of a loving -loving -loving -loving -lov"&amp;"ing -in -lawsememem Plotes -in -pass pint of draws of pinkish rhysicum rosypionic pinky rosirosis Grand Provip Rozytoyzpionoynetylpanylpanyanemorinemonemineminemineminemineminemesyecintygipilosophylaxi -izhrtenshideylnhidsolnhipolnukholnukholnukholnukholn"&amp;"ukholnhipolic flowers Chamomeshkisyrynchrizanthememac Switches in Korobkekukevs Bouquet Bucket Bouquetbooks in hat boxes of tulip -corporate bouquets on the 8th Martyapovat Buket for 8 March Birthday of the baby Suppliyatbuket Bridebukets for the wedding "&amp;"of St. Valentinenan Day 23 Buket for the day of the teacher of the teacher. The new year of the core of the color of the color of the baskets and the composition of the combination in hat boxes from the color -combination from the roser from the tulipanov"&amp;"s composition of the Podokarkisharikonfet and Cakes and toy toys from fruiting flowers in Moscow flowers and bouquets according to the promotion chitus to buy in 1 click in the basket flowers - hydrangea pionivid and bush rose7900 6900 ₽ member of the bou"&amp;"quet: Rose London AI - 7pcs. Rose bush. - 5 pieces. Diantus - 7pcs. Hydrangea - 3pcs. Sedium greens to buy a seasonal click in a basket to buy 1 click in a chrysanthemum basket in a hat box4500 ₽ a bouquet: Chrysanthemum Garden - 3 pcs. Bush rose - 3 pcs."&amp;" Eustoma - 5 pcs. Eucalyptus. Hat box. Oasis. Buy in 1 click in the basket to buy in 1 click in the basket exquisite compliment4500 3990 ₽ member of the bouquet: bush pionoid rose - 21 pcs. Hat oasis box - 1 pc. Buy in 1 click in a basket to buy in 1 clic"&amp;"k in a basket one -headed chrysanthemum grapefruit 4300 3900 ₽ composal of a bouquet: Chrysanthemum Sadovaya - 9 pcs. Buy in 1 click in the basket show more and dial in 1 click in the basket of a bouquet of pionoid roses9900 ₽ Composit of the bouquet: Pio"&amp;"novid rose - 29 pcs. Pitosporum. Buy in 1 click in a basket Buy 1 click in the charm and charm 8990 ₽ member of the bouquet: Rose ""Talea"" - 51 pcs. Buy in 1 click in a basket to buy in 1 click in the basket Ecuador roses 75 pcs23900 ₽ Bouquet: rose - 75"&amp;" pcs. Buy in 1 click in a basket to buy 1 click in a basket bouquet of roses '' Classica'3990 ₽ Bouquet: Rosa ""Miss Pigi"" - 15 pcs. Rosaa ""Mary Tim"" - 10 pcs. Buy in 1 click in a basket to buy in 1 click in a basket mix Bouquet of 25 roses3990 ₽ Bouqu"&amp;"et: a bouquet of 25 roses. Color to choose from. Buy in 1 click in a basket Buy 1 click in the basket Flame of Passion Rose ""Avanage"" - 10 pcs. Buy in 1 click in a basket Buy 1 click in a basket pink mix27000 ₽ Cup in 1 click in a basket Buy 1 click in "&amp;"a rose basket for you16900 ₽ Bouquet: a bush-pioneer rose- 20 pcs. Rose ""Shagril"" - 30 pcs Rose ""Casanova - 21 pcs. Rose"" Talei "" - 30 pcs. Buy 1 click in the basket Buy 1 click in the basket Stylish bouquet of bush rose5700 ₽ member of the bouquet: "&amp;"Build roses - 29 pcs to buy in 1 click in the basket Buy in 1 click in the basket exciting recognition14900 ₽ Composit of the bouquet: Rose ""Avange"" - 51 pcs; rose bush - 50 pcs. Buy 1 click in the basket Buy 1 click in the basket 51 White Ecuador rose1"&amp;"3900 ₽ Bouquet: Rose Ecuador - 51 pcs. Buy 1 click in a basket Buy 1 click in basket 51 red rose7990 ₽ Bukete's component: Rose Grande at - 51 pcs. Buy 1 click in the basket Buy 1 click in the basket of roses bouquet - giant8900 ₽ Composition of the bouqu"&amp;"et: VIP rose ""London Ai"" - 29 pcs. Buy 1 click in the basket Buy 1 clicked ecubacle red roses 8900 ₽ bouquet: Ecuadorian rose - 25 pcs. Buy 1 clicked in 1 click in the basket of 25 pionovid pink Ohara7900 ₽ Composition of the bouquet: Pink Ohara rose - "&amp;"25 pcs. Buy 1 click in a basket Buy 1 click in a basket Bouquet of 15 roses with eucalyptus 3850 ₽ Bouquet: Rosa Grande at - 15pcs Eucalyptus Buy 1 click in the basket Show more popular bouquets in 1 click in 1 click In the basket of my precious bouquet14"&amp;"900 ₽ component of the bouquet: Rosa Miss Pigi - 19 pcs. Mattiol - 10 pcs. Bush rose - 10 pcs. Diantus - 15 pcs. Eucalyptus. Buy in 1 click in the basket hit to buy 1 click in the basket flowers - hydrangea pionoid and bush rose7900 6900 ₽ bouquet: Rose L"&amp;"ondon Ai - 7pcs. Rose bush. - 5 pieces. Diantus - 7pcs. Hydrangea - 3pcs. Sedum Seasonal Buy 1 Click in a basket Buy 1 click in a basket of hydrangea - a bouquet of flowers5900 ₽ a bouquet: hydrangea - 9pcs. Buy in 1 click in a basket to buy in 1 click in"&amp;" a summer touch in the basket 5500 ₽ Bouquet: a bush rose ""Barbados"" - 5 pcs. Rose ""Talea"" - 10 pcs. Hyperikum - 5 pcs. Eustoma - 5 pcs. Eucalyptus. Buy in 1 click in a basket to buy in 1 click in the basket a chic bouquet of chrysanthemum9900 ₽ Compo"&amp;"site a bouquet: chrysanthemum - 31 pcs. Buy in 1 click in a basket to buy in 1 click in the basket a gorgeous bouquet of wildflowers19000 ₽ Bouquet: chamomile - 25 pcs. Campullah - 20 pcs. Eustoma pink - 10 sh. Clematis - 10 pcs. Hipppericum - 10 pcs. Sol"&amp;"idago - 10 pcs. Dolphinium - 10 pcs. Eustoma white - 10 pcs. Buy in 1 click in a basket to buy in 1 click in a basket a chic bouquet with a rose Matiolla and eucalyptus15000 ₽ a bouquet: a single -head rose - 21 pcs. Bush rose - 15 pcs. Matiolla - 10 pcs."&amp;" Eucalyptus. Buy in 1 click in the basket to buy in 1 click in the basket '' Solar Summer '' - flowers with delivery of 8900 ₽ component of the bouquet: Gmperikum - 10 pcs. Rose ""Shagril""- 20 pcs. Bush -pioneer rose - 10 pcs. Skimya -Puch. Pistash. Buy "&amp;"in 1 click in the basket Promotion Buy in 1 click in the basket Stylish bouquet4300 3900 ₽ Bouquet: Rosa Avalansche - 5pcs. Rose bush. - 5 pieces. Alstromeria - 3pcs. Diantus - 5pcs. Pistash buy in 1 click in the basket novelty novelty buy 1 click in the "&amp;"basket Stylish bouquet with hydrangea11900 ₽ bouquet: Rosa Casanova - 10 pcs. Bush rose - 15 pcs. Hydrangea - 3 pcs. Carnation - 15 pcs. Hyperikum - 5 pcs of panic - 10 pcs. Eucalyptus. Buy in 1 click in a basket to buy in 1 click in the basket a stylish "&amp;"bouquet with a rose and a diantus490 ₽ a bouquet: Rosa ""Miss Piggi"" - 10pcs. Diantus - 5pcs. Mattiola bush. - 5 pieces. Eucalyptus buy in 1 click in the basket to buy in 1 click in the basket I love 9900 ₽ Composit of the bouquet: hydrangea - 3 pcs. Ros"&amp;"a Shagril - 11 pcs. Bush rose - 10 pcs. Clove bush. - 5 pieces. Pistaging. Buy in 1 click in the basket Promotion Buy in 1 click in the basket of 19 sunflower and solidago6990 ₽ Bukete's composite: Sunflower - 19 pcs. Solidago - 10 pcs. Buy in 1 click in "&amp;"a basket to buy in 1 clicked order of a single -headed - a bouquet of flowers5900 ₽ a bouquet: chrysanthemum - 17 pcs. Buy in 1 clicked order in 1 click in the basket a huge bouquet with chrysanthemums12900 ₽ bouquet: Miss Pigi Rosa -15 pcs. Chrysanthemum"&amp;" alone -head -10 pcs. Chrysanthemum bush - 10 pcs. Bush rose Barbados - 10 pcs. Cloves - 10 pcs. Decorative berries - 5 pcs. Eucalyptus. Buy in 1 click in a basket Buy 1 click in a chamomile basket with a bunch of mattiola 4700 ₽ Bouquet: Mattiola Kustova"&amp;"ya - 5 pcs. Chamomile - 10 pcs. Buy in 1 click in the basket to buy in 1 click in the basket a chic bouquet from cal5990 ₽ Bouquet: Calles - 19pc. Buy in 1 click in the basket Promotion Buy in 1 click in the basket warm summer7500 ₽ bouquet: Rose Pionovid"&amp;" London AI - 10pcs. Rosa Kus. Barbados - 5pcs. Eustoma - 5pcs. Diantus - 5pcs. Crocosmia - 3pcs. Panicum - 3pcs. Eucalyptus buy in 1 click in a basket to buy in 1 click in the basket of tulips a bush rose and eucalyptus12900 ₽ member of the bouquet: tulip"&amp;"s - 35 pcs. Alstromeria - 10 pcs. Astral -10 pcs. Hyperikum - 10 pcs. Bush rose - 10 pcs. Eucalyptus. Buy in 1 click in a basket to buy in 1 click in a basket 51 tulip with lavender7990 ₽ bouquet: tulips - 51 pcs. Lavender - 1 Puch. Buy in 1 click in a ba"&amp;"sket to buy in 1 click in a basket a bouquet of daisies and irises5990 ₽ a bouquet: matrix - 25 pcs. Irises - 51- Buy in 1 click in a basket Buy 1 click in a basket Bouquet Call 9 -pound3900 ₽ Bouquet: Calles - 9 pcs. Buy in 1 click in the basket to buy i"&amp;"n 1 click in the basket of tires of tenderness13900 ₽ Bouquet: Piones of Protia - 11 pcs. Eustoma Terry - 10 pcs. Rosa Belini - 10 pcs. Ozatamus. Eucalyptus. Oxitalum. Dianthus -15 pcs. Buy in 1 click in a basket in the photo Average bouquet in the photo "&amp;"Middle Buy Buy in 1 clicked glaze7900 ₽ Bouquet: Rose ""Aqua"" - 10 pcs. Rose ""Mary Tim"" - 10 pcs. Mattiol - 10 pcs. Rose ""Reflex"" - 10 pcs. Buy in 1 clicked fireplace color in 1 click in the carman basket - a basket with exotic colors19000 ₽ a bouque"&amp;"t: Rose Red Piano - 10pcs. A single -headed rose - 10pcs. Rose ""Kahala"" - 10pcs. Rose bush. - 10 pieces. Kalina Antirinum - 10pcs. Astra - 10pcs. Bouvard - 10pcs. Diantus - 10pcs. Eucalyptus, seasonal greens buy 1 click in a basket in 1 click in the bas"&amp;"ket composition '' Autumn Blues'7900 ₽ Bouquet: Rose. Matiolla. Skimya. Carillus. Oasis. Vase glass. Buy in 1 click in a basket to buy in 1 click in the basket composition - forest nymph13900 ₽ Bouquet: tulips - 51 pcs; Irises - 50 pcs; Alstromeria; Salal"&amp;"; The packaging is natural. Buy in 1 click in a basket Buy 1 click in a basket composition with roses (any letters) 7900 ₽ member of the bouquet: Rose ""Pinch"" - from 28pcs. Up to 35 pcs. (photo) Pistash Patron for the composition oasis buy in 1 click in"&amp;" a basket to buy 1 click in a basket for a birthday basket9900 ₽ Composit of a bouquet: Rosa ""Maritim"" - 10pcs. Rose bush. - 5 pieces. Eustoma white- 10pcs. Diantus - 10pcs. Ozaminus - 3pcs. Hipppericum - 3pcs. Eucalyptus basket Floristic foam buy in 1 "&amp;"click in a basket to buy 1 click in a basket basket with sunflower 23900 ₽ Composit of a bouquet: Helianthus - 30pcs. Rose bush. cream. - 10 pieces. Mattiola bush. - 10 pieces. Diantus - 10pcs. Hipppericum - 10pcs. Lemonium - 5pcs. Eucalyptus Buy Buy Buy "&amp;"in 1 click in a basket Buy 1 click in the Pich Avange Pich basket - 51 rose11900 ₽ Bouquet: Rosa Pich Avange - 51 pcs. Eucalyptus. The basket is natural average. Oasis. Buy in 1 click in the basket Buy 1 click in the premium basket basket 36000 ₽ Cup in 1"&amp;" click in the basket Buy 1 click in the basket luxurious color basket '' in the heart'42900 ₽ component of the bouquet: eucalyptus Pitosporum Mattiol - 10pcs bush - 20pcs Rosa Gravity - 10pcs Pionovid Rosa - 10pcs Rosa Wight O'Hara - 10pcs Odolovaya Rosa "&amp;"- 10pcs Astilba - 10pcs Eustoma - 20pcs to buy 1 click in the basket novelty to buy 1 click in the basket Northern Lights 9900 ₽ Bouquet: Eustoma Alice - 10 pieces. Buy in 1 click in a basket Buy 1 click in a basket basket for Cinderella28900 ₽ Bouquet: l"&amp;"ily of the valley - 75 pcs. Moss natural. The basket is average. Oasis - 2 pcs. Buy in 1 click in a basket Buy 1 click in a basket Bouquet of roses with Matiolla Clematis Eustoma28000 ₽ Bouquet: White rose - 41 pcs. Matiolla bush - 15 pcs. Eustoma - 20 pc"&amp;"s. Clematis - 10 pcs. Oasis - 6 pcs. The basket is large - 1 pc. Buy in 1 click in a basket to buy in 1 click in the basket of flowers basket12900 ₽ Bouquet: Rosa ""Miss Piggi"" - 15pcs. Mattiol - 10pcs. Eustoma - 10pcs. Eucalyptus Buy Buy Buy in 1 click "&amp;"in a basket Buy 1 click in a basket basket with 101 tulip14900 ₽ Composit of the bouquet: tulips - 101 pcs. Greenery. The basket is natural. Oasis - 4 pcs. Buy in 1 click in a basket Buy 1 click in the basket Leader - Flower basket27000 ₽ Bouquet: Rosa Ke"&amp;"nya - 10 pcs. Bush rose - 10 pcs. Astra - 10 pcs. Lemonium - 10 pcs. Astilba - 10 pcs. Antirinum - 10 pcs. Decorative pepper. Helichrizum. Magnolia buy in 1 click in the basket the best price is the best price to buy at 1 click in the basket basket with f"&amp;"lowers 8990 ₽ Bouquet: a single -head rose - 10pcs. Bush rose - 5pcs. Eustoma - 5pcs. Hipppericum - 3pcs. Hydrangea - 1pc. Lemonium - 10pcs. Eucalyptus. Buy 1 click in the basket show the bolshevs of hats in 1 click in the basket of 25 roses in a hat box4"&amp;"500 ₽ Bouquet: Rosa Maritim - 25pcs. The hat box Buy 1 click in the basket Buy 1 click in the basket Big box with peonies of 19900 ₽ Bouquet: Rose ""London Ai"" - 10pcs. Rose ""Miss Piggi"" - 10pcs. Rosa ""VAU"" - 10pcs. Rose bush. - 10 pieces. Pion pinks"&amp;" - 10pcs. Diantus ""BRT"" - 15pcs. Mattiol - 10pcs. Eucalyptus Box a Hat Decorative Oasis Buy 1 click in a basket in 1 click in a chrysanthemum basket in a hat box4500 ₽ a bouquet: Chrysanthemum Sadovaya - 3 pcs. Bush rose - 3 pcs. Eustoma - 5 pcs. Eucaly"&amp;"ptus. Hat box. Oasis. Buy in 1 click in a basket to buy in 1 click in the basket composition Heart11900 ₽ Composit of a bouquet: Rose Avange - 29 pcs. Rose Grand Prix at - 23-27 pcs. Buy 1 click in a basket Buy 1 click in the basket of flowers basket - ''"&amp;" Summer evening'4500 ₽ Bouquet: Pompasnaya grass - 5 pcs. Bush rose - 3 pcs. Eustoma - 3 pcs. Diantus - 5 pcs. Buy a pistol in 1 click in a basket Buy 1 click in the basket red velvet24900 ₽ Bukete's composal: Pionovyna Rosa Red Piano - 51pcs. Buy in 1 cl"&amp;"ick in a basket to buy in 1 click in a pional coral basket in a hat box6900 ₽ a bouquet: the peony ""Coral Sharm"" - 7pcs. Rose bush. ""Lady Bombastik"" - 10pcs. Pistash hat box Floristic foam buy in 1 click in a basket to buy 1 click in a basket hat box "&amp;"with 21 hydrangea11900 ₽ bouquet: hydrangea - 19 pcs. Hat box. Oasis -6 pcs. Buy in 1 click in the basket to buy in 1 click in the basket a hat box with a dolphinium12900 ₽ Bouquet: Dolphinium - 3pcs. Mattiola bush. - 5 pieces. Hydrangea - 1pc. Rose bush."&amp;" Persian - 5pcs. Rose bush. Lilac - 5pcs. Diantus - 7pcs. Oxypetalum - 5pcs. Peonies - 3pcs. Eustoma - 3pcs. Box hat oasis Buy 1 click in the basket hit to buy 1 click in the basket Hathing box with an eustoma rose and eucalyptus 6400 5900 ₽ Buketee: Hat "&amp;"box - 3 pcs - 10 pcs. Click in the basket to buy in 1 click in the basket a hat box with a bush pionoid rose590 ₽ a bouquet: rose bush. Pionovid - 10pcs. Eucalyptus hat box Floristic foam to buy 1 click in a basket Buy 1 click in a basket Hap with mattiol"&amp;"a 8990 ₽ Bouquet: Miss Piggi rose - 15pcs. Mattiol - 10pcs. Eustoma - 7pcs. Eucalyptus Box a Hat Oasis Buy 1 click in a basket to buy 1 click in a basket Hat box with roses and eucalyptus 6900 ₽ Composit of a bouquet: rose aqua - 31 pcs. Eucalyptus Hat Bo"&amp;"x Oasis - 2 pcs. Buy in 1 click in a basket to buy in 1 click in the basket a hat box with 101 rose16900 ₽ Bouquet: Rosa Avange - 101 pcs. The hat box is large. Buy in 1 click in the basket to buy in 1 click in the basket mysterious tenderness8990 ₽ membe"&amp;"r of the bouquet: Persian rose - 19 pcs. Tsimbidium orchid -15 pcs. Eucalyptus Box Hat. Oasis 2 pcs. Buy in 1 click in the basket hit hit to buy in 1 click in the basket Big box with hydrangea 8900 ₽ bouquet: Miss Pigi Rosa - 10 pcs. Rose bush reflex - 10"&amp;" pcs. Hydrangea - 3 pcs. Diantus - 7 pcs. Eucalyptus. Oasis - 2 pcs. The hat box is average. Buy in 1 click in a basket to buy in 1 click in the basket of grace7890 ₽ member of the bouquet: rose - 51 pcs. The gateway box. Oasis - 2 pcs. Buy in 1 click in "&amp;"a basket Buy 1 click in a basket composition for a man12000 ₽ Bouquet: Anturium - 2pcs. Rose ""Kahala"" - 10pcs. Calla - 10pcs. Diantus - 5pcs. Crocosmia - 10pcs. Lotus - 5pcs. Catinus - 10pcs. Panicum - 3pcs. Buy in 1 click in a basket to buy in 1 click "&amp;"in a basket a small box with a gypsophila 3900 ₽ a bouquet: gypsophila - 15 pcs. Hat box. Oasis. Buy in 1 click in a basket to buy in 1 click in the basket of sunflower in a hat box5990 ₽ a bouquet: sunflower - 15 pcs. Hat box - 1 pc. Oasis - 2 pcs. Buy i"&amp;"n 1 click in a basket to buy in 1 click in a basket a hat box with an orchid7900 ₽ a bouquet: an orchid cymbidium - 15 pcs. Eucalyptus. The hat box is average. Oasis - 2 pcs. Buy in 1 click in the basket novelty novelty to buy 1 click in the basket Hat bo"&amp;"x with garden chrysanthemums6990 ₽ a bouquet: Chrysanthemum Garden - 5 pcs. Chrysanthemum bush - 10 pcs. The rose is one-headed- 11 pcs. Bush rose - 10 pcs. Eucalyptus Box Hat. Oasis - 2 pcs. Buy in 1 click in a basket to buy in 1 click in a basket box wi"&amp;"th a rose capuchino - average 9900 ₽ component of a bouquet: Rose Kappuchino - 51 pcs. The box is average. Oasis - 2 pcs. Buy in 1 click in a basket to buy in 1 click in the basket I love15900 ₽ Bukete's component: rose - 79 pcs.; Hat box. Buy in 1 click "&amp;"in the basket to show the basic to go somewhere? We will deliver the flowers by the byactro and for free! Warranty for freshness we will immediately replace the bouquet-pay photo before delivering a photo of the bouquet before sending a bouquet to the bou"&amp;"quet to write your text by a potassium doseword of customers about the naiveron calls the bouquet from 51 roses of 51 roses They contacted and issued the order, taking into account the wishes, they delivered the wishes :) The name of the name is very plea"&amp;"sed with the good quality of the colors! Also, and the postcard as a gift that you are very pleasant when you are far from a close person of the Denytrhevriytriytriytriyansko -worked promptly! Within 3 hours from the moment the order was placed in a clear"&amp;"ly agreed time, the bouquet was delivered to the spouse! Thank you very much to the specialist of the company Gennady! Prosperity to your business! I want to say thank you to Gennady for a quality bouquet and good work with a difficult customer (this is m"&amp;"e) $) ours sister Happy Birthday)) I myself chose a lot of flower companies from St. Petersburg)) Gennady immediately said that he said confidently that he said that We will do whatever you want)) and did not deceive 🙌🏻👌🏼🙏🏼Pasybo for your work and s"&amp;"uccess to you in your excellent work 🌹 Vladimirhuhu to express great gratitude to the Gennadyuz. Beautiful Bouquet -Hospital, the most important thing ... The quality guarantee on DR white roses stood A week is super! Thank you! Victoriaispasibo store fo"&amp;"r help with a bouquet in Moscow to a loved one) Despite the problems with the transfer of money (Crimea), they treated us with understanding and helped with the solution of the issue! Thank you very much!) Olgaspasibo huge Gennady !!! A wonderful service "&amp;"took into account all the wishes delivered a beautiful bouquet of the freshest roses to the anniversary. You give unforgettable emotions! I can sincerely say- I am pleasantly surprised by the organization thank you for the excellent work! Everything in ti"&amp;"me is harmonious at the highest level !!! Thank you !!! Tatyana ordered the flowers brought on the same day! Great work is fast and efficient. A friend is happy with a bouquet and I feel good. I ordered a bouquet of seduction - an excellent combination of"&amp;" colors and colors also pleased that it does not look miniature. Flowering: convenience and speed ordering of colors has become easier and more convenient thanks to the services of many companies providing such services. Flower delivery is not only a beau"&amp;"tiful and romantic gesture, but also the ability to express your feelings and emotions at a distance. How to order flowers delivery? Order flowers with delivery can be possible in several ways: through online stores by phone or when visiting a store. Howe"&amp;"ver, the most convenient and quick way is to order through the online store. All you need is to choose a bouquet of flowers indicate the delivery address and pay for the order. Processions of ordering flowers with delivery of flowers with delivery - this "&amp;"is not only convenient, but also saves time. You do not need to spend time visiting the store and the choice of a bouquet of flowers is carried out quickly and on time. In addition, online stores offer a wide selection of flower bouquets from classic rose"&amp;"s to exotic colors, which allows you to choose exactly the bouquet that is suitable for you. Payment of the order of the color of the flow of flowers occurs through our online store that offers various payment methods: with an electronic wallets or by a b"&amp;"ank card or by a bank card Cash upon receipt of the order. After paying for the order, we will contact you to clarify the delivery details. Ordering flowers is convenient and simple. You can choose a bouquet of flowers that is suitable for you to pay for "&amp;"the order and get it on time. Buying a bouquet of flowers with delivery is a beautiful and romantic gesture that will leave a pleasant impression on the recipient. Do not put off for later order the delivery of flowers today! Popular questions What types "&amp;"of colors are available for delivery? We offer a wide selection of flowers for delivery from classic roses to exotic colors. You can choose a bouquet of flowers that is suitable for you. How can I order flower delivery? You can order flower delivery throu"&amp;"gh our online store by phone or when visiting a store. Can I choose the time of flower delivery? Yes, you can choose the time of flower delivery when placing an order. Additionally, the option ""Coordinate the date and delivery time of the recipient"" is "&amp;"additionally available. How long does it take to deliver flowers? We deliver your bouquet within two hours after the order confirmation. How much does delivery cost? The cost of flowing colors usually includes the cost of a bouquet of flowers and delivery"&amp;". From 06.00 to 23.00 delivery of bouquets worth more than 3,500 rubles. In Moscow, it is free. Delivery of bouquets worth less than 3,500 rubles. - 350 rubles. The cost of delivery at another time is discussed with the operator. What payments of payment "&amp;"are available when ordering colors? We offer you the following methods of payment of orders: by bank card by electronic wallets or cash upon receipt of the order. © Service for Flower Delivery Buketonline 2016 - 2021O NASO SPUSISSISHS OF DELIVERY OF CONTA"&amp;"CTIVITIES AND PAYTASITIES ON THE COUNTION OF BOVILITITICES BLOULD WITH WITH WITH WITH WITH+7 (495) 767 52 30+7 985 767 52 30 DISCULATION Call × fast order! Reception of orders is carried out from 7:00 to 23:00. The manager will contact you in the morning."&amp;" The near future delivery for tomorrow is not earlier than 9: 00 to recover the “Send” button you agree with the rules of privacy policy")</f>
        <v>Flower delivery in Moscow | Bouquet with delivery to the house to the office “Buketonline” about us about the stores of delivery of the Kontaktatka and payment +7 (495) 767 52 30 +7 (495) 767 52 30 order the reverse call → +7 985 767 52 30th birthday of Lubrichemumemememo -zypo number 51 rose rose101 rose Flower -free draws draw -up draws of rhymic rhyme rhysipo rosypionividous draws Gran Provip Rozytylpano -zyalpanyllpanyllpanyllyalpanimariyanemonyanemiacyazinhypin -hygi -ilpilago -hylasiyndisylavillylnhidehpolevolniholnhipilleneholnhilonhopolniyeraneholnhilosynumsiremashysirerizirinhrizirinhin EMEMIUSTOMACTSETS OF PLASTURETS in KOROKOBUKETVO BURCHETS BUST BURCHTUTIONS BUSTEN BUSTEN BOOKBOKETS ROSBUTE TULPAN -corporate bouquets on March 8 March 8 on March 8 Birthday Birthday Bridebuket Bridebukets for the wedding of St. Valentine's Day on February 23 on September 1 for a teacher of teacher Bouquet bouquet bouquet year of cocked color of the color of the baskets and composition of the composition In hat boxes from a color -compartment from a rosicomposition from Tulpanovv, a composition of podscharikikonfets and cakes and cakes and toys with fruits +7 (495) 767 52 to order a reverse call → +7 985 767 52 30 Korszins of a loving -loving -loving -loving -loving -in -lawsememem Plotes -in -pass pint of draws of pinkish rhysicum rosypionic pinky rosirosis Grand Provip Rozytoyzpionoynetylpanylpanyanemorinemonemineminemineminemineminemesyecintygipilosophylaxi -izhrtenshideylnhidsolnhipolnukholnukholnukholnukholnukholnhipolic flowers Chamomeshkisyrynchrizanthememac Switches in Korobkekukevs Bouquet Bucket Bouquetbooks in hat boxes of tulip -corporate bouquets on the 8th Martyapovat Buket for 8 March Birthday of the baby Suppliyatbuket Bridebukets for the wedding of St. Valentinenan Day 23 Buket for the day of the teacher of the teacher. The new year of the core of the color of the color of the baskets and the composition of the combination in hat boxes from the color -combination from the roser from the tulipanovs composition of the Podokarkisharikonfet and Cakes and toy toys from fruiting flowers in Moscow flowers and bouquets according to the promotion chitus to buy in 1 click in the basket flowers - hydrangea pionivid and bush rose7900 6900 ₽ member of the bouquet: Rose London AI - 7pcs. Rose bush. - 5 pieces. Diantus - 7pcs. Hydrangea - 3pcs. Sedium greens to buy a seasonal click in a basket to buy 1 click in a chrysanthemum basket in a hat box4500 ₽ a bouquet: Chrysanthemum Garden - 3 pcs. Bush rose - 3 pcs. Eustoma - 5 pcs. Eucalyptus. Hat box. Oasis. Buy in 1 click in the basket to buy in 1 click in the basket exquisite compliment4500 3990 ₽ member of the bouquet: bush pionoid rose - 21 pcs. Hat oasis box - 1 pc. Buy in 1 click in a basket to buy in 1 click in a basket one -headed chrysanthemum grapefruit 4300 3900 ₽ composal of a bouquet: Chrysanthemum Sadovaya - 9 pcs. Buy in 1 click in the basket show more and dial in 1 click in the basket of a bouquet of pionoid roses9900 ₽ Composit of the bouquet: Pionovid rose - 29 pcs. Pitosporum. Buy in 1 click in a basket Buy 1 click in the charm and charm 8990 ₽ member of the bouquet: Rose "Talea" - 51 pcs. Buy in 1 click in a basket to buy in 1 click in the basket Ecuador roses 75 pcs23900 ₽ Bouquet: rose - 75 pcs. Buy in 1 click in a basket to buy 1 click in a basket bouquet of roses '' Classica'3990 ₽ Bouquet: Rosa "Miss Pigi" - 15 pcs. Rosaa "Mary Tim" - 10 pcs. Buy in 1 click in a basket to buy in 1 click in a basket mix Bouquet of 25 roses3990 ₽ Bouquet: a bouquet of 25 roses. Color to choose from. Buy in 1 click in a basket Buy 1 click in the basket Flame of Passion Rose "Avanage" - 10 pcs. Buy in 1 click in a basket Buy 1 click in a basket pink mix27000 ₽ Cup in 1 click in a basket Buy 1 click in a rose basket for you16900 ₽ Bouquet: a bush-pioneer rose- 20 pcs. Rose "Shagril" - 30 pcs Rose "Casanova - 21 pcs. Rose" Talei " - 30 pcs. Buy 1 click in the basket Buy 1 click in the basket Stylish bouquet of bush rose5700 ₽ member of the bouquet: Build roses - 29 pcs to buy in 1 click in the basket Buy in 1 click in the basket exciting recognition14900 ₽ Composit of the bouquet: Rose "Avange" - 51 pcs; rose bush - 50 pcs. Buy 1 click in the basket Buy 1 click in the basket 51 White Ecuador rose13900 ₽ Bouquet: Rose Ecuador - 51 pcs. Buy 1 click in a basket Buy 1 click in basket 51 red rose7990 ₽ Bukete's component: Rose Grande at - 51 pcs. Buy 1 click in the basket Buy 1 click in the basket of roses bouquet - giant8900 ₽ Composition of the bouquet: VIP rose "London Ai" - 29 pcs. Buy 1 click in the basket Buy 1 clicked ecubacle red roses 8900 ₽ bouquet: Ecuadorian rose - 25 pcs. Buy 1 clicked in 1 click in the basket of 25 pionovid pink Ohara7900 ₽ Composition of the bouquet: Pink Ohara rose - 25 pcs. Buy 1 click in a basket Buy 1 click in a basket Bouquet of 15 roses with eucalyptus 3850 ₽ Bouquet: Rosa Grande at - 15pcs Eucalyptus Buy 1 click in the basket Show more popular bouquets in 1 click in 1 click In the basket of my precious bouquet14900 ₽ component of the bouquet: Rosa Miss Pigi - 19 pcs. Mattiol - 10 pcs. Bush rose - 10 pcs. Diantus - 15 pcs. Eucalyptus. Buy in 1 click in the basket hit to buy 1 click in the basket flowers - hydrangea pionoid and bush rose7900 6900 ₽ bouquet: Rose London Ai - 7pcs. Rose bush. - 5 pieces. Diantus - 7pcs. Hydrangea - 3pcs. Sedum Seasonal Buy 1 Click in a basket Buy 1 click in a basket of hydrangea - a bouquet of flowers5900 ₽ a bouquet: hydrangea - 9pcs. Buy in 1 click in a basket to buy in 1 click in a summer touch in the basket 5500 ₽ Bouquet: a bush rose "Barbados" - 5 pcs. Rose "Talea" - 10 pcs. Hyperikum - 5 pcs. Eustoma - 5 pcs. Eucalyptus. Buy in 1 click in a basket to buy in 1 click in the basket a chic bouquet of chrysanthemum9900 ₽ Composite a bouquet: chrysanthemum - 31 pcs. Buy in 1 click in a basket to buy in 1 click in the basket a gorgeous bouquet of wildflowers19000 ₽ Bouquet: chamomile - 25 pcs. Campullah - 20 pcs. Eustoma pink - 10 sh. Clematis - 10 pcs. Hipppericum - 10 pcs. Solidago - 10 pcs. Dolphinium - 10 pcs. Eustoma white - 10 pcs. Buy in 1 click in a basket to buy in 1 click in a basket a chic bouquet with a rose Matiolla and eucalyptus15000 ₽ a bouquet: a single -head rose - 21 pcs. Bush rose - 15 pcs. Matiolla - 10 pcs. Eucalyptus. Buy in 1 click in the basket to buy in 1 click in the basket '' Solar Summer '' - flowers with delivery of 8900 ₽ component of the bouquet: Gmperikum - 10 pcs. Rose "Shagril"- 20 pcs. Bush -pioneer rose - 10 pcs. Skimya -Puch. Pistash. Buy in 1 click in the basket Promotion Buy in 1 click in the basket Stylish bouquet4300 3900 ₽ Bouquet: Rosa Avalansche - 5pcs. Rose bush. - 5 pieces. Alstromeria - 3pcs. Diantus - 5pcs. Pistash buy in 1 click in the basket novelty novelty buy 1 click in the basket Stylish bouquet with hydrangea11900 ₽ bouquet: Rosa Casanova - 10 pcs. Bush rose - 15 pcs. Hydrangea - 3 pcs. Carnation - 15 pcs. Hyperikum - 5 pcs of panic - 10 pcs. Eucalyptus. Buy in 1 click in a basket to buy in 1 click in the basket a stylish bouquet with a rose and a diantus490 ₽ a bouquet: Rosa "Miss Piggi" - 10pcs. Diantus - 5pcs. Mattiola bush. - 5 pieces. Eucalyptus buy in 1 click in the basket to buy in 1 click in the basket I love 9900 ₽ Composit of the bouquet: hydrangea - 3 pcs. Rosa Shagril - 11 pcs. Bush rose - 10 pcs. Clove bush. - 5 pieces. Pistaging. Buy in 1 click in the basket Promotion Buy in 1 click in the basket of 19 sunflower and solidago6990 ₽ Bukete's composite: Sunflower - 19 pcs. Solidago - 10 pcs. Buy in 1 click in a basket to buy in 1 clicked order of a single -headed - a bouquet of flowers5900 ₽ a bouquet: chrysanthemum - 17 pcs. Buy in 1 clicked order in 1 click in the basket a huge bouquet with chrysanthemums12900 ₽ bouquet: Miss Pigi Rosa -15 pcs. Chrysanthemum alone -head -10 pcs. Chrysanthemum bush - 10 pcs. Bush rose Barbados - 10 pcs. Cloves - 10 pcs. Decorative berries - 5 pcs. Eucalyptus. Buy in 1 click in a basket Buy 1 click in a chamomile basket with a bunch of mattiola 4700 ₽ Bouquet: Mattiola Kustovaya - 5 pcs. Chamomile - 10 pcs. Buy in 1 click in the basket to buy in 1 click in the basket a chic bouquet from cal5990 ₽ Bouquet: Calles - 19pc. Buy in 1 click in the basket Promotion Buy in 1 click in the basket warm summer7500 ₽ bouquet: Rose Pionovid London AI - 10pcs. Rosa Kus. Barbados - 5pcs. Eustoma - 5pcs. Diantus - 5pcs. Crocosmia - 3pcs. Panicum - 3pcs. Eucalyptus buy in 1 click in a basket to buy in 1 click in the basket of tulips a bush rose and eucalyptus12900 ₽ member of the bouquet: tulips - 35 pcs. Alstromeria - 10 pcs. Astral -10 pcs. Hyperikum - 10 pcs. Bush rose - 10 pcs. Eucalyptus. Buy in 1 click in a basket to buy in 1 click in a basket 51 tulip with lavender7990 ₽ bouquet: tulips - 51 pcs. Lavender - 1 Puch. Buy in 1 click in a basket to buy in 1 click in a basket a bouquet of daisies and irises5990 ₽ a bouquet: matrix - 25 pcs. Irises - 51- Buy in 1 click in a basket Buy 1 click in a basket Bouquet Call 9 -pound3900 ₽ Bouquet: Calles - 9 pcs. Buy in 1 click in the basket to buy in 1 click in the basket of tires of tenderness13900 ₽ Bouquet: Piones of Protia - 11 pcs. Eustoma Terry - 10 pcs. Rosa Belini - 10 pcs. Ozatamus. Eucalyptus. Oxitalum. Dianthus -15 pcs. Buy in 1 click in a basket in the photo Average bouquet in the photo Middle Buy Buy in 1 clicked glaze7900 ₽ Bouquet: Rose "Aqua" - 10 pcs. Rose "Mary Tim" - 10 pcs. Mattiol - 10 pcs. Rose "Reflex" - 10 pcs. Buy in 1 clicked fireplace color in 1 click in the carman basket - a basket with exotic colors19000 ₽ a bouquet: Rose Red Piano - 10pcs. A single -headed rose - 10pcs. Rose "Kahala" - 10pcs. Rose bush. - 10 pieces. Kalina Antirinum - 10pcs. Astra - 10pcs. Bouvard - 10pcs. Diantus - 10pcs. Eucalyptus, seasonal greens buy 1 click in a basket in 1 click in the basket composition '' Autumn Blues'7900 ₽ Bouquet: Rose. Matiolla. Skimya. Carillus. Oasis. Vase glass. Buy in 1 click in a basket to buy in 1 click in the basket composition - forest nymph13900 ₽ Bouquet: tulips - 51 pcs; Irises - 50 pcs; Alstromeria; Salal; The packaging is natural. Buy in 1 click in a basket Buy 1 click in a basket composition with roses (any letters) 7900 ₽ member of the bouquet: Rose "Pinch" - from 28pcs. Up to 35 pcs. (photo) Pistash Patron for the composition oasis buy in 1 click in a basket to buy 1 click in a basket for a birthday basket9900 ₽ Composit of a bouquet: Rosa "Maritim" - 10pcs. Rose bush. - 5 pieces. Eustoma white- 10pcs. Diantus - 10pcs. Ozaminus - 3pcs. Hipppericum - 3pcs. Eucalyptus basket Floristic foam buy in 1 click in a basket to buy 1 click in a basket basket with sunflower 23900 ₽ Composit of a bouquet: Helianthus - 30pcs. Rose bush. cream. - 10 pieces. Mattiola bush. - 10 pieces. Diantus - 10pcs. Hipppericum - 10pcs. Lemonium - 5pcs. Eucalyptus Buy Buy Buy in 1 click in a basket Buy 1 click in the Pich Avange Pich basket - 51 rose11900 ₽ Bouquet: Rosa Pich Avange - 51 pcs. Eucalyptus. The basket is natural average. Oasis. Buy in 1 click in the basket Buy 1 click in the premium basket basket 36000 ₽ Cup in 1 click in the basket Buy 1 click in the basket luxurious color basket '' in the heart'42900 ₽ component of the bouquet: eucalyptus Pitosporum Mattiol - 10pcs bush - 20pcs Rosa Gravity - 10pcs Pionovid Rosa - 10pcs Rosa Wight O'Hara - 10pcs Odolovaya Rosa - 10pcs Astilba - 10pcs Eustoma - 20pcs to buy 1 click in the basket novelty to buy 1 click in the basket Northern Lights 9900 ₽ Bouquet: Eustoma Alice - 10 pieces. Buy in 1 click in a basket Buy 1 click in a basket basket for Cinderella28900 ₽ Bouquet: lily of the valley - 75 pcs. Moss natural. The basket is average. Oasis - 2 pcs. Buy in 1 click in a basket Buy 1 click in a basket Bouquet of roses with Matiolla Clematis Eustoma28000 ₽ Bouquet: White rose - 41 pcs. Matiolla bush - 15 pcs. Eustoma - 20 pcs. Clematis - 10 pcs. Oasis - 6 pcs. The basket is large - 1 pc. Buy in 1 click in a basket to buy in 1 click in the basket of flowers basket12900 ₽ Bouquet: Rosa "Miss Piggi" - 15pcs. Mattiol - 10pcs. Eustoma - 10pcs. Eucalyptus Buy Buy Buy in 1 click in a basket Buy 1 click in a basket basket with 101 tulip14900 ₽ Composit of the bouquet: tulips - 101 pcs. Greenery. The basket is natural. Oasis - 4 pcs. Buy in 1 click in a basket Buy 1 click in the basket Leader - Flower basket27000 ₽ Bouquet: Rosa Kenya - 10 pcs. Bush rose - 10 pcs. Astra - 10 pcs. Lemonium - 10 pcs. Astilba - 10 pcs. Antirinum - 10 pcs. Decorative pepper. Helichrizum. Magnolia buy in 1 click in the basket the best price is the best price to buy at 1 click in the basket basket with flowers 8990 ₽ Bouquet: a single -head rose - 10pcs. Bush rose - 5pcs. Eustoma - 5pcs. Hipppericum - 3pcs. Hydrangea - 1pc. Lemonium - 10pcs. Eucalyptus. Buy 1 click in the basket show the bolshevs of hats in 1 click in the basket of 25 roses in a hat box4500 ₽ Bouquet: Rosa Maritim - 25pcs. The hat box Buy 1 click in the basket Buy 1 click in the basket Big box with peonies of 19900 ₽ Bouquet: Rose "London Ai" - 10pcs. Rose "Miss Piggi" - 10pcs. Rosa "VAU" - 10pcs. Rose bush. - 10 pieces. Pion pinks - 10pcs. Diantus "BRT" - 15pcs. Mattiol - 10pcs. Eucalyptus Box a Hat Decorative Oasis Buy 1 click in a basket in 1 click in a chrysanthemum basket in a hat box4500 ₽ a bouquet: Chrysanthemum Sadovaya - 3 pcs. Bush rose - 3 pcs. Eustoma - 5 pcs. Eucalyptus. Hat box. Oasis. Buy in 1 click in a basket to buy in 1 click in the basket composition Heart11900 ₽ Composit of a bouquet: Rose Avange - 29 pcs. Rose Grand Prix at - 23-27 pcs. Buy 1 click in a basket Buy 1 click in the basket of flowers basket - '' Summer evening'4500 ₽ Bouquet: Pompasnaya grass - 5 pcs. Bush rose - 3 pcs. Eustoma - 3 pcs. Diantus - 5 pcs. Buy a pistol in 1 click in a basket Buy 1 click in the basket red velvet24900 ₽ Bukete's composal: Pionovyna Rosa Red Piano - 51pcs. Buy in 1 click in a basket to buy in 1 click in a pional coral basket in a hat box6900 ₽ a bouquet: the peony "Coral Sharm" - 7pcs. Rose bush. "Lady Bombastik" - 10pcs. Pistash hat box Floristic foam buy in 1 click in a basket to buy 1 click in a basket hat box with 21 hydrangea11900 ₽ bouquet: hydrangea - 19 pcs. Hat box. Oasis -6 pcs. Buy in 1 click in the basket to buy in 1 click in the basket a hat box with a dolphinium12900 ₽ Bouquet: Dolphinium - 3pcs. Mattiola bush. - 5 pieces. Hydrangea - 1pc. Rose bush. Persian - 5pcs. Rose bush. Lilac - 5pcs. Diantus - 7pcs. Oxypetalum - 5pcs. Peonies - 3pcs. Eustoma - 3pcs. Box hat oasis Buy 1 click in the basket hit to buy 1 click in the basket Hathing box with an eustoma rose and eucalyptus 6400 5900 ₽ Buketee: Hat box - 3 pcs - 10 pcs. Click in the basket to buy in 1 click in the basket a hat box with a bush pionoid rose590 ₽ a bouquet: rose bush. Pionovid - 10pcs. Eucalyptus hat box Floristic foam to buy 1 click in a basket Buy 1 click in a basket Hap with mattiola 8990 ₽ Bouquet: Miss Piggi rose - 15pcs. Mattiol - 10pcs. Eustoma - 7pcs. Eucalyptus Box a Hat Oasis Buy 1 click in a basket to buy 1 click in a basket Hat box with roses and eucalyptus 6900 ₽ Composit of a bouquet: rose aqua - 31 pcs. Eucalyptus Hat Box Oasis - 2 pcs. Buy in 1 click in a basket to buy in 1 click in the basket a hat box with 101 rose16900 ₽ Bouquet: Rosa Avange - 101 pcs. The hat box is large. Buy in 1 click in the basket to buy in 1 click in the basket mysterious tenderness8990 ₽ member of the bouquet: Persian rose - 19 pcs. Tsimbidium orchid -15 pcs. Eucalyptus Box Hat. Oasis 2 pcs. Buy in 1 click in the basket hit hit to buy in 1 click in the basket Big box with hydrangea 8900 ₽ bouquet: Miss Pigi Rosa - 10 pcs. Rose bush reflex - 10 pcs. Hydrangea - 3 pcs. Diantus - 7 pcs. Eucalyptus. Oasis - 2 pcs. The hat box is average. Buy in 1 click in a basket to buy in 1 click in the basket of grace7890 ₽ member of the bouquet: rose - 51 pcs. The gateway box. Oasis - 2 pcs. Buy in 1 click in a basket Buy 1 click in a basket composition for a man12000 ₽ Bouquet: Anturium - 2pcs. Rose "Kahala" - 10pcs. Calla - 10pcs. Diantus - 5pcs. Crocosmia - 10pcs. Lotus - 5pcs. Catinus - 10pcs. Panicum - 3pcs. Buy in 1 click in a basket to buy in 1 click in a basket a small box with a gypsophila 3900 ₽ a bouquet: gypsophila - 15 pcs. Hat box. Oasis. Buy in 1 click in a basket to buy in 1 click in the basket of sunflower in a hat box5990 ₽ a bouquet: sunflower - 15 pcs. Hat box - 1 pc. Oasis - 2 pcs. Buy in 1 click in a basket to buy in 1 click in a basket a hat box with an orchid7900 ₽ a bouquet: an orchid cymbidium - 15 pcs. Eucalyptus. The hat box is average. Oasis - 2 pcs. Buy in 1 click in the basket novelty novelty to buy 1 click in the basket Hat box with garden chrysanthemums6990 ₽ a bouquet: Chrysanthemum Garden - 5 pcs. Chrysanthemum bush - 10 pcs. The rose is one-headed- 11 pcs. Bush rose - 10 pcs. Eucalyptus Box Hat. Oasis - 2 pcs. Buy in 1 click in a basket to buy in 1 click in a basket box with a rose capuchino - average 9900 ₽ component of a bouquet: Rose Kappuchino - 51 pcs. The box is average. Oasis - 2 pcs. Buy in 1 click in a basket to buy in 1 click in the basket I love15900 ₽ Bukete's component: rose - 79 pcs.; Hat box. Buy in 1 click in the basket to show the basic to go somewhere? We will deliver the flowers by the byactro and for free! Warranty for freshness we will immediately replace the bouquet-pay photo before delivering a photo of the bouquet before sending a bouquet to the bouquet to write your text by a potassium doseword of customers about the naiveron calls the bouquet from 51 roses of 51 roses They contacted and issued the order, taking into account the wishes, they delivered the wishes :) The name of the name is very pleased with the good quality of the colors! Also, and the postcard as a gift that you are very pleasant when you are far from a close person of the Denytrhevriytriytriytriyansko -worked promptly! Within 3 hours from the moment the order was placed in a clearly agreed time, the bouquet was delivered to the spouse! Thank you very much to the specialist of the company Gennady! Prosperity to your business! I want to say thank you to Gennady for a quality bouquet and good work with a difficult customer (this is me) $) ours sister Happy Birthday)) I myself chose a lot of flower companies from St. Petersburg)) Gennady immediately said that he said confidently that he said that We will do whatever you want)) and did not deceive 🙌🏻👌🏼🙏🏼Pasybo for your work and success to you in your excellent work 🌹 Vladimirhuhu to express great gratitude to the Gennadyuz. Beautiful Bouquet -Hospital, the most important thing ... The quality guarantee on DR white roses stood A week is super! Thank you! Victoriaispasibo store for help with a bouquet in Moscow to a loved one) Despite the problems with the transfer of money (Crimea), they treated us with understanding and helped with the solution of the issue! Thank you very much!) Olgaspasibo huge Gennady !!! A wonderful service took into account all the wishes delivered a beautiful bouquet of the freshest roses to the anniversary. You give unforgettable emotions! I can sincerely say- I am pleasantly surprised by the organization thank you for the excellent work! Everything in time is harmonious at the highest level !!! Thank you !!! Tatyana ordered the flowers brought on the same day! Great work is fast and efficient. A friend is happy with a bouquet and I feel good. I ordered a bouquet of seduction - an excellent combination of colors and colors also pleased that it does not look miniature. Flowering: convenience and speed ordering of colors has become easier and more convenient thanks to the services of many companies providing such services. Flower delivery is not only a beautiful and romantic gesture, but also the ability to express your feelings and emotions at a distance. How to order flowers delivery? Order flowers with delivery can be possible in several ways: through online stores by phone or when visiting a store. However, the most convenient and quick way is to order through the online store. All you need is to choose a bouquet of flowers indicate the delivery address and pay for the order. Processions of ordering flowers with delivery of flowers with delivery - this is not only convenient, but also saves time. You do not need to spend time visiting the store and the choice of a bouquet of flowers is carried out quickly and on time. In addition, online stores offer a wide selection of flower bouquets from classic roses to exotic colors, which allows you to choose exactly the bouquet that is suitable for you. Payment of the order of the color of the flow of flowers occurs through our online store that offers various payment methods: with an electronic wallets or by a bank card or by a bank card Cash upon receipt of the order. After paying for the order, we will contact you to clarify the delivery details. Ordering flowers is convenient and simple. You can choose a bouquet of flowers that is suitable for you to pay for the order and get it on time. Buying a bouquet of flowers with delivery is a beautiful and romantic gesture that will leave a pleasant impression on the recipient. Do not put off for later order the delivery of flowers today! Popular questions What types of colors are available for delivery? We offer a wide selection of flowers for delivery from classic roses to exotic colors. You can choose a bouquet of flowers that is suitable for you. How can I order flower delivery? You can order flower delivery through our online store by phone or when visiting a store. Can I choose the time of flower delivery? Yes, you can choose the time of flower delivery when placing an order. Additionally, the option "Coordinate the date and delivery time of the recipient" is additionally available. How long does it take to deliver flowers? We deliver your bouquet within two hours after the order confirmation. How much does delivery cost? The cost of flowing colors usually includes the cost of a bouquet of flowers and delivery. From 06.00 to 23.00 delivery of bouquets worth more than 3,500 rubles. In Moscow, it is free. Delivery of bouquets worth less than 3,500 rubles. - 350 rubles. The cost of delivery at another time is discussed with the operator. What payments of payment are available when ordering colors? We offer you the following methods of payment of orders: by bank card by electronic wallets or cash upon receipt of the order. © Service for Flower Delivery Buketonline 2016 - 2021O NASO SPUSISSISHS OF DELIVERY OF CONTACTIVITIES AND PAYTASITIES ON THE COUNTION OF BOVILITITICES BLOULD WITH WITH WITH WITH WITH+7 (495) 767 52 30+7 985 767 52 30 DISCULATION Call × fast order! Reception of orders is carried out from 7:00 to 23:00. The manager will contact you in the morning. The near future delivery for tomorrow is not earlier than 9: 00 to recover the “Send” button you agree with the rules of privacy policy</v>
      </c>
    </row>
    <row r="291">
      <c r="A291" s="1" t="s">
        <v>883</v>
      </c>
      <c r="B291" s="1" t="s">
        <v>939</v>
      </c>
      <c r="D291" s="1">
        <v>15.0</v>
      </c>
      <c r="E291" s="4" t="s">
        <v>940</v>
      </c>
      <c r="F291" s="1" t="s">
        <v>16</v>
      </c>
      <c r="G291" s="1" t="s">
        <v>941</v>
      </c>
      <c r="H291" s="4" t="s">
        <v>942</v>
      </c>
      <c r="I291" s="2">
        <v>1.0</v>
      </c>
      <c r="J291" s="5" t="str">
        <f>IFERROR(__xludf.DUMMYFUNCTION("GOOGLETRANSLATE(A291)"),"Gypsophyla")</f>
        <v>Gypsophyla</v>
      </c>
      <c r="K291" s="6" t="str">
        <f>IFERROR(__xludf.DUMMYFUNCTION("GOOGLETRANSLATE(B291)"),"Bouquets of 51 gypsophiles buy in Moscow ✿ Delivery")</f>
        <v>Bouquets of 51 gypsophiles buy in Moscow ✿ Delivery</v>
      </c>
      <c r="L291" s="5" t="str">
        <f>IFERROR(__xludf.DUMMYFUNCTION("GOOGLETRANSLATE(C291)"),"#VALUE!")</f>
        <v>#VALUE!</v>
      </c>
      <c r="M291" s="5" t="str">
        <f>IFERROR(__xludf.DUMMYFUNCTION("GOOGLETRANSLATE(G291)"),"Flower delivery in Moscow | Order a bouquet of fresh flowers to the house in the Venus in Fleurs online store (metro Prague metro) about Nasaraniyanash Commandar-Visitavka-Slapakak, make custom-made calls and answers of the Ovali Kontaktysobraki on the ph"&amp;"oto of the business the largest store delivery store in Moscow 0 8-800-200-40-42 free of charge in Russia PN. -BC: from 9 to 22 8-800-200-40-42 The main office +7-495-003-21-51 navigate the WhatsApp +7-926-780-53-74 telegram @venusinfleurs_msk instagram @"&amp;" @ @ @ @ @levusinfleurs. Working mail msk@venusinfleurs.ru Address Moscow st. Kirovogradsk 38 bldg. 1 Enter catalog autumn bouquets of compositionVIP bouquets 199-authoric 122-class 384insta Bouquets 188 Popular 240CAID BUIKS 125 MIKS 792 Flows 74books 12"&amp;"2books with logo 22-BUSK-BUKETS 166 CETS 59 TO MUSKOLAD BUIKS 136MONOL DCA 154 MIKSS FILS in a box of 147 mini-boots 310 MIKS FROM FLOWERS 31Romanic 194 painted 200-seled 49Po flowering 263 Bureza 55 -bended 117 Glutic 49 yellow 92 green 25 -oral 55Koral "&amp;"56Kophene 32 red 127 -core 32maline 44 -rhranium 49 -rifle 22 28 -silver 28 -sized 57Fiocell 43pat type Packaging. 8V white box 573V Black box 251books in a 30 -glass box box 6po season, season 139 -core 166 -year -old 157 -rich 142 price up to 5,000 r. 2"&amp;"10 with 5,000 p. up to 7,000 p. 278 with 7,000 p. up to 10,000 p. 365 with 10,000 p. 599						Цветы													Сезонные предложения 142Альстромерия 68Амариллис 15Антирринум 10Верба 2Гвоздики 115Георгины 41Герберы 60Гиацинты 52Гипсофила 26Гладиолусы 22Гор"&amp;"тензии 97Дельфиниум 28Ирисы 35Каллы 70Краспедия 14Лаванда 10Лагурус 29Лилии 30Лимониум 3Лотос 6Маттиолы 57Мимоза 31Нарциссы 25Озотамнус 17Орхидеи 153Пионы 94Подсолнухи 29Протея 11Пшеница 16Ранункулюсы 42Розы 374Ромашки 54Сирень 12Статица 15Сухоцветы 45Тра"&amp;"хелиум 7Тюльпаны 110Фрезии 63Хлопок 42Хризантемы 103Эвкалипт 69Эрингиум 8Эустомы 77						Пионы													По Flower -free peonies 33 red peonies 4zor peonies 42Koral peonies 9 -pional peonies 14 -piona MIX 52 pionoles 9 piono 1325 peonies 2751 Pion 19101"&amp;" Pion 13 compilations in the box 36piones 10 roses roses9 rose 10919 Rose 9225 Rose 9225 Rose Rosa 9225 Rose Rose 9225 Rose Ros Z 10729 roses 11231 Rose 12941 Rose 14051 Rose 24481 rose 201101 rose 243131 Rose 29151 Rose 1320151 rose 13301 rose 18501 rose"&amp;" 161001 rose 9 -compound9 roses in a box of 3615 roses in a box 4325 roses in a box 6431 rose in a box 7251 rose in the box in the box 18920 Outode in the box 19 under the tape 58V Kashpo 17V Box 416V BASK 30V shara 54C 32C 32C named after 59 Service 154."&amp;" Flower -down 161 -bruise 50 brogride 171 -grade 35 gyrel 15 golden 50 -ore 50 -rifle 28 red 145 -cream 26maline 18mix 98 -radial 7 -rhiz 130 -sustained 31 -sized 37fiolet 34 -black 41 POSICAL 95 -pioneer 75 -Elite 128po size 60 cm 7170 cm 980 cm 690 cm 3"&amp;"100 SM 2120 cm 2150 cm 1200 cm 1 tulips on flowering tulips 50 yellow tulips 24 red tulips 23-rifle tulips 45fiolet tulips 32 red-white tulips 5-pioneer tulips 51-buses51 tulip 26101 tulpan 920 Pan 5 -compartment Tulpany in a box of 42 cords of tulips 10t"&amp;"h -large bouquet of tulips 22 Gifts of rose petals 3 postcards 22 Countries 27 accents 46 Shades of 30 clubs in chocolate 18 photographs 5 who grandmother 250 Druk 212 Druzes 301 colleagues 204 Lyongers 328mamm 321muzhchina 64 auresteum 63 Papapa 142 reic"&amp;" leadership 210 seser 288 Summer 299 Center for Master Calendar 25 0lite birthday 267 Evil 174 years old 179 ITUM 278NOLSELA 180 Propement of the child 230 session 166 SCARITION 154 SPASibo 165 TRARURURARY 188V Theater 10V 00B shares 00V The basket is emp"&amp;"ty! Hits Sales Correlations in the boxing why are we? Payment of Dolyamin 4 months from Tinkoff. In 3 times more resistant assembly in our hat boxes allows roses to stay fresh and delight you 3 times longer than usual. Paid delivery courier service will q"&amp;"uickly deliver your bouquet to any point in the city. Photo before sending Bouquet before sending you to accurately be convinced that the bouquet is like it is necessary. The manner for each order for each order we give a gift that will perfectly compleme"&amp;"nt the bouquet. Consistent design will be appreciated by the dignity. The daily purchase of fresh color will delight you from 7 to 14 days. If you You will not like the bouquets you will inform us about this within a day We will change it for free. Delive"&amp;"ry of flowers in Moscow Popularity Catalogen Mammynsennets of Birthday of the Bukesimonomonomno -Buyplars in the boxing of corporate customers of the flower bouquets of the flowing Sytomiks Filter -filtering. Lier -earned -bonded zelegular zelegular -glue"&amp;" -lung -mesh -sulfide -sulfur -sulfurial -sulfurial -esophysum -mes -mesh -meshodyneineyneine -male -bearing -packed -up type packaging type Packing Kibuket under the packets of a round box of hearts of Carcasses of Glass Kashpov. Korobkev black boxes of "&amp;"white box and clean the type of flowers type of flowers of flowers -cardicirhideigerchideygsygorteneniylyxiclyucyuplymaskakakakakakakakakhlytulpany -rhizanthemony -oustemyolphyolsyolysomatylygipsophilnarciagiagiacyazyegiacyazyeziyazyegiacyazyegiacyegiacyl"&amp;"umeliylumelicemichelumeliolumelicemiacin Mantirrinumclinumspediyalawavvandaamarillismimosalimosalimonium-dimenskagramliptracli-nomede-native-nuclear-navlopyrengoleshumsuhsukhsukhsukhsukhsarobseronyaronikarosasazatamyatamosatamysatamyta bouquets of bouquet"&amp;"s of mudwall bouquets of flowing-free-art-vehicles made of kinderma Bouquets with logoibribusiness-boobs with chocolate bouquets Bride bouquet bouquet bouquets of cerebral flowers in the boxing-bugs from flowers of excellent-painted sexual-aged bouquet bo"&amp;"uquet bouquet to prepare our sentences our sentences of our sentences of our proposals Clean the height of the bouquet bouquet height60 cm70 cm80 cm90 cm100 cm120 cm15 cm150 SM-clean the number of flowers The number of colors915-1925-294151511151151201512"&amp;"012513014014015011001 CEENED to whom kOMMUMEMELUBIMOLUBRUMOURECHECHARUKOLYARUKURUMENEMSYAMSYAMSYAMAMOKOLAMEMMUMUMEMAMEMMUMUMEMMUMEMAMUMMUMEMMUMUMUMUMUMUMUMUMUMUMUMUMUMUMUMUMUMUMUMUMUMYy Wipe the filters Choosing a buyer of a chitrazer: 25 cm.25 cm. Compos"&amp;"it of the bouquet: 29 roses select the required amount of 9 pcs. - 3 990 ₽ 19 pcs. - 5 690 ₽ 29 pcs. - 6 890 ₽ 41 pcs. - 8 790 ₽ 51 pcs. - 10 390 ₽ 81 pcs. - 15 790 ₽ 101 pcs. - 18 590 ₽ 151 pcs. - 27 490 ₽ 201 pcs. - 35 490 ₽ Little roses in Korobkekashb"&amp;"ek 1903 990 ₽ order NEW sizes: 30 cm .50 - 60 cm. Buket -set: 29 roses of the orchid, select the required amount of 9 pcs. - 4 190 ₽ 19 pcs. - 5 990 ₽ 29 pcs. - 7 890 ₽ 41 pcs. - 10 190 ₽ 51 pcs. - 11 590 ₽ 81 pcs. - 17 190 ₽ 101 pcs. - 20 090 ₽ 151 pcs. "&amp;"- 30 890 ₽ 201 pcs. - 37 990 ₽ Creound roses with white orchids in bouquetkeshback 2004 190 ₽ ordering cunning: 25 cm. 25 cm. Steas of the bouquet: 51 dendrobium orchid, choose the required amount of 29 pcs. - 5 090 ₽ 51 pcs. - 7 490 ₽ 81 pcs. - 11 590 ₽ "&amp;"101 pcs. - 13 490 ₽ 151 pcs. - 20 390 ₽ 201 pcs. - 25 090 ₽ orchids ""Dandrobium"" in Korobkeshbek 2505 090 ₽ order the size: 35 cm.50 - 60 cm. Bukete (10 Eusta 1 Hydension 25 Rose Lagurus, select the required amount of 45 pcs. - 13 190 ₽ Author bouquet N"&amp;"o. 14 Kashbek 65013 190 ₽ price: 12 690 ₽ Order Promotion: 20 cm. 25 cm. Bukete Stef: 9 roses 1 pc Nutella 1pc Kinder Surprise and Kinder Chocolate (9 pcs) 1 Mishka select the required amount of 21 pcs . - 5 390 ₽ Complement with pink rosamikashbek 2605 3"&amp;"90 ₽ price: 4 890 ₽ order cunning: 30 cm. 25 cm. Stef bouquet: 51 rose, select the required amount of 41 pcs. - 8 790 ₽ 51 pcs. - 10 390 ₽ 81 pcs. - 15 790 ₽ 101 pcs. - 18 590 clientefani with white ""Tiffany Love"" cashback 4308 790 ₽ there is no use of "&amp;"size: 25 cm. 25 cm. Buket -sustain: 19 pionov select the required amount of 19 pcs. - 17,390 ₽19 Pions ""Softness"" in Korobkeshbek 86017 390 ₽ price: 16 390 ₽ order cunning: 30 cm. 25 cm. Bukete Stef: 51 rose, select the required amount of 51 pcs. - 10 3"&amp;"90 ₽ 81 pcs. - 15 790 ₽ 101 pcs. - 18 590 ₽ 201 pcs. - 35 490 ₽fiolet roses in the box ""Luxury Heart"" cashback 51010 390 ₽ order cunning: 40 cm. 50 cm. Buketa: 7 orchids 31 rose 30 bush roses 20 euste 1 hydrangea 1 gold sheet 11 Hypericum select the req"&amp;"uired amount of 51 pcs. - 17 890 ₽ 101 pcs. - 27 390 ₽ 181 pcs. - 46 290 ₽ Bouquet ""Wild Passion"" Cashback 89017 890 ₽ order cunning: 40 cm. 50 See bouquet: 100 roses 1 branch of the orchid, select the required amount of 51 pcs. - 11 090 ₽ 101 pcs. - 21"&amp;" 290 ₽ 151 pcs. - 31 590 ₽ 251 pcs. - 49 390 ₽ Tiffany with orchideyamykashbek 55011 090 ₽ order cunning: 40 cm. 40 cm. Stef bouquet: 28 roses 13 orchids, select the required amount of 29 pcs. - 7 890 ₽ 41 pcs. - 10 290 ₽ 151 pcs. - 31 990 ₽ 251 pcs. - 43"&amp;" 290 ₽ Bouquet of roses and orchids in Korobkekashbek 3907 890 ₽ order cunning: 20 cm. 35 cm. Stef bouquet: 3 hydrangeas select the required amount of 3 pcs. - 4 690 ₽ 5 pcs. - 6 590 ₽ 9 pcs. - 10 590 ₽ 19 pcs. - 20 190 ₽ 29 pcs. - 29 590 ₽ 51 pcs. - 50,5"&amp;"90 ₽ healing in the hats Korobkeshbek 2304 690 ₽ ordering the all -authoric bouquet of size: 45 cm. 50 - 60 cm. Bukete component: 10 Herber 25 cloves 10 Matthiol 10 Kraspedii Pen Pen, choose the required amount of 65 pcs. - 26 590 ₽ Author bouquet No. 22 "&amp;"Kashbek 132026 590 ₽ price: 25 590 ₽ order the size of the size: 35 cm. 40 - 50 cm. Bouquet components: 5 roses 10 eusta 6 bush pionoid roses Lagurus Eucalyptus select the required amount of 21 pcs. - 11,290 ₽ Author bouquet No. 17 Kashbek 56011 290 ₽ pri"&amp;"ce: 10 790 ₽ order the size of the size: 35 cm. 60 cm. Stef bouquet: 5 large chrysanthemums 10 Delphinium 1 Hydrangea 15 roses select the required amount of 31 pcs. - 12 990 ₽ Author bouquet No. 1keshbek 64012 990 ₽ price: 12 490 ₽ Order the size of the s"&amp;"ize: 35 cm. 60 cm. Stef bouquet: 5 orchids 20 rose roses gold leaf select the required amount of 25 pcs. - 12 490 ₽ Author bouquet No. 13Kashbek 62012 490 ₽ price: 11 990 ₽ order cunning: 35 cm. 50 cm. Steas of the bouquet: 20 cloves 21 rose 10 Eusta Gree"&amp;"ns select the required amount of 51 pcs. - 13 590 ₽ 81 pcs. - 20 390 ₽ 151 pcs. - 34 890 ₽ Bouquet ""Beautiful moment"" cashback 67013 590 ₽ order the size of the size: 35 cm. 60 cm. Stef bouquet: 20 cloves Lagurus 1 Gornia 16 roses select the required am"&amp;"ount of 37 pcs. - 9 790 ₽ Author bouquet No. 3Kashbek 4809 790 ₽ price: 9 290 ₽ order cunning: 35 cm .50 - 60 cm. Bukete Stef: 10 Matthiol 10 pionivate roses 10 bush roses 10 calicalipt select the required amount of 41 pcs. - 18 990 ₽ Author bouquet No. 2"&amp;"8Kashbek 94018 990 ₽ order the size of the size: 35 cm. 60 cm. Stef bouquet: 5 bushy chrysanthemums 5 roses 5 euste dry flowers select the required amount of 15 pcs. - 7 890 ₽ Author bouquet No. 10 Kashbek 3907 890 ₽ price: 7 390 ₽ order the size of the s"&amp;"ize: 35 cm. 60 cm. Stef bouquet: 20 cloves. 10 roses eucalyptus 1 succulent dry flowers select the required amount of 31 pcs. - 10 490 ₽ Author bouquet No. 7Kashbek 52010 490 ₽ price: 9 990 ₽ Order the size of the size: 35 cm. 60 cm. Bukete (10 pionic ros"&amp;"es 9 roses eucalyptus, select the required amount of 19 pcs. - 10 390 ₽ Author bouquet No. 8Kashbek 51010 390 ₽ price: 9 890 ₽ order the size: 100 cm. 60 - 70 cm. Buketee: 30 orchids of dendrobium 4 bureau 10 carzantems 1 Grudik 1 Hodge Greens Greens Rusc"&amp;"uspot Pampasy Grass Select the required amount 45 PC. - 35 690 ₽ Author bouquet No. 18 Kashbek 178035 690 ₽ order the size: 40 cm. 50 - 60 cm. Bukete (29 roses 10 Caloniki 10 Veronica 10 orchids Falenopsis 1 Proteus 1 Pride Ruskus Select the required amou"&amp;"nt 61 pcs. - 18 990 ₽ Author bouquet No. 25KashBEK 94018 990 ₽ price: 18 490 ₽ ordering the entirety in the box in the presence of size: 50 cm. Bukete: 10 Piono 38 roses 3 g. Eucalyptus gold leaves, select the required amount of 51 pcs. - 22 590 ₽ 101 pcs"&amp;". - 39 090 ₽ 201 pcs. - 64 390 ₽ the bouquet ""Good Morning"" in Korobkekashbek 112022 590 ₽ order the size of the size: 40 cm. 25 cm. Stef bouquet: 131 rose select the required amount of 131 pcs. - 22 790 ₽131 rose - crown on the black vonkeshbek 113022 "&amp;"790 ₽ price: 21,790 ₽ ordering cunning: 45 cm. 55 cm. Stef bouquet: 81 rose 20 Eusta Greens select the required amount of 51 pcs. - 12 790 ₽ 101 pcs. - 22 090 ₽ 151 pcs. - 32 390 ₽ flowing composition ""Chic delicate mix"" cashback 63012 790 ₽ order cunni"&amp;"ng: 15 cm. Smel. Bouquet: 15 orchids, select the required amount of 15 pcs. - 6 290 ₽ 29 pcs. - 10 590 ₽ 51 pcs. - 16 990 ₽ 81 pcs. - 26 790 ₽ 101 pcs. - 32 390 ₽ Rozed orchids in a hat box for Tatyana's Day Kashbek 3106 290 ₽ Order the size of the size: "&amp;"100 cm. 25 cm. Bouquet components: I box - 51 rose heart box - 101 rose y - 51 rose, select the required amount of 201 pcs. - 32 090 ₽i love you from roses in a box on the day of the Valentine Kashback 160032 090 ₽ price: 31 090 ₽ order the size of the si"&amp;"ze: 40 cm. Buketa: 10 chrysanthemums 20 roses 5 orchids 7 kinders 5 kinders of chocolate 3 nuttla Mishka 1 pcs . Eucalyptus select the required amount of 51 pcs. - 16 190 ₽ Dicked -up orchid with sweets with sweets 80016 190 ₽ price: 15 190 ₽ ordering cun"&amp;"ning: 30 cm.25 cm. Stef bouquet: 51 rose, select the required amount of 51 pcs. - 10 390 ₽ 81 pcs. - 15 790 ₽ 101 pcs. - 18 590 ₽ 201 pcs. - 35 490 ₽ White roses with the date ""Gold Date"" cashback 51010 390 ₽ order cunning: 40 cm. Support of the bouquet"&amp;": 10 orchids 46 roses 5 chrysanthemums of 50 tulips of 20 bushes, select the required amount of 51 pcs. - 13 590 ₽ 131 pcs. - 27 390 ₽ 251 pcs. - 49 690 ₽ flowing composition ""Wild orchid"" cashback 67013 590 ₽ order cunning: 25 cm.25 cm. Stef bouquet: 2"&amp;"9 roses select the required amount of 19 pcs. - 5 090 ₽ 29 pcs. - 6 490 ₽ 41 pcs. - 8 490 ₽ 51 pcs. - 9 990 ₽ 81 pcs. - 15 590 ₽ 101 pcs. - 18 390 ₽ 151 pcs. - 27 790 ₽ 201 pcs. - 34,890 ₽ Comrella roses in the box - from 19 Stkeshback 2505 090 ₽ order: 2"&amp;"5 cm. 25 cm. Stef bouquet: 29 roses of the orchid, select the required amount of 19 pcs. - 4 990 ₽ 29 pcs. - 6 390 ₽ 51 pcs. - 9 790 ₽ 101 pcs. - 18 190 ₽ 201 pcs. - 33 590 ₽ Comosition ""Lovely Luxury"" with dendrobium in Korobkekashbek 2404 990 ₽ order "&amp;"the Promotion: 20 cm. 25 cm. Stef bouquet: 15 roses select the required amount of 15 pcs. - 4 790 ₽15 turquoise roses with gold in Korobkeshbek 2304 790 ₽ price: 4 490 ₽ order cunning: 45 cm. 50 See bouquet: 30 dendrobium 20 orchids 20 rose 20 hyacinths, "&amp;"select the required amount of 51 pcs. - 11 490 ₽ 101 pcs. - 20 190 ₽ 201 pcs. - 34 490 ₽ Flower composition ""Blue Laguna"" Cashback 57011 490 ₽ ordering everything why we? About the immunity of the Employment of the Great Guarantee, the Venus in Fleurs N"&amp;"asflorists collect classic bouquets from 5 to 1001 flower - round vertical free shape. Find unique combinations of colors-not just mixes, but spectacular minimalistic designs in two or three shades. They choose unusual colors: Tiffany Golden Green Green b"&amp;"right purple, etc. They develop a unique design for a specific reason. The store presents a large assortment of compositions in boxes: in the form of a ball; with a date; with an inscription; with a company logo. Florists with great work experience will r"&amp;"epeat even a complex symbol each flower will be exactly in its place. Delivery with your own transport - not a single bud will suffer. In more detail about the survival of flowers in Moscow at home and to the office. We are inexpensively traveling around "&amp;"the Moscow region. Find the addressee even if you know only the phone number or WhatsApp. A metro meeting is possible. To the order, you can add a personal message with an emoji photo to attach a gift. We will put the bouquets quickly - within three hours"&amp;". An urgent delivery of the Courier arrival is possible by accurate time the cost of 800 rubles. Anonymous delivery. We will maintain confidentiality even if a person tries to bribe a courier. VIP dodging. If you do not have time to choose flowers in the "&amp;"online store, entrust this to the florists. You only need the contact details of the recipient's wishes for the design. A report to the messenger or e -mail will come about the delivered bouquet. More about the delivery of color -pretense of 3000 stylish "&amp;"bouquet flowers - there are no golden blue analogues on the Russian market. Fores before sending 300 bonus rubles from each purchase of 300 bonus installments from Tinkoffhantye, the order did not arrange the recipient. Lithuania Photo of the composition "&amp;"and describe the problem. If the composition does not comply with the composition, we will return the money or replace the goods. When delivering to accurate time, the maximum time of the delay of the courier does not exceed 10-15 minutes. We maintain the"&amp;" confidentiality of personal data. A check with a confirmation of payment is sent to e -mail. Have you noticed how beautiful a woman with a bouquet is in her hands? Birthday Buy Bouquet Buying Buildings to the Bride theater Explode Reviews about the deliv"&amp;"ery of flowers in Moscow WhatsAppyandex Google 2GIS to see all our bouquets with satisfied customers Contacting House address in Moscow: 117534 Moscow st. Kirovograd house 38 bldg. 111 min. On foot from m. ""Prague"" contacts for communication: phones thr"&amp;"oughout Russia: 8-800-200-40-42 Mobile: 79267805374 WhatsApp: 79267805374 Email: msk@venusinfleurs.ru Office Disse Contact center work: from 09 - 22:00 hours of personal managers in chat: from 09 - 22:00 on corporate services: phones throughout Russia: Mo"&amp;"bile: 79267805374 WhatsApp: 79267805374 Email: msk@venusinfleurs.ru 9:00 to 22:00 Questions and answers to place an order for flowing flowers? To place an order, select a bouquet of the number of flowers and click on the “In the basket” button. Fill in th"&amp;"e information you know and select the desired payment method. You can also write to call our managers in WhatsApp or Telegramkak Pay the order? You can pay for the order using the Apple Pay Google Pay bank card Yandex. Money QIWI PAYPAL Cash Courier. For "&amp;"legal entities, payment for non -cash payment is provided - for this, leave a request on msk@venusinfleurs.ru how much is delivery? If the order cost is below 3500 rubles - delivery is paid separately in the amount of 500 rubles in any hourly interval fro"&amp;"m 9.00 to 20.00 - free of charge. The hourly interval from 20.00 to 00.00 - 500 rubles in any hourly interval from 00.00 to 9.00 - 1000 rubles. Delivery outside the Moscow Ring Road of up to 5 km - 500 rubles. Next, 50 ₽ / 1 kmkak will quickly deliver a b"&amp;"ouquet? We will deliver you a bouquet within 3-4 hours from the date of placement of the order. Depending on the road situation, the presence of colors, etc. Delivery time can change slightly. How can I find out that the bouquet is delivered? We will cont"&amp;"act you convenient for you and notify you about delivery. Do you get a bouquet if I do not know the address? Of course. You can provide any way you know with the recipient. We will contact him (her) and delicately clarify all the information on delivery. "&amp;"Is there any delivery to other cities? We deliver a bouquet within 100 km. For the Moscow Ring Road. The manager of our company will tell in specific cities. Is an anonymous delivery is possible? Flower delivery is completely anonymous. The sender's name "&amp;"is reported only with the permission of the customer or if it is indicated in the message. How quickly are you contacting me after placing the order? Our managers call back within 10-15 minutes. After placing an order. If the order was placed after 22:00,"&amp;" then the manager will call you back at 9: 00. The painted roses are living? Flowers of turquoise blue green gold silver blue purple and black colors are natural fresh flowers that are covered with special floral paint. It does not smell and does not harm"&amp;" the colors and also it is hypoallergenic for a person. Does the paint so smell? Floristic paint does not have a smell so we additionally aromatize the painted buds with a pleasant flower aroma. Do you send a photo of the order? Yes, by readiness we will "&amp;"be sent to you photo And then we will transfer to delivery. If you have any comments on the order, then we will definitely take them into account. Do you have bonuses? Yes. For registered users of our site, we have a bonus system. For each order, bonuses "&amp;"are charged to you that you can pay in the future up to 30% of the order of the order. More for more than 169 09/22/09.2023, a blog of which bouquet to give a young child in the garden for the day of the teacherburn - always the subject of the unrest of p"&amp;"arents. We ask about how much a child is comfortable in the walls of a preschool institution whether he communicates well with the team whether he behaves with dignity and how developing. Meanwhile, about people who surround him, as a rule, his parents th"&amp;"ink in the second place; As if the whole world is spinning around boys and girls! But think about those who surround him who creates for a child in the garden a wonderful atmosphere of understanding the concern of a real childhood? Read more 125 09/22/202"&amp;"3 Blogpupular flowers on September 1: the choice and values ​​of the vestibule of a special holiday - we want to tell you non -banally about how to choose the right bouquet of flowers. Someone will want to make a significant gift to their teacher and some"&amp;"one-to express admiration for a colleague. The point here is not quite in the donor and its reasons, but in the one to whom this gift will be awarded. Read more 525 12.01.2023 Blogging flowers give a man on February 23? If you give flowers to men, then on"&amp;" their main holiday. On February 23, we celebrate the Defender of the Fatherland Day. Why is this date and who can be congratulated? We look at all articles in Moscow and the Moscow Region -Aprilovkabalashikhaviwa -Distyzdzerzhinsky Dolgoprudno -Modemodov"&amp;"odovykhukovsky Zelegradihogradihradovankarolovnikarolobnilobnilovyltykinolutsomoskomoskodolovopushkhoskhoskhoskhumnoranovskhumnimoschisychisychischelovykhchischelovykhchischertskhchischychischert. Log Flower Rozylpano -Pyanolpaniynesynculuslyusyusyusyusyu"&amp;"santhemenets in the gorobedin mamyvip bouquet bouquets according to photographic customers of the dosage -conduco -navigable -conkontaktechcus and answers to make an ordering for flowering -goods subscription successfully designed 5%! Subscribe to our new"&amp;"s and promotions! And get a promotional code for a 5%discount to subscribe. Moscow st. Kirovogradsk 38 bldg. 1 work from 10:00 to 19:00 Tel.: 8-800-200-40-42 WhatsApp: +7-926-780-53-74MSK@venusinfleurs.ru, we will have in touch: Our Order rating in Yandex"&amp;" acceptimum for payment: © 2017 -2023 Venus in Fleurs - Flower delivery in Moscow IP Evgenia Svyatoslavovna TIN 772471387074 OGRNIP 317774600575112 Program Cardycatalogs")</f>
        <v>Flower delivery in Moscow | Order a bouquet of fresh flowers to the house in the Venus in Fleurs online store (metro Prague metro) about Nasaraniyanash Commandar-Visitavka-Slapakak, make custom-made calls and answers of the Ovali Kontaktysobraki on the photo of the business the largest store delivery store in Moscow 0 8-800-200-40-42 free of charge in Russia PN. -BC: from 9 to 22 8-800-200-40-42 The main office +7-495-003-21-51 navigate the WhatsApp +7-926-780-53-74 telegram @venusinfleurs_msk instagram @ @ @ @ @ @levusinfleurs. Working mail msk@venusinfleurs.ru Address Moscow st. Kirovogradsk 38 bldg. 1 Enter catalog autumn bouquets of compositionVIP bouquets 199-authoric 122-class 384insta Bouquets 188 Popular 240CAID BUIKS 125 MIKS 792 Flows 74books 122books with logo 22-BUSK-BUKETS 166 CETS 59 TO MUSKOLAD BUIKS 136MONOL DCA 154 MIKSS FILS in a box of 147 mini-boots 310 MIKS FROM FLOWERS 31Romanic 194 painted 200-seled 49Po flowering 263 Bureza 55 -bended 117 Glutic 49 yellow 92 green 25 -oral 55Koral 56Kophene 32 red 127 -core 32maline 44 -rhranium 49 -rifle 22 28 -silver 28 -sized 57Fiocell 43pat type Packaging. 8V white box 573V Black box 251books in a 30 -glass box box 6po season, season 139 -core 166 -year -old 157 -rich 142 price up to 5,000 r. 210 with 5,000 p. up to 7,000 p. 278 with 7,000 p. up to 10,000 p. 365 with 10,000 p. 599						Цветы													Сезонные предложения 142Альстромерия 68Амариллис 15Антирринум 10Верба 2Гвоздики 115Георгины 41Герберы 60Гиацинты 52Гипсофила 26Гладиолусы 22Гортензии 97Дельфиниум 28Ирисы 35Каллы 70Краспедия 14Лаванда 10Лагурус 29Лилии 30Лимониум 3Лотос 6Маттиолы 57Мимоза 31Нарциссы 25Озотамнус 17Орхидеи 153Пионы 94Подсолнухи 29Протея 11Пшеница 16Ранункулюсы 42Розы 374Ромашки 54Сирень 12Статица 15Сухоцветы 45Трахелиум 7Тюльпаны 110Фрезии 63Хлопок 42Хризантемы 103Эвкалипт 69Эрингиум 8Эустомы 77						Пионы													По Flower -free peonies 33 red peonies 4zor peonies 42Koral peonies 9 -pional peonies 14 -piona MIX 52 pionoles 9 piono 1325 peonies 2751 Pion 19101 Pion 13 compilations in the box 36piones 10 roses roses9 rose 10919 Rose 9225 Rose 9225 Rose Rosa 9225 Rose Rose 9225 Rose Ros Z 10729 roses 11231 Rose 12941 Rose 14051 Rose 24481 rose 201101 rose 243131 Rose 29151 Rose 1320151 rose 13301 rose 18501 rose 161001 rose 9 -compound9 roses in a box of 3615 roses in a box 4325 roses in a box 6431 rose in a box 7251 rose in the box in the box 18920 Outode in the box 19 under the tape 58V Kashpo 17V Box 416V BASK 30V shara 54C 32C 32C named after 59 Service 154. Flower -down 161 -bruise 50 brogride 171 -grade 35 gyrel 15 golden 50 -ore 50 -rifle 28 red 145 -cream 26maline 18mix 98 -radial 7 -rhiz 130 -sustained 31 -sized 37fiolet 34 -black 41 POSICAL 95 -pioneer 75 -Elite 128po size 60 cm 7170 cm 980 cm 690 cm 3100 SM 2120 cm 2150 cm 1200 cm 1 tulips on flowering tulips 50 yellow tulips 24 red tulips 23-rifle tulips 45fiolet tulips 32 red-white tulips 5-pioneer tulips 51-buses51 tulip 26101 tulpan 920 Pan 5 -compartment Tulpany in a box of 42 cords of tulips 10th -large bouquet of tulips 22 Gifts of rose petals 3 postcards 22 Countries 27 accents 46 Shades of 30 clubs in chocolate 18 photographs 5 who grandmother 250 Druk 212 Druzes 301 colleagues 204 Lyongers 328mamm 321muzhchina 64 auresteum 63 Papapa 142 reic leadership 210 seser 288 Summer 299 Center for Master Calendar 25 0lite birthday 267 Evil 174 years old 179 ITUM 278NOLSELA 180 Propement of the child 230 session 166 SCARITION 154 SPASibo 165 TRARURURARY 188V Theater 10V 00B shares 00V The basket is empty! Hits Sales Correlations in the boxing why are we? Payment of Dolyamin 4 months from Tinkoff. In 3 times more resistant assembly in our hat boxes allows roses to stay fresh and delight you 3 times longer than usual. Paid delivery courier service will quickly deliver your bouquet to any point in the city. Photo before sending Bouquet before sending you to accurately be convinced that the bouquet is like it is necessary. The manner for each order for each order we give a gift that will perfectly complement the bouquet. Consistent design will be appreciated by the dignity. The daily purchase of fresh color will delight you from 7 to 14 days. If you You will not like the bouquets you will inform us about this within a day We will change it for free. Delivery of flowers in Moscow Popularity Catalogen Mammynsennets of Birthday of the Bukesimonomonomno -Buyplars in the boxing of corporate customers of the flower bouquets of the flowing Sytomiks Filter -filtering. Lier -earned -bonded zelegular zelegular -glue -lung -mesh -sulfide -sulfur -sulfurial -sulfurial -esophysum -mes -mesh -meshodyneineyneine -male -bearing -packed -up type packaging type Packing Kibuket under the packets of a round box of hearts of Carcasses of Glass Kashpov. Korobkev black boxes of white box and clean the type of flowers type of flowers of flowers -cardicirhideigerchideygsygorteneniylyxiclyucyuplymaskakakakakakakakakhlytulpany -rhizanthemony -oustemyolphyolsyolysomatylygipsophilnarciagiagiacyazyegiacyazyeziyazyegiacyazyegiacyegiacylumeliylumelicemichelumeliolumelicemiacin Mantirrinumclinumspediyalawavvandaamarillismimosalimosalimonium-dimenskagramliptracli-nomede-native-nuclear-navlopyrengoleshumsuhsukhsukhsukhsukhsarobseronyaronikarosasazatamyatamosatamysatamyta bouquets of bouquets of mudwall bouquets of flowing-free-art-vehicles made of kinderma Bouquets with logoibribusiness-boobs with chocolate bouquets Bride bouquet bouquet bouquets of cerebral flowers in the boxing-bugs from flowers of excellent-painted sexual-aged bouquet bouquet bouquet to prepare our sentences our sentences of our sentences of our proposals Clean the height of the bouquet bouquet height60 cm70 cm80 cm90 cm100 cm120 cm15 cm150 SM-clean the number of flowers The number of colors915-1925-294151511151151201512012513014014015011001 CEENED to whom kOMMUMEMELUBIMOLUBRUMOURECHECHARUKOLYARUKURUMENEMSYAMSYAMSYAMAMOKOLAMEMMUMUMEMAMEMMUMUMEMMUMEMAMUMMUMEMMUMUMUMUMUMUMUMUMUMUMUMUMUMUMUMUMUMUMUMUMUMYy Wipe the filters Choosing a buyer of a chitrazer: 25 cm.25 cm. Composit of the bouquet: 29 roses select the required amount of 9 pcs. - 3 990 ₽ 19 pcs. - 5 690 ₽ 29 pcs. - 6 890 ₽ 41 pcs. - 8 790 ₽ 51 pcs. - 10 390 ₽ 81 pcs. - 15 790 ₽ 101 pcs. - 18 590 ₽ 151 pcs. - 27 490 ₽ 201 pcs. - 35 490 ₽ Little roses in Korobkekashbek 1903 990 ₽ order NEW sizes: 30 cm .50 - 60 cm. Buket -set: 29 roses of the orchid, select the required amount of 9 pcs. - 4 190 ₽ 19 pcs. - 5 990 ₽ 29 pcs. - 7 890 ₽ 41 pcs. - 10 190 ₽ 51 pcs. - 11 590 ₽ 81 pcs. - 17 190 ₽ 101 pcs. - 20 090 ₽ 151 pcs. - 30 890 ₽ 201 pcs. - 37 990 ₽ Creound roses with white orchids in bouquetkeshback 2004 190 ₽ ordering cunning: 25 cm. 25 cm. Steas of the bouquet: 51 dendrobium orchid, choose the required amount of 29 pcs. - 5 090 ₽ 51 pcs. - 7 490 ₽ 81 pcs. - 11 590 ₽ 101 pcs. - 13 490 ₽ 151 pcs. - 20 390 ₽ 201 pcs. - 25 090 ₽ orchids "Dandrobium" in Korobkeshbek 2505 090 ₽ order the size: 35 cm.50 - 60 cm. Bukete (10 Eusta 1 Hydension 25 Rose Lagurus, select the required amount of 45 pcs. - 13 190 ₽ Author bouquet No. 14 Kashbek 65013 190 ₽ price: 12 690 ₽ Order Promotion: 20 cm. 25 cm. Bukete Stef: 9 roses 1 pc Nutella 1pc Kinder Surprise and Kinder Chocolate (9 pcs) 1 Mishka select the required amount of 21 pcs . - 5 390 ₽ Complement with pink rosamikashbek 2605 390 ₽ price: 4 890 ₽ order cunning: 30 cm. 25 cm. Stef bouquet: 51 rose, select the required amount of 41 pcs. - 8 790 ₽ 51 pcs. - 10 390 ₽ 81 pcs. - 15 790 ₽ 101 pcs. - 18 590 clientefani with white "Tiffany Love" cashback 4308 790 ₽ there is no use of size: 25 cm. 25 cm. Buket -sustain: 19 pionov select the required amount of 19 pcs. - 17,390 ₽19 Pions "Softness" in Korobkeshbek 86017 390 ₽ price: 16 390 ₽ order cunning: 30 cm. 25 cm. Bukete Stef: 51 rose, select the required amount of 51 pcs. - 10 390 ₽ 81 pcs. - 15 790 ₽ 101 pcs. - 18 590 ₽ 201 pcs. - 35 490 ₽fiolet roses in the box "Luxury Heart" cashback 51010 390 ₽ order cunning: 40 cm. 50 cm. Buketa: 7 orchids 31 rose 30 bush roses 20 euste 1 hydrangea 1 gold sheet 11 Hypericum select the required amount of 51 pcs. - 17 890 ₽ 101 pcs. - 27 390 ₽ 181 pcs. - 46 290 ₽ Bouquet "Wild Passion" Cashback 89017 890 ₽ order cunning: 40 cm. 50 See bouquet: 100 roses 1 branch of the orchid, select the required amount of 51 pcs. - 11 090 ₽ 101 pcs. - 21 290 ₽ 151 pcs. - 31 590 ₽ 251 pcs. - 49 390 ₽ Tiffany with orchideyamykashbek 55011 090 ₽ order cunning: 40 cm. 40 cm. Stef bouquet: 28 roses 13 orchids, select the required amount of 29 pcs. - 7 890 ₽ 41 pcs. - 10 290 ₽ 151 pcs. - 31 990 ₽ 251 pcs. - 43 290 ₽ Bouquet of roses and orchids in Korobkekashbek 3907 890 ₽ order cunning: 20 cm. 35 cm. Stef bouquet: 3 hydrangeas select the required amount of 3 pcs. - 4 690 ₽ 5 pcs. - 6 590 ₽ 9 pcs. - 10 590 ₽ 19 pcs. - 20 190 ₽ 29 pcs. - 29 590 ₽ 51 pcs. - 50,590 ₽ healing in the hats Korobkeshbek 2304 690 ₽ ordering the all -authoric bouquet of size: 45 cm. 50 - 60 cm. Bukete component: 10 Herber 25 cloves 10 Matthiol 10 Kraspedii Pen Pen, choose the required amount of 65 pcs. - 26 590 ₽ Author bouquet No. 22 Kashbek 132026 590 ₽ price: 25 590 ₽ order the size of the size: 35 cm. 40 - 50 cm. Bouquet components: 5 roses 10 eusta 6 bush pionoid roses Lagurus Eucalyptus select the required amount of 21 pcs. - 11,290 ₽ Author bouquet No. 17 Kashbek 56011 290 ₽ price: 10 790 ₽ order the size of the size: 35 cm. 60 cm. Stef bouquet: 5 large chrysanthemums 10 Delphinium 1 Hydrangea 15 roses select the required amount of 31 pcs. - 12 990 ₽ Author bouquet No. 1keshbek 64012 990 ₽ price: 12 490 ₽ Order the size of the size: 35 cm. 60 cm. Stef bouquet: 5 orchids 20 rose roses gold leaf select the required amount of 25 pcs. - 12 490 ₽ Author bouquet No. 13Kashbek 62012 490 ₽ price: 11 990 ₽ order cunning: 35 cm. 50 cm. Steas of the bouquet: 20 cloves 21 rose 10 Eusta Greens select the required amount of 51 pcs. - 13 590 ₽ 81 pcs. - 20 390 ₽ 151 pcs. - 34 890 ₽ Bouquet "Beautiful moment" cashback 67013 590 ₽ order the size of the size: 35 cm. 60 cm. Stef bouquet: 20 cloves Lagurus 1 Gornia 16 roses select the required amount of 37 pcs. - 9 790 ₽ Author bouquet No. 3Kashbek 4809 790 ₽ price: 9 290 ₽ order cunning: 35 cm .50 - 60 cm. Bukete Stef: 10 Matthiol 10 pionivate roses 10 bush roses 10 calicalipt select the required amount of 41 pcs. - 18 990 ₽ Author bouquet No. 28Kashbek 94018 990 ₽ order the size of the size: 35 cm. 60 cm. Stef bouquet: 5 bushy chrysanthemums 5 roses 5 euste dry flowers select the required amount of 15 pcs. - 7 890 ₽ Author bouquet No. 10 Kashbek 3907 890 ₽ price: 7 390 ₽ order the size of the size: 35 cm. 60 cm. Stef bouquet: 20 cloves. 10 roses eucalyptus 1 succulent dry flowers select the required amount of 31 pcs. - 10 490 ₽ Author bouquet No. 7Kashbek 52010 490 ₽ price: 9 990 ₽ Order the size of the size: 35 cm. 60 cm. Bukete (10 pionic roses 9 roses eucalyptus, select the required amount of 19 pcs. - 10 390 ₽ Author bouquet No. 8Kashbek 51010 390 ₽ price: 9 890 ₽ order the size: 100 cm. 60 - 70 cm. Buketee: 30 orchids of dendrobium 4 bureau 10 carzantems 1 Grudik 1 Hodge Greens Greens Ruscuspot Pampasy Grass Select the required amount 45 PC. - 35 690 ₽ Author bouquet No. 18 Kashbek 178035 690 ₽ order the size: 40 cm. 50 - 60 cm. Bukete (29 roses 10 Caloniki 10 Veronica 10 orchids Falenopsis 1 Proteus 1 Pride Ruskus Select the required amount 61 pcs. - 18 990 ₽ Author bouquet No. 25KashBEK 94018 990 ₽ price: 18 490 ₽ ordering the entirety in the box in the presence of size: 50 cm. Bukete: 10 Piono 38 roses 3 g. Eucalyptus gold leaves, select the required amount of 51 pcs. - 22 590 ₽ 101 pcs. - 39 090 ₽ 201 pcs. - 64 390 ₽ the bouquet "Good Morning" in Korobkekashbek 112022 590 ₽ order the size of the size: 40 cm. 25 cm. Stef bouquet: 131 rose select the required amount of 131 pcs. - 22 790 ₽131 rose - crown on the black vonkeshbek 113022 790 ₽ price: 21,790 ₽ ordering cunning: 45 cm. 55 cm. Stef bouquet: 81 rose 20 Eusta Greens select the required amount of 51 pcs. - 12 790 ₽ 101 pcs. - 22 090 ₽ 151 pcs. - 32 390 ₽ flowing composition "Chic delicate mix" cashback 63012 790 ₽ order cunning: 15 cm. Smel. Bouquet: 15 orchids, select the required amount of 15 pcs. - 6 290 ₽ 29 pcs. - 10 590 ₽ 51 pcs. - 16 990 ₽ 81 pcs. - 26 790 ₽ 101 pcs. - 32 390 ₽ Rozed orchids in a hat box for Tatyana's Day Kashbek 3106 290 ₽ Order the size of the size: 100 cm. 25 cm. Bouquet components: I box - 51 rose heart box - 101 rose y - 51 rose, select the required amount of 201 pcs. - 32 090 ₽i love you from roses in a box on the day of the Valentine Kashback 160032 090 ₽ price: 31 090 ₽ order the size of the size: 40 cm. Buketa: 10 chrysanthemums 20 roses 5 orchids 7 kinders 5 kinders of chocolate 3 nuttla Mishka 1 pcs . Eucalyptus select the required amount of 51 pcs. - 16 190 ₽ Dicked -up orchid with sweets with sweets 80016 190 ₽ price: 15 190 ₽ ordering cunning: 30 cm.25 cm. Stef bouquet: 51 rose, select the required amount of 51 pcs. - 10 390 ₽ 81 pcs. - 15 790 ₽ 101 pcs. - 18 590 ₽ 201 pcs. - 35 490 ₽ White roses with the date "Gold Date" cashback 51010 390 ₽ order cunning: 40 cm. Support of the bouquet: 10 orchids 46 roses 5 chrysanthemums of 50 tulips of 20 bushes, select the required amount of 51 pcs. - 13 590 ₽ 131 pcs. - 27 390 ₽ 251 pcs. - 49 690 ₽ flowing composition "Wild orchid" cashback 67013 590 ₽ order cunning: 25 cm.25 cm. Stef bouquet: 29 roses select the required amount of 19 pcs. - 5 090 ₽ 29 pcs. - 6 490 ₽ 41 pcs. - 8 490 ₽ 51 pcs. - 9 990 ₽ 81 pcs. - 15 590 ₽ 101 pcs. - 18 390 ₽ 151 pcs. - 27 790 ₽ 201 pcs. - 34,890 ₽ Comrella roses in the box - from 19 Stkeshback 2505 090 ₽ order: 25 cm. 25 cm. Stef bouquet: 29 roses of the orchid, select the required amount of 19 pcs. - 4 990 ₽ 29 pcs. - 6 390 ₽ 51 pcs. - 9 790 ₽ 101 pcs. - 18 190 ₽ 201 pcs. - 33 590 ₽ Comosition "Lovely Luxury" with dendrobium in Korobkekashbek 2404 990 ₽ order the Promotion: 20 cm. 25 cm. Stef bouquet: 15 roses select the required amount of 15 pcs. - 4 790 ₽15 turquoise roses with gold in Korobkeshbek 2304 790 ₽ price: 4 490 ₽ order cunning: 45 cm. 50 See bouquet: 30 dendrobium 20 orchids 20 rose 20 hyacinths, select the required amount of 51 pcs. - 11 490 ₽ 101 pcs. - 20 190 ₽ 201 pcs. - 34 490 ₽ Flower composition "Blue Laguna" Cashback 57011 490 ₽ ordering everything why we? About the immunity of the Employment of the Great Guarantee, the Venus in Fleurs Nasflorists collect classic bouquets from 5 to 1001 flower - round vertical free shape. Find unique combinations of colors-not just mixes, but spectacular minimalistic designs in two or three shades. They choose unusual colors: Tiffany Golden Green Green bright purple, etc. They develop a unique design for a specific reason. The store presents a large assortment of compositions in boxes: in the form of a ball; with a date; with an inscription; with a company logo. Florists with great work experience will repeat even a complex symbol each flower will be exactly in its place. Delivery with your own transport - not a single bud will suffer. In more detail about the survival of flowers in Moscow at home and to the office. We are inexpensively traveling around the Moscow region. Find the addressee even if you know only the phone number or WhatsApp. A metro meeting is possible. To the order, you can add a personal message with an emoji photo to attach a gift. We will put the bouquets quickly - within three hours. An urgent delivery of the Courier arrival is possible by accurate time the cost of 800 rubles. Anonymous delivery. We will maintain confidentiality even if a person tries to bribe a courier. VIP dodging. If you do not have time to choose flowers in the online store, entrust this to the florists. You only need the contact details of the recipient's wishes for the design. A report to the messenger or e -mail will come about the delivered bouquet. More about the delivery of color -pretense of 3000 stylish bouquet flowers - there are no golden blue analogues on the Russian market. Fores before sending 300 bonus rubles from each purchase of 300 bonus installments from Tinkoffhantye, the order did not arrange the recipient. Lithuania Photo of the composition and describe the problem. If the composition does not comply with the composition, we will return the money or replace the goods. When delivering to accurate time, the maximum time of the delay of the courier does not exceed 10-15 minutes. We maintain the confidentiality of personal data. A check with a confirmation of payment is sent to e -mail. Have you noticed how beautiful a woman with a bouquet is in her hands? Birthday Buy Bouquet Buying Buildings to the Bride theater Explode Reviews about the delivery of flowers in Moscow WhatsAppyandex Google 2GIS to see all our bouquets with satisfied customers Contacting House address in Moscow: 117534 Moscow st. Kirovograd house 38 bldg. 111 min. On foot from m. "Prague" contacts for communication: phones throughout Russia: 8-800-200-40-42 Mobile: 79267805374 WhatsApp: 79267805374 Email: msk@venusinfleurs.ru Office Disse Contact center work: from 09 - 22:00 hours of personal managers in chat: from 09 - 22:00 on corporate services: phones throughout Russia: Mobile: 79267805374 WhatsApp: 79267805374 Email: msk@venusinfleurs.ru 9:00 to 22:00 Questions and answers to place an order for flowing flowers? To place an order, select a bouquet of the number of flowers and click on the “In the basket” button. Fill in the information you know and select the desired payment method. You can also write to call our managers in WhatsApp or Telegramkak Pay the order? You can pay for the order using the Apple Pay Google Pay bank card Yandex. Money QIWI PAYPAL Cash Courier. For legal entities, payment for non -cash payment is provided - for this, leave a request on msk@venusinfleurs.ru how much is delivery? If the order cost is below 3500 rubles - delivery is paid separately in the amount of 500 rubles in any hourly interval from 9.00 to 20.00 - free of charge. The hourly interval from 20.00 to 00.00 - 500 rubles in any hourly interval from 00.00 to 9.00 - 1000 rubles. Delivery outside the Moscow Ring Road of up to 5 km - 500 rubles. Next, 50 ₽ / 1 kmkak will quickly deliver a bouquet? We will deliver you a bouquet within 3-4 hours from the date of placement of the order. Depending on the road situation, the presence of colors, etc. Delivery time can change slightly. How can I find out that the bouquet is delivered? We will contact you convenient for you and notify you about delivery. Do you get a bouquet if I do not know the address? Of course. You can provide any way you know with the recipient. We will contact him (her) and delicately clarify all the information on delivery. Is there any delivery to other cities? We deliver a bouquet within 100 km. For the Moscow Ring Road. The manager of our company will tell in specific cities. Is an anonymous delivery is possible? Flower delivery is completely anonymous. The sender's name is reported only with the permission of the customer or if it is indicated in the message. How quickly are you contacting me after placing the order? Our managers call back within 10-15 minutes. After placing an order. If the order was placed after 22:00, then the manager will call you back at 9: 00. The painted roses are living? Flowers of turquoise blue green gold silver blue purple and black colors are natural fresh flowers that are covered with special floral paint. It does not smell and does not harm the colors and also it is hypoallergenic for a person. Does the paint so smell? Floristic paint does not have a smell so we additionally aromatize the painted buds with a pleasant flower aroma. Do you send a photo of the order? Yes, by readiness we will be sent to you photo And then we will transfer to delivery. If you have any comments on the order, then we will definitely take them into account. Do you have bonuses? Yes. For registered users of our site, we have a bonus system. For each order, bonuses are charged to you that you can pay in the future up to 30% of the order of the order. More for more than 169 09/22/09.2023, a blog of which bouquet to give a young child in the garden for the day of the teacherburn - always the subject of the unrest of parents. We ask about how much a child is comfortable in the walls of a preschool institution whether he communicates well with the team whether he behaves with dignity and how developing. Meanwhile, about people who surround him, as a rule, his parents think in the second place; As if the whole world is spinning around boys and girls! But think about those who surround him who creates for a child in the garden a wonderful atmosphere of understanding the concern of a real childhood? Read more 125 09/22/2023 Blogpupular flowers on September 1: the choice and values ​​of the vestibule of a special holiday - we want to tell you non -banally about how to choose the right bouquet of flowers. Someone will want to make a significant gift to their teacher and someone-to express admiration for a colleague. The point here is not quite in the donor and its reasons, but in the one to whom this gift will be awarded. Read more 525 12.01.2023 Blogging flowers give a man on February 23? If you give flowers to men, then on their main holiday. On February 23, we celebrate the Defender of the Fatherland Day. Why is this date and who can be congratulated? We look at all articles in Moscow and the Moscow Region -Aprilovkabalashikhaviwa -Distyzdzerzhinsky Dolgoprudno -Modemodovodovykhukovsky Zelegradihogradihradovankarolovnikarolobnilobnilovyltykinolutsomoskomoskodolovopushkhoskhoskhoskhumnoranovskhumnimoschisychisychischelovykhchischelovykhchischertskhchischychischert. Log Flower Rozylpano -Pyanolpaniynesynculuslyusyusyusyusyusanthemenets in the gorobedin mamyvip bouquet bouquets according to photographic customers of the dosage -conduco -navigable -conkontaktechcus and answers to make an ordering for flowering -goods subscription successfully designed 5%! Subscribe to our news and promotions! And get a promotional code for a 5%discount to subscribe. Moscow st. Kirovogradsk 38 bldg. 1 work from 10:00 to 19:00 Tel.: 8-800-200-40-42 WhatsApp: +7-926-780-53-74MSK@venusinfleurs.ru, we will have in touch: Our Order rating in Yandex acceptimum for payment: © 2017 -2023 Venus in Fleurs - Flower delivery in Moscow IP Evgenia Svyatoslavovna TIN 772471387074 OGRNIP 317774600575112 Program Cardycatalogs</v>
      </c>
    </row>
    <row r="292">
      <c r="A292" s="1" t="s">
        <v>883</v>
      </c>
      <c r="B292" s="1" t="s">
        <v>943</v>
      </c>
      <c r="D292" s="1">
        <v>16.0</v>
      </c>
      <c r="E292" s="4" t="s">
        <v>944</v>
      </c>
      <c r="F292" s="1" t="s">
        <v>16</v>
      </c>
      <c r="I292" s="2">
        <v>1.0</v>
      </c>
      <c r="J292" s="5" t="str">
        <f>IFERROR(__xludf.DUMMYFUNCTION("GOOGLETRANSLATE(A292)"),"Gypsophyla")</f>
        <v>Gypsophyla</v>
      </c>
      <c r="K292" s="6" t="str">
        <f>IFERROR(__xludf.DUMMYFUNCTION("GOOGLETRANSLATE(B292)"),"Bouquet of gypsophiles C - buy in Grozny for 2950 rubles.")</f>
        <v>Bouquet of gypsophiles C - buy in Grozny for 2950 rubles.</v>
      </c>
      <c r="L292" s="5" t="str">
        <f>IFERROR(__xludf.DUMMYFUNCTION("GOOGLETRANSLATE(C292)"),"#VALUE!")</f>
        <v>#VALUE!</v>
      </c>
      <c r="M292" s="5" t="str">
        <f>IFERROR(__xludf.DUMMYFUNCTION("GOOGLETRANSLATE(G292)"),"#VALUE!")</f>
        <v>#VALUE!</v>
      </c>
    </row>
    <row r="293">
      <c r="A293" s="1" t="s">
        <v>883</v>
      </c>
      <c r="B293" s="1" t="s">
        <v>945</v>
      </c>
      <c r="C293" s="1" t="s">
        <v>946</v>
      </c>
      <c r="D293" s="1">
        <v>17.0</v>
      </c>
      <c r="E293" s="4" t="s">
        <v>947</v>
      </c>
      <c r="F293" s="1" t="s">
        <v>16</v>
      </c>
      <c r="G293" s="1" t="s">
        <v>948</v>
      </c>
      <c r="H293" s="4" t="s">
        <v>949</v>
      </c>
      <c r="I293" s="2">
        <v>1.0</v>
      </c>
      <c r="J293" s="5" t="str">
        <f>IFERROR(__xludf.DUMMYFUNCTION("GOOGLETRANSLATE(A293)"),"Gypsophyla")</f>
        <v>Gypsophyla</v>
      </c>
      <c r="K293" s="6" t="str">
        <f>IFERROR(__xludf.DUMMYFUNCTION("GOOGLETRANSLATE(B293)"),"Order a gypsophile with free delivery")</f>
        <v>Order a gypsophile with free delivery</v>
      </c>
      <c r="L293" s="5" t="str">
        <f>IFERROR(__xludf.DUMMYFUNCTION("GOOGLETRANSLATE(C293)"),"We deliver gypsophila in Moscow in 2 hours. Free note to the bouquet. Possible pickup is possible. Choose.")</f>
        <v>We deliver gypsophila in Moscow in 2 hours. Free note to the bouquet. Possible pickup is possible. Choose.</v>
      </c>
      <c r="M293" s="5" t="str">
        <f>IFERROR(__xludf.DUMMYFUNCTION("GOOGLETRANSLATE(G293)"),"Flower delivery in Moscow 💐 | Order flowers inexpensively at home payment 5% cashback with an ordering corporate customer contacttors store to buy ... enter the city of Moscow st. Big Semenovskaya 11s3 +7 (977) 113-79-41 Write in WhatsApp +7 (495) 414-20"&amp;"-70 +7 (800) 301-92-14 of Russia for free call from 6: 00-24: 00 Price flowers Up to 1000 rubles in terms of 2000 rubles to 3000 rubles. In terms of 4000 rubles. In terms of 5000 rubles. In terms of 6,000 rubles. Promotes up to 7000 rubles. In terms of 80"&amp;"00 rubles. In terms of 10,000 rubles. Flowers of Alstromariyanemonemonemonemonemonyminemobygerty -Glasyolishegineyxyeihortenziylilinarhyliasorchidsorchypioneshipio -Suppyulus -and -zyrizhishopsofiladapasophastapastyulpainadapastyulpastyulpastyulpastyulsan"&amp;"temoma rose, a composition of rosrosis from a rosrosis to Kolbipo's amount of roses Rose roses roses rose21 rose25 rose25 rose Rosypersic retractable draws of drawing draws of bush rosque roses in boxing roses into basket roses in the boxpionovid rospioni"&amp;"c roses in the boxesinovid roses in the basket roses in the box of peony peony according Happy Birthday to the Barrow Pionois Pionois Pionois Piono -Red Pion Pion peonies Sweetness Pionomakaruny Karammelkek Popskonfets and Chocolate gifts Slide -Boarded c"&amp;"aramelkek Popskonfets and chocolate pionoshara helium -melted toys of open -strings to the bouquet of the composition Buckets in the basket in the boxes in the cerebrospinal fluids in the cerebrospinal fluids. rub. Claims up to 3,000 rubles to 4000 rub. ."&amp;" Flowers up to 6,000 rubles to 7,000 rubles to 8,000 rubles. In terms of 10,000 rubles. Flowers of Alstromariyanemonemonemonemonemonyminemobygerty -Glasyolishegineyxyeihortenziylilinarhyliasorchidsorchypioneshipio -Suppyulus -and -zyrizhishopsofiladapasop"&amp;"hastapastyulpainadapastyulpastyulpastyulpastyulsantemoma rose, a composition of rosrosis from a rosrosis to Kolbipo's amount of roses Rose roses roses rose21 rose25 rose25 rose Rosypersic retractable draws of drawing draws of bush rosque roses in boxing r"&amp;"oses into basket roses in the boxpionovid rospionic roses in the boxesinovid roses in the basket roses in the box of peony peony according Happy Birthday to the Barrow Pionois Pionois Pionois Piono -Red Pion Pion peonies Sweetness Pionomakaruny Karammelke"&amp;"k Popskonfets and Chocolate gifts Sweetimacarous Karammelkek Popskonfets and chocolate peonhars helium -melted toys of open -strings to the bouquet of the composition Buckets in the basket in the boxes in the cobblestone compositions deposited0 7) 113-79-"&amp;"41 nourish in WhatsApp+7 (495) 414-20-70s 6 : 00 to 24:00 (Moscow) +7 (800) 301-92-14 of Russia free of free action of the Council of price up to 1000 rubles up to 2000 rubles to 3000 rubles to 4000 rubles to 5000 rubles to 6000 rubles. Цветы до 7000 руб."&amp;"Цветы до 8000 руб.Цветы до 10000 руб.ЦветыНазадЦветыАльстромерииАнемоныГвоздикиГерберыГладиолусыГеоргиныГортензииИрисыЛилииНарциссОрхидеиПодсолнухиПионыРанункулюсыРозыРомашкиСухоцветНазадСухоцветГипсофилаЛавандаПампасТюльпаныХризантемыЭустомыРозыНазадРозы"&amp;"Композиция из розНазадКомпозиция из розБукеты из розРозы в коробкеРозы в корзинеРозы в колбеПо количеству розНазадПо количеству розЛепестки роз15 роз19 роз21 роза25 роз51 роза75 роз101 роза151 роза201 роза501 роза1001 розаПо высоте стебляНазадПо высоте ст"&amp;"ебляРозы 30 смРозы 40 Smoses 50 shifts 60 shmrosis 70 shreds 80 shreds 90 SMPOs with riconezadpo color. Roose drawn draws of draws of draws of draws of drawing drawing draws of rosynasadic rosacous rosybuket rosybuket rods. roses in basket roses in boxpio"&amp;"novid rosa -diodeovid pionoid rospionoid roses in boxing roses in baszyinepionic roses In the drawer of the pione -nasadpiones on the ramps of the birthday of a birthplace in the firing pioneer peony peony peony peony pion -red pionostinasadosadshocolid p"&amp;"ionomakaruyanized punishment and shocous -podsaddarkisaddarkislavazidnazadladostimaka Runned Caramelkeck Popskonfets and chocolate pionohars Helievemiyagi toys of the postcarcums of consultation for bouquet -composate aircraft Bookstock in the basket in t"&amp;"he boxes in the boxes in the cobbime -free compositions Personal cabinet of the basket0+7 (977) 113 (977) 113 (977) 113 (977) 113 (977) 113 (977) 113 (977) 113 (977) 113 (977) 113 (977) 113 (977) 113 (977) 113 (977) 11 -79- 41 write in WhatsApp+7 (495) 41"&amp;"4-20-70s 6:00 to 24:00 (Moscow) back celebrops+7 (495) 414-20-70s 6:00 to 24:00 (800) 301 301 -92-14PO of Russia Free Contact information Moscow st. Bolshaya Semenovskaya 11s3 office@mybloom.ru VKontakte Telegram 101 rose from 3045 rubles. The best variet"&amp;"ies of Kenya and Ecuador Promotion! 51 Rose from 1945 rubles. A large assortment of roses gifts and sweets of handmade Sweets Balls soft toys are our telegram @mybloom only there are bouquets at prices below than on the site! Free delivery in Moscow insid"&amp;"e the Moscow Ring Road when ordering from 3800 rubles. Free note to the bouquet will deliver in 2 hours from the moment of ordering a photo of the bouquet before sending at your request a promotion-fast viewing book of 9 wine chrysanthemums 140 rub. ) Cas"&amp;"hback 149 rub. -+In the basket of the basket, the action of the chittenship of the 11 rainbow gypsofilcashback 114 rubles? Article: 002237 2 275 rubles/pc3 072 rubles-35%Savings 797 rubles. -+In the basket of the basket, a hit-fast viewing of 29 red roses"&amp;" prestige (50 cm) cashback 164 rubles? Article: 002219 3 280 rubles/pcs3 772 rubles-15%Savings 492 rubles. -+In the basket of the basket of the action of the chitter-paid delivered view of the 15 Ranunkulus hanucashback 236 rubles? Article: 002144 4 715 r"&amp;"ubles/pcs5 423 rubles-15%Savings 708 rubles. -+in the basket of the basket of the hicitstarm of the hitnovinkabysty-sticked viewing of the 3 royal pro-flowers 122 rub.? Article: 0020322 445 rubles/p-+in the basket of the basket of a chita-consuming-based "&amp;"viewing book of 15 red roses (90 cm) Cashback 185 rubles: 001804 3 705 rubles// pc4 632 rub. 25%Savings 927 rubles. -+In the basket of the basket, quick viewing of Ecuador Luxcashback 23 rubbing? Article: 0017779465 rub./STET+in the basket of the basket, "&amp;"consulting delivery, Viewing Book 101 Kenyan Rosa Mix (40 cm) Cashback 426 rub.? Articule: 000895 8 510 rubles// pcs12 340 rub.-45%Savings 3 830 rubles. -+In the basket of the basket, quick viewing of 45 cute roses of Kenya (40 cm) cashback 130 rub.? Arti"&amp;"cle: 000645 2 600 rubles/pcs3 900 rub.-50%Savings 1,300 rubles. -+In the basket of the basket, popular bouquet-sautable delivered delivery of a 51 white rose (60 cm) cashback 297 rubles? Article: 0029615 940 rub./Stev+in a basket basket of the action of t"&amp;"he High and Pink Kusty Kusten Madlen Cashback 105 rub. ? Article: 002861 2 105 rubles/pc2 526 rubles-20%Savings 421 rubles. -+In the basket of the basket, a hitbum-paying delivery book of 101 red rose Naomi (40 cm) Cashback 427 rubles? Article: 002848 8 5"&amp;"35 rubles/pcs12 803 rubles-50%Savings 4,268 rubles. -+in a basket of the basket of a chitlevotemnovanka-paying delivery bouquet from hydrangeas pionoid roses of mysty Babblez and eucalypticback 296 rubles? Article: 0028155 910 RUB/STRT+In a basket basket,"&amp;" quick viewing of orchids with eucalyptuscashback 126 rub. ? Article: 0027562 515 rub. /STET+In a basket of the basket of the chita-consumed viewing11 red roses in crafting (40 cm) CashBack 69 rub.? Article: 0026501 385 rubles/SPET+in the basket of the hi"&amp;"t-saved delivered delivery of the Bella rose (40 cm) cashback 206 rub. Article: 002075 4 110 rubles/pc5 549 rub.-35%Savings 1,439 rubles. -+in the basket of the basket of a chita-consuming-fast viewing book of 51 Mix roses (30 cm) CashBack 145 rubles? Art"&amp;"icle: 001658 2 895 rubles/pc4 922 rubles-70%Savings 2,027 rubles. -+In the basket of the basket, a hitbum-paying delivery book of 101 roses mix (30 cm) Cashback 234 rub.? Article: 001656 4 670 rubles/pc6 772 rub.-45%Savings 2,102 rubles. -+In the basket o"&amp;"f the basket of a chita-consumer-fast viewing book of 5 hydrangeas, delicate mixCashback 137 rub. L: 0029665 345 rub. /STR-+In a basket of basket, the action of the HISTOMENTENEMENTENEMENT CARSTARY Box with gypsophiles Cashback 65 rubles? Article: 002950 "&amp;"1,290 rubles/pcs1 548 rub.-20%Savings 258 rubles. -+В корзинуВ корзине АкцияХитБесплатная доставкаБыстрый просмотрБукет 9 гортензий микс НежностьCashBack 213 руб.?Артикул: 0028644 255 руб./шт-+В корзинуВ корзине СоветуемНовинкаБыстрый просмотрБукет ""Ярки"&amp;"е чувства"" из роз (50 см)CashBack 113 руб.?Артикул: 0028442 265 RUB/SPET+In a basket of basket, a hitty-paying delivery book of 17 peonies with aromatic eucalyptuscashback 459 rub.? Article: 0028439 rubles/STET+in a basket of hutnovinkaby-salary delivery"&amp;" of peonies and schistacback 214 rubles? Article: 0028229 4 285 rub ./sht-mwrv, a basket of basket of a chitlevemovninka-saucer delivered Viewing box of coral peonies 2 937 rubles? Article: 00282658 730 rub./STET+In a basket of the basket adviser to the B"&amp;"unny View and Roseback 113 rubles? Article: 0028224 2 260 rub. +In the basket of the basket, a chita-Soviet-sautable delivery delivery bouquet of roses and peoniescashback 361 rubles? Article: 0028217 215 rub./Ste+in a basket of chitnovinkabystry-based vi"&amp;"ewing composition of stabilized hydrangea and dried flowers to vasacashback 184 rubles? Articulas? : 0028163 685 rubles/ SPET+in a basket basket Flower-free delivery delivery of the heart from orchidsashback 290 rub. 50 rub. In the basket of the basket, a"&amp;" hitbial-paying delivered viewing box with Miss PiggiCashBack 191 RUB RUB? Article: 00222003 810 rub./SPET+in the basket of the basket of rapid viewing in the luxury of the composition ""You are My SUNSHINE"" CASHBACK 142 rubles? 082 830 rub. /STR-+In a b"&amp;"asket basket, a quick-based widening office composition of gypsophiles in ceramic kashpocashback 46 rub.? Article: 001906915 rub./Ste+in a basket of chitnovinka-wing viewing with bus rosamicashback 148 rub.? Article: 0018712 96 96 96 5 rubles/pcs -+In the"&amp;" basket of the basket, a free delivered viewing with a gypsophila in a hat in the hat boxcashback 230 rub.? Article: 0017194 605 rub./Stev+in a basket of the basket, rapid viewing with tender feelings ... (25 cm) cashback 143? Articula: 0013802 850 RUB ./"&amp;"sht-mwarvs Walling the basket Free delivery of rose151 Rose in a huge hat box (50 cm) Cashback 686 rubles? Article: 00127513 710 rub./STET+In basket basket fast viewing of 25 Red Kenyan roses in the box (35 cm ) Cashback 138 rub. In the moment ”27 g. Cash"&amp;"back 19 rub. Hitnovinkabykaby-stroke candy candies Ferrero Rocher 200GRCASHBACK 57 rub. Walling the basket Fast Viewing School Pofigin 27gr .Cashback 19 rub. ER 125 UGCASHBACK 41 rub. Of the 7 chocolate peonbacks 45 rubles? Article: 001295905 rub./SPET+In"&amp;" the basket of the basket of flower delivery in Moscow, order flowers with delivery in Moscow, you can inexpensively in our online store - Mybloom.ru. When ordering from 3800 rubles, delivery is free. If you need to deliver a bouquet outside Moscow to the"&amp;" nearest suburbs, contact our manager to accurately calculate the cost of delivery. We have a large assortment of fresh fresh colors as well as various gifts that can complement your surprise - free note of the toppers soft toys helium balls and sweets. T"&amp;"he cost of delivery in Moscow and pickup amount of order Speeses Moscow (inside the Moscow Ring Road) Moscow and MO (for the Moscow Ring Road) up to 3800 Rules free delivery: 420 rubles. From 500 rubles an accurate calculation, check with the manager by p"&amp;"hone or online chat more than 3800 rubles for free delivery: for free, our city flower delivery service is ready to offer you the following services: delivery of flowers a day or office day or office is the standard wish of our customers. During the place"&amp;"ment of the order, you indicate the delivery address and time. We, in turn, will make everything possible that you ordered with delivery you get exactly the pictures at the specified time and place. Urgent flowers in Moscow by courier from us you can buy "&amp;"flowers and our courier service will deliver the order in 2 hours from the date of confirmation. We do not take additional payment for express delivery from you as our competitors do. Delivery by phone number if you decide to make a surprise and give a bo"&amp;"uquet of fresh flowers but do not know the address of the office or the house of the recipient, then this service is for you. During the placement of the order in the “Delivery” block, set the checkplace opposite the “Clarify the Address from the Recipien"&amp;"t”. Our manager will contact the recipient independently with a convenient place and time for courier delivery. After delivery, you will receive SMS - the status of the order - delivered. Anonymous delivery is suitable for you when you want to make a surp"&amp;"rise and remain incognito for the recipient. Write in a commentary on the ordered bouquet that you do not want to disclose your identity and we, in turn, will save this information secret. How to order flower delivery in the Mybloom.ru online store you ca"&amp;"n form an order through the site: Add you like the bouquet to the basket and go to the order; then carefully fill out all the necessary fields and after placing the order; within 5 minutes, wait for the call from our operator. He will say all the details "&amp;"on your order and if everything is correct, you will receive confirmation; after the bouquet of flowers is delivered, you will receive an SMS about the status of delivery of the bouquet. You can order a bouquet by phone: you can also call us on the phone "&amp;"and dictate all the details of the order - specify the article of the bouquet Address Address and the recipient’s phone and our manager will fill out information on orders instead of you and immediately confirm it. The workshop and the address is our stor"&amp;"e. Our store Located at: Moscow st. Big Semenovskaya 11s3 (for pickup) Schedule: from 7: 00-23: 00 seven days a week. Shoppowers and areas more discounts of navigation-related customers5% cashback-conditioning payment of delivery and the rules of return a"&amp;"lways up to date! Learn about discounts and promotions the first news of the store, stay in touch of VKontakte Telegram Our Contacts (495) 414-20-70 +7 (800) 301-92 (800) 301-92 301-92 301-92 -14th Russia for free +7 (977) 113-79-41 write in WhatsApp offi"&amp;"ce@mybloom.ru Moscow st. Bolshaya Semenovskaya 11c3 LLC Sheriff Inn 7709456710 | OGRN 1157746401010 | It is not a public offer to find 00 corn")</f>
        <v>Flower delivery in Moscow 💐 | Order flowers inexpensively at home payment 5% cashback with an ordering corporate customer contacttors store to buy ... enter the city of Moscow st. Big Semenovskaya 11s3 +7 (977) 113-79-41 Write in WhatsApp +7 (495) 414-20-70 +7 (800) 301-92-14 of Russia for free call from 6: 00-24: 00 Price flowers Up to 1000 rubles in terms of 2000 rubles to 3000 rubles. In terms of 4000 rubles. In terms of 5000 rubles. In terms of 6,000 rubles. Promotes up to 7000 rubles. In terms of 8000 rubles. In terms of 10,000 rubles. Flowers of Alstromariyanemonemonemonemonemonyminemobygerty -Glasyolishegineyxyeihortenziylilinarhyliasorchidsorchypioneshipio -Suppyulus -and -zyrizhishopsofiladapasophastapastyulpainadapastyulpastyulpastyulpastyulsantemoma rose, a composition of rosrosis from a rosrosis to Kolbipo's amount of roses Rose roses roses rose21 rose25 rose25 rose Rosypersic retractable draws of drawing draws of bush rosque roses in boxing roses into basket roses in the boxpionovid rospionic roses in the boxesinovid roses in the basket roses in the box of peony peony according Happy Birthday to the Barrow Pionois Pionois Pionois Piono -Red Pion Pion peonies Sweetness Pionomakaruny Karammelkek Popskonfets and Chocolate gifts Slide -Boarded caramelkek Popskonfets and chocolate pionoshara helium -melted toys of open -strings to the bouquet of the composition Buckets in the basket in the boxes in the cerebrospinal fluids in the cerebrospinal fluids. rub. Claims up to 3,000 rubles to 4000 rub. . Flowers up to 6,000 rubles to 7,000 rubles to 8,000 rubles. In terms of 10,000 rubles. Flowers of Alstromariyanemonemonemonemonemonyminemobygerty -Glasyolishegineyxyeihortenziylilinarhyliasorchidsorchypioneshipio -Suppyulus -and -zyrizhishopsofiladapasophastapastyulpainadapastyulpastyulpastyulpastyulsantemoma rose, a composition of rosrosis from a rosrosis to Kolbipo's amount of roses Rose roses roses rose21 rose25 rose25 rose Rosypersic retractable draws of drawing draws of bush rosque roses in boxing roses into basket roses in the boxpionovid rospionic roses in the boxesinovid roses in the basket roses in the box of peony peony according Happy Birthday to the Barrow Pionois Pionois Pionois Piono -Red Pion Pion peonies Sweetness Pionomakaruny Karammelkek Popskonfets and Chocolate gifts Sweetimacarous Karammelkek Popskonfets and chocolate peonhars helium -melted toys of open -strings to the bouquet of the composition Buckets in the basket in the boxes in the cobblestone compositions deposited0 7) 113-79-41 nourish in WhatsApp+7 (495) 414-20-70s 6 : 00 to 24:00 (Moscow) +7 (800) 301-92-14 of Russia free of free action of the Council of price up to 1000 rubles up to 2000 rubles to 3000 rubles to 4000 rubles to 5000 rubles to 6000 rubles. Цветы до 7000 руб.Цветы до 8000 руб.Цветы до 10000 руб.ЦветыНазадЦветыАльстромерииАнемоныГвоздикиГерберыГладиолусыГеоргиныГортензииИрисыЛилииНарциссОрхидеиПодсолнухиПионыРанункулюсыРозыРомашкиСухоцветНазадСухоцветГипсофилаЛавандаПампасТюльпаныХризантемыЭустомыРозыНазадРозыКомпозиция из розНазадКомпозиция из розБукеты из розРозы в коробкеРозы в корзинеРозы в колбеПо количеству розНазадПо количеству розЛепестки роз15 роз19 роз21 роза25 роз51 роза75 роз101 роза151 роза201 роза501 роза1001 розаПо высоте стебляНазадПо высоте стебляРозы 30 смРозы 40 Smoses 50 shifts 60 shmrosis 70 shreds 80 shreds 90 SMPOs with riconezadpo color. Roose drawn draws of draws of draws of draws of drawing drawing draws of rosynasadic rosacous rosybuket rosybuket rods. roses in basket roses in boxpionovid rosa -diodeovid pionoid rospionoid roses in boxing roses in baszyinepionic roses In the drawer of the pione -nasadpiones on the ramps of the birthday of a birthplace in the firing pioneer peony peony peony peony pion -red pionostinasadosadshocolid pionomakaruyanized punishment and shocous -podsaddarkisaddarkislavazidnazadladostimaka Runned Caramelkeck Popskonfets and chocolate pionohars Helievemiyagi toys of the postcarcums of consultation for bouquet -composate aircraft Bookstock in the basket in the boxes in the boxes in the cobbime -free compositions Personal cabinet of the basket0+7 (977) 113 (977) 113 (977) 113 (977) 113 (977) 113 (977) 113 (977) 113 (977) 113 (977) 113 (977) 113 (977) 113 (977) 113 (977) 11 -79- 41 write in WhatsApp+7 (495) 414-20-70s 6:00 to 24:00 (Moscow) back celebrops+7 (495) 414-20-70s 6:00 to 24:00 (800) 301 301 -92-14PO of Russia Free Contact information Moscow st. Bolshaya Semenovskaya 11s3 office@mybloom.ru VKontakte Telegram 101 rose from 3045 rubles. The best varieties of Kenya and Ecuador Promotion! 51 Rose from 1945 rubles. A large assortment of roses gifts and sweets of handmade Sweets Balls soft toys are our telegram @mybloom only there are bouquets at prices below than on the site! Free delivery in Moscow inside the Moscow Ring Road when ordering from 3800 rubles. Free note to the bouquet will deliver in 2 hours from the moment of ordering a photo of the bouquet before sending at your request a promotion-fast viewing book of 9 wine chrysanthemums 140 rub. ) Cashback 149 rub. -+In the basket of the basket, the action of the chittenship of the 11 rainbow gypsofilcashback 114 rubles? Article: 002237 2 275 rubles/pc3 072 rubles-35%Savings 797 rubles. -+In the basket of the basket, a hit-fast viewing of 29 red roses prestige (50 cm) cashback 164 rubles? Article: 002219 3 280 rubles/pcs3 772 rubles-15%Savings 492 rubles. -+In the basket of the basket of the action of the chitter-paid delivered view of the 15 Ranunkulus hanucashback 236 rubles? Article: 002144 4 715 rubles/pcs5 423 rubles-15%Savings 708 rubles. -+in the basket of the basket of the hicitstarm of the hitnovinkabysty-sticked viewing of the 3 royal pro-flowers 122 rub.? Article: 0020322 445 rubles/p-+in the basket of the basket of a chita-consuming-based viewing book of 15 red roses (90 cm) Cashback 185 rubles: 001804 3 705 rubles// pc4 632 rub. 25%Savings 927 rubles. -+In the basket of the basket, quick viewing of Ecuador Luxcashback 23 rubbing? Article: 0017779465 rub./STET+in the basket of the basket, consulting delivery, Viewing Book 101 Kenyan Rosa Mix (40 cm) Cashback 426 rub.? Articule: 000895 8 510 rubles// pcs12 340 rub.-45%Savings 3 830 rubles. -+In the basket of the basket, quick viewing of 45 cute roses of Kenya (40 cm) cashback 130 rub.? Article: 000645 2 600 rubles/pcs3 900 rub.-50%Savings 1,300 rubles. -+In the basket of the basket, popular bouquet-sautable delivered delivery of a 51 white rose (60 cm) cashback 297 rubles? Article: 0029615 940 rub./Stev+in a basket basket of the action of the High and Pink Kusty Kusten Madlen Cashback 105 rub. ? Article: 002861 2 105 rubles/pc2 526 rubles-20%Savings 421 rubles. -+In the basket of the basket, a hitbum-paying delivery book of 101 red rose Naomi (40 cm) Cashback 427 rubles? Article: 002848 8 535 rubles/pcs12 803 rubles-50%Savings 4,268 rubles. -+in a basket of the basket of a chitlevotemnovanka-paying delivery bouquet from hydrangeas pionoid roses of mysty Babblez and eucalypticback 296 rubles? Article: 0028155 910 RUB/STRT+In a basket basket, quick viewing of orchids with eucalyptuscashback 126 rub. ? Article: 0027562 515 rub. /STET+In a basket of the basket of the chita-consumed viewing11 red roses in crafting (40 cm) CashBack 69 rub.? Article: 0026501 385 rubles/SPET+in the basket of the hit-saved delivered delivery of the Bella rose (40 cm) cashback 206 rub. Article: 002075 4 110 rubles/pc5 549 rub.-35%Savings 1,439 rubles. -+in the basket of the basket of a chita-consuming-fast viewing book of 51 Mix roses (30 cm) CashBack 145 rubles? Article: 001658 2 895 rubles/pc4 922 rubles-70%Savings 2,027 rubles. -+In the basket of the basket, a hitbum-paying delivery book of 101 roses mix (30 cm) Cashback 234 rub.? Article: 001656 4 670 rubles/pc6 772 rub.-45%Savings 2,102 rubles. -+In the basket of the basket of a chita-consumer-fast viewing book of 5 hydrangeas, delicate mixCashback 137 rub. L: 0029665 345 rub. /STR-+In a basket of basket, the action of the HISTOMENTENEMENTENEMENT CARSTARY Box with gypsophiles Cashback 65 rubles? Article: 002950 1,290 rubles/pcs1 548 rub.-20%Savings 258 rubles. -+В корзинуВ корзине АкцияХитБесплатная доставкаБыстрый просмотрБукет 9 гортензий микс НежностьCashBack 213 руб.?Артикул: 0028644 255 руб./шт-+В корзинуВ корзине СоветуемНовинкаБыстрый просмотрБукет "Яркие чувства" из роз (50 см)CashBack 113 руб.?Артикул: 0028442 265 RUB/SPET+In a basket of basket, a hitty-paying delivery book of 17 peonies with aromatic eucalyptuscashback 459 rub.? Article: 0028439 rubles/STET+in a basket of hutnovinkaby-salary delivery of peonies and schistacback 214 rubles? Article: 0028229 4 285 rub ./sht-mwrv, a basket of basket of a chitlevemovninka-saucer delivered Viewing box of coral peonies 2 937 rubles? Article: 00282658 730 rub./STET+In a basket of the basket adviser to the Bunny View and Roseback 113 rubles? Article: 0028224 2 260 rub. +In the basket of the basket, a chita-Soviet-sautable delivery delivery bouquet of roses and peoniescashback 361 rubles? Article: 0028217 215 rub./Ste+in a basket of chitnovinkabystry-based viewing composition of stabilized hydrangea and dried flowers to vasacashback 184 rubles? Articulas? : 0028163 685 rubles/ SPET+in a basket basket Flower-free delivery delivery of the heart from orchidsashback 290 rub. 50 rub. In the basket of the basket, a hitbial-paying delivered viewing box with Miss PiggiCashBack 191 RUB RUB? Article: 00222003 810 rub./SPET+in the basket of the basket of rapid viewing in the luxury of the composition "You are My SUNSHINE" CASHBACK 142 rubles? 082 830 rub. /STR-+In a basket basket, a quick-based widening office composition of gypsophiles in ceramic kashpocashback 46 rub.? Article: 001906915 rub./Ste+in a basket of chitnovinka-wing viewing with bus rosamicashback 148 rub.? Article: 0018712 96 96 96 5 rubles/pcs -+In the basket of the basket, a free delivered viewing with a gypsophila in a hat in the hat boxcashback 230 rub.? Article: 0017194 605 rub./Stev+in a basket of the basket, rapid viewing with tender feelings ... (25 cm) cashback 143? Articula: 0013802 850 RUB ./sht-mwarvs Walling the basket Free delivery of rose151 Rose in a huge hat box (50 cm) Cashback 686 rubles? Article: 00127513 710 rub./STET+In basket basket fast viewing of 25 Red Kenyan roses in the box (35 cm ) Cashback 138 rub. In the moment ”27 g. Cashback 19 rub. Hitnovinkabykaby-stroke candy candies Ferrero Rocher 200GRCASHBACK 57 rub. Walling the basket Fast Viewing School Pofigin 27gr .Cashback 19 rub. ER 125 UGCASHBACK 41 rub. Of the 7 chocolate peonbacks 45 rubles? Article: 001295905 rub./SPET+In the basket of the basket of flower delivery in Moscow, order flowers with delivery in Moscow, you can inexpensively in our online store - Mybloom.ru. When ordering from 3800 rubles, delivery is free. If you need to deliver a bouquet outside Moscow to the nearest suburbs, contact our manager to accurately calculate the cost of delivery. We have a large assortment of fresh fresh colors as well as various gifts that can complement your surprise - free note of the toppers soft toys helium balls and sweets. The cost of delivery in Moscow and pickup amount of order Speeses Moscow (inside the Moscow Ring Road) Moscow and MO (for the Moscow Ring Road) up to 3800 Rules free delivery: 420 rubles. From 500 rubles an accurate calculation, check with the manager by phone or online chat more than 3800 rubles for free delivery: for free, our city flower delivery service is ready to offer you the following services: delivery of flowers a day or office day or office is the standard wish of our customers. During the placement of the order, you indicate the delivery address and time. We, in turn, will make everything possible that you ordered with delivery you get exactly the pictures at the specified time and place. Urgent flowers in Moscow by courier from us you can buy flowers and our courier service will deliver the order in 2 hours from the date of confirmation. We do not take additional payment for express delivery from you as our competitors do. Delivery by phone number if you decide to make a surprise and give a bouquet of fresh flowers but do not know the address of the office or the house of the recipient, then this service is for you. During the placement of the order in the “Delivery” block, set the checkplace opposite the “Clarify the Address from the Recipient”. Our manager will contact the recipient independently with a convenient place and time for courier delivery. After delivery, you will receive SMS - the status of the order - delivered. Anonymous delivery is suitable for you when you want to make a surprise and remain incognito for the recipient. Write in a commentary on the ordered bouquet that you do not want to disclose your identity and we, in turn, will save this information secret. How to order flower delivery in the Mybloom.ru online store you can form an order through the site: Add you like the bouquet to the basket and go to the order; then carefully fill out all the necessary fields and after placing the order; within 5 minutes, wait for the call from our operator. He will say all the details on your order and if everything is correct, you will receive confirmation; after the bouquet of flowers is delivered, you will receive an SMS about the status of delivery of the bouquet. You can order a bouquet by phone: you can also call us on the phone and dictate all the details of the order - specify the article of the bouquet Address Address and the recipient’s phone and our manager will fill out information on orders instead of you and immediately confirm it. The workshop and the address is our store. Our store Located at: Moscow st. Big Semenovskaya 11s3 (for pickup) Schedule: from 7: 00-23: 00 seven days a week. Shoppowers and areas more discounts of navigation-related customers5% cashback-conditioning payment of delivery and the rules of return always up to date! Learn about discounts and promotions the first news of the store, stay in touch of VKontakte Telegram Our Contacts (495) 414-20-70 +7 (800) 301-92 (800) 301-92 301-92 301-92 -14th Russia for free +7 (977) 113-79-41 write in WhatsApp office@mybloom.ru Moscow st. Bolshaya Semenovskaya 11c3 LLC Sheriff Inn 7709456710 | OGRN 1157746401010 | It is not a public offer to find 00 corn</v>
      </c>
    </row>
    <row r="294">
      <c r="A294" s="1" t="s">
        <v>883</v>
      </c>
      <c r="B294" s="1" t="s">
        <v>950</v>
      </c>
      <c r="C294" s="1" t="s">
        <v>951</v>
      </c>
      <c r="D294" s="1">
        <v>18.0</v>
      </c>
      <c r="E294" s="4" t="s">
        <v>952</v>
      </c>
      <c r="F294" s="1" t="s">
        <v>16</v>
      </c>
      <c r="G294" s="1" t="s">
        <v>953</v>
      </c>
      <c r="H294" s="4" t="s">
        <v>954</v>
      </c>
      <c r="I294" s="2">
        <v>1.0</v>
      </c>
      <c r="J294" s="5" t="str">
        <f>IFERROR(__xludf.DUMMYFUNCTION("GOOGLETRANSLATE(A294)"),"Gypsophyla")</f>
        <v>Gypsophyla</v>
      </c>
      <c r="K294" s="6" t="str">
        <f>IFERROR(__xludf.DUMMYFUNCTION("GOOGLETRANSLATE(B294)"),"Buy gypsophiles in Moscow inexpensively, order a bouquet from ...")</f>
        <v>Buy gypsophiles in Moscow inexpensively, order a bouquet from ...</v>
      </c>
      <c r="L294" s="5" t="str">
        <f>IFERROR(__xludf.DUMMYFUNCTION("GOOGLETRANSLATE(C294)"),"Delivery gypsophile in Moscow for free when ordering from 3,500 rubles. 100% fresh flowers. Ordering bouquets with gypsophilia around the clock ☎ +7 (499) 322-74-86.")</f>
        <v>Delivery gypsophile in Moscow for free when ordering from 3,500 rubles. 100% fresh flowers. Ordering bouquets with gypsophilia around the clock ☎ +7 (499) 322-74-86.</v>
      </c>
      <c r="M294" s="5" t="str">
        <f>IFERROR(__xludf.DUMMYFUNCTION("GOOGLETRANSLATE(G294)"),"Flower delivery in Moscow | Order a bouquet of flowers with free delivery0 accepts the ordering of 2 cesspio Moscow and the region phone in Moscow 24/7: +7 (499) 322-74-86 paying for the Russian Federation: 8 (800) 551-61-21 Reviews Payment / delivery bas"&amp;"ket 0 Promotions 0 Promotions 0 270 Central Authorist compositions Piono lilacs of chamomile of the Hypsophilus of Hypsophil of Hypsophilus of the Alstromeria Eustoma (Lizianthus) Sunflower Herberra of the Gorobes Ranunkuli lilia anemone Narcona Calla Fre"&amp;"zia, the rose -gyacinths of the mimosa of orchids in the pots of the composition of the composition of the composition of the composition of the composition of the composition of the composition, Roses Ecuador Pionovid roses bush roses Red roses White ros"&amp;"es pink roses cream roses raspberry roses Peach roses Orange roses yellow roses lilac roses MIX MIX Meter roses Bouquet of 11 roses bouquet of 19 roses bouquet of 29 roses bouquet of 51 roses bouquet of 101 rose bouquet of 301 rose bouquet of 501 rose bou"&amp;"quet of 1001 rhysicist rosypionovid bush roses pink bush roses raspberry roses white bush roses orange bush roses yellow roses red bouquet bouquet bouquet bouquet bouquet bouquet bouquet of 51 bouquet bouquet bouquet of 101 bush rose boxes of bush roses c"&amp;"up XL Box of Bush roses XXLBUTERA BUSTE Bouquets of roses bouquets of tulips bouquets with bush roses bouquets bouquets of mattiola bouquets of irises bouquets bouquets from gerber Sunflies bouquets bouquets of alstromeria bouquets gypsum bouquets bouquet"&amp;"s bouquets bouquets bouquets with ranum. Bouquets themselves from clove bouquet of chrysanthemum bouquets of sweets Wedding bouquets Bouquets up to 3,000 rubles in boxes in the bags of boxes box boxes with flowers copyright boxes of 19 roses boxes of 29 r"&amp;"oses boxes of 51 rose boxes of 101 rose boxes of 201 rose flowers in a box in a box Bush roses in a box Pionovid roses in a box of tulips in a box of irises in a box of orchids in a box of pionois in a box of chamomile in a box of the box XXL Ranunculus i"&amp;"n the baskets in the baskets in the boxes of bush roses in the basket of pionoid roses with heart roses in the corner of the gerber s in The basket of the iris in the chamomile basket in the chrysanthemum basket in the pionic basket in the basket in the b"&amp;"asket of roses in the basket basket of 29 roses basket of 51 roses of a basket of 101 rose basket of 301 rose basket of 501 rose rose basket of 1001 rose worshipalus in the basket New Year Basket rabbits in chocolator in chocolate bouquets of strawberries"&amp;" bouquets of berries bouquets of fruit fruit baskets strawberry baskets berry baskets of balls with helium soft toys macaroons and salt for baths candle candy toppers VAZA BARS BARKS BOSE POPERA We cooperate with the best global flower Teplitsy and guaran"&amp;"tee you that our bouquets are the latest in the form of a guarantee we can send a photo of the bouquet before sending! Promotion Bouquet of 29 red-white roses 50 smart: 31803840 Delivery for free 4.00 out of 5 in a basket to buy a basket of 23 pcs gerbery"&amp;"art in one click: 10255060 Delivery for free 4.00 out of 5 in a basket to buy a bouquet : 14906280 Delivery for free 4.00 out of 5 in a basket to buy in one click box of roses with eucalyptomart: 20482720 Delivery for free 4.00 out of 5 to the basket to b"&amp;"uy a click box of 19 raspberry rosart: 47032920 Delivery for free 4.00 out of 5 to basket to buy a basket to buy in basket One click of 23 gerberates: 3273690 Delivery for free 4.00 out of 5 in the basket to buy a copyright autumn bouquet in a bag 40smart"&amp;": 63293230 Delivery for free 4.00 out of 5 to basket to buy a mile of Miksart: 60444690 Delivery for free 4.00 outlet of 5 In the basket to buy in one click Show all -authoric compositions Author's bouquet of roses to the bag: 63283170 Delivery for free 4"&amp;".00 out of 5 to the basket, Mix with roses and eastomoir: 57954700 Delivery free 4.00 out of 5 in the basket buy Buy Buy Corps No. 56art: 49458280 Delivery for free 4.00 out of 5 to the Conternate to buy a flower composition to mom No. 5ARART: 57324760 De"&amp;"livery for free 4.00 OUT of 5 In the basket, to buy a flower composition to mom No. 4ARART in one click in one click: 57164680 Delivery for free 4.00 out of 5 to basket to buy a click Buy Box 63ARART: 54394980 Delivery for free 4.00 out of 5 to the basket"&amp;" to buy a bouquet of roses with eucalyptus No. 2art: 45672010 Delivery for free 4.00 out of 5 in the basket to buy a click on a basket of roses mix with ozotamnusomart: 457010420 Delivery for free 4.00 out of 5 to the basket to buy all -booths of strawber"&amp;"ries bouquet with pigeons: 37367050 Delivery for free 4.00 out of 5 in a basket to Buy to Buy Buy Buy Buying In one click, show the All -Rose Bouquet of 51 pionovid roses Bubble Humart: 538886230 Delivery for free 4.00 out of 5 to basket to buy a bouquet "&amp;"of 101 yellow roseart in one click: 15298960 Delivery for free 4.00 out of 5 to basket Buy a box of 29 cream roses With greens: 57904640 Delivery free 4.00 out of 5 in the basket, out of 5 in the basket, buy a bouquet of pionoid roses to Babblez and easto"&amp;"ma 2Art in a basket to buy in one click: 57585070 Delivery for free 4.00 out of 5 to a basket to buy a bouquet of 51 lilac roses 60 Smart: 19116630 Delivery for free 4.00 out of 5 to basket to buy in one Click Bouquet of 29 red roses (70 cm) art: 3174630 "&amp;"Delivery for free 4.00 out of 5 in the basket to buy in one click a bouquet of pionoid roses Keti and eustoma 2Art: 57574380 Delivery for free 4.00 out of 5 in the basket to show in one click in hazelnuts Boxes Box of Pionovite Lilac Roses LARAR: 56615730"&amp;" Delivery free 4.00 out of 5 in the basket to buy in one click Box of 51 raspberry roses: 15606090 Delivery for free 4.00 out of 5 to basket Buy Buy Corps for you: 49486260 Delivery for free 4.00 OOT OF 5 In the basket, to buy in one click Box Mix Kustov "&amp;"Rosart: 15486360 Delivery Free 4.00 Out of 5 to the basket to Buy a click Buy Pink Alstromeriyart: 54034160 Delivery Free 4.00 Out of 5 to the basket to bastard Buy Author's composition: 40975580 Delivery for free Delivery Delivery for free delivery 4 In "&amp;"one click, a hat box with white roses and lagurusomart: 63914330 Delivery for free 4.00 out of 5 in a basket to buy in one click Show the entire price up to 2000 p2 000 - 3,000 p 3 000 000 000 000 000 000 000 - 13 000 Mouth 13000 r the type of composition"&amp;" bouquets in the boxes in the baskets in baskets of fruit bouquets Color red pink blue rainbow other flowers copyright compositions Piono lilacs of chamomile orchids of gypsophilia gypsophila alstomeria eastoma (lysianth) sunflower tulips tulipan narcials"&amp;" of the Antemons of the Lilia Narconya Narconya Narcuna Narcuna Narcuna Kalla Frezia rose rose Ecuador Pionovid roses bush Roses red roses White roses pink roses raspberry roses peach roses Orange roses Lilac roses MIX MIX METROM BURRED BUY Bouquet Bouque"&amp;"t Bouquet Bouquet of 29 roses bouquet of 101 roses bouquet of 201 rose bouquet of 301 rose bouquet of 501 roses of 1001 roses more +14 Hide the drystrokes of the dahlias of the Georgins of the mimosa of orchids in pots of Duma -Rosical devystvo stalls in "&amp;"hats boxcocks on the rosamitza with delivery - this is a convenient and popular way to congratulate or express their love of gratitude or condolences to loved ones, especially in cases when it is impossible to present in cases personally. Our service has "&amp;"been ordering flowers quickly and inexpensively for 8 years now and deliver them directly to the house or to another convenient place within the capital and the region. What is worth knowing about the delivery of flowers to “Rosavas”? The quality of color"&amp;"s. We sell and deliver only beautiful freshly cut fresh flowers. We have our own delivery service that takes care that the flowers remain fresh and securely packed during transportation and as a guarantee we can send a photo of the finished bouquet or com"&amp;"position of flowers before sending! The delivery speed. We carry out urgent delivery within 2 hours from the date of order without an additional fee. Assortment and selection of colors. In the catalog of the Rosavam online store you will find thousands of"&amp;" photos of bouquets and compositions from flowers in boxes and baskets with detailed descriptions and prices. All our flowers from the best greenhouse complexes of Russia Holland Kenya Italy and Ecuador. You can choose any bouquet you like the composition"&amp;" or assemble a unique order with our florist. Of particular popularity among our buyers are roses of peonies of the tulips of lilies Herbery orchids of chamomile and chrysanthemum. You can choose a bouquet in a certain color scheme or style such as romant"&amp;"ic bright or minimalist. The price and payment methods. In the Rosavam flowers store you will find inexpensive bouquets at a price of 1690 rubles. Every day we provide the opportunity to choose and buy flowers with a discount cheap on the promotion in the"&amp;" corresponding section. You can pay in cash to the courier when receiving an order or bank card by payment link (without commission) online directly on the order page. Ordering and processing of the order. The process of ordering colors is carried out onl"&amp;"ine. The fastest way is to choose the desired bouquet or composition and click on one click - a special form will open where you need to specify only the contact number of the phone and then click send. Another method - add the necessary to the basket and"&amp;" in a special form or on the basket page click order and fill out the following data: your contact number of the phone or recipient Address and delivery time. If desired, you can indicate your name and/or recipient additional data about the address as wel"&amp;"l as your wishes in the comment and other details in the field (you can add a postcard to the order to enter the promotional code select additional gifts and services). Another quick way is to call the +7 number (499) 322-74-86, especially if there is dou"&amp;"bt that you need to choose advice or any other assistance and payment for the order. Reception of orders and calls is carried out daily and around the clock. After receiving the order, the flower service ""Rosavam"" process it. This includes the preparati"&amp;"on of a bouquet or composition packaging, if necessary, add additional gifts and registration of postcards. Payment conditions. You can pay for the order online on the site or upon receipt of the bouquet. The condition and cost of delivery. We deliver flo"&amp;"wers and gifts daily around the clock. Minimum order amount: 1000 rubles. Delivery cost in Moscow within the MKAD: free of charge with an order amount of more than 3,500 rubles300 rubles. With an order amount of less than 3,500 rubles with tariffs for del"&amp;"ivery by MKAD to the cities of the Moscow Region, you can familiarize yourself with payment/delivery on the page. The pickup is possible around the clock without days off at the address: Moscow Riga Square 9A p. 2. Sending of the order and payment. After "&amp;"the successful completion of each stage, we provide the client with confirmation in the form of an electronic notification. Respiratory and reputation. Over 8 years of continuous work, we have accumulated thousands of reviews that reflect love and gratitu"&amp;"de to the Rosavam service. Reviews can be found both on the website Rozavam.ru and in the public domain on various sites and platforms you trust. With their help, and better from your own experience, you can draw personal conclusions about the reliability"&amp;" and quality of our company’s service as well as the level of satisfaction. Delivery at a certain time. On the order page, you can specify the exact time or choose a convenient interval during which the bouquet must be delivered to the recipient. This is "&amp;"especially useful if you want to congratulate your close colleagues or boss on a certain day or hour. Addting gifts and services. In addition to flowers to order, you can add postcards toppers air balls soft toys candy makaruns (cookies) strawberries in c"&amp;"hocolate fruit or berry bouquets and baskets of vases Fragrant candles and other gifts. Of the additional services, we have: anonymous delivery. Want to make a surprise to a loved one? The recipient will not recognize your name and type of gift until the "&amp;"moment of hand and read the postcard. Indicate “deliver anonymously” when placing an order. Delivery without an address. Do you know the recipient's address? Indicate the number of his phone and we will independently agree with it a convenient place and t"&amp;"he time of presenting the bouquet. You can do this in the form of an order indicating the phone number in the “Recipient” field. We also offer the services of professional florists who will help create an individual bouquet at the request of the client an"&amp;"d will also give consultations on the care of flowers. Holy events and reasons. Ordering and delivery of colors from customers “Rosavam” are especially popular during holidays such as Birthday Wedding Day Valentine (or all lovers Day) February 14 Internat"&amp;"ional Day March 8 Knowledge Day September 1 teacher October 26 (Last Sunday November 26 (Last Sunday November 26 (Last Sunday November) New Year on January 1 and others. The company ""Rosavam"" always offers special bouquets and compositions related to th"&amp;"ese events. Basic delivery from 3500 rubles delivery in Moscow from 2 hours of postelphon: +7 (499) 322-74-86 We accept orders of the clock from 2 hours in Moscow and The areas of useful accommodation/delivery of the Kontaktaktovs of the processing of per"&amp;"sonal datarozavam.ru processing - Flower delivery in Moscow 0 × Basket Step 2: Putting the order to continue buying order: Order a call × Ask a question × you have confused the necessary fields! Name*Email/Phone*Comment Send your question Sent. In the nea"&amp;"r future, our manager will contact you. × Application: Bouquet: Close the dispatch of the Authorization+7 Walks Send SMS to the specified number registration Password? Cancel registration to Rozavam.ru+7")</f>
        <v>Flower delivery in Moscow | Order a bouquet of flowers with free delivery0 accepts the ordering of 2 cesspio Moscow and the region phone in Moscow 24/7: +7 (499) 322-74-86 paying for the Russian Federation: 8 (800) 551-61-21 Reviews Payment / delivery basket 0 Promotions 0 Promotions 0 270 Central Authorist compositions Piono lilacs of chamomile of the Hypsophilus of Hypsophil of Hypsophilus of the Alstromeria Eustoma (Lizianthus) Sunflower Herberra of the Gorobes Ranunkuli lilia anemone Narcona Calla Frezia, the rose -gyacinths of the mimosa of orchids in the pots of the composition of the composition of the composition of the composition of the composition of the composition of the composition, Roses Ecuador Pionovid roses bush roses Red roses White roses pink roses cream roses raspberry roses Peach roses Orange roses yellow roses lilac roses MIX MIX Meter roses Bouquet of 11 roses bouquet of 19 roses bouquet of 29 roses bouquet of 51 roses bouquet of 101 rose bouquet of 301 rose bouquet of 501 rose bouquet of 1001 rhysicist rosypionovid bush roses pink bush roses raspberry roses white bush roses orange bush roses yellow roses red bouquet bouquet bouquet bouquet bouquet bouquet bouquet of 51 bouquet bouquet bouquet of 101 bush rose boxes of bush roses cup XL Box of Bush roses XXLBUTERA BUSTE Bouquets of roses bouquets of tulips bouquets with bush roses bouquets bouquets of mattiola bouquets of irises bouquets bouquets from gerber Sunflies bouquets bouquets of alstromeria bouquets gypsum bouquets bouquets bouquets bouquets bouquets with ranum. Bouquets themselves from clove bouquet of chrysanthemum bouquets of sweets Wedding bouquets Bouquets up to 3,000 rubles in boxes in the bags of boxes box boxes with flowers copyright boxes of 19 roses boxes of 29 roses boxes of 51 rose boxes of 101 rose boxes of 201 rose flowers in a box in a box Bush roses in a box Pionovid roses in a box of tulips in a box of irises in a box of orchids in a box of pionois in a box of chamomile in a box of the box XXL Ranunculus in the baskets in the baskets in the boxes of bush roses in the basket of pionoid roses with heart roses in the corner of the gerber s in The basket of the iris in the chamomile basket in the chrysanthemum basket in the pionic basket in the basket in the basket of roses in the basket basket of 29 roses basket of 51 roses of a basket of 101 rose basket of 301 rose basket of 501 rose rose basket of 1001 rose worshipalus in the basket New Year Basket rabbits in chocolator in chocolate bouquets of strawberries bouquets of berries bouquets of fruit fruit baskets strawberry baskets berry baskets of balls with helium soft toys macaroons and salt for baths candle candy toppers VAZA BARS BARKS BOSE POPERA We cooperate with the best global flower Teplitsy and guarantee you that our bouquets are the latest in the form of a guarantee we can send a photo of the bouquet before sending! Promotion Bouquet of 29 red-white roses 50 smart: 31803840 Delivery for free 4.00 out of 5 in a basket to buy a basket of 23 pcs gerberyart in one click: 10255060 Delivery for free 4.00 out of 5 in a basket to buy a bouquet : 14906280 Delivery for free 4.00 out of 5 in a basket to buy in one click box of roses with eucalyptomart: 20482720 Delivery for free 4.00 out of 5 to the basket to buy a click box of 19 raspberry rosart: 47032920 Delivery for free 4.00 out of 5 to basket to buy a basket to buy in basket One click of 23 gerberates: 3273690 Delivery for free 4.00 out of 5 in the basket to buy a copyright autumn bouquet in a bag 40smart: 63293230 Delivery for free 4.00 out of 5 to basket to buy a mile of Miksart: 60444690 Delivery for free 4.00 outlet of 5 In the basket to buy in one click Show all -authoric compositions Author's bouquet of roses to the bag: 63283170 Delivery for free 4.00 out of 5 to the basket, Mix with roses and eastomoir: 57954700 Delivery free 4.00 out of 5 in the basket buy Buy Buy Corps No. 56art: 49458280 Delivery for free 4.00 out of 5 to the Conternate to buy a flower composition to mom No. 5ARART: 57324760 Delivery for free 4.00 OUT of 5 In the basket, to buy a flower composition to mom No. 4ARART in one click in one click: 57164680 Delivery for free 4.00 out of 5 to basket to buy a click Buy Box 63ARART: 54394980 Delivery for free 4.00 out of 5 to the basket to buy a bouquet of roses with eucalyptus No. 2art: 45672010 Delivery for free 4.00 out of 5 in the basket to buy a click on a basket of roses mix with ozotamnusomart: 457010420 Delivery for free 4.00 out of 5 to the basket to buy all -booths of strawberries bouquet with pigeons: 37367050 Delivery for free 4.00 out of 5 in a basket to Buy to Buy Buy Buy Buying In one click, show the All -Rose Bouquet of 51 pionovid roses Bubble Humart: 538886230 Delivery for free 4.00 out of 5 to basket to buy a bouquet of 101 yellow roseart in one click: 15298960 Delivery for free 4.00 out of 5 to basket Buy a box of 29 cream roses With greens: 57904640 Delivery free 4.00 out of 5 in the basket, out of 5 in the basket, buy a bouquet of pionoid roses to Babblez and eastoma 2Art in a basket to buy in one click: 57585070 Delivery for free 4.00 out of 5 to a basket to buy a bouquet of 51 lilac roses 60 Smart: 19116630 Delivery for free 4.00 out of 5 to basket to buy in one Click Bouquet of 29 red roses (70 cm) art: 3174630 Delivery for free 4.00 out of 5 in the basket to buy in one click a bouquet of pionoid roses Keti and eustoma 2Art: 57574380 Delivery for free 4.00 out of 5 in the basket to show in one click in hazelnuts Boxes Box of Pionovite Lilac Roses LARAR: 56615730 Delivery free 4.00 out of 5 in the basket to buy in one click Box of 51 raspberry roses: 15606090 Delivery for free 4.00 out of 5 to basket Buy Buy Corps for you: 49486260 Delivery for free 4.00 OOT OF 5 In the basket, to buy in one click Box Mix Kustov Rosart: 15486360 Delivery Free 4.00 Out of 5 to the basket to Buy a click Buy Pink Alstromeriyart: 54034160 Delivery Free 4.00 Out of 5 to the basket to bastard Buy Author's composition: 40975580 Delivery for free Delivery Delivery for free delivery 4 In one click, a hat box with white roses and lagurusomart: 63914330 Delivery for free 4.00 out of 5 in a basket to buy in one click Show the entire price up to 2000 p2 000 - 3,000 p 3 000 000 000 000 000 000 000 - 13 000 Mouth 13000 r the type of composition bouquets in the boxes in the baskets in baskets of fruit bouquets Color red pink blue rainbow other flowers copyright compositions Piono lilacs of chamomile orchids of gypsophilia gypsophila alstomeria eastoma (lysianth) sunflower tulips tulipan narcials of the Antemons of the Lilia Narconya Narconya Narcuna Narcuna Narcuna Kalla Frezia rose rose Ecuador Pionovid roses bush Roses red roses White roses pink roses raspberry roses peach roses Orange roses Lilac roses MIX MIX METROM BURRED BUY Bouquet Bouquet Bouquet Bouquet of 29 roses bouquet of 101 roses bouquet of 201 rose bouquet of 301 rose bouquet of 501 roses of 1001 roses more +14 Hide the drystrokes of the dahlias of the Georgins of the mimosa of orchids in pots of Duma -Rosical devystvo stalls in hats boxcocks on the rosamitza with delivery - this is a convenient and popular way to congratulate or express their love of gratitude or condolences to loved ones, especially in cases when it is impossible to present in cases personally. Our service has been ordering flowers quickly and inexpensively for 8 years now and deliver them directly to the house or to another convenient place within the capital and the region. What is worth knowing about the delivery of flowers to “Rosavas”? The quality of colors. We sell and deliver only beautiful freshly cut fresh flowers. We have our own delivery service that takes care that the flowers remain fresh and securely packed during transportation and as a guarantee we can send a photo of the finished bouquet or composition of flowers before sending! The delivery speed. We carry out urgent delivery within 2 hours from the date of order without an additional fee. Assortment and selection of colors. In the catalog of the Rosavam online store you will find thousands of photos of bouquets and compositions from flowers in boxes and baskets with detailed descriptions and prices. All our flowers from the best greenhouse complexes of Russia Holland Kenya Italy and Ecuador. You can choose any bouquet you like the composition or assemble a unique order with our florist. Of particular popularity among our buyers are roses of peonies of the tulips of lilies Herbery orchids of chamomile and chrysanthemum. You can choose a bouquet in a certain color scheme or style such as romantic bright or minimalist. The price and payment methods. In the Rosavam flowers store you will find inexpensive bouquets at a price of 1690 rubles. Every day we provide the opportunity to choose and buy flowers with a discount cheap on the promotion in the corresponding section. You can pay in cash to the courier when receiving an order or bank card by payment link (without commission) online directly on the order page. Ordering and processing of the order. The process of ordering colors is carried out online. The fastest way is to choose the desired bouquet or composition and click on one click - a special form will open where you need to specify only the contact number of the phone and then click send. Another method - add the necessary to the basket and in a special form or on the basket page click order and fill out the following data: your contact number of the phone or recipient Address and delivery time. If desired, you can indicate your name and/or recipient additional data about the address as well as your wishes in the comment and other details in the field (you can add a postcard to the order to enter the promotional code select additional gifts and services). Another quick way is to call the +7 number (499) 322-74-86, especially if there is doubt that you need to choose advice or any other assistance and payment for the order. Reception of orders and calls is carried out daily and around the clock. After receiving the order, the flower service "Rosavam" process it. This includes the preparation of a bouquet or composition packaging, if necessary, add additional gifts and registration of postcards. Payment conditions. You can pay for the order online on the site or upon receipt of the bouquet. The condition and cost of delivery. We deliver flowers and gifts daily around the clock. Minimum order amount: 1000 rubles. Delivery cost in Moscow within the MKAD: free of charge with an order amount of more than 3,500 rubles300 rubles. With an order amount of less than 3,500 rubles with tariffs for delivery by MKAD to the cities of the Moscow Region, you can familiarize yourself with payment/delivery on the page. The pickup is possible around the clock without days off at the address: Moscow Riga Square 9A p. 2. Sending of the order and payment. After the successful completion of each stage, we provide the client with confirmation in the form of an electronic notification. Respiratory and reputation. Over 8 years of continuous work, we have accumulated thousands of reviews that reflect love and gratitude to the Rosavam service. Reviews can be found both on the website Rozavam.ru and in the public domain on various sites and platforms you trust. With their help, and better from your own experience, you can draw personal conclusions about the reliability and quality of our company’s service as well as the level of satisfaction. Delivery at a certain time. On the order page, you can specify the exact time or choose a convenient interval during which the bouquet must be delivered to the recipient. This is especially useful if you want to congratulate your close colleagues or boss on a certain day or hour. Addting gifts and services. In addition to flowers to order, you can add postcards toppers air balls soft toys candy makaruns (cookies) strawberries in chocolate fruit or berry bouquets and baskets of vases Fragrant candles and other gifts. Of the additional services, we have: anonymous delivery. Want to make a surprise to a loved one? The recipient will not recognize your name and type of gift until the moment of hand and read the postcard. Indicate “deliver anonymously” when placing an order. Delivery without an address. Do you know the recipient's address? Indicate the number of his phone and we will independently agree with it a convenient place and the time of presenting the bouquet. You can do this in the form of an order indicating the phone number in the “Recipient” field. We also offer the services of professional florists who will help create an individual bouquet at the request of the client and will also give consultations on the care of flowers. Holy events and reasons. Ordering and delivery of colors from customers “Rosavam” are especially popular during holidays such as Birthday Wedding Day Valentine (or all lovers Day) February 14 International Day March 8 Knowledge Day September 1 teacher October 26 (Last Sunday November 26 (Last Sunday November 26 (Last Sunday November) New Year on January 1 and others. The company "Rosavam" always offers special bouquets and compositions related to these events. Basic delivery from 3500 rubles delivery in Moscow from 2 hours of postelphon: +7 (499) 322-74-86 We accept orders of the clock from 2 hours in Moscow and The areas of useful accommodation/delivery of the Kontaktaktovs of the processing of personal datarozavam.ru processing - Flower delivery in Moscow 0 × Basket Step 2: Putting the order to continue buying order: Order a call × Ask a question × you have confused the necessary fields! Name*Email/Phone*Comment Send your question Sent. In the near future, our manager will contact you. × Application: Bouquet: Close the dispatch of the Authorization+7 Walks Send SMS to the specified number registration Password? Cancel registration to Rozavam.ru+7</v>
      </c>
    </row>
    <row r="295">
      <c r="A295" s="1" t="s">
        <v>883</v>
      </c>
      <c r="B295" s="1" t="s">
        <v>955</v>
      </c>
      <c r="D295" s="1">
        <v>19.0</v>
      </c>
      <c r="E295" s="4" t="s">
        <v>956</v>
      </c>
      <c r="F295" s="1" t="s">
        <v>16</v>
      </c>
      <c r="G295" s="1" t="s">
        <v>957</v>
      </c>
      <c r="H295" s="4" t="s">
        <v>958</v>
      </c>
      <c r="I295" s="2">
        <v>1.0</v>
      </c>
      <c r="J295" s="5" t="str">
        <f>IFERROR(__xludf.DUMMYFUNCTION("GOOGLETRANSLATE(A295)"),"Gypsophyla")</f>
        <v>Gypsophyla</v>
      </c>
      <c r="K295" s="6" t="str">
        <f>IFERROR(__xludf.DUMMYFUNCTION("GOOGLETRANSLATE(B295)"),"Bouquet of 5 branches of pink gypsophila")</f>
        <v>Bouquet of 5 branches of pink gypsophila</v>
      </c>
      <c r="L295" s="5" t="str">
        <f>IFERROR(__xludf.DUMMYFUNCTION("GOOGLETRANSLATE(C295)"),"#VALUE!")</f>
        <v>#VALUE!</v>
      </c>
      <c r="M295" s="5" t="str">
        <f>IFERROR(__xludf.DUMMYFUNCTION("GOOGLETRANSLATE(G295)"),"Flower delivery in St. Petersburg is inexpensive-online store Flower store Florist Cathrian Cabinet-Cabinet-Cabinets Autumn Buckets Winter Bouquets Pink Bouquets Lilac Bouquets Field Bouquets Red Bouquets with Alustomerias with Carnations with Orchins wit"&amp;"h Roses with Eustemes with Eustemes with Eustems Rose rose Kenya Pionovid rose Rose Ecuador Course rose Flowers Rose Georgina Gordensi Piono Cloves (Diantus) Alstromeria gypsophila chipsathema orchid eastoma (lisianthus) Matrixa succaria other flowers of "&amp;"lilies of tulpans of tulipalus duo-boots of puppets of gifts of gifts and percent. Bores Sukhotzeta Flower compositions flowers In the hatching box of the wedding bouquet of the bride Wedding decor premium catalog about us payment Service Contacts Feedbac"&amp;"k +7 (812) 425-61-03 order the call +7 (812) 425-61-03 order to call the catalog catalog for us payment Contacts Contact Reverse Communication +7 (812) 425-61-03 Order a call +7 (812) 425-61-03 order a call download the application and get 500 bonuses wat"&amp;"ch in the application download +7 (812) 429-69-87 Autics Autumn Autumn Buckets bouquets pink bouquets Pink Bouquets of lilac bouquets men's bouquets Field bouquets in warm shades red bouquets with alstromerias with cloves with hydrangeas with orchids with"&amp;" peonies with roses with eustoma rose rose pionovid rose Ecuador rose rose fragrant roses of dahlias of gordenesis pionomes Fila Chrysanthemum iris orchid eastoma (lysianthus) Matrixes dry flowers other flowers of lilies tulips Ranunkulus duo-boots compos"&amp;"ition of a basket of flowers Gifts and succal sets Flower compositions Flowers in a hats wedding Bouquet Bouquet Bouquet Bouquet Bouquet Buying Building Building Disgracker Foundation Building Together Supporting Flower Flower Flower 70 ₽6 370 ₽ Buy 1 Cli"&amp;"ck Bouquet of 15 pink cloves 2 450 ₽2 450 ₽ Buy 1 click Publishing bouquet Tenderness M 4 390 ₽4 390 ₽ Buy 1 click Bouquet of 101 red rose 40cm (Kenya) 9 050 ₽8 520 ₽ Buy 1 click Bouquet Summer Sunset M 4 480 ₽4 480 ₽ Buy 1 click Publishing bouquet Tender"&amp;"ness s 2 840 ₽2 840 ₽ Buy 1 click Bloom S 4 140 ₽4 ₽4 590 ₽2 072 ₽ Buy in 1 click Purchase bouquet Lyubov M 5 450 ₽5 450 ₽ Buy 1 click assembly bouquet perfection m 4 220 ₽4 220 ₽ Buy 1 click Flower basket Love 12 640 ₽12 640 ₽ Buy in 1 click Bouquet of p"&amp;"ionovid roses Pink Expression M 5 750 ₽5 ₽5 ₽5 of 3 pink hydrangeas 3 190 ₽3 190 ₽ Buy 1 click Bouquet of 9 branches of gypsophiles 3 210 ₽3 210 ₽ Buy 1 click Bouquaty -Salarpione -Syphyophylairisanthemicals to the Catalog Bouquet of 101 White Rose 50cm ("&amp;"Kenya) 10 345 ₽9 770 ₽ Buy in 1 Click Bouquet of 25 red roses 40cm (Kenya) 2 940 ₽2 810 ₽ Buy 1 click assembly bouquet Warm Summer S 2 470 ₽2 120 ₽ Buy 1 click Bouquet of 25 red roses 50cm (Kenya) 3 795 ₽3 140 ₽ Buy in 1 click a white bouquet with spikele"&amp;"ts s 2 680 ₽2 180 ₽ Buy 1 click Bouquet of 51 white rose 50cm (Kenya) 6 100 ₽5 550 ₽ In 1 click Beige Flower Assistance 4 070 ₽3 720 ₽ in 1 click of 35 red roses 50cm (Kenya) 4 410 ₽4 040 ₽ Buy 1 click wedding bouquets in the catalog Classic white wedding"&amp;" bouquet of the bride 5 580 ₽5 580 ₽ Buy in 1 click facial wedding bouquet of the bride from eastoma 6 180 ₽6 ₽6 180 ₽ Buy in 1 click Wedding bouquet of the bride with an orchid #2 4 800 ₽4 800 ₽ on order peach sprawling wedding bouquet of brides ... 5 45"&amp;"0 ₽5 450 ₽ Buy 1 click wedding bouquet of bride with non -patients 5 740 ₽5 740 ₽ ₽ Buy in 1 click a wedding bouquet of the bride of 15 roses Playa Blanc ... 5 750 ₽5 750 ₽ Buy 1 click Bright sprawling wedding bouquet of the bride 6 390 ₽6 ₽ Buy in 1 clic"&amp;"k of a field wedding bouquet of a bride with a peon #3 4 830 ₽4 830 ₽ Buy 1 click wedding bouquet of a bride of 9 roses Playa Blanca ... 4 530 ₽4 530 ₽ Buy prefabricated bouquets in the catalogs assembly bouquet BLOOM S 4 140 ₽4 140 ₽ Buy 1 click assembly"&amp;" bouquet Binich share m 5 610 ₽5 610 ₽ Buy 1 click assembly bouquet lilac compliment S 3 430 ₽3 430 ₽ Buy a prefabricated bouquet with spikelet m 3 710 ₽3 710 ₽ Buy in 1 click Prevention perfection M 4 220 ₽4 ₽4 ₽4 In 1 click, prefabricated bouquet breath"&amp;"ing Spring 4 250 ₽4 ₽4 ₽ Buy 1 click assembly bouquet Bloom M 8 890 ₽8 890 ₽ Buy 1 click Pion -tank bouquet with peony vanilla syrup s 4 640 ₽4 640 ₽ Buy 1 click bouquet in Hat box pastille 2 670 ₽2 670 ₽ Buy in 1 click Publishing bouquet Summer meadow S "&amp;"3 280 ₽3 280 ₽ Buy 1 click assembly bouquet Spring Morning 6 980 ₽6 980 ₽ Buy 1 clip Tuplement bouquet Sophie 5 930 ₽5 930 ₽5 930 ₽ Buy in 1 click Tender bouquets of 15 roses Playa Blanca 5 750 ₽5 750 ₽ Buy 1 click Flower basket Soft 6 370 ₽6 370 ₽ Buy in"&amp;" 1 click Bouquet of 15 peach cloves with eucalyptus 2 980 ₽2 980 ₽ In 1 click, a prefabricated bouquet Pink compliment 2 780 ₽2 780 ₽ Buy in 1 click assembly bouquet perfection l 5 860 ₽5 860 ₽ Buy in 1 click Prefabricated bouquet perfection m 4 220 ₽4 56"&amp;"0 ₽8 560 ₽ Buy in 1 click Boat Bloom L 12 540 ₽12 540 ₽ Buy 1 click in 1 click prefabricated bouquet Early morning 3 790 ₽3 790 ₽ Buy 1 click Tuplement bouquet marshmallow m 6 180 ₽6 180 ₽ Buy 1 Click a bouquet in anticipation of spring S 4 730 ₽4 730 ₽ B"&amp;"uy 1 click Flower composition Sweet Heart 5 620 ₽5 620 ₽ Buy 1 click Bouquet in a hat in a hat box pink lace m 3 980 ₽3 980 ₽ Buy in 1 click Morning in the hay 3 780 ₽3 780 ₽ On order a bouquet of hydrangeas and peonies Strawberry Cream 4 660 ₽3 760 ₽ Red"&amp;" roses Bouquet of 25 red roses 40cm (Kenya) 2 940 ₽2 810 ₽ Buy 1 click Bouquet of 101 red roses 40cm (Kenya) 9 050 ₽8 520 ₽ Buy 1 click Bouquet of 25 red roses 50cm (Kenya) 3 795 ₽3 140 ₽ Buy 1 click of 101 red rose 50cm (Kenya) 12 100 ₽9 770 ₽ Buy In 1 c"&amp;"lick, a bouquet of 11 red roses 50cm 3 920 ₽3 920 ₽ Buy 1 click of 15 red roses 50cm 5 190 ₽5 190 ₽ Buy 1 click of 51 red rose 50cm (Kenya) 6 825 ₽5 550 ₽ Buy in 1 click a bouquet of 25 red roses 50cm 8 410 ₽8 410 ₽ Buy 1 click Bouquet of 51 red rose 50cm"&amp;" 14 630 ₽14 120 ₽ Buy 1 click Bouquet of 25 burgundy roses 60cm (Kenya premium) 3 590 ₽3 030 ₽ Under order a bouquet of Proteus and roses Explorer 6 850 ₽6 850 ₽ Buy 1 click Bouquet in a hat box of 75 red roses (ke ... 9 980 ₽6 990 ₽ Under order to order "&amp;"reviews Leave reviews 13.10.202217: 25 Alenakhodas I really liked the store, I was looking for a flower in the evening, which works 24h. And I stopped in Florcat, I am with a soul and beautifully cozy flowers fresh. The girl very Mila and I did not interf"&amp;"ere with the opportunity to decide on the colors on 09/20/20213: 16: 03 Daria thank you very much for your delivery! The bouquet is chic! Delivery on time! 09/08/202214: 46: 32 Andrew Personnel and flowers -5 site (the link to the Personal Account does no"&amp;"t work) 1. Total -4 01.09.202221: 19: 33 Natalya ordered two bouquets of Bloom S wedding and a bouquet of 51 white roses. On the day of delivery, they sent a photo of ready -made bouquets the courier arrived during. Flowers are the highest aroma pleasant "&amp;"and not intrusive. Well done florists professionals of their business! Thanks a lot! Good luck to you and inexhaustible ideas for your magnificent bouquets! You ask you to answer, whether it is possible to get a photo of a finished bouquet? Yes, sure! We "&amp;"will definitely send photos of the finished bouquet to coordinate so that you do not worry :) Exception - holidays on which we will not send a photo of bouquets due to workload. Do I need to pay extra for delivery? We have different delivery options as we"&amp;"ll as zones - for example, orders in St. Petersburg we deliver for free and bouquets to the Leningrad region - for an additional fee .. We also have a service of night delivery and delivery to the exact time if free intervals are not suitable :) How to pa"&amp;"y order? You can pay for the order in any convenient way: our couriers have terminals and the ability to accept cash and if you have an order for another person, we will accept payment online :) How to place an order for flowing delivery? To place an orde"&amp;"r, you will need to choose a bouquet and click on the ""place an order"" button. Then fill out information about the sender and recipient and choose the desired payment method. After making payment, the courier will deliver the selected flowers at the des"&amp;"ired time at the specified address :) Florcat.ru-24-hour flowers delivery in St. Petersburg Florcat.ru-24-hour flowers delivery in St. Petersburg with special bouquets of fresh colors decorated with spreading herbs and stylish branded packaging . Florcat."&amp;"ru delings fresh flowers and a great mood since 2019. We create bouquets and compositions in hat boxes with love and skill baskets and boxes taking into account every wish and preserving our own style and also share with you preparations for events and we"&amp;"ddings: we select bouquets for brides and draw up space for the upcoming celebrations. Order flowers with delivery to St. Petersburg and the Leningrad region or come for ordering in one of our studios. Complete the bouquet with a stylish vase with a fragr"&amp;"ant soy candle with balloons or sweets and be sure that the gift will bring a lot of positive emotions to a person to a person. Flip photos of the bouquet before delivering orders around the clock, order flowers with delivery and arrange a pickup: call or"&amp;" write to us in a messenger convenient for you. We are registered in WhatsApp Viber and Telegram -form the order on our website: Add the bouquet you like to the basket and fill out the format aTAGRAM Formatte, show our favorite bouquet and indicate the in"&amp;"formation about yourself and recort our fast courier at the threshold of the apartment or come to one of our round -the -clock studios located according to the following Addresses: Tynova 38 Professor Popova 27 are you looking for flowers with delivery to"&amp;" St. Petersburg? Trust us! :) Bouquets of our shares -collar bouquet bouquets with flower stoma bouquets in a box flowers bouquets from chrysanthemum bouquets made of tulipetes made of piono -drone flowers other sweatings and toppers and airy -players of "&amp;"candles and diffusers to customers about appliances. 7 (812) 425-61-03 Feedback Order a callHatsApp / viber / telegram +7 (905) 212-10-22s on social networks: Vkontakte Instagramip Aleksandrova Yu. R. | IP Abbyasov L. r. 196233 St. Petersburg st. Tynova d"&amp;". 38 User Agreement © Florcat 2023 The information presented on the site is not a public offer determined by the provisions of Article 437 of the Civil Code of the Russian Federation. The bouquet was added to the basket-mail pasodolvoi password? Restore a"&amp;"ccess to the access to reconnect! Input communication is the name of the telephone code in the picture in the picture I agree to process my personal data in accordance with the user agreement. Send order to be a phone from the phone, I agree to process my"&amp;" personal data in accordance with the user agreement. The code in the picture will recovate the consultation of the decorator replenish the information below and expect feedback :) The name of the phone I agree to the processing of my personal data in acc"&amp;"ordance with the user agreement. Send our application500 bonuses when registering a 10% of each ordering payment delivery for St. Petersburgfoot Bouquet before delivery of fresh flowers and a guarantee of quality to the review of the review of the assessm"&amp;"ent * comment * I agree to process my personal data in accordance with the user agreement. Send one clicky -core in one clickyonomer in the picture I agree to process my personal data in accordance with the user agreement. Buying this product now is not a"&amp;"vailable in studios. We will check the possibility of ordering flowers specifically to your date and contact you :) The name of the telephone code in the picture I agree to process my personal data in accordance with the user agreement. Order")</f>
        <v>Flower delivery in St. Petersburg is inexpensive-online store Flower store Florist Cathrian Cabinet-Cabinet-Cabinets Autumn Buckets Winter Bouquets Pink Bouquets Lilac Bouquets Field Bouquets Red Bouquets with Alustomerias with Carnations with Orchins with Roses with Eustemes with Eustemes with Eustems Rose rose Kenya Pionovid rose Rose Ecuador Course rose Flowers Rose Georgina Gordensi Piono Cloves (Diantus) Alstromeria gypsophila chipsathema orchid eastoma (lisianthus) Matrixa succaria other flowers of lilies of tulpans of tulipalus duo-boots of puppets of gifts of gifts and percent. Bores Sukhotzeta Flower compositions flowers In the hatching box of the wedding bouquet of the bride Wedding decor premium catalog about us payment Service Contacts Feedback +7 (812) 425-61-03 order the call +7 (812) 425-61-03 order to call the catalog catalog for us payment Contacts Contact Reverse Communication +7 (812) 425-61-03 Order a call +7 (812) 425-61-03 order a call download the application and get 500 bonuses watch in the application download +7 (812) 429-69-87 Autics Autumn Autumn Buckets bouquets pink bouquets Pink Bouquets of lilac bouquets men's bouquets Field bouquets in warm shades red bouquets with alstromerias with cloves with hydrangeas with orchids with peonies with roses with eustoma rose rose pionovid rose Ecuador rose rose fragrant roses of dahlias of gordenesis pionomes Fila Chrysanthemum iris orchid eastoma (lysianthus) Matrixes dry flowers other flowers of lilies tulips Ranunkulus duo-boots composition of a basket of flowers Gifts and succal sets Flower compositions Flowers in a hats wedding Bouquet Bouquet Bouquet Bouquet Bouquet Buying Building Building Disgracker Foundation Building Together Supporting Flower Flower Flower 70 ₽6 370 ₽ Buy 1 Click Bouquet of 15 pink cloves 2 450 ₽2 450 ₽ Buy 1 click Publishing bouquet Tenderness M 4 390 ₽4 390 ₽ Buy 1 click Bouquet of 101 red rose 40cm (Kenya) 9 050 ₽8 520 ₽ Buy 1 click Bouquet Summer Sunset M 4 480 ₽4 480 ₽ Buy 1 click Publishing bouquet Tenderness s 2 840 ₽2 840 ₽ Buy 1 click Bloom S 4 140 ₽4 ₽4 590 ₽2 072 ₽ Buy in 1 click Purchase bouquet Lyubov M 5 450 ₽5 450 ₽ Buy 1 click assembly bouquet perfection m 4 220 ₽4 220 ₽ Buy 1 click Flower basket Love 12 640 ₽12 640 ₽ Buy in 1 click Bouquet of pionovid roses Pink Expression M 5 750 ₽5 ₽5 ₽5 of 3 pink hydrangeas 3 190 ₽3 190 ₽ Buy 1 click Bouquet of 9 branches of gypsophiles 3 210 ₽3 210 ₽ Buy 1 click Bouquaty -Salarpione -Syphyophylairisanthemicals to the Catalog Bouquet of 101 White Rose 50cm (Kenya) 10 345 ₽9 770 ₽ Buy in 1 Click Bouquet of 25 red roses 40cm (Kenya) 2 940 ₽2 810 ₽ Buy 1 click assembly bouquet Warm Summer S 2 470 ₽2 120 ₽ Buy 1 click Bouquet of 25 red roses 50cm (Kenya) 3 795 ₽3 140 ₽ Buy in 1 click a white bouquet with spikelets s 2 680 ₽2 180 ₽ Buy 1 click Bouquet of 51 white rose 50cm (Kenya) 6 100 ₽5 550 ₽ In 1 click Beige Flower Assistance 4 070 ₽3 720 ₽ in 1 click of 35 red roses 50cm (Kenya) 4 410 ₽4 040 ₽ Buy 1 click wedding bouquets in the catalog Classic white wedding bouquet of the bride 5 580 ₽5 580 ₽ Buy in 1 click facial wedding bouquet of the bride from eastoma 6 180 ₽6 ₽6 180 ₽ Buy in 1 click Wedding bouquet of the bride with an orchid #2 4 800 ₽4 800 ₽ on order peach sprawling wedding bouquet of brides ... 5 450 ₽5 450 ₽ Buy 1 click wedding bouquet of bride with non -patients 5 740 ₽5 740 ₽ ₽ Buy in 1 click a wedding bouquet of the bride of 15 roses Playa Blanc ... 5 750 ₽5 750 ₽ Buy 1 click Bright sprawling wedding bouquet of the bride 6 390 ₽6 ₽ Buy in 1 click of a field wedding bouquet of a bride with a peon #3 4 830 ₽4 830 ₽ Buy 1 click wedding bouquet of a bride of 9 roses Playa Blanca ... 4 530 ₽4 530 ₽ Buy prefabricated bouquets in the catalogs assembly bouquet BLOOM S 4 140 ₽4 140 ₽ Buy 1 click assembly bouquet Binich share m 5 610 ₽5 610 ₽ Buy 1 click assembly bouquet lilac compliment S 3 430 ₽3 430 ₽ Buy a prefabricated bouquet with spikelet m 3 710 ₽3 710 ₽ Buy in 1 click Prevention perfection M 4 220 ₽4 ₽4 ₽4 In 1 click, prefabricated bouquet breathing Spring 4 250 ₽4 ₽4 ₽ Buy 1 click assembly bouquet Bloom M 8 890 ₽8 890 ₽ Buy 1 click Pion -tank bouquet with peony vanilla syrup s 4 640 ₽4 640 ₽ Buy 1 click bouquet in Hat box pastille 2 670 ₽2 670 ₽ Buy in 1 click Publishing bouquet Summer meadow S 3 280 ₽3 280 ₽ Buy 1 click assembly bouquet Spring Morning 6 980 ₽6 980 ₽ Buy 1 clip Tuplement bouquet Sophie 5 930 ₽5 930 ₽5 930 ₽ Buy in 1 click Tender bouquets of 15 roses Playa Blanca 5 750 ₽5 750 ₽ Buy 1 click Flower basket Soft 6 370 ₽6 370 ₽ Buy in 1 click Bouquet of 15 peach cloves with eucalyptus 2 980 ₽2 980 ₽ In 1 click, a prefabricated bouquet Pink compliment 2 780 ₽2 780 ₽ Buy in 1 click assembly bouquet perfection l 5 860 ₽5 860 ₽ Buy in 1 click Prefabricated bouquet perfection m 4 220 ₽4 560 ₽8 560 ₽ Buy in 1 click Boat Bloom L 12 540 ₽12 540 ₽ Buy 1 click in 1 click prefabricated bouquet Early morning 3 790 ₽3 790 ₽ Buy 1 click Tuplement bouquet marshmallow m 6 180 ₽6 180 ₽ Buy 1 Click a bouquet in anticipation of spring S 4 730 ₽4 730 ₽ Buy 1 click Flower composition Sweet Heart 5 620 ₽5 620 ₽ Buy 1 click Bouquet in a hat in a hat box pink lace m 3 980 ₽3 980 ₽ Buy in 1 click Morning in the hay 3 780 ₽3 780 ₽ On order a bouquet of hydrangeas and peonies Strawberry Cream 4 660 ₽3 760 ₽ Red roses Bouquet of 25 red roses 40cm (Kenya) 2 940 ₽2 810 ₽ Buy 1 click Bouquet of 101 red roses 40cm (Kenya) 9 050 ₽8 520 ₽ Buy 1 click Bouquet of 25 red roses 50cm (Kenya) 3 795 ₽3 140 ₽ Buy 1 click of 101 red rose 50cm (Kenya) 12 100 ₽9 770 ₽ Buy In 1 click, a bouquet of 11 red roses 50cm 3 920 ₽3 920 ₽ Buy 1 click of 15 red roses 50cm 5 190 ₽5 190 ₽ Buy 1 click of 51 red rose 50cm (Kenya) 6 825 ₽5 550 ₽ Buy in 1 click a bouquet of 25 red roses 50cm 8 410 ₽8 410 ₽ Buy 1 click Bouquet of 51 red rose 50cm 14 630 ₽14 120 ₽ Buy 1 click Bouquet of 25 burgundy roses 60cm (Kenya premium) 3 590 ₽3 030 ₽ Under order a bouquet of Proteus and roses Explorer 6 850 ₽6 850 ₽ Buy 1 click Bouquet in a hat box of 75 red roses (ke ... 9 980 ₽6 990 ₽ Under order to order reviews Leave reviews 13.10.202217: 25 Alenakhodas I really liked the store, I was looking for a flower in the evening, which works 24h. And I stopped in Florcat, I am with a soul and beautifully cozy flowers fresh. The girl very Mila and I did not interfere with the opportunity to decide on the colors on 09/20/20213: 16: 03 Daria thank you very much for your delivery! The bouquet is chic! Delivery on time! 09/08/202214: 46: 32 Andrew Personnel and flowers -5 site (the link to the Personal Account does not work) 1. Total -4 01.09.202221: 19: 33 Natalya ordered two bouquets of Bloom S wedding and a bouquet of 51 white roses. On the day of delivery, they sent a photo of ready -made bouquets the courier arrived during. Flowers are the highest aroma pleasant and not intrusive. Well done florists professionals of their business! Thanks a lot! Good luck to you and inexhaustible ideas for your magnificent bouquets! You ask you to answer, whether it is possible to get a photo of a finished bouquet? Yes, sure! We will definitely send photos of the finished bouquet to coordinate so that you do not worry :) Exception - holidays on which we will not send a photo of bouquets due to workload. Do I need to pay extra for delivery? We have different delivery options as well as zones - for example, orders in St. Petersburg we deliver for free and bouquets to the Leningrad region - for an additional fee .. We also have a service of night delivery and delivery to the exact time if free intervals are not suitable :) How to pay order? You can pay for the order in any convenient way: our couriers have terminals and the ability to accept cash and if you have an order for another person, we will accept payment online :) How to place an order for flowing delivery? To place an order, you will need to choose a bouquet and click on the "place an order" button. Then fill out information about the sender and recipient and choose the desired payment method. After making payment, the courier will deliver the selected flowers at the desired time at the specified address :) Florcat.ru-24-hour flowers delivery in St. Petersburg Florcat.ru-24-hour flowers delivery in St. Petersburg with special bouquets of fresh colors decorated with spreading herbs and stylish branded packaging . Florcat.ru delings fresh flowers and a great mood since 2019. We create bouquets and compositions in hat boxes with love and skill baskets and boxes taking into account every wish and preserving our own style and also share with you preparations for events and weddings: we select bouquets for brides and draw up space for the upcoming celebrations. Order flowers with delivery to St. Petersburg and the Leningrad region or come for ordering in one of our studios. Complete the bouquet with a stylish vase with a fragrant soy candle with balloons or sweets and be sure that the gift will bring a lot of positive emotions to a person to a person. Flip photos of the bouquet before delivering orders around the clock, order flowers with delivery and arrange a pickup: call or write to us in a messenger convenient for you. We are registered in WhatsApp Viber and Telegram -form the order on our website: Add the bouquet you like to the basket and fill out the format aTAGRAM Formatte, show our favorite bouquet and indicate the information about yourself and recort our fast courier at the threshold of the apartment or come to one of our round -the -clock studios located according to the following Addresses: Tynova 38 Professor Popova 27 are you looking for flowers with delivery to St. Petersburg? Trust us! :) Bouquets of our shares -collar bouquet bouquets with flower stoma bouquets in a box flowers bouquets from chrysanthemum bouquets made of tulipetes made of piono -drone flowers other sweatings and toppers and airy -players of candles and diffusers to customers about appliances. 7 (812) 425-61-03 Feedback Order a callHatsApp / viber / telegram +7 (905) 212-10-22s on social networks: Vkontakte Instagramip Aleksandrova Yu. R. | IP Abbyasov L. r. 196233 St. Petersburg st. Tynova d. 38 User Agreement © Florcat 2023 The information presented on the site is not a public offer determined by the provisions of Article 437 of the Civil Code of the Russian Federation. The bouquet was added to the basket-mail pasodolvoi password? Restore access to the access to reconnect! Input communication is the name of the telephone code in the picture in the picture I agree to process my personal data in accordance with the user agreement. Send order to be a phone from the phone, I agree to process my personal data in accordance with the user agreement. The code in the picture will recovate the consultation of the decorator replenish the information below and expect feedback :) The name of the phone I agree to the processing of my personal data in accordance with the user agreement. Send our application500 bonuses when registering a 10% of each ordering payment delivery for St. Petersburgfoot Bouquet before delivery of fresh flowers and a guarantee of quality to the review of the review of the assessment * comment * I agree to process my personal data in accordance with the user agreement. Send one clicky -core in one clickyonomer in the picture I agree to process my personal data in accordance with the user agreement. Buying this product now is not available in studios. We will check the possibility of ordering flowers specifically to your date and contact you :) The name of the telephone code in the picture I agree to process my personal data in accordance with the user agreement. Order</v>
      </c>
    </row>
    <row r="296">
      <c r="A296" s="1" t="s">
        <v>883</v>
      </c>
      <c r="B296" s="1" t="s">
        <v>959</v>
      </c>
      <c r="C296" s="1" t="s">
        <v>960</v>
      </c>
      <c r="D296" s="1">
        <v>20.0</v>
      </c>
      <c r="E296" s="4" t="s">
        <v>961</v>
      </c>
      <c r="F296" s="1" t="s">
        <v>16</v>
      </c>
      <c r="H296" s="4" t="s">
        <v>962</v>
      </c>
      <c r="I296" s="2">
        <v>1.0</v>
      </c>
      <c r="J296" s="5" t="str">
        <f>IFERROR(__xludf.DUMMYFUNCTION("GOOGLETRANSLATE(A296)"),"Gypsophyla")</f>
        <v>Gypsophyla</v>
      </c>
      <c r="K296" s="6" t="str">
        <f>IFERROR(__xludf.DUMMYFUNCTION("GOOGLETRANSLATE(B296)"),"Price, order bouquets from gypsophiles with delivery in Moscow in ...")</f>
        <v>Price, order bouquets from gypsophiles with delivery in Moscow in ...</v>
      </c>
      <c r="L296" s="5" t="str">
        <f>IFERROR(__xludf.DUMMYFUNCTION("GOOGLETRANSLATE(C296)"),"Bouquet gypsophile with delivery in Moscow ☎ 8 495 788 70 08 from the store ✿ simple flowers.")</f>
        <v>Bouquet gypsophile with delivery in Moscow ☎ 8 495 788 70 08 from the store ✿ simple flowers.</v>
      </c>
      <c r="M296" s="5" t="str">
        <f>IFERROR(__xludf.DUMMYFUNCTION("GOOGLETRANSLATE(G296)"),"#VALUE!")</f>
        <v>#VALUE!</v>
      </c>
    </row>
    <row r="297">
      <c r="A297" s="1" t="s">
        <v>883</v>
      </c>
      <c r="B297" s="1" t="s">
        <v>963</v>
      </c>
      <c r="D297" s="1">
        <v>2.0</v>
      </c>
      <c r="E297" s="4" t="s">
        <v>964</v>
      </c>
      <c r="F297" s="1" t="s">
        <v>43</v>
      </c>
      <c r="G297" s="1" t="s">
        <v>965</v>
      </c>
      <c r="H297" s="4" t="s">
        <v>966</v>
      </c>
      <c r="I297" s="2">
        <v>1.0</v>
      </c>
      <c r="J297" s="5" t="str">
        <f>IFERROR(__xludf.DUMMYFUNCTION("GOOGLETRANSLATE(A297)"),"Gypsophyla")</f>
        <v>Gypsophyla</v>
      </c>
      <c r="K297" s="6" t="str">
        <f>IFERROR(__xludf.DUMMYFUNCTION("GOOGLETRANSLATE(B297)"),"Gypsophila - how to care for when and to whom to give")</f>
        <v>Gypsophila - how to care for when and to whom to give</v>
      </c>
      <c r="L297" s="5" t="str">
        <f>IFERROR(__xludf.DUMMYFUNCTION("GOOGLETRANSLATE(C297)"),"#VALUE!")</f>
        <v>#VALUE!</v>
      </c>
      <c r="M297" s="5" t="str">
        <f>IFERROR(__xludf.DUMMYFUNCTION("GOOGLETRANSLATE(G297)"),"208.75.19.153 12.11.2023 09:45:22Sorry your request has been denied.")</f>
        <v>208.75.19.153 12.11.2023 09:45:22Sorry your request has been denied.</v>
      </c>
    </row>
    <row r="298">
      <c r="A298" s="1" t="s">
        <v>883</v>
      </c>
      <c r="B298" s="1" t="s">
        <v>967</v>
      </c>
      <c r="C298" s="1" t="s">
        <v>968</v>
      </c>
      <c r="D298" s="1">
        <v>3.0</v>
      </c>
      <c r="E298" s="4" t="s">
        <v>894</v>
      </c>
      <c r="F298" s="1" t="s">
        <v>43</v>
      </c>
      <c r="I298" s="2">
        <v>1.0</v>
      </c>
      <c r="J298" s="5" t="str">
        <f>IFERROR(__xludf.DUMMYFUNCTION("GOOGLETRANSLATE(A298)"),"Gypsophyla")</f>
        <v>Gypsophyla</v>
      </c>
      <c r="K298" s="6" t="str">
        <f>IFERROR(__xludf.DUMMYFUNCTION("GOOGLETRANSLATE(B298)"),"Gypsophiles, buy in Moscow, urgently in 29 minutes, ...")</f>
        <v>Gypsophiles, buy in Moscow, urgently in 29 minutes, ...</v>
      </c>
      <c r="L298" s="5" t="str">
        <f>IFERROR(__xludf.DUMMYFUNCTION("GOOGLETRANSLATE(C298)"),"Gypsophiles on Flowwow. ✨ Fast delivery: tracking the courier on the map! ✨ Favorable prices from 1250 rubles per bouquet of gypsophils, we work 24/7.")</f>
        <v>Gypsophiles on Flowwow. ✨ Fast delivery: tracking the courier on the map! ✨ Favorable prices from 1250 rubles per bouquet of gypsophils, we work 24/7.</v>
      </c>
      <c r="M298" s="5" t="str">
        <f>IFERROR(__xludf.DUMMYFUNCTION("GOOGLETRANSLATE(G298)"),"#VALUE!")</f>
        <v>#VALUE!</v>
      </c>
    </row>
    <row r="299">
      <c r="A299" s="1" t="s">
        <v>883</v>
      </c>
      <c r="B299" s="1" t="s">
        <v>969</v>
      </c>
      <c r="C299" s="1" t="s">
        <v>970</v>
      </c>
      <c r="D299" s="1">
        <v>6.0</v>
      </c>
      <c r="E299" s="4" t="s">
        <v>971</v>
      </c>
      <c r="F299" s="1" t="s">
        <v>43</v>
      </c>
      <c r="G299" s="1" t="s">
        <v>901</v>
      </c>
      <c r="H299" s="4" t="s">
        <v>902</v>
      </c>
      <c r="I299" s="2">
        <v>1.0</v>
      </c>
      <c r="J299" s="5" t="str">
        <f>IFERROR(__xludf.DUMMYFUNCTION("GOOGLETRANSLATE(A299)"),"Gypsophyla")</f>
        <v>Gypsophyla</v>
      </c>
      <c r="K299" s="6" t="str">
        <f>IFERROR(__xludf.DUMMYFUNCTION("GOOGLETRANSLATE(B299)"),"Buy bouquets of gypsophiles at a price of 990 rubles in Moscow")</f>
        <v>Buy bouquets of gypsophiles at a price of 990 rubles in Moscow</v>
      </c>
      <c r="L299" s="5" t="str">
        <f>IFERROR(__xludf.DUMMYFUNCTION("GOOGLETRANSLATE(C299)"),"The site shows a huge selection of gypsophila bouquets at low prices. Flower delivery in Moscow within 2 hours. Before placing an order is available ...")</f>
        <v>The site shows a huge selection of gypsophila bouquets at low prices. Flower delivery in Moscow within 2 hours. Before placing an order is available ...</v>
      </c>
      <c r="M299" s="5" t="str">
        <f>IFERROR(__xludf.DUMMYFUNCTION("GOOGLETRANSLATE(G299)"),"Flawry - flowers and gifts with delivery in Russia - a large selection of bouquets from the best florists of the city of the city of Support to Flawrypay and Delivery of the company Kontaktytybyttykoye delivery of 20 minutes of the selected city depends o"&amp;"n the assortment of the selected city depends on the assortment of goods stores in 261 cities of Russians every day more florists in different regions join us every day Therefore, it will not be difficult for you to order a bouquet with the delivery of fl"&amp;"owers to the Moscow Blowers to St. Petersburg Flowers to Samarevoronefatyumenoschiklashkrase, the bouquet I liked the bouquet, but you don’t fit into the budget, you can make a similar one to reduce the cost of bouquets and disciplees. Zhenya You can get "&amp;"additional discounts on promotional codes for bouquets when paying for an order for an individual approach to each client Floriste, you can get a professional advice from a specialist on all interests of the bouquet of the bouquet -resident 2000 ₽ Transki"&amp;"dnunkid -sales a reservoir. OV clients4.89 general rating basis 17731 reviews Customers Flowers by LUSI on November 11 at 23: 38 -Extensive bouquet for a sister very tenderly beautiful packaging Fresh flowers 🩷 Moscow Ekaterina FlowerStorg November 11 at"&amp;" 20: 57 paint bouquet of flowers. An unusual coloring and color one to one as from a picture, the girl really liked the city of Moscow Riviera on November 11 at 19: a 23 -playing bouquet I really liked the bouquet $ Moscow Floral Accord November 11 at 10:"&amp;" 21CPASIBO Big you! An unrealistically beautiful pot is everything as in the photo the price is magnificent, I wish you development and promotion! Moscow EVA Flowers Chrisantem - 10; Chamomile - 7; Packaging - 5; Atlase tape - November 2 11 at 10: 00 Gene"&amp;"ral guys super that florist is that delivery - I advise everything at the level! Moscow Roman M.Mosbuketikrosis - 11 packaging - 4 tapes - 1 November 11 at 02: 48 Non for the first time I order flowers here with delivery, everything is quickly beautiful! "&amp;"Moscow Mango La Fiori November 10 at 22: 51VS Super birthday is delighted :) Moscow Rozamir on November 10 at 19: 59 -in -line service bouquet was taken to time. It looks amazingly packed beautifully and concisely. Moscow Flowers by Lusi on November 10 at"&amp;" 12: 04SPASIBO GREATIONALY employees politely clearly explained) G. Moscow download the Flawry application there is even more convenient there after a chat with the florist -free stores of your city more than 70470 bouquets and the buyer's gifts and a 100"&amp;"% guarantee of returning from Flawery is to profitably order Delivery is just when choosing bouquets of flowers is huge. We are a trading platform on which store offers from all over Russia are located. Discount stocks and a bonus program will make delive"&amp;"ry even more pleasant. Oo company and delivery of the partnership from liability of confidentiality of the use of the use of promoted news and promotions of contacts109316 Moscow Volgogradsky Prospekt 43 K3Email: info@flawery.ruteleph: 8 800 350-32-75 gra"&amp;"phics Center - From 08:00 to 22:00 seven days a day off. Application of applications on the site takes place around the clock, their execution takes place according to the operating mode of the cabin. © 2016-2023 Flavrey.ru LLC 1197746088759inn 7722471876"&amp;"KPP 772201001")</f>
        <v>Flawry - flowers and gifts with delivery in Russia - a large selection of bouquets from the best florists of the city of the city of Support to Flawrypay and Delivery of the company Kontaktytybyttykoye delivery of 20 minutes of the selected city depends on the assortment of the selected city depends on the assortment of goods stores in 261 cities of Russians every day more florists in different regions join us every day Therefore, it will not be difficult for you to order a bouquet with the delivery of flowers to the Moscow Blowers to St. Petersburg Flowers to Samarevoronefatyumenoschiklashkrase, the bouquet I liked the bouquet, but you don’t fit into the budget, you can make a similar one to reduce the cost of bouquets and disciplees. Zhenya You can get additional discounts on promotional codes for bouquets when paying for an order for an individual approach to each client Floriste, you can get a professional advice from a specialist on all interests of the bouquet of the bouquet -resident 2000 ₽ Transkidnunkid -sales a reservoir. OV clients4.89 general rating basis 17731 reviews Customers Flowers by LUSI on November 11 at 23: 38 -Extensive bouquet for a sister very tenderly beautiful packaging Fresh flowers 🩷 Moscow Ekaterina FlowerStorg November 11 at 20: 57 paint bouquet of flowers. An unusual coloring and color one to one as from a picture, the girl really liked the city of Moscow Riviera on November 11 at 19: a 23 -playing bouquet I really liked the bouquet $ Moscow Floral Accord November 11 at 10: 21CPASIBO Big you! An unrealistically beautiful pot is everything as in the photo the price is magnificent, I wish you development and promotion! Moscow EVA Flowers Chrisantem - 10; Chamomile - 7; Packaging - 5; Atlase tape - November 2 11 at 10: 00 General guys super that florist is that delivery - I advise everything at the level! Moscow Roman M.Mosbuketikrosis - 11 packaging - 4 tapes - 1 November 11 at 02: 48 Non for the first time I order flowers here with delivery, everything is quickly beautiful! Moscow Mango La Fiori November 10 at 22: 51VS Super birthday is delighted :) Moscow Rozamir on November 10 at 19: 59 -in -line service bouquet was taken to time. It looks amazingly packed beautifully and concisely. Moscow Flowers by Lusi on November 10 at 12: 04SPASIBO GREATIONALY employees politely clearly explained) G. Moscow download the Flawry application there is even more convenient there after a chat with the florist -free stores of your city more than 70470 bouquets and the buyer's gifts and a 100% guarantee of returning from Flawery is to profitably order Delivery is just when choosing bouquets of flowers is huge. We are a trading platform on which store offers from all over Russia are located. Discount stocks and a bonus program will make delivery even more pleasant. Oo company and delivery of the partnership from liability of confidentiality of the use of the use of promoted news and promotions of contacts109316 Moscow Volgogradsky Prospekt 43 K3Email: info@flawery.ruteleph: 8 800 350-32-75 graphics Center - From 08:00 to 22:00 seven days a day off. Application of applications on the site takes place around the clock, their execution takes place according to the operating mode of the cabin. © 2016-2023 Flavrey.ru LLC 1197746088759inn 7722471876KPP 772201001</v>
      </c>
    </row>
    <row r="300">
      <c r="A300" s="1" t="s">
        <v>883</v>
      </c>
      <c r="B300" s="1" t="s">
        <v>972</v>
      </c>
      <c r="D300" s="1">
        <v>7.0</v>
      </c>
      <c r="E300" s="4" t="s">
        <v>973</v>
      </c>
      <c r="F300" s="1" t="s">
        <v>43</v>
      </c>
      <c r="G300" s="1" t="s">
        <v>974</v>
      </c>
      <c r="H300" s="4" t="s">
        <v>975</v>
      </c>
      <c r="I300" s="2">
        <v>1.0</v>
      </c>
      <c r="J300" s="5" t="str">
        <f>IFERROR(__xludf.DUMMYFUNCTION("GOOGLETRANSLATE(A300)"),"Gypsophyla")</f>
        <v>Gypsophyla</v>
      </c>
      <c r="K300" s="6" t="str">
        <f>IFERROR(__xludf.DUMMYFUNCTION("GOOGLETRANSLATE(B300)"),"Gypsophyla: types, landing, reproduction and care")</f>
        <v>Gypsophyla: types, landing, reproduction and care</v>
      </c>
      <c r="M300" s="5" t="str">
        <f>IFERROR(__xludf.DUMMYFUNCTION("GOOGLETRANSLATE(G300)"),"Delivery of flowers in Ukraine and the world: order a bouquet of flowers with delivery in Ukraine at Flowers.ua (044) 585-88-99-Kyiv0-800-357-000-Free+1-718-475-92-72-New York (067) 355-77-55-Kyivstarinshi phones (044) 585-88-99-Kyiv0-800-357-000-Free+1-7"&amp;"18-475-92-72-New York (067) 355-77- 55-Kyivstar (056) 790-98-00-Dnipro (048) 734-41-99-Odessa (057) 728-51-99-Kharkiv We work around the clock UKR RUCE Highly library ligament. Interior decor flowers Back roseprysanthemic flower flower -season bouquet bou"&amp;"ettlpattyulpaniroidythyroid bushiestroma to whom Back Flowers Women's Leafvita Flowers Mammics Mammics Babyvita Children's Partner Occupation Back Birthday Birthdays 1500 UAH Kiev is free show prices in Uahusdeur Sales Hit -15% Bouquet in Eco packaging """&amp;"15 red roses"" 799 UAH940 UAH order -35% bouquet of 25 red roses 1099 UAH1691 UAH order -40% bouquet of 51 red roses 1999 UAH3332 UAH order a hot offer to View All Sorting: Cheap expensive -20% 15 Roses AThena Royale (Kenya) 659 UAH824 UAH Order -10% Flow"&amp;"ers in the box ""19 roses Pink Athena"" 899 UAH999 2759 UAH4598 UAH Order -20% bouquet ""29 red roses"" 1199 UAH1599 UAH order -45% 101 Pink Ahena (Kenya) 3099 UAH5635 UAH 21 1899 UAH2713 UAH Order -35% 51 AThena Royale rose (Kenya) 1399 UAH2152 UAH Order"&amp;" flowers View all sorting: cheap expensive -20% giant beige bear and 25 red roses 2459 UAH 3074 UAH! ""51 White Rose"" 1659 UAH2765 UAH order the bouquet ""Beauty"" 1199 UAH1332 UAH to order -20% bouquet in the package ""21 Red Rose!"" 1159 UAH1449 UAH Or"&amp;"der -10% Bouquet ""Tale of My Life"" 1659 UAH1843 UAH To order a giant bouquet of roses 2859 UAH3364 to order -15% bouquet ""Charm"" with balloons 1359 UAH1699 UAH order -35%! ""25 white roses"" 999 UAH1537 UAH order -35% bouquet of 35 red roses 1659 UAH2"&amp;"552 UAH order -10% bouquet ""Forest Nymph"" 1159 UAH1288 UAH order -20% bouquet in eco packaging ""7 red roses"" 20% bouquet ""Bright Sun!"" 799 UAH999 UAH Order -20% 101 White rose 4699 UAH5874 UAH order -15% bouquet of 11 red roses 759 UAH 893 UAH order"&amp;" -10% bouquet of shrub roses 1099 UAH1221 UAH % 151 Red rose 5199 UAH9453 UAH order -30% bouquet ""Sweet desire"" 999 UAH1427 UAH order -15% bouquet ""Dreams of Princess"" multicolored chrysanthemums! "" 1459 UAH1621 UAH Order -15% Bouquet ""25 roses of P"&amp;"ersia"" 1559 UAH 1834 UAH Order -15% bouquet ""15 rose roses"" 999 UAH1175 UAH order -25% bouquet compliment!"" 999 UAH1175 UAH Order -20% Bouquet ""25 Jumil's roses"" 1459 UAH 1824 UAH Order -35% bouquet ""Our happiness!"" 2859 UAH4398 UAH order -10% bou"&amp;"quet ""9 white roses"" 799 UAH888 UAH Order bouquets of week View all sorting: cheap expensive -20% bouquet ""Sweet tune"" 10% Bouquet ""Fairytale Autumn"" 1359 UAH1510 UAH Order -10% Bouquet ""Magic Moment"" 959 UAH1066 UAH Order bouquets of tulips and i"&amp;"rises to View All Sorting: Cheap expensive -20% bouquet ""Queen"" 1959 UAH2449 UAH White tulips ""1259 UAH1399 UAH Order -20% bouquet"" 51 white and pink tulip ""2299 UAH2874 Under -10% spring bouquet"" 9 pink tulips ""659 UAH732 699 UAH822 UAH order a bo"&amp;"uquet ""Rainbow of emotions"" 1099 UAH1221 UAH to order -10% Bouquet ""Morning Zorya"" 1199 UAH1332 to order -10% Bouquet ""Flower Bliss"" 1559 UAH1732 UAH To order a bouquet ""Golden!"" 799 UAH order -20% 25 multicolored chrysanthemums! 2099 UAH 2624 UAH"&amp;" order -10% of flower bouquet ""Wonderful mood"" 1099 UAH1221 UAH Order the bouquet ""Master and Margarita"" 1159 UAH1364 UAH order flowers in the box View everything sorting: cheap expensive -30% flowers in the box ""101 White rose""! 3799 UAH5427 UAH or"&amp;"der -30% flowers in the box ""25 red roses!"" 1859 UAH2656 UAH Order -20% Flowers in the box ""Gentle Highs"" 1599 UAH 1999 -20% Flowers in the ""inspiration"" box 1259 UAH1574 to order -15% composition ""This is your day!"" 4499 UAH5293 UAH To order flow"&amp;"ers in the box ""My Miracle"" 399 UAH443 UAH order gifts -10% gift basket ""I love you"" 1399 UAH1554 UAH to order -20% of the basket of fruit ""Fruit Oasis"" 1959 UAH2449 UAH Order -20% Fruit Basket ""Fragrant Satisfaction"" 1659 UAH2074 To order -15% of"&amp;" the fruit fantasy cart! 1959 UAH2305 UAH Order -10% Gift Basket ""Lavender Dream"" 1399 UAH1554 UAH Order -10% Fruit Basket ""Fruit Ensemble"" 1099 UAH1221 UAH Order the fountain of ball ""Black Shine"" 659 UAH. 3 4 5 Thank you well for delivering your l"&amp;"oved one. Read fully svitlana 09.11.2023 1 2 3 4 5 Wonderful bouquet very thank you! Delivery very quickly read completely Anastasia Zhukova 09.11.2023 1 2 3 4 5 Excellent! Thank you to read completely Andrew 06.11.2023 1 2 3 4 5 You will deliver flowers "&amp;"to Ukraine and international flower delivery in the shortest possible time and provide the highest quality of service. The order of bouquets online has a number of advantages. First of all, the delivery of flowers can be ordered without leaving the house "&amp;"or office. It will take a few minutes to order flowers. In doing so, we execute the urgent order of bouquets day by day. It is also worth noting that buying flowers is always a pleasant surprise for the recipient. Courier delivery of flowers will always m"&amp;"ake a proper impression. Delivery flower arrangements are a service for people with status that value professionalism and quality service. The bouquet yield can be accompanied by a free postcard. It will take a few minutes to order bouquets. Buy flowers i"&amp;"n Ukraine on our site quickly and easily.The advantages of ordering bouquets to the online flower store Flowers.uacidolovae delivery of flowers Ukraine. You can order flower delivery at any time of the day and night flowers and bouquets. The flower delive"&amp;"ry service in Ukraine Flowers.ua is different from the usual flower shops that are forced to store flowers on the showcase. All our bouquets of flowers gather clearly under the customer at the expense of this we always deliver only fresh flowers and bouqu"&amp;"ets. Price and service has provided Flowers.ua's position in the service of the leader in the service delivery of flowers in Ukraine. And the world we have received a huge number of positive feedback from our clients. Drawing of flowers in Ukraine from fl"&amp;"owers.ua is always quality and timely. Express delivery of flowers in Ukraine 24 hours a day: prompt and reliable many delivery of flowers in Ukraine is unique and unknown So far the service. Television and cinema turned it into an inaccessible opportunit"&amp;"y. In fact, the delivery of flowers and gifts in Ukraine goes to a new level. Flowers.ua's bouquet delivery service crosses all previous perceptions of the inhabitants. The five main advantages of the company provide it with success and popularity among t"&amp;"he residents of the large and peripheral cities of the country. Round -the -clock mode. We work 24/7; the latest flower arrangements original presentations and sweets; a wide range of gifts; reasonable pricing policy; a team of qualified professionals (ma"&amp;"nagers of florists of designers of logists and couriers). In our flower online store, we can offer you a wide selection of payment methods: Paypal Payment Visa MasterCard American Express Privat24 Apple Pay Payment through the Terminal and many others. Ju"&amp;"st make an order and choose the most convenient way from the proposed list. Cylocidal delivery of flowers we offer round-the-clock delivery of flowers to any point of Ukraine. Among other things, international flower delivery is available to your service "&amp;"that will allow you to send beautiful compositions to your lover almost any point of the globe. If you want to stay anonymous we can provide you. It is time to forget about restrictions because modern levels give full freedom and a lot of benefits. Leave "&amp;"the search for flower shops do not waste time and effort to select a bouquet. Now it is enough to make one call or place an order for flower delivery online. The functionality of the site is simple and understandable and experienced managers are always re"&amp;"ady to help with the selection of the relevant composition of the present or gift for your friends of loved ones and acquaintances. We will teach you to speak the language of flower catalog of the company collected by the incredible representatives of Flo"&amp;"ra the most licking and most beautiful flowers are able . Reliable and prompt Internet delivery of flowers proposes to emphasize your most significant experiences to convey your condolences to love passion for gratitude to the romantic mood of parental ca"&amp;"re. To order flowers with delivery, you should ask our managers with the value of individual plants. So the experts of the flower delivery service know that roses traditionally symbolize the passion of love with vivid feelings and sympathy that is born. W"&amp;"hite roses are associated with happiness and innocence yellow - jealousy of friendship red - in love and sensuality; daffodils in the bouquet mean vanity self -love and passion; tulips are introduced to the composition ; Kali speak of chastity and purity;"&amp;" irises emphasize wisdom and tranquility; lily is a sign of nobility of innocence of sensuality; orchid means sophistication and love. This is just a basic knowledge of the symbolism of flowers that will allow you to say the most important words to loved "&amp;"ones and friends. The online flower delivery store guarantees its customers not only the widest range of plants, but also the freshest flowers. Collaboration with reliable suppliers makes us the leaders of the delivery sphere, because only we can buy fres"&amp;"h and luxurious plants we can impress with our charm of everyone. Given happiness we make the world a beautiful beetle - it is not just a gift. It is an expression of emotions. When you give flowers, you convey your feelings and attitude towards a person "&amp;"and remind her of how important it is to you. Flowers can be given on the pretext - as a sign of respect or on the occasion of a romantic date and can be without. From Flowers.ua you can also order a bouquet with a surprise to sincerely please the dear pe"&amp;"ople. We know how valuable every such moment is the delivery of bouquets for us - it is first and foremost delivery of happiness and joy. By giving happiness, we make the world more beautiful and your relationship is closer and warmer. To do this, manager"&amp;"s accept orders at any time of day and night without weekends talented florists create stylish compositions modest and gorgeous bouquets and smart couriers are responsible for the delivery of flowers in Ukraine. We know how to give positive emotions. Here"&amp;" you can choose to order and buy flowers with delivery in any city of the country. Wonderful bouquets of delivery flowers are the joy of thank you and positive emotions that have become even more accessible and profitable. Flowers.ua flower and bouquets a"&amp;"re reasonable prices wide range and professionals. Give your beloved flowers Prefer Flowers.ua. Frewell Questions about Choosing Flowers: In what cities does your delivery work? Flowers.ua deliveries all over Ukraine so you can order flowers and gifts in:"&amp;" Kyiv Odessa Dnipro. -What other city.What bouquet is better to choose for birthday? Order in | Kyiv | Vinnytsia | Dnipro (Dnipropetrovsk) Zhytomyr | Zaporozhye | Ivano-Frankivsk | Kropyvnytskyi (Kirovograd) Kremenchuk | Kryvyi Rih | Lutsk | Lviv | Nikola"&amp;"ev | Odesa | Poltava | Rivne | Sumy | Ternopil | Uzhgorod | Kharkiv | Kherson | Khmelnitsky | Cherkasy | Chernivtsi | Chernihiv | Novomoskovsk | Pavlograd | Bucha | Uman | Warsaw | Prague | Vienna | Other Region of Other Languages: English: Flowers To UKR"&amp;"AINSRUSSKI: DELIVERY 585-88-99-Kyiv (056) 790-98-00-Dnipro Work around the clock-mail: info@flowers.ua flowers.uaporo flowers.uajadyalas and payment of the ORDER CONTRACTS ORDER 2003 - 2023 © Flowers.ua Delivery of Flowers Ukraine X-Choose Region: Boryspi"&amp;"lBrovarbuhavinnytsia Visnyvnyvnyvnyvni (Dnipropetrovsk) Zhytomyrzaporezhivtsi-Frankivtskhirpinchivkomenchkhkhkhkhkhkhkhkhkhvrovnyvnytskyi Order number and click the button. Verify")</f>
        <v>Delivery of flowers in Ukraine and the world: order a bouquet of flowers with delivery in Ukraine at Flowers.ua (044) 585-88-99-Kyiv0-800-357-000-Free+1-718-475-92-72-New York (067) 355-77-55-Kyivstarinshi phones (044) 585-88-99-Kyiv0-800-357-000-Free+1-718-475-92-72-New York (067) 355-77- 55-Kyivstar (056) 790-98-00-Dnipro (048) 734-41-99-Odessa (057) 728-51-99-Kharkiv We work around the clock UKR RUCE Highly library ligament. Interior decor flowers Back roseprysanthemic flower flower -season bouquet bouettlpattyulpaniroidythyroid bushiestroma to whom Back Flowers Women's Leafvita Flowers Mammics Mammics Babyvita Children's Partner Occupation Back Birthday Birthdays 1500 UAH Kiev is free show prices in Uahusdeur Sales Hit -15% Bouquet in Eco packaging "15 red roses" 799 UAH940 UAH order -35% bouquet of 25 red roses 1099 UAH1691 UAH order -40% bouquet of 51 red roses 1999 UAH3332 UAH order a hot offer to View All Sorting: Cheap expensive -20% 15 Roses AThena Royale (Kenya) 659 UAH824 UAH Order -10% Flowers in the box "19 roses Pink Athena" 899 UAH999 2759 UAH4598 UAH Order -20% bouquet "29 red roses" 1199 UAH1599 UAH order -45% 101 Pink Ahena (Kenya) 3099 UAH5635 UAH 21 1899 UAH2713 UAH Order -35% 51 AThena Royale rose (Kenya) 1399 UAH2152 UAH Order flowers View all sorting: cheap expensive -20% giant beige bear and 25 red roses 2459 UAH 3074 UAH! "51 White Rose" 1659 UAH2765 UAH order the bouquet "Beauty" 1199 UAH1332 UAH to order -20% bouquet in the package "21 Red Rose!" 1159 UAH1449 UAH Order -10% Bouquet "Tale of My Life" 1659 UAH1843 UAH To order a giant bouquet of roses 2859 UAH3364 to order -15% bouquet "Charm" with balloons 1359 UAH1699 UAH order -35%! "25 white roses" 999 UAH1537 UAH order -35% bouquet of 35 red roses 1659 UAH2552 UAH order -10% bouquet "Forest Nymph" 1159 UAH1288 UAH order -20% bouquet in eco packaging "7 red roses" 20% bouquet "Bright Sun!" 799 UAH999 UAH Order -20% 101 White rose 4699 UAH5874 UAH order -15% bouquet of 11 red roses 759 UAH 893 UAH order -10% bouquet of shrub roses 1099 UAH1221 UAH % 151 Red rose 5199 UAH9453 UAH order -30% bouquet "Sweet desire" 999 UAH1427 UAH order -15% bouquet "Dreams of Princess" multicolored chrysanthemums! " 1459 UAH1621 UAH Order -15% Bouquet "25 roses of Persia" 1559 UAH 1834 UAH Order -15% bouquet "15 rose roses" 999 UAH1175 UAH order -25% bouquet compliment!" 999 UAH1175 UAH Order -20% Bouquet "25 Jumil's roses" 1459 UAH 1824 UAH Order -35% bouquet "Our happiness!" 2859 UAH4398 UAH order -10% bouquet "9 white roses" 799 UAH888 UAH Order bouquets of week View all sorting: cheap expensive -20% bouquet "Sweet tune" 10% Bouquet "Fairytale Autumn" 1359 UAH1510 UAH Order -10% Bouquet "Magic Moment" 959 UAH1066 UAH Order bouquets of tulips and irises to View All Sorting: Cheap expensive -20% bouquet "Queen" 1959 UAH2449 UAH White tulips "1259 UAH1399 UAH Order -20% bouquet" 51 white and pink tulip "2299 UAH2874 Under -10% spring bouquet" 9 pink tulips "659 UAH732 699 UAH822 UAH order a bouquet "Rainbow of emotions" 1099 UAH1221 UAH to order -10% Bouquet "Morning Zorya" 1199 UAH1332 to order -10% Bouquet "Flower Bliss" 1559 UAH1732 UAH To order a bouquet "Golden!" 799 UAH order -20% 25 multicolored chrysanthemums! 2099 UAH 2624 UAH order -10% of flower bouquet "Wonderful mood" 1099 UAH1221 UAH Order the bouquet "Master and Margarita" 1159 UAH1364 UAH order flowers in the box View everything sorting: cheap expensive -30% flowers in the box "101 White rose"! 3799 UAH5427 UAH order -30% flowers in the box "25 red roses!" 1859 UAH2656 UAH Order -20% Flowers in the box "Gentle Highs" 1599 UAH 1999 -20% Flowers in the "inspiration" box 1259 UAH1574 to order -15% composition "This is your day!" 4499 UAH5293 UAH To order flowers in the box "My Miracle" 399 UAH443 UAH order gifts -10% gift basket "I love you" 1399 UAH1554 UAH to order -20% of the basket of fruit "Fruit Oasis" 1959 UAH2449 UAH Order -20% Fruit Basket "Fragrant Satisfaction" 1659 UAH2074 To order -15% of the fruit fantasy cart! 1959 UAH2305 UAH Order -10% Gift Basket "Lavender Dream" 1399 UAH1554 UAH Order -10% Fruit Basket "Fruit Ensemble" 1099 UAH1221 UAH Order the fountain of ball "Black Shine" 659 UAH. 3 4 5 Thank you well for delivering your loved one. Read fully svitlana 09.11.2023 1 2 3 4 5 Wonderful bouquet very thank you! Delivery very quickly read completely Anastasia Zhukova 09.11.2023 1 2 3 4 5 Excellent! Thank you to read completely Andrew 06.11.2023 1 2 3 4 5 You will deliver flowers to Ukraine and international flower delivery in the shortest possible time and provide the highest quality of service. The order of bouquets online has a number of advantages. First of all, the delivery of flowers can be ordered without leaving the house or office. It will take a few minutes to order flowers. In doing so, we execute the urgent order of bouquets day by day. It is also worth noting that buying flowers is always a pleasant surprise for the recipient. Courier delivery of flowers will always make a proper impression. Delivery flower arrangements are a service for people with status that value professionalism and quality service. The bouquet yield can be accompanied by a free postcard. It will take a few minutes to order bouquets. Buy flowers in Ukraine on our site quickly and easily.The advantages of ordering bouquets to the online flower store Flowers.uacidolovae delivery of flowers Ukraine. You can order flower delivery at any time of the day and night flowers and bouquets. The flower delivery service in Ukraine Flowers.ua is different from the usual flower shops that are forced to store flowers on the showcase. All our bouquets of flowers gather clearly under the customer at the expense of this we always deliver only fresh flowers and bouquets. Price and service has provided Flowers.ua's position in the service of the leader in the service delivery of flowers in Ukraine. And the world we have received a huge number of positive feedback from our clients. Drawing of flowers in Ukraine from flowers.ua is always quality and timely. Express delivery of flowers in Ukraine 24 hours a day: prompt and reliable many delivery of flowers in Ukraine is unique and unknown So far the service. Television and cinema turned it into an inaccessible opportunity. In fact, the delivery of flowers and gifts in Ukraine goes to a new level. Flowers.ua's bouquet delivery service crosses all previous perceptions of the inhabitants. The five main advantages of the company provide it with success and popularity among the residents of the large and peripheral cities of the country. Round -the -clock mode. We work 24/7; the latest flower arrangements original presentations and sweets; a wide range of gifts; reasonable pricing policy; a team of qualified professionals (managers of florists of designers of logists and couriers). In our flower online store, we can offer you a wide selection of payment methods: Paypal Payment Visa MasterCard American Express Privat24 Apple Pay Payment through the Terminal and many others. Just make an order and choose the most convenient way from the proposed list. Cylocidal delivery of flowers we offer round-the-clock delivery of flowers to any point of Ukraine. Among other things, international flower delivery is available to your service that will allow you to send beautiful compositions to your lover almost any point of the globe. If you want to stay anonymous we can provide you. It is time to forget about restrictions because modern levels give full freedom and a lot of benefits. Leave the search for flower shops do not waste time and effort to select a bouquet. Now it is enough to make one call or place an order for flower delivery online. The functionality of the site is simple and understandable and experienced managers are always ready to help with the selection of the relevant composition of the present or gift for your friends of loved ones and acquaintances. We will teach you to speak the language of flower catalog of the company collected by the incredible representatives of Flora the most licking and most beautiful flowers are able . Reliable and prompt Internet delivery of flowers proposes to emphasize your most significant experiences to convey your condolences to love passion for gratitude to the romantic mood of parental care. To order flowers with delivery, you should ask our managers with the value of individual plants. So the experts of the flower delivery service know that roses traditionally symbolize the passion of love with vivid feelings and sympathy that is born. White roses are associated with happiness and innocence yellow - jealousy of friendship red - in love and sensuality; daffodils in the bouquet mean vanity self -love and passion; tulips are introduced to the composition ; Kali speak of chastity and purity; irises emphasize wisdom and tranquility; lily is a sign of nobility of innocence of sensuality; orchid means sophistication and love. This is just a basic knowledge of the symbolism of flowers that will allow you to say the most important words to loved ones and friends. The online flower delivery store guarantees its customers not only the widest range of plants, but also the freshest flowers. Collaboration with reliable suppliers makes us the leaders of the delivery sphere, because only we can buy fresh and luxurious plants we can impress with our charm of everyone. Given happiness we make the world a beautiful beetle - it is not just a gift. It is an expression of emotions. When you give flowers, you convey your feelings and attitude towards a person and remind her of how important it is to you. Flowers can be given on the pretext - as a sign of respect or on the occasion of a romantic date and can be without. From Flowers.ua you can also order a bouquet with a surprise to sincerely please the dear people. We know how valuable every such moment is the delivery of bouquets for us - it is first and foremost delivery of happiness and joy. By giving happiness, we make the world more beautiful and your relationship is closer and warmer. To do this, managers accept orders at any time of day and night without weekends talented florists create stylish compositions modest and gorgeous bouquets and smart couriers are responsible for the delivery of flowers in Ukraine. We know how to give positive emotions. Here you can choose to order and buy flowers with delivery in any city of the country. Wonderful bouquets of delivery flowers are the joy of thank you and positive emotions that have become even more accessible and profitable. Flowers.ua flower and bouquets are reasonable prices wide range and professionals. Give your beloved flowers Prefer Flowers.ua. Frewell Questions about Choosing Flowers: In what cities does your delivery work? Flowers.ua deliveries all over Ukraine so you can order flowers and gifts in: Kyiv Odessa Dnipro. -What other city.What bouquet is better to choose for birthday? Order in | Kyiv | Vinnytsia | Dnipro (Dnipropetrovsk) Zhytomyr | Zaporozhye | Ivano-Frankivsk | Kropyvnytskyi (Kirovograd) Kremenchuk | Kryvyi Rih | Lutsk | Lviv | Nikolaev | Odesa | Poltava | Rivne | Sumy | Ternopil | Uzhgorod | Kharkiv | Kherson | Khmelnitsky | Cherkasy | Chernivtsi | Chernihiv | Novomoskovsk | Pavlograd | Bucha | Uman | Warsaw | Prague | Vienna | Other Region of Other Languages: English: Flowers To UKRAINSRUSSKI: DELIVERY 585-88-99-Kyiv (056) 790-98-00-Dnipro Work around the clock-mail: info@flowers.ua flowers.uaporo flowers.uajadyalas and payment of the ORDER CONTRACTS ORDER 2003 - 2023 © Flowers.ua Delivery of Flowers Ukraine X-Choose Region: BoryspilBrovarbuhavinnytsia Visnyvnyvnyvnyvni (Dnipropetrovsk) Zhytomyrzaporezhivtsi-Frankivtskhirpinchivkomenchkhkhkhkhkhkhkhkhkhvrovnyvnytskyi Order number and click the button. Verify</v>
      </c>
    </row>
    <row r="301">
      <c r="A301" s="1" t="s">
        <v>883</v>
      </c>
      <c r="B301" s="1" t="s">
        <v>976</v>
      </c>
      <c r="C301" s="1" t="s">
        <v>977</v>
      </c>
      <c r="D301" s="1">
        <v>8.0</v>
      </c>
      <c r="E301" s="4" t="s">
        <v>978</v>
      </c>
      <c r="F301" s="1" t="s">
        <v>43</v>
      </c>
      <c r="G301" s="1" t="s">
        <v>979</v>
      </c>
      <c r="H301" s="4" t="s">
        <v>980</v>
      </c>
      <c r="I301" s="2">
        <v>1.0</v>
      </c>
      <c r="J301" s="5" t="str">
        <f>IFERROR(__xludf.DUMMYFUNCTION("GOOGLETRANSLATE(A301)"),"Gypsophyla")</f>
        <v>Gypsophyla</v>
      </c>
      <c r="K301" s="6" t="str">
        <f>IFERROR(__xludf.DUMMYFUNCTION("GOOGLETRANSLATE(B301)"),"Gypsophyla bouquets - Minsk")</f>
        <v>Gypsophyla bouquets - Minsk</v>
      </c>
      <c r="L301" s="5" t="str">
        <f>IFERROR(__xludf.DUMMYFUNCTION("GOOGLETRANSLATE(C301)"),"Gypsophyla bouquets - delicate air mono -boob coins that have won the hearts! In our catalog you can buy a bouquet of white or rainbow gypsophiles with delivery.")</f>
        <v>Gypsophyla bouquets - delicate air mono -boob coins that have won the hearts! In our catalog you can buy a bouquet of white or rainbow gypsophiles with delivery.</v>
      </c>
      <c r="M301" s="5" t="str">
        <f>IFERROR(__xludf.DUMMYFUNCTION("GOOGLETRANSLATE(G301)"),"Buy flowers at Moreroz.by with delivery at a bargain price vkinstagramfekodnoklassniki payment and delivery of contacts now: +375 29 701 23 52 Bouquets from gypsofilet captures -ucleet 19-55 Rube-booths from bush-bugwoods from chrysa Tyulpan -boobs from d"&amp;"ried -flowered bunch from seasonal color -compromises of the box of basket/drawer of the cortexpiece/drawer. Wreaths and Elricial Basket Building Bride-Actual Floristic Floristics Arkastol newlyweds/Guest tables of the Teddy Accessories/Shark Teddy 12-48 "&amp;"Teddy Smick 50-110 Teddy Teddy Smmiki 160-250 Teddy 210 ""Shark"" Gift boxes of the heart of the heart. ! The Moreroz.Byztets team for the New Year and Christmas to give all lovers for the day? Tulips with the delivery of the bride of the bride 2021muzh b"&amp;"ouquet for the mother for the mother, choose the right to choose a booklet to extend the life of the bouquet. Secrets of the florist -spacecraft: the main types of advantages and disadvantages to choose the bride’s bouquet to the shade of the dressed bouq"&amp;"uet “Dawn” How to extend the life of tulips. Tips Floristurcaces to determine freshness of flowers? Wedding Arcao What is the flowers say the Flower Flower Arithmaco -Production of the Wedding Life Flower Tsvetamibuket Princess Megan Markl -Dodak Boxing C"&amp;"orps for Teachers Teddy Plush Medvedikak properly measure the quality of the quality of plush toy toys soft toys? Our promot G Cart bouquets of air gypsophila - a hit season to see the all -ous collection of wedding Buketov’s bouquet will work out the del"&amp;"ivery of the order of the Minsk -forming next123books from gypsophilboards from dried -flowering in the boxes/basketswate floristal bouquet wreaths and fir -tree lavender clouds 74.00 BYNSKOY Dreams 163.44 Byn 151.22 byn 151.22 byn 151.22 Yn action! Bouqu"&amp;"et of gypsophiles ""Gradient"" 89.00 BYN 85 with lemonium 45.00 BYN 43.00 BYNITION! CHAMAKINA basket 55 N 115.00 BYNITION! The previous score payment : We accept cards: Visa Visa Electron Mastercard Map of the installment plan “Halva” How to make an order"&amp;" for 24/7 we will be a bouquet at best to anywhere in Minsk. Delivery is carried out from 8 to 20. From 20 to 8 by prior agreement. Capaches with a message for your beloved subscription on your behalf are a cute author's postcard price-quality price price"&amp;" and quality will pleasantly surprise you. Our goal is to make the beauty available to everyone. Active work schedule: daily from 8.00 to 20.00 p.m. to make an order or get a consultation? Leave the contact phone and we will call back! Beautiful bouquets "&amp;"and fresh flowers with delivery by Minskuztes are a great way to show the expression of their feelings to relatives and friends. They will be to the place at the birthday of the beloved wife of a mother or girlfriend. Flowers will help to cheer the mood o"&amp;"f the one to whom they are given and at the same time who gives them. Flowers are one of the most important attributes at any event. In Moreroz.by, you can buy fresh flowers of excellent quality with delivery in Minsk. We put our soul into each bouquet an"&amp;"d we can say “I love” “thank you” in the language of flowers “You are the best” ... In our store you can order an original bouquet of any complexity and price category and also buy roses from Kenya Ecuador Holland and of course the flowers of Belarusian m"&amp;"anufacturers. We value your time, therefore, you can order a bouquet online through the form of the site and we will deliver it as soon as possible in the best form of the addressee. In our store you will find pleasant additions to the bouquet in the form"&amp;" of a cute postcard or plush Teddy. Order a bouquet of roses chrysanthemum gerber Irisov Tulipanov and any other colors with delivery to Minsk- Moreroz.bymi will be happy to help you decide on the best option and pick up the desired bouquet! Buy a bouquet"&amp;" of flowers in Minsk with delivery by ""halva""- MOREROZ.by time: from 8.00 to 20.00 without days off by weekends . Minsk st. Purevich 56 contacts: A1 +375 (29) 169-32-90mail info@moreroroz.byformation: Payment and delivery of the Kontaktattakt Optomacial"&amp;"s, IP Smihura E. Smikhura 193071603 Bank: OJSC 'BPS-Sberbank/C BY51 BPSB 3013 3048 4101 0933 0000 BPSBBY2X -ROOK Code of RB No. 488057 dated 07.27.2020 © Copyright - Moreroz.by vkinstagramfaceBooklassnikiscroll to top")</f>
        <v>Buy flowers at Moreroz.by with delivery at a bargain price vkinstagramfekodnoklassniki payment and delivery of contacts now: +375 29 701 23 52 Bouquets from gypsofilet captures -ucleet 19-55 Rube-booths from bush-bugwoods from chrysa Tyulpan -boobs from dried -flowered bunch from seasonal color -compromises of the box of basket/drawer of the cortexpiece/drawer. Wreaths and Elricial Basket Building Bride-Actual Floristic Floristics Arkastol newlyweds/Guest tables of the Teddy Accessories/Shark Teddy 12-48 Teddy Smick 50-110 Teddy Teddy Smmiki 160-250 Teddy 210 "Shark" Gift boxes of the heart of the heart. ! The Moreroz.Byztets team for the New Year and Christmas to give all lovers for the day? Tulips with the delivery of the bride of the bride 2021muzh bouquet for the mother for the mother, choose the right to choose a booklet to extend the life of the bouquet. Secrets of the florist -spacecraft: the main types of advantages and disadvantages to choose the bride’s bouquet to the shade of the dressed bouquet “Dawn” How to extend the life of tulips. Tips Floristurcaces to determine freshness of flowers? Wedding Arcao What is the flowers say the Flower Flower Arithmaco -Production of the Wedding Life Flower Tsvetamibuket Princess Megan Markl -Dodak Boxing Corps for Teachers Teddy Plush Medvedikak properly measure the quality of the quality of plush toy toys soft toys? Our promot G Cart bouquets of air gypsophila - a hit season to see the all -ous collection of wedding Buketov’s bouquet will work out the delivery of the order of the Minsk -forming next123books from gypsophilboards from dried -flowering in the boxes/basketswate floristal bouquet wreaths and fir -tree lavender clouds 74.00 BYNSKOY Dreams 163.44 Byn 151.22 byn 151.22 byn 151.22 Yn action! Bouquet of gypsophiles "Gradient" 89.00 BYN 85 with lemonium 45.00 BYN 43.00 BYNITION! CHAMAKINA basket 55 N 115.00 BYNITION! The previous score payment : We accept cards: Visa Visa Electron Mastercard Map of the installment plan “Halva” How to make an order for 24/7 we will be a bouquet at best to anywhere in Minsk. Delivery is carried out from 8 to 20. From 20 to 8 by prior agreement. Capaches with a message for your beloved subscription on your behalf are a cute author's postcard price-quality price price and quality will pleasantly surprise you. Our goal is to make the beauty available to everyone. Active work schedule: daily from 8.00 to 20.00 p.m. to make an order or get a consultation? Leave the contact phone and we will call back! Beautiful bouquets and fresh flowers with delivery by Minskuztes are a great way to show the expression of their feelings to relatives and friends. They will be to the place at the birthday of the beloved wife of a mother or girlfriend. Flowers will help to cheer the mood of the one to whom they are given and at the same time who gives them. Flowers are one of the most important attributes at any event. In Moreroz.by, you can buy fresh flowers of excellent quality with delivery in Minsk. We put our soul into each bouquet and we can say “I love” “thank you” in the language of flowers “You are the best” ... In our store you can order an original bouquet of any complexity and price category and also buy roses from Kenya Ecuador Holland and of course the flowers of Belarusian manufacturers. We value your time, therefore, you can order a bouquet online through the form of the site and we will deliver it as soon as possible in the best form of the addressee. In our store you will find pleasant additions to the bouquet in the form of a cute postcard or plush Teddy. Order a bouquet of roses chrysanthemum gerber Irisov Tulipanov and any other colors with delivery to Minsk- Moreroz.bymi will be happy to help you decide on the best option and pick up the desired bouquet! Buy a bouquet of flowers in Minsk with delivery by "halva"- MOREROZ.by time: from 8.00 to 20.00 without days off by weekends . Minsk st. Purevich 56 contacts: A1 +375 (29) 169-32-90mail info@moreroroz.byformation: Payment and delivery of the Kontaktattakt Optomacials, IP Smihura E. Smikhura 193071603 Bank: OJSC 'BPS-Sberbank/C BY51 BPSB 3013 3048 4101 0933 0000 BPSBBY2X -ROOK Code of RB No. 488057 dated 07.27.2020 © Copyright - Moreroz.by vkinstagramfaceBooklassnikiscroll to top</v>
      </c>
    </row>
    <row r="302">
      <c r="A302" s="1" t="s">
        <v>883</v>
      </c>
      <c r="B302" s="1" t="s">
        <v>981</v>
      </c>
      <c r="D302" s="1">
        <v>9.0</v>
      </c>
      <c r="E302" s="4" t="s">
        <v>982</v>
      </c>
      <c r="F302" s="1" t="s">
        <v>43</v>
      </c>
      <c r="G302" s="1" t="s">
        <v>34</v>
      </c>
      <c r="H302" s="4" t="s">
        <v>35</v>
      </c>
      <c r="I302" s="2">
        <v>5.0</v>
      </c>
      <c r="J302" s="5" t="str">
        <f>IFERROR(__xludf.DUMMYFUNCTION("GOOGLETRANSLATE(A302)"),"Gypsophyla")</f>
        <v>Gypsophyla</v>
      </c>
      <c r="K302" s="6" t="str">
        <f>IFERROR(__xludf.DUMMYFUNCTION("GOOGLETRANSLATE(B302)"),"Advantages and disadvantages of plaster compositions")</f>
        <v>Advantages and disadvantages of plaster compositions</v>
      </c>
      <c r="M302" s="5" t="str">
        <f>IFERROR(__xludf.DUMMYFUNCTION("GOOGLETRANSLATE(G302)"),"VK.com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03">
      <c r="A303" s="1" t="s">
        <v>883</v>
      </c>
      <c r="B303" s="1" t="s">
        <v>983</v>
      </c>
      <c r="C303" s="1" t="s">
        <v>984</v>
      </c>
      <c r="D303" s="1">
        <v>13.0</v>
      </c>
      <c r="E303" s="4" t="s">
        <v>985</v>
      </c>
      <c r="F303" s="1" t="s">
        <v>43</v>
      </c>
      <c r="G303" s="1" t="s">
        <v>910</v>
      </c>
      <c r="H303" s="4" t="s">
        <v>911</v>
      </c>
      <c r="I303" s="2">
        <v>1.0</v>
      </c>
      <c r="J303" s="5" t="str">
        <f>IFERROR(__xludf.DUMMYFUNCTION("GOOGLETRANSLATE(A303)"),"Gypsophyla")</f>
        <v>Gypsophyla</v>
      </c>
      <c r="K303" s="6" t="str">
        <f>IFERROR(__xludf.DUMMYFUNCTION("GOOGLETRANSLATE(B303)"),"Multi -colored gypsophiles - buy a bouquet in Moscow by ...")</f>
        <v>Multi -colored gypsophiles - buy a bouquet in Moscow by ...</v>
      </c>
      <c r="L303" s="5" t="str">
        <f>IFERROR(__xludf.DUMMYFUNCTION("GOOGLETRANSLATE(C303)"),"Multi-colored gypsophiles-delivery of bouquets of flowers at home in Moscow from the Magic Flower online store at competitive prices. Order right now: +7 (499) ...")</f>
        <v>Multi-colored gypsophiles-delivery of bouquets of flowers at home in Moscow from the Magic Flower online store at competitive prices. Order right now: +7 (499) ...</v>
      </c>
      <c r="M303" s="5" t="str">
        <f>IFERROR(__xludf.DUMMYFUNCTION("GOOGLETRANSLATE(G303)"),"           Flower delivery in Moscow in 2 hours. Buy a bouquet of flowers with home delivery-Magic Flower delivery and Payment Guarantee Article Reviews Contacts about us to enter the Flower Flower delivery in Moscow Call me +7 (499) 490-10-90 8 (800) 600"&amp;"-65-76 We work daily with 08:00 to 24:00 Write to us add us in WhatsApp +7 (499) 490-10-90 or write help you help choose flowers; We will inform the status of the order; Let's talk about delivery capabilities; Promotions products with discount Combo Flowe"&amp;"rs Rose Rose Rose Premium rose bush roses of chrysanthemum cloves of gerberia gypsophila gypsophila pionois Ranunculus Irisa Narcissas of Alstomeria Eastoma Matiolla Hyacinth Delphinium until 2000 ₽ Buckets 101 rose 51 roseni skka rose bouquets ""Magical"&amp;""" 51 rose mono -boob coat prefabricated Bouquets Hat Boxes Mini-Bouquet Bouquet in a rose basket Rosal roses white roses pink roses lilac roses raspberry roses multi-colored roses yellow roses Cream roses Blue roses height rose 40 cm rose 60 cm rose 70 c"&amp;"m 100 Rose 3 roses 5 roses roses9 roses 15 roses 19 rose21 rose 25 roses Rose75 rose101 rose501 rose according to the type of roses of kenya kuvodaroza Premium. Classic type of rose basket in the rose -shaped rose -shaped tulip -shaped red -bore -zero -ze"&amp;"ro -zero -sprinkle otnoye -oorangealfiolpo amount of 11 tulips 15 tulips 19 Tulpanov 21 tulip 31 tulip 35 tulips 51 tulip 101 tulip, type of assembly Mono -boiled bouquets with tulipamytylpana to basketwalpana in a box in a box for a woman for a girl to a"&amp;" child colleague birthday birth flowers for a wedding, I love sorry the child love Female Valentine's Day Valentine's Day March 8 September 1 Day New Year Gifts Gifts Strawberries in Chocolate Ballon Air Balls Farmers Gift Baskets VAZS Soft toys Gift bags"&amp;" Toppers candles cards and envelopes Eat bouquets of strawberries in chocolate Gift baskets Galls finished compositions bouquet with sharahamoro sharovontans from sharshshara for tribal cocliefs Sharovpo Type of Sharovlatex Balls Foil of Sharyprozen Balls"&amp;" Summarizing Sharybolly balls Bubblesars on rolled balls with balls of balls of balls of ball balls gruzdshara Figushara without a pattern Balls with confetti balls of chrompo -painted blue blue green silver silver green Black Black Black Birthday Birthda"&amp;"y Wedding Wedding of the Child Calling from the maternity hospital1 September 19 on February 8, March 8, Matkaya Matermodnoye Helloweenno to Godmamapaiparaphedshebenkudl lovers, we will deliver fast delivery in 2 hours or an order at our expense. Fresh fl"&amp;"owers guarantee 5-day resistance or replace the bouquet. Will the quality guarantee will not like the bouquet? Replace within 24 hours. Photo control will show the bouquet before sending high -quality service a polite service from a call to the door. Deli"&amp;"very of flowers in Moscow Category Flowers 2005 Bouquets 2073 Roses 1166 Balloons 447 Age 2253 Com 2253 Gifts 242 edible 180 Up to 2000 rub 187 Color color white turquoise golden coral creamy raspberry mex multicolor orange rosy pink -sire Build assembly "&amp;"type of white-raspberry white yellow multi-colored occasion Hare birthday to wedding size 100 25 25 30 35 40 45 50 60 70 Price price ₽ Compassing clips! Free gift for the bouquet! 2 590 ₽ 35 multi -colored roses 40cm - a box of makarun as a gift! 6 review"&amp;"s order buy in 1 click 3 990 ₽ Bouquet of roses gerber and east - strawberries in chocolate as a gift! 0 reviews order buy in 1 click 5 490 ₽ 101 White rose- Box Makarun as a gift! 2 reviews order buy in 1 click 3 290 ₽ Bouquet of 51 red and white roses -"&amp;" boxing box as a gift! 4 reviews order buy in 1 click 4 590 ₽ 51 lilac and white rose- boxing box as a gift! 5 reviews order buy in 1 click 4 890 ₽ Bouquet of 35 yellow tulips- boxing box as a gift! 0 reviews order buy in 1 click 3 290 ₽ 2 790 ₽ Bouquet o"&amp;"f 5 blue hydrangeas - strawberries in chocolate as a gift! 1 reviews order buy in 1 click 5 990 ₽ 4 990 ₽ Bouquet of 11 multi -colored hydrangeas - strawberries in chocolate as a gift! 2 reviews order buy in 1 click Show 101 more rose 5 490 ₽ Bouquet of 1"&amp;"01 multi -colored roses in craft 169 reviews order buy in 1 click 5 490 ₽ 101 White rose Buy in 1 click 5 490 ₽ 101 Red rose 181 reviews Buy Buy 1 click 5 490 ₽ 101 Red rose in a film 317 reviews order Buy 1 click 5 490 ₽ 101 Yellow rose 66 reviews Buy in"&amp;" 1 click 5 490 ₽ 101 rose 101 Berry mix in a film 90 reviews order buy in 1 click 5 490 ₽ Bouquet of 101 orange roses in a film 76 reviews order Buy 1 click Show Piones 7 190 ₽ Bouquet of 9 peonies 4 reviews Buy in 1 click 8 490 ₽ 11 white Pions 11 review"&amp;"s order buy in 1 click 7 190 ₽ Bouquet of 9 white peonies 1 reviews order buy in 1 click 5 790 ₽ Bouquet of 7 white peonies In 1 click 24 990 ₽ 35 multi -colored peonies 0 reviews order buy in 1 click 10 690 ₽ Bouquet with lilac and ranculus 1 reviews ord"&amp;"er Buy 1 click 5 790 ₽ Bouquet of 7 pink peonies 6 Clicks Buy in 1 click Show until 2000 until 2000 rub 1 390 ₽ Bouquet of 11 raspberry roses 3 reviews Buy Buy in 1 click 1 590 ₽ 9 pink roses Premium 50 cm 6 reviews Buy Buy 1 390 ₽ Bouquet of 11 rose rose"&amp;"s with eucalyptus 6 reviews order Buy in 1 click 890 ₽ Bouquet of 3 red roses 50 cm 0 reviews Buy Buy 1 click 1 190 ₽ Bouquet of 5 red roses 50 cm 1 reviews to order in 1 click 1 490 ₽ Bouquet of 5 red roses 60 cm 0 reviews order Buy 1 click 1 490 ₽ Bouqu"&amp;"et of 15 lilac roses Click 3 290 ₽ Bouquet of tulips of irises and eucalyptus 3 reviews order buy in 1 click 3 090 ₽ Bouquet of tulips alstromerium and iris 2 reviews order Buy 1 click 3 590 ₽ Bouquet with tulpans alstrient and stature 2 reviews order Buy"&amp;" in 1 click 3 990 ₽ Bouquet of roses of diantus and hydrangeas 1 reviews to order buy in 1 click 2 890 ₽ Bouquet of roses and tulips 1 reviews order Buy 1 click 6 190 ₽ Bouquet with mattiola and peonies 1 Clicks Buy in 1 click 10 690 ₽ Bouquet with Lilac "&amp;"and Ranunkulus 1 reviews order Buy 1 click show another bouquets of strawberries (Magic Candy) 3 290 ₽ Strawberry bouquet (Gold size S) 0 reviews order Buy 1 click 4 990 ₽ Strawberry bouquet (confetti size L) 0 reviews 0 reviews Order buy in 1 click 3 990"&amp;" ₽ Bouquet of strawberries (confetti size m) 0 reviews order Buy 1 click 3 990 ₽ Strawberry bouquet (Faberge size m) 0 reviews order Buy 1 click 3 290 ₽ Strawberry bouquet (Love S) 0 reviews Order buy in 1 click 3 290 ₽ Bounet bouquet (heart Size s) 0 rev"&amp;"iews order Buy 1 click 3 990 ₽ Basket with strawberries “Berry mix” 0 reviews order 1 click 6 990 ₽ Box - Surprise with strawberries “Ball of flowers” ​​0 reviews Buy 1 click show another 51 rose 3 790 ₽ Bouquet of 51 pink roses in a hat box 3 reviews ord"&amp;"er Buy 1 click 3 790 ₽ Bouquet of 51 red rose in a hat box 1 reviews order Buy in 1 click 3 790 ₽ Bouquet of 51 fiery roses in a hat box 1 reviews order buy in 1 click 3 790 ₽ Bouquet of 51 multi -colored roses in a hat box 1 reviews order Buy 1 Click Sho"&amp;"w Hydension 3 990 ₽ Bouquet of Dianthus roses and hydrangeas 1 reviews order buy in 1 click 7 990 ₽ 6 390 ₽ Bouquet of 15 multi -colored hydrangeas 13 reviews to order in 1 click 5 990 ₽ 4 990 ₽ Bouquet of 11 pink hydrangeas 5 Clicks Buy 4 990 ₽ Bouquet f"&amp;"rom rose cloves of hydrangeas and east 3 reviews Buy Buy 1 click Show more hat boxes 3 790 ₽ Bouquet of 51 pink roses in a hat box 3 reviews order Buy 1 190 ₽ 51 tulip in a hat box 0 reviews order Buy 1 click 3 190 ₽ Bouquet of 11 multi -colored gypsophil"&amp;"es in a hat box 2 reviews order buy in 1 click 3 190 ₽ Bouquet of 11 orange gypsophils in a hat box 0 reviews Order Buy 1 Click Show also tulips hit 3 790 ₽ Bouquet of flowers from tulips and dioatus 4 reviews 4 reviews Order buy in 1 click 6 690 ₽ 51 Whi"&amp;"te tulip 2 reviews to order Buy 1 click 2 890 ₽ Bouquet of tulips and bush roses 3 reviews order Buy 1 click 12 290 ₽ 101 Red tulip 1 Clicks Buy in 1 click Show also plaster 3 190 ₽ Bouquet of 11 multi -colored gypsophiles in a hat box 2 reviews order buy"&amp;" in 1 click 3 190 ₽ Bouquet of 11 turquoise gypsophil in a hat box 3 reviews order Buy 1 click 3 290 ₽ Bouquet of 15 pink gypsophilia 2 reviews Buy Buy 1 Click 4 890 ₽ Bouquet of flowers from 25 multi -colored gypsophiles 0 reviews order buy in 1 click Sh"&amp;"ow more roses Premium 2 790 ₽ Bouquet of 15 roses Premium 60 cm 12 Clicks Buy in 1 590 ₽ 9 pink roses Premium 50 cm 6 cm in order to order Buy in 1 click 5 390 ₽ Bouquet of 15 roses Ecuador 70 cm 0 reviews order buy in 1 click 7 390 ₽ Bouquet of 15 white "&amp;"roses Ecuador 100 cm 1 reviews to order 1 click Show more products with a discount 4 290 ₽ 3 490 ₽ 7 blue hydrangeas 3 reviews order buy in 1 click 7 990 ₽ 6 390 ₽ 15 blue hydrangeas 1 reviews order buy in 1 click 7 990 ₽ 6 390 ₽ 15 multi -colored hydrang"&amp;"eas 7 reviews Buy in 1 click 5 990 ₽ 4 990 ₽ 11 multi -colored multi -colored Highways 7 reviews order buy in 1 click Show also order flowers with delivery of flowers delivery in an instant to change the mood of a person to drive away the spleen and sadne"&amp;"ss. Indeed, for any woman, a bouquet is always a welcome gift regardless of the holiday and reason. Flowers are a simple and universal way to make the life of a loved one brighter and more colorful. The Magic Flower online store offers to order flowers wi"&amp;"th home or office delivery. Professional florists will select the perfect composition for any reason. We always have a luxurious bouquet for the anniversary, a modest, fragrant presentation for congratulations on a professional holiday, an original floral"&amp;" ensemble for March 8 for a sister or a lover. A rich selection of colors in the catalog is supplemented by sweet bouquets toys and accessories as well as a unique design in hat boxes and baskets. Bouquets to the house delivery of flowers in Moscow are pe"&amp;"rformed by couriers without days off. We offer stylish modern bouquets of flowers. You can order mono -boobs by selecting the required number of buds and complex compositions with different plants. If you need flowers urgently leave a request by phone ind"&amp;"icate all the details of the order - we will collect and send a bouquet to the specified address to the house within two hours. Applications for flowers are accepted around the clock. We send delivery by courier on the same day with a bouquet to any addre"&amp;"ss in the capital and Moscow Region. Proceeding is possible from the store for free for regular customers are discounts. We guarantee that the recipient of our floral arrangements will be delighted. Buyers 5072 reviews show another 5,490 ₽ Dmitry 101 red "&amp;"rose bouquet was very beautiful quickly. We are satisfied with all. Thank you 09.11.2023 1 990 ₽ Irina ilinets bouquet of 9 raspberry roses 60 cm acquired a colleague for the second time. For the first time the birthday girl was delighted in the quality o"&amp;"f the flowers. I hope that even today everything will pass as well. Thank you so much for your work. Sincerely Irina 09.11.2023 1 390 ₽ Julia bouquet of 1 blue hydrangea in craft Beautiful fresh flowers! Very beautifully packed. They attached the instruct"&amp;"ions to attach an envelope and a postcard in it! I was satisfied! Thank you! 11.11.2023 3 790 ₽ Elena Bouquet of 51 pink roses in a hat box purchased here a bouquet sent a photo when it was assembled very beautifully. Thanks a lot! 11/08/2023 Show more us"&amp;"eful information on how to surprise their favorite girls - delivery of flowers to the house Modern girls are far from Turgenevskaya young ladies and surprise them completely difficult. What only wow .. TOP-10 reasons to give flowers to the lives of people"&amp;" of the 21st century have entered a new fashion trend-to make non-standard gifts. What is not giving .. how to care for a bouquet in a hat box flowers - a traditional and affordable sign of attention for a beloved woman of a mother’s daughter or colleague"&amp;" in RA .. How to choose the right flowers? It would seem that it could be easier than buying flowers for a woman. But in some situations to choose .. Questions and answers 1. What ways to pay? Payment to the courier in cash or bank card upon receipt of th"&amp;"e Bank card online 2. How to order flowers? You can place an order by phone or on the site by adding a bouquet you like to the basket and filling out all the necessary fields. 3. Do you have urgent home delivery? The minimum possible time of delivery of t"&amp;"he bouquet of flowers immediately after placing the order is 2 hours. 4. At what time is bouquet delivery? Delivery time or office in Moscow - from 7:00 to 1:00 in the Moscow region - from 9:00 to 24:00. Magic Flower - delivery of flower bouquets in Mosco"&amp;"w and the region. We accept orders around the clock. Bouquets with a unique style from leading florists. Write to us information guarantee Return Support Privacy Policy Agreement Contacts Contacts Reviews about the site about us Site map Legal information"&amp;" branch in St. Petersburg Popular flowers bouquets of strawberries. Gifts edible bouquets of 101 metro station settlements Magic Flower +7 ( 499) 490-10-90 8 (800) 600-65-76 We work daily from 08:00 to 24:00 call me +7 (499) 490-10-90 | 8 (800) 600-65-76 "&amp;"Buket@magikalflower.ru 129594 Moscow 3rd passage Maryina Grove House 5 Magic Flower © 2023")</f>
        <v>           Flower delivery in Moscow in 2 hours. Buy a bouquet of flowers with home delivery-Magic Flower delivery and Payment Guarantee Article Reviews Contacts about us to enter the Flower Flower delivery in Moscow Call me +7 (499) 490-10-90 8 (800) 600-65-76 We work daily with 08:00 to 24:00 Write to us add us in WhatsApp +7 (499) 490-10-90 or write help you help choose flowers; We will inform the status of the order; Let's talk about delivery capabilities; Promotions products with discount Combo Flowers Rose Rose Rose Premium rose bush roses of chrysanthemum cloves of gerberia gypsophila gypsophila pionois Ranunculus Irisa Narcissas of Alstomeria Eastoma Matiolla Hyacinth Delphinium until 2000 ₽ Buckets 101 rose 51 roseni skka rose bouquets "Magical" 51 rose mono -boob coat prefabricated Bouquets Hat Boxes Mini-Bouquet Bouquet in a rose basket Rosal roses white roses pink roses lilac roses raspberry roses multi-colored roses yellow roses Cream roses Blue roses height rose 40 cm rose 60 cm rose 70 cm 100 Rose 3 roses 5 roses roses9 roses 15 roses 19 rose21 rose 25 roses Rose75 rose101 rose501 rose according to the type of roses of kenya kuvodaroza Premium. Classic type of rose basket in the rose -shaped rose -shaped tulip -shaped red -bore -zero -zero -zero -sprinkle otnoye -oorangealfiolpo amount of 11 tulips 15 tulips 19 Tulpanov 21 tulip 31 tulip 35 tulips 51 tulip 101 tulip, type of assembly Mono -boiled bouquets with tulipamytylpana to basketwalpana in a box in a box for a woman for a girl to a child colleague birthday birth flowers for a wedding, I love sorry the child love Female Valentine's Day Valentine's Day March 8 September 1 Day New Year Gifts Gifts Strawberries in Chocolate Ballon Air Balls Farmers Gift Baskets VAZS Soft toys Gift bags Toppers candles cards and envelopes Eat bouquets of strawberries in chocolate Gift baskets Galls finished compositions bouquet with sharahamoro sharovontans from sharshshara for tribal cocliefs Sharovpo Type of Sharovlatex Balls Foil of Sharyprozen Balls Summarizing Sharybolly balls Bubblesars on rolled balls with balls of balls of balls of ball balls gruzdshara Figushara without a pattern Balls with confetti balls of chrompo -painted blue blue green silver silver green Black Black Black Birthday Birthday Wedding Wedding of the Child Calling from the maternity hospital1 September 19 on February 8, March 8, Matkaya Matermodnoye Helloweenno to Godmamapaiparaphedshebenkudl lovers, we will deliver fast delivery in 2 hours or an order at our expense. Fresh flowers guarantee 5-day resistance or replace the bouquet. Will the quality guarantee will not like the bouquet? Replace within 24 hours. Photo control will show the bouquet before sending high -quality service a polite service from a call to the door. Delivery of flowers in Moscow Category Flowers 2005 Bouquets 2073 Roses 1166 Balloons 447 Age 2253 Com 2253 Gifts 242 edible 180 Up to 2000 rub 187 Color color white turquoise golden coral creamy raspberry mex multicolor orange rosy pink -sire Build assembly type of white-raspberry white yellow multi-colored occasion Hare birthday to wedding size 100 25 25 30 35 40 45 50 60 70 Price price ₽ Compassing clips! Free gift for the bouquet! 2 590 ₽ 35 multi -colored roses 40cm - a box of makarun as a gift! 6 reviews order buy in 1 click 3 990 ₽ Bouquet of roses gerber and east - strawberries in chocolate as a gift! 0 reviews order buy in 1 click 5 490 ₽ 101 White rose- Box Makarun as a gift! 2 reviews order buy in 1 click 3 290 ₽ Bouquet of 51 red and white roses - boxing box as a gift! 4 reviews order buy in 1 click 4 590 ₽ 51 lilac and white rose- boxing box as a gift! 5 reviews order buy in 1 click 4 890 ₽ Bouquet of 35 yellow tulips- boxing box as a gift! 0 reviews order buy in 1 click 3 290 ₽ 2 790 ₽ Bouquet of 5 blue hydrangeas - strawberries in chocolate as a gift! 1 reviews order buy in 1 click 5 990 ₽ 4 990 ₽ Bouquet of 11 multi -colored hydrangeas - strawberries in chocolate as a gift! 2 reviews order buy in 1 click Show 101 more rose 5 490 ₽ Bouquet of 101 multi -colored roses in craft 169 reviews order buy in 1 click 5 490 ₽ 101 White rose Buy in 1 click 5 490 ₽ 101 Red rose 181 reviews Buy Buy 1 click 5 490 ₽ 101 Red rose in a film 317 reviews order Buy 1 click 5 490 ₽ 101 Yellow rose 66 reviews Buy in 1 click 5 490 ₽ 101 rose 101 Berry mix in a film 90 reviews order buy in 1 click 5 490 ₽ Bouquet of 101 orange roses in a film 76 reviews order Buy 1 click Show Piones 7 190 ₽ Bouquet of 9 peonies 4 reviews Buy in 1 click 8 490 ₽ 11 white Pions 11 reviews order buy in 1 click 7 190 ₽ Bouquet of 9 white peonies 1 reviews order buy in 1 click 5 790 ₽ Bouquet of 7 white peonies In 1 click 24 990 ₽ 35 multi -colored peonies 0 reviews order buy in 1 click 10 690 ₽ Bouquet with lilac and ranculus 1 reviews order Buy 1 click 5 790 ₽ Bouquet of 7 pink peonies 6 Clicks Buy in 1 click Show until 2000 until 2000 rub 1 390 ₽ Bouquet of 11 raspberry roses 3 reviews Buy Buy in 1 click 1 590 ₽ 9 pink roses Premium 50 cm 6 reviews Buy Buy 1 390 ₽ Bouquet of 11 rose roses with eucalyptus 6 reviews order Buy in 1 click 890 ₽ Bouquet of 3 red roses 50 cm 0 reviews Buy Buy 1 click 1 190 ₽ Bouquet of 5 red roses 50 cm 1 reviews to order in 1 click 1 490 ₽ Bouquet of 5 red roses 60 cm 0 reviews order Buy 1 click 1 490 ₽ Bouquet of 15 lilac roses Click 3 290 ₽ Bouquet of tulips of irises and eucalyptus 3 reviews order buy in 1 click 3 090 ₽ Bouquet of tulips alstromerium and iris 2 reviews order Buy 1 click 3 590 ₽ Bouquet with tulpans alstrient and stature 2 reviews order Buy in 1 click 3 990 ₽ Bouquet of roses of diantus and hydrangeas 1 reviews to order buy in 1 click 2 890 ₽ Bouquet of roses and tulips 1 reviews order Buy 1 click 6 190 ₽ Bouquet with mattiola and peonies 1 Clicks Buy in 1 click 10 690 ₽ Bouquet with Lilac and Ranunkulus 1 reviews order Buy 1 click show another bouquets of strawberries (Magic Candy) 3 290 ₽ Strawberry bouquet (Gold size S) 0 reviews order Buy 1 click 4 990 ₽ Strawberry bouquet (confetti size L) 0 reviews 0 reviews Order buy in 1 click 3 990 ₽ Bouquet of strawberries (confetti size m) 0 reviews order Buy 1 click 3 990 ₽ Strawberry bouquet (Faberge size m) 0 reviews order Buy 1 click 3 290 ₽ Strawberry bouquet (Love S) 0 reviews Order buy in 1 click 3 290 ₽ Bounet bouquet (heart Size s) 0 reviews order Buy 1 click 3 990 ₽ Basket with strawberries “Berry mix” 0 reviews order 1 click 6 990 ₽ Box - Surprise with strawberries “Ball of flowers” ​​0 reviews Buy 1 click show another 51 rose 3 790 ₽ Bouquet of 51 pink roses in a hat box 3 reviews order Buy 1 click 3 790 ₽ Bouquet of 51 red rose in a hat box 1 reviews order Buy in 1 click 3 790 ₽ Bouquet of 51 fiery roses in a hat box 1 reviews order buy in 1 click 3 790 ₽ Bouquet of 51 multi -colored roses in a hat box 1 reviews order Buy 1 Click Show Hydension 3 990 ₽ Bouquet of Dianthus roses and hydrangeas 1 reviews order buy in 1 click 7 990 ₽ 6 390 ₽ Bouquet of 15 multi -colored hydrangeas 13 reviews to order in 1 click 5 990 ₽ 4 990 ₽ Bouquet of 11 pink hydrangeas 5 Clicks Buy 4 990 ₽ Bouquet from rose cloves of hydrangeas and east 3 reviews Buy Buy 1 click Show more hat boxes 3 790 ₽ Bouquet of 51 pink roses in a hat box 3 reviews order Buy 1 190 ₽ 51 tulip in a hat box 0 reviews order Buy 1 click 3 190 ₽ Bouquet of 11 multi -colored gypsophiles in a hat box 2 reviews order buy in 1 click 3 190 ₽ Bouquet of 11 orange gypsophils in a hat box 0 reviews Order Buy 1 Click Show also tulips hit 3 790 ₽ Bouquet of flowers from tulips and dioatus 4 reviews 4 reviews Order buy in 1 click 6 690 ₽ 51 White tulip 2 reviews to order Buy 1 click 2 890 ₽ Bouquet of tulips and bush roses 3 reviews order Buy 1 click 12 290 ₽ 101 Red tulip 1 Clicks Buy in 1 click Show also plaster 3 190 ₽ Bouquet of 11 multi -colored gypsophiles in a hat box 2 reviews order buy in 1 click 3 190 ₽ Bouquet of 11 turquoise gypsophil in a hat box 3 reviews order Buy 1 click 3 290 ₽ Bouquet of 15 pink gypsophilia 2 reviews Buy Buy 1 Click 4 890 ₽ Bouquet of flowers from 25 multi -colored gypsophiles 0 reviews order buy in 1 click Show more roses Premium 2 790 ₽ Bouquet of 15 roses Premium 60 cm 12 Clicks Buy in 1 590 ₽ 9 pink roses Premium 50 cm 6 cm in order to order Buy in 1 click 5 390 ₽ Bouquet of 15 roses Ecuador 70 cm 0 reviews order buy in 1 click 7 390 ₽ Bouquet of 15 white roses Ecuador 100 cm 1 reviews to order 1 click Show more products with a discount 4 290 ₽ 3 490 ₽ 7 blue hydrangeas 3 reviews order buy in 1 click 7 990 ₽ 6 390 ₽ 15 blue hydrangeas 1 reviews order buy in 1 click 7 990 ₽ 6 390 ₽ 15 multi -colored hydrangeas 7 reviews Buy in 1 click 5 990 ₽ 4 990 ₽ 11 multi -colored multi -colored Highways 7 reviews order buy in 1 click Show also order flowers with delivery of flowers delivery in an instant to change the mood of a person to drive away the spleen and sadness. Indeed, for any woman, a bouquet is always a welcome gift regardless of the holiday and reason. Flowers are a simple and universal way to make the life of a loved one brighter and more colorful. The Magic Flower online store offers to order flowers with home or office delivery. Professional florists will select the perfect composition for any reason. We always have a luxurious bouquet for the anniversary, a modest, fragrant presentation for congratulations on a professional holiday, an original floral ensemble for March 8 for a sister or a lover. A rich selection of colors in the catalog is supplemented by sweet bouquets toys and accessories as well as a unique design in hat boxes and baskets. Bouquets to the house delivery of flowers in Moscow are performed by couriers without days off. We offer stylish modern bouquets of flowers. You can order mono -boobs by selecting the required number of buds and complex compositions with different plants. If you need flowers urgently leave a request by phone indicate all the details of the order - we will collect and send a bouquet to the specified address to the house within two hours. Applications for flowers are accepted around the clock. We send delivery by courier on the same day with a bouquet to any address in the capital and Moscow Region. Proceeding is possible from the store for free for regular customers are discounts. We guarantee that the recipient of our floral arrangements will be delighted. Buyers 5072 reviews show another 5,490 ₽ Dmitry 101 red rose bouquet was very beautiful quickly. We are satisfied with all. Thank you 09.11.2023 1 990 ₽ Irina ilinets bouquet of 9 raspberry roses 60 cm acquired a colleague for the second time. For the first time the birthday girl was delighted in the quality of the flowers. I hope that even today everything will pass as well. Thank you so much for your work. Sincerely Irina 09.11.2023 1 390 ₽ Julia bouquet of 1 blue hydrangea in craft Beautiful fresh flowers! Very beautifully packed. They attached the instructions to attach an envelope and a postcard in it! I was satisfied! Thank you! 11.11.2023 3 790 ₽ Elena Bouquet of 51 pink roses in a hat box purchased here a bouquet sent a photo when it was assembled very beautifully. Thanks a lot! 11/08/2023 Show more useful information on how to surprise their favorite girls - delivery of flowers to the house Modern girls are far from Turgenevskaya young ladies and surprise them completely difficult. What only wow .. TOP-10 reasons to give flowers to the lives of people of the 21st century have entered a new fashion trend-to make non-standard gifts. What is not giving .. how to care for a bouquet in a hat box flowers - a traditional and affordable sign of attention for a beloved woman of a mother’s daughter or colleague in RA .. How to choose the right flowers? It would seem that it could be easier than buying flowers for a woman. But in some situations to choose .. Questions and answers 1. What ways to pay? Payment to the courier in cash or bank card upon receipt of the Bank card online 2. How to order flowers? You can place an order by phone or on the site by adding a bouquet you like to the basket and filling out all the necessary fields. 3. Do you have urgent home delivery? The minimum possible time of delivery of the bouquet of flowers immediately after placing the order is 2 hours. 4. At what time is bouquet delivery? Delivery time or office in Moscow - from 7:00 to 1:00 in the Moscow region - from 9:00 to 24:00. Magic Flower - delivery of flower bouquets in Moscow and the region. We accept orders around the clock. Bouquets with a unique style from leading florists. Write to us information guarantee Return Support Privacy Policy Agreement Contacts Contacts Reviews about the site about us Site map Legal information branch in St. Petersburg Popular flowers bouquets of strawberries. Gifts edible bouquets of 101 metro station settlements Magic Flower +7 ( 499) 490-10-90 8 (800) 600-65-76 We work daily from 08:00 to 24:00 call me +7 (499) 490-10-90 | 8 (800) 600-65-76 Buket@magikalflower.ru 129594 Moscow 3rd passage Maryina Grove House 5 Magic Flower © 2023</v>
      </c>
    </row>
    <row r="304">
      <c r="A304" s="1" t="s">
        <v>883</v>
      </c>
      <c r="B304" s="1" t="s">
        <v>986</v>
      </c>
      <c r="D304" s="1">
        <v>14.0</v>
      </c>
      <c r="E304" s="4" t="s">
        <v>987</v>
      </c>
      <c r="F304" s="1" t="s">
        <v>43</v>
      </c>
      <c r="G304" s="1" t="s">
        <v>988</v>
      </c>
      <c r="H304" s="4" t="s">
        <v>989</v>
      </c>
      <c r="I304" s="2">
        <v>1.0</v>
      </c>
      <c r="J304" s="5" t="str">
        <f>IFERROR(__xludf.DUMMYFUNCTION("GOOGLETRANSLATE(A304)"),"Gypsophyla")</f>
        <v>Gypsophyla</v>
      </c>
      <c r="K304" s="6" t="str">
        <f>IFERROR(__xludf.DUMMYFUNCTION("GOOGLETRANSLATE(B304)"),"Color gypsophila. The trend of 2021. - Flowers Valley")</f>
        <v>Color gypsophila. The trend of 2021. - Flowers Valley</v>
      </c>
      <c r="M304" s="5" t="str">
        <f>IFERROR(__xludf.DUMMYFUNCTION("GOOGLETRANSLATE(G304)"),"Home | Flowers Valley Yekaterinburg +7 (958) 234-33-92 +7 (953) 603-64-82 Contactly Plapooprosoproschi response (FAQ) Safety and confidential service of customer support for the departure of the Air Force Rosema Premises of the Premises of the Premises To"&amp;"ggle Navigation Toggle Moving Promotion on Bouquetbukets of 15 ROSBUKETS OF 25 ROSBUKETS OF 35 ROSBUTE OF 51 draws of 101 ROZISKOSTRAL ROZROSICE ROZROSIACHARICHICIARY ROZBELALALLAR ROZELARALARALARALARALARALARALARALARALAROMALARALARENE -ORICAL ROZISTIC ROZI"&amp;"PIOVID ROZIOVID ROZIPIROSISES Hell of birth The best sales of a child's wife | For a girlfriend of Mamydl, friends -horseman plants for a birthday for Birthday for Birthday Birthdays for Birthday Carazenevs Gifts for Birthday with a newborn love and roman"&amp;"ce of the birth of a bridebuket for bridebunerkasyda -dodgy compositions of the newlyweds of the newlyweds January 5 January on February 19 on February23 February1 September1 Teachers The best sales of a sales ofirizpione -di -ray -rhizarizanthemenylillyi"&amp;"lillyilililililillyilillyillyilililiyrachidegortenziyexualstomeriye -ethrian ejesus bouquemashmashkiyustoma (lysianthus) bush draws of gypsophylacallavandollywanhwanhwanhprotheigorgi Lygormal plants Blossoming plants -green plants and exotic flowers with "&amp;"pots of pottering flowers potted plants flowers in the boxes from flower stalls in wooden boxes of balloons of balloons toys with fruits of products and sweet -sized crooks of the Saarch SARC h call/write call/write +7 (953) 603-64-82 Call us : Sales_9111"&amp;"6 +7 (953) 603-64-82 Write to us: Sales_91116 Online Chat Search Entrance/Registration 0 Basket Toggle Navigation Majorosis Promotional Buyteettes of 15 Rozbukets from 35 Rozbukets from 51 draws of 101 rodikistoy Rosroders of RosrossiaEkvadorceniye rosbal"&amp;"ac -red -rose -rod zhuzelnaya -orange -brown -shaped -stained -flowed roding rhyme fertilizer Rozycust ryzpionivoid draws in the boxes of rosamyeserds from the rosamine of birth best sales of a child’s child's wife | For a girlfriend of Mamydl, friends -h"&amp;"orseman plants for a birthday for Birthday for Birthday Birthdays for Birthday Carazenevs Gifts for Birthday with a newborn love and romance of the birth of a bridebuket for bridebunerkasyda -dodgy compositions of the newlyweds of the newlyweds January 5 "&amp;"January on February 19 on February23 February1 September1 Teachers The best sales of a sales ofirizpione -di -ray -rhizarizanthemenylillyilillyilililililillyilillyillyilililiyrachidegortenziyexualstomeriye -ethrian ejesus bouquemashmashkiyustoma (lysianth"&amp;"us) bush draws of gypsophylacallavandollywanhwanhwanhprotheigorgi Lygormal plants Blossoming plants-green plants and exotic flowers with potted flower stalls Potter plants flowers in the boxes of flower stalls from flowers in wooden boxes of balloons of b"&amp;"alloons from fruiting products from products and sweet crooks. %The price reduced a bouquet of peonies ₽ 2340 - 22200 ₽ 1730 - 16450 - “ Delivery in agreement. "" A certain time is required for the supply of this product. By availability, please clarify w"&amp;"ith managers. ❕ We guarantee that the flowers will be fresh and will stand in a vase for at least 5 days ....- 72%The price reduced the bouquet of the Fortune roses ₽ 2120 - 14700 ₽ 990 - 6870 - “Delivery as agreed”. A certain time is required for the sup"&amp;"ply of this product. By availability, please clarify with managers. for 101 pcs. The main thing is the lowest price for roses! Important! Fresh flowers! Attention! The bouquet is not ...- 29%The price reduced the bouquet ""Sugar cotton wool"" with hydrang"&amp;"ea ₽ 2730 ₽ 2020 - ""Delivery as agreed"". A certain time is required for the supply of this product. By availability, please clarify with managers. Charming bush roses in combination with delicate hydrangea will talk about your ...- 33%the price reduced "&amp;"a bouquet of bush roses. Special offer ""Fortune"" ₽ 3150 - 9290 ₽ 2250 - 6630 - ""Delivery as agreed"". A certain time is required for the supply of this product. By availability, please clarify with managers. For 15 pcs. A bouquet of bush roses 'Fortune"&amp;"' is a great choice for those who want ... a composition in a handbag of a bush rose. Special offer ""Fortune"" ₽ 2200 - “delivery by agreement”. A certain time is required for the supply of this product. By availability, please clarify with managers. Com"&amp;"posite from bush roses 'Fortune' is a great choice for those who want ... a bush peony rose in a hat box. Special offer ""Fortune"" ₽ 3150 - “delivery by agreement”. A certain time is required for the supply of this product. By availability, please clarif"&amp;"y with managers. Exquisite and fresh: a composition of pionoid roses with eucalyptteum ... Bouquet ""Mix Fortune"" ₽ 2580 - “Delivery by agreement”. A certain time is required for the supply of this product. By availability, please clarify with managers. "&amp;"""Mix Fortune"" is a great choice for those who want to please their ... bouquet of pionoid roses with Ruskus. Special offer ""Fortune"" ₽ 2250 - 7140 - ""Delivery by agreement"". A certain time is required for the supply of this product. By availability,"&amp;" please clarify with managers. For 15 pcs. A bouquet of bush roses 'Fortuna' is a great choice for those who want ... Autumn collection to look at all the products of the ""Autumn Cololent"" &gt;&gt; all the products of the section&gt; Bouquet of Herber and matrix"&amp;"es ₽ 4400 - ""Delivery by agreement"". A certain time is required for the supply of this product. By availability, please clarify with managers. ❕ We guarantee that the flowers will be fresh and will stand in a vase for at least 5 days .... a bouquet with"&amp;" a bush rose and alstriently ₽ 1650 - “delivery by agreement”. A certain time is required for the supply of this product. By availability, please clarify with managers. ❕ We guarantee that the flowers will be fresh and will stand in a vase for at least 5 "&amp;"days .... Bouquet of Alstromeria Mix ₽ 2410 - 4190 - “Delivery as agreed”. A certain time is required for the supply of this product. By availability, please clarify with managers. Attention! The color scheme of the bouquet may differ from the photo prese"&amp;"nted in the photo .... a bouquet of blue hydrangea and eastoma ₽ 1610 - “urgent delivery” goods are possible, operational delivery is possible during the day. A bouquet of delicate blue hydrangeas and eastoma in a stylish packaging will be ... an “electri"&amp;"cian” bouquet of blue and purple gypsophils ₽ 2200 - 3040 - “Delivery by agreement”. A certain time is required for the supply of this product. By availability, please clarify with managers. The trend is gaining momentum - an air cloud of colored gypsophi"&amp;"la! This voluminous ... bouquet of sunflower and greenery ₽ 1500 - 2100 - “Delivery by agreement”. A certain time is required for the supply of this product. By availability, please clarify with managers. Sunny and bright sunflowers - flowers that give a "&amp;"charge of optimism and vitality ... the best selling all the products of the ""best sales"" section &gt;&gt; all the products of the section&gt; -51%the price reduced a bouquet of red roses (pr -in Russia) ₽ 3040 - 21500 ₽ 1790 - 12650 - “urgent delivery” goods in"&amp;" stock are possible for operational delivery during the day. for 101 pcs. A bouquet of 101 red rose is a very beautiful and generous gift to your beloved ... A hat box with cloves ₽ 2650 - “Delivery as agreed”. A certain time is required for the supply of"&amp;" this product. By availability, please clarify with managers. A hat box with fragrant and delicate cloves! The color of the box and ... a bouquet of white chrysanthemums (pro Russia) ₽ 2220 - 12150 - “Delivery as agreed”. A certain time is required for th"&amp;"e supply of this product. By availability, please clarify with managers. Bouquet of 25 white chrysanthemums in designer packaging. A bouquet of multi -colored hydrangeas ₽ 2190 - 4950 - “Urgent delivery” goods in stock is possible operational delivery thr"&amp;"oughout the day. A magnificent bouquet of 11 delicate hydrangeas in stylish packaging will be ...- 29%the price reduced a bouquet of pink peonies with an eucalyptus ₽ 2570 - 11400 ₽ 1900 - 8420 - “Delivery as agreed”. A certain time is required for the su"&amp;"pply of this product. By availability, please clarify with managers. ❕ We guarantee that the flowers will be fresh and will stand in a vase for at least 5 days .... A snow -white gypsophila in a hat box ₽ 1290 - 2410 - “urgent delivery” of goods in stock "&amp;"is possible for operational delivery during the day. Unusual and air gypsophila in a hat box! This is a snow -white cloud ... an air cloud of purple gypsophila ₽ 2200 - 2950 - “Delivery in agreement”. A certain time is required for the supply of this prod"&amp;"uct. By availability, please clarify with managers. The trend is gaining momentum - an air cloud of colored gypsophila! This volumetric ... bouquet of pink gypsophila ₽ 1850 - 2950 - “Delivery by agreement”. A certain time is required for the supply of th"&amp;"is product. By availability, please clarify with managers. A bouquet of 11 delicate pink gypsophiles in packaging. -29%The price reduced the bouquet ""Cloud Symphony"" with hydrangea ₽ 4030 ₽ 2980 - ""Urgent delivery"" goods in stock possible operational "&amp;"delivery during the day. An amazingly beautiful and delicate bouquet of which is ...- 29%the price reduced a bouquet of peonies and a bush rose ₽ 3230 - 5920 ₽ 2390 - 4380 - “Delivery as agreed”. A certain time is required for the supply of this product. "&amp;"By availability, please clarify with managers. ❕ We guarantee that the flowers will be fresh and will stand in a vase for at least 5 days .... a bouquet of chrysanthemums and daisies ₽ 3340 - “delivery by agreement”. A certain time is required for the sup"&amp;"ply of this product. By availability, please clarify with managers. ❕ We guarantee that the flowers will be fresh and will stand in a vase for at least 5 days ....- 37%the price reduced a bouquet of a bush rose mix ₽ 4570 - 15550 ₽ 3150 - 10750 - “Deliver"&amp;"y as agreed”. A certain time is required for the supply of this product. By availability, please clarify with managers. ❕ We guarantee that the flowers will be fresh and will stand in a vase for at least 5 days ....- 51%the price reduced a bouquet of whit"&amp;"e roses (pr -in Russia) ₽ 3040 - 21500 ₽ 1790 - 12650 - “urgent delivery” goods in the presence Operational delivery is possible during the day. for 101 pcs. A bouquet of 101 white roses is the most delicate feelings of love is sophisticated ... a bouquet"&amp;" of blue and white chrysanthemums ₽ 1830 - 3570 - “urgent delivery” goods in stock are possible for operational delivery throughout the day. A spectacular bouquet of bush chrysanthemums in a blue -white gamut will produce indelible ... Bouquets on his bir"&amp;"thday to see all the products of the Build Buy Buy Buying products &gt;&gt; All the products of the section&gt; A hat box with multi -colored roses ₽ 2580 - 6530 - “Delivery by agreement”. A certain time is required for the supply of this product. By availability,"&amp;" please clarify with managers. ❕ We guarantee that the flowers will be fresh and will stand in a vase for at least 5 days .... Flower mix in a wooden box ₽ 3490 - “Urgent delivery” goods in stock is possible for operational delivery during the day. Attent"&amp;"ion: the color of the box and cut flowers will not necessarily be like in the photo .... a basket with a multi -colored chrysanthemum ₽ 3740 - 5880 - “Delivery by agreement”. A certain time is required for the supply of this product. By availability, plea"&amp;"se clarify with managers. Bright and colorful chrysanthemums in the basket are a magnificent present for anyone ... a hat box with a white chrysanthemum ₽ 1750 - 5740 - “Delivery by agreement”. A certain time is required for the supply of this product. By"&amp;" availability, please clarify with managers. The hat box is assembled from 7 white chrysanthemums❕ We guarantee that flowers ... a hat box with a bush rose ₽ 3150 - “Delivery by agreement”. A certain time is required for the supply of this product. By ava"&amp;"ilability, please clarify with managers. A hat box with bush roses. Entrance! The composition may differ from ...- 29%The price reduced a hat box with pink peonies ₽ 4910 - 11050 ₽ 3630 - 8160 - “Delivery by agreement”. A certain time is required for the "&amp;"supply of this product. By availability, please clarify with managers. A hat box with 9 pink peonies supplemented by delicate branches of eucalyptus .... a bouquet of eastoma and irises ₽ 2680 - “urgent delivery” goods in stock are possible for operationa"&amp;"l delivery throughout the day. ❕ We guarantee that the flowers will be fresh and will stand in a vase for at least 5 days ....- 49%the price reduced 101 red rose with a heart in a box ₽ 13600 - 24750 ₽ 8230 - 15000 - “Delivery as agreed”. A certain time i"&amp;"s required for the supply of this product. By availability, please clarify with managers. A delicate and air composition of 101 roses in a box to conquer the heart ... a bouquet of bush rose and eastoma ₽ 2360 - 2890 - “Delivery as agreed”. A certain time"&amp;" is required for the supply of this product. By availability, please clarify with managers. ❕ We guarantee that the flowers will be fresh and will stand in a vase for at least 5 days .... a basket with a rose and lavender ₽ 3860 - 6780 - “Delivery as agre"&amp;"ed”. A certain time is required for the supply of this product. By availability, please clarify with managers. The basket is collected from 35 white roses is supplemented with silver ecalipte branches and ...- 29%the price reduced a bouquet of peonies ₽ 2"&amp;"340 - 22200 ₽ 1730 - 16450 - “Delivery as agreed”. A certain time is required for the supply of this product. By availability, please clarify with managers. ❕ We guarantee that the flowers will be fresh and will stand in a vase for at least 5 days .... Bo"&amp;"uquet of ""Summer Paints"" ₽ 2840 - 4970 - ""Urgent delivery"" goods in stock possible operational delivery during the day. A bright bouquet of multi -colored roses and alstriently. The bouquet can ... Bouquet ""Feminine"" ₽ 4070 - ""Delivery in agreement"&amp;""". A certain time is required for the supply of this product. By availability, please clarify with managers. A bouquet from the orchids of the Tsimbidium of Alstromeria of Bush Roses and Eustoma is supplemented ... Sukhotzeta bouquet ""Winter Morning"" w"&amp;"ith cotton and lavender ₽ 3480 - 6480 - ""Delivery as agreed"". A certain time is required for the supply of this product. By availability, please clarify with managers. The advantages of bouquets from dried flowers are as follows: 1. This is always ... a"&amp;" mini -bouquet of dried flowers ₽ 800 - “urgent delivery” of goods in stock is possible operational delivery during the day. A miniature bouquet -combination will become a pleasant gesture on the first date of the cute ... Lavender bouquet in craft ₽ 1460"&amp;" - 3700 - “urgent delivery” goods in stock are possible for operational delivery throughout the day. A bouquet of fragrant lavender is a unique present that on any day ... Lavender’s bouquet and wheat ₽ 1640 - 2770 - “Delivery by agreement”. A certain tim"&amp;"e is required for the supply of this product. By availability, please clarify with managers. The bouquet made up of lavender and spikelets of wheat will undoubtedly be an excellent decoration of the house or office. The bouquet ""The aroma of Provence"" ₽"&amp;" 3840 - ""Delivery in agreement"". A certain time is required for the supply of this product. By availability, please clarify with managers. A delicate combination of the lavender of the boxes of real cotton and soft spikelets ... Lavender in the hat box "&amp;"₽ 3060 - 5160 - “Delivery by agreement”. A certain time is required for the supply of this product. By availability, please clarify with managers. A beautiful bouquet of lavender in a hat box is suitable for a gift for ... Bouquet ""Rubin"" ₽ 3820 - ""Del"&amp;"ivery as agreed"". A certain time is required for the supply of this product. By availability, please clarify with managers. A bouquet of dried flowers in an amazing color palette. Such a present will appeal ... Flowers in hats to watch all the products o"&amp;"f the section ""Flowers in hat boxes"" &gt;&gt; All the products of the section&gt; A hat box with multi -colored roses ₽ 2580 - 6530 - “Delivery as agreed”. A certain time is required for the supply of this product. By availability, please clarify with managers. "&amp;"❕ We guarantee that the flowers will be fresh and will stand in a vase for at least 5 days .... a hat box with Alstromeria ₽ 2990 - 6040 - “Urgent delivery” goods in stock are possible for operational delivery during the day. ❕ We guarantee that the flowe"&amp;"rs will be fresh and will stand in a vase for at least 5 days .... a hat rose with alstriently ₽ 3050 - “Urgent delivery” goods are possible in the presence of operational delivery during the day. ❕ We guarantee that the flowers will be fresh and will sta"&amp;"nd in a vase for at least 5 days .... a hat box with a white rose ₽ 4030 - 6530 - “Urgent delivery” goods in stock are possible for operational delivery during the day. ❕ We guarantee that the flowers will be fresh and will stand in a vase for at least 5 "&amp;"days .... a hat box with a red rose ₽ 4720 - 8170 - “urgent delivery” goods in stock possible operational delivery during the day. A chic bouquet of 51 roses with a hat with a hat tied with elegant red ...- 49%the price reduced 101 white -razed rose in a "&amp;"box ₽ 13600 - 24750 ₽ 8230 - 15000 - “Delivery as agreed”. A certain time is required for the supply of this product. By availability, please clarify with managers. A delicate and air composition of 101 roses in a box to conquer the heart ... a hat box wi"&amp;"th a multi -colored rose (pr -in Ecuador) - 51 pcs. ₽ 8200 - “Delivery by agreement”. A certain time is required for the supply of this product. By availability, please clarify with managers. ❕ We guarantee that the flowers will be fresh and will stand in"&amp;" a vase for at least 5 days .... Flowers in baskets to see all the products of the ""Flowers in Baskets"" section &gt;&gt; All the products of the section&gt; -54%The price reduced rose in the basket. Specialist. The proposal ""Fortune"". ₽ 2840 - 5430 ₽ 1630 - 31"&amp;"20 - “Delivery by agreement”. A certain time is required for the supply of this product. By availability, please clarify with managers. The composition of 15 roses in a wicker basket. The proposal ""Fortune"" -... Basket with a multi -colored chrysanthemu"&amp;"m ₽ 3740 - 5880 - ""Delivery in agreement"". A certain time is required for the supply of this product. By availability, please clarify with managers. Bright and colorful chrysanthemums in the basket are a magnificent present for any ...- 29%The price red"&amp;"uced the composition in the basket ""Summer Day"" from peonies and eastoma ₽ 6650 - 10750 ₽ 4920 - 7940 - ""Delivery by agreement"". A certain time is required for the supply of this product. By availability, please clarify with managers. ❕ We guarantee t"&amp;"hat the flowers will be fresh and will stand in a vase for at least 5 days .... The rainbow gypsophila in the basket ₽ 2210 - 3000 - “Delivery as agreed”. A certain time is required for the supply of this product. By availability, please clarify with mana"&amp;"gers. The rainbow gypsophila in the basket will cheer up any day with bright colors! A basket with a white and pink chrysanthemum ₽ 3850 - 4830 - “urgent delivery” goods in stock is possible operational delivery throughout the day. 7 white and colored bus"&amp;"h chrysanthemums in the basket - a gift for any occasion .... a basket with chrysanthemum and clove ₽ 2040 - “Delivery as agreed”. A certain time is required for the supply of this product. By availability, please clarify with managers. Bright and colorfu"&amp;"l chrysanthemums in the basket are a magnificent present for any ... basket of multi -colored gerber ₽ 2250 - 3780 - “urgent delivery” goods in stock are possible for the day. A bouquet of 11 bright colorful gerber in the basket. ❕ We guarantee that the f"&amp;"lowers ... Clear day basket ₽ 1990 - “urgent delivery” goods in stock are possible for the day. A basket with a fluffy chrysanthemum and red rose is suitable for any ... composition in the basket ""Summer evening"" ₽ 1900 - “Urgent delivery” of goods in s"&amp;"tock is possible operational delivery during the day. The composition of roses and chrysanthemums in the basket -delivery torture to test all the products of the gift ""Gift sets"" &gt;&gt; All the products of the section&gt; Gift set ""Happy Birthday"" ₽ 3280 - 5"&amp;"680 - ""Delivery in agreement"". A certain time is required for the supply of this product. By availability, please clarify with managers. We have selected the brightest elements of the holiday for you. Each piece of this ... Gift set of “Happy Birthday” "&amp;"balls of foil ₽ 5700 - 6800 - “Delivery as agreed”. A certain time is required for the supply of this product. By availability, please clarify with managers. We have selected the brightest elements of the holiday for you. Each part of this ... Gift set “R"&amp;"omance” ₽ 4240 - 6940 - “Delivery in agreement”. A certain time is required for the supply of this product. By availability, please clarify with managers. Classic red roses are delicious sweets and bright balloons ... Gift set “Compliment” ₽ 5740 - “Deliv"&amp;"ery as agreed”. A certain time is required for the supply of this product. By availability, please clarify with managers. Classic red roses in a hat box delicious sweets and bright ... Our directions delivery of flowers Rosa Birthday Flowers View all deli"&amp;"very of balloons Birthday for discharge shining for wedding View all services for the design of the Promotions Gifts delicious gifts flowers in bulk Flowers freshly cut potatoes Products for floristry of tulips by wholesale by March 8, relevant on the Blo"&amp;"g Stylish and Modern New Year gifts for the new year to decorate your house for the New Year: Actual trends 2023 in New Year's floristry. Why do florists turn roses? Interesting facts about flowering technique or fraud in a bouquet? Is it so terrible twis"&amp;"ted rose? Everything about the ""French"" beauty and also about whether such a French will tell our florists minimalism in modern bouquets. The creation of a modern composition of a small number of materials with an inspiration of theimicism is a philosop"&amp;"hy that consists in rejection of excesses and focusing on the main one. We talk about the main world trend of 2023 men and flowers. Or how not to make a mistake with the gift? Gifts for women bookmarks or composition in a hat box? A basket with chrysanthe"&amp;"mums or an unusual bouquet with exotic colors? In a flower store, it is not so easy for men to choose the best gift for a loved one. Floral recognition of love. The most romantic flowers flowers and the romantic -like best way to say to a person ""I love "&amp;"you"" is to undoubtedly give flowers. The tradition of giving flowers goes far into the past and after a while has turned into a real art, choose a bouquet for the last call, do it yourself - helping the recommendation of ideas is present to give a bouque"&amp;"t? What flowers to choose? We answer all questions in order. New Year's compositions on the table Gifts for a new suitable tradition of decorating the interior is rapidly capturing Russia. And one of the best solutions is to create decorative jewelry from"&amp;" Nobilisa.shopping_basket0.00.00 place an order about the Nasinformation of the company of the company of the company of priority to corporate customers Contacts interesting facts about Tsvetakhids of Gifts Tips for Care for Color Care Information Support"&amp;" Resposive (FAQ) Safety and Confidential Supervision Support Customer LIKS Buyers buy flowers on their birthday on their birthday, Association of Potter Plants. Gifts about drearms of airplane balls and goods for holidays for the holidays of interiors. Fl"&amp;"owers in bulk of the Instagram promotion We are on social networks Copyright 2023 - Flowers Valley - All Right Right Right Right Right Ved.")</f>
        <v>Home | Flowers Valley Yekaterinburg +7 (958) 234-33-92 +7 (953) 603-64-82 Contactly Plapooprosoproschi response (FAQ) Safety and confidential service of customer support for the departure of the Air Force Rosema Premises of the Premises of the Premises Toggle Navigation Toggle Moving Promotion on Bouquetbukets of 15 ROSBUKETS OF 25 ROSBUKETS OF 35 ROSBUTE OF 51 draws of 101 ROZISKOSTRAL ROZROSICE ROZROSIACHARICHICIARY ROZBELALALLAR ROZELARALARALARALARALARALARALARALARALAROMALARALARENE -ORICAL ROZISTIC ROZIPIOVID ROZIOVID ROZIPIROSISES Hell of birth The best sales of a child's wife | For a girlfriend of Mamydl, friends -horseman plants for a birthday for Birthday for Birthday Birthdays for Birthday Carazenevs Gifts for Birthday with a newborn love and romance of the birth of a bridebuket for bridebunerkasyda -dodgy compositions of the newlyweds of the newlyweds January 5 January on February 19 on February23 February1 September1 Teachers The best sales of a sales ofirizpione -di -ray -rhizarizanthemenylillyilillyilililililillyilillyillyilililiyrachidegortenziyexualstomeriye -ethrian ejesus bouquemashmashkiyustoma (lysianthus) bush draws of gypsophylacallavandollywanhwanhwanhprotheigorgi Lygormal plants Blossoming plants -green plants and exotic flowers with pots of pottering flowers potted plants flowers in the boxes from flower stalls in wooden boxes of balloons of balloons toys with fruits of products and sweet -sized crooks of the Saarch SARC h call/write call/write +7 (953) 603-64-82 Call us : Sales_91116 +7 (953) 603-64-82 Write to us: Sales_91116 Online Chat Search Entrance/Registration 0 Basket Toggle Navigation Majorosis Promotional Buyteettes of 15 Rozbukets from 35 Rozbukets from 51 draws of 101 rodikistoy Rosroders of RosrossiaEkvadorceniye rosbalac -red -rose -rod zhuzelnaya -orange -brown -shaped -stained -flowed roding rhyme fertilizer Rozycust ryzpionivoid draws in the boxes of rosamyeserds from the rosamine of birth best sales of a child’s child's wife | For a girlfriend of Mamydl, friends -horseman plants for a birthday for Birthday for Birthday Birthdays for Birthday Carazenevs Gifts for Birthday with a newborn love and romance of the birth of a bridebuket for bridebunerkasyda -dodgy compositions of the newlyweds of the newlyweds January 5 January on February 19 on February23 February1 September1 Teachers The best sales of a sales ofirizpione -di -ray -rhizarizanthemenylillyilillyilililililillyilillyillyilililiyrachidegortenziyexualstomeriye -ethrian ejesus bouquemashmashkiyustoma (lysianthus) bush draws of gypsophylacallavandollywanhwanhwanhprotheigorgi Lygormal plants Blossoming plants-green plants and exotic flowers with potted flower stalls Potter plants flowers in the boxes of flower stalls from flowers in wooden boxes of balloons of balloons from fruiting products from products and sweet crooks. %The price reduced a bouquet of peonies ₽ 2340 - 22200 ₽ 1730 - 16450 - “ Delivery in agreement. " A certain time is required for the supply of this product. By availability, please clarify with managers. ❕ We guarantee that the flowers will be fresh and will stand in a vase for at least 5 days ....- 72%The price reduced the bouquet of the Fortune roses ₽ 2120 - 14700 ₽ 990 - 6870 - “Delivery as agreed”. A certain time is required for the supply of this product. By availability, please clarify with managers. for 101 pcs. The main thing is the lowest price for roses! Important! Fresh flowers! Attention! The bouquet is not ...- 29%The price reduced the bouquet "Sugar cotton wool" with hydrangea ₽ 2730 ₽ 2020 - "Delivery as agreed". A certain time is required for the supply of this product. By availability, please clarify with managers. Charming bush roses in combination with delicate hydrangea will talk about your ...- 33%the price reduced a bouquet of bush roses. Special offer "Fortune" ₽ 3150 - 9290 ₽ 2250 - 6630 - "Delivery as agreed". A certain time is required for the supply of this product. By availability, please clarify with managers. For 15 pcs. A bouquet of bush roses 'Fortune' is a great choice for those who want ... a composition in a handbag of a bush rose. Special offer "Fortune" ₽ 2200 - “delivery by agreement”. A certain time is required for the supply of this product. By availability, please clarify with managers. Composite from bush roses 'Fortune' is a great choice for those who want ... a bush peony rose in a hat box. Special offer "Fortune" ₽ 3150 - “delivery by agreement”. A certain time is required for the supply of this product. By availability, please clarify with managers. Exquisite and fresh: a composition of pionoid roses with eucalyptteum ... Bouquet "Mix Fortune" ₽ 2580 - “Delivery by agreement”. A certain time is required for the supply of this product. By availability, please clarify with managers. "Mix Fortune" is a great choice for those who want to please their ... bouquet of pionoid roses with Ruskus. Special offer "Fortune" ₽ 2250 - 7140 - "Delivery by agreement". A certain time is required for the supply of this product. By availability, please clarify with managers. For 15 pcs. A bouquet of bush roses 'Fortuna' is a great choice for those who want ... Autumn collection to look at all the products of the "Autumn Cololent" &gt;&gt; all the products of the section&gt; Bouquet of Herber and matrixes ₽ 4400 - "Delivery by agreement". A certain time is required for the supply of this product. By availability, please clarify with managers. ❕ We guarantee that the flowers will be fresh and will stand in a vase for at least 5 days .... a bouquet with a bush rose and alstriently ₽ 1650 - “delivery by agreement”. A certain time is required for the supply of this product. By availability, please clarify with managers. ❕ We guarantee that the flowers will be fresh and will stand in a vase for at least 5 days .... Bouquet of Alstromeria Mix ₽ 2410 - 4190 - “Delivery as agreed”. A certain time is required for the supply of this product. By availability, please clarify with managers. Attention! The color scheme of the bouquet may differ from the photo presented in the photo .... a bouquet of blue hydrangea and eastoma ₽ 1610 - “urgent delivery” goods are possible, operational delivery is possible during the day. A bouquet of delicate blue hydrangeas and eastoma in a stylish packaging will be ... an “electrician” bouquet of blue and purple gypsophils ₽ 2200 - 3040 - “Delivery by agreement”. A certain time is required for the supply of this product. By availability, please clarify with managers. The trend is gaining momentum - an air cloud of colored gypsophila! This voluminous ... bouquet of sunflower and greenery ₽ 1500 - 2100 - “Delivery by agreement”. A certain time is required for the supply of this product. By availability, please clarify with managers. Sunny and bright sunflowers - flowers that give a charge of optimism and vitality ... the best selling all the products of the "best sales" section &gt;&gt; all the products of the section&gt; -51%the price reduced a bouquet of red roses (pr -in Russia) ₽ 3040 - 21500 ₽ 1790 - 12650 - “urgent delivery” goods in stock are possible for operational delivery during the day. for 101 pcs. A bouquet of 101 red rose is a very beautiful and generous gift to your beloved ... A hat box with cloves ₽ 2650 - “Delivery as agreed”. A certain time is required for the supply of this product. By availability, please clarify with managers. A hat box with fragrant and delicate cloves! The color of the box and ... a bouquet of white chrysanthemums (pro Russia) ₽ 2220 - 12150 - “Delivery as agreed”. A certain time is required for the supply of this product. By availability, please clarify with managers. Bouquet of 25 white chrysanthemums in designer packaging. A bouquet of multi -colored hydrangeas ₽ 2190 - 4950 - “Urgent delivery” goods in stock is possible operational delivery throughout the day. A magnificent bouquet of 11 delicate hydrangeas in stylish packaging will be ...- 29%the price reduced a bouquet of pink peonies with an eucalyptus ₽ 2570 - 11400 ₽ 1900 - 8420 - “Delivery as agreed”. A certain time is required for the supply of this product. By availability, please clarify with managers. ❕ We guarantee that the flowers will be fresh and will stand in a vase for at least 5 days .... A snow -white gypsophila in a hat box ₽ 1290 - 2410 - “urgent delivery” of goods in stock is possible for operational delivery during the day. Unusual and air gypsophila in a hat box! This is a snow -white cloud ... an air cloud of purple gypsophila ₽ 2200 - 2950 - “Delivery in agreement”. A certain time is required for the supply of this product. By availability, please clarify with managers. The trend is gaining momentum - an air cloud of colored gypsophila! This volumetric ... bouquet of pink gypsophila ₽ 1850 - 2950 - “Delivery by agreement”. A certain time is required for the supply of this product. By availability, please clarify with managers. A bouquet of 11 delicate pink gypsophiles in packaging. -29%The price reduced the bouquet "Cloud Symphony" with hydrangea ₽ 4030 ₽ 2980 - "Urgent delivery" goods in stock possible operational delivery during the day. An amazingly beautiful and delicate bouquet of which is ...- 29%the price reduced a bouquet of peonies and a bush rose ₽ 3230 - 5920 ₽ 2390 - 4380 - “Delivery as agreed”. A certain time is required for the supply of this product. By availability, please clarify with managers. ❕ We guarantee that the flowers will be fresh and will stand in a vase for at least 5 days .... a bouquet of chrysanthemums and daisies ₽ 3340 - “delivery by agreement”. A certain time is required for the supply of this product. By availability, please clarify with managers. ❕ We guarantee that the flowers will be fresh and will stand in a vase for at least 5 days ....- 37%the price reduced a bouquet of a bush rose mix ₽ 4570 - 15550 ₽ 3150 - 10750 - “Delivery as agreed”. A certain time is required for the supply of this product. By availability, please clarify with managers. ❕ We guarantee that the flowers will be fresh and will stand in a vase for at least 5 days ....- 51%the price reduced a bouquet of white roses (pr -in Russia) ₽ 3040 - 21500 ₽ 1790 - 12650 - “urgent delivery” goods in the presence Operational delivery is possible during the day. for 101 pcs. A bouquet of 101 white roses is the most delicate feelings of love is sophisticated ... a bouquet of blue and white chrysanthemums ₽ 1830 - 3570 - “urgent delivery” goods in stock are possible for operational delivery throughout the day. A spectacular bouquet of bush chrysanthemums in a blue -white gamut will produce indelible ... Bouquets on his birthday to see all the products of the Build Buy Buy Buying products &gt;&gt; All the products of the section&gt; A hat box with multi -colored roses ₽ 2580 - 6530 - “Delivery by agreement”. A certain time is required for the supply of this product. By availability, please clarify with managers. ❕ We guarantee that the flowers will be fresh and will stand in a vase for at least 5 days .... Flower mix in a wooden box ₽ 3490 - “Urgent delivery” goods in stock is possible for operational delivery during the day. Attention: the color of the box and cut flowers will not necessarily be like in the photo .... a basket with a multi -colored chrysanthemum ₽ 3740 - 5880 - “Delivery by agreement”. A certain time is required for the supply of this product. By availability, please clarify with managers. Bright and colorful chrysanthemums in the basket are a magnificent present for anyone ... a hat box with a white chrysanthemum ₽ 1750 - 5740 - “Delivery by agreement”. A certain time is required for the supply of this product. By availability, please clarify with managers. The hat box is assembled from 7 white chrysanthemums❕ We guarantee that flowers ... a hat box with a bush rose ₽ 3150 - “Delivery by agreement”. A certain time is required for the supply of this product. By availability, please clarify with managers. A hat box with bush roses. Entrance! The composition may differ from ...- 29%The price reduced a hat box with pink peonies ₽ 4910 - 11050 ₽ 3630 - 8160 - “Delivery by agreement”. A certain time is required for the supply of this product. By availability, please clarify with managers. A hat box with 9 pink peonies supplemented by delicate branches of eucalyptus .... a bouquet of eastoma and irises ₽ 2680 - “urgent delivery” goods in stock are possible for operational delivery throughout the day. ❕ We guarantee that the flowers will be fresh and will stand in a vase for at least 5 days ....- 49%the price reduced 101 red rose with a heart in a box ₽ 13600 - 24750 ₽ 8230 - 15000 - “Delivery as agreed”. A certain time is required for the supply of this product. By availability, please clarify with managers. A delicate and air composition of 101 roses in a box to conquer the heart ... a bouquet of bush rose and eastoma ₽ 2360 - 2890 - “Delivery as agreed”. A certain time is required for the supply of this product. By availability, please clarify with managers. ❕ We guarantee that the flowers will be fresh and will stand in a vase for at least 5 days .... a basket with a rose and lavender ₽ 3860 - 6780 - “Delivery as agreed”. A certain time is required for the supply of this product. By availability, please clarify with managers. The basket is collected from 35 white roses is supplemented with silver ecalipte branches and ...- 29%the price reduced a bouquet of peonies ₽ 2340 - 22200 ₽ 1730 - 16450 - “Delivery as agreed”. A certain time is required for the supply of this product. By availability, please clarify with managers. ❕ We guarantee that the flowers will be fresh and will stand in a vase for at least 5 days .... Bouquet of "Summer Paints" ₽ 2840 - 4970 - "Urgent delivery" goods in stock possible operational delivery during the day. A bright bouquet of multi -colored roses and alstriently. The bouquet can ... Bouquet "Feminine" ₽ 4070 - "Delivery in agreement". A certain time is required for the supply of this product. By availability, please clarify with managers. A bouquet from the orchids of the Tsimbidium of Alstromeria of Bush Roses and Eustoma is supplemented ... Sukhotzeta bouquet "Winter Morning" with cotton and lavender ₽ 3480 - 6480 - "Delivery as agreed". A certain time is required for the supply of this product. By availability, please clarify with managers. The advantages of bouquets from dried flowers are as follows: 1. This is always ... a mini -bouquet of dried flowers ₽ 800 - “urgent delivery” of goods in stock is possible operational delivery during the day. A miniature bouquet -combination will become a pleasant gesture on the first date of the cute ... Lavender bouquet in craft ₽ 1460 - 3700 - “urgent delivery” goods in stock are possible for operational delivery throughout the day. A bouquet of fragrant lavender is a unique present that on any day ... Lavender’s bouquet and wheat ₽ 1640 - 2770 - “Delivery by agreement”. A certain time is required for the supply of this product. By availability, please clarify with managers. The bouquet made up of lavender and spikelets of wheat will undoubtedly be an excellent decoration of the house or office. The bouquet "The aroma of Provence" ₽ 3840 - "Delivery in agreement". A certain time is required for the supply of this product. By availability, please clarify with managers. A delicate combination of the lavender of the boxes of real cotton and soft spikelets ... Lavender in the hat box ₽ 3060 - 5160 - “Delivery by agreement”. A certain time is required for the supply of this product. By availability, please clarify with managers. A beautiful bouquet of lavender in a hat box is suitable for a gift for ... Bouquet "Rubin" ₽ 3820 - "Delivery as agreed". A certain time is required for the supply of this product. By availability, please clarify with managers. A bouquet of dried flowers in an amazing color palette. Such a present will appeal ... Flowers in hats to watch all the products of the section "Flowers in hat boxes" &gt;&gt; All the products of the section&gt; A hat box with multi -colored roses ₽ 2580 - 6530 - “Delivery as agreed”. A certain time is required for the supply of this product. By availability, please clarify with managers. ❕ We guarantee that the flowers will be fresh and will stand in a vase for at least 5 days .... a hat box with Alstromeria ₽ 2990 - 6040 - “Urgent delivery” goods in stock are possible for operational delivery during the day. ❕ We guarantee that the flowers will be fresh and will stand in a vase for at least 5 days .... a hat rose with alstriently ₽ 3050 - “Urgent delivery” goods are possible in the presence of operational delivery during the day. ❕ We guarantee that the flowers will be fresh and will stand in a vase for at least 5 days .... a hat box with a white rose ₽ 4030 - 6530 - “Urgent delivery” goods in stock are possible for operational delivery during the day. ❕ We guarantee that the flowers will be fresh and will stand in a vase for at least 5 days .... a hat box with a red rose ₽ 4720 - 8170 - “urgent delivery” goods in stock possible operational delivery during the day. A chic bouquet of 51 roses with a hat with a hat tied with elegant red ...- 49%the price reduced 101 white -razed rose in a box ₽ 13600 - 24750 ₽ 8230 - 15000 - “Delivery as agreed”. A certain time is required for the supply of this product. By availability, please clarify with managers. A delicate and air composition of 101 roses in a box to conquer the heart ... a hat box with a multi -colored rose (pr -in Ecuador) - 51 pcs. ₽ 8200 - “Delivery by agreement”. A certain time is required for the supply of this product. By availability, please clarify with managers. ❕ We guarantee that the flowers will be fresh and will stand in a vase for at least 5 days .... Flowers in baskets to see all the products of the "Flowers in Baskets" section &gt;&gt; All the products of the section&gt; -54%The price reduced rose in the basket. Specialist. The proposal "Fortune". ₽ 2840 - 5430 ₽ 1630 - 3120 - “Delivery by agreement”. A certain time is required for the supply of this product. By availability, please clarify with managers. The composition of 15 roses in a wicker basket. The proposal "Fortune" -... Basket with a multi -colored chrysanthemum ₽ 3740 - 5880 - "Delivery in agreement". A certain time is required for the supply of this product. By availability, please clarify with managers. Bright and colorful chrysanthemums in the basket are a magnificent present for any ...- 29%The price reduced the composition in the basket "Summer Day" from peonies and eastoma ₽ 6650 - 10750 ₽ 4920 - 7940 - "Delivery by agreement". A certain time is required for the supply of this product. By availability, please clarify with managers. ❕ We guarantee that the flowers will be fresh and will stand in a vase for at least 5 days .... The rainbow gypsophila in the basket ₽ 2210 - 3000 - “Delivery as agreed”. A certain time is required for the supply of this product. By availability, please clarify with managers. The rainbow gypsophila in the basket will cheer up any day with bright colors! A basket with a white and pink chrysanthemum ₽ 3850 - 4830 - “urgent delivery” goods in stock is possible operational delivery throughout the day. 7 white and colored bush chrysanthemums in the basket - a gift for any occasion .... a basket with chrysanthemum and clove ₽ 2040 - “Delivery as agreed”. A certain time is required for the supply of this product. By availability, please clarify with managers. Bright and colorful chrysanthemums in the basket are a magnificent present for any ... basket of multi -colored gerber ₽ 2250 - 3780 - “urgent delivery” goods in stock are possible for the day. A bouquet of 11 bright colorful gerber in the basket. ❕ We guarantee that the flowers ... Clear day basket ₽ 1990 - “urgent delivery” goods in stock are possible for the day. A basket with a fluffy chrysanthemum and red rose is suitable for any ... composition in the basket "Summer evening" ₽ 1900 - “Urgent delivery” of goods in stock is possible operational delivery during the day. The composition of roses and chrysanthemums in the basket -delivery torture to test all the products of the gift "Gift sets" &gt;&gt; All the products of the section&gt; Gift set "Happy Birthday" ₽ 3280 - 5680 - "Delivery in agreement". A certain time is required for the supply of this product. By availability, please clarify with managers. We have selected the brightest elements of the holiday for you. Each piece of this ... Gift set of “Happy Birthday” balls of foil ₽ 5700 - 6800 - “Delivery as agreed”. A certain time is required for the supply of this product. By availability, please clarify with managers. We have selected the brightest elements of the holiday for you. Each part of this ... Gift set “Romance” ₽ 4240 - 6940 - “Delivery in agreement”. A certain time is required for the supply of this product. By availability, please clarify with managers. Classic red roses are delicious sweets and bright balloons ... Gift set “Compliment” ₽ 5740 - “Delivery as agreed”. A certain time is required for the supply of this product. By availability, please clarify with managers. Classic red roses in a hat box delicious sweets and bright ... Our directions delivery of flowers Rosa Birthday Flowers View all delivery of balloons Birthday for discharge shining for wedding View all services for the design of the Promotions Gifts delicious gifts flowers in bulk Flowers freshly cut potatoes Products for floristry of tulips by wholesale by March 8, relevant on the Blog Stylish and Modern New Year gifts for the new year to decorate your house for the New Year: Actual trends 2023 in New Year's floristry. Why do florists turn roses? Interesting facts about flowering technique or fraud in a bouquet? Is it so terrible twisted rose? Everything about the "French" beauty and also about whether such a French will tell our florists minimalism in modern bouquets. The creation of a modern composition of a small number of materials with an inspiration of theimicism is a philosophy that consists in rejection of excesses and focusing on the main one. We talk about the main world trend of 2023 men and flowers. Or how not to make a mistake with the gift? Gifts for women bookmarks or composition in a hat box? A basket with chrysanthemums or an unusual bouquet with exotic colors? In a flower store, it is not so easy for men to choose the best gift for a loved one. Floral recognition of love. The most romantic flowers flowers and the romantic -like best way to say to a person "I love you" is to undoubtedly give flowers. The tradition of giving flowers goes far into the past and after a while has turned into a real art, choose a bouquet for the last call, do it yourself - helping the recommendation of ideas is present to give a bouquet? What flowers to choose? We answer all questions in order. New Year's compositions on the table Gifts for a new suitable tradition of decorating the interior is rapidly capturing Russia. And one of the best solutions is to create decorative jewelry from Nobilisa.shopping_basket0.00.00 place an order about the Nasinformation of the company of the company of the company of priority to corporate customers Contacts interesting facts about Tsvetakhids of Gifts Tips for Care for Color Care Information Support Resposive (FAQ) Safety and Confidential Supervision Support Customer LIKS Buyers buy flowers on their birthday on their birthday, Association of Potter Plants. Gifts about drearms of airplane balls and goods for holidays for the holidays of interiors. Flowers in bulk of the Instagram promotion We are on social networks Copyright 2023 - Flowers Valley - All Right Right Right Right Right Ved.</v>
      </c>
    </row>
    <row r="305">
      <c r="A305" s="1" t="s">
        <v>883</v>
      </c>
      <c r="B305" s="1" t="s">
        <v>990</v>
      </c>
      <c r="D305" s="1">
        <v>15.0</v>
      </c>
      <c r="E305" s="4" t="s">
        <v>991</v>
      </c>
      <c r="F305" s="1" t="s">
        <v>43</v>
      </c>
      <c r="G305" s="1" t="s">
        <v>932</v>
      </c>
      <c r="H305" s="4" t="s">
        <v>933</v>
      </c>
      <c r="I305" s="2">
        <v>1.0</v>
      </c>
      <c r="J305" s="5" t="str">
        <f>IFERROR(__xludf.DUMMYFUNCTION("GOOGLETRANSLATE(A305)"),"Gypsophyla")</f>
        <v>Gypsophyla</v>
      </c>
      <c r="K305" s="6" t="str">
        <f>IFERROR(__xludf.DUMMYFUNCTION("GOOGLETRANSLATE(B305)"),"Gypsophyla bouquet ""at sunset""")</f>
        <v>Gypsophyla bouquet "at sunset"</v>
      </c>
      <c r="M305" s="5" t="str">
        <f>IFERROR(__xludf.DUMMYFUNCTION("GOOGLETRANSLATE(G305)"),"Official Grand Caprice: Flourist Studio and Flower Groze50 Ready Bouquets-Always! +7 (4912) 50-22-24 Catalog Bouquets with delivery from 30 Ministry of Pibedatate-Goglobuschkhenytskiybucks from dried-flowered combo! Investigation dial-free-based rosynegyp"&amp;"santema SY and lilies -devastic bouquet bouquenced toys and balls Ready -made bouquets of copyright bouquets Delivery and payment Contacts Catalog 0 Catalog Bouquets with delivery from 30 Ministry of Public Summarian Goglobuschenitsky Bukes from dried -co"&amp;"lor -fluid combo! Rousin -free drawing pinky -based drawing -pro -chryzanthemonypionypypsofiladiats and liliswades bouquet boulers and shara Ready -made bouquets copyright bouquets Delivery and payment of contacts 50 bouquets in stock from 30 minutes to w"&amp;"atch the bouquet Option bouquet -ready -made bouquets of roshypsyuphylapionary -autonomous bouquet bouquets roses -10% Ø 30↕ 40 Bouquet of pink bouquet rose from 2,590 ₽ Select ↕ 40 bouquet of white bouquet roses from 1,590 ₽ Select Ø 25↕ 40 bouquet of ro"&amp;"ses ""Orange in chocolate"" 1 290 ₽ order in 1 click -8% Ø 20↕ 40 Bouquet of white and red bouquet roses from 1,990 ₽ Select ↕ 40 bouquet of red bouquet roses from 1,590 ₽ Choose -8% Ø 20↕ 40 bouquet of white and pink bouquet roses from 2 190 ₽ Choose -7%"&amp;" ↕ 40 bouquet of red bouquet rose from 1,990 ₽ Choose a bouquet from a pale pink bouquet rose from 1,590 ₽ choose -14% ↕ 40 bouquet of white bouquet roses from 1,990 ₽ Select ↕ 40 Bouquet of white and pink bouquet roses from 1,590 ₽ Select ↕ 40 bouquet of"&amp;" pink bouquet rose from 1,690 ₽ Choose -2% bouquet of red bonus roses from 6 790 ₽ Choose ↕ 70 bouquet of red roses Ecuador from 2 190 ₽ -6% Ø 20↕ 40 Bouquet of red bouquet roses from 3,590 ₽ Select Ø 25↕ 40 Bashing of 51 red bouquet rose 5 190 ₽ into a b"&amp;"asket of 1 click Bouquet of red bouquet roses from 2,290 ₽ Select ↕ 70 bouquet of pink Ecuador premium roses from 2 190 ₽ Choose -3% bouquet of white premium roses from 6 790 ₽ Choose a bouquet of premium white roses Ecuador from 2 190 ₽ Choose a bouquet "&amp;"of red and red bouquet roses from 1,890 ₽ Select Ø 25↕ 45 A fragrant bouquet ""Lolipop"" 1 590 ₽ order in 1 click a bouquet of bouquet roses with eucalyptus from 2,990 ₽, choose a composition of red bouquet rose with eucalyptus from 2 190 ₽ Choose a bouqu"&amp;"et of pink roses from 2,990 ₽ Choose a bouquet of 2,990 ₽ choose -4% bouquet of red bonus roses 140 cm from 8 390 ₽ Choose a bouquet of red bouquet roses with eucalyptus from 2,790 ₽ Choose -8% bouquet of red and red bouquet roses from 2 790 ₽ choose a co"&amp;"mposition of white bouquet rose from Eucalyptus in a pink box of 2 190 ₽ Choose -8% bouquet of white and lilac bouquet roses from 1,990 ₽ Choose -8% bouquet of lilac bouquet roses from 1,990 ₽ choose a composition from a white bouquet rose with eucabalip "&amp;"in a gray box from 2 190 ₽ choose -1% bouquet of white roses from 2 990 ₽ Choose -8% bouquet of 51 premium rose ""Red Heart"" 13 690 ₽ 12 590 ₽ in a basket of 1 click composition of 151 bouquet roses ""with love!"" 13 390 ₽ order in 1 click -7% bouquet fr"&amp;"om orange premium roses from 6 790 ₽ Choose a bouquet from fiery premium roses Ecuador from 2 190 ₽ Choose -4% bouquet of 101 premium rose ""Red Heart"" 25 590 ₽ 24 690 ₽ order In 1 click -10% bouquet of pink high roses from 6 890 ₽ Choose a bouquet of br"&amp;"ight pink high roses (15pcs) 2 790 ₽ order in 1 click ↕ 40 bouquet of red bouquet roses from 2 290 ₽ Choose a bouquet of 5 bushes cream roses 1 990 ₽ order in 1 click a basket of 151 white rose with eucalyptus 14 590 ₽ order in 1 click Basket from 151 bou"&amp;"quet red roses 12 990 ₽ Order in 1 click of a basket of 75 red and white bouquet roses 6 890 ₽ order in 1 click Bouquet of 51 premium rose ""White Heart"" 12 590 ₽ in a basket of 1 click of 5 bushes of 5 bushes roses 1,890 ₽ order in 1 click of 5 bouquet "&amp;"red roses 1 990 ₽ order in 1 click Bouquet of 25 high raspberry roses 4 190 ₽ Order in 1 click ↕ 40 bouquet of red bouquet rose from 2 190 ₽ Choose a backbenching officer of the Batkovichi really liked it! I chose a bouquet for a girl. September 25th. The"&amp;"y said that he was formed on 09.24. It has been standing for 4 days now and it has become more beautiful and more beautiful! Flowers bite the bouquet increases in volume. Thank you! On September 28, I. I. Very magnificent flowers! On September 22, I will "&amp;"enormous for efficiency and professionalism! They collected a bouquet very quickly two hours after the order pleased the culprit of the celebration on Mayam on Mayam on Instagram @grand_kapriz to customers delivery and payment for the return of goods Gift"&amp;" certificates Bonuses Personal Account Leave information about us FAQ Contacts Public Offer Privacy Agreement We are in communication+7 ( 4912) 50-22-24 subscription to the news, access exclusive discomespects will work on the Insale-development of the si"&amp;"te-GO.Studio workshop of floristry Grand Caprice 2023 0 ₽ Buckets with delivery from 30 minimum aidatraticoglobuschkrican bouquets from dried-flowered computers! Bouquet Rozycustrian Rozyre -Proserian Rozyrizantemypionium -Sigipsophiladians and Lililsaade"&amp;"b Bouquet -mug -shirty toys and balls Fast contractual phone: Name: Name: receive notifications about ordering the help of notifications about the order, you can not only receive actual information by order but also have a quick communication channel with"&amp;" the store: place an order")</f>
        <v>Official Grand Caprice: Flourist Studio and Flower Groze50 Ready Bouquets-Always! +7 (4912) 50-22-24 Catalog Bouquets with delivery from 30 Ministry of Pibedatate-Goglobuschkhenytskiybucks from dried-flowered combo! Investigation dial-free-based rosynegypsantema SY and lilies -devastic bouquet bouquenced toys and balls Ready -made bouquets of copyright bouquets Delivery and payment Contacts Catalog 0 Catalog Bouquets with delivery from 30 Ministry of Public Summarian Goglobuschenitsky Bukes from dried -color -fluid combo! Rousin -free drawing pinky -based drawing -pro -chryzanthemonypionypypsofiladiats and liliswades bouquet boulers and shara Ready -made bouquets copyright bouquets Delivery and payment of contacts 50 bouquets in stock from 30 minutes to watch the bouquet Option bouquet -ready -made bouquets of roshypsyuphylapionary -autonomous bouquet bouquets roses -10% Ø 30↕ 40 Bouquet of pink bouquet rose from 2,590 ₽ Select ↕ 40 bouquet of white bouquet roses from 1,590 ₽ Select Ø 25↕ 40 bouquet of roses "Orange in chocolate" 1 290 ₽ order in 1 click -8% Ø 20↕ 40 Bouquet of white and red bouquet roses from 1,990 ₽ Select ↕ 40 bouquet of red bouquet roses from 1,590 ₽ Choose -8% Ø 20↕ 40 bouquet of white and pink bouquet roses from 2 190 ₽ Choose -7% ↕ 40 bouquet of red bouquet rose from 1,990 ₽ Choose a bouquet from a pale pink bouquet rose from 1,590 ₽ choose -14% ↕ 40 bouquet of white bouquet roses from 1,990 ₽ Select ↕ 40 Bouquet of white and pink bouquet roses from 1,590 ₽ Select ↕ 40 bouquet of pink bouquet rose from 1,690 ₽ Choose -2% bouquet of red bonus roses from 6 790 ₽ Choose ↕ 70 bouquet of red roses Ecuador from 2 190 ₽ -6% Ø 20↕ 40 Bouquet of red bouquet roses from 3,590 ₽ Select Ø 25↕ 40 Bashing of 51 red bouquet rose 5 190 ₽ into a basket of 1 click Bouquet of red bouquet roses from 2,290 ₽ Select ↕ 70 bouquet of pink Ecuador premium roses from 2 190 ₽ Choose -3% bouquet of white premium roses from 6 790 ₽ Choose a bouquet of premium white roses Ecuador from 2 190 ₽ Choose a bouquet of red and red bouquet roses from 1,890 ₽ Select Ø 25↕ 45 A fragrant bouquet "Lolipop" 1 590 ₽ order in 1 click a bouquet of bouquet roses with eucalyptus from 2,990 ₽, choose a composition of red bouquet rose with eucalyptus from 2 190 ₽ Choose a bouquet of pink roses from 2,990 ₽ Choose a bouquet of 2,990 ₽ choose -4% bouquet of red bonus roses 140 cm from 8 390 ₽ Choose a bouquet of red bouquet roses with eucalyptus from 2,790 ₽ Choose -8% bouquet of red and red bouquet roses from 2 790 ₽ choose a composition of white bouquet rose from Eucalyptus in a pink box of 2 190 ₽ Choose -8% bouquet of white and lilac bouquet roses from 1,990 ₽ Choose -8% bouquet of lilac bouquet roses from 1,990 ₽ choose a composition from a white bouquet rose with eucabalip in a gray box from 2 190 ₽ choose -1% bouquet of white roses from 2 990 ₽ Choose -8% bouquet of 51 premium rose "Red Heart" 13 690 ₽ 12 590 ₽ in a basket of 1 click composition of 151 bouquet roses "with love!" 13 390 ₽ order in 1 click -7% bouquet from orange premium roses from 6 790 ₽ Choose a bouquet from fiery premium roses Ecuador from 2 190 ₽ Choose -4% bouquet of 101 premium rose "Red Heart" 25 590 ₽ 24 690 ₽ order In 1 click -10% bouquet of pink high roses from 6 890 ₽ Choose a bouquet of bright pink high roses (15pcs) 2 790 ₽ order in 1 click ↕ 40 bouquet of red bouquet roses from 2 290 ₽ Choose a bouquet of 5 bushes cream roses 1 990 ₽ order in 1 click a basket of 151 white rose with eucalyptus 14 590 ₽ order in 1 click Basket from 151 bouquet red roses 12 990 ₽ Order in 1 click of a basket of 75 red and white bouquet roses 6 890 ₽ order in 1 click Bouquet of 51 premium rose "White Heart" 12 590 ₽ in a basket of 1 click of 5 bushes of 5 bushes roses 1,890 ₽ order in 1 click of 5 bouquet red roses 1 990 ₽ order in 1 click Bouquet of 25 high raspberry roses 4 190 ₽ Order in 1 click ↕ 40 bouquet of red bouquet rose from 2 190 ₽ Choose a backbenching officer of the Batkovichi really liked it! I chose a bouquet for a girl. September 25th. They said that he was formed on 09.24. It has been standing for 4 days now and it has become more beautiful and more beautiful! Flowers bite the bouquet increases in volume. Thank you! On September 28, I. I. Very magnificent flowers! On September 22, I will enormous for efficiency and professionalism! They collected a bouquet very quickly two hours after the order pleased the culprit of the celebration on Mayam on Mayam on Instagram @grand_kapriz to customers delivery and payment for the return of goods Gift certificates Bonuses Personal Account Leave information about us FAQ Contacts Public Offer Privacy Agreement We are in communication+7 ( 4912) 50-22-24 subscription to the news, access exclusive discomespects will work on the Insale-development of the site-GO.Studio workshop of floristry Grand Caprice 2023 0 ₽ Buckets with delivery from 30 minimum aidatraticoglobuschkrican bouquets from dried-flowered computers! Bouquet Rozycustrian Rozyre -Proserian Rozyrizantemypionium -Sigipsophiladians and Lililsaadeb Bouquet -mug -shirty toys and balls Fast contractual phone: Name: Name: receive notifications about ordering the help of notifications about the order, you can not only receive actual information by order but also have a quick communication channel with the store: place an order</v>
      </c>
    </row>
    <row r="306">
      <c r="A306" s="1" t="s">
        <v>883</v>
      </c>
      <c r="B306" s="1" t="s">
        <v>992</v>
      </c>
      <c r="C306" s="1" t="s">
        <v>993</v>
      </c>
      <c r="D306" s="1">
        <v>16.0</v>
      </c>
      <c r="E306" s="4" t="s">
        <v>994</v>
      </c>
      <c r="F306" s="1" t="s">
        <v>43</v>
      </c>
      <c r="G306" s="1" t="s">
        <v>995</v>
      </c>
      <c r="H306" s="4" t="s">
        <v>996</v>
      </c>
      <c r="I306" s="2">
        <v>1.0</v>
      </c>
      <c r="J306" s="5" t="str">
        <f>IFERROR(__xludf.DUMMYFUNCTION("GOOGLETRANSLATE(A306)"),"Gypsophyla")</f>
        <v>Gypsophyla</v>
      </c>
      <c r="K306" s="6" t="str">
        <f>IFERROR(__xludf.DUMMYFUNCTION("GOOGLETRANSLATE(B306)"),"Bouquets gypsophiles with delivery - Minsk")</f>
        <v>Bouquets gypsophiles with delivery - Minsk</v>
      </c>
      <c r="L306" s="5" t="str">
        <f>IFERROR(__xludf.DUMMYFUNCTION("GOOGLETRANSLATE(C306)"),"Delivery gypsophiles. Our store delivers flower bouquets throughout Minsk and beyond. We can order the delivery of the bouquet to a certain ...")</f>
        <v>Delivery gypsophiles. Our store delivers flower bouquets throughout Minsk and beyond. We can order the delivery of the bouquet to a certain ...</v>
      </c>
      <c r="M306" s="5" t="str">
        <f>IFERROR(__xludf.DUMMYFUNCTION("GOOGLETRANSLATE(G306)"),"Flowers in Minsk | Flower delivery | Buy online | DOLINAROZAZKOSMENSHAPOSKNASH shops: st. Alibegova 22ul. Romanovskaya Sloboda 5+375 (25) 514-21-05+375 (44) 712-50-70 Rizyshobokyshkobokyshkyshkashkyshashkyshashkarkarki-paprakvatokovtskovo-stupids in Minsk"&amp;" in the box No. 3 Popopular 93.00 BYNBUTULE OF ROS ""Polog 1 ""Popular with 135.00 BYNBUK Alfiya Roses Popular 10 6% 22 The range of colors of both Belarusian production and imported - Holland Ecuador Kenya Brazil. In our flower store you can buy almost a"&amp;"ny flowers with delivery in Minsk or in our retail stores at a low price. All cut flowers are stored at the right temperature that guarantees excellent resistance after the purchase aatalog is represented from many ready -made bouquets from roses of roses"&amp;" of eastoma of bush roses and many other colors. We have a large catalog of prefabricated bouquets, which include exotic flowers of plants of greens. Experienced florists will make a stylish fresh bouquet based on your wishes and preferences. You can orde"&amp;"r flowers while abroad, because our store provides online payment using a bank card from any country. We accept payments using all cards where online payment is provided and there is also a system for calculating ERIP for residents of Belarus. In addition"&amp;" to the bouquet, you can choose the necessary postcard or the insert by complementing it with the necessary text with your wish. Flowering flowers in Minsk, make a pleasant flower gift with delivery in Minsk? You can count on us - we definitely will not l"&amp;"et you down. We do not disclose information about the customer without his knowledge. Delivery is carried out in a timely time interval for you absolutely free when ordering from 70 Bel. rubles. In our store you can order flowers with delivery as fast as "&amp;"possible from order to receiving flowers is 1.5-2 hours, provided that the courier is free. Many choose our company for a number of reasons: delivery in Minsk for 2 hours or at the appointed time we will check when choosing 1000 positive reviews of the he"&amp;"ater of bouquets of 51 and 101 roses Low cost of rose from 1.00 ruble of chamomile-from 3.5 cloves from 300 orders of order- On the weekend and on holidays, payment can be made convenient for you (online with a bank card of ERIP Cash and Card Courier) Sty"&amp;"lish flowers in the box and baskets with roses at low prices10% discount on all flowers from our catalog at a preliminary order for pick -ups Retail shops are located at the address of Minsk st. Romanovskaya Sloboda 5 (near the Nemiga/Frunzenskaya metro) "&amp;"and Alibegova 22 RIDs &amp; Address. Minsk st. Alibegova 22 (Mikhalovo/South-West) g. Minsk st. Romanovskaya Sloboda 5 (Metro Nemiga/Frunze) +375 (44) 712-50-70+375 (44) 599-35-35Dolinaroz.by@gmail.compn-from 9:00 to 22: 00sb-from 10: from 10: from 10: from 1"&amp;"0: from 10 00 to 22: 00VS - from 10:00 to 20: 00 Sign on the “Dolinarosis” of Jur. Address: Republic of Belarus G. Minskul. Alibegova d.22 pom. 151. The Internet store is registered in the trading register of the Republic of Belarus on May 18, 2021. Under"&amp;" No. 510145 of the Republic of Belarus, registration certificate No. 193523803 was issued on 03/23/2021. Minsk City Executive Committee. UNP 691607798 CENTS AND ROZI in Minsk © 2022 Dolinaroz. Version: 4.1.1")</f>
        <v>Flowers in Minsk | Flower delivery | Buy online | DOLINAROZAZKOSMENSHAPOSKNASH shops: st. Alibegova 22ul. Romanovskaya Sloboda 5+375 (25) 514-21-05+375 (44) 712-50-70 Rizyshobokyshkobokyshkyshkashkyshashkyshashkarkarki-paprakvatokovtskovo-stupids in Minsk in the box No. 3 Popopular 93.00 BYNBUTULE OF ROS "Polog 1 "Popular with 135.00 BYNBUK Alfiya Roses Popular 10 6% 22 The range of colors of both Belarusian production and imported - Holland Ecuador Kenya Brazil. In our flower store you can buy almost any flowers with delivery in Minsk or in our retail stores at a low price. All cut flowers are stored at the right temperature that guarantees excellent resistance after the purchase aatalog is represented from many ready -made bouquets from roses of roses of eastoma of bush roses and many other colors. We have a large catalog of prefabricated bouquets, which include exotic flowers of plants of greens. Experienced florists will make a stylish fresh bouquet based on your wishes and preferences. You can order flowers while abroad, because our store provides online payment using a bank card from any country. We accept payments using all cards where online payment is provided and there is also a system for calculating ERIP for residents of Belarus. In addition to the bouquet, you can choose the necessary postcard or the insert by complementing it with the necessary text with your wish. Flowering flowers in Minsk, make a pleasant flower gift with delivery in Minsk? You can count on us - we definitely will not let you down. We do not disclose information about the customer without his knowledge. Delivery is carried out in a timely time interval for you absolutely free when ordering from 70 Bel. rubles. In our store you can order flowers with delivery as fast as possible from order to receiving flowers is 1.5-2 hours, provided that the courier is free. Many choose our company for a number of reasons: delivery in Minsk for 2 hours or at the appointed time we will check when choosing 1000 positive reviews of the heater of bouquets of 51 and 101 roses Low cost of rose from 1.00 ruble of chamomile-from 3.5 cloves from 300 orders of order- On the weekend and on holidays, payment can be made convenient for you (online with a bank card of ERIP Cash and Card Courier) Stylish flowers in the box and baskets with roses at low prices10% discount on all flowers from our catalog at a preliminary order for pick -ups Retail shops are located at the address of Minsk st. Romanovskaya Sloboda 5 (near the Nemiga/Frunzenskaya metro) and Alibegova 22 RIDs &amp; Address. Minsk st. Alibegova 22 (Mikhalovo/South-West) g. Minsk st. Romanovskaya Sloboda 5 (Metro Nemiga/Frunze) +375 (44) 712-50-70+375 (44) 599-35-35Dolinaroz.by@gmail.compn-from 9:00 to 22: 00sb-from 10: from 10: from 10: from 10: from 10 00 to 22: 00VS - from 10:00 to 20: 00 Sign on the “Dolinarosis” of Jur. Address: Republic of Belarus G. Minskul. Alibegova d.22 pom. 151. The Internet store is registered in the trading register of the Republic of Belarus on May 18, 2021. Under No. 510145 of the Republic of Belarus, registration certificate No. 193523803 was issued on 03/23/2021. Minsk City Executive Committee. UNP 691607798 CENTS AND ROZI in Minsk © 2022 Dolinaroz. Version: 4.1.1</v>
      </c>
    </row>
    <row r="307">
      <c r="A307" s="1" t="s">
        <v>883</v>
      </c>
      <c r="B307" s="1" t="s">
        <v>997</v>
      </c>
      <c r="D307" s="1">
        <v>19.0</v>
      </c>
      <c r="E307" s="4" t="s">
        <v>998</v>
      </c>
      <c r="F307" s="1" t="s">
        <v>43</v>
      </c>
      <c r="G307" s="1" t="s">
        <v>999</v>
      </c>
      <c r="H307" s="4" t="s">
        <v>1000</v>
      </c>
      <c r="I307" s="2">
        <v>1.0</v>
      </c>
      <c r="J307" s="5" t="str">
        <f>IFERROR(__xludf.DUMMYFUNCTION("GOOGLETRANSLATE(A307)"),"Gypsophyla")</f>
        <v>Gypsophyla</v>
      </c>
      <c r="K307" s="6" t="str">
        <f>IFERROR(__xludf.DUMMYFUNCTION("GOOGLETRANSLATE(B307)"),"Bouquet of gypsophyla - Bloomflowers.pl")</f>
        <v>Bouquet of gypsophyla - Bloomflowers.pl</v>
      </c>
      <c r="M307" s="5" t="str">
        <f>IFERROR(__xludf.DUMMYFUNCTION("GOOGLETRANSLATE(G307)"),"Florist Warsaw Bloom Flowers Delivery of flowers 7 days a week Babloom Flowerskwiaciarnia Warszawa | Bloom Flowers Delivery of flowers 7 days a week+48 790 343 461.mote the products of products in the basket Express Flower Delivery in 2H in Warsaw! Check "&amp;"now! PL en en rine auto -bouquet bouquet in the box in the Floods Floods Firefighting Farewell. Flower Firdostawa and Payments Continuate Nas 0brak Products in the basket pl en en Ru express delivery Flowers in 2h in Warsaw! Check now! Bloom Flowersuts We"&amp;" grease your world with fresh flowers. Bloom Flowersuts We grease your world with fresh flowers. SklepoPecanesezacz more Add to the list of wishflower box ""first kiss"" from 165.00 PLN New Add to the list of wishes ""peach note"" from 185.00 PLN New Add "&amp;"to the list of wishes ""Bliss"" from 195.00 PLN Add to the list of flower wishes "" Harmony ”from 285.00 PLN Add to the list of wishes of red poverty 815.00 PLN Add to wishyflowerbox"" amour ""from 175.00 PLN Add to the wishes list"" Serene Blooms ""from "&amp;"385.00 PLN New Add to the"" Sunrise Serenity ""wish list from 165.00 PLN Add to the list Flowers ""Pastel Lovers"" from 335.00 PLN Add to the list of wishbones in the box 165.00 PLN Add to the list of branch wishes borders 155.00 PLN New Add to the list o"&amp;"f wishes ""handsome"" from 165.00 PLN Add to wishes for red wishes of red poverts 125.00 PLN Add to the list of wishes in the box 155.00 PLN New Add to the list of wishesjasryod PLN 255.00 author's bouquetts in the boxes Sales Sales more Add to the list o"&amp;"f wishes SPRAY Roses ""Silva Pink"" from PLN 255.00 Add to wishlist roses PLN 125.00. New Add to the letter of the ""NICEYCE"" wishes from PLN 185.00 Add to the list of wishes ""Pink &amp; Blue"" from 195.00 PLN Add to the list of flower wishes ""Your Happine"&amp;"ss"" from PLN 315.00 Add to wish list101 red roses PLN 1400.00 Add to the wish list ""Dream"" from 195.00 PLN New Add to the ""Lovely"" wish list from PLN 175.00 from PLN 175.00 from PLN 175.00 New Add to the ""I love you"" wish list from PLN 215.00 Add t"&amp;"o wishyflowerbox ""Charming"" from PLN 175.00 Add to the ""Pure Love"" wish list from PLN 175.00 Add to the list of Gypsówówki Gypsówówków. PLN 155.00 Add to wish list. 900.00 PLN New Add to the list of the ""Perfekt Morning"" wishes from 195.00 PLN Add t"&amp;"o the list of wishes red roses in a black packaging PLN 125.00 We do the best one in Warsaw, only fresh inflorescences for regular customers. Wish customer with our promotions, just press ""I like it""! In Bloom Together with You ♡ I agree to receive news"&amp;"letteleave this field empty empty if you're human: faqsjak order flowers in Warsaw? Visit our website and choose a bouquet. When choosing, you can use the help of an employee of price filter florist or flower category. After selecting the bouquet, click "&amp;"""to the basket"". Then provide information on delivery and payment method. Confirmation of the order will automatically come to your mail. After making the payment, the courier will deliver flowers on time at the address indicated. What is the waiting ti"&amp;"me for the supply of flowers in Warsaw? It depends on the load on our courier and the selected time interval as well as the distance from the florist to the recipient's address. If you need an express delivery, you can write a florist to the administrator"&amp;" and receive an order even within 2 hours. How to pay and place an order? Bloom Flowers uses all popular and secure payment systems - Payu PayPal Banking Card to the Courier, etc. If you have difficulties with payment, please contact the florist administr"&amp;"ator. Where is it worth buying flowers in Warsaw? On the website or directly at the Bloom Flowers florist, you can quickly and conveniently buy a bouquet even if you are not from Warsaw and another city or country. In our florist you will always find a la"&amp;"rge selection of beautiful and fresh flowers. Bloomflowers - Flower Flower Flowers Warsaw. Read more stakes are one of the most beautiful creatures in the world. They enjoy and rejoice bring a smile up, they create a friendly and cozy atmosphere, decrease"&amp;" and improve the microclimate of rooms, introduce harmony and peace and express sadness and pain of loss. The spur of laying flowers has been known since antiquity. Plants have accompanied man for a long time. People valued them for healing power and also"&amp;" for beauty. That is why they began to create decorations from flowers and other parts of plants. This is how the art of floristics bouquets was born. How the world would change if all the flowers disappeared at once? Until fear to imagine ... This situat"&amp;"ion is not threatening to us because there is a bloomflowers online florist. Our florists create beauty every day. The trust and loyalty of our clients is our main criterion at work, which is why we will always take care of the wishes and preference of ea"&amp;"ch client very carefully. Among the over 300 florists of Warsaw, we are a very creative young young and quite experienced floristic team. Our uniqueness is that we can create an unforgettable festive atmosphere during every event. Never customers will fin"&amp;"d the right flowers with us for every occasion: - Women's Day - Christmas - baptism - Grandmother and Grandfather's Day - Mother and Father's Day - name day - last farewell - First Communion - thanks - apology - dating and romantic meetings - anniversarie"&amp;"s - wedding - professional holidays - birthday - engaging -lively we can propose? Internet can be seen and ordered with delivery or pickup: - bouquets (original bouquets wedding bouquets bouquets in a box in the basket and so Flowers (chocolates cakes cak"&amp;"e mascot mascar and flower care products) In our flower shop you will find the best flowers from around the world: - roses (single and branch of various shades and length and length and t.d.) - tulips - peonies - seasonal garden and field (daisy lilies of"&amp;" the lilies lilacs cloves freesia asters, gladioli and t.d.) - various exotic flowers (plasterboards eucalyptus bamboo streets and so on. - Helpful service that will always advise you in the selection of flowers and ensure that the whole process will run "&amp;"successfully - a convenient location of florists - I professionalize confirmed by high grades on Google Facebook and Trustpilot - the experience we obtained by making thousands of different bouquets for our clients - an individual approach to each order t"&amp;"ime is one time from the largest and irreplaceable values. We remember and care for him. That is why in Bloomflowers, despite the possibility of receiving flowers, you can still order a delivery with any address home to the university's office. Always fre"&amp;"sh and fragrant flowers dazzling with various colors of nature will create an atmosphere full of grace . Cybernetics 15 you will find a world and beautiful flowers that enjoy and rejoice also waiting for you always a delicious cake and wonderful hot and c"&amp;"old drinks. The beautiful fragrant flower aroma of delicious cake and stimulating coffee surrounded by flowers and an atmosphere of full grace Visit. Flowers - Coffee - Love - are mixtures of many feelings: the tenderness of the desire for desire to ideal"&amp;"ize friendly and aesthetic satisfaction and thousands of other feelings. Order flowers from Bloomflowers? Go to the website of our florist Bloomflowers.pl place an online order or call the phone: + 48 790 343 461 Kwiatowa will be delivered at the indicate"&amp;"d address shortly after the fee. You can make the ease in a few methods convenient for you with cash or by card in our store or pay using payment systems: PayPal Payu Visa and Mastercard. Nasi managers will always help help and answer all questions and he"&amp;"lp Make the best choice. We can attach to the ordered flowers to attach a chiclock card of the bunny or teddy bear and many other trinkets. We love what we do because our work is our passion. We build and care for a friendly atmosphere at work, we build r"&amp;"elations on the ground and the principles of dignity and respect as for the client, and to employees. We do and we try to make every client to not be lost in vain and the world does not lose the charming colors of nature. What we declare with the elegance"&amp;" and delicacy of our flowers. Read our stores less to us: • ul. Cybernetics 15PN-SB: 9:00-20:00 ND: 10:00-18: 00 • ul. Koszykowa 63 Hall Koszykipn-SB: 10:00-20: 00skddostawa and Paygulaminine of the Privacy Qbblogdołącz to us general selectorsexact matche"&amp;"s only search in title search in content post type selectorsby to ensure the highest quality of services we use information stored in a web browser. Check the purpose of storage or access conditions in the Privacy Policy. I accept cookies")</f>
        <v>Florist Warsaw Bloom Flowers Delivery of flowers 7 days a week Babloom Flowerskwiaciarnia Warszawa | Bloom Flowers Delivery of flowers 7 days a week+48 790 343 461.mote the products of products in the basket Express Flower Delivery in 2H in Warsaw! Check now! PL en en rine auto -bouquet bouquet in the box in the Floods Floods Firefighting Farewell. Flower Firdostawa and Payments Continuate Nas 0brak Products in the basket pl en en Ru express delivery Flowers in 2h in Warsaw! Check now! Bloom Flowersuts We grease your world with fresh flowers. Bloom Flowersuts We grease your world with fresh flowers. SklepoPecanesezacz more Add to the list of wishflower box "first kiss" from 165.00 PLN New Add to the list of wishes "peach note" from 185.00 PLN New Add to the list of wishes "Bliss" from 195.00 PLN Add to the list of flower wishes " Harmony ”from 285.00 PLN Add to the list of wishes of red poverty 815.00 PLN Add to wishyflowerbox" amour "from 175.00 PLN Add to the wishes list" Serene Blooms "from 385.00 PLN New Add to the" Sunrise Serenity "wish list from 165.00 PLN Add to the list Flowers "Pastel Lovers" from 335.00 PLN Add to the list of wishbones in the box 165.00 PLN Add to the list of branch wishes borders 155.00 PLN New Add to the list of wishes "handsome" from 165.00 PLN Add to wishes for red wishes of red poverts 125.00 PLN Add to the list of wishes in the box 155.00 PLN New Add to the list of wishesjasryod PLN 255.00 author's bouquetts in the boxes Sales Sales more Add to the list of wishes SPRAY Roses "Silva Pink" from PLN 255.00 Add to wishlist roses PLN 125.00. New Add to the letter of the "NICEYCE" wishes from PLN 185.00 Add to the list of wishes "Pink &amp; Blue" from 195.00 PLN Add to the list of flower wishes "Your Happiness" from PLN 315.00 Add to wish list101 red roses PLN 1400.00 Add to the wish list "Dream" from 195.00 PLN New Add to the "Lovely" wish list from PLN 175.00 from PLN 175.00 from PLN 175.00 New Add to the "I love you" wish list from PLN 215.00 Add to wishyflowerbox "Charming" from PLN 175.00 Add to the "Pure Love" wish list from PLN 175.00 Add to the list of Gypsówówki Gypsówówków. PLN 155.00 Add to wish list. 900.00 PLN New Add to the list of the "Perfekt Morning" wishes from 195.00 PLN Add to the list of wishes red roses in a black packaging PLN 125.00 We do the best one in Warsaw, only fresh inflorescences for regular customers. Wish customer with our promotions, just press "I like it"! In Bloom Together with You ♡ I agree to receive newsletteleave this field empty empty if you're human: faqsjak order flowers in Warsaw? Visit our website and choose a bouquet. When choosing, you can use the help of an employee of price filter florist or flower category. After selecting the bouquet, click "to the basket". Then provide information on delivery and payment method. Confirmation of the order will automatically come to your mail. After making the payment, the courier will deliver flowers on time at the address indicated. What is the waiting time for the supply of flowers in Warsaw? It depends on the load on our courier and the selected time interval as well as the distance from the florist to the recipient's address. If you need an express delivery, you can write a florist to the administrator and receive an order even within 2 hours. How to pay and place an order? Bloom Flowers uses all popular and secure payment systems - Payu PayPal Banking Card to the Courier, etc. If you have difficulties with payment, please contact the florist administrator. Where is it worth buying flowers in Warsaw? On the website or directly at the Bloom Flowers florist, you can quickly and conveniently buy a bouquet even if you are not from Warsaw and another city or country. In our florist you will always find a large selection of beautiful and fresh flowers. Bloomflowers - Flower Flower Flowers Warsaw. Read more stakes are one of the most beautiful creatures in the world. They enjoy and rejoice bring a smile up, they create a friendly and cozy atmosphere, decrease and improve the microclimate of rooms, introduce harmony and peace and express sadness and pain of loss. The spur of laying flowers has been known since antiquity. Plants have accompanied man for a long time. People valued them for healing power and also for beauty. That is why they began to create decorations from flowers and other parts of plants. This is how the art of floristics bouquets was born. How the world would change if all the flowers disappeared at once? Until fear to imagine ... This situation is not threatening to us because there is a bloomflowers online florist. Our florists create beauty every day. The trust and loyalty of our clients is our main criterion at work, which is why we will always take care of the wishes and preference of each client very carefully. Among the over 300 florists of Warsaw, we are a very creative young young and quite experienced floristic team. Our uniqueness is that we can create an unforgettable festive atmosphere during every event. Never customers will find the right flowers with us for every occasion: - Women's Day - Christmas - baptism - Grandmother and Grandfather's Day - Mother and Father's Day - name day - last farewell - First Communion - thanks - apology - dating and romantic meetings - anniversaries - wedding - professional holidays - birthday - engaging -lively we can propose? Internet can be seen and ordered with delivery or pickup: - bouquets (original bouquets wedding bouquets bouquets in a box in the basket and so Flowers (chocolates cakes cake mascot mascar and flower care products) In our flower shop you will find the best flowers from around the world: - roses (single and branch of various shades and length and length and t.d.) - tulips - peonies - seasonal garden and field (daisy lilies of the lilies lilacs cloves freesia asters, gladioli and t.d.) - various exotic flowers (plasterboards eucalyptus bamboo streets and so on. - Helpful service that will always advise you in the selection of flowers and ensure that the whole process will run successfully - a convenient location of florists - I professionalize confirmed by high grades on Google Facebook and Trustpilot - the experience we obtained by making thousands of different bouquets for our clients - an individual approach to each order time is one time from the largest and irreplaceable values. We remember and care for him. That is why in Bloomflowers, despite the possibility of receiving flowers, you can still order a delivery with any address home to the university's office. Always fresh and fragrant flowers dazzling with various colors of nature will create an atmosphere full of grace . Cybernetics 15 you will find a world and beautiful flowers that enjoy and rejoice also waiting for you always a delicious cake and wonderful hot and cold drinks. The beautiful fragrant flower aroma of delicious cake and stimulating coffee surrounded by flowers and an atmosphere of full grace Visit. Flowers - Coffee - Love - are mixtures of many feelings: the tenderness of the desire for desire to idealize friendly and aesthetic satisfaction and thousands of other feelings. Order flowers from Bloomflowers? Go to the website of our florist Bloomflowers.pl place an online order or call the phone: + 48 790 343 461 Kwiatowa will be delivered at the indicated address shortly after the fee. You can make the ease in a few methods convenient for you with cash or by card in our store or pay using payment systems: PayPal Payu Visa and Mastercard. Nasi managers will always help help and answer all questions and help Make the best choice. We can attach to the ordered flowers to attach a chiclock card of the bunny or teddy bear and many other trinkets. We love what we do because our work is our passion. We build and care for a friendly atmosphere at work, we build relations on the ground and the principles of dignity and respect as for the client, and to employees. We do and we try to make every client to not be lost in vain and the world does not lose the charming colors of nature. What we declare with the elegance and delicacy of our flowers. Read our stores less to us: • ul. Cybernetics 15PN-SB: 9:00-20:00 ND: 10:00-18: 00 • ul. Koszykowa 63 Hall Koszykipn-SB: 10:00-20: 00skddostawa and Paygulaminine of the Privacy Qbblogdołącz to us general selectorsexact matches only search in title search in content post type selectorsby to ensure the highest quality of services we use information stored in a web browser. Check the purpose of storage or access conditions in the Privacy Policy. I accept cookies</v>
      </c>
    </row>
    <row r="308">
      <c r="A308" s="1" t="s">
        <v>883</v>
      </c>
      <c r="B308" s="1" t="s">
        <v>1001</v>
      </c>
      <c r="C308" s="1" t="s">
        <v>1002</v>
      </c>
      <c r="D308" s="1">
        <v>20.0</v>
      </c>
      <c r="E308" s="4" t="s">
        <v>1003</v>
      </c>
      <c r="F308" s="1" t="s">
        <v>43</v>
      </c>
      <c r="G308" s="1" t="s">
        <v>1004</v>
      </c>
      <c r="H308" s="4" t="s">
        <v>1005</v>
      </c>
      <c r="I308" s="2">
        <v>1.0</v>
      </c>
      <c r="J308" s="5" t="str">
        <f>IFERROR(__xludf.DUMMYFUNCTION("GOOGLETRANSLATE(A308)"),"Gypsophyla")</f>
        <v>Gypsophyla</v>
      </c>
      <c r="K308" s="6" t="str">
        <f>IFERROR(__xludf.DUMMYFUNCTION("GOOGLETRANSLATE(B308)"),"Gypsophila. Gypsophyla bouquet - buy with delivery to ...")</f>
        <v>Gypsophila. Gypsophyla bouquet - buy with delivery to ...</v>
      </c>
      <c r="L308" s="5" t="str">
        <f>IFERROR(__xludf.DUMMYFUNCTION("GOOGLETRANSLATE(C308)"),"The price of gypsophila from 55 UAH branches. Bouquet of gypsophyla from 1375 UAH. White and pink gypsophila. Individually and exquisite. Queta is an extraordinary floristry.")</f>
        <v>The price of gypsophila from 55 UAH branches. Bouquet of gypsophyla from 1375 UAH. White and pink gypsophila. Individually and exquisite. Queta is an extraordinary floristry.</v>
      </c>
      <c r="M308" s="5" t="str">
        <f>IFERROR(__xludf.DUMMYFUNCTION("GOOGLETRANSLATE(G308)"),"Delivery of flowers Lviv. Kvitna ➨ Extraordinary Floristics Main Payment About Guarantee Delivery 👽 Cabinet Contacts Floristics HoreCa News News Main Payment About Us ) 11.07.2021 Sweet 10.07.2021 ▶ ️ Flower refrigerator online! 26.03.2020 Quarantine - o"&amp;"nly delivery 17.03.2020 Terms 'Clear bouquets 12.08.2017 changed phone number! 08/10/2017 Christ is risen! 04/16/2017 The site has become more convenient! 03/30/2017 March 8 Soon - discounts! 02/14/2017 New orders for 14.02 We do not take :( 14.02.2017 to"&amp;" Valentine's Day! 03.02.2017 Conditions for receiving orders on the holiday 30.12.2016 Photo competition (Instagram) 06.12.2016 Fruit and vegetable bouquets! 18.11.2016 Choice of a bouquet by color or flower 09.11.2016 Move to a new domain 01.08.2016 Onli"&amp;"ne payment by card 31.05.2016 ) 296099506829609995 Make a bouquet on the phone: from 9:00 to 21:00 daily+38 (068) 2960995 or 0 800 33 59 65 65 Jer: or Scatter QR Code: Viberwatgfbbbbbbbbbsamoyama free call+38 (032) 28803670 800 33 53 59 65 Lviv L. Kurbas "&amp;"7 All online quirine ⚡ Autumn Bouquets of dried flowers bouquets on Ukrainian songs 🆕 Exotic bouquets Flower Hoscope Menu Week Fruit Bouquets of Fruit Bouquets Vegetable Bouquets Monobuquets Rose 101 roses 51 roses 49 roses 35 roses 31 roses 29 roses 25 "&amp;"roses 21 roses 19 roses 19 roses 17 roses 15 roses 11 roses Tulips Red Tulips Pink Tulips Orange Tulips yellow tulips lilac tulips 101 tulip 51 tulip 49 tulips 45 tulips 39 tulips 35 tulips 33 tulips 31 tulips 29 tulips of 25 tulips 2 23 tulips Bouquets o"&amp;"f lilac bouquets of hyacinth bouquet Mimosa bouquet bouquet bouquet bouquet bouquet bouquet bouquet bouquet bouquet bouquet bouquet bouquet bouquet bouquet bouquet bouquet bouquet bouquet bouquet bouquet bouquet bouquet bouquet bouquet bouquet bouquet bou"&amp;"quet bouquet bouquet bouquet bouquet bouquet bouquet bouquet bouquet bouquet bouquet bouquet Bouquets of gladiolus bouquets of oxypetaloum bouquet from a chamelaceum bouquets from Dolphinium bouquets bouquets from anti -rhrinum bouquets bouquets from orch"&amp;"ids holidays Day 8 day. 👩 Wedding floristry Wedding bouquets of wedding with flowers of a box of composition of flower bucket of sheaves of composition flowers in a drawer of composition of fruits and sweets decorations from flowers Wreaths of flowers of"&amp;" flowers and macaroni flowers Agapankahanthamallarymelarymalastromelas Santterrinumariakariatishop (zinar) anthurumaschlepiapiaspahuspahuspagusaspatystrastarastystilbastrandiacillabanxiabanxiabanxbanxbarbarisbergrgrasbergrasberrybrasberrynielbrasbrasbrasi"&amp;"brunijanzharnykharnyaporumozhlazhlazhlazhlazhlazhlazhlazhlazhlazhlazhlazhlazharnykharnykhlasbrazh. Sgacintthipeastrumloriorhotratencing Delfiniumdiantantous Barbatusdiantus (Carnation) of Jasminzanthedeskia ( Kala) Ileksyciniasicapsykumkermkermekhratrimer"&amp;"iamalusmalusmaluscnylustophaphaanisraspodiaspodiasaladervarduzhurzhanguslaguslagunjunjunjunjunjunjunjunjetzhislainzhlaslatinolatiuslatiuslatiuslatiuslatiuslatiuslaniolaniolaniolacelemaliclaniolaniolaniolainolaniolaniolaniolainolaniolangium. link) oncidimo"&amp;"zumozhumozhnuozepalumorelumogallumpalumpovnikupanikupapaver (poppy) rose Pione -shaped bush -spyerispitospitospitospitosnatnotzhtzhtzhtzhtzhnotzhtzhnotzhnzhnutnikrostyaproteia royal -tul "" rose pianocalendulathroid pione -wiodnatroid of Sadovarslasalalsa"&amp;"ndersoniasangisangisangisangisangisangisnatriospariosparriuriaruriaspurrpusbusbuskabioskabiotliolasotylasotylasotylpystlipylasatylpythastrelytlandythastrelytitanotthastlutitanotthalutsuththastreli Philodendronfloxfizhisforizationfresiumfrythythylliihamela"&amp;"cumochelecylebovuschypericmichumburialsumburzhmachvnagrevnigriozhisophilazophisanthemthasothytoliobidobidyebidozhlyobryzhlyobryzhlyobryzhlyobryzhlyobryzhlyobryzhlyobrybidorobidobidorobidorobidorobidorobidorobidorobidorobidorobidorobidorobidobid -dearmalic"&amp;"oblagiarf Rhychno -red -small -term perexeal puddle -grae -graded pine -piper -fibrofuxation (1500 to 2000 UAH 2000 to UAH 3500 UAH order catalog and delivery of flowers in Lviv - as 1 2 3 41) up to 60 min) 24 hours4) Reviews1.Cras of the bouquet and expe"&amp;"rience of April - high flower kitchen! From 2015 we prepare design bouquets Where to choose 3683 bouquets in the catalog ready for assembly and delivery. The bouquet will be guaranteed to be extraordinary! Let's send a photo of the bouquet before delivery"&amp;"! See the beauty of 3683 bouquets2. The speed of delivery delivery day by day to the exact time or at night? Urgent delivery? There is no difference between the bouquet will be delivered on time and with an online window-up to 60 minutes! How do we have t"&amp;"ime to deliver in 60 minutes? 3. The whole 24 hours 📍 Center of Lichakiv or Sikhiv? Lewandivka railway station or even airport? Let's deliver clearly! The highest amount of Google Reviews among Flower Lviv: 49 ★★★all 499 Reviews Every second customer ord"&amp;"ers flowers with delivery constantly. We are your family florist! ⚡ 🍁 The autumn menu of online quirine Delivery up to 60 min is a video of a bouquet! 2023 Watch 2 430 UAH Bouquet ""Evening Beach"" [№ 3744] 🍁 Autumn menu Online Shipping up to 60 min is "&amp;"a video of a bouquet! 2023 See 3 390 UAH Bouquet ""Lviv Evening"" [№ 3743] Online Shipping up to 60 min free delivery! There is a video of a bouquet! 2023 Watch 4 250 UAH Bouquet ""Autumn in Lviv"" [№ 3740] online quirine Delivery up to 60 min is a video "&amp;"of a bouquet! 2023 Watch 2 900 UAH Bouquet ""Sunny weekend"" [№ 3739] Online windows of delivery up to 60 min is a video of a bouquet! 2023 See 3 450 UAH Bouquet ""Bright Treatment"" [№ 3738] Online Shipping up to 60 min 2023 See 1 560 UAH Bouquet ""Gold "&amp;"mood"" [№ 3736] is a video and audio bouquet! See from 3 000 UAH Kvitotherapy - a gift certificate to look from 1 000 UAH Independent bouquet [№ 1000] menu of the week: all flowers for these bouquets are available to repeat the bouquet exactly. ⬇️ menu of"&amp;" the week all flowers in stock free delivery! There is a video of a bouquet! 2023 See 6 630 UAH 39 Ranuncles in the bouquet ""Color extravaganza"" [No. 3742] All flowers are available for free delivery! There is a video of a bouquet! 2023 See 3 750 UAH 25"&amp;" gerber in the bouquet ""Light feathers"" [No. 3741] All flowers in stock are a video of the bouquet! 2023 See 2 480 UAH Bouquet ""Lviv Compliment"" [№ 3737] All flowers in stock free delivery! There is a video of a bouquet! 2023 See 5 250 UAH 15 pione -l"&amp;"ike Juliet roses in the bouquet ""chic and vintage"" [No. 3732] All flowers in stock are a video of the bouquet! 2023 See 1 820 UAH 13 Chrysanthemums in the bouquet ""Burgundy diamond"" [No. 3729] All flowers in stock are a video of the bouquet! 2023 See "&amp;"1 760 UAH of 9 pione roses in the mandarinka bouquet [№ 3721] All flowers in stock are video and audio bouquet! 2023 See 1 900 UAH Bouquet ""Sea buckthorn Pieuette"" [№ 3719] All flowers in stock are video and audio bouquet! 2023 See 1 790 UAH Bouquet ""L"&amp;"viv butterflies"" [№ 3717] All flowers in stock are a video of a bouquet! 2023 See 3 150 UAH of 11 pione roses in the bouquet ""Rumyan Princess"" [No. 3711] All flowers in stock are a video of the bouquet! 2023 See 1 800 UAH Bouquet ""Morning Magic"" [№ 3"&amp;"699] All flowers in stock are video and audio bouquet! 2023 See 1 920 UAH The bouquet ""Sun Walk"" [№ 3695] All flowers in stock are video and audio bouquet! 2023 See 2 990 UAH Burgundy kiss [No. 3681] Watch another 12 bouquets (out of 21) Do not miss it "&amp;"interesting to know ⬇️ This is an interesting menu of the week - all the flowers of these bouquets are in the presence of this! Convenient to chat? Ordering a bouquet at messenger Wa tg fb online vitrin is a bouquet of which one is collected in the presen"&amp;"ce for 5 minutes. We will pass the courier! 497 Reviews - Tseni's large number of flower Lviv popular categories to see all (130 pcs.) Autumn bouquets 🍁 from 1580 to 35350 UAH to see all (579 pcs.) Duo trio bouquets from 1500 to 22000 to 22000 UAH. Up to"&amp;" 51100 UAH to see all (71 pcs.) Men's bouquets from 1500 to 9745 UAH to see all (94 pc (11 pcs.) Turned roses from 1500 to 8950 UAH see all (30 pcs.) Bouquets of shrub roses from 1750 to 12750 UAH to see all (33 pcs.) Bouquets of ranking from 1500 to 1320"&amp;"0 UAH to see all (128 pcs.) Bouquets of tulips from 1500 to 12100 UAH see all (14 pcs.) Bouquets of chrysanthemums from 1560 to 5220 UAH to see all (109 pcs.) Angel Day from 1500 to 23000 UAH to see all (86 pcs.) Christmas from 1500 to 8870 UAH See all (3"&amp;"06 pcs.) Flowers in the box from 2200 to 35000 UAH look all (92 pc Interestingly, let's get an individual bouquet for the recipient to just wow! The real presence of flowers our refrigerator is a video of the broadcast Yulia Maria Tatiana? The name bouque"&amp;"t for the day of the angel is !!! Look a calendar and a collection of bouquet will fit her dress? All of our bouquets for the most demanding fans of high floristry ⬇️ All bouquets and compositions 🍁 Autumn menu Online Shipping up to 60 min is a video of "&amp;"a bouquet! 2023 Watch 2 430 UAH Bouquet ""Evening Beach"" [№ 3744] 🍁 Autumn menu Online Shipping up to 60 min is a video of a bouquet! 2023 See 3 390 UAH Bouquet ""Lviv Evening"" [№ 3743] All flowers in stock free delivery! There is a video of a bouquet!"&amp;" 2023 See 6 630 UAH 39 Ranuncles in the bouquet ""Color extravaganza"" [No. 3742] All flowers are available for free delivery! There is a video of a bouquet! 2023 See 3 750 UAH 25 gerber in the bouquet ""Light feathers"" [№ 3741] Online Shipping up to 60 "&amp;"min free delivery! There is a video of a bouquet! 2023 Watch 4 250 UAH Bouquet ""Autumn in Lviv"" [№ 3740] online quirine Delivery up to 60 min is a video of a bouquet! 2023 Watch 2 900 UAH Bouquet ""Sunny weekend"" [№ 3739] Online windows of delivery up "&amp;"to 60 min is a video of a bouquet! 2023 Watch 3 450 UAH Bouquet ""Bright Treatment"" [№ 3738] All flowers in stock are a video of a bouquet! 2023 See 2 480 UAH Bouquet ""Lviv Compliment"" [№ 3737] Online Shipping up to 60 min 2023 See 1 560 UAH Bouquet """&amp;"Gold mood"" [№ 3736] Free delivery! There is a video of a bouquet! 2023 See 3 600 UAH Bouquet ""Desert Rose"" [№ 3735] Free delivery! There is a video of a bouquet! 2023 Watch 3 920 UAH 49 Thijs Boots premium tulips [№ 3734] is a video of a bouquet! 2023 "&amp;"See 3 330 UAH Bouquet ""Clouds over Lviv"" [№ 3733] Watch another 12 bouquets (from 3671) Ordering and delivery of flowers in Lviv to order and buy flowers in our online store? Any taste for a completely different mood. You can make an order: online from "&amp;"the bouquet page - click the ""to the basket"" or ""order in 1 clip"" to the right of the photo. After filling in a simple form - we will contact you within 2 minutes we will confirm the order that you may be calm that the recipient will not be left witho"&amp;"ut flowers. After placing an order through the online store, you can immediately pay it with a card of any bank (more about this below). You can order by phone: +38 (068) 2960995 or order a reverse free call. In messengers: if you are more convenient to w"&amp;"rite-at your service: WhatsApp Viber Telegram-by number (+380980584862). Email: info@kvitna.uaonline-chat. Write us in chat right now - let us answer instantly! For what time it is better to order flowers? We are ready to make and deliver a bouquet to you"&amp;" or the recipient - right today on the day of your appeal. Usually it takes 2-25 hours, but if the bouquet is urgently needed-do not waste your time right now. We will try to help. The bride bouquet is best ordered 10-14 days before the wedding day, but i"&amp;"f the bouquet is needed tomorrow - still call us! Let's decide! Renewal! From the summer of 2021, we launched express delivery of flowers across Lviv. Choose any free bouquet on online quirk and we will deliver it within 1 hour! Look for bouquets with an "&amp;"online window. We deliver bouquets of flowers and composition in Lviv. The cost of shipping flowers to your address request us. Usually it is 150 UAH in remote areas of Lviv - delivery can be more expensive. The cost of delivery in the areas of Lviv - in "&amp;"the table. Order over 3500 UAH -we deliver free of charge within the city. 🏪 Self -removal. You can also pick up the order in our store in the center of Lviv at: Lviv str. L. Kurbas 7 (Contacts) .🌃 Night Delivery. We deliver flowers around the clock so "&amp;"it is possible to deliver in non -working hours (for example late in the night at night or very early in the morning) the cost of night delivery 300 UAH. Night delivery is possible for pre -ordered and paid bouquets.🎄 Holidays. Delivery conditions on hol"&amp;"idays (Christmas New Year Eve March 8, Valentine's Day (February 14) Mother) - Specify with us. The delivery price can be much higher. It is possible to stop receiving orders for delivery - on holidays.⛳ Delivery in Ukraine. Possible delivery to other cit"&amp;"ies of Lviv region and other cities of Ukraine Details and conditions specify us by phone +38 (068) 2960995 or +38 (032) 2903105.The bouquet you need to deliver? Our customers order courier delivery of flowers to the following places: Flowers home. Most o"&amp;"ften, bouquet delivery is ordered to your home address. If you do not know the exact address or are not sure that the recipient of the bouquet will be at home - write to us the phone we will clarify the details and agree on the time and place. Just as a c"&amp;"ommon delivery to the office is usually in working hours to greet a colleague. Or to go to the west after work. A convenient option is when the time and place of celebration of birthday. The bouquet will come to the exact time you will not need to look fo"&amp;"r flowers in stores near the restaurant. Most often, in this case, the bouquet is ordered to the center where in Lviv there are most of the beautiful restaurants. Flowers are flowers at the Lviv Airport or the Station? Let's meet you with a bouquet at the"&amp;" airport after arriving the aircraft or at the train station after the train arrives. Are the train or plane delayed? No problem will not be left without a bouquet. In a maternity hospital. Let's come exactly by the time of discharge let's bring a chic bo"&amp;"uquet (or composition) to the birth of a baby. Is your loved one in the hospital? Let's do everything to cheer the mood, and the health depends on the mood. In the hotel. Let's leave the bouquet on the reception or deliver right to the number. A convenien"&amp;"t option for tourists who do not know the cities. Beauty or registry office. Frequent place of meeting of the bouquet and bride:) We will bring a bouquet where you need to you. Samvisovv you can pick up the bouquet ordered in advance in our store at the a"&amp;"ddress: Lviv str. L. Kurbas b. 7 (travel scheme). The time of your visit to us will discuss with us by phone. The graphics of the online store and the shop shop work from 9 to 21 7 days a week. The online store accepts orders around the clock. Telephone c"&amp;"onsultations at the choice and order of bouquets-from 9 to 21 hours without the source of social networks or messengers-write to us at any time. We answer from 9am. If you live abroad in another time zone and can only communicate at night - we are ready f"&amp;"or such a turn. Delivery of flowers is carried out daily from 9 to 21 hours. Possible delivery late in the morning early in the morning or even at night the shipping cost in this case 300 UAH. The store online is new to help you choose flowers, we display"&amp;" a video broadcasting of our refrigerator to the site. Payment of flower-paying can be paid: cash upon receipt of a bouquet (courier on delivery or in the store in case Contact us to get the details for payment) And what else do we do besides bouquets? Fo"&amp;"r many Kvitna, these are perfect chic bouquets. But this is not all and many do not know about it! We do: chic flower baskets in hat boxes of bombers in Bergras (our highlight) we design wedding halls with living flowers we create exquisite floral arrange"&amp;"ments on wedding tables (young guests). Wedding Photo zones with which all are photographed. The buyer and warns that not all flowers in the bouquet in the season or in stock (and more often all flowers are not in the season and not available) so you need"&amp;" to replace the replacement. They promise to keep the appearance without significant changes or at least preserve the color scheme and the style of the bouquet. It also happens that the packing of the bouquet that liked the same is available. The substanc"&amp;"es are agreed? The florist collects a bouquet of packing it. The order shoots. Photography of the finished bouquet is sent to the client for approval (this is the best way the responsible flower companies do). If the client likes the client - he is sent f"&amp;"or delivery. If the buyer makes adjustments to the bouquet again corrected then sent for photography and the photograph is again sent for approval. In general, order flowers quite a painstaking and not very fast process. How is the bouquet ordering in Apr"&amp;"il? The buyer chooses a bouquet in an online category or in a common tape - Bouquets in stock marked with green base -forming orders paying for it. The bundle is sent for delivery. What advantages do you ask? speed! We will have time to deliver an order w"&amp;"ithin Lviv within 60 minutes. If the bouquet recipient is now in the center of Lviv, it can take about 30 minutes or less. We do not waste time to replace the replacement on the bouquet and approve it in the photo. Without disappointments! No expectations"&amp;" and reality you get the same bouquet in the same packaging as you see in photos or videos (for each bouquet we write a video!) Price guarantee! The bouquet will not be more expensive because the prices for flowers went up. You pay as much as indicated on"&amp;" the bouquet page. We are still different from other flower shops of Lviv? April is not just the delivery of flowers Lviv is not just a flower shop. It is an extraordinary florist that we need to see. So we have a high level of service polite communicatio"&amp;"n attention to the client and his needs. We know our customer what a bouquet and when he ordered from us at what addresses we were shipping. It is easy to evaluate and see - contacting us. But the most important thing you can understand right now on the s"&amp;"ite is the beauty and design of our bouquets. All of the bouquet photographs are presented on the site - only us! Look, choose! Describe the task of telling the recipient-and we will make and deliver a luxury bouquet of flowers to Lviv recipient will be d"&amp;"elighted: an e-mail address to get the answer: we will answer you by the above e-mail) And we also answer the questions on social networks: Facebook : Https://www.facebook.com/kvitnainainstagram: https://instagram.com/kvitna/ well, and the fastest way to "&amp;"order flower delivery is a phone! +38 (068) 2960995 Just 30 seconds and your phone will call). Relocationmaksym huk simple fabulous bouquets! Harmonious made with attention to detail - the love for their business is a constant good mood is guaranteed, alt"&amp;"hough it used the services of florists and here as a real expectoration was. There are bouquets and there are bouquets from Kvitna in general from another league the original reviewsabi petrovae has heard a lot of positive reviews about the company and de"&amp;"cided to use their services! Yana has an incredible feeling of beautiful! The bouquet came out gentle and super-beautiful!)) It was very pleased !! Thank youuyuuyuyuyuhiginal response to the boycott of beautiful bouquets. Unusual stylish. Sheaves are simp"&amp;"ly masterpieces of floristry. It is a pity that the company is not presented in Kiev. Such beauty should be accessed by everyone in all regions of the country. Original response of the Victoria Kroylkvitna or how I found the perfect bouquet. Before the bi"&amp;"rthday of a girlfriend, a difficult task of finding a beautiful and unusual bouquet always wants to give something special that is associated with a person for whom you choose flowers. The composition turned out to be very individual as a girl for whom th"&amp;"e bouquet was intended. The birthday girl was delighted with the main task completed)) If you want to give someone a little moment of happiness and a good mood order bouquets in kvitna) The original response of the Kvitna stroganovitna response is very in"&amp;"dividual! They create the mood in them so many colors of brightness and interesting details that you can admire them forever! With love your permanent client!) The original respond to sparrow flowers that give a magic mood))) bouquets keep their beauty fo"&amp;"r more than a week!) Thank you for your spirituality and individual The approach that you put into your creation ossary's reviews: 🚗 How to order flower delivery in Lviv through a site - 1 click (fast) or through a basket (a little longer but you can ord"&amp;"er a few bouquets at once). Flowers can also be ordered by phone: +38 (068) 2960995 or through messengers by number: +380980584862.💲 How much is the delivery of flowers in Lviv❓ The cost of delivery in the city is 150 UAH. In remote areas and to the citi"&amp;"es of Lviv region the cost of delivery can be seen in the table when ordering more than 3500 UAH - delivery within the city is free.🕐 What schedule Night delivery is valid for pre -orders. Les Kurbas 7. Travel scheme. So you can pick up your bouquet your"&amp;"self. About us payment delivery to ask questions of return and privacy policy of the Cabinet of online quarin ⚡ contacts Kvitna - Extraordinary floristry in Lviv. Bouquets to order. Delivery of flowers. Floristics courses 2023 New in our online store of f"&amp;"lowers: bouquets of roses Monobuquets of baskets of flowers. Presentation of flowers in Lviv at order from 3500 UAH - free! Our address: Lviv str. Les Kurbas 7 How to find us with Kvitna one click: Messengerviberwhatsapptelegramemail Phones: +38 (068) 296"&amp;"0995 (from 9:00 to 21:00 daily) 0 800 33 59 65 (free from mobile and urban numbers) Catalog All online Vitrin ⚡ Autumn 🍁 Winter ❄️ Spring 🌿 Summer ☀️ Bouquets Designer bouquets Duo Trio Bouquets Field Bouquets Babules Baby Bouquets Men's Bouquets Buquet"&amp;" Fruit Bouquets Bones Bouquet Bouquets Buquet Bouquets Floral Buquet Men Men Men Men Men From pione roses bouquets from rose rose roses Red roses white roses yellow roses peach roses blue roses rose in a box of roses in a basket 11 roses 9 roses 7 roses T"&amp;"urned roses bouquets of shrub roses bouquets of hydrangea bouquets from dahlias bouquet bouquets bouquets from ranunculus bouquets bouquets from tulips White tulips Red tulips pink tulips tulips Oranga yellows Mr. 45 tulips 39 tulips 35 tulips 33 tulips 3"&amp;"1 tulip 29 tulips 25 tulips 23 tulips 23 tulips 21 tulips 19 tulips 17 tulips 15 tulips 11 tulips You're with gerber bouquet bouquets from freesius bouquet bouquet bouquet bouquets from anthurium bouquet bouquet bouquet bouquet bouquet bouquet bouquet bou"&amp;"quet bouquet bouquet bouquet bouquet bouquet bouquet bouquet bouquet bouquet bouquet mu bouquets from the orchids of the holiday Day Christmas Angel Christmas Wreath Christmas Tree Christmas compositions Christmas bouquets Decorations of flowers Wreaths o"&amp;"f flowers Flowers and macaroons Flowers Color Price to go to the hand of ordering the bouquet in 1 click name: Phone of customer: Date of receipt: Name of recipient: Phone of the recipient: text of the postcard: convenient delivery time: during the day ( "&amp;"09:00 - 21:00) Specify in the recipient09: 00 - 11: 0011: 00 - 13: 0013: 00 - 15: 0015: 00 - 17: 0017: 00 - 19: 0019: 00 - 21: 00: 00. Address: Saglassie on the gap of personal data.")</f>
        <v>Delivery of flowers Lviv. Kvitna ➨ Extraordinary Floristics Main Payment About Guarantee Delivery 👽 Cabinet Contacts Floristics HoreCa News News Main Payment About Us ) 11.07.2021 Sweet 10.07.2021 ▶ ️ Flower refrigerator online! 26.03.2020 Quarantine - only delivery 17.03.2020 Terms 'Clear bouquets 12.08.2017 changed phone number! 08/10/2017 Christ is risen! 04/16/2017 The site has become more convenient! 03/30/2017 March 8 Soon - discounts! 02/14/2017 New orders for 14.02 We do not take :( 14.02.2017 to Valentine's Day! 03.02.2017 Conditions for receiving orders on the holiday 30.12.2016 Photo competition (Instagram) 06.12.2016 Fruit and vegetable bouquets! 18.11.2016 Choice of a bouquet by color or flower 09.11.2016 Move to a new domain 01.08.2016 Online payment by card 31.05.2016 ) 296099506829609995 Make a bouquet on the phone: from 9:00 to 21:00 daily+38 (068) 2960995 or 0 800 33 59 65 65 Jer: or Scatter QR Code: Viberwatgfbbbbbbbbbsamoyama free call+38 (032) 28803670 800 33 53 59 65 Lviv L. Kurbas 7 All online quirine ⚡ Autumn Bouquets of dried flowers bouquets on Ukrainian songs 🆕 Exotic bouquets Flower Hoscope Menu Week Fruit Bouquets of Fruit Bouquets Vegetable Bouquets Monobuquets Rose 101 roses 51 roses 49 roses 35 roses 31 roses 29 roses 25 roses 21 roses 19 roses 19 roses 17 roses 15 roses 11 roses Tulips Red Tulips Pink Tulips Orange Tulips yellow tulips lilac tulips 101 tulip 51 tulip 49 tulips 45 tulips 39 tulips 35 tulips 33 tulips 31 tulips 29 tulips of 25 tulips 2 23 tulips Bouquets of lilac bouquets of hyacinth bouquet Mimosa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Bouquets of gladiolus bouquets of oxypetaloum bouquet from a chamelaceum bouquets from Dolphinium bouquets bouquets from anti -rhrinum bouquets bouquets from orchids holidays Day 8 day. 👩 Wedding floristry Wedding bouquets of wedding with flowers of a box of composition of flower bucket of sheaves of composition flowers in a drawer of composition of fruits and sweets decorations from flowers Wreaths of flowers of flowers and macaroni flowers Agapankahanthamallarymelarymalastromelas Santterrinumariakariatishop (zinar) anthurumaschlepiapiaspahuspahuspagusaspatystrastarastystilbastrandiacillabanxiabanxiabanxbanxbarbarisbergrgrasbergrasberrybrasberrynielbrasbrasbrasibrunijanzharnykharnyaporumozhlazhlazhlazhlazhlazhlazhlazhlazhlazhlazhlazhlazharnykharnykhlasbrazh. Sgacintthipeastrumloriorhotratencing Delfiniumdiantantous Barbatusdiantus (Carnation) of Jasminzanthedeskia ( Kala) Ileksyciniasicapsykumkermkermekhratrimeriamalusmalusmaluscnylustophaphaanisraspodiaspodiasaladervarduzhurzhanguslaguslagunjunjunjunjunjunjunjunjetzhislainzhlaslatinolatiuslatiuslatiuslatiuslatiuslatiuslaniolaniolaniolacelemaliclaniolaniolaniolainolaniolaniolaniolainolaniolangium. link) oncidimozumozhumozhnuozepalumorelumogallumpalumpovnikupanikupapaver (poppy) rose Pione -shaped bush -spyerispitospitospitospitosnatnotzhtzhtzhtzhtzhnotzhtzhnotzhnzhnutnikrostyaproteia royal -tul " rose pianocalendulathroid pione -wiodnatroid of Sadovarslasalalsandersoniasangisangisangisangisangisangisnatriospariosparriuriaruriaspurrpusbusbuskabioskabiotliolasotylasotylasotylpystlipylasatylpythastrelytlandythastrelytitanotthastlutitanotthalutsuththastreli Philodendronfloxfizhisforizationfresiumfrythythylliihamelacumochelecylebovuschypericmichumburialsumburzhmachvnagrevnigriozhisophilazophisanthemthasothytoliobidobidyebidozhlyobryzhlyobryzhlyobryzhlyobryzhlyobryzhlyobryzhlyobrybidorobidobidorobidorobidorobidorobidorobidorobidorobidorobidorobidorobidobid -dearmalicoblagiarf Rhychno -red -small -term perexeal puddle -grae -graded pine -piper -fibrofuxation (1500 to 2000 UAH 2000 to UAH 3500 UAH order catalog and delivery of flowers in Lviv - as 1 2 3 41) up to 60 min) 24 hours4) Reviews1.Cras of the bouquet and experience of April - high flower kitchen! From 2015 we prepare design bouquets Where to choose 3683 bouquets in the catalog ready for assembly and delivery. The bouquet will be guaranteed to be extraordinary! Let's send a photo of the bouquet before delivery! See the beauty of 3683 bouquets2. The speed of delivery delivery day by day to the exact time or at night? Urgent delivery? There is no difference between the bouquet will be delivered on time and with an online window-up to 60 minutes! How do we have time to deliver in 60 minutes? 3. The whole 24 hours 📍 Center of Lichakiv or Sikhiv? Lewandivka railway station or even airport? Let's deliver clearly! The highest amount of Google Reviews among Flower Lviv: 49 ★★★all 499 Reviews Every second customer orders flowers with delivery constantly. We are your family florist! ⚡ 🍁 The autumn menu of online quirine Delivery up to 60 min is a video of a bouquet! 2023 Watch 2 430 UAH Bouquet "Evening Beach" [№ 3744] 🍁 Autumn menu Online Shipping up to 60 min is a video of a bouquet! 2023 See 3 390 UAH Bouquet "Lviv Evening" [№ 3743] Online Shipping up to 60 min free delivery! There is a video of a bouquet! 2023 Watch 4 250 UAH Bouquet "Autumn in Lviv" [№ 3740] online quirine Delivery up to 60 min is a video of a bouquet! 2023 Watch 2 900 UAH Bouquet "Sunny weekend" [№ 3739] Online windows of delivery up to 60 min is a video of a bouquet! 2023 See 3 450 UAH Bouquet "Bright Treatment" [№ 3738] Online Shipping up to 60 min 2023 See 1 560 UAH Bouquet "Gold mood" [№ 3736] is a video and audio bouquet! See from 3 000 UAH Kvitotherapy - a gift certificate to look from 1 000 UAH Independent bouquet [№ 1000] menu of the week: all flowers for these bouquets are available to repeat the bouquet exactly. ⬇️ menu of the week all flowers in stock free delivery! There is a video of a bouquet! 2023 See 6 630 UAH 39 Ranuncles in the bouquet "Color extravaganza" [No. 3742] All flowers are available for free delivery! There is a video of a bouquet! 2023 See 3 750 UAH 25 gerber in the bouquet "Light feathers" [No. 3741] All flowers in stock are a video of the bouquet! 2023 See 2 480 UAH Bouquet "Lviv Compliment" [№ 3737] All flowers in stock free delivery! There is a video of a bouquet! 2023 See 5 250 UAH 15 pione -like Juliet roses in the bouquet "chic and vintage" [No. 3732] All flowers in stock are a video of the bouquet! 2023 See 1 820 UAH 13 Chrysanthemums in the bouquet "Burgundy diamond" [No. 3729] All flowers in stock are a video of the bouquet! 2023 See 1 760 UAH of 9 pione roses in the mandarinka bouquet [№ 3721] All flowers in stock are video and audio bouquet! 2023 See 1 900 UAH Bouquet "Sea buckthorn Pieuette" [№ 3719] All flowers in stock are video and audio bouquet! 2023 See 1 790 UAH Bouquet "Lviv butterflies" [№ 3717] All flowers in stock are a video of a bouquet! 2023 See 3 150 UAH of 11 pione roses in the bouquet "Rumyan Princess" [No. 3711] All flowers in stock are a video of the bouquet! 2023 See 1 800 UAH Bouquet "Morning Magic" [№ 3699] All flowers in stock are video and audio bouquet! 2023 See 1 920 UAH The bouquet "Sun Walk" [№ 3695] All flowers in stock are video and audio bouquet! 2023 See 2 990 UAH Burgundy kiss [No. 3681] Watch another 12 bouquets (out of 21) Do not miss it interesting to know ⬇️ This is an interesting menu of the week - all the flowers of these bouquets are in the presence of this! Convenient to chat? Ordering a bouquet at messenger Wa tg fb online vitrin is a bouquet of which one is collected in the presence for 5 minutes. We will pass the courier! 497 Reviews - Tseni's large number of flower Lviv popular categories to see all (130 pcs.) Autumn bouquets 🍁 from 1580 to 35350 UAH to see all (579 pcs.) Duo trio bouquets from 1500 to 22000 to 22000 UAH. Up to 51100 UAH to see all (71 pcs.) Men's bouquets from 1500 to 9745 UAH to see all (94 pc (11 pcs.) Turned roses from 1500 to 8950 UAH see all (30 pcs.) Bouquets of shrub roses from 1750 to 12750 UAH to see all (33 pcs.) Bouquets of ranking from 1500 to 13200 UAH to see all (128 pcs.) Bouquets of tulips from 1500 to 12100 UAH see all (14 pcs.) Bouquets of chrysanthemums from 1560 to 5220 UAH to see all (109 pcs.) Angel Day from 1500 to 23000 UAH to see all (86 pcs.) Christmas from 1500 to 8870 UAH See all (306 pcs.) Flowers in the box from 2200 to 35000 UAH look all (92 pc Interestingly, let's get an individual bouquet for the recipient to just wow! The real presence of flowers our refrigerator is a video of the broadcast Yulia Maria Tatiana? The name bouquet for the day of the angel is !!! Look a calendar and a collection of bouquet will fit her dress? All of our bouquets for the most demanding fans of high floristry ⬇️ All bouquets and compositions 🍁 Autumn menu Online Shipping up to 60 min is a video of a bouquet! 2023 Watch 2 430 UAH Bouquet "Evening Beach" [№ 3744] 🍁 Autumn menu Online Shipping up to 60 min is a video of a bouquet! 2023 See 3 390 UAH Bouquet "Lviv Evening" [№ 3743] All flowers in stock free delivery! There is a video of a bouquet! 2023 See 6 630 UAH 39 Ranuncles in the bouquet "Color extravaganza" [No. 3742] All flowers are available for free delivery! There is a video of a bouquet! 2023 See 3 750 UAH 25 gerber in the bouquet "Light feathers" [№ 3741] Online Shipping up to 60 min free delivery! There is a video of a bouquet! 2023 Watch 4 250 UAH Bouquet "Autumn in Lviv" [№ 3740] online quirine Delivery up to 60 min is a video of a bouquet! 2023 Watch 2 900 UAH Bouquet "Sunny weekend" [№ 3739] Online windows of delivery up to 60 min is a video of a bouquet! 2023 Watch 3 450 UAH Bouquet "Bright Treatment" [№ 3738] All flowers in stock are a video of a bouquet! 2023 See 2 480 UAH Bouquet "Lviv Compliment" [№ 3737] Online Shipping up to 60 min 2023 See 1 560 UAH Bouquet "Gold mood" [№ 3736] Free delivery! There is a video of a bouquet! 2023 See 3 600 UAH Bouquet "Desert Rose" [№ 3735] Free delivery! There is a video of a bouquet! 2023 Watch 3 920 UAH 49 Thijs Boots premium tulips [№ 3734] is a video of a bouquet! 2023 See 3 330 UAH Bouquet "Clouds over Lviv" [№ 3733] Watch another 12 bouquets (from 3671) Ordering and delivery of flowers in Lviv to order and buy flowers in our online store? Any taste for a completely different mood. You can make an order: online from the bouquet page - click the "to the basket" or "order in 1 clip" to the right of the photo. After filling in a simple form - we will contact you within 2 minutes we will confirm the order that you may be calm that the recipient will not be left without flowers. After placing an order through the online store, you can immediately pay it with a card of any bank (more about this below). You can order by phone: +38 (068) 2960995 or order a reverse free call. In messengers: if you are more convenient to write-at your service: WhatsApp Viber Telegram-by number (+380980584862). Email: info@kvitna.uaonline-chat. Write us in chat right now - let us answer instantly! For what time it is better to order flowers? We are ready to make and deliver a bouquet to you or the recipient - right today on the day of your appeal. Usually it takes 2-25 hours, but if the bouquet is urgently needed-do not waste your time right now. We will try to help. The bride bouquet is best ordered 10-14 days before the wedding day, but if the bouquet is needed tomorrow - still call us! Let's decide! Renewal! From the summer of 2021, we launched express delivery of flowers across Lviv. Choose any free bouquet on online quirk and we will deliver it within 1 hour! Look for bouquets with an online window. We deliver bouquets of flowers and composition in Lviv. The cost of shipping flowers to your address request us. Usually it is 150 UAH in remote areas of Lviv - delivery can be more expensive. The cost of delivery in the areas of Lviv - in the table. Order over 3500 UAH -we deliver free of charge within the city. 🏪 Self -removal. You can also pick up the order in our store in the center of Lviv at: Lviv str. L. Kurbas 7 (Contacts) .🌃 Night Delivery. We deliver flowers around the clock so it is possible to deliver in non -working hours (for example late in the night at night or very early in the morning) the cost of night delivery 300 UAH. Night delivery is possible for pre -ordered and paid bouquets.🎄 Holidays. Delivery conditions on holidays (Christmas New Year Eve March 8, Valentine's Day (February 14) Mother) - Specify with us. The delivery price can be much higher. It is possible to stop receiving orders for delivery - on holidays.⛳ Delivery in Ukraine. Possible delivery to other cities of Lviv region and other cities of Ukraine Details and conditions specify us by phone +38 (068) 2960995 or +38 (032) 2903105.The bouquet you need to deliver? Our customers order courier delivery of flowers to the following places: Flowers home. Most often, bouquet delivery is ordered to your home address. If you do not know the exact address or are not sure that the recipient of the bouquet will be at home - write to us the phone we will clarify the details and agree on the time and place. Just as a common delivery to the office is usually in working hours to greet a colleague. Or to go to the west after work. A convenient option is when the time and place of celebration of birthday. The bouquet will come to the exact time you will not need to look for flowers in stores near the restaurant. Most often, in this case, the bouquet is ordered to the center where in Lviv there are most of the beautiful restaurants. Flowers are flowers at the Lviv Airport or the Station? Let's meet you with a bouquet at the airport after arriving the aircraft or at the train station after the train arrives. Are the train or plane delayed? No problem will not be left without a bouquet. In a maternity hospital. Let's come exactly by the time of discharge let's bring a chic bouquet (or composition) to the birth of a baby. Is your loved one in the hospital? Let's do everything to cheer the mood, and the health depends on the mood. In the hotel. Let's leave the bouquet on the reception or deliver right to the number. A convenient option for tourists who do not know the cities. Beauty or registry office. Frequent place of meeting of the bouquet and bride:) We will bring a bouquet where you need to you. Samvisovv you can pick up the bouquet ordered in advance in our store at the address: Lviv str. L. Kurbas b. 7 (travel scheme). The time of your visit to us will discuss with us by phone. The graphics of the online store and the shop shop work from 9 to 21 7 days a week. The online store accepts orders around the clock. Telephone consultations at the choice and order of bouquets-from 9 to 21 hours without the source of social networks or messengers-write to us at any time. We answer from 9am. If you live abroad in another time zone and can only communicate at night - we are ready for such a turn. Delivery of flowers is carried out daily from 9 to 21 hours. Possible delivery late in the morning early in the morning or even at night the shipping cost in this case 300 UAH. The store online is new to help you choose flowers, we display a video broadcasting of our refrigerator to the site. Payment of flower-paying can be paid: cash upon receipt of a bouquet (courier on delivery or in the store in case Contact us to get the details for payment) And what else do we do besides bouquets? For many Kvitna, these are perfect chic bouquets. But this is not all and many do not know about it! We do: chic flower baskets in hat boxes of bombers in Bergras (our highlight) we design wedding halls with living flowers we create exquisite floral arrangements on wedding tables (young guests). Wedding Photo zones with which all are photographed. The buyer and warns that not all flowers in the bouquet in the season or in stock (and more often all flowers are not in the season and not available) so you need to replace the replacement. They promise to keep the appearance without significant changes or at least preserve the color scheme and the style of the bouquet. It also happens that the packing of the bouquet that liked the same is available. The substances are agreed? The florist collects a bouquet of packing it. The order shoots. Photography of the finished bouquet is sent to the client for approval (this is the best way the responsible flower companies do). If the client likes the client - he is sent for delivery. If the buyer makes adjustments to the bouquet again corrected then sent for photography and the photograph is again sent for approval. In general, order flowers quite a painstaking and not very fast process. How is the bouquet ordering in April? The buyer chooses a bouquet in an online category or in a common tape - Bouquets in stock marked with green base -forming orders paying for it. The bundle is sent for delivery. What advantages do you ask? speed! We will have time to deliver an order within Lviv within 60 minutes. If the bouquet recipient is now in the center of Lviv, it can take about 30 minutes or less. We do not waste time to replace the replacement on the bouquet and approve it in the photo. Without disappointments! No expectations and reality you get the same bouquet in the same packaging as you see in photos or videos (for each bouquet we write a video!) Price guarantee! The bouquet will not be more expensive because the prices for flowers went up. You pay as much as indicated on the bouquet page. We are still different from other flower shops of Lviv? April is not just the delivery of flowers Lviv is not just a flower shop. It is an extraordinary florist that we need to see. So we have a high level of service polite communication attention to the client and his needs. We know our customer what a bouquet and when he ordered from us at what addresses we were shipping. It is easy to evaluate and see - contacting us. But the most important thing you can understand right now on the site is the beauty and design of our bouquets. All of the bouquet photographs are presented on the site - only us! Look, choose! Describe the task of telling the recipient-and we will make and deliver a luxury bouquet of flowers to Lviv recipient will be delighted: an e-mail address to get the answer: we will answer you by the above e-mail) And we also answer the questions on social networks: Facebook : Https://www.facebook.com/kvitnainainstagram: https://instagram.com/kvitna/ well, and the fastest way to order flower delivery is a phone! +38 (068) 2960995 Just 30 seconds and your phone will call). Relocationmaksym huk simple fabulous bouquets! Harmonious made with attention to detail - the love for their business is a constant good mood is guaranteed, although it used the services of florists and here as a real expectoration was. There are bouquets and there are bouquets from Kvitna in general from another league the original reviewsabi petrovae has heard a lot of positive reviews about the company and decided to use their services! Yana has an incredible feeling of beautiful! The bouquet came out gentle and super-beautiful!)) It was very pleased !! Thank youuyuuyuyuyuhiginal response to the boycott of beautiful bouquets. Unusual stylish. Sheaves are simply masterpieces of floristry. It is a pity that the company is not presented in Kiev. Such beauty should be accessed by everyone in all regions of the country. Original response of the Victoria Kroylkvitna or how I found the perfect bouquet. Before the birthday of a girlfriend, a difficult task of finding a beautiful and unusual bouquet always wants to give something special that is associated with a person for whom you choose flowers. The composition turned out to be very individual as a girl for whom the bouquet was intended. The birthday girl was delighted with the main task completed)) If you want to give someone a little moment of happiness and a good mood order bouquets in kvitna) The original response of the Kvitna stroganovitna response is very individual! They create the mood in them so many colors of brightness and interesting details that you can admire them forever! With love your permanent client!) The original respond to sparrow flowers that give a magic mood))) bouquets keep their beauty for more than a week!) Thank you for your spirituality and individual The approach that you put into your creation ossary's reviews: 🚗 How to order flower delivery in Lviv through a site - 1 click (fast) or through a basket (a little longer but you can order a few bouquets at once). Flowers can also be ordered by phone: +38 (068) 2960995 or through messengers by number: +380980584862.💲 How much is the delivery of flowers in Lviv❓ The cost of delivery in the city is 150 UAH. In remote areas and to the cities of Lviv region the cost of delivery can be seen in the table when ordering more than 3500 UAH - delivery within the city is free.🕐 What schedule Night delivery is valid for pre -orders. Les Kurbas 7. Travel scheme. So you can pick up your bouquet yourself. About us payment delivery to ask questions of return and privacy policy of the Cabinet of online quarin ⚡ contacts Kvitna - Extraordinary floristry in Lviv. Bouquets to order. Delivery of flowers. Floristics courses 2023 New in our online store of flowers: bouquets of roses Monobuquets of baskets of flowers. Presentation of flowers in Lviv at order from 3500 UAH - free! Our address: Lviv str. Les Kurbas 7 How to find us with Kvitna one click: Messengerviberwhatsapptelegramemail Phones: +38 (068) 2960995 (from 9:00 to 21:00 daily) 0 800 33 59 65 (free from mobile and urban numbers) Catalog All online Vitrin ⚡ Autumn 🍁 Winter ❄️ Spring 🌿 Summer ☀️ Bouquets Designer bouquets Duo Trio Bouquets Field Bouquets Babules Baby Bouquets Men's Bouquets Buquet Fruit Bouquets Bones Bouquet Bouquets Buquet Bouquets Floral Buquet Men Men Men Men Men From pione roses bouquets from rose rose roses Red roses white roses yellow roses peach roses blue roses rose in a box of roses in a basket 11 roses 9 roses 7 roses Turned roses bouquets of shrub roses bouquets of hydrangea bouquets from dahlias bouquet bouquets bouquets from ranunculus bouquets bouquets from tulips White tulips Red tulips pink tulips tulips Oranga yellows Mr. 45 tulips 39 tulips 35 tulips 33 tulips 31 tulip 29 tulips 25 tulips 23 tulips 23 tulips 21 tulips 19 tulips 17 tulips 15 tulips 11 tulips You're with gerber bouquet bouquets from freesius bouquet bouquet bouquet bouquets from anthurium bouquet bouquet bouquet bouquet bouquet bouquet bouquet bouquet bouquet bouquet bouquet bouquet bouquet bouquet bouquet bouquet bouquet bouquet mu bouquets from the orchids of the holiday Day Christmas Angel Christmas Wreath Christmas Tree Christmas compositions Christmas bouquets Decorations of flowers Wreaths of flowers Flowers and macaroons Flowers Color Price to go to the hand of ordering the bouquet in 1 click name: Phone of customer: Date of receipt: Name of recipient: Phone of the recipient: text of the postcard: convenient delivery time: during the day ( 09:00 - 21:00) Specify in the recipient09: 00 - 11: 0011: 00 - 13: 0013: 00 - 15: 0015: 00 - 17: 0017: 00 - 19: 0019: 00 - 21: 00: 00. Address: Saglassie on the gap of personal data.</v>
      </c>
    </row>
    <row r="309">
      <c r="A309" s="1" t="s">
        <v>1006</v>
      </c>
      <c r="B309" s="1" t="s">
        <v>1007</v>
      </c>
      <c r="D309" s="1">
        <v>1.0</v>
      </c>
      <c r="E309" s="4" t="s">
        <v>1008</v>
      </c>
      <c r="F309" s="1" t="s">
        <v>16</v>
      </c>
      <c r="G309" s="1" t="s">
        <v>1009</v>
      </c>
      <c r="H309" s="4" t="s">
        <v>1010</v>
      </c>
      <c r="I309" s="2">
        <v>1.0</v>
      </c>
      <c r="J309" s="5" t="str">
        <f>IFERROR(__xludf.DUMMYFUNCTION("GOOGLETRANSLATE(A309)"),"public services")</f>
        <v>public services</v>
      </c>
      <c r="K309" s="6" t="str">
        <f>IFERROR(__xludf.DUMMYFUNCTION("GOOGLETRANSLATE(B309)"),"Portal of public services of the Russian Federation")</f>
        <v>Portal of public services of the Russian Federation</v>
      </c>
      <c r="M309" s="5" t="str">
        <f>IFERROR(__xludf.DUMMYFUNCTION("GOOGLETRANSLATE(G309)"),"The portal of public services of the Russian Federation of the Russian Federation will open now the portal works in the same mode. Wait a couple of seconds")</f>
        <v>The portal of public services of the Russian Federation of the Russian Federation will open now the portal works in the same mode. Wait a couple of seconds</v>
      </c>
    </row>
    <row r="310">
      <c r="A310" s="1" t="s">
        <v>1006</v>
      </c>
      <c r="B310" s="1" t="s">
        <v>1011</v>
      </c>
      <c r="D310" s="1">
        <v>2.0</v>
      </c>
      <c r="E310" s="4" t="s">
        <v>1012</v>
      </c>
      <c r="F310" s="1" t="s">
        <v>16</v>
      </c>
      <c r="G310" s="1" t="s">
        <v>120</v>
      </c>
      <c r="H310" s="4" t="s">
        <v>121</v>
      </c>
      <c r="I310" s="2">
        <v>1.0</v>
      </c>
      <c r="J310" s="5" t="str">
        <f>IFERROR(__xludf.DUMMYFUNCTION("GOOGLETRANSLATE(A310)"),"public services")</f>
        <v>public services</v>
      </c>
      <c r="K310" s="6" t="str">
        <f>IFERROR(__xludf.DUMMYFUNCTION("GOOGLETRANSLATE(B310)"),"State services - Apps on Google Play")</f>
        <v>State services - Apps on Google Play</v>
      </c>
      <c r="M310" s="5" t="str">
        <f>IFERROR(__xludf.DUMMYFUNCTION("GOOGLETRANSLATE(G310)"),"Android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11">
      <c r="A311" s="1" t="s">
        <v>1006</v>
      </c>
      <c r="B311" s="1" t="s">
        <v>1013</v>
      </c>
      <c r="D311" s="1">
        <v>3.0</v>
      </c>
      <c r="E311" s="4" t="s">
        <v>1014</v>
      </c>
      <c r="F311" s="1" t="s">
        <v>16</v>
      </c>
      <c r="G311" s="1" t="s">
        <v>34</v>
      </c>
      <c r="H311" s="4" t="s">
        <v>35</v>
      </c>
      <c r="I311" s="2">
        <v>1.0</v>
      </c>
      <c r="J311" s="5" t="str">
        <f>IFERROR(__xludf.DUMMYFUNCTION("GOOGLETRANSLATE(A311)"),"public services")</f>
        <v>public services</v>
      </c>
      <c r="K311" s="6" t="str">
        <f>IFERROR(__xludf.DUMMYFUNCTION("GOOGLETRANSLATE(B311)"),"Public services")</f>
        <v>Public services</v>
      </c>
      <c r="M311" s="5" t="str">
        <f>IFERROR(__xludf.DUMMYFUNCTION("GOOGLETRANSLATE(G311)"),"VK.com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12">
      <c r="A312" s="1" t="s">
        <v>1006</v>
      </c>
      <c r="B312" s="1" t="s">
        <v>1015</v>
      </c>
      <c r="C312" s="1" t="s">
        <v>1016</v>
      </c>
      <c r="D312" s="1">
        <v>4.0</v>
      </c>
      <c r="E312" s="4" t="s">
        <v>1017</v>
      </c>
      <c r="F312" s="1" t="s">
        <v>16</v>
      </c>
      <c r="G312" s="1" t="s">
        <v>97</v>
      </c>
      <c r="H312" s="4" t="s">
        <v>98</v>
      </c>
      <c r="I312" s="2">
        <v>0.0</v>
      </c>
      <c r="J312" s="5" t="str">
        <f>IFERROR(__xludf.DUMMYFUNCTION("GOOGLETRANSLATE(A312)"),"public services")</f>
        <v>public services</v>
      </c>
      <c r="K312" s="6" t="str">
        <f>IFERROR(__xludf.DUMMYFUNCTION("GOOGLETRANSLATE(B312)"),"App Store: District - Apple")</f>
        <v>App Store: District - Apple</v>
      </c>
      <c r="L312" s="5" t="str">
        <f>IFERROR(__xludf.DUMMYFUNCTION("GOOGLETRANSLATE(C312)"),"In an appendix of public services, everyone can receive public services easily and quickly: draw up the necessary documents, sign up for a reception, ...")</f>
        <v>In an appendix of public services, everyone can receive public services easily and quickly: draw up the necessary documents, sign up for a reception, ...</v>
      </c>
      <c r="M312" s="5" t="str">
        <f>IFERROR(__xludf.DUMMYFUNCTION("GOOGLETRANSLATE(G312)"),"App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13">
      <c r="A313" s="1" t="s">
        <v>1006</v>
      </c>
      <c r="B313" s="1" t="s">
        <v>1018</v>
      </c>
      <c r="C313" s="1" t="s">
        <v>1019</v>
      </c>
      <c r="D313" s="1">
        <v>5.0</v>
      </c>
      <c r="E313" s="4" t="s">
        <v>1020</v>
      </c>
      <c r="F313" s="1" t="s">
        <v>16</v>
      </c>
      <c r="G313" s="1" t="s">
        <v>457</v>
      </c>
      <c r="H313" s="4" t="s">
        <v>458</v>
      </c>
      <c r="I313" s="2">
        <v>1.0</v>
      </c>
      <c r="J313" s="5" t="str">
        <f>IFERROR(__xludf.DUMMYFUNCTION("GOOGLETRANSLATE(A313)"),"public services")</f>
        <v>public services</v>
      </c>
      <c r="K313" s="6" t="str">
        <f>IFERROR(__xludf.DUMMYFUNCTION("GOOGLETRANSLATE(B313)"),"Contact @gosuslugi")</f>
        <v>Contact @gosuslugi</v>
      </c>
      <c r="L313" s="5" t="str">
        <f>IFERROR(__xludf.DUMMYFUNCTION("GOOGLETRANSLATE(C313)"),"Public services. 1 049 158 Subscribers. The official channel of the portal of public services of the Russian Federation. VK: vk.com/gosuslugi. OK: Ok.ru ... State Services Right Away.")</f>
        <v>Public services. 1 049 158 Subscribers. The official channel of the portal of public services of the Russian Federation. VK: vk.com/gosuslugi. OK: Ok.ru ... State Services Right Away.</v>
      </c>
      <c r="M313" s="5" t="str">
        <f>IFERROR(__xludf.DUMMYFUNCTION("GOOGLETRANSLATE(G313)"),"Telegram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Premi"&amp;"umOct 28Replies 2.0 Adjustable Link Previews Name Colors and MoreSep 22Stories in Channels View-Once Media and Morea new era of messagingTelegram for AndroidTelegram for iPhone / iPad  Telegram for Windows / Mac / LinuxBrowse more Telegram apps           "&amp;" Telegram for PC / Linux            Telegram for macOSRecent NewsGiveaways in Channels and Free PremiumChannel owners can now launch Giveaways to randomly distribute prizes among their followers. This is great if you want to promote your channel get new s"&amp;"ubscribers or reward existing…Nov 6 2023Replies 2.0 Adjustable Link Previews Name Colors and MoreToday's update lets you quote specific parts of messages when replying send your replies to other chats add quote formatting to any text…Oct 28 2023Why Telegr"&amp;"am?SimpleTelegram is so simple you already know how to use it.PrivateTelegram messages are heavily encrypted and can self-destruct.SyncedTelegram lets you access your chats from multiple devices.FastTelegram delivers messages faster than any other applica"&amp;"tion.PowerfulTelegram has no limits on the size of your media and chats.OpenTelegram has an open API and source code free for everyone.SecureTelegram keeps your messages safe from hacker attacks.SocialTelegram groups can hold up to 200000 members.Expressi"&amp;"veTelegram lets you completely customize your messenger.Telegram      Telegram is a cloud-based mobile and desktop messaging app with a focus on security and speed.    AboutFAQPrivacyPressMobile AppsiPhone/iPadAndroidMobile WebDesktop AppsPC/Mac/LinuxmacO"&amp;"SWeb-browserPlatformAPITranslationsInstant ViewAboutBlogAppsPlatformPress")</f>
        <v>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v>
      </c>
    </row>
    <row r="314">
      <c r="A314" s="1" t="s">
        <v>1006</v>
      </c>
      <c r="B314" s="1" t="s">
        <v>1021</v>
      </c>
      <c r="C314" s="1" t="s">
        <v>1022</v>
      </c>
      <c r="D314" s="1">
        <v>6.0</v>
      </c>
      <c r="E314" s="4" t="s">
        <v>1023</v>
      </c>
      <c r="F314" s="1" t="s">
        <v>16</v>
      </c>
      <c r="I314" s="2">
        <v>1.0</v>
      </c>
      <c r="J314" s="5" t="str">
        <f>IFERROR(__xludf.DUMMYFUNCTION("GOOGLETRANSLATE(A314)"),"public services")</f>
        <v>public services</v>
      </c>
      <c r="K314" s="6" t="str">
        <f>IFERROR(__xludf.DUMMYFUNCTION("GOOGLETRANSLATE(B314)"),"State Services of Moscow / Portal of State Services of Moscow")</f>
        <v>State Services of Moscow / Portal of State Services of Moscow</v>
      </c>
      <c r="L314" s="5" t="str">
        <f>IFERROR(__xludf.DUMMYFUNCTION("GOOGLETRANSLATE(C314)"),"State services of Moscow: From an appointment with a doctor to registration of a car-a single online catalog of all regional, municipal and ... was created on the portal Mos.ru")</f>
        <v>State services of Moscow: From an appointment with a doctor to registration of a car-a single online catalog of all regional, municipal and ... was created on the portal Mos.ru</v>
      </c>
      <c r="M314" s="5" t="str">
        <f>IFERROR(__xludf.DUMMYFUNCTION("GOOGLETRANSLATE(G314)"),"#VALUE!")</f>
        <v>#VALUE!</v>
      </c>
    </row>
    <row r="315">
      <c r="A315" s="1" t="s">
        <v>1006</v>
      </c>
      <c r="B315" s="1" t="s">
        <v>1024</v>
      </c>
      <c r="C315" s="1" t="s">
        <v>1025</v>
      </c>
      <c r="D315" s="1">
        <v>7.0</v>
      </c>
      <c r="E315" s="4" t="s">
        <v>1026</v>
      </c>
      <c r="F315" s="1" t="s">
        <v>16</v>
      </c>
      <c r="I315" s="2">
        <v>1.0</v>
      </c>
      <c r="J315" s="5" t="str">
        <f>IFERROR(__xludf.DUMMYFUNCTION("GOOGLETRANSLATE(A315)"),"public services")</f>
        <v>public services</v>
      </c>
      <c r="K315" s="6" t="str">
        <f>IFERROR(__xludf.DUMMYFUNCTION("GOOGLETRANSLATE(B315)"),"Portal of state and municipal services ...")</f>
        <v>Portal of state and municipal services ...</v>
      </c>
      <c r="L315" s="5" t="str">
        <f>IFERROR(__xludf.DUMMYFUNCTION("GOOGLETRANSLATE(C315)"),"The official portal of public services of the Moscow region. More than 250 public services and services online, relevant information about public services, electronic record in ...")</f>
        <v>The official portal of public services of the Moscow region. More than 250 public services and services online, relevant information about public services, electronic record in ...</v>
      </c>
      <c r="M315" s="5" t="str">
        <f>IFERROR(__xludf.DUMMYFUNCTION("GOOGLETRANSLATE(G315)"),"#VALUE!")</f>
        <v>#VALUE!</v>
      </c>
    </row>
    <row r="316">
      <c r="A316" s="1" t="s">
        <v>1006</v>
      </c>
      <c r="B316" s="1" t="s">
        <v>1027</v>
      </c>
      <c r="D316" s="1">
        <v>8.0</v>
      </c>
      <c r="E316" s="4" t="s">
        <v>1028</v>
      </c>
      <c r="F316" s="1" t="s">
        <v>16</v>
      </c>
      <c r="I316" s="2">
        <v>1.0</v>
      </c>
      <c r="J316" s="5" t="str">
        <f>IFERROR(__xludf.DUMMYFUNCTION("GOOGLETRANSLATE(A316)"),"public services")</f>
        <v>public services</v>
      </c>
      <c r="K316" s="6" t="str">
        <f>IFERROR(__xludf.DUMMYFUNCTION("GOOGLETRANSLATE(B316)"),"State Services of the Republic of Tatarstan")</f>
        <v>State Services of the Republic of Tatarstan</v>
      </c>
      <c r="L316" s="5" t="str">
        <f>IFERROR(__xludf.DUMMYFUNCTION("GOOGLETRANSLATE(C316)"),"#VALUE!")</f>
        <v>#VALUE!</v>
      </c>
      <c r="M316" s="5" t="str">
        <f>IFERROR(__xludf.DUMMYFUNCTION("GOOGLETRANSLATE(G316)"),"#VALUE!")</f>
        <v>#VALUE!</v>
      </c>
    </row>
    <row r="317">
      <c r="A317" s="1" t="s">
        <v>1006</v>
      </c>
      <c r="B317" s="1" t="s">
        <v>1007</v>
      </c>
      <c r="C317" s="1" t="s">
        <v>1029</v>
      </c>
      <c r="D317" s="1">
        <v>9.0</v>
      </c>
      <c r="E317" s="4" t="s">
        <v>1030</v>
      </c>
      <c r="F317" s="1" t="s">
        <v>16</v>
      </c>
      <c r="G317" s="1" t="s">
        <v>31</v>
      </c>
      <c r="H317" s="4" t="s">
        <v>32</v>
      </c>
      <c r="I317" s="2">
        <v>1.0</v>
      </c>
      <c r="J317" s="5" t="str">
        <f>IFERROR(__xludf.DUMMYFUNCTION("GOOGLETRANSLATE(A317)"),"public services")</f>
        <v>public services</v>
      </c>
      <c r="K317" s="6" t="str">
        <f>IFERROR(__xludf.DUMMYFUNCTION("GOOGLETRANSLATE(B317)"),"Portal of public services of the Russian Federation")</f>
        <v>Portal of public services of the Russian Federation</v>
      </c>
      <c r="L317" s="5" t="str">
        <f>IFERROR(__xludf.DUMMYFUNCTION("GOOGLETRANSLATE(C317)"),"Federal State Information System “Unified Portal of State and Municipal Services (Functions)” (Unified Portal of State Services, EPGU, ...")</f>
        <v>Federal State Information System “Unified Portal of State and Municipal Services (Functions)” (Unified Portal of State Services, EPGU, ...</v>
      </c>
      <c r="M317" s="5" t="str">
        <f>IFERROR(__xludf.DUMMYFUNCTION("GOOGLETRANSLATE(G317)"),"Wikipedia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18">
      <c r="A318" s="1" t="s">
        <v>1006</v>
      </c>
      <c r="B318" s="1" t="s">
        <v>1031</v>
      </c>
      <c r="C318" s="1" t="s">
        <v>1032</v>
      </c>
      <c r="D318" s="1">
        <v>10.0</v>
      </c>
      <c r="E318" s="4" t="s">
        <v>1033</v>
      </c>
      <c r="F318" s="1" t="s">
        <v>16</v>
      </c>
      <c r="I318" s="2">
        <v>1.0</v>
      </c>
      <c r="J318" s="5" t="str">
        <f>IFERROR(__xludf.DUMMYFUNCTION("GOOGLETRANSLATE(A318)"),"public services")</f>
        <v>public services</v>
      </c>
      <c r="K318" s="6" t="str">
        <f>IFERROR(__xludf.DUMMYFUNCTION("GOOGLETRANSLATE(B318)"),"Saint Petersburg. Public services")</f>
        <v>Saint Petersburg. Public services</v>
      </c>
      <c r="L318" s="5" t="str">
        <f>IFERROR(__xludf.DUMMYFUNCTION("GOOGLETRANSLATE(C318)"),"The official portal of public services of St. Petersburg. More than 300 public services and services online, relevant information about public services, recording children in kindergarten and school, ...")</f>
        <v>The official portal of public services of St. Petersburg. More than 300 public services and services online, relevant information about public services, recording children in kindergarten and school, ...</v>
      </c>
      <c r="M318" s="5" t="str">
        <f>IFERROR(__xludf.DUMMYFUNCTION("GOOGLETRANSLATE(G318)"),"#VALUE!")</f>
        <v>#VALUE!</v>
      </c>
    </row>
    <row r="319">
      <c r="A319" s="1" t="s">
        <v>1006</v>
      </c>
      <c r="B319" s="1" t="s">
        <v>1034</v>
      </c>
      <c r="C319" s="1" t="s">
        <v>1035</v>
      </c>
      <c r="D319" s="1">
        <v>11.0</v>
      </c>
      <c r="E319" s="4" t="s">
        <v>1036</v>
      </c>
      <c r="F319" s="1" t="s">
        <v>16</v>
      </c>
      <c r="G319" s="1" t="s">
        <v>1037</v>
      </c>
      <c r="H319" s="4" t="s">
        <v>1038</v>
      </c>
      <c r="I319" s="2">
        <v>1.0</v>
      </c>
      <c r="J319" s="5" t="str">
        <f>IFERROR(__xludf.DUMMYFUNCTION("GOOGLETRANSLATE(A319)"),"public services")</f>
        <v>public services</v>
      </c>
      <c r="K319" s="6" t="str">
        <f>IFERROR(__xludf.DUMMYFUNCTION("GOOGLETRANSLATE(B319)"),"Portal of services of the Tyumen region - Home")</f>
        <v>Portal of services of the Tyumen region - Home</v>
      </c>
      <c r="L319" s="5" t="str">
        <f>IFERROR(__xludf.DUMMYFUNCTION("GOOGLETRANSLATE(C319)"),"Check the tax debt online. Using public services is very simple! Enter register. Popular services. Information and reference service. 8 ...")</f>
        <v>Check the tax debt online. Using public services is very simple! Enter register. Popular services. Information and reference service. 8 ...</v>
      </c>
      <c r="M319" s="5" t="str">
        <f>IFERROR(__xludf.DUMMYFUNCTION("GOOGLETRANSLATE(G319)"),"The Portal of the services of the Tyumen region is the main categories to all categories to citizens to legal entities RUS × Clear × Catalog Service and Support for the Catalog Catalog Cataloget. The site uses the web analytics service that uses COOKIE te"&amp;"chnology to analyze user activity. Visiting this site you agree to process data for the purposes of the above. Do you have unprocessed notifications × × clean up abroad? Learn about the rules for the safe return of homewear to know your Innproveti tax deb"&amp;"t to online services is very simple! Support to register the Popopular Service Service 800 100-12-908 3452 56-63-30 Technical Support for the Mistress of the Evaluable Situations Department of the Department of Life Service Service Service Service Service"&amp;" Project Project Podportal Togv. Bernator -Channel Property Self -Government of Portal Heads © 2010 - 2023 Government The Tyumen Region Administrator of the State Committee for Complex of TO CIT TO. The portal is implemented on the ""Sitex"" platform")</f>
        <v>The Portal of the services of the Tyumen region is the main categories to all categories to citizens to legal entities RUS × Clear × Catalog Service and Support for the Catalog Catalog Cataloget. The site uses the web analytics service that uses COOKIE technology to analyze user activity. Visiting this site you agree to process data for the purposes of the above. Do you have unprocessed notifications × × clean up abroad? Learn about the rules for the safe return of homewear to know your Innproveti tax debt to online services is very simple! Support to register the Popopular Service Service 800 100-12-908 3452 56-63-30 Technical Support for the Mistress of the Evaluable Situations Department of the Department of Life Service Service Service Service Service Project Project Podportal Togv. Bernator -Channel Property Self -Government of Portal Heads © 2010 - 2023 Government The Tyumen Region Administrator of the State Committee for Complex of TO CIT TO. The portal is implemented on the "Sitex" platform</v>
      </c>
    </row>
    <row r="320">
      <c r="A320" s="1" t="s">
        <v>1006</v>
      </c>
      <c r="B320" s="1" t="s">
        <v>1039</v>
      </c>
      <c r="D320" s="1">
        <v>12.0</v>
      </c>
      <c r="E320" s="4" t="s">
        <v>1040</v>
      </c>
      <c r="F320" s="1" t="s">
        <v>16</v>
      </c>
      <c r="G320" s="1" t="s">
        <v>1039</v>
      </c>
      <c r="H320" s="4" t="s">
        <v>1041</v>
      </c>
      <c r="I320" s="2">
        <v>1.0</v>
      </c>
      <c r="J320" s="5" t="str">
        <f>IFERROR(__xludf.DUMMYFUNCTION("GOOGLETRANSLATE(A320)"),"public services")</f>
        <v>public services</v>
      </c>
      <c r="K320" s="6" t="str">
        <f>IFERROR(__xludf.DUMMYFUNCTION("GOOGLETRANSLATE(B320)"),"Portal of public services of the Stavropol Territory")</f>
        <v>Portal of public services of the Stavropol Territory</v>
      </c>
      <c r="L320" s="5" t="str">
        <f>IFERROR(__xludf.DUMMYFUNCTION("GOOGLETRANSLATE(C320)"),"#VALUE!")</f>
        <v>#VALUE!</v>
      </c>
      <c r="M320" s="5" t="str">
        <f>IFERROR(__xludf.DUMMYFUNCTION("GOOGLETRANSLATE(G320)"),"Portal of public services of the Stavropol Territory")</f>
        <v>Portal of public services of the Stavropol Territory</v>
      </c>
    </row>
    <row r="321">
      <c r="A321" s="1" t="s">
        <v>1006</v>
      </c>
      <c r="B321" s="1" t="s">
        <v>1042</v>
      </c>
      <c r="D321" s="1">
        <v>13.0</v>
      </c>
      <c r="E321" s="4" t="s">
        <v>1043</v>
      </c>
      <c r="F321" s="1" t="s">
        <v>16</v>
      </c>
      <c r="G321" s="1" t="s">
        <v>1044</v>
      </c>
      <c r="H321" s="4" t="s">
        <v>1045</v>
      </c>
      <c r="I321" s="2">
        <v>1.0</v>
      </c>
      <c r="J321" s="5" t="str">
        <f>IFERROR(__xludf.DUMMYFUNCTION("GOOGLETRANSLATE(A321)"),"public services")</f>
        <v>public services</v>
      </c>
      <c r="K321" s="6" t="str">
        <f>IFERROR(__xludf.DUMMYFUNCTION("GOOGLETRANSLATE(B321)"),"Regional portal of the services of the Kamchatka Territory")</f>
        <v>Regional portal of the services of the Kamchatka Territory</v>
      </c>
      <c r="L321" s="5" t="str">
        <f>IFERROR(__xludf.DUMMYFUNCTION("GOOGLETRANSLATE(C321)"),"#VALUE!")</f>
        <v>#VALUE!</v>
      </c>
      <c r="M321" s="5" t="str">
        <f>IFERROR(__xludf.DUMMYFUNCTION("GOOGLETRANSLATE(G321)"),"The regional portal of the services of the Kamchatka Territory for the work of the portal needs JavaScript your browser is outdated and its support will be discontinued in mid -2020. It is recommended to use another browser (for example, Chrome Yandex.B. "&amp;"Browser) to use the correct work with this portal. Все категорииВсе категорииФизические лицаЮридические лица    Версия для слабовидящих  Выберите районРегиональный портал услуг Камчатского краяКаталог услугНовостиПомощь и поддержкаОплатаОбратная связьВойт"&amp;"иРегистрация2                Найдена ошибка на порталеРазвернутьУведомления для гостейCвернуть                    Найдена ошибка на портале                    Если обнаружили ошибку на портале или у Вас есть предложения то просим направить через форму обр"&amp;"атной связи. Test notification 2 is just an example of a test notification for checking the notification change timer. And now it is also an extended text of the test notice to check the multi -line output of the text of this notification! Hooray! Everyth"&amp;"ing will be fine! × Cleaning example: Record for vaccination by the registration of a vehicle under the contract ... Puts to the winter shift on November 10, 2023 on the portal of state and municipal services of the Kamchatka Territory starts the sale of "&amp;"trips to the suburban stationary children's camps ""Albatros"" and ""Wave"" to the winter shift. Participants of their own and their families can apply for a land plot by participants in a special military operation and their families can apply for regist"&amp;"ration for the provision of land plots on the portal of state and municipal services of Kamchatka Kraapopular Service and tourism health care of the formation of social order and benefit. Time -it -trials. Loading can take up for some time loading, it can"&amp;" take it for some time loading it can take up for some time loading, it can take some time loading for some time, it can take some time the CARE COMPARITHOTO SHOUSE CARKENT CAN TREE ALL CARENS OF ALL CARENTS COMPLETAROSE CAN TREE CARTALOSE CAN TAKE SALLPA"&amp;"RITARY AND SUPPORTION OF THE COMPLETIES AND SUPPORTION © Portal of state and Municipal services of the Kamchatka Territory 2023 AND EVEN! This site collects user metadata (cookies on IP location addresses, etc.) in accordance with the confidentiality poli"&amp;"cy. If you do not want to provide data for storage and processing please leave the site.")</f>
        <v>The regional portal of the services of the Kamchatka Territory for the work of the portal needs JavaScript your browser is outdated and its support will be discontinued in mid -2020. It is recommended to use another browser (for example, Chrome Yandex.B. Browser) to use the correct work with this portal. Все категорииВсе категорииФизические лицаЮридические лица    Версия для слабовидящих  Выберите районРегиональный портал услуг Камчатского краяКаталог услугНовостиПомощь и поддержкаОплатаОбратная связьВойтиРегистрация2                Найдена ошибка на порталеРазвернутьУведомления для гостейCвернуть                    Найдена ошибка на портале                    Если обнаружили ошибку на портале или у Вас есть предложения то просим направить через форму обратной связи. Test notification 2 is just an example of a test notification for checking the notification change timer. And now it is also an extended text of the test notice to check the multi -line output of the text of this notification! Hooray! Everything will be fine! × Cleaning example: Record for vaccination by the registration of a vehicle under the contract ... Puts to the winter shift on November 10, 2023 on the portal of state and municipal services of the Kamchatka Territory starts the sale of trips to the suburban stationary children's camps "Albatros" and "Wave" to the winter shift. Participants of their own and their families can apply for a land plot by participants in a special military operation and their families can apply for registration for the provision of land plots on the portal of state and municipal services of Kamchatka Kraapopular Service and tourism health care of the formation of social order and benefit. Time -it -trials. Loading can take up for some time loading, it can take it for some time loading it can take up for some time loading, it can take some time loading for some time, it can take some time the CARE COMPARITHOTO SHOUSE CARKENT CAN TREE ALL CARENS OF ALL CARENTS COMPLETAROSE CAN TREE CARTALOSE CAN TAKE SALLPARITARY AND SUPPORTION OF THE COMPLETIES AND SUPPORTION © Portal of state and Municipal services of the Kamchatka Territory 2023 AND EVEN! This site collects user metadata (cookies on IP location addresses, etc.) in accordance with the confidentiality policy. If you do not want to provide data for storage and processing please leave the site.</v>
      </c>
    </row>
    <row r="322">
      <c r="A322" s="1" t="s">
        <v>1006</v>
      </c>
      <c r="B322" s="1" t="s">
        <v>1046</v>
      </c>
      <c r="C322" s="1" t="s">
        <v>1047</v>
      </c>
      <c r="D322" s="1">
        <v>14.0</v>
      </c>
      <c r="E322" s="4" t="s">
        <v>1048</v>
      </c>
      <c r="F322" s="1" t="s">
        <v>16</v>
      </c>
      <c r="I322" s="2">
        <v>1.0</v>
      </c>
      <c r="J322" s="5" t="str">
        <f>IFERROR(__xludf.DUMMYFUNCTION("GOOGLETRANSLATE(A322)"),"public services")</f>
        <v>public services</v>
      </c>
      <c r="K322" s="6" t="str">
        <f>IFERROR(__xludf.DUMMYFUNCTION("GOOGLETRANSLATE(B322)"),"Portal of public services of the Tula region")</f>
        <v>Portal of public services of the Tula region</v>
      </c>
      <c r="L322" s="5" t="str">
        <f>IFERROR(__xludf.DUMMYFUNCTION("GOOGLETRANSLATE(C322)"),"State services will report them immediately after the occurrence of an event that gives the right to state support. Now informing is possible in three situations: • at birth ...")</f>
        <v>State services will report them immediately after the occurrence of an event that gives the right to state support. Now informing is possible in three situations: • at birth ...</v>
      </c>
      <c r="M322" s="5" t="str">
        <f>IFERROR(__xludf.DUMMYFUNCTION("GOOGLETRANSLATE(G322)"),"#VALUE!")</f>
        <v>#VALUE!</v>
      </c>
    </row>
    <row r="323">
      <c r="A323" s="1" t="s">
        <v>1006</v>
      </c>
      <c r="B323" s="1" t="s">
        <v>1049</v>
      </c>
      <c r="D323" s="1">
        <v>15.0</v>
      </c>
      <c r="E323" s="4" t="s">
        <v>1050</v>
      </c>
      <c r="F323" s="1" t="s">
        <v>16</v>
      </c>
      <c r="I323" s="2">
        <v>1.0</v>
      </c>
      <c r="J323" s="5" t="str">
        <f>IFERROR(__xludf.DUMMYFUNCTION("GOOGLETRANSLATE(A323)"),"public services")</f>
        <v>public services</v>
      </c>
      <c r="K323" s="6" t="str">
        <f>IFERROR(__xludf.DUMMYFUNCTION("GOOGLETRANSLATE(B323)"),"State services of the Penza region")</f>
        <v>State services of the Penza region</v>
      </c>
      <c r="L323" s="5" t="str">
        <f>IFERROR(__xludf.DUMMYFUNCTION("GOOGLETRANSLATE(C323)"),"#VALUE!")</f>
        <v>#VALUE!</v>
      </c>
      <c r="M323" s="5" t="str">
        <f>IFERROR(__xludf.DUMMYFUNCTION("GOOGLETRANSLATE(G323)"),"#VALUE!")</f>
        <v>#VALUE!</v>
      </c>
    </row>
    <row r="324">
      <c r="A324" s="1" t="s">
        <v>1006</v>
      </c>
      <c r="B324" s="1" t="s">
        <v>1051</v>
      </c>
      <c r="C324" s="1" t="s">
        <v>1052</v>
      </c>
      <c r="D324" s="1">
        <v>16.0</v>
      </c>
      <c r="E324" s="4" t="s">
        <v>1053</v>
      </c>
      <c r="F324" s="1" t="s">
        <v>16</v>
      </c>
      <c r="G324" s="1" t="s">
        <v>1054</v>
      </c>
      <c r="H324" s="4" t="s">
        <v>1055</v>
      </c>
      <c r="I324" s="2">
        <v>1.0</v>
      </c>
      <c r="J324" s="5" t="str">
        <f>IFERROR(__xludf.DUMMYFUNCTION("GOOGLETRANSLATE(A324)"),"public services")</f>
        <v>public services</v>
      </c>
      <c r="K324" s="6" t="str">
        <f>IFERROR(__xludf.DUMMYFUNCTION("GOOGLETRANSLATE(B324)"),"Rospatent. Public services")</f>
        <v>Rospatent. Public services</v>
      </c>
      <c r="L324" s="5" t="str">
        <f>IFERROR(__xludf.DUMMYFUNCTION("GOOGLETRANSLATE(C324)"),"State services: registration of intellectual property, familiarization with the documents of the application, registration of the order and transition of the exclusive law ...")</f>
        <v>State services: registration of intellectual property, familiarization with the documents of the application, registration of the order and transition of the exclusive law ...</v>
      </c>
      <c r="M324" s="5" t="str">
        <f>IFERROR(__xludf.DUMMYFUNCTION("GOOGLETRANSLATE(G324)"),"Federal Intellectual Property Service (Rospatent)-the main page of the Rospatent-Dederal Service for Intellectual Property to the application of the statement of the intellectual property of the Russian Rospatenteo Rospatenteo General Information and the "&amp;"guideline Rospatent subpersonal and the Soviet authorities giya Rospatentent Council of Planning -Statistics of the best inventions of the Years of the Years of the Consum Academy of Education of Financial Management Democents of Patent Rights and Paying "&amp;"Offons of NPA (them certain provisions) containing mandatory requirements of compliance with which are carried out as part of Rospatent of the public service for certification and registration of patent attorneys of the Rubcartol and supervision in the fi"&amp;"eld of legal protection and use of RIDs created at the expense of the budgetary allocations of the federal budgetary of the non -NPA (their individual provisions) containing mandatory requirements, assessment of compliance with compliance which is carried"&amp;" out as part of the control and supervision in the field of legal protection and use of military special and double -purpose RIDs of the NPA (their individual provisions) containing mandatory requirements of the compliance with which is carried out as par"&amp;"t of the control and supervision of legal protection and use of civil purposes of the NPA (their individuals provisions) containing mandatory requirements of compliance with which are carried out within the framework of Rospatent of the authority of the f"&amp;"ounder of educational organizations, international cooperation, regional cooperation of the law enforcement of law enforcement practice, appeal patenting a state-state patent fund for corruption of a webrallicentenes and contractual relations of the certi"&amp;"ficate of attested experts The schedule of the regulatory work of Rospatent for 2019 - 2023 scientific and educational organizations accredited as organizations that can conduct a preliminary information search and preliminary assessment of the patent cap"&amp;"acity of inventions and useful models of the NPA (their separate provisions) containing mandatory requirements for the assessment of compliance with which are carried out by the Rospatent of the public service for the accreditation of scientific and educa"&amp;"tional organizations of the consumption of intellectual property of the following или перехода исключительного праваПродление прекращение и восстановление правовой охраныВнесение изменений в государственные реестрыПризнание товарного знака общеизвестным в"&amp;" РФПубликация решений судовАттестация и регистрация патентных поверенных РФАккредитация научных и образовательных организаций в качестве организаций которые могут проводить предварительный информационный поиск и предварительную оценку патентоспособности и"&amp;"зобретений и полезных моделейДокументы и формыДокументы и формыДокументыФормы Documentation and service -information and service -information resources Rospatientative reception of open -open data from the Platformanalytic Platformanalytic Paneliculator o"&amp;"f Patent and Other Payment for the payment of Patent Duhniysk Paypoles of the House of Patent Rossiral Multimediaglossarios. Reference consultations on topical issues of users from intellectual property security for contact contacts of phones to provide c"&amp;"onsultations and certificate services for the statement 19 Documentary -Patent attorneys for frequently asked questions of the Russian government, Russian -General Information and the leadership of the Rospatent -propelled Undercontrollation institutions "&amp;"of the college and deliberative college of the Rospatenti -Planning Reporting Reports of the best inventions of the years of the year Patent right -handed pentilers and payment attorneys of the NPA (their individual provisions) containing mandatory requir"&amp;"ements for compliance with which are carried out as part of Rospatent of the public certification service and the registration of patent attorneys of the Rubontrol and supervision in the field of legal protection and the use of RIDs created by the budget "&amp;"allocations of the federal budgetary of the NPA (their individual provisions) containing mandatory requirements of the compliance with which are carried out as part of the control and supervision of legal protection and use of the military special and dou"&amp;"ble the appointment of the LPU (their individual provisions) containing mandatory requirements for compliance with which is carried out as part of control and supervision in the field of legal protection and use of civil purposes of the NPA (their individ"&amp;"ual provisions) containing mandatory requirements for compliance with which is carried out by the execution of the authority of the founder of educational organizations of the institutions of obsequious cooperation Cooperation of the Supervisory Practitio"&amp;"ner of the Law Enforcement Practical Practice Purchase Plane Patent of the Patent Fund Fundation of the Corruption Conference of the Webranial Corruption and Contractual Relations between the certified experts of the regulatory work of Rospatent for 2019-"&amp;"2023 Scientific and educational organizations accredited Conduct a preliminary information search and preliminary assessment of the patentability of inventions and useful models NPA (their separate provisions) containing mandatory requirements for complia"&amp;"nce with which is carried out as part of Rospatent of the public service for the accreditation of scientific and educational organizations of the intellectual property of intellectual property, the application with the documents Application of the disposa"&amp;"l or transition of exclusive right -handed termination and restoration of legal protection to state registration of the trademark as well -known in the Russian Federation publication decisions of navigation and registration of patent attorneys Rfakcredita"&amp;"tion of scientific and educational organizations as organizations that can carry out preliminary information search and preliminary assessment of the patent capacity of inventions and useful models and forms of documentation and service -information resou"&amp;"rces of the Federal -Penettestive Record -opened reporting Platformalcalcalcalcalcalcalcalk Patent and other departure for the payment of a patent deduct for Paying Paypois. Chambers on Patent Patent Brands of Russia-Multimedimediaglossariya-frequently as"&amp;"ked form-consulting issues of consultation on relevant issues of users of the intellectual property of telephones to provide consultations and certificates of the Russian Service 19th Rosspatente-General Information and the Guide Departmental institutions"&amp;" of the collegial and advisory authorities of the Federal Air Transport Agency of the Federal Air Transport Agency Planning -Statistics of the Great Inventions of the Years of the Years of the Couquin -Schoolbacininations of the Quality of Financial Manag"&amp;"ementing Patent Rights Paying attorneys of the NPA (their individual provisions) containing mandatory requirements for compliance with which are carried out as part of the Rospatent of the public service for certification and registration of patent attorn"&amp;"eys of the Rubcontrol and supervision in the field of legal protection and the use of RIDs created by budget allocations of the federal budgetary transmission (their individual provisions) containing mandatory requirements of compliance with which are car"&amp;"ried out as part of control and supervision in the field of legal protection and use of military special and double -purpose RIDs of the NPA (their individual provisions) containing mandatory requirements for compliance with which are carried out as part "&amp;"of the control and supervision of legal protection and use of civilian the appointment of the EPPU (their separate provisions) containing mandatory requirements for compliance with which is carried out as part of Rospatent of the authority of the founder "&amp;"of educational organizations by international cooperation by the regional cooperation of law enforcement of law enforcement practices of the appeal of a state -state patenting funding conferencing webinaries and contractual relations certified expert-sche"&amp;"dule of the regulatory work of Rospatent for 2019-2023 Scientific and educational organizations accredited as organizations that can conduct a preliminary information search and preliminary assessment of the patentability of inventions and useful models o"&amp;"f the NPA (their separate provisions) containing mandatory requirements for compliance with which are carried out by Rospatent of the public service for accreditation of scientific and educational organizations of intellectual objects ownership with docum"&amp;"ents, the application for the order or transition of exclusive right -handed to terminate and restore legal protection of changes to state registry of the trademark to be well -known to the Russian Suppest and registration of patent attorneys RFaccredatio"&amp;"n of scientific and educational organizations as organizations that may conduct a preliminary information search and preliminary evaluation Modeling and forms of documents of the document documentation and service -storage -information resources Rospatien"&amp;"tative reception of open -open data from the City City Platformanalytic Panelicalator of Patent and Other Payment Payposysk Paypois Paypoles for Patent Rossiyal Brands of Russia -Multimediaglary -Removement. Form of feedback from an some kind of consultat"&amp;"ion on topical issues of users of the intellectual property of intellectual property of contacts of phones to provide consultations and certificates of the Service of the Teek : Rospatent stimulates the creation and commercialization of developments on No"&amp;"vember 10, 2023 20: 00na, the site of the contest “My Country - My Russia” discussed the issues of protecting intellectual property on November 9, 2023 20: 00ure tooths: intellectual property becomes more and more an economic asset and object of investmen"&amp;"t on November 7, 2023 18: 09 how to submit an application through EPGU: the most relevant information on changes in the procedures for obtaining public services of Rospatent November 7, 2023 10: 20 RESPETEN Opened the exposition of regional brands on Nove"&amp;"mber 4, 2023 08: 00 Sumyanieneevebinar WIS: Marrakesh agreement Stevbinar VIS: Transition to the National Phazuema of Users of the RST! - Help make our services even more convenient and more accessible to the candidates for patent attorneys! On October 27"&amp;", 2023, a meeting of the qualification commission of Rospatentialog VIS was held: the indigenous peoples of cultural expressions and modographic examinations for certification of patent attorneys of the Russian Federation for 2024 on the dynamics of paten"&amp;"ting in the RFU on June 29, individuals will be able to register commercial signature and accessibility of public services by the Rospatrodentacalendary14 - November 16 - November 16 - November 16 - November 16 - November 16 - November 16 - November 16 - "&amp;"November 16 - November 16 2023. VI Professor Forum ""Science and Education as the basis of the development of Russia. Personnel for an innovative economy"" (Moscow) November 14, 2023. Round table: ""The introduction of artificial intelligence technology i"&amp;"n business and the state as the main trend of 2024-2030"" (Moscow) November 16 - 17, 2023. The All -Russian Forum of young inventors (V. Novgorod) November 16, 2023. ""Forum of artificial intelligence ethics: generation GPT. Red lines: https://www.aiethic"&amp;".ru/"". The ceremony of joining organizations to the Ethics Code in the field of artificial intelligence. (Moscow) November 20-21, 2023. Fair of food and healthcare products (Moscow) on November 21-24, 2023. XXIII International Scientific and Practical Co"&amp;"nference ""Kutafin Readings"" of Moscow State Law University named after O.E. Kutafina (MGUA Moscow) November 24, 2023. The award ceremony of the First Russian Prize IP Russia Awards 2023 (Moscow) on November 28 - 30, 2023. III Congress of young scientist"&amp;"s. The final of the All -Russian Competition of the Warrior ""Inventor of the Year"" (Sochi Science and Art Park ""Sirius"" Federal Territory ""Sirius"") November 29, 2023. A meeting of the Academic Council of the Federal Institute of Industrial Property "&amp;"(Moscow) on December 5 - 7, 2023. Another meeting of the administrative council of the Eurasian Patent Organization (AC EAPO) (Moscow) December 6, 2023. II Eurasian Intellectual Property Conference and Technologies ""IP Eurasia/IP India*2023"" (Moscow) De"&amp;"cember 7, 2023. XXXII International Scientific and Practical Conference ""Media Law-2023"" (UNESCO Department for the author The right of the related cultural and information rights of the Higher School of Economics Moscow) Patent Nedikak new technologies"&amp;" help control the unmanned vehicle safe? November 10, 2023 14: 03 Press on Rospatentenosta: Rospatent refuted the “confiscation” of the trademarks of Sberbank and Kalashnikov on November 3, 2023 14: 04vs News Patent of the Week Calendar Press on Rospatent"&amp;"rssSS to the subscription page is there a problem with intellectual property protection? Report to Rospatent to write an invention-male modeling modeling signal sign of the name of the place of origin of the Production Product for euchasia of the data of "&amp;"the integral microcircuits of intellectual property of intellectual property and samples of filling the penta and other dedication forms to pay for the patent duty -bylgotypois payments received by the Federal Penitentiary Patient Patent Patent Patent Pat"&amp;"hetical Persons. Patent disputes of objections and statements in the Patent Patent Patent Planning Practical Practical Practical Practice (NMPT) Pre -trial appeal of the Information Resources Conducting Conductive Experts of the certified experts on frequ"&amp;"ently asked issues (FAQ) consultations on relevant issues on the site of the site on the site of the service -state registration of the invention and the issuance of a patent for The invention of his duplicate registration of the trademark of the trademar"&amp;"k of the collective pronoun is a state -state registration of a utility model and the issuance of a patent for a useful model its duplicate registration of an industrial design and the issuance of a patent for an industrial design of its duplicate registr"&amp;"ation of a program for electronic computing machines or databases of a given indication with applications for a geographical indication of the place of origin Productive registration of an order on the agreement of the exclusive right to a trademark of th"&amp;"e validity of the patenting of the patenting of the patenting of the state registers of the inventions of useful models of industrial models of the Russian Federation to the state registers of trademarks of geographical indications of the names of places "&amp;"of origin of the goods are listed of well -known TK and also in the certificate. The transformation of the collective sign into a trademark and the defense of the scientific and educational organizations as organizations that can conduct a preliminary inf"&amp;"ormation search and preliminary assessment of the patentability of inventions and useful model information reports on the submission of documents in electronic form by the representative of the Service of the Service Service of the Service of the Control "&amp;"Service and Supervision in the Sphere of Legal Protection and Use Protection of the interests of the state in relation to the RID VSD -national cooperation • The PCT system • Madrid system • The Hague system • PPh -regional cooperation of corruption of th"&amp;"e federal budget for income and expenditures Proper institutions of the Industrial Property Academy of Intellectual Property Academy of Intellectual Property Agency Legal protection of the results of intellectual activity of a military special and dual pu"&amp;"rpose of open -open Rospatentrospatent In the system, open government, opened data from the Rospatentent Council for the quality of the quality of the financial management of the financial management of the Kupkupkukokos-Service 83-fyshealization of the G"&amp;"overnment of the Russian Federation No. 1722 are references. Gosmonitoring -Control map of the site179tys. submitted applications2 510 -patent attorneys2 296 employees of26Electronic service, a public declaration of goals and objectives for 2023 God -publ"&amp;"ic declaration of goals and objectives for 2022 Godstastic of the current security documents100 of the best inventions of the Russian -General Report Rospatententenarpatent launched a new digital platform on March29, 2022 15: 00vs of the accentuate of the"&amp;" latest renewal. Pages: 05/26/2022 12: 33VS updating the Service Service +7 (499) 240-6015rospatent@rospatent.gov.ru Consultations on general issues+7 (499) 240-5842Fips@rupto.ru Citizenship-Electronic Form of Message Strategic Communications+7 (495) 531-"&amp;"6696PRCTO.RU admission and consideration of citizens' appeals+7 (495) 531-6650 Prophetic Institutional Institute of Industrial Property Property Academy of Intellectual Property Federal Agency for the Legal Protection of the Results of Military Special an"&amp;"d Double Purpose of the Resistance of Tuismaders Systems Systems Systems Council Crowned recyclable dialogs of the formlifting mare, the Great -Great -Block -Verkhinvide -Khlokchanvide -Kholkhonalic -conferences -conferences of the Authorchimedkazanlegala"&amp;"galaegalaegalaegalaegalaegalaelectron submitted international cooperation cooperation transformation -b and pre -nyefref -industry -industrial instructions 2012-2023 Rospatentinformation about the site Write in the technical support service of the Support"&amp;"-in-hand version to turn off the picture size font font font font 1.5 augered font 2 interval between letters (Kerning): Conventional Bolsheiuy.")</f>
        <v>Federal Intellectual Property Service (Rospatent)-the main page of the Rospatent-Dederal Service for Intellectual Property to the application of the statement of the intellectual property of the Russian Rospatenteo Rospatenteo General Information and the guideline Rospatent subpersonal and the Soviet authorities giya Rospatentent Council of Planning -Statistics of the best inventions of the Years of the Years of the Consum Academy of Education of Financial Management Democents of Patent Rights and Paying Offons of NPA (them certain provisions) containing mandatory requirements of compliance with which are carried out as part of Rospatent of the public service for certification and registration of patent attorneys of the Rubcartol and supervision in the field of legal protection and use of RIDs created at the expense of the budgetary allocations of the federal budgetary of the non -NPA (their individual provisions) containing mandatory requirements, assessment of compliance with compliance which is carried out as part of the control and supervision in the field of legal protection and use of military special and double -purpose RIDs of the NPA (their individual provisions) containing mandatory requirements of the compliance with which is carried out as part of the control and supervision of legal protection and use of civil purposes of the NPA (their individuals provisions) containing mandatory requirements of compliance with which are carried out within the framework of Rospatent of the authority of the founder of educational organizations, international cooperation, regional cooperation of the law enforcement of law enforcement practice, appeal patenting a state-state patent fund for corruption of a webrallicentenes and contractual relations of the certificate of attested experts The schedule of the regulatory work of Rospatent for 2019 - 2023 scientific and educational organizations accredited as organizations that can conduct a preliminary information search and preliminary assessment of the patent capacity of inventions and useful models of the NPA (their separate provisions) containing mandatory requirements for the assessment of compliance with which are carried out by the Rospatent of the public service for the accreditation of scientific and educational organizations of the consumption of intellectual property of the following или перехода исключительного праваПродление прекращение и восстановление правовой охраныВнесение изменений в государственные реестрыПризнание товарного знака общеизвестным в РФПубликация решений судовАттестация и регистрация патентных поверенных РФАккредитация научных и образовательных организаций в качестве организаций которые могут проводить предварительный информационный поиск и предварительную оценку патентоспособности изобретений и полезных моделейДокументы и формыДокументы и формыДокументыФормы Documentation and service -information and service -information resources Rospatientative reception of open -open data from the Platformanalytic Platformanalytic Paneliculator of Patent and Other Payment for the payment of Patent Duhniysk Paypoles of the House of Patent Rossiral Multimediaglossarios. Reference consultations on topical issues of users from intellectual property security for contact contacts of phones to provide consultations and certificate services for the statement 19 Documentary -Patent attorneys for frequently asked questions of the Russian government, Russian -General Information and the leadership of the Rospatent -propelled Undercontrollation institutions of the college and deliberative college of the Rospatenti -Planning Reporting Reports of the best inventions of the years of the year Patent right -handed pentilers and payment attorneys of the NPA (their individual provisions) containing mandatory requirements for compliance with which are carried out as part of Rospatent of the public certification service and the registration of patent attorneys of the Rubontrol and supervision in the field of legal protection and the use of RIDs created by the budget allocations of the federal budgetary of the NPA (their individual provisions) containing mandatory requirements of the compliance with which are carried out as part of the control and supervision of legal protection and use of the military special and double the appointment of the LPU (their individual provisions) containing mandatory requirements for compliance with which is carried out as part of control and supervision in the field of legal protection and use of civil purposes of the NPA (their individual provisions) containing mandatory requirements for compliance with which is carried out by the execution of the authority of the founder of educational organizations of the institutions of obsequious cooperation Cooperation of the Supervisory Practitioner of the Law Enforcement Practical Practice Purchase Plane Patent of the Patent Fund Fundation of the Corruption Conference of the Webranial Corruption and Contractual Relations between the certified experts of the regulatory work of Rospatent for 2019-2023 Scientific and educational organizations accredited Conduct a preliminary information search and preliminary assessment of the patentability of inventions and useful models NPA (their separate provisions) containing mandatory requirements for compliance with which is carried out as part of Rospatent of the public service for the accreditation of scientific and educational organizations of the intellectual property of intellectual property, the application with the documents Application of the disposal or transition of exclusive right -handed termination and restoration of legal protection to state registration of the trademark as well -known in the Russian Federation publication decisions of navigation and registration of patent attorneys Rfakcreditation of scientific and educational organizations as organizations that can carry out preliminary information search and preliminary assessment of the patent capacity of inventions and useful models and forms of documentation and service -information resources of the Federal -Penettestive Record -opened reporting Platformalcalcalcalcalcalcalcalk Patent and other departure for the payment of a patent deduct for Paying Paypois. Chambers on Patent Patent Brands of Russia-Multimedimediaglossariya-frequently asked form-consulting issues of consultation on relevant issues of users of the intellectual property of telephones to provide consultations and certificates of the Russian Service 19th Rosspatente-General Information and the Guide Departmental institutions of the collegial and advisory authorities of the Federal Air Transport Agency of the Federal Air Transport Agency Planning -Statistics of the Great Inventions of the Years of the Years of the Couquin -Schoolbacininations of the Quality of Financial Managementing Patent Rights Paying attorneys of the NPA (their individual provisions) containing mandatory requirements for compliance with which are carried out as part of the Rospatent of the public service for certification and registration of patent attorneys of the Rubcontrol and supervision in the field of legal protection and the use of RIDs created by budget allocations of the federal budgetary transmission (their individual provisions) containing mandatory requirements of compliance with which are carried out as part of control and supervision in the field of legal protection and use of military special and double -purpose RIDs of the NPA (their individual provisions) containing mandatory requirements for compliance with which are carried out as part of the control and supervision of legal protection and use of civilian the appointment of the EPPU (their separate provisions) containing mandatory requirements for compliance with which is carried out as part of Rospatent of the authority of the founder of educational organizations by international cooperation by the regional cooperation of law enforcement of law enforcement practices of the appeal of a state -state patenting funding conferencing webinaries and contractual relations certified expert-schedule of the regulatory work of Rospatent for 2019-2023 Scientific and educational organizations accredited as organizations that can conduct a preliminary information search and preliminary assessment of the patentability of inventions and useful models of the NPA (their separate provisions) containing mandatory requirements for compliance with which are carried out by Rospatent of the public service for accreditation of scientific and educational organizations of intellectual objects ownership with documents, the application for the order or transition of exclusive right -handed to terminate and restore legal protection of changes to state registry of the trademark to be well -known to the Russian Suppest and registration of patent attorneys RFaccredation of scientific and educational organizations as organizations that may conduct a preliminary information search and preliminary evaluation Modeling and forms of documents of the document documentation and service -storage -information resources Rospatientative reception of open -open data from the City City Platformanalytic Panelicalator of Patent and Other Payment Payposysk Paypois Paypoles for Patent Rossiyal Brands of Russia -Multimediaglary -Removement. Form of feedback from an some kind of consultation on topical issues of users of the intellectual property of intellectual property of contacts of phones to provide consultations and certificates of the Service of the Teek : Rospatent stimulates the creation and commercialization of developments on November 10, 2023 20: 00na, the site of the contest “My Country - My Russia” discussed the issues of protecting intellectual property on November 9, 2023 20: 00ure tooths: intellectual property becomes more and more an economic asset and object of investment on November 7, 2023 18: 09 how to submit an application through EPGU: the most relevant information on changes in the procedures for obtaining public services of Rospatent November 7, 2023 10: 20 RESPETEN Opened the exposition of regional brands on November 4, 2023 08: 00 Sumyanieneevebinar WIS: Marrakesh agreement Stevbinar VIS: Transition to the National Phazuema of Users of the RST! - Help make our services even more convenient and more accessible to the candidates for patent attorneys! On October 27, 2023, a meeting of the qualification commission of Rospatentialog VIS was held: the indigenous peoples of cultural expressions and modographic examinations for certification of patent attorneys of the Russian Federation for 2024 on the dynamics of patenting in the RFU on June 29, individuals will be able to register commercial signature and accessibility of public services by the Rospatrodentacalendary14 - November 16 - November 16 - November 16 - November 16 - November 16 - November 16 - November 16 - November 16 - November 16 2023. VI Professor Forum "Science and Education as the basis of the development of Russia. Personnel for an innovative economy" (Moscow) November 14, 2023. Round table: "The introduction of artificial intelligence technology in business and the state as the main trend of 2024-2030" (Moscow) November 16 - 17, 2023. The All -Russian Forum of young inventors (V. Novgorod) November 16, 2023. "Forum of artificial intelligence ethics: generation GPT. Red lines: https://www.aiethic.ru/". The ceremony of joining organizations to the Ethics Code in the field of artificial intelligence. (Moscow) November 20-21, 2023. Fair of food and healthcare products (Moscow) on November 21-24, 2023. XXIII International Scientific and Practical Conference "Kutafin Readings" of Moscow State Law University named after O.E. Kutafina (MGUA Moscow) November 24, 2023. The award ceremony of the First Russian Prize IP Russia Awards 2023 (Moscow) on November 28 - 30, 2023. III Congress of young scientists. The final of the All -Russian Competition of the Warrior "Inventor of the Year" (Sochi Science and Art Park "Sirius" Federal Territory "Sirius") November 29, 2023. A meeting of the Academic Council of the Federal Institute of Industrial Property (Moscow) on December 5 - 7, 2023. Another meeting of the administrative council of the Eurasian Patent Organization (AC EAPO) (Moscow) December 6, 2023. II Eurasian Intellectual Property Conference and Technologies "IP Eurasia/IP India*2023" (Moscow) December 7, 2023. XXXII International Scientific and Practical Conference "Media Law-2023" (UNESCO Department for the author The right of the related cultural and information rights of the Higher School of Economics Moscow) Patent Nedikak new technologies help control the unmanned vehicle safe? November 10, 2023 14: 03 Press on Rospatentenosta: Rospatent refuted the “confiscation” of the trademarks of Sberbank and Kalashnikov on November 3, 2023 14: 04vs News Patent of the Week Calendar Press on RospatentrssSS to the subscription page is there a problem with intellectual property protection? Report to Rospatent to write an invention-male modeling modeling signal sign of the name of the place of origin of the Production Product for euchasia of the data of the integral microcircuits of intellectual property of intellectual property and samples of filling the penta and other dedication forms to pay for the patent duty -bylgotypois payments received by the Federal Penitentiary Patient Patent Patent Patent Pathetical Persons. Patent disputes of objections and statements in the Patent Patent Patent Planning Practical Practical Practical Practice (NMPT) Pre -trial appeal of the Information Resources Conducting Conductive Experts of the certified experts on frequently asked issues (FAQ) consultations on relevant issues on the site of the site on the site of the service -state registration of the invention and the issuance of a patent for The invention of his duplicate registration of the trademark of the trademark of the collective pronoun is a state -state registration of a utility model and the issuance of a patent for a useful model its duplicate registration of an industrial design and the issuance of a patent for an industrial design of its duplicate registration of a program for electronic computing machines or databases of a given indication with applications for a geographical indication of the place of origin Productive registration of an order on the agreement of the exclusive right to a trademark of the validity of the patenting of the patenting of the patenting of the state registers of the inventions of useful models of industrial models of the Russian Federation to the state registers of trademarks of geographical indications of the names of places of origin of the goods are listed of well -known TK and also in the certificate. The transformation of the collective sign into a trademark and the defense of the scientific and educational organizations as organizations that can conduct a preliminary information search and preliminary assessment of the patentability of inventions and useful model information reports on the submission of documents in electronic form by the representative of the Service of the Service Service of the Service of the Control Service and Supervision in the Sphere of Legal Protection and Use Protection of the interests of the state in relation to the RID VSD -national cooperation • The PCT system • Madrid system • The Hague system • PPh -regional cooperation of corruption of the federal budget for income and expenditures Proper institutions of the Industrial Property Academy of Intellectual Property Academy of Intellectual Property Agency Legal protection of the results of intellectual activity of a military special and dual purpose of open -open Rospatentrospatent In the system, open government, opened data from the Rospatentent Council for the quality of the quality of the financial management of the financial management of the Kupkupkukokos-Service 83-fyshealization of the Government of the Russian Federation No. 1722 are references. Gosmonitoring -Control map of the site179tys. submitted applications2 510 -patent attorneys2 296 employees of26Electronic service, a public declaration of goals and objectives for 2023 God -public declaration of goals and objectives for 2022 Godstastic of the current security documents100 of the best inventions of the Russian -General Report Rospatententenarpatent launched a new digital platform on March29, 2022 15: 00vs of the accentuate of the latest renewal. Pages: 05/26/2022 12: 33VS updating the Service Service +7 (499) 240-6015rospatent@rospatent.gov.ru Consultations on general issues+7 (499) 240-5842Fips@rupto.ru Citizenship-Electronic Form of Message Strategic Communications+7 (495) 531-6696PRCTO.RU admission and consideration of citizens' appeals+7 (495) 531-6650 Prophetic Institutional Institute of Industrial Property Property Academy of Intellectual Property Federal Agency for the Legal Protection of the Results of Military Special and Double Purpose of the Resistance of Tuismaders Systems Systems Systems Council Crowned recyclable dialogs of the formlifting mare, the Great -Great -Block -Verkhinvide -Khlokchanvide -Kholkhonalic -conferences -conferences of the Authorchimedkazanlegalagalaegalaegalaegalaegalaegalaelectron submitted international cooperation cooperation transformation -b and pre -nyefref -industry -industrial instructions 2012-2023 Rospatentinformation about the site Write in the technical support service of the Support-in-hand version to turn off the picture size font font font font 1.5 augered font 2 interval between letters (Kerning): Conventional Bolsheiuy.</v>
      </c>
    </row>
    <row r="325">
      <c r="A325" s="1" t="s">
        <v>1006</v>
      </c>
      <c r="B325" s="1" t="s">
        <v>1056</v>
      </c>
      <c r="D325" s="1">
        <v>17.0</v>
      </c>
      <c r="E325" s="4" t="s">
        <v>1057</v>
      </c>
      <c r="F325" s="1" t="s">
        <v>16</v>
      </c>
      <c r="I325" s="2">
        <v>1.0</v>
      </c>
      <c r="J325" s="5" t="str">
        <f>IFERROR(__xludf.DUMMYFUNCTION("GOOGLETRANSLATE(A325)"),"public services")</f>
        <v>public services</v>
      </c>
      <c r="K325" s="6" t="str">
        <f>IFERROR(__xludf.DUMMYFUNCTION("GOOGLETRANSLATE(B325)"),"Home - the regional portal of state and ...")</f>
        <v>Home - the regional portal of state and ...</v>
      </c>
      <c r="L325" s="5" t="str">
        <f>IFERROR(__xludf.DUMMYFUNCTION("GOOGLETRANSLATE(C325)"),"#VALUE!")</f>
        <v>#VALUE!</v>
      </c>
      <c r="M325" s="5" t="str">
        <f>IFERROR(__xludf.DUMMYFUNCTION("GOOGLETRANSLATE(G325)"),"#VALUE!")</f>
        <v>#VALUE!</v>
      </c>
    </row>
    <row r="326">
      <c r="A326" s="1" t="s">
        <v>1006</v>
      </c>
      <c r="B326" s="1" t="s">
        <v>1058</v>
      </c>
      <c r="C326" s="1" t="s">
        <v>1059</v>
      </c>
      <c r="D326" s="1">
        <v>18.0</v>
      </c>
      <c r="E326" s="4" t="s">
        <v>1060</v>
      </c>
      <c r="F326" s="1" t="s">
        <v>16</v>
      </c>
      <c r="G326" s="1" t="s">
        <v>1061</v>
      </c>
      <c r="H326" s="4" t="s">
        <v>1062</v>
      </c>
      <c r="I326" s="2">
        <v>1.0</v>
      </c>
      <c r="J326" s="5" t="str">
        <f>IFERROR(__xludf.DUMMYFUNCTION("GOOGLETRANSLATE(A326)"),"public services")</f>
        <v>public services</v>
      </c>
      <c r="K326" s="6" t="str">
        <f>IFERROR(__xludf.DUMMYFUNCTION("GOOGLETRANSLATE(B326)"),"Personal office of citizens of the Kemerovo region")</f>
        <v>Personal office of citizens of the Kemerovo region</v>
      </c>
      <c r="L326" s="5" t="str">
        <f>IFERROR(__xludf.DUMMYFUNCTION("GOOGLETRANSLATE(C326)"),"Entrance through the public service account is available only for parents, for students the opportunity will be added later. To come in. Enter through public services · Registration. Problems ...")</f>
        <v>Entrance through the public service account is available only for parents, for students the opportunity will be added later. To come in. Enter through public services · Registration. Problems ...</v>
      </c>
      <c r="M326" s="5" t="str">
        <f>IFERROR(__xludf.DUMMYFUNCTION("GOOGLETRANSLATE(G326)"),"Personal cabinet of citizens of the Kemerovo region of the wire*was made in Kuzbass ** for Kuzbass password? Possibilities of the service submitting applications for registering and enrolling children in educational institutions implementing the basic gen"&amp;"eral educational program of preschool education (kindergartens) Monitoring the movement of the queue in kindergarten submitting applications for enrolling children in educational institutions implementing the basic general educational program (school) Mon"&amp;"itoring the current and final academic performance child control of the attendance of a child of an educational institution. Obtaining relevant school news Communication with employees of an educational institution (school) submitting applications for enr"&amp;"olling children in educational institutions implementing an additional general educational program submitting an application for a certificate of personified financing, the formation of a portfolio of a student how to access the service access to the serv"&amp;"ice “Personal The office of a citizen of the Kemerovo region ”is carried out in one of two ways: with the help of a login and password received when putting a child to a queue in a kindergarten during personal reception. For students and their parents, lo"&amp;"gin/password must be obtained at school. Using the account of a unified identification and authentication system (ESIA) - details of access used for authorization on a single portal of state and municipal services. Navigator of additional education of Kuz"&amp;"bass children go to the navigator")</f>
        <v>Personal cabinet of citizens of the Kemerovo region of the wire*was made in Kuzbass ** for Kuzbass password? Possibilities of the service submitting applications for registering and enrolling children in educational institutions implementing the basic general educational program of preschool education (kindergartens) Monitoring the movement of the queue in kindergarten submitting applications for enrolling children in educational institutions implementing the basic general educational program (school) Monitoring the current and final academic performance child control of the attendance of a child of an educational institution. Obtaining relevant school news Communication with employees of an educational institution (school) submitting applications for enrolling children in educational institutions implementing an additional general educational program submitting an application for a certificate of personified financing, the formation of a portfolio of a student how to access the service access to the service “Personal The office of a citizen of the Kemerovo region ”is carried out in one of two ways: with the help of a login and password received when putting a child to a queue in a kindergarten during personal reception. For students and their parents, login/password must be obtained at school. Using the account of a unified identification and authentication system (ESIA) - details of access used for authorization on a single portal of state and municipal services. Navigator of additional education of Kuzbass children go to the navigator</v>
      </c>
    </row>
    <row r="327">
      <c r="A327" s="1" t="s">
        <v>1006</v>
      </c>
      <c r="B327" s="1" t="s">
        <v>1063</v>
      </c>
      <c r="C327" s="1" t="s">
        <v>1064</v>
      </c>
      <c r="D327" s="1">
        <v>3.0</v>
      </c>
      <c r="E327" s="4" t="s">
        <v>1065</v>
      </c>
      <c r="F327" s="1" t="s">
        <v>43</v>
      </c>
      <c r="G327" s="1" t="s">
        <v>120</v>
      </c>
      <c r="H327" s="4" t="s">
        <v>121</v>
      </c>
      <c r="I327" s="2">
        <v>2.0</v>
      </c>
      <c r="J327" s="5" t="str">
        <f>IFERROR(__xludf.DUMMYFUNCTION("GOOGLETRANSLATE(A327)"),"public services")</f>
        <v>public services</v>
      </c>
      <c r="K327" s="6" t="str">
        <f>IFERROR(__xludf.DUMMYFUNCTION("GOOGLETRANSLATE(B327)"),"Goshuvs - Applications on Google Play")</f>
        <v>Goshuvs - Applications on Google Play</v>
      </c>
      <c r="L327" s="5" t="str">
        <f>IFERROR(__xludf.DUMMYFUNCTION("GOOGLETRANSLATE(C327)"),"State services are a federal state information system developed by the Ministry of Digital Development, Communications and Mass Communications ...")</f>
        <v>State services are a federal state information system developed by the Ministry of Digital Development, Communications and Mass Communications ...</v>
      </c>
      <c r="M327" s="5" t="str">
        <f>IFERROR(__xludf.DUMMYFUNCTION("GOOGLETRANSLATE(G327)"),"Android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28">
      <c r="A328" s="1" t="s">
        <v>1006</v>
      </c>
      <c r="B328" s="1" t="s">
        <v>1066</v>
      </c>
      <c r="C328" s="1" t="s">
        <v>1067</v>
      </c>
      <c r="D328" s="1">
        <v>6.0</v>
      </c>
      <c r="E328" s="4" t="s">
        <v>1068</v>
      </c>
      <c r="F328" s="1" t="s">
        <v>43</v>
      </c>
      <c r="G328" s="1" t="s">
        <v>97</v>
      </c>
      <c r="H328" s="4" t="s">
        <v>98</v>
      </c>
      <c r="I328" s="2">
        <v>0.0</v>
      </c>
      <c r="J328" s="5" t="str">
        <f>IFERROR(__xludf.DUMMYFUNCTION("GOOGLETRANSLATE(A328)"),"public services")</f>
        <v>public services</v>
      </c>
      <c r="K328" s="6" t="str">
        <f>IFERROR(__xludf.DUMMYFUNCTION("GOOGLETRANSLATE(B328)"),"DOGS. DO - App Store")</f>
        <v>DOGS. DO - App Store</v>
      </c>
      <c r="L328" s="5" t="str">
        <f>IFERROR(__xludf.DUMMYFUNCTION("GOOGLETRANSLATE(C328)"),"State services. Dom-multifunctional free application for resolving housing and communal issues. The service is based on GIS housing and communal services and includes everything ...")</f>
        <v>State services. Dom-multifunctional free application for resolving housing and communal issues. The service is based on GIS housing and communal services and includes everything ...</v>
      </c>
      <c r="M328" s="5" t="str">
        <f>IFERROR(__xludf.DUMMYFUNCTION("GOOGLETRANSLATE(G328)"),"App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29">
      <c r="A329" s="1" t="s">
        <v>1006</v>
      </c>
      <c r="B329" s="1" t="s">
        <v>1013</v>
      </c>
      <c r="C329" s="1" t="s">
        <v>1069</v>
      </c>
      <c r="D329" s="1">
        <v>7.0</v>
      </c>
      <c r="E329" s="4" t="s">
        <v>1070</v>
      </c>
      <c r="F329" s="1" t="s">
        <v>43</v>
      </c>
      <c r="G329" s="1" t="s">
        <v>457</v>
      </c>
      <c r="H329" s="4" t="s">
        <v>458</v>
      </c>
      <c r="I329" s="2">
        <v>3.0</v>
      </c>
      <c r="J329" s="5" t="str">
        <f>IFERROR(__xludf.DUMMYFUNCTION("GOOGLETRANSLATE(A329)"),"public services")</f>
        <v>public services</v>
      </c>
      <c r="K329" s="6" t="str">
        <f>IFERROR(__xludf.DUMMYFUNCTION("GOOGLETRANSLATE(B329)"),"Public services")</f>
        <v>Public services</v>
      </c>
      <c r="L329" s="5" t="str">
        <f>IFERROR(__xludf.DUMMYFUNCTION("GOOGLETRANSLATE(C329)"),"Use public services in any region, with any religion, with different views and preferences. Services are available to everyone. Because Russia is one!")</f>
        <v>Use public services in any region, with any religion, with different views and preferences. Services are available to everyone. Because Russia is one!</v>
      </c>
      <c r="M329" s="5" t="str">
        <f>IFERROR(__xludf.DUMMYFUNCTION("GOOGLETRANSLATE(G329)"),"Telegram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Premi"&amp;"umOct 28Replies 2.0 Adjustable Link Previews Name Colors and MoreSep 22Stories in Channels View-Once Media and Morea new era of messagingTelegram for AndroidTelegram for iPhone / iPad  Telegram for Windows / Mac / LinuxBrowse more Telegram apps           "&amp;" Telegram for PC / Linux            Telegram for macOSRecent NewsGiveaways in Channels and Free PremiumChannel owners can now launch Giveaways to randomly distribute prizes among their followers. This is great if you want to promote your channel get new s"&amp;"ubscribers or reward existing…Nov 6 2023Replies 2.0 Adjustable Link Previews Name Colors and MoreToday's update lets you quote specific parts of messages when replying send your replies to other chats add quote formatting to any text…Oct 28 2023Why Telegr"&amp;"am?SimpleTelegram is so simple you already know how to use it.PrivateTelegram messages are heavily encrypted and can self-destruct.SyncedTelegram lets you access your chats from multiple devices.FastTelegram delivers messages faster than any other applica"&amp;"tion.PowerfulTelegram has no limits on the size of your media and chats.OpenTelegram has an open API and source code free for everyone.SecureTelegram keeps your messages safe from hacker attacks.SocialTelegram groups can hold up to 200000 members.Expressi"&amp;"veTelegram lets you completely customize your messenger.Telegram      Telegram is a cloud-based mobile and desktop messaging app with a focus on security and speed.    AboutFAQPrivacyPressMobile AppsiPhone/iPadAndroidMobile WebDesktop AppsPC/Mac/LinuxmacO"&amp;"SWeb-browserPlatformAPITranslationsInstant ViewAboutBlogAppsPlatformPress")</f>
        <v>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v>
      </c>
    </row>
    <row r="330">
      <c r="A330" s="1" t="s">
        <v>1006</v>
      </c>
      <c r="B330" s="1" t="s">
        <v>1071</v>
      </c>
      <c r="D330" s="1">
        <v>18.0</v>
      </c>
      <c r="E330" s="4" t="s">
        <v>1072</v>
      </c>
      <c r="F330" s="1" t="s">
        <v>43</v>
      </c>
      <c r="I330" s="2">
        <v>1.0</v>
      </c>
      <c r="J330" s="5" t="str">
        <f>IFERROR(__xludf.DUMMYFUNCTION("GOOGLETRANSLATE(A330)"),"public services")</f>
        <v>public services</v>
      </c>
      <c r="K330" s="6" t="str">
        <f>IFERROR(__xludf.DUMMYFUNCTION("GOOGLETRANSLATE(B330)"),"Portal of public services - St. Petersburg. Public services")</f>
        <v>Portal of public services - St. Petersburg. Public services</v>
      </c>
      <c r="L330" s="5" t="str">
        <f>IFERROR(__xludf.DUMMYFUNCTION("GOOGLETRANSLATE(C330)"),"#VALUE!")</f>
        <v>#VALUE!</v>
      </c>
      <c r="M330" s="5" t="str">
        <f>IFERROR(__xludf.DUMMYFUNCTION("GOOGLETRANSLATE(G330)"),"#VALUE!")</f>
        <v>#VALUE!</v>
      </c>
    </row>
    <row r="331">
      <c r="A331" s="1" t="s">
        <v>1006</v>
      </c>
      <c r="B331" s="1" t="s">
        <v>1073</v>
      </c>
      <c r="C331" s="1" t="s">
        <v>1074</v>
      </c>
      <c r="D331" s="1">
        <v>30.0</v>
      </c>
      <c r="E331" s="4" t="s">
        <v>1075</v>
      </c>
      <c r="F331" s="1" t="s">
        <v>43</v>
      </c>
      <c r="G331" s="1" t="s">
        <v>27</v>
      </c>
      <c r="H331" s="4" t="s">
        <v>28</v>
      </c>
      <c r="I331" s="2">
        <v>1.0</v>
      </c>
      <c r="J331" s="5" t="str">
        <f>IFERROR(__xludf.DUMMYFUNCTION("GOOGLETRANSLATE(A331)"),"public services")</f>
        <v>public services</v>
      </c>
      <c r="K331" s="6" t="str">
        <f>IFERROR(__xludf.DUMMYFUNCTION("GOOGLETRANSLATE(B331)"),"Gosuslugi")</f>
        <v>Gosuslugi</v>
      </c>
      <c r="L331" s="5" t="str">
        <f>IFERROR(__xludf.DUMMYFUNCTION("GOOGLETRANSLATE(C331)"),"The Federal State Information System ""Unified Portal of State and Municipal Services (Functions)"", commonly referred to as Gosuslugi (Russian: Госуслуги) is ...")</f>
        <v>The Federal State Information System "Unified Portal of State and Municipal Services (Functions)", commonly referred to as Gosuslugi (Russian: Госуслуги) is ...</v>
      </c>
      <c r="M331" s="5" t="str">
        <f>IFERROR(__xludf.DUMMYFUNCTION("GOOGLETRANSLATE(G331)"),"Wikipedia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332">
      <c r="A332" s="1" t="s">
        <v>1076</v>
      </c>
      <c r="B332" s="1" t="s">
        <v>1077</v>
      </c>
      <c r="C332" s="1" t="s">
        <v>1078</v>
      </c>
      <c r="D332" s="1">
        <v>1.0</v>
      </c>
      <c r="E332" s="4" t="s">
        <v>1079</v>
      </c>
      <c r="F332" s="1" t="s">
        <v>43</v>
      </c>
      <c r="G332" s="1" t="s">
        <v>1080</v>
      </c>
      <c r="H332" s="4" t="s">
        <v>1081</v>
      </c>
      <c r="I332" s="2">
        <v>-1.0</v>
      </c>
      <c r="J332" s="5" t="str">
        <f>IFERROR(__xludf.DUMMYFUNCTION("GOOGLETRANSLATE(A332)"),"Google")</f>
        <v>Google</v>
      </c>
      <c r="K332" s="6" t="str">
        <f>IFERROR(__xludf.DUMMYFUNCTION("GOOGLETRANSLATE(B332)"),"Google")</f>
        <v>Google</v>
      </c>
      <c r="L332" s="5" t="str">
        <f>IFERROR(__xludf.DUMMYFUNCTION("GOOGLETRANSLATE(C332)"),"Search the world's information, including webpages, images, videos and more. Google has many special features to help you find exactly what you're looking ...")</f>
        <v>Search the world's information, including webpages, images, videos and more. Google has many special features to help you find exactly what you're looking ...</v>
      </c>
      <c r="M332" s="5" t="str">
        <f>IFERROR(__xludf.DUMMYFUNCTION("GOOGLETRANSLATE(G332)"),"GoogleSearchImagesMapsPlayYouTubeNewsGmailDriveMoreCalendarTranslateMobileBooksShoppingBloggerFinancePhotosDocsEven more »Account OptionsSign inSearch settingsWeb History Advanced searchLearn how Google supports veteransGoogle offered in:  ������� Adverti"&amp;"singBusiness SolutionsAbout GoogleGoogle.com© 2023 - Privacy - Terms")</f>
        <v>GoogleSearchImagesMapsPlayYouTubeNewsGmailDriveMoreCalendarTranslateMobileBooksShoppingBloggerFinancePhotosDocsEven more »Account OptionsSign inSearch settingsWeb History Advanced searchLearn how Google supports veteransGoogle offered in:  ������� AdvertisingBusiness SolutionsAbout GoogleGoogle.com© 2023 - Privacy - Terms</v>
      </c>
    </row>
    <row r="333">
      <c r="A333" s="1" t="s">
        <v>1076</v>
      </c>
      <c r="B333" s="1" t="s">
        <v>1077</v>
      </c>
      <c r="C333" s="1" t="s">
        <v>1078</v>
      </c>
      <c r="D333" s="1">
        <v>2.0</v>
      </c>
      <c r="E333" s="4" t="s">
        <v>1082</v>
      </c>
      <c r="F333" s="1" t="s">
        <v>43</v>
      </c>
      <c r="G333" s="1" t="s">
        <v>328</v>
      </c>
      <c r="H333" s="4" t="s">
        <v>329</v>
      </c>
      <c r="I333" s="2">
        <v>-1.0</v>
      </c>
      <c r="J333" s="5" t="str">
        <f>IFERROR(__xludf.DUMMYFUNCTION("GOOGLETRANSLATE(A333)"),"Google")</f>
        <v>Google</v>
      </c>
      <c r="K333" s="6" t="str">
        <f>IFERROR(__xludf.DUMMYFUNCTION("GOOGLETRANSLATE(B333)"),"Google")</f>
        <v>Google</v>
      </c>
      <c r="L333" s="5" t="str">
        <f>IFERROR(__xludf.DUMMYFUNCTION("GOOGLETRANSLATE(C333)"),"Search the world's information, including webpages, images, videos and more. Google has many special features to help you find exactly what you're looking ...")</f>
        <v>Search the world's information, including webpages, images, videos and more. Google has many special features to help you find exactly what you're looking ...</v>
      </c>
      <c r="M333" s="5" t="str">
        <f>IFERROR(__xludf.DUMMYFUNCTION("GOOGLETRANSLATE(G333)"),"GoogleSearchImagesMapsPlayYouTubeNewsGmailDriveMoreCalendarTranslateMobileBooksShoppingBloggerFinancePhotosDocsEven more »Account OptionsSign inSearch settingsWeb History Advanced searchLearn how Google supports veteransAdvertisingBusiness SolutionsAbout "&amp;"Google© 2023 - Privacy - Terms")</f>
        <v>GoogleSearchImagesMapsPlayYouTubeNewsGmailDriveMoreCalendarTranslateMobileBooksShoppingBloggerFinancePhotosDocsEven more »Account OptionsSign inSearch settingsWeb History Advanced searchLearn how Google supports veteransAdvertisingBusiness SolutionsAbout Google© 2023 - Privacy - Terms</v>
      </c>
    </row>
    <row r="334">
      <c r="A334" s="1" t="s">
        <v>1076</v>
      </c>
      <c r="B334" s="1" t="s">
        <v>325</v>
      </c>
      <c r="C334" s="1" t="s">
        <v>1083</v>
      </c>
      <c r="D334" s="1">
        <v>3.0</v>
      </c>
      <c r="E334" s="4" t="s">
        <v>327</v>
      </c>
      <c r="F334" s="1" t="s">
        <v>43</v>
      </c>
      <c r="G334" s="1" t="s">
        <v>328</v>
      </c>
      <c r="H334" s="4" t="s">
        <v>329</v>
      </c>
      <c r="I334" s="2">
        <v>-1.0</v>
      </c>
      <c r="J334" s="5" t="str">
        <f>IFERROR(__xludf.DUMMYFUNCTION("GOOGLETRANSLATE(A334)"),"Google")</f>
        <v>Google</v>
      </c>
      <c r="K334" s="6" t="str">
        <f>IFERROR(__xludf.DUMMYFUNCTION("GOOGLETRANSLATE(B334)"),"Account")</f>
        <v>Account</v>
      </c>
      <c r="L334" s="5" t="str">
        <f>IFERROR(__xludf.DUMMYFUNCTION("GOOGLETRANSLATE(C334)"),"In your Google Account, you can see and manage your info, activity, security options, and privacy preferences to make Google work better for you.")</f>
        <v>In your Google Account, you can see and manage your info, activity, security options, and privacy preferences to make Google work better for you.</v>
      </c>
      <c r="M334" s="5" t="str">
        <f>IFERROR(__xludf.DUMMYFUNCTION("GOOGLETRANSLATE(G334)"),"GoogleSearchImagesMapsPlayYouTubeNewsGmailDriveMoreCalendarTranslateMobileBooksShoppingBloggerFinancePhotosDocsEven more »Account OptionsSign inSearch settingsWeb History Advanced searchLearn how Google supports veteransAdvertisingBusiness SolutionsAbout "&amp;"Google© 2023 - Privacy - Terms")</f>
        <v>GoogleSearchImagesMapsPlayYouTubeNewsGmailDriveMoreCalendarTranslateMobileBooksShoppingBloggerFinancePhotosDocsEven more »Account OptionsSign inSearch settingsWeb History Advanced searchLearn how Google supports veteransAdvertisingBusiness SolutionsAbout Google© 2023 - Privacy - Terms</v>
      </c>
    </row>
    <row r="335">
      <c r="A335" s="1" t="s">
        <v>1076</v>
      </c>
      <c r="B335" s="1" t="s">
        <v>1084</v>
      </c>
      <c r="C335" s="1" t="s">
        <v>1085</v>
      </c>
      <c r="D335" s="1">
        <v>4.0</v>
      </c>
      <c r="E335" s="4" t="s">
        <v>1086</v>
      </c>
      <c r="F335" s="1" t="s">
        <v>43</v>
      </c>
      <c r="G335" s="1" t="s">
        <v>1087</v>
      </c>
      <c r="H335" s="4" t="s">
        <v>1088</v>
      </c>
      <c r="I335" s="2">
        <v>-1.0</v>
      </c>
      <c r="J335" s="5" t="str">
        <f>IFERROR(__xludf.DUMMYFUNCTION("GOOGLETRANSLATE(A335)"),"Google")</f>
        <v>Google</v>
      </c>
      <c r="K335" s="6" t="str">
        <f>IFERROR(__xludf.DUMMYFUNCTION("GOOGLETRANSLATE(B335)"),"Google Translate")</f>
        <v>Google Translate</v>
      </c>
      <c r="L335" s="5" t="str">
        <f>IFERROR(__xludf.DUMMYFUNCTION("GOOGLETRANSLATE(C335)"),"The free Google service allows you to instantly translate words, phrases and web pages. More than 100 languages ​​are supported.")</f>
        <v>The free Google service allows you to instantly translate words, phrases and web pages. More than 100 languages ​​are supported.</v>
      </c>
      <c r="M335" s="5" t="str">
        <f>IFERROR(__xludf.DUMMYFUNCTION("GOOGLETRANSLATE(G335)"),"Google TranslateTranslateSettings SettingsVoice speedNormalTestSlowTestSlowerTestSign inTranslateAbout Google TranslatePrivacy &amp; TermsHelpSend feedbackAbout GoogleTranslation typesTextImagesDocumentsWebsitesText translationDetect languageDetect languageEn"&amp;"glishSpanishFrenchswap_horizSwap languages (Ctrl+Shift+S)EnglishEnglishSpanishArabicClose pickerTranslate fromsearchSearch languagescloseClose pickerClose searchclearClear search textcheckhistoryDetect languageauto_awesomeRecent languagesAll languageschec"&amp;"khistoryAfrikaanscheckhistoryAlbaniancheckhistoryAmhariccheckhistoryArabiccheckhistoryArmeniancheckhistoryAssamesecheckhistoryAymaracheckhistoryAzerbaijanicheckhistoryBambaracheckhistoryBasquecheckhistoryBelarusiancheckhistoryBengalicheckhistoryBhojpurich"&amp;"eckhistoryBosniancheckhistoryBulgariancheckhistoryCatalancheckhistoryCebuanocheckhistoryChichewacheckhistoryChinese (Simplified)checkhistoryChinese (Traditional)checkhistoryCorsicancheckhistoryCroatiancheckhistoryCzechcheckhistoryDanishcheckhistoryDhivehi"&amp;"checkhistoryDogricheckhistoryDutchcheckhistoryEnglishcheckhistoryEsperantocheckhistoryEstoniancheckhistoryEwecheckhistoryFilipinocheckhistoryFinnishcheckhistoryFrenchcheckhistoryFrisiancheckhistoryGaliciancheckhistoryGeorgiancheckhistoryGermancheckhistory"&amp;"GreekcheckhistoryGuaranicheckhistoryGujaraticheckhistoryHaitian CreolecheckhistoryHausacheckhistoryHawaiiancheckhistoryHebrewcheckhistoryHindicheckhistoryHmongcheckhistoryHungariancheckhistoryIcelandiccheckhistoryIgbocheckhistoryIlocanocheckhistoryIndones"&amp;"iancheckhistoryIrishcheckhistoryItaliancheckhistoryJapanesecheckhistoryJavanesecheckhistoryKannadacheckhistoryKazakhcheckhistoryKhmercheckhistoryKinyarwandacheckhistoryKonkanicheckhistoryKoreancheckhistoryKriocheckhistoryKurdish (Kurmanji)checkhistoryKurd"&amp;"ish (Sorani)checkhistoryKyrgyzcheckhistoryLaocheckhistoryLatincheckhistoryLatviancheckhistoryLingalacheckhistoryLithuaniancheckhistoryLugandacheckhistoryLuxembourgishcheckhistoryMacedoniancheckhistoryMaithilicheckhistoryMalagasycheckhistoryMalaycheckhisto"&amp;"ryMalayalamcheckhistoryMaltesecheckhistoryMaoricheckhistoryMarathicheckhistoryMeiteilon (Manipuri)checkhistoryMizocheckhistoryMongoliancheckhistoryMyanmar (Burmese)checkhistoryNepalicheckhistoryNorwegiancheckhistoryOdia (Oriya)checkhistoryOromocheckhistor"&amp;"yPashtocheckhistoryPersiancheckhistoryPolishcheckhistoryPortuguesecheckhistoryPunjabicheckhistoryQuechuacheckhistoryRomaniancheckhistoryRussiancheckhistorySamoancheckhistorySanskritcheckhistoryScots GaeliccheckhistorySepedicheckhistorySerbiancheckhistoryS"&amp;"esothocheckhistoryShonacheckhistorySindhicheckhistorySinhalacheckhistorySlovakcheckhistorySloveniancheckhistorySomalicheckhistorySpanishcheckhistorySundanesecheckhistorySwahilicheckhistorySwedishcheckhistoryTajikcheckhistoryTamilcheckhistoryTatarcheckhist"&amp;"oryTelugucheckhistoryThaicheckhistoryTigrinyacheckhistoryTsongacheckhistoryTurkishcheckhistoryTurkmencheckhistoryTwicheckhistoryUkrainiancheckhistoryUrducheckhistoryUyghurcheckhistoryUzbekcheckhistoryVietnamesecheckhistoryWelshcheckhistoryXhosacheckhistor"&amp;"yYiddishcheckhistoryYorubacheckhistoryZuluClose pickerTranslate tosearchSearch languagescloseClose pickerClose searchclearClear search textRecent languagesAll languagescheckhistoryAfrikaanscheckhistoryAlbaniancheckhistoryAmhariccheckhistoryArabiccheckhist"&amp;"oryArmeniancheckhistoryAssamesecheckhistoryAymaracheckhistoryAzerbaijanicheckhistoryBambaracheckhistoryBasquecheckhistoryBelarusiancheckhistoryBengalicheckhistoryBhojpuricheckhistoryBosniancheckhistoryBulgariancheckhistoryCatalancheckhistoryCebuanocheckhi"&amp;"storyChichewacheckhistoryChinese (Simplified)checkhistoryChinese (Traditional)checkhistoryCorsicancheckhistoryCroatiancheckhistoryCzechcheckhistoryDanishcheckhistoryDhivehicheckhistoryDogricheckhistoryDutchcheckhistoryEnglishcheckhistoryEsperantocheckhist"&amp;"oryEstoniancheckhistoryEwecheckhistoryFilipinocheckhistoryFinnishcheckhistoryFrenchcheckhistoryFrisiancheckhistoryGaliciancheckhistoryGeorgiancheckhistoryGermancheckhistoryGreekcheckhistoryGuaranicheckhistoryGujaraticheckhistoryHaitian CreolecheckhistoryH"&amp;"ausacheckhistoryHawaiiancheckhistoryHebrewcheckhistoryHindicheckhistoryHmongcheckhistoryHungariancheckhistoryIcelandiccheckhistoryIgbocheckhistoryIlocanocheckhistoryIndonesiancheckhistoryIrishcheckhistoryItaliancheckhistoryJapanesecheckhistoryJavanesechec"&amp;"khistoryKannadacheckhistoryKazakhcheckhistoryKhmercheckhistoryKinyarwandacheckhistoryKonkanicheckhistoryKoreancheckhistoryKriocheckhistoryKurdish (Kurmanji)checkhistoryKurdish (Sorani)checkhistoryKyrgyzcheckhistoryLaocheckhistoryLatincheckhistoryLatvianch"&amp;"eckhistoryLingalacheckhistoryLithuaniancheckhistoryLugandacheckhistoryLuxembourgishcheckhistoryMacedoniancheckhistoryMaithilicheckhistoryMalagasycheckhistoryMalaycheckhistoryMalayalamcheckhistoryMaltesecheckhistoryMaoricheckhistoryMarathicheckhistoryMeite"&amp;"ilon (Manipuri)checkhistoryMizocheckhistoryMongoliancheckhistoryMyanmar (Burmese)checkhistoryNepalicheckhistoryNorwegiancheckhistoryOdia (Oriya)checkhistoryOromocheckhistoryPashtocheckhistoryPersiancheckhistoryPolishcheckhistoryPortuguesecheckhistoryPunja"&amp;"bicheckhistoryQuechuacheckhistoryRomaniancheckhistoryRussiancheckhistorySamoancheckhistorySanskritcheckhistoryScots GaeliccheckhistorySepedicheckhistorySerbiancheckhistorySesothocheckhistoryShonacheckhistorySindhicheckhistorySinhalacheckhistorySlovakcheck"&amp;"historySloveniancheckhistorySomalicheckhistorySpanishcheckhistorySundanesecheckhistorySwahilicheckhistorySwedishcheckhistoryTajikcheckhistoryTamilcheckhistoryTatarcheckhistoryTelugucheckhistoryThaicheckhistoryTigrinyacheckhistoryTsongacheckhistoryTurkishc"&amp;"heckhistoryTurkmencheckhistoryTwicheckhistoryUkrainiancheckhistoryUrducheckhistoryUyghurcheckhistoryUzbekcheckhistoryVietnamesecheckhistoryWelshcheckhistoryXhosacheckhistoryYiddishcheckhistoryYorubacheckhistoryZuluGetting translation...May contain sensiti"&amp;"ve languageMay contain disputed languageMay contain sensitive and disputed languageLearn moreDismissSource textclearClear source textShow moreShow lessVoice input isn't supported on this browserBusy...Translate by voiceLoading...Listen0 / 5000Loading...Tu"&amp;"rn on HandwritingSelect Input ToolkeyboardTranslation resultsTranslationTranslating...Translations are gender-specific. Learn moreSome sentences may contain gender-specific alternatives. Click a sentence to see alternatives. Learn moreGender-specific tran"&amp;"slations are limited. Learn moreerror_outlineTranslation errorTry againDocument translationDetect languageDetect languageEnglishSpanishFrenchswap_horizSwap languages (Ctrl+Shift+S)EnglishEnglishSpanishArabicClose pickerTranslate fromsearchSearch languages"&amp;"closeClose pickerClose searchclearClear search textcheckhistoryDetect languageauto_awesomeRecent languagesAll languagescheckhistoryAfrikaanscheckhistoryAlbaniancheckhistoryAmhariccheckhistoryArabiccheckhistoryArmeniancheckhistoryAssamesecheckhistoryAymara"&amp;"checkhistoryAzerbaijanicheckhistoryBambaracheckhistoryBasquecheckhistoryBelarusiancheckhistoryBengalicheckhistoryBhojpuricheckhistoryBosniancheckhistoryBulgariancheckhistoryCatalancheckhistoryCebuanocheckhistoryChichewacheckhistoryChinese (Simplified)chec"&amp;"khistoryChinese (Traditional)checkhistoryCorsicancheckhistoryCroatiancheckhistoryCzechcheckhistoryDanishcheckhistoryDhivehicheckhistoryDogricheckhistoryDutchcheckhistoryEnglishcheckhistoryEsperantocheckhistoryEstoniancheckhistoryEwecheckhistoryFilipinoche"&amp;"ckhistoryFinnishcheckhistoryFrenchcheckhistoryFrisiancheckhistoryGaliciancheckhistoryGeorgiancheckhistoryGermancheckhistoryGreekcheckhistoryGuaranicheckhistoryGujaraticheckhistoryHaitian CreolecheckhistoryHausacheckhistoryHawaiiancheckhistoryHebrewcheckhi"&amp;"storyHindicheckhistoryHmongcheckhistoryHungariancheckhistoryIcelandiccheckhistoryIgbocheckhistoryIlocanocheckhistoryIndonesiancheckhistoryIrishcheckhistoryItaliancheckhistoryJapanesecheckhistoryJavanesecheckhistoryKannadacheckhistoryKazakhcheckhistoryKhme"&amp;"rcheckhistoryKinyarwandacheckhistoryKonkanicheckhistoryKoreancheckhistoryKriocheckhistoryKurdish (Kurmanji)checkhistoryKurdish (Sorani)checkhistoryKyrgyzcheckhistoryLaocheckhistoryLatincheckhistoryLatviancheckhistoryLingalacheckhistoryLithuaniancheckhisto"&amp;"ryLugandacheckhistoryLuxembourgishcheckhistoryMacedoniancheckhistoryMaithilicheckhistoryMalagasycheckhistoryMalaycheckhistoryMalayalamcheckhistoryMaltesecheckhistoryMaoricheckhistoryMarathicheckhistoryMeiteilon (Manipuri)checkhistoryMizocheckhistoryMongol"&amp;"iancheckhistoryMyanmar (Burmese)checkhistoryNepalicheckhistoryNorwegiancheckhistoryOdia (Oriya)checkhistoryOromocheckhistoryPashtocheckhistoryPersiancheckhistoryPolishcheckhistoryPortuguesecheckhistoryPunjabicheckhistoryQuechuacheckhistoryRomaniancheckhis"&amp;"toryRussiancheckhistorySamoancheckhistorySanskritcheckhistoryScots GaeliccheckhistorySepedicheckhistorySerbiancheckhistorySesothocheckhistoryShonacheckhistorySindhicheckhistorySinhalacheckhistorySlovakcheckhistorySloveniancheckhistorySomalicheckhistorySpa"&amp;"nishcheckhistorySundanesecheckhistorySwahilicheckhistorySwedishcheckhistoryTajikcheckhistoryTamilcheckhistoryTatarcheckhistoryTelugucheckhistoryThaicheckhistoryTigrinyacheckhistoryTsongacheckhistoryTurkishcheckhistoryTurkmencheckhistoryTwicheckhistoryUkra"&amp;"iniancheckhistoryUrducheckhistoryUyghurcheckhistoryUzbekcheckhistoryVietnamesecheckhistoryWelshcheckhistoryXhosacheckhistoryYiddishcheckhistoryYorubacheckhistoryZuluClose pickerTranslate tosearchSearch languagescloseClose pickerClose searchclearClear sear"&amp;"ch textRecent languagesAll languagescheckhistoryAfrikaanscheckhistoryAlbaniancheckhistoryAmhariccheckhistoryArabiccheckhistoryArmeniancheckhistoryAssamesecheckhistoryAymaracheckhistoryAzerbaijanicheckhistoryBambaracheckhistoryBasquecheckhistoryBelarusianc"&amp;"heckhistoryBengalicheckhistoryBhojpuricheckhistoryBosniancheckhistoryBulgariancheckhistoryCatalancheckhistoryCebuanocheckhistoryChichewacheckhistoryChinese (Simplified)checkhistoryChinese (Traditional)checkhistoryCorsicancheckhistoryCroatiancheckhistoryCz"&amp;"echcheckhistoryDanishcheckhistoryDhivehicheckhistoryDogricheckhistoryDutchcheckhistoryEnglishcheckhistoryEsperantocheckhistoryEstoniancheckhistoryEwecheckhistoryFilipinocheckhistoryFinnishcheckhistoryFrenchcheckhistoryFrisiancheckhistoryGaliciancheckhisto"&amp;"ryGeorgiancheckhistoryGermancheckhistoryGreekcheckhistoryGuaranicheckhistoryGujaraticheckhistoryHaitian CreolecheckhistoryHausacheckhistoryHawaiiancheckhistoryHebrewcheckhistoryHindicheckhistoryHmongcheckhistoryHungariancheckhistoryIcelandiccheckhistoryIg"&amp;"bocheckhistoryIlocanocheckhistoryIndonesiancheckhistoryIrishcheckhistoryItaliancheckhistoryJapanesecheckhistoryJavanesecheckhistoryKannadacheckhistoryKazakhcheckhistoryKhmercheckhistoryKinyarwandacheckhistoryKonkanicheckhistoryKoreancheckhistoryKriocheckh"&amp;"istoryKurdish (Kurmanji)checkhistoryKurdish (Sorani)checkhistoryKyrgyzcheckhistoryLaocheckhistoryLatincheckhistoryLatviancheckhistoryLingalacheckhistoryLithuaniancheckhistoryLugandacheckhistoryLuxembourgishcheckhistoryMacedoniancheckhistoryMaithilicheckhi"&amp;"storyMalagasycheckhistoryMalaycheckhistoryMalayalamcheckhistoryMaltesecheckhistoryMaoricheckhistoryMarathicheckhistoryMeiteilon (Manipuri)checkhistoryMizocheckhistoryMongoliancheckhistoryMyanmar (Burmese)checkhistoryNepalicheckhistoryNorwegiancheckhistory"&amp;"Odia (Oriya)checkhistoryOromocheckhistoryPashtocheckhistoryPersiancheckhistoryPolishcheckhistoryPortuguesecheckhistoryPunjabicheckhistoryQuechuacheckhistoryRomaniancheckhistoryRussiancheckhistorySamoancheckhistorySanskritcheckhistoryScots Gaeliccheckhisto"&amp;"rySepedicheckhistorySerbiancheckhistorySesothocheckhistoryShonacheckhistorySindhicheckhistorySinhalacheckhistorySlovakcheckhistorySloveniancheckhistorySomalicheckhistorySpanishcheckhistorySundanesecheckhistorySwahilicheckhistorySwedishcheckhistoryTajikche"&amp;"ckhistoryTamilcheckhistoryTatarcheckhistoryTelugucheckhistoryThaicheckhistoryTigrinyacheckhistoryTsongacheckhistoryTurkishcheckhistoryTurkmencheckhistoryTwicheckhistoryUkrainiancheckhistoryUrducheckhistoryUyghurcheckhistoryUzbekcheckhistoryVietnamesecheck"&amp;"historyWelshcheckhistoryXhosacheckhistoryYiddishcheckhistoryYorubacheckhistoryZuluDrag and dropDrag and dropOr choose a fileBrowse your filesSupported file types: .docx .pdf .pptx .xlsx.   Learn moreDrop file herePowered by Google Cloud TranslationWebsite"&amp;" translationDetect languageDetect languageEnglishSpanishFrenchswap_horizSwap languages (Ctrl+Shift+S)EnglishEnglishSpanishArabicClose pickerTranslate fromsearchSearch languagescloseClose pickerClose searchclearClear search textcheckhistoryDetect languagea"&amp;"uto_awesomeRecent languagesAll languagescheckhistoryAfrikaanscheckhistoryAlbaniancheckhistoryAmhariccheckhistoryArabiccheckhistoryArmeniancheckhistoryAssamesecheckhistoryAymaracheckhistoryAzerbaijanicheckhistoryBambaracheckhistoryBasquecheckhistoryBelarus"&amp;"iancheckhistoryBengalicheckhistoryBhojpuricheckhistoryBosniancheckhistoryBulgariancheckhistoryCatalancheckhistoryCebuanocheckhistoryChichewacheckhistoryChinese (Simplified)checkhistoryChinese (Traditional)checkhistoryCorsicancheckhistoryCroatiancheckhisto"&amp;"ryCzechcheckhistoryDanishcheckhistoryDhivehicheckhistoryDogricheckhistoryDutchcheckhistoryEnglishcheckhistoryEsperantocheckhistoryEstoniancheckhistoryEwecheckhistoryFilipinocheckhistoryFinnishcheckhistoryFrenchcheckhistoryFrisiancheckhistoryGaliciancheckh"&amp;"istoryGeorgiancheckhistoryGermancheckhistoryGreekcheckhistoryGuaranicheckhistoryGujaraticheckhistoryHaitian CreolecheckhistoryHausacheckhistoryHawaiiancheckhistoryHebrewcheckhistoryHindicheckhistoryHmongcheckhistoryHungariancheckhistoryIcelandiccheckhisto"&amp;"ryIgbocheckhistoryIlocanocheckhistoryIndonesiancheckhistoryIrishcheckhistoryItaliancheckhistoryJapanesecheckhistoryJavanesecheckhistoryKannadacheckhistoryKazakhcheckhistoryKhmercheckhistoryKinyarwandacheckhistoryKonkanicheckhistoryKoreancheckhistoryKrioch"&amp;"eckhistoryKurdish (Kurmanji)checkhistoryKurdish (Sorani)checkhistoryKyrgyzcheckhistoryLaocheckhistoryLatincheckhistoryLatviancheckhistoryLingalacheckhistoryLithuaniancheckhistoryLugandacheckhistoryLuxembourgishcheckhistoryMacedoniancheckhistoryMaithiliche"&amp;"ckhistoryMalagasycheckhistoryMalaycheckhistoryMalayalamcheckhistoryMaltesecheckhistoryMaoricheckhistoryMarathicheckhistoryMeiteilon (Manipuri)checkhistoryMizocheckhistoryMongoliancheckhistoryMyanmar (Burmese)checkhistoryNepalicheckhistoryNorwegiancheckhis"&amp;"toryOdia (Oriya)checkhistoryOromocheckhistoryPashtocheckhistoryPersiancheckhistoryPolishcheckhistoryPortuguesecheckhistoryPunjabicheckhistoryQuechuacheckhistoryRomaniancheckhistoryRussiancheckhistorySamoancheckhistorySanskritcheckhistoryScots Gaeliccheckh"&amp;"istorySepedicheckhistorySerbiancheckhistorySesothocheckhistoryShonacheckhistorySindhicheckhistorySinhalacheckhistorySlovakcheckhistorySloveniancheckhistorySomalicheckhistorySpanishcheckhistorySundanesecheckhistorySwahilicheckhistorySwedishcheckhistoryTaji"&amp;"kcheckhistoryTamilcheckhistoryTatarcheckhistoryTelugucheckhistoryThaicheckhistoryTigrinyacheckhistoryTsongacheckhistoryTurkishcheckhistoryTurkmencheckhistoryTwicheckhistoryUkrainiancheckhistoryUrducheckhistoryUyghurcheckhistoryUzbekcheckhistoryVietnamesec"&amp;"heckhistoryWelshcheckhistoryXhosacheckhistoryYiddishcheckhistoryYorubacheckhistoryZuluClose pickerTranslate tosearchSearch languagescloseClose pickerClose searchclearClear search textRecent languagesAll languagescheckhistoryAfrikaanscheckhistoryAlbanianch"&amp;"eckhistoryAmhariccheckhistoryArabiccheckhistoryArmeniancheckhistoryAssamesecheckhistoryAymaracheckhistoryAzerbaijanicheckhistoryBambaracheckhistoryBasquecheckhistoryBelarusiancheckhistoryBengalicheckhistoryBhojpuricheckhistoryBosniancheckhistoryBulgarianc"&amp;"heckhistoryCatalancheckhistoryCebuanocheckhistoryChichewacheckhistoryChinese (Simplified)checkhistoryChinese (Traditional)checkhistoryCorsicancheckhistoryCroatiancheckhistoryCzechcheckhistoryDanishcheckhistoryDhivehicheckhistoryDogricheckhistoryDutchcheck"&amp;"historyEnglishcheckhistoryEsperantocheckhistoryEstoniancheckhistoryEwecheckhistoryFilipinocheckhistoryFinnishcheckhistoryFrenchcheckhistoryFrisiancheckhistoryGaliciancheckhistoryGeorgiancheckhistoryGermancheckhistoryGreekcheckhistoryGuaranicheckhistoryGuj"&amp;"araticheckhistoryHaitian CreolecheckhistoryHausacheckhistoryHawaiiancheckhistoryHebrewcheckhistoryHindicheckhistoryHmongcheckhistoryHungariancheckhistoryIcelandiccheckhistoryIgbocheckhistoryIlocanocheckhistoryIndonesiancheckhistoryIrishcheckhistoryItalian"&amp;"checkhistoryJapanesecheckhistoryJavanesecheckhistoryKannadacheckhistoryKazakhcheckhistoryKhmercheckhistoryKinyarwandacheckhistoryKonkanicheckhistoryKoreancheckhistoryKriocheckhistoryKurdish (Kurmanji)checkhistoryKurdish (Sorani)checkhistoryKyrgyzcheckhist"&amp;"oryLaocheckhistoryLatincheckhistoryLatviancheckhistoryLingalacheckhistoryLithuaniancheckhistoryLugandacheckhistoryLuxembourgishcheckhistoryMacedoniancheckhistoryMaithilicheckhistoryMalagasycheckhistoryMalaycheckhistoryMalayalamcheckhistoryMaltesecheckhist"&amp;"oryMaoricheckhistoryMarathicheckhistoryMeiteilon (Manipuri)checkhistoryMizocheckhistoryMongoliancheckhistoryMyanmar (Burmese)checkhistoryNepalicheckhistoryNorwegiancheckhistoryOdia (Oriya)checkhistoryOromocheckhistoryPashtocheckhistoryPersiancheckhistoryP"&amp;"olishcheckhistoryPortuguesecheckhistoryPunjabicheckhistoryQuechuacheckhistoryRomaniancheckhistoryRussiancheckhistorySamoancheckhistorySanskritcheckhistoryScots GaeliccheckhistorySepedicheckhistorySerbiancheckhistorySesothocheckhistoryShonacheckhistorySind"&amp;"hicheckhistorySinhalacheckhistorySlovakcheckhistorySloveniancheckhistorySomalicheckhistorySpanishcheckhistorySundanesecheckhistorySwahilicheckhistorySwedishcheckhistoryTajikcheckhistoryTamilcheckhistoryTatarcheckhistoryTelugucheckhistoryThaicheckhistoryTi"&amp;"grinyacheckhistoryTsongacheckhistoryTurkishcheckhistoryTurkmencheckhistoryTwicheckhistoryUkrainiancheckhistoryUrducheckhistoryUyghurcheckhistoryUzbekcheckhistoryVietnamesecheckhistoryWelshcheckhistoryXhosacheckhistoryYiddishcheckhistoryYorubacheckhistoryZ"&amp;"ulu WebsiteClear URLEnter a URLTranslateTranslatingImage translationDetect languageDetect languageEnglishSpanishFrenchswap_horizSwap languages (Ctrl+Shift+S)EnglishEnglishSpanishArabicClose pickerTranslate fromsearchSearch languagescloseClose pickerClose "&amp;"searchclearClear search textcheckhistoryDetect languageauto_awesomeRecent languagesAll languagescheckhistoryAfrikaanscheckhistoryAlbaniancheckhistoryAmhariccheckhistoryArabiccheckhistoryArmeniancheckhistoryAssamesecheckhistoryAymaracheckhistoryAzerbaijani"&amp;"checkhistoryBambaracheckhistoryBasquecheckhistoryBelarusiancheckhistoryBengalicheckhistoryBhojpuricheckhistoryBosniancheckhistoryBulgariancheckhistoryCatalancheckhistoryCebuanocheckhistoryChichewacheckhistoryChinese (Simplified)checkhistoryChinese (Tradit"&amp;"ional)checkhistoryCorsicancheckhistoryCroatiancheckhistoryCzechcheckhistoryDanishcheckhistoryDhivehicheckhistoryDogricheckhistoryDutchcheckhistoryEnglishcheckhistoryEsperantocheckhistoryEstoniancheckhistoryEwecheckhistoryFilipinocheckhistoryFinnishcheckhi"&amp;"storyFrenchcheckhistoryFrisiancheckhistoryGaliciancheckhistoryGeorgiancheckhistoryGermancheckhistoryGreekcheckhistoryGuaranicheckhistoryGujaraticheckhistoryHaitian CreolecheckhistoryHausacheckhistoryHawaiiancheckhistoryHebrewcheckhistoryHindicheckhistoryH"&amp;"mongcheckhistoryHungariancheckhistoryIcelandiccheckhistoryIgbocheckhistoryIlocanocheckhistoryIndonesiancheckhistoryIrishcheckhistoryItaliancheckhistoryJapanesecheckhistoryJavanesecheckhistoryKannadacheckhistoryKazakhcheckhistoryKhmercheckhistoryKinyarwand"&amp;"acheckhistoryKonkanicheckhistoryKoreancheckhistoryKriocheckhistoryKurdish (Kurmanji)checkhistoryKurdish (Sorani)checkhistoryKyrgyzcheckhistoryLaocheckhistoryLatincheckhistoryLatviancheckhistoryLingalacheckhistoryLithuaniancheckhistoryLugandacheckhistoryLu"&amp;"xembourgishcheckhistoryMacedoniancheckhistoryMaithilicheckhistoryMalagasycheckhistoryMalaycheckhistoryMalayalamcheckhistoryMaltesecheckhistoryMaoricheckhistoryMarathicheckhistoryMeiteilon (Manipuri)checkhistoryMizocheckhistoryMongoliancheckhistoryMyanmar "&amp;"(Burmese)checkhistoryNepalicheckhistoryNorwegiancheckhistoryOdia (Oriya)checkhistoryOromocheckhistoryPashtocheckhistoryPersiancheckhistoryPolishcheckhistoryPortuguesecheckhistoryPunjabicheckhistoryQuechuacheckhistoryRomaniancheckhistoryRussiancheckhistory"&amp;"SamoancheckhistorySanskritcheckhistoryScots GaeliccheckhistorySepedicheckhistorySerbiancheckhistorySesothocheckhistoryShonacheckhistorySindhicheckhistorySinhalacheckhistorySlovakcheckhistorySloveniancheckhistorySomalicheckhistorySpanishcheckhistorySundane"&amp;"secheckhistorySwahilicheckhistorySwedishcheckhistoryTajikcheckhistoryTamilcheckhistoryTatarcheckhistoryTelugucheckhistoryThaicheckhistoryTigrinyacheckhistoryTsongacheckhistoryTurkishcheckhistoryTurkmencheckhistoryTwicheckhistoryUkrainiancheckhistoryUrduch"&amp;"eckhistoryUyghurcheckhistoryUzbekcheckhistoryVietnamesecheckhistoryWelshcheckhistoryXhosacheckhistoryYiddishcheckhistoryYorubacheckhistoryZuluClose pickerTranslate tosearchSearch languagescloseClose pickerClose searchclearClear search textRecent languages"&amp;"All languagescheckhistoryAfrikaanscheckhistoryAlbaniancheckhistoryAmhariccheckhistoryArabiccheckhistoryArmeniancheckhistoryAssamesecheckhistoryAymaracheckhistoryAzerbaijanicheckhistoryBambaracheckhistoryBasquecheckhistoryBelarusiancheckhistoryBengalicheck"&amp;"historyBhojpuricheckhistoryBosniancheckhistoryBulgariancheckhistoryCatalancheckhistoryCebuanocheckhistoryChichewacheckhistoryChinese (Simplified)checkhistoryChinese (Traditional)checkhistoryCorsicancheckhistoryCroatiancheckhistoryCzechcheckhistoryDanishch"&amp;"eckhistoryDhivehicheckhistoryDogricheckhistoryDutchcheckhistoryEnglishcheckhistoryEsperantocheckhistoryEstoniancheckhistoryEwecheckhistoryFilipinocheckhistoryFinnishcheckhistoryFrenchcheckhistoryFrisiancheckhistoryGaliciancheckhistoryGeorgiancheckhistoryG"&amp;"ermancheckhistoryGreekcheckhistoryGuaranicheckhistoryGujaraticheckhistoryHaitian CreolecheckhistoryHausacheckhistoryHawaiiancheckhistoryHebrewcheckhistoryHindicheckhistoryHmongcheckhistoryHungariancheckhistoryIcelandiccheckhistoryIgbocheckhistoryIlocanoch"&amp;"eckhistoryIndonesiancheckhistoryIrishcheckhistoryItaliancheckhistoryJapanesecheckhistoryJavanesecheckhistoryKannadacheckhistoryKazakhcheckhistoryKhmercheckhistoryKinyarwandacheckhistoryKonkanicheckhistoryKoreancheckhistoryKriocheckhistoryKurdish (Kurmanji"&amp;")checkhistoryKurdish (Sorani)checkhistoryKyrgyzcheckhistoryLaocheckhistoryLatincheckhistoryLatviancheckhistoryLingalacheckhistoryLithuaniancheckhistoryLugandacheckhistoryLuxembourgishcheckhistoryMacedoniancheckhistoryMaithilicheckhistoryMalagasycheckhisto"&amp;"ryMalaycheckhistoryMalayalamcheckhistoryMaltesecheckhistoryMaoricheckhistoryMarathicheckhistoryMeiteilon (Manipuri)checkhistoryMizocheckhistoryMongoliancheckhistoryMyanmar (Burmese)checkhistoryNepalicheckhistoryNorwegiancheckhistoryOdia (Oriya)checkhistor"&amp;"yOromocheckhistoryPashtocheckhistoryPersiancheckhistoryPolishcheckhistoryPortuguesecheckhistoryPunjabicheckhistoryQuechuacheckhistoryRomaniancheckhistoryRussiancheckhistorySamoancheckhistorySanskritcheckhistoryScots GaeliccheckhistorySepedicheckhistorySer"&amp;"biancheckhistorySesothocheckhistoryShonacheckhistorySindhicheckhistorySinhalacheckhistorySlovakcheckhistorySloveniancheckhistorySomalicheckhistorySpanishcheckhistorySundanesecheckhistorySwahilicheckhistorySwedishcheckhistoryTajikcheckhistoryTamilcheckhist"&amp;"oryTatarcheckhistoryTelugucheckhistoryThaicheckhistoryTigrinyacheckhistoryTsongacheckhistoryTurkishcheckhistoryTurkmencheckhistoryTwicheckhistoryUkrainiancheckhistoryUrducheckhistoryUyghurcheckhistoryUzbekcheckhistoryVietnamesecheckhistoryWelshcheckhistor"&amp;"yXhosacheckhistoryYiddishcheckhistoryYorubacheckhistoryZuluDrag and dropDrag and dropOr choose a fileBrowse your filesPaste from clipboardSupported file types: .jpg .jpeg .png.   Learn moreDrop file hereSend feedbackSide panelsHistorySavedContribute5000 c"&amp;"haracter limit. Use the arrows to translate more.DoneSavedHistoryGoogle appsMain menu")</f>
        <v>Google TranslateTranslateSettings SettingsVoice speedNormalTestSlowTestSlowerTestSign inTranslateAbout Google TranslatePrivacy &amp; TermsHelpSend feedbackAbout GoogleTranslation typesTextImagesDocumentsWebsitesText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Getting translation...May contain sensitive languageMay contain disputed languageMay contain sensitive and disputed languageLearn moreDismissSource textclearClear source textShow moreShow lessVoice input isn't supported on this browserBusy...Translate by voiceLoading...Listen0 / 5000Loading...Turn on HandwritingSelect Input ToolkeyboardTranslation resultsTranslationTranslating...Translations are gender-specific. Learn moreSome sentences may contain gender-specific alternatives. Click a sentence to see alternatives. Learn moreGender-specific translations are limited. Learn moreerror_outlineTranslation errorTry againDocument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Drag and dropDrag and dropOr choose a fileBrowse your filesSupported file types: .docx .pdf .pptx .xlsx.   Learn moreDrop file herePowered by Google Cloud TranslationWebsite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 WebsiteClear URLEnter a URLTranslateTranslatingImage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Drag and dropDrag and dropOr choose a fileBrowse your filesPaste from clipboardSupported file types: .jpg .jpeg .png.   Learn moreDrop file hereSend feedbackSide panelsHistorySavedContribute5000 character limit. Use the arrows to translate more.DoneSavedHistoryGoogle appsMain menu</v>
      </c>
    </row>
    <row r="336">
      <c r="A336" s="1" t="s">
        <v>1076</v>
      </c>
      <c r="B336" s="1" t="s">
        <v>1089</v>
      </c>
      <c r="C336" s="1" t="s">
        <v>1090</v>
      </c>
      <c r="D336" s="1">
        <v>5.0</v>
      </c>
      <c r="E336" s="4" t="s">
        <v>1091</v>
      </c>
      <c r="F336" s="1" t="s">
        <v>43</v>
      </c>
      <c r="G336" s="1" t="s">
        <v>284</v>
      </c>
      <c r="H336" s="4" t="s">
        <v>285</v>
      </c>
      <c r="I336" s="2">
        <v>-1.0</v>
      </c>
      <c r="J336" s="5" t="str">
        <f>IFERROR(__xludf.DUMMYFUNCTION("GOOGLETRANSLATE(A336)"),"Google")</f>
        <v>Google</v>
      </c>
      <c r="K336" s="6" t="str">
        <f>IFERROR(__xludf.DUMMYFUNCTION("GOOGLETRANSLATE(B336)"),"Google Accounts: Sign in")</f>
        <v>Google Accounts: Sign in</v>
      </c>
      <c r="L336" s="5" t="str">
        <f>IFERROR(__xludf.DUMMYFUNCTION("GOOGLETRANSLATE(C336)"),"Sign in. Use your Google Account. Email or phone. Forgot email? CAPTCHA image of text used to distinguish humans from robots ... Sign in Use your Google Account.")</f>
        <v>Sign in. Use your Google Account. Email or phone. Forgot email? CAPTCHA image of text used to distinguish humans from robots ... Sign in Use your Google Account.</v>
      </c>
      <c r="M336" s="5" t="str">
        <f>IFERROR(__xludf.DUMMYFUNCTION("GOOGLETRANSLATE(G336)"),"Sign in - Google Accountssign Inuse Your Google Accounemail or Phoeforgot Email?not your computer? Use a private browsing window to sign in. Learn Morenextcreate AccountAfrikaansazərBaycanbosanskitalskitalàtinanymraegdanskdeutskeestienglish (United Kingdo"&amp;"m)EnglishEnglish (United States)Español (Spaña)Franágasí)Eusrafilica). Gegalegohrvatsiaisuluíslenslenskaniswahilaswahilaswahilitwahililatvietuvišmagyarmelayaderlandsnorskporturguês (Brasilsilsiluguguês (portugal)romentonsklovenárpslovenven ng Việttttttoελ"&amp;"λληικάбеллууууConаябъгарскикыргыачаікссаі.і.і.і.і.і.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amp;"erms")</f>
        <v>Sign in - Google Accountssign Inuse Your Google Accounemail or Phoeforgot Email?not your computer? Use a private browsing window to sign in. Learn Morenextcreate AccountAfrikaansazərBaycanbosanskitalskitalàtinanymraegdanskdeutskeestienglish (United Kingdom)EnglishEnglish (United States)Español (Spaña)Franágasí)Eusrafilica). Gegalegohrvatsiaisuluíslenslenskaniswahilaswahilaswahilitwahililatvietuvišmagyarmelayaderlandsnorskporturguês (Brasilsilsiluguguês (portugal)romentonsklovenárpslovenven ng ViệttttttoελλληικάбеллууууConаябъгарскикыргыачаікссаі.і.і.і.і.і.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v>
      </c>
    </row>
    <row r="337">
      <c r="A337" s="1" t="s">
        <v>1076</v>
      </c>
      <c r="B337" s="1" t="s">
        <v>1092</v>
      </c>
      <c r="C337" s="1" t="s">
        <v>1093</v>
      </c>
      <c r="D337" s="1">
        <v>6.0</v>
      </c>
      <c r="E337" s="4" t="s">
        <v>1094</v>
      </c>
      <c r="F337" s="1" t="s">
        <v>43</v>
      </c>
      <c r="G337" s="1" t="s">
        <v>1095</v>
      </c>
      <c r="H337" s="4" t="s">
        <v>1096</v>
      </c>
      <c r="I337" s="2">
        <v>-1.0</v>
      </c>
      <c r="J337" s="5" t="str">
        <f>IFERROR(__xludf.DUMMYFUNCTION("GOOGLETRANSLATE(A337)"),"Google")</f>
        <v>Google</v>
      </c>
      <c r="K337" s="6" t="str">
        <f>IFERROR(__xludf.DUMMYFUNCTION("GOOGLETRANSLATE(B337)"),"Explore Google Earth")</f>
        <v>Explore Google Earth</v>
      </c>
      <c r="L337" s="5" t="str">
        <f>IFERROR(__xludf.DUMMYFUNCTION("GOOGLETRANSLATE(C337)"),"Grab the helm and go on an adventure in Google Earth.")</f>
        <v>Grab the helm and go on an adventure in Google Earth.</v>
      </c>
      <c r="M337" s="5" t="str">
        <f>IFERROR(__xludf.DUMMYFUNCTION("GOOGLETRANSLATE(G337)"),"Google EarthAw snap! Google Earth isn't supported on your browser. You may need to update your browser or use a different browser. Please see our system requirements for more information. Chrome is a great choice and you can download it here.Or if you're "&amp;"feeling adventurous you can try Earth anyway by choosing an option below.Launch Wasm Multiple ThreadedLaunch Wasm Single ThreadedLearn more about Google Earth.")</f>
        <v>Google EarthAw snap! Google Earth isn't supported on your browser. You may need to update your browser or use a different browser. Please see our system requirements for more information. Chrome is a great choice and you can download it here.Or if you're feeling adventurous you can try Earth anyway by choosing an option below.Launch Wasm Multiple ThreadedLaunch Wasm Single ThreadedLearn more about Google Earth.</v>
      </c>
    </row>
    <row r="338">
      <c r="A338" s="1" t="s">
        <v>1076</v>
      </c>
      <c r="B338" s="1" t="s">
        <v>1097</v>
      </c>
      <c r="C338" s="1" t="s">
        <v>1098</v>
      </c>
      <c r="D338" s="1">
        <v>7.0</v>
      </c>
      <c r="E338" s="4" t="s">
        <v>1099</v>
      </c>
      <c r="F338" s="1" t="s">
        <v>43</v>
      </c>
      <c r="G338" s="1" t="s">
        <v>1100</v>
      </c>
      <c r="H338" s="4" t="s">
        <v>1101</v>
      </c>
      <c r="I338" s="2">
        <v>-1.0</v>
      </c>
      <c r="J338" s="5" t="str">
        <f>IFERROR(__xludf.DUMMYFUNCTION("GOOGLETRANSLATE(A338)"),"Google")</f>
        <v>Google</v>
      </c>
      <c r="K338" s="6" t="str">
        <f>IFERROR(__xludf.DUMMYFUNCTION("GOOGLETRANSLATE(B338)"),"Google Ads - Get Customers and Sell More with Online ...")</f>
        <v>Google Ads - Get Customers and Sell More with Online ...</v>
      </c>
      <c r="L338" s="5" t="str">
        <f>IFERROR(__xludf.DUMMYFUNCTION("GOOGLETRANSLATE(C338)"),"Discover how online advertising with Google Ads can help grow your business. Get customers and sell more with our digital advertising platform.")</f>
        <v>Discover how online advertising with Google Ads can help grow your business. Get customers and sell more with our digital advertising platform.</v>
      </c>
      <c r="M338" s="5" t="str">
        <f>IFERROR(__xludf.DUMMYFUNCTION("GOOGLETRANSLATE(G338)"),"Google Ads - Get Customers and Sell More with Online Advertising              Jump to content        Ads                            Manage your Google account                                                        Create new Google Ads account            "&amp;"                                              Sign out                                                          Privacy Policy                            ·                              Terms of Service                                                    Wa"&amp;"nt to create a new Google Ads account?                                              You’re about to create a new Google Ads account. You can                        create multiple campaigns in the same account without                        creating a new"&amp;" account.                                                  Cancel                                                      Create New Account                                              1-800-838-7971*                                      Schedule a meeting "&amp;"                                     Sign in                                      Start now                  Call for sign up help Mon-Fri 9am-9pm ETAds                      Goals                                          Campaigns &amp; tools                 "&amp;"          Search                                                  Performance Max                                                  Display                                                  Shopping                                                  Video    "&amp;"                                              App                                                  Smart                                                  Demand Gen                                                  Measurement                              "&amp;"                    Conversion Tracking                                                  Bidding                                                  AI-powered Ad Solutions                                                  Privacy                             "&amp;"                     Tools                                                  Keyword Planner                                                  Manager Accounts                                                  Google Ads Editor                               "&amp;"                   Reach Planner                                                  Google Ads Mobile App                                                  Insights Finder                                                  Google Ads API                       "&amp;"                           Performance Planner                                                  Experiments Page                                                  Recommendations Page                                                  Insights Page          "&amp;"                                    Partners                           Work with a Partner                                                  Become a Partner                                              Resources                           View all resource"&amp;"s                                                    Education                                                    How it works                                                Expert support                                        1-800-838-7971*            "&amp;"                          Schedule a meeting                                      Sign in                                      Start now                  Call for sign up help Mon-Fri 9am-9pm ET                            Manage your Google account       "&amp;"                                                 Create new Google Ads account                                                          Sign out                                                          Privacy Policy                            ·          "&amp;"                    Terms of Service                                                    Want to create a new Google Ads account?                                              You’re about to create a new Google Ads account. You can                        c"&amp;"reate multiple campaigns in the same account without                        creating a new account.                                                  Cancel                                                      Create New Account                            "&amp;"              Campaigns &amp; tools                                  Search                                      Performance Max                                      Display                                      Shopping                                      Vi"&amp;"deo                                      App                                      Smart                                      Demand Gen                                      Measurement                                         Conversion Tracking           "&amp;"                           Bidding                                      AI-powered Ad Solutions                                      Privacy                                      Tools                                         Keyword Planner                "&amp;"                      Manager Accounts                                      Google Ads Editor                                      Reach Planner                                      Google Ads Mobile App                                      Insights Finde"&amp;"r                                      Google Ads API                                      Performance Planner                                      Experiments Page                                      Recommendations Page                                 "&amp;"     Insights Page                                  Partners                                  Work with a Partner                                      Become a Partner                                  Resources                                  View all re"&amp;"sources                                         Education                                         How it works                                   Start now                            Spend $500 and get $500 in ad credit.                                Term"&amp;"s and conditions apply.                                To help you get started with Google Ads we’ll give you $500 in                ad credit when you spend $500.                                Learn more                To help you get started with Googl"&amp;"e Ads we’ll give you                        $500 in ad credit when you spend $500.                            Claim this offer                          Terms and conditions for this offer:Offer available only while supplies last.                          "&amp;"  Offer available only to advertisers which are new to                            Google Ads with a billing address in the United                            States. One promotional offer per advertiser.                                                     "&amp;" To activate this offer: Click on the button or link                            associated with this offer for it to be                            automatically applied to your first Google Ads                            account. The promotional offer mus"&amp;"t be applied to                            your first Google Ads account within 14 days of your                            first ad impression being served.                                                      The promotional offer will only be applied to"&amp;" your                            account if a payment profile and a valid payment                            method is added during the initial signup process.                                                      To earn the Google Ads credit: After the p"&amp;"romotional                            offer is applied to your Google Ads account your                            advertising campaigns must accrue costs of at least                            $500 (excluding any taxes or applicable fees) within          "&amp;"                  60 days. Making a payment of $500 is not sufficient.                            The tracking of advertising costs towards $500                            begins after the promotional offer is applied.                                     "&amp;"                 Once step 5 is completed provided all eligibility                            checks are met the credit will typically be applied                            within 35 days to the Billing Summary of your Google                            Ad"&amp;"s account.                                                      The credit expires 60 days after it is applied to                            your account.                                                      Credit applies to future advertising costs only"&amp;".                            Credit cannot be applied to costs accrued before the                            promotional offer was applied to your Google Ads                            account.                                                      You won’"&amp;"t receive a notification once credit in your                            Google Ads account is used up and any additional                            advertising costs will be charged to your form of                            payment. If you don’t want to "&amp;"continue advertising                            you can pause or delete your campaigns at any time.                                                      Your account must be successfully billed by Google                            Ads and remain in good s"&amp;"tanding in order to remain                            eligible to use the credit.                                                      Google Ads reserves the right to remove the                            promotional offer from your account if a payment "&amp;"                           fails an offer was mistakenly applied you breach                            these terms or your account otherwise falls out of                            good standing. In such cases if the promotional                           "&amp;" credit has already been granted Google Ads reserves                            the right to nullify that credit.                                                      Full terms and conditions can be found here:                            https://www.goog"&amp;"le.com/intl/en_US/ads/coupons/terms/Choose your offer and get up to {AWARD_AMOUNT} in Ads                        creditNew advertiser? Choose between three attractive offers                        based on your budget to jumpstart your first              "&amp;"          campaign.                      Choose now                                         {AWARD_AMOUNT}                  Your {AWARD_AMOUNT} in Ads credit is ready to be                        claimedSign up for Google Ads and complete your payment    "&amp;"                    information to apply the offer to your account.                        Terms and conditions apply                      Start now to claim                                         {AWARD_AMOUNT}                  Don’t forget to complete "&amp;"sign up to claim your                        offerSign up for Google Ads and complete your payment                        information to apply the {AWARD_AMOUNT} in Ads credits                        to your account.                        Terms and condi"&amp;"tions apply                      Start now to claim                                 Drive sales Stand out Be found Show up with Google Ads          Drive salesStand outBe foundShow upwith Google AdsPlay animationPause animationDo more for your            "&amp;"      business with                  Google Ads                For whatever matters most make it easier for potential                customers to find your business with Google Ads.                                Start now                                 "&amp;" Start with an expert                 Choose a sign-up offer to jumpstart your first                        campaign                        Select an offer that fits your monthly budget and sign                        up when ready. You’ll receive your Ad"&amp;"s credit after you                        meet the minimum spend requirement for the offer you                        selected. Terms and conditions apply.Choose a sign-up offer to jumpstart your first                          campaign                    "&amp;"      Select an offer that fits your monthly budget and sign                          up when ready. You’ll receive your Ads credit after                          you meet the minimum spend requirement for the offer                          you selected. "&amp;"Terms and conditions apply.OFFER A{AWARD_AMOUNT_0}in Ads credit{AWARD_AMOUNT_0} in Ads credit                                    Spend {TARGET_AMOUNT_0} with Google Ads in                                    the first 60 days to unlock the credit.         "&amp;"                         OFFER B{AWARD_AMOUNT_1}in Ads credit{AWARD_AMOUNT_1} in Ads credit                                    Spend {TARGET_AMOUNT_1} with Google Ads in                                    the first 60 days to unlock the credit.           "&amp;"                       OFFER C{AWARD_AMOUNT_2}in Ads credit{AWARD_AMOUNT_2} in Ads credit                                    Spend {TARGET_AMOUNT_2} with Google Ads in                                    the first 60 days to unlock the credit.             "&amp;"                                                 Select an offer to continue                          How to claim your offer                            Sign up and complete payment setup to apply the                            offer to your account.     "&amp;"                                                 Start now to claim                                           Google Ads gives you many ways to be seen              Disable automatic scrolling in this section for better                  accessibility     "&amp;"               Search                    - Selected more information after list                    Display                    - Selected more information after list                    Shopping                    - Selected more information after list     "&amp;"               Video                    - Selected more information after list                    App                    - Selected more information after list                  Start with search                                  Help drive sales leads or s"&amp;"ite traffic by getting your                  business in front of people who are actively searching Google                  for products or services you offer.                                      Explore Search Ads                                      En"&amp;"gage the eye                                  Build awareness and consideration with memorable visually                  engaging ads that reach your audience when they’re online                  checking Gmail or using mobile apps.                       "&amp;"               Explore Display Ads                                      Offer up your inventory                                  Show up when people are shopping with visually engaging                  product listings and let them know what you have in s"&amp;"tock to                  drive more sales.                                      Explore Shopping Ads                                      Bring your brand to life with video                                  Boost awareness of your brand follow up with for"&amp;"mer ad                  viewers and reach potential customers while they’re watching                  or searching for videos on YouTube.                                      Explore Video Ads                                      Promote your app         "&amp;"                         Reach people who are interested in apps like yours to drive                  installs or choose to re-engage current users to drive more                  in-app actions.                                      Explore App Ads        "&amp;"             Achieve all your goals in one place                          Learn more                                                    Maximize leads and conversions                                                      Get better quality leads and enhanc"&amp;"e conversions.                                                      Increase online sales                                                      Show up where shoppers are and increase site traffic                            and sales.                      "&amp;"                                Drive in-store foot traffic                                                      Bring people through your doors and increase offline                            sales.                                                      Sh"&amp;"ow your brand to more people                                                      Put your brand out there to increase reach and                            engagement.                                                      Market your app to new users      "&amp;"                                                Put your app in front of the right users to drive                            downloads and engagement.                           The power of Google                  for your businessReach customers wherever"&amp;" they are                    Show up at the right time and place across the vast Google                    Ads ecosystem. Let Google’s AI find your best performing ad                    formats across Youtube Discover Search and more to                   "&amp;" maximize conversions.                  Track learn and optimize for ROI                    Track conversions to get unmatched audience insights.                    Google’s budget-optimizing automation helps you capture new                    customer op"&amp;"portunities with the highest ROI.                  Stay in full control of your budget                    Get recommendations decide your monthly budget and adjust                    at any time. Google technology helps you measure results and            "&amp;"        make the most of your ad spend.                  Reach customers wherever they are                                Show up at the right time and place across the                                vast Google Ads ecosystem. Let Google’s AI find        "&amp;"                        your best performing ad formats across Youtube                                Discover Search and more to maximize                                conversions.                              Track learn and optimize for ROI           "&amp;"                     Track conversions to get unmatched audience                                insights. Google’s budget-optimizing automation                                helps you capture new customer opportunities                                with"&amp;" the highest ROI.                              Stay in full control of your budget                                Get recommendations decide your monthly budget                                and adjust at any time. Google technology helps                "&amp;"                you measure results and make the most of your ad                                spend.                               What success looks like                      View all success stories                    400%ROI in 2021400%ROI in 2021   "&amp;"                                     “There really is no better platform than                                        Google Ads to reach the entire world.”                                                                            Josh Kilmer-Purcell Co-o"&amp;"wner Beekman                                      1802                                                                                  Watch their story                                            150%YoY growth150%YoY growth                              "&amp;"          “This year already we have a 300% ROI                                        in our Google Ads.”                                                                            Randy Williams Founder &amp; CEO Talley                                      "&amp;"&amp; Twine                                                                                  Watch their story                                            675%ROAS675%ROAS                                        Learn how Asutra earned a 675% return on         "&amp;"                               ad spend with Google Ads                                                                                    Watch their story                                             Let us help.                    Get started with our f"&amp;"ree personalized support. Create your                    custom ads plan with a Google Ads Expert.                                          1-800-838-7971                      Chat with us                        Schedule a meeting                      Foo"&amp;"ter links                Follow us              About Google AdsOverviewGoalsExpert supportMobile app for AndroidMobile app for iOSLearning &amp; supportYour guide to Google AdsGoogle Ads Help CenterGoogle Ads AnnouncementsGoogle Advertiser CommunityPrimerDev"&amp;"elopers &amp; partnersGoogle Developers SiteGoogle Ads ScriptsGoogle Ads Remarketing TagsRelated productsGoogle AnalyticsShopping CampaignsLocal ServicesBusiness ProfileChromeWaze Local adsMore solutionsBusiness SolutionsGoogle WorkspaceThink with GoogleAdsen"&amp;"seAdmobActual results will vary by advertiser.PrivacyTermsAbout GoogleGoogle productsHelpAlgérie - Français                  Español (Latinoamérica)                                  Argentina - Español (Latinoamérica)                Australia - English   "&amp;"               Azərbaycan - Azərbaycanca                Bangladesh - EnglishBelgique - FrançaisBelgië - Nederlands                  Bolivia - Español (Latinoamérica)                                  Brasil - Português (Brasil)                Canada - Engl"&amp;"ishCanada - Français                  Chile - Español (Latinoamérica)                                  Colombia - Español (Latinoamérica)                                  Costa Rica - Español (Latinoamérica)                Cyprus - EnglishDanmark - DanskD"&amp;"eutschland - Deutsch                  Ecuador - Español (Latinoamérica)                Eesti - EestiEgypt - English                  El Salvador - Español (Latinoamérica)                EnglishEspanya - CatalàEspaña - Español                  Estados Unid"&amp;"os - Español (Latinoamérica)                France - Français                  Guatemala - Español (Latinoamérica)                                  Honduras - Español (Latinoamérica)                Hong Kong - EnglishHrvatska - HrvatskiIndia - English    "&amp;"              Indonesia - Bahasa Indonesia                Indonesia - EnglishIreland - EnglishItalia - ItalianoKyrgyzstan - KyLatvija - LatviešuLietuva - LietuviųMagyarország - Magyar                  Malaysia - Bahasa Melayu                Malaysia - Eng"&amp;"lishMaroc - Français                  México - Español (Latinoamérica)                                  Nederland - Nederlands                Nepal - EnglishNew Zealand - English                  Nicaragua - Español (Latinoamérica)                Nigeria "&amp;"- EnglishNorge - NorskPakistan - English                  Panamá - Español (Latinoamérica)                                  Paraguay - Español (Latinoamérica)                                  Perú - Español (Latinoamérica)                Philippines - Eng"&amp;"lishPilipinas - FilipinoPolska - Polski                  Portugal - Português (Portugal)                                  Puerto Rico - Español (Latinoamérica)                                  Republica Moldova - Română                                  Re"&amp;"pública Dominicana - Español (Latinoamérica)                România - Română                  Saudi Arabia - English                Schweiz - DeutschSingapore - English                  Slovenija - Slovenščina                                  Slovensko - "&amp;"Slovenčina                                  South Africa - English                Sri Lanka - EnglishSuisse - FrançaisSuomi - SuomiSverige - SvenskaTunisie - FrançaisTürkiye - Türkçe                  United Arab Emirates - English                         "&amp;"         United Kingdom - English                                  United States - English                                  Uruguay - Español (Latinoamérica)                                  Venezuela - Español (Latinoamérica)                Việt Nam - Ti"&amp;"ếng ViệtÖsterreich - Deutsch                  Česká Republika - Čeština                Ελλάδα - ΕλληνικάБеларусь - РусскийБългария - БългарскиКазахстан - РусскийМонгол - МонголРоссия - РусскийСрбија - СрпскиТаджикистан - Русский                  Туркменис"&amp;"тан - Русский                Україна - УкраїнськаЎзбекистон - ЎзбекՀայաստան - Հայերենभारत - हिन्दीไทย - ไทยსაქართველო - ქართული‫ישראל - עברית‬                  ‫الإمارات العربية المتحدة - العربية‬                ‫الجزائر - العربية‬‫العربية‬‫الكويت - العرب"&amp;"ية‬‫المغرب - العربية‬                  ‫المملكة العربية السعودية - العربية‬                ‫تونس - العربية‬‫قطر - العربية‬‫مصر - العربية‬                  中国 - 中文（简体中文）                                  台灣 - 中文（繁體中文）                日本 - 日本語                "&amp;"  香港 - 中文（繁體中文）                대한민국 - 한국어")</f>
        <v>Google Ads - Get Customers and Sell More with Online Advertising              Jump to content        Ads                            Manage your Google account                                                        Create new Google Ads account                                                          Sign out                                                          Privacy Policy                            ·                              Terms of Service                                                    Want to create a new Google Ads account?                                              You’re about to create a new Google Ads account. You can                        create multiple campaigns in the same account without                        creating a new account.                                                  Cancel                                                      Create New Account                                              1-800-838-7971*                                      Schedule a meeting                                      Sign in                                      Start now                  Call for sign up help Mon-Fri 9am-9pm ETAds                      Goals                                          Campaigns &amp; tools                           Search                                                  Performance Max                                                  Display                                                  Shopping                                                  Video                                                  App                                                  Smart                                                  Demand Gen                                                  Measurement                                                  Conversion Tracking                                                  Bidding                                                  AI-powered Ad Solutions                                                  Privacy                                                  Tools                                                  Keyword Planner                                                  Manager Accounts                                                  Google Ads Editor                                                  Reach Planner                                                  Google Ads Mobile App                                                  Insights Finder                                                  Google Ads API                                                  Performance Planner                                                  Experiments Page                                                  Recommendations Page                                                  Insights Page                                              Partners                           Work with a Partner                                                  Become a Partner                                              Resources                           View all resources                                                    Education                                                    How it works                                                Expert support                                        1-800-838-7971*                                      Schedule a meeting                                      Sign in                                      Start now                  Call for sign up help Mon-Fri 9am-9pm ET                            Manage your Google account                                                        Create new Google Ads account                                                          Sign out                                                          Privacy Policy                            ·                              Terms of Service                                                    Want to create a new Google Ads account?                                              You’re about to create a new Google Ads account. You can                        create multiple campaigns in the same account without                        creating a new account.                                                  Cancel                                                      Create New Account                                          Campaigns &amp; tools                                  Search                                      Performance Max                                      Display                                      Shopping                                      Video                                      App                                      Smart                                      Demand Gen                                      Measurement                                         Conversion Tracking                                      Bidding                                      AI-powered Ad Solutions                                      Privacy                                      Tools                                         Keyword Planner                                      Manager Accounts                                      Google Ads Editor                                      Reach Planner                                      Google Ads Mobile App                                      Insights Finder                                      Google Ads API                                      Performance Planner                                      Experiments Page                                      Recommendations Page                                      Insights Page                                  Partners                                  Work with a Partner                                      Become a Partner                                  Resources                                  View all resources                                         Education                                         How it works                                   Start now                            Spend $500 and get $500 in ad credit.                                Terms and conditions apply.                                To help you get started with Google Ads we’ll give you $500 in                ad credit when you spend $500.                                Learn more                To help you get started with Google Ads we’ll give you                        $500 in ad credit when you spend $500.                            Claim this offer                          Terms and conditions for this offer:Offer available only while supplies last.                            Offer available only to advertisers which are new to                            Google Ads with a billing address in the United                            States. One promotional offer per advertiser.                                                      To activate this offer: Click on the button or link                            associated with this offer for it to be                            automatically applied to your first Google Ads                            account. The promotional offer must be applied to                            your first Google Ads account within 14 days of your                            first ad impression being served.                                                      The promotional offer will only be applied to your                            account if a payment profile and a valid payment                            method is added during the initial signup process.                                                      To earn the Google Ads credit: After the promotional                            offer is applied to your Google Ads account your                            advertising campaigns must accrue costs of at least                            $500 (excluding any taxes or applicable fees) within                            60 days. Making a payment of $500 is not sufficient.                            The tracking of advertising costs towards $500                            begins after the promotional offer is applied.                                                      Once step 5 is completed provided all eligibility                            checks are met the credit will typically be applied                            within 35 days to the Billing Summary of your Google                            Ads account.                                                      The credit expires 60 days after it is applied to                            your account.                                                      Credit applies to future advertising costs only.                            Credit cannot be applied to costs accrued before the                            promotional offer was applied to your Google Ads                            account.                                                      You won’t receive a notification once credit in your                            Google Ads account is used up and any additional                            advertising costs will be charged to your form of                            payment. If you don’t want to continue advertising                            you can pause or delete your campaigns at any time.                                                      Your account must be successfully billed by Google                            Ads and remain in good standing in order to remain                            eligible to use the credit.                                                      Google Ads reserves the right to remove the                            promotional offer from your account if a payment                            fails an offer was mistakenly applied you breach                            these terms or your account otherwise falls out of                            good standing. In such cases if the promotional                            credit has already been granted Google Ads reserves                            the right to nullify that credit.                                                      Full terms and conditions can be found here:                            https://www.google.com/intl/en_US/ads/coupons/terms/Choose your offer and get up to {AWARD_AMOUNT} in Ads                        creditNew advertiser? Choose between three attractive offers                        based on your budget to jumpstart your first                        campaign.                      Choose now                                         {AWARD_AMOUNT}                  Your {AWARD_AMOUNT} in Ads credit is ready to be                        claimedSign up for Google Ads and complete your payment                        information to apply the offer to your account.                        Terms and conditions apply                      Start now to claim                                         {AWARD_AMOUNT}                  Don’t forget to complete sign up to claim your                        offerSign up for Google Ads and complete your payment                        information to apply the {AWARD_AMOUNT} in Ads credits                        to your account.                        Terms and conditions apply                      Start now to claim                                 Drive sales Stand out Be found Show up with Google Ads          Drive salesStand outBe foundShow upwith Google AdsPlay animationPause animationDo more for your                  business with                  Google Ads                For whatever matters most make it easier for potential                customers to find your business with Google Ads.                                Start now                                  Start with an expert                 Choose a sign-up offer to jumpstart your first                        campaign                        Select an offer that fits your monthly budget and sign                        up when ready. You’ll receive your Ads credit after you                        meet the minimum spend requirement for the offer you                        selected. Terms and conditions apply.Choose a sign-up offer to jumpstart your first                          campaign                          Select an offer that fits your monthly budget and sign                          up when ready. You’ll receive your Ads credit after                          you meet the minimum spend requirement for the offer                          you selected. Terms and conditions apply.OFFER A{AWARD_AMOUNT_0}in Ads credit{AWARD_AMOUNT_0} in Ads credit                                    Spend {TARGET_AMOUNT_0} with Google Ads in                                    the first 60 days to unlock the credit.                                  OFFER B{AWARD_AMOUNT_1}in Ads credit{AWARD_AMOUNT_1} in Ads credit                                    Spend {TARGET_AMOUNT_1} with Google Ads in                                    the first 60 days to unlock the credit.                                  OFFER C{AWARD_AMOUNT_2}in Ads credit{AWARD_AMOUNT_2} in Ads credit                                    Spend {TARGET_AMOUNT_2} with Google Ads in                                    the first 60 days to unlock the credit.                                                              Select an offer to continue                          How to claim your offer                            Sign up and complete payment setup to apply the                            offer to your account.                                                      Start now to claim                                           Google Ads gives you many ways to be seen              Disable automatic scrolling in this section for better                  accessibility                    Search                    - Selected more information after list                    Display                    - Selected more information after list                    Shopping                    - Selected more information after list                    Video                    - Selected more information after list                    App                    - Selected more information after list                  Start with search                                  Help drive sales leads or site traffic by getting your                  business in front of people who are actively searching Google                  for products or services you offer.                                      Explore Search Ads                                      Engage the eye                                  Build awareness and consideration with memorable visually                  engaging ads that reach your audience when they’re online                  checking Gmail or using mobile apps.                                      Explore Display Ads                                      Offer up your inventory                                  Show up when people are shopping with visually engaging                  product listings and let them know what you have in stock to                  drive more sales.                                      Explore Shopping Ads                                      Bring your brand to life with video                                  Boost awareness of your brand follow up with former ad                  viewers and reach potential customers while they’re watching                  or searching for videos on YouTube.                                      Explore Video Ads                                      Promote your app                                  Reach people who are interested in apps like yours to drive                  installs or choose to re-engage current users to drive more                  in-app actions.                                      Explore App Ads                     Achieve all your goals in one place                          Learn more                                                    Maximize leads and conversions                                                      Get better quality leads and enhance conversions.                                                      Increase online sales                                                      Show up where shoppers are and increase site traffic                            and sales.                                                      Drive in-store foot traffic                                                      Bring people through your doors and increase offline                            sales.                                                      Show your brand to more people                                                      Put your brand out there to increase reach and                            engagement.                                                      Market your app to new users                                                      Put your app in front of the right users to drive                            downloads and engagement.                           The power of Google                  for your businessReach customers wherever they are                    Show up at the right time and place across the vast Google                    Ads ecosystem. Let Google’s AI find your best performing ad                    formats across Youtube Discover Search and more to                    maximize conversions.                  Track learn and optimize for ROI                    Track conversions to get unmatched audience insights.                    Google’s budget-optimizing automation helps you capture new                    customer opportunities with the highest ROI.                  Stay in full control of your budget                    Get recommendations decide your monthly budget and adjust                    at any time. Google technology helps you measure results and                    make the most of your ad spend.                  Reach customers wherever they are                                Show up at the right time and place across the                                vast Google Ads ecosystem. Let Google’s AI find                                your best performing ad formats across Youtube                                Discover Search and more to maximize                                conversions.                              Track learn and optimize for ROI                                Track conversions to get unmatched audience                                insights. Google’s budget-optimizing automation                                helps you capture new customer opportunities                                with the highest ROI.                              Stay in full control of your budget                                Get recommendations decide your monthly budget                                and adjust at any time. Google technology helps                                you measure results and make the most of your ad                                spend.                               What success looks like                      View all success stories                    400%ROI in 2021400%ROI in 2021                                        “There really is no better platform than                                        Google Ads to reach the entire world.”                                                                            Josh Kilmer-Purcell Co-owner Beekman                                      1802                                                                                  Watch their story                                            150%YoY growth150%YoY growth                                        “This year already we have a 300% ROI                                        in our Google Ads.”                                                                            Randy Williams Founder &amp; CEO Talley                                      &amp; Twine                                                                                  Watch their story                                            675%ROAS675%ROAS                                        Learn how Asutra earned a 675% return on                                        ad spend with Google Ads                                                                                    Watch their story                                             Let us help.                    Get started with our free personalized support. Create your                    custom ads plan with a Google Ads Expert.                                          1-800-838-7971                      Chat with us                        Schedule a meeting                      Footer links                Follow us              About Google AdsOverviewGoalsExpert supportMobile app for AndroidMobile app for iOSLearning &amp; supportYour guide to Google AdsGoogle Ads Help CenterGoogle Ads AnnouncementsGoogle Advertiser CommunityPrimerDevelopers &amp; partnersGoogle Developers SiteGoogle Ads ScriptsGoogle Ads Remarketing TagsRelated productsGoogle AnalyticsShopping CampaignsLocal ServicesBusiness ProfileChromeWaze Local adsMore solutionsBusiness SolutionsGoogle WorkspaceThink with GoogleAdsenseAdmobActual results will vary by advertiser.PrivacyTermsAbout GoogleGoogle productsHelpAlgérie - Français                  Español (Latinoamérica)                                  Argentina - Español (Latinoamérica)                Australia - English                  Azərbaycan - Azərbaycanca                Bangladesh - EnglishBelgique - FrançaisBelgië - Nederlands                  Bolivia - Español (Latinoamérica)                                  Brasil - Português (Brasil)                Canada - EnglishCanada - Français                  Chile - Español (Latinoamérica)                                  Colombia - Español (Latinoamérica)                                  Costa Rica - Español (Latinoamérica)                Cyprus - EnglishDanmark - DanskDeutschland - Deutsch                  Ecuador - Español (Latinoamérica)                Eesti - EestiEgypt - English                  El Salvador - Español (Latinoamérica)                EnglishEspanya - CatalàEspaña - Español                  Estados Unidos - Español (Latinoamérica)                France - Français                  Guatemala - Español (Latinoamérica)                                  Honduras - Español (Latinoamérica)                Hong Kong - EnglishHrvatska - HrvatskiIndia - English                  Indonesia - Bahasa Indonesia                Indonesia - EnglishIreland - EnglishItalia - ItalianoKyrgyzstan - KyLatvija - LatviešuLietuva - LietuviųMagyarország - Magyar                  Malaysia - Bahasa Melayu                Malaysia - EnglishMaroc - Français                  México - Español (Latinoamérica)                                  Nederland - Nederlands                Nepal - EnglishNew Zealand - English                  Nicaragua - Español (Latinoamérica)                Nigeria - EnglishNorge - NorskPakistan - English                  Panamá - Español (Latinoamérica)                                  Paraguay - Español (Latinoamérica)                                  Perú - Español (Latinoamérica)                Philippines - EnglishPilipinas - FilipinoPolska - Polski                  Portugal - Português (Portugal)                                  Puerto Rico - Español (Latinoamérica)                                  Republica Moldova - Română                                  República Dominicana - Español (Latinoamérica)                România - Română                  Saudi Arabia - English                Schweiz - DeutschSingapore - English                  Slovenija - Slovenščina                                  Slovensko - Slovenčina                                  South Africa - English                Sri Lanka - EnglishSuisse - FrançaisSuomi - SuomiSverige - SvenskaTunisie - FrançaisTürkiye - Türkçe                  United Arab Emirates - English                                  United Kingdom - English                                  United States - English                                  Uruguay - Español (Latinoamérica)                                  Venezuela - Español (Latinoamérica)                Việt Nam - Tiếng ViệtÖsterreich - Deutsch                  Česká Republika - Čeština                Ελλάδα - ΕλληνικάБеларусь - РусскийБългария - БългарскиКазахстан - РусскийМонгол - МонголРоссия - РусскийСрбија - СрпскиТаджикистан - Русский                  Туркменистан - Русский                Україна - УкраїнськаЎзбекистон - ЎзбекՀայաստան - Հայերենभारत - हिन्दीไทย - ไทยსაქართველო - ქართული‫ישראל - עברית‬                  ‫الإمارات العربية المتحدة - العربية‬                ‫الجزائر - العربية‬‫العربية‬‫الكويت - العربية‬‫المغرب - العربية‬                  ‫المملكة العربية السعودية - العربية‬                ‫تونس - العربية‬‫قطر - العربية‬‫مصر - العربية‬                  中国 - 中文（简体中文）                                  台灣 - 中文（繁體中文）                日本 - 日本語                  香港 - 中文（繁體中文）                대한민국 - 한국어</v>
      </c>
    </row>
    <row r="339">
      <c r="A339" s="1" t="s">
        <v>1076</v>
      </c>
      <c r="B339" s="1" t="s">
        <v>1102</v>
      </c>
      <c r="C339" s="1" t="s">
        <v>1103</v>
      </c>
      <c r="D339" s="1">
        <v>8.0</v>
      </c>
      <c r="E339" s="4" t="s">
        <v>1104</v>
      </c>
      <c r="F339" s="1" t="s">
        <v>43</v>
      </c>
      <c r="G339" s="1" t="s">
        <v>1105</v>
      </c>
      <c r="H339" s="4" t="s">
        <v>1106</v>
      </c>
      <c r="I339" s="2">
        <v>-1.0</v>
      </c>
      <c r="J339" s="5" t="str">
        <f>IFERROR(__xludf.DUMMYFUNCTION("GOOGLETRANSLATE(A339)"),"Google")</f>
        <v>Google</v>
      </c>
      <c r="K339" s="6" t="str">
        <f>IFERROR(__xludf.DUMMYFUNCTION("GOOGLETRANSLATE(B339)"),"Google Meet - Online Video Calls, Meetings and Conferencing")</f>
        <v>Google Meet - Online Video Calls, Meetings and Conferencing</v>
      </c>
      <c r="L339" s="5" t="str">
        <f>IFERROR(__xludf.DUMMYFUNCTION("GOOGLETRANSLATE(C339)"),"Real-time meetings by Google. Using your browser, share your video, desktop, and presentations with teammates and customers.")</f>
        <v>Real-time meetings by Google. Using your browser, share your video, desktop, and presentations with teammates and customers.</v>
      </c>
      <c r="M339" s="5" t="str">
        <f>IFERROR(__xludf.DUMMYFUNCTION("GOOGLETRANSLATE(G339)"),"Google Meet: Online Video Meetings and Calls | Google WorkspaceJump to Content            Sign in        Join a meetingJoinStart a meeting  Jump to Content         Using Meet for work?              Try Google Workspace Individual              Google Duo i"&amp;"s now Google Meet.              Learn more      Video calls and meetings for everyone.Google Meet is one service for secure high-quality video meetings and calls available for everyone on any device. Start a meetingor JoinDon't have an account? Get Starte"&amp;"d Now              See what you can do with Google Meet              Meet safelyMeet uses the same protections that Google uses to secure your information and safeguard your privacy. Meet video conferences are encrypted in transit and our array of safety "&amp;"measures are continuously updated for added protection.            Learn more about security and compliance         Meet from anywhereGet the whole crew together in Google Meet where you can present business proposals collaborate on chemistry assignments "&amp;"or just catch up face to face.Businesses schools and other organizations can live stream meetings to 100000 viewers within their domain.            See plans and pricing for organizations         Meet on any device anywhereGuests can join from their compu"&amp;"ter using any modern web browser—no software to install. On mobile devices they can join from the Google Meet app. Guests can even join meetings and calls from Google Nest Hub Max.            Enable hybrid work with Chrome OS devices         Meet clearlyG"&amp;"oogle Meet adjusts to your network speed ensuring high quality video calls wherever you are. New AI enhancements keep your calls clear even when your surroundings aren’t. Meet with everyoneWith live captions powered by Google’s speech recognition technolo"&amp;"gy Google Meet makes meetings more accessible. For non-native speakers hearing impaired participants or just noisy coffee shops live captions make it easy for everyone to follow along (available in English only).            Learn more about accessibility "&amp;"features         Stay connectedSimple scheduling easy recording and adaptive layouts help people stay engaged and connected.Share your screenPresent documents slides and spreadsheets by showing your entire screen or just a window.Host large meetingsInvite"&amp;" up to 500 internal or external participants to a meeting.Join from your phoneUse the Google Meet app to join a video call or join audio-only by calling the dial-in number in the meeting invite.Take controlMeetings are safe by default. Owners can control "&amp;"who can join the meeting; only people approved by the meeting owner can enter.Broadcast internal eventsLive stream events such as town halls and sales meetings for up to 100000 viewers within your domain.Leading companies trust Google MeetTop questions   "&amp;"               Expand all                                  Collapse all                                    What is the difference between Google Hangouts Hangouts Meet and Google Meet?                  Hangouts Meet and Hangouts Chat were rebranded to Goo"&amp;"gle Meet and Google Chat in April 2020. We announced in 2019 that we would be migrating all classic Hangouts users to the new Meet and Chat products. In order to provide enterprise-grade online video conferencing to everyone we announced a no-cost version"&amp;" of Google Meet in May 2020.                    Is Google Meet safe?                  Yes. Meet takes advantage of Google Cloud’s secure-by-design infrastructure to help protect your data and safeguard your privacy. You can learn about our privacy commitm"&amp;"ents counter-abuse measures and data protection here.                    Can external participants join a call?                  Absolutely. For the no-cost version of Google Meet all participants will need to be signed into a Google Account to join. You "&amp;"can create a Google Account with a work or personal email address. For Google Workspace customers once you’ve created a meeting you can invite anyone to join even if they don’t have a Google Account. Just share the link or meeting ID with all meeting part"&amp;"icipants.                    What does Google Meet cost?                  Anyone with a Google Account can create a video meeting invite up to 100 participants and meet for up to 60 minutes per meeting at no cost. For additional features such as internati"&amp;"onal dial-in numbers meeting recording live streaming and administrative controls see plans and pricing for organizations.                    Do Google Meet links expire?                  Each meeting is given a unique meeting code which has an expiration"&amp;" time based on what Workspace product the meeting is created from. Read more here.                    Is Google Meet compliant with my industry requirements?                  Our products including Google Meet regularly undergo independent verification of"&amp;" their security privacy and compliance controls achieving certifications attestations of compliance or audit reports against standards around the world. Our global list of certifications and attestations can be found here.                    My organizati"&amp;"on uses Google Workspace. Why don’t I see Google Meet in Calendar?                  IT administrators control Google Workspace settings such as whether Google Meet is the default video conferencing solution in Google Calendar. Visit the Google Workspace A"&amp;"dmin Help Center to learn how to activate Google Meet in your organization.GoogleAbout GoogleGoogle productsPrivacyTerms            Help        Change language or region                Afrikaans - Afrikaans                Amharic - አማርኛ (Amharic)         "&amp;"       Arabic - ‫العربية‬                Bulgarian - български                Bengali - বাংলা                Catalan - català                Czech - Čeština                Danish - Dansk                German - Deutsch                Greek - Ελληνικά     "&amp;"           English (United States) - English (United States)                English (UK) - English - UK                Spanish - Español                Spanish (Latin American) - Español (Latinoamérica)                Estonian - eesti                Basqu"&amp;"e - Euskara                Persian - فارسی                Finnish - Suomi                Filipino - Filipino                French - Français                French (Canada) - Français – Canada                Galician - Galego                Gujarati - ગુજ"&amp;"રાતી                Hindi - हिन्दी                Croatian - Hrvatski                Hungarian - Magyar                Indonesian - Bahasa Indonesia                Icelandic - íslenska                Italian - Italiano                Hebrew - ‫עברית‬     "&amp;"           Japanese - 日本語                Kannada - ಕನ್ನಡ                Korean - 한국어                Lithuanian - Lietuviu                Latvian - Latviešu                Malayalam - മലയാളം                Marathi - मराठी                Malay - Melayu     "&amp;"           Dutch - Nederlands                Norwegian - Norsk                Polish - Polski                Portuguese (Brazil) - Português (Brasil)                Portuguese (Portugal) - Português (Portugal)                Romanian - Română             "&amp;"   Russian - Русский                Slovak - Slovenčina                Slovenian - Slovenščina                Serbian - Српски                Swedish - Svenska                Swahili - Kiswahili                Tamil - தமிழ்                Telegu - తెలుగు "&amp;"               Thai - ไทย                Turkish - Türkçe                Ukrainian - Українська                Urdu - اردو                Vietnamese - Tiếng Việt                Chinese (Simplified) - 中文（简体中文）                Chinese (Hong Kong) - 中文 (香港)  "&amp;"              Chinese (Traditional) - 中文（繁體中文）                Zulu - isiZulu")</f>
        <v>Google Meet: Online Video Meetings and Calls | Google WorkspaceJump to Content            Sign in        Join a meetingJoinStart a meeting  Jump to Content         Using Meet for work?              Try Google Workspace Individual              Google Duo is now Google Meet.              Learn more      Video calls and meetings for everyone.Google Meet is one service for secure high-quality video meetings and calls available for everyone on any device. Start a meetingor JoinDon't have an account? Get Started Now              See what you can do with Google Meet              Meet safelyMeet uses the same protections that Google uses to secure your information and safeguard your privacy. Meet video conferences are encrypted in transit and our array of safety measures are continuously updated for added protection.            Learn more about security and compliance         Meet from anywhereGet the whole crew together in Google Meet where you can present business proposals collaborate on chemistry assignments or just catch up face to face.Businesses schools and other organizations can live stream meetings to 100000 viewers within their domain.            See plans and pricing for organizations         Meet on any device anywhereGuests can join from their computer using any modern web browser—no software to install. On mobile devices they can join from the Google Meet app. Guests can even join meetings and calls from Google Nest Hub Max.            Enable hybrid work with Chrome OS devices         Meet clearlyGoogle Meet adjusts to your network speed ensuring high quality video calls wherever you are. New AI enhancements keep your calls clear even when your surroundings aren’t. Meet with everyoneWith live captions powered by Google’s speech recognition technology Google Meet makes meetings more accessible. For non-native speakers hearing impaired participants or just noisy coffee shops live captions make it easy for everyone to follow along (available in English only).            Learn more about accessibility features         Stay connectedSimple scheduling easy recording and adaptive layouts help people stay engaged and connected.Share your screenPresent documents slides and spreadsheets by showing your entire screen or just a window.Host large meetingsInvite up to 500 internal or external participants to a meeting.Join from your phoneUse the Google Meet app to join a video call or join audio-only by calling the dial-in number in the meeting invite.Take controlMeetings are safe by default. Owners can control who can join the meeting; only people approved by the meeting owner can enter.Broadcast internal eventsLive stream events such as town halls and sales meetings for up to 100000 viewers within your domain.Leading companies trust Google MeetTop questions                  Expand all                                  Collapse all                                    What is the difference between Google Hangouts Hangouts Meet and Google Meet?                  Hangouts Meet and Hangouts Chat were rebranded to Google Meet and Google Chat in April 2020. We announced in 2019 that we would be migrating all classic Hangouts users to the new Meet and Chat products. In order to provide enterprise-grade online video conferencing to everyone we announced a no-cost version of Google Meet in May 2020.                    Is Google Meet safe?                  Yes. Meet takes advantage of Google Cloud’s secure-by-design infrastructure to help protect your data and safeguard your privacy. You can learn about our privacy commitments counter-abuse measures and data protection here.                    Can external participants join a call?                  Absolutely. For the no-cost version of Google Meet all participants will need to be signed into a Google Account to join. You can create a Google Account with a work or personal email address. For Google Workspace customers once you’ve created a meeting you can invite anyone to join even if they don’t have a Google Account. Just share the link or meeting ID with all meeting participants.                    What does Google Meet cost?                  Anyone with a Google Account can create a video meeting invite up to 100 participants and meet for up to 60 minutes per meeting at no cost. For additional features such as international dial-in numbers meeting recording live streaming and administrative controls see plans and pricing for organizations.                    Do Google Meet links expire?                  Each meeting is given a unique meeting code which has an expiration time based on what Workspace product the meeting is created from. Read more here.                    Is Google Meet compliant with my industry requirements?                  Our products including Google Meet regularly undergo independent verification of their security privacy and compliance controls achieving certifications attestations of compliance or audit reports against standards around the world. Our global list of certifications and attestations can be found here.                    My organization uses Google Workspace. Why don’t I see Google Meet in Calendar?                  IT administrators control Google Workspace settings such as whether Google Meet is the default video conferencing solution in Google Calendar. Visit the Google Workspace Admin Help Center to learn how to activate Google Meet in your organization.GoogleAbout GoogleGoogle productsPrivacyTerms            Help        Change language or region                Afrikaans - Afrikaans                Amharic - አማርኛ (Amharic)                Arabic - ‫العربية‬                Bulgarian - български                Bengali - বাংলা                Catalan - català                Czech - Čeština                Danish - Dansk                German - Deutsch                Greek - Ελληνικά                English (United States) - English (United States)                English (UK) - English - UK                Spanish - Español                Spanish (Latin American) - Español (Latinoamérica)                Estonian - eesti                Basque - Euskara                Persian - فارسی                Finnish - Suomi                Filipino - Filipino                French - Français                French (Canada) - Français – Canada                Galician - Galego                Gujarati - ગુજરાતી                Hindi - हिन्दी                Croatian - Hrvatski                Hungarian - Magyar                Indonesian - Bahasa Indonesia                Icelandic - íslenska                Italian - Italiano                Hebrew - ‫עברית‬                Japanese - 日本語                Kannada - ಕನ್ನಡ                Korean - 한국어                Lithuanian - Lietuviu                Latvian - Latviešu                Malayalam - മലയാളം                Marathi - मराठी                Malay - Melayu                Dutch - Nederlands                Norwegian - Norsk                Polish - Polski                Portuguese (Brazil) - Português (Brasil)                Portuguese (Portugal) - Português (Portugal)                Romanian - Română                Russian - Русский                Slovak - Slovenčina                Slovenian - Slovenščina                Serbian - Српски                Swedish - Svenska                Swahili - Kiswahili                Tamil - தமிழ்                Telegu - తెలుగు                Thai - ไทย                Turkish - Türkçe                Ukrainian - Українська                Urdu - اردو                Vietnamese - Tiếng Việt                Chinese (Simplified) - 中文（简体中文）                Chinese (Hong Kong) - 中文 (香港)                Chinese (Traditional) - 中文（繁體中文）                Zulu - isiZulu</v>
      </c>
    </row>
    <row r="340">
      <c r="A340" s="1" t="s">
        <v>1076</v>
      </c>
      <c r="B340" s="1" t="s">
        <v>1107</v>
      </c>
      <c r="C340" s="1" t="s">
        <v>1108</v>
      </c>
      <c r="D340" s="1">
        <v>9.0</v>
      </c>
      <c r="E340" s="4" t="s">
        <v>1109</v>
      </c>
      <c r="F340" s="1" t="s">
        <v>43</v>
      </c>
      <c r="G340" s="1" t="s">
        <v>1110</v>
      </c>
      <c r="H340" s="4" t="s">
        <v>1111</v>
      </c>
      <c r="I340" s="2">
        <v>-1.0</v>
      </c>
      <c r="J340" s="5" t="str">
        <f>IFERROR(__xludf.DUMMYFUNCTION("GOOGLETRANSLATE(A340)"),"Google")</f>
        <v>Google</v>
      </c>
      <c r="K340" s="6" t="str">
        <f>IFERROR(__xludf.DUMMYFUNCTION("GOOGLETRANSLATE(B340)"),"Google Cloud: Cloud Computing Services")</f>
        <v>Google Cloud: Cloud Computing Services</v>
      </c>
      <c r="L340" s="5" t="str">
        <f>IFERROR(__xludf.DUMMYFUNCTION("GOOGLETRANSLATE(C340)"),"Meet your business challenges head on with cloud computing services from Google, including data management, hybrid &amp; multi-cloud, and AI &amp; ML.")</f>
        <v>Meet your business challenges head on with cloud computing services from Google, including data management, hybrid &amp; multi-cloud, and AI &amp; ML.</v>
      </c>
      <c r="M340" s="5" t="str">
        <f>IFERROR(__xludf.DUMMYFUNCTION("GOOGLETRANSLATE(G340)"),"Cloud Computing Services | Google CloudGet $300 in free credits and free usage of 20+ productsThe new way to cloud starts hereBuild apps fast leverage generative AI and analyze data in seconds—all with Google-grade security. Get started for freeContact sa"&amp;"lesWhat's newFor developersEventMissed the Next ‘23 keynote? Watch the broadcast on demandNew productsExplore our latest generative AI productsGenerative AI NavigatorGet gen AI recommendations for your business and industryDeveloper offerGet $300 in free "&amp;"credits and free usage of 20+ productsDeveloper CenterLearn skills build with sample code and access resourcesAI SummitLearn how to turn your ideas into apps with gen AI tools on Dec 13-14What's newEventMissed the Next ‘23 keynote? Watch the broadcast on "&amp;"demandNew productsExplore our latest generative AI productsGenerative AI NavigatorGet gen AI recommendations for your business and industryFor developersDeveloper offerGet $300 in free credits and free usage of 20+ productsDeveloper CenterLearn skills bui"&amp;"ld with sample code and access resourcesAI SummitLearn how to turn your ideas into apps with gen AI tools on Dec 13-14Choose from over 150 cutting-edge productsExplore and assess Google Cloud with free usage of over 20 products plus new customers get $300"&amp;" in free credits on signup.Get startedSee all productsAI and machine learningBuild generative AI applications quickly and responsibly—powered by Google’s most advanced technologyImprove customer service with Contact Center AI’s virtual agents and conversa"&amp;"tional AI products like Speech-to-TextBuild deploy and scale more effective AI models with our unified machine learning platform Vertex AIGet AI-powered code generation recommendations and completion across Google Cloud products from Duet AIComputeCreate "&amp;"and run customizable virtual machines with Compute Engine. For scale-out workloads Tau VMs offer 42% better price performance over comparable cloud offerings.Automatically deploy scale and manage containers with Google Kubernetes Engine or Cloud RunMigrat"&amp;"e your apps at your own pace by moving directly to virtual machines or automatically modernizing to containers—without rewriting codeStorageStore any type of data any amount of data and retrieve it as often as you’d like with object storageTransfer data w"&amp;"ith online and offline transfer solutions including Storage Transfer Service and Transfer AppliancePersistent Disk block storage is fully integrated with Google Cloud products like Compute Engine and GKEDatabasesReduce maintenance costs with fully managed"&amp;" MySQL PostgreSQL and SQL Server databasesSimplify migrations to Cloud SQL from MySQL and PostgreSQL with the Database Migration ServiceDevelop rich applications using a fully managed scalable and serverless document databaseData analyticsRun analytics at"&amp;" scale with 26%–34% lower three-year TCO on BigQuery compared to cloud data warehouse alternativesIngest process and analyze event streams in real time to make data more usefulReveal the true power of your data and bring clarity to every situation with Lo"&amp;"oker and Google CloudNetworkingHelp protect your applications and websites against denial of service and web attacks with Cloud ArmorQuickly and securely scale web and video content delivery with Cloud CDNExplore hybrid connectivity options including VPN "&amp;"peering and enterprise supportDeveloper toolsWrite debug and run cloud-native applications locally or in the cloud—quickly and easily with Cloud CodeWith Cloud Build continuously build test and deploy software across all languages and in multiple environm"&amp;"entsDeploy pre-built solution templates—with an active Google Cloud account—including dynamic websites load balanced VMs and three tier web apps.Save up to 30% over 3 years compared to other clouds with products like Anthos BigQuery and Active Assist.Requ"&amp;"est a quoteBuild and scale your startup with your first year covered by Google Cloud credits plus get support to help your startup grow.Learn more about the programSolve your business problems with our industry solutionsFrom improving retail product disco"&amp;"very to detecting bank fraud our industry solutions tackle your biggest challenges.Request a demoRetailConsumer packaged goodsFinancial servicesHealthcare and life sciencesMedia and entertainmentTelecommunicationsGamingManufacturingSupply chain and logist"&amp;"icsGovernmentEducationSee all industries9 / top 10retail companies trust Google CloudThe largest US beauty retailer easily supported a 9X growth in user traffic with Google Cloud’s highly scalable infrastructure. Discover what you can do with our retail s"&amp;"olutions.Explore retail solutionsRetailConsumer packaged goodsFinancial servicesHealthcare and life sciencesMedia and entertainmentTelecommunicationsGamingManufacturingSupply chain and logisticsGovernmentEducationSee all industriesBuild with the cloud pla"&amp;"tform designed for developersGet started with Google Cloud’s easy-to-use platform tools and APIsGet started for freeAI-powered collaboratorIntroducing Duet AI for Google CloudConsole tourGet started with Google Cloud consoleHow-toBuild tune and deploy fou"&amp;"ndation models with Vertex AIPRODUCTS SPOTLIGHTGoogle Cloud products explained in 1 minuteDiscover more developer toolsIntroducing Duet AI for Google CloudGet started with Google Cloud consoleBuild tune and deploy foundation models with Vertex AIGoogle Cl"&amp;"oud products explained in 1 minuteDiscover more developer toolsExplore technical blogs how-tos and resourcesVisit the Developer CenterStart learning Google Cloud skills at your own paceExplore developer trainingGet special invitations technical AMAs and m"&amp;"oreJoin Google Cloud InnovatorsCustomer innovation happens on Google Cloud2:55TIME gets a 360 degree view of its customers and gives the whole company access to metrics Watch the video3:15Goldman Sachs empowers its team to analyze data and scale compute p"&amp;"ower confidentlyWatch the video2:54Spotify powers the playlists of 381 million monthly listeners with Google CloudWatch the videoFrontier Development Lab in partnership with NASA analyzed a 20-year data bottleneck in 20 mins with Google Cloud AILaunch the"&amp;" demo1:55Cardinal Health saved 25% quarter over quarter by migrating to Google CloudWatch the videoLeading companies solve for innovation with Google CloudRead the EbookSee more customersCloud computing ready for businessWhether you’re migrating or alread"&amp;"y in the cloud we’ll help you modernize and digitally transform your business.Talk to usRun and build your apps anywhereAvoid vendor lock-in and speed up development with Google Cloud’s commitment to open source hybrid and multicloud.Make smarter decision"&amp;"s with the leading data platformGive anyone on your team access to business insights with advanced machine learning and analytics.Protect what's importantHelp defend your data and apps against threats and fraudulent activity with the same security technol"&amp;"ogy Google uses.Transform how your teams collaborate—from anywhereIntegrate video calling email chat and document collaboration in one place.Let’s start building your tomorrow todayGet started for freeContact salesCall our sales team844-613-7589Run on the"&amp;" industry’s cleanest cloudLearn moreGet updates with the Google Cloud newsletterSubscribemenuOverviewSolutionsProductsPricingResourcesDocsSupportContact UsDocsSupport language‪English‬‪English‬‪Deutsch‬‪Español‬‪Español (Latinoamérica)‬‪Français‬‪Indones"&amp;"ia‬‪Italiano‬‪Português (Brasil)‬‪简体中文‬‪繁體中文‬‪日本語‬‪한국어‬ConsoleSign inStart freeStart freeContact UscloseAccelerate your digital transformationWhether your business is early in its journey or well on its way to digital transformation Google Cloud can help "&amp;"solve your toughest challenges.Learn moreKey benefitsWhy Google CloudTop reasons businesses choose us.AI and MLGet enterprise-ready AI.MulticloudRun your apps wherever you need them.Global infrastructureBuild on the same infrastructure as Google.Data Clou"&amp;"dMake smarter decisions with unified data.Open cloudScale with open flexible technology.Trust and securityKeep your data secure and compliant.Productivity and collaborationConnect your teams with AI-powered apps.Reports and insightsExecutive insightsCurat"&amp;"ed C-suite perspectives.Analyst reportsRead what industry analysts say about us.WhitepapersBrowse and download popular whitepapers.Customer storiesExplore case studies and videos.closeIndustry SolutionsApplication ModernizationArtificial IntelligenceAPIs "&amp;"and ApplicationsDatabasesData CloudDigital TransformationInfrastructure ModernizationProductivity and CollaborationSecuritySmart AnalyticsStartups and SMBSee all solutionsIndustry SolutionsReduce cost increase operational agility and capture new market op"&amp;"portunities.RetailAnalytics and collaboration tools for the retail value chain.Consumer Packaged GoodsSolutions for CPG digital transformation and brand growth.Financial ServicesComputing data management and analytics tools for financial services.Healthca"&amp;"re and Life SciencesAdvance research at scale and empower healthcare innovation.Media and EntertainmentSolutions for content production and distribution operations.TelecommunicationsHybrid and multi-cloud services to deploy and monetize 5G.GamesAI-driven "&amp;"solutions to build and scale games faster.ManufacturingMigration and AI tools to optimize the manufacturing value chain.Supply Chain and LogisticsEnable sustainable efficient and resilient data-driven operations across supply chain and logistics operation"&amp;"s.GovernmentData storage AI and analytics solutions for government agencies.EducationTeaching tools to provide more engaging learning experiences.Not seeing what you're looking for?See all industry solutionsApplication ModernizationAssess plan implement a"&amp;"nd measure software practices and capabilities to modernize and simplify your organization’s business application portfolios.CAMPProgram that uses DORA to improve your software delivery capabilities.Modernize Traditional ApplicationsAnalyze categorize and"&amp;" get started with cloud migration on traditional workloads.Migrate from PaaS: Cloud Foundry OpenshiftTools for moving your existing containers into Google's managed container services.Migrate from MainframeAutomated tools and prescriptive guidance for mov"&amp;"ing your mainframe apps to the cloud.Modernize Software DeliverySoftware supply chain best practices - innerloop productivity CI/CD and S3C.DevOps Best PracticesProcesses and resources for implementing DevOps in your org.SRE PrinciplesTools and resources "&amp;"for adopting SRE in your org.Day 2 Operations for GKETools and guidance for effective GKE management and monitoring.FinOps and Optimization of GKEBest practices for running reliable performant and cost effective applications on GKE.Run Applications at the"&amp;" EdgeGuidance for localized and low latency apps on Google’s hardware agnostic edge solution.Architect for MulticloudManage workloads across multiple clouds with a consistent platform.Go ServerlessFully managed environment for developing deploying and sca"&amp;"ling apps.Artificial IntelligenceAdd intelligence and efficiency to your business with AI and machine learning.Contact Center AIAI model for speaking with customers and assisting human agents.Document AIDocument processing and data capture automated at sc"&amp;"ale.Product DiscoveryGoogle-quality search and product recommendations for retailers.APIs and ApplicationsSpeed up the pace of innovation without coding using APIs apps and automation.New Business Channels Using APIsAttract and empower an ecosystem of dev"&amp;"elopers and partners.Unlocking Legacy Applications Using APIsCloud services for extending and modernizing legacy apps.Open Banking APIxSimplify and accelerate secure delivery of open banking compliant APIs.DatabasesMigrate and manage enterprise data with "&amp;"security reliability high availability and fully managed data services.Database MigrationGuides and tools to simplify your database migration life cycle.Database ModernizationUpgrades to modernize your operational database infrastructure.Databases for Gam"&amp;"esBuild global live games with Google Cloud databases.Google Cloud DatabasesDatabase services to migrate manage and modernize data.Migrate Oracle workloads to Google CloudRehost replatform rewrite your Oracle workloads.Open Source DatabasesFully managed o"&amp;"pen source databases with enterprise-grade support.SQL Server on Google CloudOptions for running SQL Server virtual machines on Google Cloud.Data CloudUnify data across your organization with an open and simplified approach to data-driven transformation t"&amp;"hat is unmatched for speed scale and security with AI built-in.Databases SolutionsMigrate and manage enterprise data with security reliability high availability and fully managed data services.Smart Analytics SolutionsGenerate instant insights from data a"&amp;"t any scale with a serverless fully managed analytics platform that significantly simplifies analytics.AI SolutionsAdd intelligence and efficiency to your business with AI and machine learning.Data Cloud for ISVsInnovate optimize and amplify your SaaS app"&amp;"lications using Google's data and machine learning solutions such as BigQuery Looker Spanner and Vertex AI.Data Cloud AllianceAn initiative to ensure that global businesses have more seamless access and insights into the data required for digital transfor"&amp;"mation.Digital TransformationAccelerate business recovery and ensure a better future with solutions that enable hybrid and multi-cloud generate intelligent insights and keep your workers connected.Digital InnovationReimagine your operations and unlock new"&amp;" opportunities.Operational EfficiencyPrioritize investments and optimize costs.COVID-19 SolutionsGet work done more safely and securely.COVID-19 Solutions for the Healthcare IndustryHow Google is helping healthcare meet extraordinary challenges.Infrastruc"&amp;"ture ModernizationMigrate quickly with solutions for SAP VMware Windows Oracle and other workloads.Application MigrationDiscovery and analysis tools for moving to the cloud.SAP on Google CloudCertifications for running SAP applications and SAP HANA.High P"&amp;"erformance ComputingCompute storage and networking options to support any workload.Windows on Google CloudTools and partners for running Windows workloads.Data Center MigrationMigration solutions for VMs apps databases and more.Active AssistAutomatic clou"&amp;"d resource optimization and increased security.Virtual DesktopsRemote work solutions for desktops and applications (VDI &amp; DaaS).Rapid Migration Program (RaMP)End-to-end migration program to simplify your path to the cloud.Backup and Disaster RecoveryEnsur"&amp;"e your business continuity needs are met.Productivity and CollaborationChange the way teams work with solutions designed for humans and built for impact.Google WorkspaceCollaboration and productivity tools for enterprises.Google Workspace EssentialsSecure"&amp;" video meetings and modern collaboration for teams.Cloud IdentityUnified platform for IT admins to manage user devices and apps.Chrome EnterpriseChromeOS Chrome Browser and Chrome devices built for business.Cloud SearchEnterprise search for employees to q"&amp;"uickly find company information.SecurityDetect investigate and respond to online threats to help protect your business.Security Analytics and OperationsSolution for analyzing petabytes of security telemetry.Web App and API ProtectionThreat and fraud prote"&amp;"ction for your web applications and APIs.Security and Resilience FrameworkSolutions for each phase of the security and resilience life cycle.Risk and compliance as code (RCaC)Solution to modernize your governance risk and compliance function with automati"&amp;"on.Software Supply Chain SecuritySolution for improving end-to-end software supply chain security.Security FoundationRecommended products to help achieve a strong security posture.Smart AnalyticsGenerate instant insights from data at any scale with a serv"&amp;"erless fully managed analytics platform that significantly simplifies analytics.Data Warehouse ModernizationData warehouse to jumpstart your migration and unlock insights.Data Lake ModernizationServices for building and modernizing your data lake.Spark on"&amp;" Google CloudRun and write Spark where you need it serverless and integrated.Stream AnalyticsInsights from ingesting processing and analyzing event streams.Business IntelligenceSolutions for modernizing your BI stack and creating rich data experiences.Dat"&amp;"a SciencePut your data to work with Data Science on Google Cloud.Marketing AnalyticsSolutions for collecting analyzing and activating customer data.Geospatial Analytics and AISolutions for building a more prosperous and sustainable business.DatasetsData f"&amp;"rom Google public and commercial providers to enrich your analytics and AI initiatives.Startups and SMBAccelerate startup and SMB growth with tailored solutions and programs.Startup SolutionsGrow your startup and solve your toughest challenges using Googl"&amp;"e’s proven technology.Startup ProgramGet financial business and technical support to take your startup to the next level.Small and Medium BusinessExplore solutions for web hosting app development AI and analytics.Software as a ServiceBuild better SaaS pro"&amp;"ducts scale efficiently and grow your business.closeFeatured ProductsAI and Machine LearningBusiness IntelligenceComputeContainersData AnalyticsDatabasesDeveloper ToolsDistributed CloudHybrid and MulticloudIndustry SpecificIntegration ServicesManagement T"&amp;"oolsMaps and GeospatialMedia ServicesMigrationMixed RealityNetworkingOperationsProductivity and CollaborationSecurity and IdentityServerlessStorageWeb3See all products (100+)Featured ProductsCompute EngineVirtual machines running in Google’s data center.C"&amp;"loud StorageObject storage that’s secure durable and scalable.BigQueryData warehouse for business agility and insights.Cloud RunFully managed environment for running containerized apps.Google Kubernetes EngineManaged environment for running containerized "&amp;"apps.Vertex AI PlatformUnified platform for ML models and generative AI.LookerPlatform for BI data applications and embedded analytics.Apigee API ManagementManage the full life cycle of APIs anywhere with visibility and control.Cloud SQLRelational databas"&amp;"e services for MySQL PostgreSQL and SQL Server.Cloud SDKCommand-line tools and libraries for Google Cloud.Cloud CDNContent delivery network for delivering web and video.Not seeing what you're looking for?See all products (100+)AI and Machine LearningVerte"&amp;"x AI PlatformUnified platform for ML models and generative AI.Generative AI on Vertex AIBuild tune and deploy foundation models on Vertex AI.Vertex AI Search and ConversationGenerative AI apps for search and conversational AI.DialogflowLifelike conversati"&amp;"onal AI with state-of-the-art virtual agents.Natural Language AISentiment analysis and classification of unstructured text.Speech-to-TextSpeech recognition and transcription across 125 languages.Text-to-SpeechSpeech synthesis in 220+ voices and 40+ langua"&amp;"ges.Translation AILanguage detection translation and glossary support.Document AIDocument processing and data capture automated at scale.Vision AICustom and pre-trained models to detect emotion text and more.Contact Center AIAI model for speaking with cus"&amp;"tomers and assisting human agents.Not seeing what you're looking for?See all AI and machine learning productsBusiness IntelligenceLookerPlatform for BI data applications and embedded analytics.Looker StudioInteractive data suite for dashboarding reporting"&amp;" and analytics.ComputeCompute EngineVirtual machines running in Google’s data center.App EngineServerless application platform for apps and back ends.Cloud GPUsGPUs for ML scientific computing and 3D visualization.Migrate to Virtual MachinesServer and vir"&amp;"tual machine migration to Compute Engine.Spot VMsCompute instances for batch jobs and fault-tolerant workloads.BatchFully managed service for scheduling batch jobs.Sole-Tenant NodesDedicated hardware for compliance licensing and management.Bare MetalInfra"&amp;"structure to run specialized workloads on Google Cloud.RecommenderUsage recommendations for Google Cloud products and services.VMware EngineFully managed native VMware Cloud Foundation software stack.Cloud RunFully managed environment for running containe"&amp;"rized apps.Not seeing what you're looking for?See all compute productsContainersGoogle Kubernetes EngineManaged environment for running containerized apps.Cloud RunFully managed environment for running containerized apps.Cloud BuildSolution for running bu"&amp;"ild steps in a Docker container.Artifact RegistryPackage manager for build artifacts and dependencies.Cloud CodeIDE support to write run and debug Kubernetes applications.Cloud DeployFully managed continuous delivery to GKE and Cloud Run.Migrate to Contai"&amp;"nersComponents for migrating VMs into system containers on GKE.Deep Learning ContainersContainers with data science frameworks libraries and tools.KnativeComponents to create Kubernetes-native cloud-based software.Data AnalyticsBigQueryData warehouse for "&amp;"business agility and insights.LookerPlatform for BI data applications and embedded analytics.DataflowStreaming analytics for stream and batch processing.Pub/SubMessaging service for event ingestion and delivery.DataprocService for running Apache Spark and"&amp;" Apache Hadoop clusters.Cloud Data FusionData integration for building and managing data pipelines.Cloud ComposerWorkflow orchestration service built on Apache Airflow.DataprepService to prepare data for analysis and machine learning.DataplexIntelligent d"&amp;"ata fabric for unifying data management across silos.DataformBuild version control and deploy SQL workflows in BigQuery.Analytics HubService for securely and efficiently exchanging data analytics assets.Not seeing what you're looking for?See all data anal"&amp;"ytics productsDatabasesAlloyDB for PostgreSQLFully managed PostgreSQL-compatible database for enterprise workloads.Cloud SQLFully managed database for MySQL PostgreSQL and SQL Server.FirestoreCloud-native document database for building rich mobile web and"&amp;" IoT apps.Cloud SpannerCloud-native relational database with unlimited scale and 99.999% availability.Cloud BigtableCloud-native wide-column database for large-scale low-latency workloads.DatastreamServerless change data capture and replication service.Da"&amp;"tabase Migration ServiceServerless minimal downtime migrations to Cloud SQL.Developer ToolsArtifact RegistryUniversal package manager for build artifacts and dependencies.Cloud CodeIDE support to write run and debug Kubernetes applications.Cloud BuildCont"&amp;"inuous integration and continuous delivery platform.Cloud DeployFully managed continuous delivery to GKE and Cloud Run.Cloud Deployment ManagerService for creating and managing Google Cloud resources.Cloud SDKCommand-line tools and libraries for Google Cl"&amp;"oud.Cloud SchedulerCron job scheduler for task automation and management.Cloud Source RepositoriesPrivate Git repository to store manage and track code.Cloud TasksTask management service for asynchronous task execution.Cloud WorkstationsManaged and secure"&amp;" development environments in the cloud.Tools for PowerShellFull cloud control from Windows PowerShell.Not seeing what you're looking for?See all developer toolsDistributed CloudGoogle Distributed Cloud EdgeDistributed cloud services for edge workloads.Goo"&amp;"gle Distributed Cloud HostedDistributed cloud for air-gapped workloads.Hybrid and MulticloudGoogle Kubernetes EngineManaged environment for running containerized apps.Apigee API ManagementAPI management development and security platform.Migrate to Contain"&amp;"ersTool to move workloads and existing applications to GKE.Traffic DirectorTraffic control pane and management for open service mesh.Cloud BuildService for executing builds on Google Cloud infrastructure.OperationsMonitoring logging and application perfor"&amp;"mance suite.AnthosPlatform for modernizing existing apps and building new ones.Distributed CloudFully managed solutions for the edge and data centers.Industry SpecificAnti Money Laundering AIDetect suspicious potential money laundering activity with AI.Cl"&amp;"oud Healthcare APISolution for bridging existing care systems and apps on Google Cloud.Device Connect for FitbitGain a 360-degree patient view with connected Fitbit data on Google Cloud.Telecom Network AutomationReady to use cloud-native automation for te"&amp;"lecom networks.Telecom Data FabricTelecom data management and analytics with an automated approach.Telecom Subscriber InsightsIngests data to improve subscriber acquisition and retention.Spectrum Access System (SAS)Controls fundamental access to the Citiz"&amp;"ens Broadband Radio Service (CBRS).Integration ServicesApplication IntegrationConnect to 3rd party apps and enable data consistency without code.WorkflowsWorkflow orchestration for serverless products and API services.Apigee API ManagementManage the full "&amp;"life cycle of APIs anywhere with visibility and control.Cloud TasksTask management service for asynchronous task execution.Cloud SchedulerCron job scheduler for task automation and management.DataprocService for running Apache Spark and Apache Hadoop clus"&amp;"ters.Cloud Data FusionData integration for building and managing data pipelines.Cloud ComposerWorkflow orchestration service built on Apache Airflow.Pub/SubMessaging service for event ingestion and delivery.EventarcBuild an event-driven architecture that "&amp;"can connect any service.Management ToolsCloud ShellInteractive shell environment with a built-in command line.Cloud consoleWeb-based interface for managing and monitoring cloud apps.Cloud EndpointsDeployment and development management for APIs on Google C"&amp;"loud.Cloud IAMPermissions management system for Google Cloud resources.Cloud APIsProgrammatic interfaces for  Google Cloud services.Service CatalogService catalog for admins managing internal enterprise solutions.Cost ManagementTools for monitoring contro"&amp;"lling and optimizing your costs.OperationsMonitoring logging and application performance suite.Carbon FootprintDashboard to view and export Google Cloud carbon emissions reports.Config ConnectorKubernetes add-on for managing Google Cloud resources.Active "&amp;"AssistTools for easily managing performance security and cost.Not seeing what you're looking for?See all management toolsMaps and GeospatialEarth EngineGeospatial platform for Earth observation data and analysis.Google Maps PlatformCreate immersive locati"&amp;"on experiences and improve business operations.Media ServicesCloud CDNContent delivery network for serving web and video content.Live Steam APIService to convert live video and package for streaming.OpenCueOpen source render manager for visual effects and"&amp;" animation.Transcoder APIConvert video files and package them for optimized delivery.Video Stitcher APIService for dynamic or server side ad insertion.MigrationMigration CenterUnified platform for migrating and modernizing with Google Cloud.Application Mi"&amp;"grationApp migration to the cloud for low-cost refresh cycles.Migrate to Virtual MachinesComponents for migrating VMs and physical servers to Compute Engine.Cloud Foundation ToolkitReference templates for Deployment Manager and Terraform.Database Migratio"&amp;"n ServiceServerless minimal downtime migrations to Cloud SQL.Migrate to ContainersComponents for migrating VMs into system containers on GKE.BigQuery Data Transfer ServiceData import service for scheduling and moving data into BigQuery.Rapid Migration Pro"&amp;"gram (RaMP)End-to-end migration program to simplify your path to the cloud.Transfer ApplianceStorage server for moving large volumes of data to Google Cloud.Storage Transfer ServiceData transfers from online and on-premises sources to Cloud Storage.VMware"&amp;" EngineMigrate and run your VMware workloads natively on Google Cloud.Mixed RealityImmersive Stream for XRHosts renders and streams 3D and XR experiences.NetworkingCloud ArmorSecurity policies and defense against web and DDoS attacks.Cloud CDN and Media C"&amp;"DNContent delivery network for serving web and video content.Cloud DNSDomain name system for reliable and low-latency name lookups.Cloud Load BalancingService for distributing traffic across applications and regions.Cloud NATNAT service for giving private"&amp;" instances internet access.Cloud ConnectivityConnectivity options for VPN peering and enterprise needs.Network Connectivity CenterConnectivity management to help simplify and scale networks.Network Intelligence CenterNetwork monitoring verification and op"&amp;"timization platform.Network Service TiersCloud network options  based on performance availability and cost.Virtual Private CloudSingle VPC for an entire organization isolated within projects.Private Service ConnectSecure connection between your VPC and se"&amp;"rvices.Not seeing what you're looking for?See all networking productsOperationsCloud LoggingGoogle Cloud audit platform and application logs management.Cloud MonitoringInfrastructure and application health with rich metrics.Error ReportingApplication erro"&amp;"r identification and analysis.Cloud DebuggerReal-time application state inspection and in -production debugging.Cloud TraceTracing system collecting latency data from applications.Cloud ProfilerCPU and heap profiler for analyzing application performance.P"&amp;"roductivity and CollaborationAppSheetNo-code development platform to build and extend applications.Appsheet AutomationBuild automations and applications on a unified platform.Google WorkspaceCollaboration and productivity tools for individuals and organiz"&amp;"ations.Google Workspace EssentialsSecure video meetings and modern collaboration for teams.Duet AI for WorkspaceEmbeds generative AI across Workspace apps.Cloud IdentityUnified platform for IT admins to manage user devices and apps.Chrome EnterpriseChrome"&amp;" OS Chrome Browser and Chrome devices built for business.Security and IdentityCloud IAMPermissions management system for Google Cloud resources.Assured WorkloadsCompliance and security controls for sensitive workloads.Cloud Key ManagementManage encryption"&amp;" keys on Google Cloud.Confidential ComputingEncrypt data in use with Confidential VMs.Security Command CenterPlatform for defending against threats to your Google Cloud assets.Cloud Data Loss PreventionSensitive data inspection classification and redactio"&amp;"n platform.Mandiant Products and ServicesCybersecurity technology and expertise from the frontlines.Chronicle SIEMExtract signals from your security telemetry to find threats instantly.Chronicle Security OperationsDetect investigate and respond to cyber t"&amp;"hreats.Secret ManagerStore API keys passwords certificates and other sensitive data.BeyondCorp EnterpriseZero-trust access control for your internal web apps.Not seeing what you're looking for?See all security and identity productsServerlessCloud RunFully"&amp;" managed environment for running containerized apps.Cloud FunctionsPlatform for creating functions that respond to cloud events.App EngineServerless application platform for apps and back ends.WorkflowsWorkflow orchestration for serverless products and AP"&amp;"I services.API GatewayDevelop deploy secure and manage APIs with a full managed gateway.StorageCloud StorageObject storage that’s secure durable and scalable.Backup and DR ServiceService for centralized application-consistent data protection.FilestoreFile"&amp;" storage that is highly scalable and secure.Persistent DiskBlock storage for virtual machine instances running on Google Cloud.Cloud Storage for FirebaseObject storage for storing and serving user-generated content.Local SSDBlock storage that is locally a"&amp;"ttached for high-performance needs.Storage Transfer ServiceData transfers from online and on-premises sources to Cloud Storage.Web3Blockchain Node EngineFully managed node hosting for developing on the blockchain.closeSave money with our transparent appro"&amp;"ach to pricingGoogle Cloud's pay-as-you-go pricing offers automatic savings based on monthly usage and discounted rates for prepaid resources. Contact us today to get a quote.Request a quotePricing overview and toolsGoogle Cloud pricingPay only for what y"&amp;"ou use with no lock-in.Pricing calculatorCalculate your cloud savings.Google Cloud free tierExplore products with free monthly usage.Cost optimization frameworkGet best practices to optimize workload costs.Cost management toolsTools to monitor and control"&amp;" your costs.Product-specific PricingCompute EngineCloud SQLGoogle Kubernetes EngineCloud StorageBigQuerySee full price list with 100+ productscloseLearn &amp; buildGoogle Cloud Free Program$300 in free credits and 20+ free products.QuickstartsGet tutorials an"&amp;"d walkthroughs.Cloud computing basicsLearn more about cloud computing topics.BlogRead our latest product news and stories.Learning HubGrow your career with role-based learningTrainingEnroll in on-demand or classroom training.CertificationPrepare and regis"&amp;"ter for certifications.Cloud Architecture CenterGet reference architectures and best practices.ConnectInnovatorsJoin Google Cloud's developer program.Developer CenterStay in the know and stay connected.Events and webinarsBrowse upcoming and on demand even"&amp;"ts.Google Cloud CommunityAsk questions find answers and connect.Third-party tools and partnersGoogle Cloud MarketplaceDeploy ready-to-go solutions in a few clicks.Google Cloud partnersExplore benefits of working with a partner.Become a partnerJoin the Par"&amp;"tner Advantage program.closeOverviewarrow_forwardSolutionsarrow_forwardProductsarrow_forwardPricingarrow_forwardResourcesarrow_forwardDocsSupportConsoleAccelerate your digital transformationLearn moreKey benefitsWhy Google CloudAI and MLMulticloudGlobal i"&amp;"nfrastructureData CloudOpen cloudTrust and securityProductivity and collaborationReports and insightsExecutive insightsAnalyst reportsWhitepapersCustomer storiesIndustry SolutionsRetailConsumer Packaged GoodsFinancial ServicesHealthcare and Life SciencesM"&amp;"edia and EntertainmentTelecommunicationsGamesManufacturingSupply Chain and LogisticsGovernmentEducationSee all industry solutionsSee all solutionsApplication ModernizationCAMPModernize Traditional ApplicationsMigrate from PaaS: Cloud Foundry OpenshiftMigr"&amp;"ate from MainframeModernize Software DeliveryDevOps Best PracticesSRE PrinciplesDay 2 Operations for GKEFinOps and Optimization of GKERun Applications at the EdgeArchitect for MulticloudGo ServerlessArtificial IntelligenceContact Center AIDocument AIProdu"&amp;"ct DiscoveryAPIs and ApplicationsNew Business Channels Using APIsUnlocking Legacy Applications Using APIsOpen Banking APIxDatabasesDatabase MigrationDatabase ModernizationDatabases for GamesGoogle Cloud DatabasesMigrate Oracle workloads to Google CloudOpe"&amp;"n Source DatabasesSQL Server on Google CloudData CloudDatabases SolutionsSmart Analytics SolutionsAI SolutionsData Cloud for ISVsData Cloud AllianceDigital TransformationDigital InnovationOperational EfficiencyCOVID-19 SolutionsCOVID-19 Solutions for the "&amp;"Healthcare IndustryInfrastructure ModernizationApplication MigrationSAP on Google CloudHigh Performance ComputingWindows on Google CloudData Center MigrationActive AssistVirtual DesktopsRapid Migration Program (RaMP)Backup and Disaster RecoveryProductivit"&amp;"y and CollaborationGoogle WorkspaceGoogle Workspace EssentialsCloud IdentityChrome EnterpriseCloud SearchSecuritySecurity Analytics and OperationsWeb App and API ProtectionSecurity and Resilience FrameworkRisk and compliance as code (RCaC)Software Supply "&amp;"Chain SecuritySecurity FoundationSmart AnalyticsData Warehouse ModernizationData Lake ModernizationSpark on Google CloudStream AnalyticsBusiness IntelligenceData ScienceMarketing AnalyticsGeospatial Analytics and AIDatasetsStartups and SMBStartup Solution"&amp;"sStartup ProgramSmall and Medium BusinessSoftware as a ServiceFeatured ProductsCompute EngineCloud StorageBigQueryCloud RunGoogle Kubernetes EngineVertex AI PlatformLookerApigee API ManagementCloud SQLCloud SDKCloud CDNSee all products (100+)AI and Machin"&amp;"e LearningVertex AI PlatformGenerative AI on Vertex AIVertex AI Search and ConversationDialogflowNatural Language AISpeech-to-TextText-to-SpeechTranslation AIDocument AIVision AIContact Center AISee all AI and machine learning productsBusiness Intelligenc"&amp;"eLookerLooker StudioComputeCompute EngineApp EngineCloud GPUsMigrate to Virtual MachinesSpot VMsBatchSole-Tenant NodesBare MetalRecommenderVMware EngineCloud RunSee all compute productsContainersGoogle Kubernetes EngineCloud RunCloud BuildArtifact Registr"&amp;"yCloud CodeCloud DeployMigrate to ContainersDeep Learning ContainersKnativeData AnalyticsBigQueryLookerDataflowPub/SubDataprocCloud Data FusionCloud ComposerDataprepDataplexDataformAnalytics HubSee all data analytics productsDatabasesAlloyDB for PostgreSQ"&amp;"LCloud SQLFirestoreCloud SpannerCloud BigtableDatastreamDatabase Migration ServiceDeveloper ToolsArtifact RegistryCloud CodeCloud BuildCloud DeployCloud Deployment ManagerCloud SDKCloud SchedulerCloud Source RepositoriesCloud TasksCloud WorkstationsTools "&amp;"for PowerShellSee all developer toolsDistributed CloudGoogle Distributed Cloud EdgeGoogle Distributed Cloud HostedHybrid and MulticloudGoogle Kubernetes EngineApigee API ManagementMigrate to ContainersTraffic DirectorCloud BuildOperationsAnthosDistributed"&amp;" CloudIndustry SpecificAnti Money Laundering AICloud Healthcare APIDevice Connect for FitbitTelecom Network AutomationTelecom Data FabricTelecom Subscriber InsightsSpectrum Access System (SAS)Integration ServicesApplication IntegrationWorkflowsApigee API "&amp;"ManagementCloud TasksCloud SchedulerDataprocCloud Data FusionCloud ComposerPub/SubEventarcManagement ToolsCloud ShellCloud consoleCloud EndpointsCloud IAMCloud APIsService CatalogCost ManagementOperationsCarbon FootprintConfig ConnectorActive AssistSee al"&amp;"l management toolsMaps and GeospatialEarth EngineGoogle Maps PlatformMedia ServicesCloud CDNLive Steam APIOpenCueTranscoder APIVideo Stitcher APIMigrationMigration CenterApplication MigrationMigrate to Virtual MachinesCloud Foundation ToolkitDatabase Migr"&amp;"ation ServiceMigrate to ContainersBigQuery Data Transfer ServiceRapid Migration Program (RaMP)Transfer ApplianceStorage Transfer ServiceVMware EngineMixed RealityImmersive Stream for XRNetworkingCloud ArmorCloud CDN and Media CDNCloud DNSCloud Load Balanc"&amp;"ingCloud NATCloud ConnectivityNetwork Connectivity CenterNetwork Intelligence CenterNetwork Service TiersVirtual Private CloudPrivate Service ConnectSee all networking productsOperationsCloud LoggingCloud MonitoringError ReportingCloud DebuggerCloud Trace"&amp;"Cloud ProfilerProductivity and CollaborationAppSheetAppsheet AutomationGoogle WorkspaceGoogle Workspace EssentialsDuet AI for WorkspaceCloud IdentityChrome EnterpriseSecurity and IdentityCloud IAMAssured WorkloadsCloud Key ManagementConfidential Computing"&amp;"Security Command CenterCloud Data Loss PreventionMandiant Products and ServicesChronicle SIEMChronicle Security OperationsSecret ManagerBeyondCorp EnterpriseSee all security and identity productsServerlessCloud RunCloud FunctionsApp EngineWorkflowsAPI Gat"&amp;"ewayStorageCloud StorageBackup and DR ServiceFilestorePersistent DiskCloud Storage for FirebaseLocal SSDStorage Transfer ServiceWeb3Blockchain Node EngineSave money with our transparent approach to pricingRequest a quotePricing overview and toolsGoogle Cl"&amp;"oud pricingPricing calculatorGoogle Cloud free tierCost optimization frameworkCost management toolsProduct-specific PricingCompute EngineCloud SQLGoogle Kubernetes EngineCloud StorageBigQuerySee full price list with 100+ productsLearn &amp; buildGoogle Cloud "&amp;"Free ProgramQuickstartsCloud computing basicsBlogLearning HubTrainingCertificationCloud Architecture CenterConnectInnovatorsDeveloper CenterEvents and webinarsGoogle Cloud CommunityThird-party tools and partnersGoogle Cloud MarketplaceGoogle Cloud partner"&amp;"sBecome a partnerWhy GoogleChoosing Google CloudTrust and securityOpen cloudMulticloudGlobal infrastructureCustomers and case studiesAnalyst reportsWhitepapersBlogProducts and pricingGoogle Cloud pricingGoogle Workspace pricingSee all productsSolutionsInf"&amp;"rastructure modernizationDatabasesApplication modernizationSmart analyticsArtificial IntelligenceSecurityProductivity &amp; work transformationIndustry solutionsDevOps solutionsSmall business solutionsSee all solutionsResourcesGoogle Cloud documentationGoogle"&amp;" Cloud quickstartsGoogle Cloud MarketplaceLearn about cloud computingSupportCode samplesCloud Architecture CenterTrainingCertificationsGoogle DevelopersGoogle Cloud for StartupsSystem statusRelease NotesEngageContact salesFind a PartnerBecome a PartnerEve"&amp;"ntsPodcastsDeveloper CenterPress CornerGoogle Cloud on YouTubeGoogle Cloud Tech on YouTubeFollow on TwitterJoin User ResearchWe're hiring. Join Google Cloud!Google Cloud CommunityAbout GooglePrivacySite termsGoogle Cloud termsOur third decade of climate a"&amp;"ction: join usSign up for the Google Cloud newsletterSubscribe language‪English‬‪English‬‪Deutsch‬‪Español‬‪Español (Latinoamérica)‬‪Français‬‪Indonesia‬‪Italiano‬‪Português (Brasil)‬‪简体中文‬‪繁體中文‬‪日本語‬‪한국어‬")</f>
        <v>Cloud Computing Services | Google CloudGet $300 in free credits and free usage of 20+ productsThe new way to cloud starts hereBuild apps fast leverage generative AI and analyze data in seconds—all with Google-grade security. Get started for freeContact salesWhat's newFor developersEventMissed the Next ‘23 keynote? Watch the broadcast on demandNew productsExplore our latest generative AI productsGenerative AI NavigatorGet gen AI recommendations for your business and industryDeveloper offerGet $300 in free credits and free usage of 20+ productsDeveloper CenterLearn skills build with sample code and access resourcesAI SummitLearn how to turn your ideas into apps with gen AI tools on Dec 13-14What's newEventMissed the Next ‘23 keynote? Watch the broadcast on demandNew productsExplore our latest generative AI productsGenerative AI NavigatorGet gen AI recommendations for your business and industryFor developersDeveloper offerGet $300 in free credits and free usage of 20+ productsDeveloper CenterLearn skills build with sample code and access resourcesAI SummitLearn how to turn your ideas into apps with gen AI tools on Dec 13-14Choose from over 150 cutting-edge productsExplore and assess Google Cloud with free usage of over 20 products plus new customers get $300 in free credits on signup.Get startedSee all productsAI and machine learningBuild generative AI applications quickly and responsibly—powered by Google’s most advanced technologyImprove customer service with Contact Center AI’s virtual agents and conversational AI products like Speech-to-TextBuild deploy and scale more effective AI models with our unified machine learning platform Vertex AIGet AI-powered code generation recommendations and completion across Google Cloud products from Duet AIComputeCreate and run customizable virtual machines with Compute Engine. For scale-out workloads Tau VMs offer 42% better price performance over comparable cloud offerings.Automatically deploy scale and manage containers with Google Kubernetes Engine or Cloud RunMigrate your apps at your own pace by moving directly to virtual machines or automatically modernizing to containers—without rewriting codeStorageStore any type of data any amount of data and retrieve it as often as you’d like with object storageTransfer data with online and offline transfer solutions including Storage Transfer Service and Transfer AppliancePersistent Disk block storage is fully integrated with Google Cloud products like Compute Engine and GKEDatabasesReduce maintenance costs with fully managed MySQL PostgreSQL and SQL Server databasesSimplify migrations to Cloud SQL from MySQL and PostgreSQL with the Database Migration ServiceDevelop rich applications using a fully managed scalable and serverless document databaseData analyticsRun analytics at scale with 26%–34% lower three-year TCO on BigQuery compared to cloud data warehouse alternativesIngest process and analyze event streams in real time to make data more usefulReveal the true power of your data and bring clarity to every situation with Looker and Google CloudNetworkingHelp protect your applications and websites against denial of service and web attacks with Cloud ArmorQuickly and securely scale web and video content delivery with Cloud CDNExplore hybrid connectivity options including VPN peering and enterprise supportDeveloper toolsWrite debug and run cloud-native applications locally or in the cloud—quickly and easily with Cloud CodeWith Cloud Build continuously build test and deploy software across all languages and in multiple environmentsDeploy pre-built solution templates—with an active Google Cloud account—including dynamic websites load balanced VMs and three tier web apps.Save up to 30% over 3 years compared to other clouds with products like Anthos BigQuery and Active Assist.Request a quoteBuild and scale your startup with your first year covered by Google Cloud credits plus get support to help your startup grow.Learn more about the programSolve your business problems with our industry solutionsFrom improving retail product discovery to detecting bank fraud our industry solutions tackle your biggest challenges.Request a demoRetailConsumer packaged goodsFinancial servicesHealthcare and life sciencesMedia and entertainmentTelecommunicationsGamingManufacturingSupply chain and logisticsGovernmentEducationSee all industries9 / top 10retail companies trust Google CloudThe largest US beauty retailer easily supported a 9X growth in user traffic with Google Cloud’s highly scalable infrastructure. Discover what you can do with our retail solutions.Explore retail solutionsRetailConsumer packaged goodsFinancial servicesHealthcare and life sciencesMedia and entertainmentTelecommunicationsGamingManufacturingSupply chain and logisticsGovernmentEducationSee all industriesBuild with the cloud platform designed for developersGet started with Google Cloud’s easy-to-use platform tools and APIsGet started for freeAI-powered collaboratorIntroducing Duet AI for Google CloudConsole tourGet started with Google Cloud consoleHow-toBuild tune and deploy foundation models with Vertex AIPRODUCTS SPOTLIGHTGoogle Cloud products explained in 1 minuteDiscover more developer toolsIntroducing Duet AI for Google CloudGet started with Google Cloud consoleBuild tune and deploy foundation models with Vertex AIGoogle Cloud products explained in 1 minuteDiscover more developer toolsExplore technical blogs how-tos and resourcesVisit the Developer CenterStart learning Google Cloud skills at your own paceExplore developer trainingGet special invitations technical AMAs and moreJoin Google Cloud InnovatorsCustomer innovation happens on Google Cloud2:55TIME gets a 360 degree view of its customers and gives the whole company access to metrics Watch the video3:15Goldman Sachs empowers its team to analyze data and scale compute power confidentlyWatch the video2:54Spotify powers the playlists of 381 million monthly listeners with Google CloudWatch the videoFrontier Development Lab in partnership with NASA analyzed a 20-year data bottleneck in 20 mins with Google Cloud AILaunch the demo1:55Cardinal Health saved 25% quarter over quarter by migrating to Google CloudWatch the videoLeading companies solve for innovation with Google CloudRead the EbookSee more customersCloud computing ready for businessWhether you’re migrating or already in the cloud we’ll help you modernize and digitally transform your business.Talk to usRun and build your apps anywhereAvoid vendor lock-in and speed up development with Google Cloud’s commitment to open source hybrid and multicloud.Make smarter decisions with the leading data platformGive anyone on your team access to business insights with advanced machine learning and analytics.Protect what's importantHelp defend your data and apps against threats and fraudulent activity with the same security technology Google uses.Transform how your teams collaborate—from anywhereIntegrate video calling email chat and document collaboration in one place.Let’s start building your tomorrow todayGet started for freeContact salesCall our sales team844-613-7589Run on the industry’s cleanest cloudLearn moreGet updates with the Google Cloud newsletterSubscribemenuOverviewSolutionsProductsPricingResourcesDocsSupportContact UsDocsSupport language‪English‬‪English‬‪Deutsch‬‪Español‬‪Español (Latinoamérica)‬‪Français‬‪Indonesia‬‪Italiano‬‪Português (Brasil)‬‪简体中文‬‪繁體中文‬‪日本語‬‪한국어‬ConsoleSign inStart freeStart freeContact UscloseAccelerate your digital transformationWhether your business is early in its journey or well on its way to digital transformation Google Cloud can help solve your toughest challenges.Learn moreKey benefitsWhy Google CloudTop reasons businesses choose us.AI and MLGet enterprise-ready AI.MulticloudRun your apps wherever you need them.Global infrastructureBuild on the same infrastructure as Google.Data CloudMake smarter decisions with unified data.Open cloudScale with open flexible technology.Trust and securityKeep your data secure and compliant.Productivity and collaborationConnect your teams with AI-powered apps.Reports and insightsExecutive insightsCurated C-suite perspectives.Analyst reportsRead what industry analysts say about us.WhitepapersBrowse and download popular whitepapers.Customer storiesExplore case studies and videos.closeIndustry SolutionsApplication ModernizationArtificial IntelligenceAPIs and ApplicationsDatabasesData CloudDigital TransformationInfrastructure ModernizationProductivity and CollaborationSecuritySmart AnalyticsStartups and SMBSee all solutionsIndustry SolutionsReduce cost increase operational agility and capture new market opportunities.RetailAnalytics and collaboration tools for the retail value chain.Consumer Packaged GoodsSolutions for CPG digital transformation and brand growth.Financial ServicesComputing data management and analytics tools for financial services.Healthcare and Life SciencesAdvance research at scale and empower healthcare innovation.Media and EntertainmentSolutions for content production and distribution operations.TelecommunicationsHybrid and multi-cloud services to deploy and monetize 5G.GamesAI-driven solutions to build and scale games faster.ManufacturingMigration and AI tools to optimize the manufacturing value chain.Supply Chain and LogisticsEnable sustainable efficient and resilient data-driven operations across supply chain and logistics operations.GovernmentData storage AI and analytics solutions for government agencies.EducationTeaching tools to provide more engaging learning experiences.Not seeing what you're looking for?See all industry solutionsApplication ModernizationAssess plan implement and measure software practices and capabilities to modernize and simplify your organization’s business application portfolios.CAMPProgram that uses DORA to improve your software delivery capabilities.Modernize Traditional ApplicationsAnalyze categorize and get started with cloud migration on traditional workloads.Migrate from PaaS: Cloud Foundry OpenshiftTools for moving your existing containers into Google's managed container services.Migrate from MainframeAutomated tools and prescriptive guidance for moving your mainframe apps to the cloud.Modernize Software DeliverySoftware supply chain best practices - innerloop productivity CI/CD and S3C.DevOps Best PracticesProcesses and resources for implementing DevOps in your org.SRE PrinciplesTools and resources for adopting SRE in your org.Day 2 Operations for GKETools and guidance for effective GKE management and monitoring.FinOps and Optimization of GKEBest practices for running reliable performant and cost effective applications on GKE.Run Applications at the EdgeGuidance for localized and low latency apps on Google’s hardware agnostic edge solution.Architect for MulticloudManage workloads across multiple clouds with a consistent platform.Go ServerlessFully managed environment for developing deploying and scaling apps.Artificial IntelligenceAdd intelligence and efficiency to your business with AI and machine learning.Contact Center AIAI model for speaking with customers and assisting human agents.Document AIDocument processing and data capture automated at scale.Product DiscoveryGoogle-quality search and product recommendations for retailers.APIs and ApplicationsSpeed up the pace of innovation without coding using APIs apps and automation.New Business Channels Using APIsAttract and empower an ecosystem of developers and partners.Unlocking Legacy Applications Using APIsCloud services for extending and modernizing legacy apps.Open Banking APIxSimplify and accelerate secure delivery of open banking compliant APIs.DatabasesMigrate and manage enterprise data with security reliability high availability and fully managed data services.Database MigrationGuides and tools to simplify your database migration life cycle.Database ModernizationUpgrades to modernize your operational database infrastructure.Databases for GamesBuild global live games with Google Cloud databases.Google Cloud DatabasesDatabase services to migrate manage and modernize data.Migrate Oracle workloads to Google CloudRehost replatform rewrite your Oracle workloads.Open Source DatabasesFully managed open source databases with enterprise-grade support.SQL Server on Google CloudOptions for running SQL Server virtual machines on Google Cloud.Data CloudUnify data across your organization with an open and simplified approach to data-driven transformation that is unmatched for speed scale and security with AI built-in.Databases SolutionsMigrate and manage enterprise data with security reliability high availability and fully managed data services.Smart Analytics SolutionsGenerate instant insights from data at any scale with a serverless fully managed analytics platform that significantly simplifies analytics.AI SolutionsAdd intelligence and efficiency to your business with AI and machine learning.Data Cloud for ISVsInnovate optimize and amplify your SaaS applications using Google's data and machine learning solutions such as BigQuery Looker Spanner and Vertex AI.Data Cloud AllianceAn initiative to ensure that global businesses have more seamless access and insights into the data required for digital transformation.Digital TransformationAccelerate business recovery and ensure a better future with solutions that enable hybrid and multi-cloud generate intelligent insights and keep your workers connected.Digital InnovationReimagine your operations and unlock new opportunities.Operational EfficiencyPrioritize investments and optimize costs.COVID-19 SolutionsGet work done more safely and securely.COVID-19 Solutions for the Healthcare IndustryHow Google is helping healthcare meet extraordinary challenges.Infrastructure ModernizationMigrate quickly with solutions for SAP VMware Windows Oracle and other workloads.Application MigrationDiscovery and analysis tools for moving to the cloud.SAP on Google CloudCertifications for running SAP applications and SAP HANA.High Performance ComputingCompute storage and networking options to support any workload.Windows on Google CloudTools and partners for running Windows workloads.Data Center MigrationMigration solutions for VMs apps databases and more.Active AssistAutomatic cloud resource optimization and increased security.Virtual DesktopsRemote work solutions for desktops and applications (VDI &amp; DaaS).Rapid Migration Program (RaMP)End-to-end migration program to simplify your path to the cloud.Backup and Disaster RecoveryEnsure your business continuity needs are met.Productivity and CollaborationChange the way teams work with solutions designed for humans and built for impact.Google WorkspaceCollaboration and productivity tools for enterprises.Google Workspace EssentialsSecure video meetings and modern collaboration for teams.Cloud IdentityUnified platform for IT admins to manage user devices and apps.Chrome EnterpriseChromeOS Chrome Browser and Chrome devices built for business.Cloud SearchEnterprise search for employees to quickly find company information.SecurityDetect investigate and respond to online threats to help protect your business.Security Analytics and OperationsSolution for analyzing petabytes of security telemetry.Web App and API ProtectionThreat and fraud protection for your web applications and APIs.Security and Resilience FrameworkSolutions for each phase of the security and resilience life cycle.Risk and compliance as code (RCaC)Solution to modernize your governance risk and compliance function with automation.Software Supply Chain SecuritySolution for improving end-to-end software supply chain security.Security FoundationRecommended products to help achieve a strong security posture.Smart AnalyticsGenerate instant insights from data at any scale with a serverless fully managed analytics platform that significantly simplifies analytics.Data Warehouse ModernizationData warehouse to jumpstart your migration and unlock insights.Data Lake ModernizationServices for building and modernizing your data lake.Spark on Google CloudRun and write Spark where you need it serverless and integrated.Stream AnalyticsInsights from ingesting processing and analyzing event streams.Business IntelligenceSolutions for modernizing your BI stack and creating rich data experiences.Data SciencePut your data to work with Data Science on Google Cloud.Marketing AnalyticsSolutions for collecting analyzing and activating customer data.Geospatial Analytics and AISolutions for building a more prosperous and sustainable business.DatasetsData from Google public and commercial providers to enrich your analytics and AI initiatives.Startups and SMBAccelerate startup and SMB growth with tailored solutions and programs.Startup SolutionsGrow your startup and solve your toughest challenges using Google’s proven technology.Startup ProgramGet financial business and technical support to take your startup to the next level.Small and Medium BusinessExplore solutions for web hosting app development AI and analytics.Software as a ServiceBuild better SaaS products scale efficiently and grow your business.closeFeatured ProductsAI and Machine LearningBusiness IntelligenceComputeContainersData AnalyticsDatabasesDeveloper ToolsDistributed CloudHybrid and MulticloudIndustry SpecificIntegration ServicesManagement ToolsMaps and GeospatialMedia ServicesMigrationMixed RealityNetworkingOperationsProductivity and CollaborationSecurity and IdentityServerlessStorageWeb3See all products (100+)Featured ProductsCompute EngineVirtual machines running in Google’s data center.Cloud StorageObject storage that’s secure durable and scalable.BigQueryData warehouse for business agility and insights.Cloud RunFully managed environment for running containerized apps.Google Kubernetes EngineManaged environment for running containerized apps.Vertex AI PlatformUnified platform for ML models and generative AI.LookerPlatform for BI data applications and embedded analytics.Apigee API ManagementManage the full life cycle of APIs anywhere with visibility and control.Cloud SQLRelational database services for MySQL PostgreSQL and SQL Server.Cloud SDKCommand-line tools and libraries for Google Cloud.Cloud CDNContent delivery network for delivering web and video.Not seeing what you're looking for?See all products (100+)AI and Machine LearningVertex AI PlatformUnified platform for ML models and generative AI.Generative AI on Vertex AIBuild tune and deploy foundation models on Vertex AI.Vertex AI Search and ConversationGenerative AI apps for search and conversational AI.DialogflowLifelike conversational AI with state-of-the-art virtual agents.Natural Language AISentiment analysis and classification of unstructured text.Speech-to-TextSpeech recognition and transcription across 125 languages.Text-to-SpeechSpeech synthesis in 220+ voices and 40+ languages.Translation AILanguage detection translation and glossary support.Document AIDocument processing and data capture automated at scale.Vision AICustom and pre-trained models to detect emotion text and more.Contact Center AIAI model for speaking with customers and assisting human agents.Not seeing what you're looking for?See all AI and machine learning productsBusiness IntelligenceLookerPlatform for BI data applications and embedded analytics.Looker StudioInteractive data suite for dashboarding reporting and analytics.ComputeCompute EngineVirtual machines running in Google’s data center.App EngineServerless application platform for apps and back ends.Cloud GPUsGPUs for ML scientific computing and 3D visualization.Migrate to Virtual MachinesServer and virtual machine migration to Compute Engine.Spot VMsCompute instances for batch jobs and fault-tolerant workloads.BatchFully managed service for scheduling batch jobs.Sole-Tenant NodesDedicated hardware for compliance licensing and management.Bare MetalInfrastructure to run specialized workloads on Google Cloud.RecommenderUsage recommendations for Google Cloud products and services.VMware EngineFully managed native VMware Cloud Foundation software stack.Cloud RunFully managed environment for running containerized apps.Not seeing what you're looking for?See all compute productsContainersGoogle Kubernetes EngineManaged environment for running containerized apps.Cloud RunFully managed environment for running containerized apps.Cloud BuildSolution for running build steps in a Docker container.Artifact RegistryPackage manager for build artifacts and dependencies.Cloud CodeIDE support to write run and debug Kubernetes applications.Cloud DeployFully managed continuous delivery to GKE and Cloud Run.Migrate to ContainersComponents for migrating VMs into system containers on GKE.Deep Learning ContainersContainers with data science frameworks libraries and tools.KnativeComponents to create Kubernetes-native cloud-based software.Data AnalyticsBigQueryData warehouse for business agility and insights.LookerPlatform for BI data applications and embedded analytics.DataflowStreaming analytics for stream and batch processing.Pub/SubMessaging service for event ingestion and delivery.DataprocService for running Apache Spark and Apache Hadoop clusters.Cloud Data FusionData integration for building and managing data pipelines.Cloud ComposerWorkflow orchestration service built on Apache Airflow.DataprepService to prepare data for analysis and machine learning.DataplexIntelligent data fabric for unifying data management across silos.DataformBuild version control and deploy SQL workflows in BigQuery.Analytics HubService for securely and efficiently exchanging data analytics assets.Not seeing what you're looking for?See all data analytics productsDatabasesAlloyDB for PostgreSQLFully managed PostgreSQL-compatible database for enterprise workloads.Cloud SQLFully managed database for MySQL PostgreSQL and SQL Server.FirestoreCloud-native document database for building rich mobile web and IoT apps.Cloud SpannerCloud-native relational database with unlimited scale and 99.999% availability.Cloud BigtableCloud-native wide-column database for large-scale low-latency workloads.DatastreamServerless change data capture and replication service.Database Migration ServiceServerless minimal downtime migrations to Cloud SQL.Developer ToolsArtifact RegistryUniversal package manager for build artifacts and dependencies.Cloud CodeIDE support to write run and debug Kubernetes applications.Cloud BuildContinuous integration and continuous delivery platform.Cloud DeployFully managed continuous delivery to GKE and Cloud Run.Cloud Deployment ManagerService for creating and managing Google Cloud resources.Cloud SDKCommand-line tools and libraries for Google Cloud.Cloud SchedulerCron job scheduler for task automation and management.Cloud Source RepositoriesPrivate Git repository to store manage and track code.Cloud TasksTask management service for asynchronous task execution.Cloud WorkstationsManaged and secure development environments in the cloud.Tools for PowerShellFull cloud control from Windows PowerShell.Not seeing what you're looking for?See all developer toolsDistributed CloudGoogle Distributed Cloud EdgeDistributed cloud services for edge workloads.Google Distributed Cloud HostedDistributed cloud for air-gapped workloads.Hybrid and MulticloudGoogle Kubernetes EngineManaged environment for running containerized apps.Apigee API ManagementAPI management development and security platform.Migrate to ContainersTool to move workloads and existing applications to GKE.Traffic DirectorTraffic control pane and management for open service mesh.Cloud BuildService for executing builds on Google Cloud infrastructure.OperationsMonitoring logging and application performance suite.AnthosPlatform for modernizing existing apps and building new ones.Distributed CloudFully managed solutions for the edge and data centers.Industry SpecificAnti Money Laundering AIDetect suspicious potential money laundering activity with AI.Cloud Healthcare APISolution for bridging existing care systems and apps on Google Cloud.Device Connect for FitbitGain a 360-degree patient view with connected Fitbit data on Google Cloud.Telecom Network AutomationReady to use cloud-native automation for telecom networks.Telecom Data FabricTelecom data management and analytics with an automated approach.Telecom Subscriber InsightsIngests data to improve subscriber acquisition and retention.Spectrum Access System (SAS)Controls fundamental access to the Citizens Broadband Radio Service (CBRS).Integration ServicesApplication IntegrationConnect to 3rd party apps and enable data consistency without code.WorkflowsWorkflow orchestration for serverless products and API services.Apigee API ManagementManage the full life cycle of APIs anywhere with visibility and control.Cloud TasksTask management service for asynchronous task execution.Cloud SchedulerCron job scheduler for task automation and management.DataprocService for running Apache Spark and Apache Hadoop clusters.Cloud Data FusionData integration for building and managing data pipelines.Cloud ComposerWorkflow orchestration service built on Apache Airflow.Pub/SubMessaging service for event ingestion and delivery.EventarcBuild an event-driven architecture that can connect any service.Management ToolsCloud ShellInteractive shell environment with a built-in command line.Cloud consoleWeb-based interface for managing and monitoring cloud apps.Cloud EndpointsDeployment and development management for APIs on Google Cloud.Cloud IAMPermissions management system for Google Cloud resources.Cloud APIsProgrammatic interfaces for  Google Cloud services.Service CatalogService catalog for admins managing internal enterprise solutions.Cost ManagementTools for monitoring controlling and optimizing your costs.OperationsMonitoring logging and application performance suite.Carbon FootprintDashboard to view and export Google Cloud carbon emissions reports.Config ConnectorKubernetes add-on for managing Google Cloud resources.Active AssistTools for easily managing performance security and cost.Not seeing what you're looking for?See all management toolsMaps and GeospatialEarth EngineGeospatial platform for Earth observation data and analysis.Google Maps PlatformCreate immersive location experiences and improve business operations.Media ServicesCloud CDNContent delivery network for serving web and video content.Live Steam APIService to convert live video and package for streaming.OpenCueOpen source render manager for visual effects and animation.Transcoder APIConvert video files and package them for optimized delivery.Video Stitcher APIService for dynamic or server side ad insertion.MigrationMigration CenterUnified platform for migrating and modernizing with Google Cloud.Application MigrationApp migration to the cloud for low-cost refresh cycles.Migrate to Virtual MachinesComponents for migrating VMs and physical servers to Compute Engine.Cloud Foundation ToolkitReference templates for Deployment Manager and Terraform.Database Migration ServiceServerless minimal downtime migrations to Cloud SQL.Migrate to ContainersComponents for migrating VMs into system containers on GKE.BigQuery Data Transfer ServiceData import service for scheduling and moving data into BigQuery.Rapid Migration Program (RaMP)End-to-end migration program to simplify your path to the cloud.Transfer ApplianceStorage server for moving large volumes of data to Google Cloud.Storage Transfer ServiceData transfers from online and on-premises sources to Cloud Storage.VMware EngineMigrate and run your VMware workloads natively on Google Cloud.Mixed RealityImmersive Stream for XRHosts renders and streams 3D and XR experiences.NetworkingCloud ArmorSecurity policies and defense against web and DDoS attacks.Cloud CDN and Media CDNContent delivery network for serving web and video content.Cloud DNSDomain name system for reliable and low-latency name lookups.Cloud Load BalancingService for distributing traffic across applications and regions.Cloud NATNAT service for giving private instances internet access.Cloud ConnectivityConnectivity options for VPN peering and enterprise needs.Network Connectivity CenterConnectivity management to help simplify and scale networks.Network Intelligence CenterNetwork monitoring verification and optimization platform.Network Service TiersCloud network options  based on performance availability and cost.Virtual Private CloudSingle VPC for an entire organization isolated within projects.Private Service ConnectSecure connection between your VPC and services.Not seeing what you're looking for?See all networking productsOperationsCloud LoggingGoogle Cloud audit platform and application logs management.Cloud MonitoringInfrastructure and application health with rich metrics.Error ReportingApplication error identification and analysis.Cloud DebuggerReal-time application state inspection and in -production debugging.Cloud TraceTracing system collecting latency data from applications.Cloud ProfilerCPU and heap profiler for analyzing application performance.Productivity and CollaborationAppSheetNo-code development platform to build and extend applications.Appsheet AutomationBuild automations and applications on a unified platform.Google WorkspaceCollaboration and productivity tools for individuals and organizations.Google Workspace EssentialsSecure video meetings and modern collaboration for teams.Duet AI for WorkspaceEmbeds generative AI across Workspace apps.Cloud IdentityUnified platform for IT admins to manage user devices and apps.Chrome EnterpriseChrome OS Chrome Browser and Chrome devices built for business.Security and IdentityCloud IAMPermissions management system for Google Cloud resources.Assured WorkloadsCompliance and security controls for sensitive workloads.Cloud Key ManagementManage encryption keys on Google Cloud.Confidential ComputingEncrypt data in use with Confidential VMs.Security Command CenterPlatform for defending against threats to your Google Cloud assets.Cloud Data Loss PreventionSensitive data inspection classification and redaction platform.Mandiant Products and ServicesCybersecurity technology and expertise from the frontlines.Chronicle SIEMExtract signals from your security telemetry to find threats instantly.Chronicle Security OperationsDetect investigate and respond to cyber threats.Secret ManagerStore API keys passwords certificates and other sensitive data.BeyondCorp EnterpriseZero-trust access control for your internal web apps.Not seeing what you're looking for?See all security and identity productsServerlessCloud RunFully managed environment for running containerized apps.Cloud FunctionsPlatform for creating functions that respond to cloud events.App EngineServerless application platform for apps and back ends.WorkflowsWorkflow orchestration for serverless products and API services.API GatewayDevelop deploy secure and manage APIs with a full managed gateway.StorageCloud StorageObject storage that’s secure durable and scalable.Backup and DR ServiceService for centralized application-consistent data protection.FilestoreFile storage that is highly scalable and secure.Persistent DiskBlock storage for virtual machine instances running on Google Cloud.Cloud Storage for FirebaseObject storage for storing and serving user-generated content.Local SSDBlock storage that is locally attached for high-performance needs.Storage Transfer ServiceData transfers from online and on-premises sources to Cloud Storage.Web3Blockchain Node EngineFully managed node hosting for developing on the blockchain.closeSave money with our transparent approach to pricingGoogle Cloud's pay-as-you-go pricing offers automatic savings based on monthly usage and discounted rates for prepaid resources. Contact us today to get a quote.Request a quotePricing overview and toolsGoogle Cloud pricingPay only for what you use with no lock-in.Pricing calculatorCalculate your cloud savings.Google Cloud free tierExplore products with free monthly usage.Cost optimization frameworkGet best practices to optimize workload costs.Cost management toolsTools to monitor and control your costs.Product-specific PricingCompute EngineCloud SQLGoogle Kubernetes EngineCloud StorageBigQuerySee full price list with 100+ productscloseLearn &amp; buildGoogle Cloud Free Program$300 in free credits and 20+ free products.QuickstartsGet tutorials and walkthroughs.Cloud computing basicsLearn more about cloud computing topics.BlogRead our latest product news and stories.Learning HubGrow your career with role-based learningTrainingEnroll in on-demand or classroom training.CertificationPrepare and register for certifications.Cloud Architecture CenterGet reference architectures and best practices.ConnectInnovatorsJoin Google Cloud's developer program.Developer CenterStay in the know and stay connected.Events and webinarsBrowse upcoming and on demand events.Google Cloud CommunityAsk questions find answers and connect.Third-party tools and partnersGoogle Cloud MarketplaceDeploy ready-to-go solutions in a few clicks.Google Cloud partnersExplore benefits of working with a partner.Become a partnerJoin the Partner Advantage program.closeOverviewarrow_forwardSolutionsarrow_forwardProductsarrow_forwardPricingarrow_forwardResourcesarrow_forwardDocsSupportConsoleAccelerate your digital transformationLearn moreKey benefitsWhy Google CloudAI and MLMulticloudGlobal infrastructureData CloudOpen cloudTrust and securityProductivity and collaborationReports and insightsExecutive insightsAnalyst reportsWhitepapersCustomer storiesIndustry SolutionsRetailConsumer Packaged GoodsFinancial ServicesHealthcare and Life SciencesMedia and EntertainmentTelecommunicationsGamesManufacturingSupply Chain and LogisticsGovernmentEducationSee all industry solutionsSee all solutionsApplication ModernizationCAMPModernize Traditional ApplicationsMigrate from PaaS: Cloud Foundry OpenshiftMigrate from MainframeModernize Software DeliveryDevOps Best PracticesSRE PrinciplesDay 2 Operations for GKEFinOps and Optimization of GKERun Applications at the EdgeArchitect for MulticloudGo ServerlessArtificial IntelligenceContact Center AIDocument AIProduct DiscoveryAPIs and ApplicationsNew Business Channels Using APIsUnlocking Legacy Applications Using APIsOpen Banking APIxDatabasesDatabase MigrationDatabase ModernizationDatabases for GamesGoogle Cloud DatabasesMigrate Oracle workloads to Google CloudOpen Source DatabasesSQL Server on Google CloudData CloudDatabases SolutionsSmart Analytics SolutionsAI SolutionsData Cloud for ISVsData Cloud AllianceDigital TransformationDigital InnovationOperational EfficiencyCOVID-19 SolutionsCOVID-19 Solutions for the Healthcare IndustryInfrastructure ModernizationApplication MigrationSAP on Google CloudHigh Performance ComputingWindows on Google CloudData Center MigrationActive AssistVirtual DesktopsRapid Migration Program (RaMP)Backup and Disaster RecoveryProductivity and CollaborationGoogle WorkspaceGoogle Workspace EssentialsCloud IdentityChrome EnterpriseCloud SearchSecuritySecurity Analytics and OperationsWeb App and API ProtectionSecurity and Resilience FrameworkRisk and compliance as code (RCaC)Software Supply Chain SecuritySecurity FoundationSmart AnalyticsData Warehouse ModernizationData Lake ModernizationSpark on Google CloudStream AnalyticsBusiness IntelligenceData ScienceMarketing AnalyticsGeospatial Analytics and AIDatasetsStartups and SMBStartup SolutionsStartup ProgramSmall and Medium BusinessSoftware as a ServiceFeatured ProductsCompute EngineCloud StorageBigQueryCloud RunGoogle Kubernetes EngineVertex AI PlatformLookerApigee API ManagementCloud SQLCloud SDKCloud CDNSee all products (100+)AI and Machine LearningVertex AI PlatformGenerative AI on Vertex AIVertex AI Search and ConversationDialogflowNatural Language AISpeech-to-TextText-to-SpeechTranslation AIDocument AIVision AIContact Center AISee all AI and machine learning productsBusiness IntelligenceLookerLooker StudioComputeCompute EngineApp EngineCloud GPUsMigrate to Virtual MachinesSpot VMsBatchSole-Tenant NodesBare MetalRecommenderVMware EngineCloud RunSee all compute productsContainersGoogle Kubernetes EngineCloud RunCloud BuildArtifact RegistryCloud CodeCloud DeployMigrate to ContainersDeep Learning ContainersKnativeData AnalyticsBigQueryLookerDataflowPub/SubDataprocCloud Data FusionCloud ComposerDataprepDataplexDataformAnalytics HubSee all data analytics productsDatabasesAlloyDB for PostgreSQLCloud SQLFirestoreCloud SpannerCloud BigtableDatastreamDatabase Migration ServiceDeveloper ToolsArtifact RegistryCloud CodeCloud BuildCloud DeployCloud Deployment ManagerCloud SDKCloud SchedulerCloud Source RepositoriesCloud TasksCloud WorkstationsTools for PowerShellSee all developer toolsDistributed CloudGoogle Distributed Cloud EdgeGoogle Distributed Cloud HostedHybrid and MulticloudGoogle Kubernetes EngineApigee API ManagementMigrate to ContainersTraffic DirectorCloud BuildOperationsAnthosDistributed CloudIndustry SpecificAnti Money Laundering AICloud Healthcare APIDevice Connect for FitbitTelecom Network AutomationTelecom Data FabricTelecom Subscriber InsightsSpectrum Access System (SAS)Integration ServicesApplication IntegrationWorkflowsApigee API ManagementCloud TasksCloud SchedulerDataprocCloud Data FusionCloud ComposerPub/SubEventarcManagement ToolsCloud ShellCloud consoleCloud EndpointsCloud IAMCloud APIsService CatalogCost ManagementOperationsCarbon FootprintConfig ConnectorActive AssistSee all management toolsMaps and GeospatialEarth EngineGoogle Maps PlatformMedia ServicesCloud CDNLive Steam APIOpenCueTranscoder APIVideo Stitcher APIMigrationMigration CenterApplication MigrationMigrate to Virtual MachinesCloud Foundation ToolkitDatabase Migration ServiceMigrate to ContainersBigQuery Data Transfer ServiceRapid Migration Program (RaMP)Transfer ApplianceStorage Transfer ServiceVMware EngineMixed RealityImmersive Stream for XRNetworkingCloud ArmorCloud CDN and Media CDNCloud DNSCloud Load BalancingCloud NATCloud ConnectivityNetwork Connectivity CenterNetwork Intelligence CenterNetwork Service TiersVirtual Private CloudPrivate Service ConnectSee all networking productsOperationsCloud LoggingCloud MonitoringError ReportingCloud DebuggerCloud TraceCloud ProfilerProductivity and CollaborationAppSheetAppsheet AutomationGoogle WorkspaceGoogle Workspace EssentialsDuet AI for WorkspaceCloud IdentityChrome EnterpriseSecurity and IdentityCloud IAMAssured WorkloadsCloud Key ManagementConfidential ComputingSecurity Command CenterCloud Data Loss PreventionMandiant Products and ServicesChronicle SIEMChronicle Security OperationsSecret ManagerBeyondCorp EnterpriseSee all security and identity productsServerlessCloud RunCloud FunctionsApp EngineWorkflowsAPI GatewayStorageCloud StorageBackup and DR ServiceFilestorePersistent DiskCloud Storage for FirebaseLocal SSDStorage Transfer ServiceWeb3Blockchain Node EngineSave money with our transparent approach to pricingRequest a quotePricing overview and toolsGoogle Cloud pricingPricing calculatorGoogle Cloud free tierCost optimization frameworkCost management toolsProduct-specific PricingCompute EngineCloud SQLGoogle Kubernetes EngineCloud StorageBigQuerySee full price list with 100+ productsLearn &amp; buildGoogle Cloud Free ProgramQuickstartsCloud computing basicsBlogLearning HubTrainingCertificationCloud Architecture CenterConnectInnovatorsDeveloper CenterEvents and webinarsGoogle Cloud CommunityThird-party tools and partnersGoogle Cloud MarketplaceGoogle Cloud partnersBecome a partnerWhy GoogleChoosing Google CloudTrust and securityOpen cloudMulticloudGlobal infrastructureCustomers and case studiesAnalyst reportsWhitepapersBlogProducts and pricingGoogle Cloud pricingGoogle Workspace pricingSee all productsSolutionsInfrastructure modernizationDatabasesApplication modernizationSmart analyticsArtificial IntelligenceSecurityProductivity &amp; work transformationIndustry solutionsDevOps solutionsSmall business solutionsSee all solutionsResourcesGoogle Cloud documentationGoogle Cloud quickstartsGoogle Cloud MarketplaceLearn about cloud computingSupportCode samplesCloud Architecture CenterTrainingCertificationsGoogle DevelopersGoogle Cloud for StartupsSystem statusRelease NotesEngageContact salesFind a PartnerBecome a PartnerEventsPodcastsDeveloper CenterPress CornerGoogle Cloud on YouTubeGoogle Cloud Tech on YouTubeFollow on TwitterJoin User ResearchWe're hiring. Join Google Cloud!Google Cloud CommunityAbout GooglePrivacySite termsGoogle Cloud termsOur third decade of climate action: join usSign up for the Google Cloud newsletterSubscribe language‪English‬‪English‬‪Deutsch‬‪Español‬‪Español (Latinoamérica)‬‪Français‬‪Indonesia‬‪Italiano‬‪Português (Brasil)‬‪简体中文‬‪繁體中文‬‪日本語‬‪한국어‬</v>
      </c>
    </row>
    <row r="341">
      <c r="A341" s="1" t="s">
        <v>1076</v>
      </c>
      <c r="B341" s="1" t="s">
        <v>1112</v>
      </c>
      <c r="D341" s="1">
        <v>10.0</v>
      </c>
      <c r="E341" s="4" t="s">
        <v>1113</v>
      </c>
      <c r="F341" s="1" t="s">
        <v>43</v>
      </c>
      <c r="G341" s="1" t="s">
        <v>1114</v>
      </c>
      <c r="H341" s="4" t="s">
        <v>1115</v>
      </c>
      <c r="I341" s="2">
        <v>-1.0</v>
      </c>
      <c r="J341" s="5" t="str">
        <f>IFERROR(__xludf.DUMMYFUNCTION("GOOGLETRANSLATE(A341)"),"Google")</f>
        <v>Google</v>
      </c>
      <c r="K341" s="6" t="str">
        <f>IFERROR(__xludf.DUMMYFUNCTION("GOOGLETRANSLATE(B341)"),"Google Trends")</f>
        <v>Google Trends</v>
      </c>
      <c r="L341" s="5" t="str">
        <f>IFERROR(__xludf.DUMMYFUNCTION("GOOGLETRANSLATE(C341)"),"#VALUE!")</f>
        <v>#VALUE!</v>
      </c>
      <c r="M341" s="5" t="str">
        <f>IFERROR(__xludf.DUMMYFUNCTION("GOOGLETRANSLATE(G341)"),"Google TrendsTrendsHomeExploreTrending now mapsSign inTrendshomeHomesearchExploretrending_upTrending nowcalendar_monthYear in SearchnotificationsSubscriptionshelp_outlineHelpsms_failedSend feedbackExplore whatUnited Statesthe worldis searching for right n"&amp;"owSearch interest past 24 hoursExploreDive deeperExplore issues and events in detail. Curated by the Trends Data Team.NBAThe 2023-24 NBA season in Search.NFLThe 2023-24 NFL season in Search.Republican Primary 2024The Republican Party is selecting a Presid"&amp;"ential candidate. See how America is searchingFormula 1See how the world is searching for Formula 1.World Teachers' Day 2023See how World Teachers' Day is being searched in the USMade with TrendsSee how Google Trends is being used across the world by news"&amp;"rooms charities and moreGoogle FrightgeistCostumes so good it's scary. Check out Frightgeist a Google Trends experiment.arrow_forwardVisitThe Shape of DreamsA visual exploration of Google searches for the interpretation of dreamsarrow_forwardVisitWhat are"&amp;" we searching for?A visual essay of what we're searching for throughout the day night and in betweenarrow_forwardVisit‪‪Visualizing Google data‬‬Welcome to our data visualization project: where the Trends Data Team works with the best designers around the"&amp;" world to tell stories with data — and make the results open sourcearrow_forwardVisitOECD Weekly Tracker of Economic ActivityFrom the OECD: The Weekly Tracker provides an estimate of weekly GDP based on Google Trends search data and machine learning.arrow"&amp;"_forwardVisitWNBA FirstsSee the stories behind some of the most searched WNBA ""firsts"" in Google Trends history.arrow_forwardVisitMidterm elections 2022: The issues that matter to AmericansFrom Axios: See which issues people in your congressional distri"&amp;"ct care about ahead of the 2022 midtermsarrow_forwardVisitarrow_backarrow_forwardGet started with TrendsNew to Trends? Browse these resources to learn what it can do and how to use it.What is Google Trends?Basics of Google TrendsUnderstanding the dataAdva"&amp;"nced Google TrendsPrivacyTermsSend feedbackAbouthelpHelp languageSearchClear searchClose searchGoogle appsMain menu")</f>
        <v>Google TrendsTrendsHomeExploreTrending now mapsSign inTrendshomeHomesearchExploretrending_upTrending nowcalendar_monthYear in SearchnotificationsSubscriptionshelp_outlineHelpsms_failedSend feedbackExplore whatUnited Statesthe worldis searching for right nowSearch interest past 24 hoursExploreDive deeperExplore issues and events in detail. Curated by the Trends Data Team.NBAThe 2023-24 NBA season in Search.NFLThe 2023-24 NFL season in Search.Republican Primary 2024The Republican Party is selecting a Presidential candidate. See how America is searchingFormula 1See how the world is searching for Formula 1.World Teachers' Day 2023See how World Teachers' Day is being searched in the USMade with TrendsSee how Google Trends is being used across the world by newsrooms charities and moreGoogle FrightgeistCostumes so good it's scary. Check out Frightgeist a Google Trends experiment.arrow_forwardVisitThe Shape of DreamsA visual exploration of Google searches for the interpretation of dreamsarrow_forwardVisitWhat are we searching for?A visual essay of what we're searching for throughout the day night and in betweenarrow_forwardVisit‪‪Visualizing Google data‬‬Welcome to our data visualization project: where the Trends Data Team works with the best designers around the world to tell stories with data — and make the results open sourcearrow_forwardVisitOECD Weekly Tracker of Economic ActivityFrom the OECD: The Weekly Tracker provides an estimate of weekly GDP based on Google Trends search data and machine learning.arrow_forwardVisitWNBA FirstsSee the stories behind some of the most searched WNBA "firsts" in Google Trends history.arrow_forwardVisitMidterm elections 2022: The issues that matter to AmericansFrom Axios: See which issues people in your congressional district care about ahead of the 2022 midtermsarrow_forwardVisitarrow_backarrow_forwardGet started with TrendsNew to Trends? Browse these resources to learn what it can do and how to use it.What is Google Trends?Basics of Google TrendsUnderstanding the dataAdvanced Google TrendsPrivacyTermsSend feedbackAbouthelpHelp languageSearchClear searchClose searchGoogle appsMain menu</v>
      </c>
    </row>
    <row r="342">
      <c r="A342" s="1" t="s">
        <v>1076</v>
      </c>
      <c r="B342" s="1" t="s">
        <v>1077</v>
      </c>
      <c r="C342" s="1" t="s">
        <v>1116</v>
      </c>
      <c r="D342" s="1">
        <v>11.0</v>
      </c>
      <c r="E342" s="4" t="s">
        <v>1117</v>
      </c>
      <c r="F342" s="1" t="s">
        <v>43</v>
      </c>
      <c r="G342" s="1" t="s">
        <v>1118</v>
      </c>
      <c r="H342" s="4" t="s">
        <v>1119</v>
      </c>
      <c r="I342" s="2">
        <v>-1.0</v>
      </c>
      <c r="J342" s="5" t="str">
        <f>IFERROR(__xludf.DUMMYFUNCTION("GOOGLETRANSLATE(A342)"),"Google")</f>
        <v>Google</v>
      </c>
      <c r="K342" s="6" t="str">
        <f>IFERROR(__xludf.DUMMYFUNCTION("GOOGLETRANSLATE(B342)"),"Google")</f>
        <v>Google</v>
      </c>
      <c r="L342" s="5" t="str">
        <f>IFERROR(__xludf.DUMMYFUNCTION("GOOGLETRANSLATE(C342)"),"Google | 30676617 followers on LinkedIn. A problem isn't truly solved until it's solved for all. Googlers build products that help create opportunities for ...")</f>
        <v>Google | 30676617 followers on LinkedIn. A problem isn't truly solved until it's solved for all. Googlers build products that help create opportunities for ...</v>
      </c>
      <c r="M342" s="5" t="str">
        <f>IFERROR(__xludf.DUMMYFUNCTION("GOOGLETRANSLATE(G342)"),"LinkedIn: Log In or Sign Up       Skip to main content                    Agree &amp; Join LinkedIn                              By clicking Continue you agree to LinkedIn’s User Agreement Privacy Policy and Cookie Policy.              LinkedIn         Articl"&amp;"es              People              Learning              Jobs                      Join now                        Sign in                  Find jobs through your community                  Email or phone                  Password        Show Forgot pass"&amp;"word?          Sign in                    or                  By clicking Continue you agree to LinkedIn’s User Agreement Privacy Policy and Cookie Policy.                  New to LinkedIn? Join now                    Explore collaborative articles       "&amp;"           We’re unlocking community knowledge in a new way. Experts add insights directly into each article started with the help of AI.                                Marketing                                            Public Administration            "&amp;"                                Healthcare                                            Engineering                                            IT Services                                            Sustainability                                            B"&amp;"usiness Administration                                            Telecommunications                                            HR Management                                          Show all                            Find the right job or internship for"&amp;" you                  Suggested Searches                          Engineering                                    Business Development                                    Finance                                    Administrative Assistant                   "&amp;"                 Retail Associate                                    Customer Service                                    Operations                                    Information Technology                                    Marketing                     "&amp;"               Human Resources                                    Healthcare Service                                    Sales                                    Program and Project Management                                    Accounting                  "&amp;"                  Arts and Design                                    Community and Social Services                                    Consulting                                    Education                                    Entrepreneurship              "&amp;"                      Legal                                    Media and Communications                                    Military and Protective Services                                    Product Management                                    Purchasing"&amp;"                                    Quality Assurance                                    Real Estate                                    Research                                    Support                                    Administrative                  "&amp;"              Show more                              Show less                      Post your job for millions of people to see                        Post a job                        Discover the best software tools                    Connect with buyer"&amp;"s who have first-hand experience to find the best products for you.                    Suggested Tools                                E-Commerce Platforms                                                CRM Software                                         "&amp;"       Human Resources Management Systems                                                Recruiting Software                                                Sales Intelligence Software                                                Project Management Softw"&amp;"are                                                Help Desk Software                                                Social Networking Software                                                Desktop Publishing Software                                     "&amp;"         Show all                                     No more previous content                      Let the right people know you’re open to work      With the Open To Work feature you can privately tell recruiters or publicly share with the LinkedIn comm"&amp;"unity that you are looking for new job opportunities.        Conversations today could lead to opportunity tomorrow      Sending messages to people you know is a great way to strengthen relationships as you take the next step in your career.        Stay u"&amp;"p to date on your industry      From live videos to stories to newsletters and more LinkedIn is full of ways to stay up to date on the latest discussions in your industry.                No more next content                          Connect with people wh"&amp;"o can help                              Find people you know                            Learn the skills you need to succeed        Choose a topic to learn aboutBusiness Analysis and Strategy                        1030+ course                      Busine"&amp;"ss Software and Tools                        2100+ courses                      Career Development                        520+ courses                      Customer Service                        190+ courses                      Diversity Equity and Incl"&amp;"usion (DEI)                        250+ courses                      Finance and Accounting                        290+ courses                      Human Resources                        440+ courses                      Leadership and Management        "&amp;"                1550+ course                      Marketing                        890+ courses                      Professional Development                        1480+ course                      Project Management                        440+ courses  "&amp;"                    Sales                        280+ courses                      Small Business and Entrepreneurship                        330+ courses                      Training and Education                        290+ courses                     "&amp;" AEC                        1440+ course                      Animation and Illustration                        1720+ course                      Audio and Music                        420+ courses                      Graphic Design                      "&amp;"  960+ courses                      Motion Graphics and VFX                        900+ courses                      Photography                        1160+ course                      Product and Manufacturing                        1440+ course        "&amp;"              User Experience                        520+ courses                      Video                        610+ courses                      Visualization and Real-Time                        1310+ course                      Web Design          "&amp;"              530+ courses                      Artificial Intelligence (AI)                        290+ courses                      Cloud Computing                        1280+ course                      Data Science                        1070+ course"&amp;"                      Database Management                        390+ courses                      DevOps                        290+ courses                      IT Help Desk                        340+ courses                      Mobile Development    "&amp;"                    480+ courses                      Network and System Administration                        1460+ course                      Security                        830+ courses                      Software Development                        "&amp;"2350+ courses                      Web Development                        1500+ course                                   Who is LinkedIn for?                      Anyone looking to navigate their professional life.                          Find a coworker"&amp;" or classmate                              Find a new job                              Find a course or training                        Join your colleagues classmates and friends on LinkedIn.                                  Get started                  "&amp;"                  General                                  Sign Up                                          Help Center                                          About                                          Press                                          "&amp;"Blog                                          Careers                                          Developers                                  Browse LinkedIn                                  Learning                                          Jobs             "&amp;"                             Salary                                          Mobile                                          Services                                          Products                                          Top Companies Hub             "&amp;"                     Business Solutions                                  Talent                                          Marketing                                          Sales                                          Learning                            "&amp;"      Directories                                  Members                                          Jobs                                          Companies                                          Featured                                          Learning"&amp;"                                          Posts                                          Articles                                          Schools                                          News                                          News Letters         "&amp;"                                 Services                                          Products                                          Advice                                          People Search                    LinkedIn© 2023                    About  "&amp;"                                  Accessibility                                    User Agreement                                    Privacy Policy                                      Your California Privacy Choices                                      C"&amp;"ookie Policy                                    Copyright Policy                                    Brand Policy                                      Guest Controls                                      Community Guidelines                                ا"&amp;"لعربية (Arabic)                            Čeština (Czech)                            Dansk (Danish)                            Deutsch (German)            English (English)                Español (Spanish)                            Français (French)    "&amp;"                        हिंदी (Hindi)                            Bahasa Indonesia (Indonesian)                            Italiano (Italian)                            日本語 (Japanese)                            한국어 (Korean)                            Bahas"&amp;"a Malaysia (Malay)                            Nederlands (Dutch)                            Norsk (Norwegian)                            Polski (Polish)                            Português (Portuguese)                            Română (Romanian)        "&amp;"                    Русский (Russian)                            Svenska (Swedish)                            ภาษาไทย (Thai)                            Tagalog (Tagalog)                            Türkçe (Turkish)                            Українська (Uk"&amp;"rainian)                            简体中文 (Chinese (Simplified))                            正體中文 (Chinese (Traditional))                        Language")</f>
        <v>LinkedIn: Log In or Sign Up       Skip to main content                    Agree &amp; Join LinkedIn                              By clicking Continue you agree to LinkedIn’s User Agreement Privacy Policy and Cookie Policy.              LinkedIn         Articles              People              Learning              Jobs                      Join now                        Sign in                  Find jobs through your community                  Email or phone                  Password        Show Forgot password?          Sign in                    or                  By clicking Continue you agree to LinkedIn’s User Agreement Privacy Policy and Cookie Policy.                  New to LinkedIn? Join now                    Explore collaborative articles                  We’re unlocking community knowledge in a new way. Experts add insights directly into each article started with the help of AI.                                Marketing                                            Public Administration                                            Healthcare                                            Engineering                                            IT Services                                            Sustainability                                            Business Administration                                            Telecommunications                                            HR Management                                          Show all                            Find the right job or internship for you                  Suggested Searches                          Engineering                                    Business Development                                    Finance                                    Administrative Assistant                                    Retail Associate                                    Customer Service                                    Operations                                    Information Technology                                    Marketing                                    Human Resources                                    Healthcare Service                                    Sales                                    Program and Project Management                                    Accounting                                    Arts and Design                                    Community and Social Services                                    Consulting                                    Education                                    Entrepreneurship                                    Legal                                    Media and Communications                                    Military and Protective Services                                    Product Management                                    Purchasing                                    Quality Assurance                                    Real Estate                                    Research                                    Support                                    Administrative                                Show more                              Show less                      Post your job for millions of people to see                        Post a job                        Discover the best software tools                    Connect with buyers who have first-hand experience to find the best products for you.                    Suggested Tools                                E-Commerce Platforms                                                CRM Software                                                Human Resources Management Systems                                                Recruiting Software                                                Sales Intelligence Software                                                Project Management Software                                                Help Desk Software                                                Social Networking Software                                                Desktop Publishing Software                                              Show all                                     No more previous content                      Let the right people know you’re open to work      With the Open To Work feature you can privately tell recruiters or publicly share with the LinkedIn community that you are looking for new job opportunities.        Conversations today could lead to opportunity tomorrow      Sending messages to people you know is a great way to strengthen relationships as you take the next step in your career.        Stay up to date on your industry      From live videos to stories to newsletters and more LinkedIn is full of ways to stay up to date on the latest discussions in your industry.                No more next content                          Connect with people who can help                              Find people you know                            Learn the skills you need to succeed        Choose a topic to learn aboutBusiness Analysis and Strategy                        1030+ course                      Business Software and Tools                        2100+ courses                      Career Development                        520+ courses                      Customer Service                        190+ courses                      Diversity Equity and Inclusion (DEI)                        250+ courses                      Finance and Accounting                        290+ courses                      Human Resources                        440+ courses                      Leadership and Management                        1550+ course                      Marketing                        890+ courses                      Professional Development                        1480+ course                      Project Management                        440+ courses                      Sales                        280+ courses                      Small Business and Entrepreneurship                        330+ courses                      Training and Education                        290+ courses                      AEC                        1440+ course                      Animation and Illustration                        1720+ course                      Audio and Music                        420+ courses                      Graphic Design                        960+ courses                      Motion Graphics and VFX                        900+ courses                      Photography                        1160+ course                      Product and Manufacturing                        1440+ course                      User Experience                        520+ courses                      Video                        610+ courses                      Visualization and Real-Time                        1310+ course                      Web Design                        530+ courses                      Artificial Intelligence (AI)                        290+ courses                      Cloud Computing                        1280+ course                      Data Science                        1070+ course                      Database Management                        390+ courses                      DevOps                        290+ courses                      IT Help Desk                        340+ courses                      Mobile Development                        480+ courses                      Network and System Administration                        1460+ course                      Security                        830+ courses                      Software Development                        2350+ courses                      Web Development                        1500+ course                                   Who is LinkedIn for?                      Anyone looking to navigate their professional life.                          Find a coworker or classmate                              Find a new job                              Find a course or training                        Join your colleagues classmates and friends on LinkedIn.                                  Get started                                    General                                  Sign Up                                          Help Center                                          About                                          Press                                          Blog                                          Careers                                          Developers                                  Browse LinkedIn                                  Learning                                          Jobs                                          Salary                                          Mobile                                          Services                                          Products                                          Top Companies Hub                                  Business Solutions                                  Talent                                          Marketing                                          Sales                                          Learning                                  Directories                                  Members                                          Jobs                                          Companies                                          Featured                                          Learning                                          Posts                                          Articles                                          Schools                                          News                                          News Letters                                          Services                                          Products                                          Advice                                          People Search                    LinkedIn© 2023                    About                                    Accessibility                                    User Agreement                                    Privacy Policy                                      Your California Privacy Choices                                      Cookie Policy                                    Copyright Policy                                    Brand Policy                                      Guest Controls                                      Community Guidelines                                العربية (Arabic)                            Čeština (Czech)                            Dansk (Danish)                            Deutsch (German)            English (English)                Español (Spanish)                            Français (French)                            हिंदी (Hindi)                            Bahasa Indonesia (Indonesian)                            Italiano (Italian)                            日本語 (Japanese)                            한국어 (Korean)                            Bahasa Malaysia (Malay)                            Nederlands (Dutch)                            Norsk (Norwegian)                            Polski (Polish)                            Português (Portuguese)                            Română (Romanian)                            Русский (Russian)                            Svenska (Swedish)                            ภาษาไทย (Thai)                            Tagalog (Tagalog)                            Türkçe (Turkish)                            Українська (Ukrainian)                            简体中文 (Chinese (Simplified))                            正體中文 (Chinese (Traditional))                        Language</v>
      </c>
    </row>
    <row r="343">
      <c r="A343" s="1" t="s">
        <v>1076</v>
      </c>
      <c r="B343" s="1" t="s">
        <v>1120</v>
      </c>
      <c r="C343" s="1" t="s">
        <v>1121</v>
      </c>
      <c r="D343" s="1">
        <v>12.0</v>
      </c>
      <c r="E343" s="4" t="s">
        <v>1122</v>
      </c>
      <c r="F343" s="1" t="s">
        <v>43</v>
      </c>
      <c r="G343" s="1" t="s">
        <v>1123</v>
      </c>
      <c r="H343" s="4" t="s">
        <v>1124</v>
      </c>
      <c r="I343" s="2">
        <v>-1.0</v>
      </c>
      <c r="J343" s="5" t="str">
        <f>IFERROR(__xludf.DUMMYFUNCTION("GOOGLETRANSLATE(A343)"),"Google")</f>
        <v>Google</v>
      </c>
      <c r="K343" s="6" t="str">
        <f>IFERROR(__xludf.DUMMYFUNCTION("GOOGLETRANSLATE(B343)"),"Google Scholar")</f>
        <v>Google Scholar</v>
      </c>
      <c r="L343" s="5" t="str">
        <f>IFERROR(__xludf.DUMMYFUNCTION("GOOGLETRANSLATE(C343)"),"Google Scholar provides a simple way to broadly search for scholarly literature. Search across a wide variety of disciplines and sources: articles, theses, ...")</f>
        <v>Google Scholar provides a simple way to broadly search for scholarly literature. Search across a wide variety of disciplines and sources: articles, theses, ...</v>
      </c>
      <c r="M343" s="5" t="str">
        <f>IFERROR(__xludf.DUMMYFUNCTION("GOOGLETRANSLATE(G343)"),"Google ScholarLoading...The system can't perform the operation now. Try again later.Advanced searchFind articleswith all of the wordswith the exact phrasewith at least one of the wordswithout the wordswhere my words occuranywhere in the articlein the titl"&amp;"e of the articleReturn articles authored bye.g. ""PJ Hayes"" or McCarthyReturn articles published ine.g. J Biol Chem or NatureReturn articles dated between — e.g. 1996Saved to My libraryDoneRemove articleMy profileMy libraryAlertsMetricsAdvanced searchSet"&amp;"tingsSign inMy profileMy librarySign inArticles Case lawFederal courts Michigan courts Select courts...Stand on the shoulders of giantsSorry some features may not work when JavaScript is turned off.Please enable JavaScript in your browser for the best exp"&amp;"erience.ENLanguagesEnglishEspa�olCatal�ČeštinaDanskDeutschFilipinoFran�aisHrvatskiIndonesiaItalianoLatviešuLietuviųMagyarNederlandsNorskPolskiPortugu�s (Brasil)Portugu�s (Portugal)Rom�năSlovenčinaSlovenščinaSuomiSvenskaTiếng ViệtT�rk�eΕλληνικάБългарскиРус"&amp;"скийСрпскиУкраїнськаעבריתﺎﻠﻋﺮﺒﻳﺓﻑﺍﺮﺳیहिन्दीไทย한국어中文 (简体)中文 (繁體)日本語PrivacyTermsHelpAbout ScholarSearch help")</f>
        <v>Google ScholarLoading...The system can't perform the operation now. Try again later.Advanced searchFind articleswith all of the wordswith the exact phrasewith at least one of the wordswithout the wordswhere my words occuranywhere in the articlein the title of the articleReturn articles authored bye.g. "PJ Hayes" or McCarthyReturn articles published ine.g. J Biol Chem or NatureReturn articles dated between — e.g. 1996Saved to My libraryDoneRemove articleMy profileMy libraryAlertsMetricsAdvanced searchSettingsSign inMy profileMy librarySign inArticles Case lawFederal courts Michigan courts Select courts...Stand on the shoulders of giantsSorry some features may not work when JavaScript is turned off.Please enable JavaScript in your browser for the best experience.ENLanguagesEnglishEspa�olCatal�ČeštinaDanskDeutschFilipinoFran�aisHrvatskiIndonesiaItalianoLatviešuLietuviųMagyarNederlandsNorskPolskiPortugu�s (Brasil)Portugu�s (Portugal)Rom�năSlovenčinaSlovenščinaSuomiSvenskaTiếng ViệtT�rk�eΕλληνικάБългарскиРусскийСрпскиУкраїнськаעבריתﺎﻠﻋﺮﺒﻳﺓﻑﺍﺮﺳیहिन्दीไทย한국어中文 (简体)中文 (繁體)日本語PrivacyTermsHelpAbout ScholarSearch help</v>
      </c>
    </row>
    <row r="344">
      <c r="A344" s="1" t="s">
        <v>1076</v>
      </c>
      <c r="B344" s="1" t="s">
        <v>1125</v>
      </c>
      <c r="C344" s="1" t="s">
        <v>1126</v>
      </c>
      <c r="D344" s="1">
        <v>13.0</v>
      </c>
      <c r="E344" s="4" t="s">
        <v>1127</v>
      </c>
      <c r="F344" s="1" t="s">
        <v>43</v>
      </c>
      <c r="G344" s="1" t="s">
        <v>1128</v>
      </c>
      <c r="H344" s="4" t="s">
        <v>1129</v>
      </c>
      <c r="I344" s="2">
        <v>-1.0</v>
      </c>
      <c r="J344" s="5" t="str">
        <f>IFERROR(__xludf.DUMMYFUNCTION("GOOGLETRANSLATE(A344)"),"Google")</f>
        <v>Google</v>
      </c>
      <c r="K344" s="6" t="str">
        <f>IFERROR(__xludf.DUMMYFUNCTION("GOOGLETRANSLATE(B344)"),"Google Assistant, your own personal Google")</f>
        <v>Google Assistant, your own personal Google</v>
      </c>
      <c r="L344" s="5" t="str">
        <f>IFERROR(__xludf.DUMMYFUNCTION("GOOGLETRANSLATE(C344)"),"Meet your Google Assistant. Ask it questions. Tell it to do things. It's your own personal Google, always ready to help whenever you need it.")</f>
        <v>Meet your Google Assistant. Ask it questions. Tell it to do things. It's your own personal Google, always ready to help whenever you need it.</v>
      </c>
      <c r="M344" s="5" t="str">
        <f>IFERROR(__xludf.DUMMYFUNCTION("GOOGLETRANSLATE(G344)"),"Google Assistant your own personal Google Skip to content                     Overview                                       Get Google Assistant                                            Phones                                                  Speakers  "&amp;"                                                Smart Displays                                                  Cars                                                  TVs                                                  Tablets                             "&amp;"                     Wearables                                                  More Devices                                              What it can do                                            Get Started                                              Ne"&amp;"ws and resources                                            News                                                  Partners                                                  For Developers                                                  For Businesses     "&amp;"                                             Discover                                         Google Store                                  Overview                                       Get Google Assistant                                              Ph"&amp;"ones                                                       Speakers                                                       Smart Displays                                                       Cars                                                       TVs  "&amp;"                                                     Tablets                                                       Wearables                                                       More Devices                                                 What it can do "&amp;"                                             Get Started                                                 News and resources                                              News                                                       Partners                   "&amp;"                                    For Developers                                                       For Businesses                                                       Discover                            Google Store Create your personalized smart h"&amp;"ome with Google Home. Discover howCreate your personalized smart home with Google Home. Hey Google find me chicken recipes Learn moreHey Google find me chicken recipes Hey Google text Mom I’ll be there in 10 minutes Learn moreHey Google text Mom I’ll be t"&amp;"here in 10 minutes Hey Google play my Morning playlist Learn moreHey Google play my Morning playlist Hey Google dim the bedroom lights Learn moreHey Google dim the bedroom lights Hey Google set the temperature to 75 degrees Learn moreHey Google set the te"&amp;"mperature to 75 degrees Discover what Google Assistant is Learn more about how you can get help from your Google Assistant.                        On your phone              On your tablet              On your smart display              On your smart spea"&amp;"ker              On your watch              On your TV              In your car              More devices Google Assistant is built to keep your information private safe and secure.When you use Google Assistant you trust us with your data and it's our res"&amp;"ponsibility to protect and respect it. Privacy is personal. That’s why we build simple privacy controls to help you choose what’s right for you. Explore this page to learn more about how Google Assistant works your built-in privacy controls answers to com"&amp;"mon questions and more.Learn more Google Assistant is built to keep your information private safe and secure.Featured PartnersGoogle Assistant works with your favorite mobile apps on all Android phones with more partners on the way. Try it out for yoursel"&amp;"f.             Just say “Hey Google...”      Etsy“... find candles on Etsy”Nike Run Club“... start my run with Nike Run Club”Spotify“... open Spotify”Postmates“... order a smoothie on Postmates”MyFitnessPal“... log a berry smoothie on MyFitnessPal”Mint“.."&amp;". check my accounts on Mint”Discord“... send a message to Rachel on Discord”Walmart“... check in to Walmart”Twitter“... check news on Twitter”Snap“... send a snap with cartoon lens on Snapchat”                     Subscriptions may be required to access c"&amp;"ertain content.                       Privacy                      Terms                      About Google                      Google Products                      Developers                      Businesses                      Join user studies         "&amp;"             Cookies management controls                      Help                    dansk (Danmark)                  Deutsch (Belgien)                  Deutsch (Deutschland)                  English                  English (Australia)                  "&amp;"English (Belgium)                  English (Canada)                  English (India)                  English (Malaysia)                  English (Singapore)                  English (Thailand)                  English (United States)                  esp"&amp;"añol (España)                  español (Estados Unidos)                  español (Latinoamérica)                  español (México)                  français (Belgique)                  français (Canada)                  français (France)                  "&amp;"Indonesia (Indonesia)                  italiano (Italia)                  Nederlands (België)                  Nederlands (Nederland)                  norsk bokmål (Norge)                  polski (Polska)                  português (Brasil)               "&amp;"   português (Portugal)                  svenska (Sverige)                  Tiếng Việt (Việt Nam)                  Türkçe (Türkiye)                  русский (Россия)                  العربية (المملكة العربية السعودية)                  العربية (مصر)       "&amp;"           हिन्दी (भारत)                  ไทย (ไทย)                  中文 (繁體 中國)                  中文 (繁體 台灣)                  中文 (繁體字 中國香港特別行政區)                  日本語 (日本)                  한국어 (대한민국)")</f>
        <v>Google Assistant your own personal Google Skip to content                     Overview                                       Get Google Assistant                                            Phones                                                  Speakers                                                  Smart Displays                                                  Cars                                                  TVs                                                  Tablets                                                  Wearables                                                  More Devices                                              What it can do                                            Get Started                                              News and resources                                            News                                                  Partners                                                  For Developers                                                  For Businesses                                                  Discover                                         Google Store                                  Overview                                       Get Google Assistant                                              Phones                                                       Speakers                                                       Smart Displays                                                       Cars                                                       TVs                                                       Tablets                                                       Wearables                                                       More Devices                                                 What it can do                                              Get Started                                                 News and resources                                              News                                                       Partners                                                       For Developers                                                       For Businesses                                                       Discover                            Google Store Create your personalized smart home with Google Home. Discover howCreate your personalized smart home with Google Home. Hey Google find me chicken recipes Learn moreHey Google find me chicken recipes Hey Google text Mom I’ll be there in 10 minutes Learn moreHey Google text Mom I’ll be there in 10 minutes Hey Google play my Morning playlist Learn moreHey Google play my Morning playlist Hey Google dim the bedroom lights Learn moreHey Google dim the bedroom lights Hey Google set the temperature to 75 degrees Learn moreHey Google set the temperature to 75 degrees Discover what Google Assistant is Learn more about how you can get help from your Google Assistant.                        On your phone              On your tablet              On your smart display              On your smart speaker              On your watch              On your TV              In your car              More devices Google Assistant is built to keep your information private safe and secure.When you use Google Assistant you trust us with your data and it's our responsibility to protect and respect it. Privacy is personal. That’s why we build simple privacy controls to help you choose what’s right for you. Explore this page to learn more about how Google Assistant works your built-in privacy controls answers to common questions and more.Learn more Google Assistant is built to keep your information private safe and secure.Featured PartnersGoogle Assistant works with your favorite mobile apps on all Android phones with more partners on the way. Try it out for yourself.             Just say “Hey Google...”      Etsy“... find candles on Etsy”Nike Run Club“... start my run with Nike Run Club”Spotify“... open Spotify”Postmates“... order a smoothie on Postmates”MyFitnessPal“... log a berry smoothie on MyFitnessPal”Mint“... check my accounts on Mint”Discord“... send a message to Rachel on Discord”Walmart“... check in to Walmart”Twitter“... check news on Twitter”Snap“... send a snap with cartoon lens on Snapchat”                     Subscriptions may be required to access certain content.                       Privacy                      Terms                      About Google                      Google Products                      Developers                      Businesses                      Join user studies                      Cookies management controls                      Help                    dansk (Danmark)                  Deutsch (Belgien)                  Deutsch (Deutschland)                  English                  English (Australia)                  English (Belgium)                  English (Canada)                  English (India)                  English (Malaysia)                  English (Singapore)                  English (Thailand)                  English (United States)                  español (España)                  español (Estados Unidos)                  español (Latinoamérica)                  español (México)                  français (Belgique)                  français (Canada)                  français (France)                  Indonesia (Indonesia)                  italiano (Italia)                  Nederlands (België)                  Nederlands (Nederland)                  norsk bokmål (Norge)                  polski (Polska)                  português (Brasil)                  português (Portugal)                  svenska (Sverige)                  Tiếng Việt (Việt Nam)                  Türkçe (Türkiye)                  русский (Россия)                  العربية (المملكة العربية السعودية)                  العربية (مصر)                  हिन्दी (भारत)                  ไทย (ไทย)                  中文 (繁體 中國)                  中文 (繁體 台灣)                  中文 (繁體字 中國香港特別行政區)                  日本語 (日本)                  한국어 (대한민국)</v>
      </c>
    </row>
    <row r="345">
      <c r="A345" s="1" t="s">
        <v>1076</v>
      </c>
      <c r="B345" s="1" t="s">
        <v>1130</v>
      </c>
      <c r="C345" s="1" t="s">
        <v>1131</v>
      </c>
      <c r="D345" s="1">
        <v>14.0</v>
      </c>
      <c r="E345" s="4" t="s">
        <v>1132</v>
      </c>
      <c r="F345" s="1" t="s">
        <v>43</v>
      </c>
      <c r="G345" s="1" t="s">
        <v>1133</v>
      </c>
      <c r="H345" s="4" t="s">
        <v>1134</v>
      </c>
      <c r="I345" s="2">
        <v>-1.0</v>
      </c>
      <c r="J345" s="5" t="str">
        <f>IFERROR(__xludf.DUMMYFUNCTION("GOOGLETRANSLATE(A345)"),"Google")</f>
        <v>Google</v>
      </c>
      <c r="K345" s="6" t="str">
        <f>IFERROR(__xludf.DUMMYFUNCTION("GOOGLETRANSLATE(B345)"),"Google Sites: Sign-in")</f>
        <v>Google Sites: Sign-in</v>
      </c>
      <c r="L345" s="5" t="str">
        <f>IFERROR(__xludf.DUMMYFUNCTION("GOOGLETRANSLATE(C345)"),"Access Google Sites with a personal Google account or Google Workspace account (for business use).")</f>
        <v>Access Google Sites with a personal Google account or Google Workspace account (for business use).</v>
      </c>
      <c r="M345" s="5" t="str">
        <f>IFERROR(__xludf.DUMMYFUNCTION("GOOGLETRANSLATE(G345)"),"Google Sites: Sign-Into Continue to Google Sitesemail or phoneforgot email?not your computer? Use a private browsing window to sign in. Learn Morenextcreate AccountAfrikaansazərBaycanbosanskitalskitalàtinanymraegdanskdeutskeestienglish (United Kingdom)Eng"&amp;"lishEnglish (United States)Español (Spaña)Franágasí)Eusrafilica). Gegalegohrvatsiaisuluíslenslenskaniswahilaswahilaswahilitwahililatvietuvišmagyarmelayaderlandsnorskporturguês (Brasilsilsiluguguês (portugal)romentonsklovenárpslovenven ng Việttttttoελλληικ"&amp;"άбеллууууConаябъгарскикыргыачаікссаі.і.і.і.і.і.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f>
        <v>Google Sites: Sign-Into Continue to Google Sitesemail or phoneforgot email?not your computer? Use a private browsing window to sign in. Learn Morenextcreate AccountAfrikaansazərBaycanbosanskitalskitalàtinanymraegdanskdeutskeestienglish (United Kingdom)EnglishEnglish (United States)Español (Spaña)Franágasí)Eusrafilica). Gegalegohrvatsiaisuluíslenslenskaniswahilaswahilaswahilitwahililatvietuvišmagyarmelayaderlandsnorskporturguês (Brasilsilsiluguguês (portugal)romentonsklovenárpslovenven ng ViệttttttoελλληικάбеллууууConаябъгарскикыргыачаікссаі.і.і.і.і.і.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v>
      </c>
    </row>
    <row r="346">
      <c r="A346" s="1" t="s">
        <v>1076</v>
      </c>
      <c r="B346" s="1" t="s">
        <v>1135</v>
      </c>
      <c r="C346" s="1" t="s">
        <v>1136</v>
      </c>
      <c r="D346" s="1">
        <v>15.0</v>
      </c>
      <c r="E346" s="4" t="s">
        <v>1137</v>
      </c>
      <c r="F346" s="1" t="s">
        <v>43</v>
      </c>
      <c r="G346" s="1" t="s">
        <v>216</v>
      </c>
      <c r="H346" s="4" t="s">
        <v>217</v>
      </c>
      <c r="I346" s="2">
        <v>-1.0</v>
      </c>
      <c r="J346" s="5" t="str">
        <f>IFERROR(__xludf.DUMMYFUNCTION("GOOGLETRANSLATE(A346)"),"Google")</f>
        <v>Google</v>
      </c>
      <c r="K346" s="6" t="str">
        <f>IFERROR(__xludf.DUMMYFUNCTION("GOOGLETRANSLATE(B346)"),"Google Help")</f>
        <v>Google Help</v>
      </c>
      <c r="L346" s="5" t="str">
        <f>IFERROR(__xludf.DUMMYFUNCTION("GOOGLETRANSLATE(C346)"),"If you're having trouble accessing a Google product, there's a chance we're currently experiencing a temporary problem. You can check for outages and downtime ...")</f>
        <v>If you're having trouble accessing a Google product, there's a chance we're currently experiencing a temporary problem. You can check for outages and downtime ...</v>
      </c>
      <c r="M346" s="5" t="str">
        <f>IFERROR(__xludf.DUMMYFUNCTION("GOOGLETRANSLATE(G346)"),"Google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347">
      <c r="A347" s="1" t="s">
        <v>1076</v>
      </c>
      <c r="B347" s="1" t="s">
        <v>1138</v>
      </c>
      <c r="D347" s="1">
        <v>16.0</v>
      </c>
      <c r="E347" s="4" t="s">
        <v>1139</v>
      </c>
      <c r="F347" s="1" t="s">
        <v>43</v>
      </c>
      <c r="G347" s="1" t="s">
        <v>1140</v>
      </c>
      <c r="H347" s="1" t="s">
        <v>1141</v>
      </c>
      <c r="I347" s="2">
        <v>-1.0</v>
      </c>
      <c r="J347" s="5" t="str">
        <f>IFERROR(__xludf.DUMMYFUNCTION("GOOGLETRANSLATE(A347)"),"Google")</f>
        <v>Google</v>
      </c>
      <c r="K347" s="6" t="str">
        <f>IFERROR(__xludf.DUMMYFUNCTION("GOOGLETRANSLATE(B347)"),"Google - About Google, Our Culture &amp; Company News")</f>
        <v>Google - About Google, Our Culture &amp; Company News</v>
      </c>
      <c r="L347" s="5" t="str">
        <f>IFERROR(__xludf.DUMMYFUNCTION("GOOGLETRANSLATE(C347)"),"#VALUE!")</f>
        <v>#VALUE!</v>
      </c>
      <c r="M347" s="5" t="str">
        <f>IFERROR(__xludf.DUMMYFUNCTION("GOOGLETRANSLATE(G347)"),"Google - About Google Our Culture &amp; Company News              About                        Jump to content                          About                              About                                Google in the U.S.                                P"&amp;"roducts                                Commitments                                Stories                                The Keyword                                    About Google                      Our mission products and impactMore about our core co"&amp;"mmitments                    Belonging                      Expanding what's possible for everyone                    Learning                      Unlocking opportunity with education &amp; career tools                    Safety Center                      K"&amp;"eeping billions of people safe online                    Crisis Response                      Helping people with information in critical moments                    Sustainability                      Committed to being carbon free by 2030        Our miss"&amp;"ion is to organize the world’s information and make it universally accessible and useful.              Pixel gets even more powerful and helpful.              Learn more about the new Pixel 8 phones and the Google Pixel Watch 2.              See what's ne"&amp;"w                   Make life easier with a little help from our products                    View all our products                  Get product support            Latest products news            Discover Chrome themes by Latino artists              Learn "&amp;"more             Celebrating 25 years of endless curiosity          Read more                    Committed to significantly improving the lives of as many people as possible                    View all our commitments                Learn about Google's r"&amp;"esponsible approach to AI              Read the AI Principles Progress Report               Gain in-demand job skills with Google Career Certificates              Learn more                   People using technology to benefit others                    Ex"&amp;"plore our stories                Honoring Stacey Park Milbern and her dream for a more inclusive world              Read the story               Meet the man on a mission to clean up Africa's air using AI              Read the story               See how "&amp;"Google is using AI to help doctors prevent blindness in diabetics              Read the story               How Selly Thiam uses Google Search to find LGBTQ+ stories              Read the story                       Today's doodle                         "&amp;"         Discover more Google Doodles                              Discover more Google Doodles                  Latest company news                Read more on The Keyword        Follow us        Español      Company resources                  Contact us"&amp;"                                  Help center                                  Locations                                  Careers                                  Blog                                  Press resources                                  Inves"&amp;"tor relations                                  Brand Resource Center                Featured products                  Google Ads                                  Android                                  Chrome                                  Google Clou"&amp;"d                                  Google for Education                                  Gmail                                  Google Maps                                  Google Photos                                  Google Play                        "&amp;"          Google Shopping                                  Google Search                                  Google for Small Business                                  Google Store                                  Google Workspace                            "&amp;"      YouTube                                  View all products                Responsibility                  Accessibility                                  Crisis response                                  Digital wellbeing                              "&amp;"    Diversity &amp; inclusion                                  Google.org                                  Google Health                                  Google Public Sector                                  Grow with Google                                  H"&amp;"uman rights                                  Learning                                  Public Policy                                  Safety Center                                  Supplier responsibility                                  Sustainability   "&amp;"             More about us                  Transparency report                                  Community guidelines                                  How our business works                                  Extended workforce                              "&amp;"    Transparency Center                Help          Privacy          Terms")</f>
        <v>Google - About Google Our Culture &amp; Company News              About                        Jump to content                          About                              About                                Google in the U.S.                                Products                                Commitments                                Stories                                The Keyword                                    About Google                      Our mission products and impactMore about our core commitments                    Belonging                      Expanding what's possible for everyone                    Learning                      Unlocking opportunity with education &amp; career tools                    Safety Center                      Keeping billions of people safe online                    Crisis Response                      Helping people with information in critical moments                    Sustainability                      Committed to being carbon free by 2030        Our mission is to organize the world’s information and make it universally accessible and useful.              Pixel gets even more powerful and helpful.              Learn more about the new Pixel 8 phones and the Google Pixel Watch 2.              See what's new                   Make life easier with a little help from our products                    View all our products                  Get product support            Latest products news            Discover Chrome themes by Latino artists              Learn more             Celebrating 25 years of endless curiosity          Read more                    Committed to significantly improving the lives of as many people as possible                    View all our commitments                Learn about Google's responsible approach to AI              Read the AI Principles Progress Report               Gain in-demand job skills with Google Career Certificates              Learn more                   People using technology to benefit others                    Explore our stories                Honoring Stacey Park Milbern and her dream for a more inclusive world              Read the story               Meet the man on a mission to clean up Africa's air using AI              Read the story               See how Google is using AI to help doctors prevent blindness in diabetics              Read the story               How Selly Thiam uses Google Search to find LGBTQ+ stories              Read the story                       Today's doodle                                  Discover more Google Doodles                              Discover more Google Doodles                  Latest company news                Read more on The Keyword        Follow us        Español      Company resources                  Contact us                                  Help center                                  Locations                                  Careers                                  Blog                                  Press resources                                  Investor relations                                  Brand Resource Center                Featured products                  Google Ads                                  Android                                  Chrome                                  Google Cloud                                  Google for Education                                  Gmail                                  Google Maps                                  Google Photos                                  Google Play                                  Google Shopping                                  Google Search                                  Google for Small Business                                  Google Store                                  Google Workspace                                  YouTube                                  View all products                Responsibility                  Accessibility                                  Crisis response                                  Digital wellbeing                                  Diversity &amp; inclusion                                  Google.org                                  Google Health                                  Google Public Sector                                  Grow with Google                                  Human rights                                  Learning                                  Public Policy                                  Safety Center                                  Supplier responsibility                                  Sustainability                More about us                  Transparency report                                  Community guidelines                                  How our business works                                  Extended workforce                                  Transparency Center                Help          Privacy          Terms</v>
      </c>
    </row>
    <row r="348">
      <c r="A348" s="1" t="s">
        <v>1076</v>
      </c>
      <c r="B348" s="1" t="s">
        <v>1142</v>
      </c>
      <c r="D348" s="1">
        <v>17.0</v>
      </c>
      <c r="E348" s="4" t="s">
        <v>1143</v>
      </c>
      <c r="F348" s="1" t="s">
        <v>43</v>
      </c>
      <c r="G348" s="1" t="s">
        <v>31</v>
      </c>
      <c r="H348" s="4" t="s">
        <v>32</v>
      </c>
      <c r="I348" s="2">
        <v>-1.0</v>
      </c>
      <c r="J348" s="5" t="str">
        <f>IFERROR(__xludf.DUMMYFUNCTION("GOOGLETRANSLATE(A348)"),"Google")</f>
        <v>Google</v>
      </c>
      <c r="K348" s="6" t="str">
        <f>IFERROR(__xludf.DUMMYFUNCTION("GOOGLETRANSLATE(B348)"),"Google (company)")</f>
        <v>Google (company)</v>
      </c>
      <c r="L348" s="5" t="str">
        <f>IFERROR(__xludf.DUMMYFUNCTION("GOOGLETRANSLATE(C348)"),"#VALUE!")</f>
        <v>#VALUE!</v>
      </c>
      <c r="M348" s="5" t="str">
        <f>IFERROR(__xludf.DUMMYFUNCTION("GOOGLETRANSLATE(G348)"),"Wikipedia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49">
      <c r="A349" s="1" t="s">
        <v>1076</v>
      </c>
      <c r="B349" s="1" t="s">
        <v>1077</v>
      </c>
      <c r="C349" s="1" t="s">
        <v>1144</v>
      </c>
      <c r="D349" s="1">
        <v>35.0</v>
      </c>
      <c r="E349" s="4" t="s">
        <v>1145</v>
      </c>
      <c r="F349" s="1" t="s">
        <v>43</v>
      </c>
      <c r="G349" s="1" t="s">
        <v>27</v>
      </c>
      <c r="H349" s="4" t="s">
        <v>28</v>
      </c>
      <c r="I349" s="2">
        <v>-1.0</v>
      </c>
      <c r="J349" s="5" t="str">
        <f>IFERROR(__xludf.DUMMYFUNCTION("GOOGLETRANSLATE(A349)"),"Google")</f>
        <v>Google</v>
      </c>
      <c r="K349" s="6" t="str">
        <f>IFERROR(__xludf.DUMMYFUNCTION("GOOGLETRANSLATE(B349)"),"Google")</f>
        <v>Google</v>
      </c>
      <c r="L349" s="5" t="str">
        <f>IFERROR(__xludf.DUMMYFUNCTION("GOOGLETRANSLATE(C349)"),"Google was founded on September 4, 1998, by American computer scientists Larry Page and Sergey Brin while they were PhD students at Stanford University in ...")</f>
        <v>Google was founded on September 4, 1998, by American computer scientists Larry Page and Sergey Brin while they were PhD students at Stanford University in ...</v>
      </c>
      <c r="M349" s="5" t="str">
        <f>IFERROR(__xludf.DUMMYFUNCTION("GOOGLETRANSLATE(G349)"),"Wikipedia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350">
      <c r="A350" s="1" t="s">
        <v>1146</v>
      </c>
      <c r="B350" s="1" t="s">
        <v>1147</v>
      </c>
      <c r="C350" s="1" t="s">
        <v>1148</v>
      </c>
      <c r="D350" s="1">
        <v>1.0</v>
      </c>
      <c r="E350" s="4" t="s">
        <v>1149</v>
      </c>
      <c r="F350" s="1" t="s">
        <v>16</v>
      </c>
      <c r="G350" s="1" t="s">
        <v>1150</v>
      </c>
      <c r="H350" s="4" t="s">
        <v>1151</v>
      </c>
      <c r="I350" s="2">
        <v>1.0</v>
      </c>
      <c r="J350" s="5" t="str">
        <f>IFERROR(__xludf.DUMMYFUNCTION("GOOGLETRANSLATE(A350)"),"diary RU")</f>
        <v>diary RU</v>
      </c>
      <c r="K350" s="6" t="str">
        <f>IFERROR(__xludf.DUMMYFUNCTION("GOOGLETRANSLATE(B350)"),"Diary RU")</f>
        <v>Diary RU</v>
      </c>
      <c r="L350" s="5" t="str">
        <f>IFERROR(__xludf.DUMMYFUNCTION("GOOGLETRANSLATE(C350)"),"Diary.ru - a digital educational platform that makes education in Russia high -quality and affordable! ... communication with parents. ... get closer to your ...")</f>
        <v>Diary.ru - a digital educational platform that makes education in Russia high -quality and affordable! ... communication with parents. ... get closer to your ...</v>
      </c>
      <c r="M350" s="5" t="str">
        <f>IFERROR(__xludf.DUMMYFUNCTION("GOOGLETRANSLATE(G350)"),"Diary.ruo of the company Pravda to Include to connect OO DODORA.ru - digital educational platform that makes the education of Russia high -quality and affordable! You will get access to advanced technologies for the automation of the educational process t"&amp;"o tools online - education and modern methods of communication with parents. Read more to parents closer to your child with Diary.ru! Follow the successes and hobbies of your child actively participate in the educational process together! For more details"&amp;", students Diary.ru will like it! Everything necessary for studying extracurricular work of creative victories and self -expression is always at hand. Read more to state bodies Diary.ru for education management - this is an online monitoring tool and an e"&amp;"ffective channel for the operational informing of subordinate organizations. For more details, we are every second school in Russia! 925 873 teachers 8 980 324 students 4 997 995 parents. The most active schools of the company of the company in a huskvost"&amp;"y -constituency of the preservation of the designs of the Morshoszorgans support the portal Support Support Support Russian RussianenglishespañolportuguêlPortuguê to Connect the PO information posted in the Unified Educational Network ""Diary.ru"" permitt"&amp;"ed for children who have reached the age of six years in accordance with the st. 8 &amp; nbsp; Federal Law No. 436 dated 12/29/2010 Pol-Using Agreement © 2007-2023 LLC DODIKE.RO")</f>
        <v>Diary.ruo of the company Pravda to Include to connect OO DODORA.ru - digital educational platform that makes the education of Russia high -quality and affordable! You will get access to advanced technologies for the automation of the educational process to tools online - education and modern methods of communication with parents. Read more to parents closer to your child with Diary.ru! Follow the successes and hobbies of your child actively participate in the educational process together! For more details, students Diary.ru will like it! Everything necessary for studying extracurricular work of creative victories and self -expression is always at hand. Read more to state bodies Diary.ru for education management - this is an online monitoring tool and an effective channel for the operational informing of subordinate organizations. For more details, we are every second school in Russia! 925 873 teachers 8 980 324 students 4 997 995 parents. The most active schools of the company of the company in a huskvosty -constituency of the preservation of the designs of the Morshoszorgans support the portal Support Support Support Russian RussianenglishespañolportuguêlPortuguê to Connect the PO information posted in the Unified Educational Network "Diary.ru" permitted for children who have reached the age of six years in accordance with the st. 8 &amp; nbsp; Federal Law No. 436 dated 12/29/2010 Pol-Using Agreement © 2007-2023 LLC DODIKE.RO</v>
      </c>
    </row>
    <row r="351">
      <c r="A351" s="1" t="s">
        <v>1146</v>
      </c>
      <c r="B351" s="1" t="s">
        <v>1147</v>
      </c>
      <c r="C351" s="1" t="s">
        <v>1152</v>
      </c>
      <c r="D351" s="1">
        <v>2.0</v>
      </c>
      <c r="E351" s="4" t="s">
        <v>1153</v>
      </c>
      <c r="F351" s="1" t="s">
        <v>16</v>
      </c>
      <c r="G351" s="1" t="s">
        <v>34</v>
      </c>
      <c r="H351" s="4" t="s">
        <v>35</v>
      </c>
      <c r="I351" s="2">
        <v>0.0</v>
      </c>
      <c r="J351" s="5" t="str">
        <f>IFERROR(__xludf.DUMMYFUNCTION("GOOGLETRANSLATE(A351)"),"diary RU")</f>
        <v>diary RU</v>
      </c>
      <c r="K351" s="6" t="str">
        <f>IFERROR(__xludf.DUMMYFUNCTION("GOOGLETRANSLATE(B351)"),"Diary RU")</f>
        <v>Diary RU</v>
      </c>
      <c r="L351" s="5" t="str">
        <f>IFERROR(__xludf.DUMMYFUNCTION("GOOGLETRANSLATE(C351)"),"Diary.ru - a free digital educational platform for educational organizations developed by Diary.ru. | 148960 subscribers.")</f>
        <v>Diary.ru - a free digital educational platform for educational organizations developed by Diary.ru. | 148960 subscribers.</v>
      </c>
      <c r="M351" s="5" t="str">
        <f>IFERROR(__xludf.DUMMYFUNCTION("GOOGLETRANSLATE(G351)"),"VK.com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52">
      <c r="A352" s="1" t="s">
        <v>1146</v>
      </c>
      <c r="B352" s="1" t="s">
        <v>1154</v>
      </c>
      <c r="C352" s="1" t="s">
        <v>1155</v>
      </c>
      <c r="D352" s="1">
        <v>3.0</v>
      </c>
      <c r="E352" s="4" t="s">
        <v>1156</v>
      </c>
      <c r="F352" s="1" t="s">
        <v>16</v>
      </c>
      <c r="G352" s="1" t="s">
        <v>120</v>
      </c>
      <c r="H352" s="4" t="s">
        <v>121</v>
      </c>
      <c r="I352" s="2">
        <v>0.0</v>
      </c>
      <c r="J352" s="5" t="str">
        <f>IFERROR(__xludf.DUMMYFUNCTION("GOOGLETRANSLATE(A352)"),"diary RU")</f>
        <v>diary RU</v>
      </c>
      <c r="K352" s="6" t="str">
        <f>IFERROR(__xludf.DUMMYFUNCTION("GOOGLETRANSLATE(B352)"),"Diary.ru - Applications in Google Play")</f>
        <v>Diary.ru - Applications in Google Play</v>
      </c>
      <c r="L352" s="5" t="str">
        <f>IFERROR(__xludf.DUMMYFUNCTION("GOOGLETRANSLATE(C352)"),"Diary.ru - a mobile application for parents, the basic version of which complements the use of the site, and the Pro version allows you to completely abandon the site ...")</f>
        <v>Diary.ru - a mobile application for parents, the basic version of which complements the use of the site, and the Pro version allows you to completely abandon the site ...</v>
      </c>
      <c r="M352" s="5" t="str">
        <f>IFERROR(__xludf.DUMMYFUNCTION("GOOGLETRANSLATE(G352)"),"Android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53">
      <c r="A353" s="1" t="s">
        <v>1146</v>
      </c>
      <c r="B353" s="1" t="s">
        <v>1157</v>
      </c>
      <c r="C353" s="1" t="s">
        <v>1158</v>
      </c>
      <c r="D353" s="1">
        <v>4.0</v>
      </c>
      <c r="E353" s="4" t="s">
        <v>1159</v>
      </c>
      <c r="F353" s="1" t="s">
        <v>16</v>
      </c>
      <c r="G353" s="1" t="s">
        <v>97</v>
      </c>
      <c r="H353" s="4" t="s">
        <v>98</v>
      </c>
      <c r="I353" s="2">
        <v>1.0</v>
      </c>
      <c r="J353" s="5" t="str">
        <f>IFERROR(__xludf.DUMMYFUNCTION("GOOGLETRANSLATE(A353)"),"diary RU")</f>
        <v>diary RU</v>
      </c>
      <c r="K353" s="6" t="str">
        <f>IFERROR(__xludf.DUMMYFUNCTION("GOOGLETRANSLATE(B353)"),"Dnevnik.ru 4+ - App Store - Apple")</f>
        <v>Dnevnik.ru 4+ - App Store - Apple</v>
      </c>
      <c r="L353" s="5" t="str">
        <f>IFERROR(__xludf.DUMMYFUNCTION("GOOGLETRANSLATE(C353)"),"Diary.ru - a mobile application for students and their parents, the basic version of which complements the use of the site, and the Pro version allows you to completely ...")</f>
        <v>Diary.ru - a mobile application for students and their parents, the basic version of which complements the use of the site, and the Pro version allows you to completely ...</v>
      </c>
      <c r="M353" s="5" t="str">
        <f>IFERROR(__xludf.DUMMYFUNCTION("GOOGLETRANSLATE(G353)"),"App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54">
      <c r="A354" s="1" t="s">
        <v>1146</v>
      </c>
      <c r="B354" s="1" t="s">
        <v>1160</v>
      </c>
      <c r="C354" s="1" t="s">
        <v>1161</v>
      </c>
      <c r="D354" s="1">
        <v>5.0</v>
      </c>
      <c r="E354" s="4" t="s">
        <v>1162</v>
      </c>
      <c r="F354" s="1" t="s">
        <v>16</v>
      </c>
      <c r="G354" s="1" t="s">
        <v>120</v>
      </c>
      <c r="H354" s="4" t="s">
        <v>121</v>
      </c>
      <c r="I354" s="2">
        <v>0.0</v>
      </c>
      <c r="J354" s="5" t="str">
        <f>IFERROR(__xludf.DUMMYFUNCTION("GOOGLETRANSLATE(A354)"),"diary RU")</f>
        <v>diary RU</v>
      </c>
      <c r="K354" s="6" t="str">
        <f>IFERROR(__xludf.DUMMYFUNCTION("GOOGLETRANSLATE(B354)"),"Dnevnik.ru - Apps on Google Play")</f>
        <v>Dnevnik.ru - Apps on Google Play</v>
      </c>
      <c r="L354" s="5" t="str">
        <f>IFERROR(__xludf.DUMMYFUNCTION("GOOGLETRANSLATE(C354)"),"Diary.ru - a mobile application for parents, the basic version of which complements the use of the site, and the Pro version allows you to completely abandon the site and ...")</f>
        <v>Diary.ru - a mobile application for parents, the basic version of which complements the use of the site, and the Pro version allows you to completely abandon the site and ...</v>
      </c>
      <c r="M354" s="5" t="str">
        <f>IFERROR(__xludf.DUMMYFUNCTION("GOOGLETRANSLATE(G354)"),"Android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55">
      <c r="A355" s="1" t="s">
        <v>1146</v>
      </c>
      <c r="B355" s="1" t="s">
        <v>1163</v>
      </c>
      <c r="D355" s="1">
        <v>6.0</v>
      </c>
      <c r="E355" s="4" t="s">
        <v>1164</v>
      </c>
      <c r="F355" s="1" t="s">
        <v>16</v>
      </c>
      <c r="G355" s="1" t="s">
        <v>97</v>
      </c>
      <c r="H355" s="4" t="s">
        <v>98</v>
      </c>
      <c r="I355" s="2">
        <v>1.0</v>
      </c>
      <c r="J355" s="5" t="str">
        <f>IFERROR(__xludf.DUMMYFUNCTION("GOOGLETRANSLATE(A355)"),"diary RU")</f>
        <v>diary RU</v>
      </c>
      <c r="K355" s="6" t="str">
        <f>IFERROR(__xludf.DUMMYFUNCTION("GOOGLETRANSLATE(B355)"),"Dark Magazine.ru 4+ - App Store - Apple")</f>
        <v>Dark Magazine.ru 4+ - App Store - Apple</v>
      </c>
      <c r="L355" s="5" t="str">
        <f>IFERROR(__xludf.DUMMYFUNCTION("GOOGLETRANSLATE(C355)"),"#VALUE!")</f>
        <v>#VALUE!</v>
      </c>
      <c r="M355" s="5" t="str">
        <f>IFERROR(__xludf.DUMMYFUNCTION("GOOGLETRANSLATE(G355)"),"App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56">
      <c r="A356" s="1" t="s">
        <v>1146</v>
      </c>
      <c r="B356" s="1" t="s">
        <v>1165</v>
      </c>
      <c r="C356" s="1" t="s">
        <v>1166</v>
      </c>
      <c r="D356" s="1">
        <v>7.0</v>
      </c>
      <c r="E356" s="4" t="s">
        <v>1167</v>
      </c>
      <c r="F356" s="1" t="s">
        <v>16</v>
      </c>
      <c r="G356" s="1" t="s">
        <v>1168</v>
      </c>
      <c r="H356" s="4" t="s">
        <v>1169</v>
      </c>
      <c r="I356" s="2">
        <v>1.0</v>
      </c>
      <c r="J356" s="5" t="str">
        <f>IFERROR(__xludf.DUMMYFUNCTION("GOOGLETRANSLATE(A356)"),"diary RU")</f>
        <v>diary RU</v>
      </c>
      <c r="K356" s="6" t="str">
        <f>IFERROR(__xludf.DUMMYFUNCTION("GOOGLETRANSLATE(B356)"),"RU Diary - Personal Account Pupil: Entrance to my ...")</f>
        <v>RU Diary - Personal Account Pupil: Entrance to my ...</v>
      </c>
      <c r="L356" s="5" t="str">
        <f>IFERROR(__xludf.DUMMYFUNCTION("GOOGLETRANSLATE(C356)"),"Dnevnik.ru allows teachers to organize distance learning and transfer to the electronic form “paper” aspects of their work, parents - monitor ...")</f>
        <v>Dnevnik.ru allows teachers to organize distance learning and transfer to the electronic form “paper” aspects of their work, parents - monitor ...</v>
      </c>
      <c r="M356" s="5" t="str">
        <f>IFERROR(__xludf.DUMMYFUNCTION("GOOGLETRANSLATE(G356)"),"Compare the selection and comparison of credit cards of credit cards Car insurance Calculator Calculator and CASCO Rating of insurance companies of the credit use of credit recovery of auto -credit Credit Credit Credit Credits online bankcrodins without c"&amp;"ertificates of real estate income with poor credit history of exchange of foreign currency exchange rates NG Banking Services Banking Covers on Banning -Supervision Options Supervision Mortgage of Travelers Insurance Aparties athletes Discard Medical Insu"&amp;"rance Critical Disease Craduation from a bite tick -luggage of the house and animal overthrow daching KBMRrating of insurance companies of insurance companies. Outputs about insurance companies on insurance storage online posts on crankcases without refus"&amp;"al from bad kizima without interest -free, borrowed borrowings for the deposit of Ptszami -long -term borrowing loans of the MFOspections FOOPOTETECIPENITIONAL CRIENTS for a mortgage online family mortgage with state -cervical vehicle housing housing cons"&amp;"truction. House -refinancing mortgages in new buildings Piccalculator of a mortgage of a mortgage without initial contributions on mortgages for a young family for a young family mortgage mortgage for Banking Service Banking Card Card Credit Credit Card C"&amp;"ard Card Credit Cards with Free Service Card Credit Cards with an instant decision of the Card of Cards without Outcredit cards with delivery cards without confirming an income card of an installmentar cards with cashbacks of banking records of banking ch"&amp;"ecks about banks Board of depository investment investment deposit deposit invoice to invest money and investment Investment insurance programs for life-saving insurance of Life-rending banking records banks of bankshakhi-rating Blackracies Conducting Off"&amp;"ice of Business Service Service Universal Conductors Quillingwed Registration Business-Ling-Gallery Services Services for Markets of Changes to IP and LLC LLC IPREETISITS BANKS ON BUSINESS OF BUSINESS OF BAST CONCLUSIONS ON THE BANCHOOKSHINALINAL Skillbox"&amp;" programmakesino-School management Analyticamarketing PROTEMING to the USE and OGED development for python1-programingq testing graphic-design-designing Language Curses about courses of schools of schools of schools of schools and response and response an"&amp;"d response of companies and games. Ting experts of the Creditan investigation of the insurance of lifting aids, we will save money to compare prices and save up to 5,500 ₽ Com bosom to place prices for 1 minute to place the banks ready to give out a loan "&amp;"on the right You are conditions of a card for 10 minutes 0%insurance of an insurance for a bankprise of 500 000 ₽ Credit rating of a credit history for the absence of delays and an error -free pay -off -class, the best conditions are the best conditions f"&amp;"or tourist insurance athletes Service 9 thousand. Responsive Often searchcifers of cash registering loan loan loans for cartridges on security for car loans on the security of real estate application For creditcredites with poor bickens without a certific"&amp;"ate of launcher, liner -term accounts with monthly payments to dollarshvallete deposits for retirees in euro -ranges in the yuanahpets on the deposit of the deposit of the hen There are a suburban boat mortgage with state support for a young family of a f"&amp;"amily in new buildings in new buildings in the new building cards to the best credit card cards without refusal cards with poor kyvirtual credit card cards installments with 100 % approval by instant solutions by conding cards with delivery cards Unionpay"&amp;"cobeiding Cards Card Card Card Card Card Cards with cashback cards for a child with free service cards of Mirsa Process by the residual -concrete cards for pensioner -concern cards Unionpaycobejing debit card -bearing -based maps for cartridges without pe"&amp;"rcentage without verification Online poses on a map without refusalsayamsim for ptszams without refusal from poor kions and promotional c do in the Mfostorovannannanikalchata OSAGOOSAGO ONLYKASKAROSKAING FOR LIFE -Building Life for Mortgage Supervision of"&amp;" Real Estate from accidents of cases of civicnutic codes Redites at 0%long -term microcreditic codes through public services business architecture business -register for business accounts for ipcredit for LLC Ekweingbank guarantees of food products for a "&amp;"medical medical insurance for the GoddMS with dentistry with telemedicine insurance from bite tick -pacing from critical illness from heart attack and stroke from racin -investment service to open up the overwhelming of the Onlineis for the IPREATIVE BROK"&amp;"ROGRABLIC score for legal limits NGRACTION OF THE CONTRODUCTURENCENT PROGNITION for the exam and OGESELS - In the mobile application, Implay, Open Open Services Online Controls Contacts Checks and Contacts Insurance Consure Evaluate your credit The possib"&amp;"ilities to use the QR -codal of the installation, enter the phone camera on the QR -KODO project of the project -Partner program of the agent -user agreement Politician Politicia of the Privacy of the Setanashi Expertsai Vacancies © 2009–2023 LLC ""Reflas"&amp;"is"". When using materials, a hyperlink on sravni.ru is required. TIN 7710718303 OGRN 1087746642774. 109544 Moscow Boulevard Enthusiasts House 26th floor ""Reflasis.ru"" operates activities in the IT field: the service provides online selection services a"&amp;"s advertising organizations - partners in the Internet using COOKIE files In order to provide users with more opportunities when visiting the site sravni.ru. Read more about the conditions of use.")</f>
        <v>Compare the selection and comparison of credit cards of credit cards Car insurance Calculator Calculator and CASCO Rating of insurance companies of the credit use of credit recovery of auto -credit Credit Credit Credit Credits online bankcrodins without certificates of real estate income with poor credit history of exchange of foreign currency exchange rates NG Banking Services Banking Covers on Banning -Supervision Options Supervision Mortgage of Travelers Insurance Aparties athletes Discard Medical Insurance Critical Disease Craduation from a bite tick -luggage of the house and animal overthrow daching KBMRrating of insurance companies of insurance companies. Outputs about insurance companies on insurance storage online posts on crankcases without refusal from bad kizima without interest -free, borrowed borrowings for the deposit of Ptszami -long -term borrowing loans of the MFOspections FOOPOTETECIPENITIONAL CRIENTS for a mortgage online family mortgage with state -cervical vehicle housing housing construction. House -refinancing mortgages in new buildings Piccalculator of a mortgage of a mortgage without initial contributions on mortgages for a young family for a young family mortgage mortgage for Banking Service Banking Card Card Credit Credit Card Card Card Credit Cards with Free Service Card Credit Cards with an instant decision of the Card of Cards without Outcredit cards with delivery cards without confirming an income card of an installmentar cards with cashbacks of banking records of banking checks about banks Board of depository investment investment deposit deposit invoice to invest money and investment Investment insurance programs for life-saving insurance of Life-rending banking records banks of bankshakhi-rating Blackracies Conducting Office of Business Service Service Universal Conductors Quillingwed Registration Business-Ling-Gallery Services Services for Markets of Changes to IP and LLC LLC IPREETISITS BANKS ON BUSINESS OF BUSINESS OF BAST CONCLUSIONS ON THE BANCHOOKSHINALINAL Skillbox programmakesino-School management Analyticamarketing PROTEMING to the USE and OGED development for python1-programingq testing graphic-design-designing Language Curses about courses of schools of schools of schools of schools and response and response and response of companies and games. Ting experts of the Creditan investigation of the insurance of lifting aids, we will save money to compare prices and save up to 5,500 ₽ Com bosom to place prices for 1 minute to place the banks ready to give out a loan on the right You are conditions of a card for 10 minutes 0%insurance of an insurance for a bankprise of 500 000 ₽ Credit rating of a credit history for the absence of delays and an error -free pay -off -class, the best conditions are the best conditions for tourist insurance athletes Service 9 thousand. Responsive Often searchcifers of cash registering loan loan loans for cartridges on security for car loans on the security of real estate application For creditcredites with poor bickens without a certificate of launcher, liner -term accounts with monthly payments to dollarshvallete deposits for retirees in euro -ranges in the yuanahpets on the deposit of the deposit of the hen There are a suburban boat mortgage with state support for a young family of a family in new buildings in new buildings in the new building cards to the best credit card cards without refusal cards with poor kyvirtual credit card cards installments with 100 % approval by instant solutions by conding cards with delivery cards Unionpaycobeiding Cards Card Card Card Card Card Cards with cashback cards for a child with free service cards of Mirsa Process by the residual -concrete cards for pensioner -concern cards Unionpaycobejing debit card -bearing -based maps for cartridges without percentage without verification Online poses on a map without refusalsayamsim for ptszams without refusal from poor kions and promotional c do in the Mfostorovannannanikalchata OSAGOOSAGO ONLYKASKAROSKAING FOR LIFE -Building Life for Mortgage Supervision of Real Estate from accidents of cases of civicnutic codes Redites at 0%long -term microcreditic codes through public services business architecture business -register for business accounts for ipcredit for LLC Ekweingbank guarantees of food products for a medical medical insurance for the GoddMS with dentistry with telemedicine insurance from bite tick -pacing from critical illness from heart attack and stroke from racin -investment service to open up the overwhelming of the Onlineis for the IPREATIVE BROKROGRABLIC score for legal limits NGRACTION OF THE CONTRODUCTURENCENT PROGNITION for the exam and OGESELS - In the mobile application, Implay, Open Open Services Online Controls Contacts Checks and Contacts Insurance Consure Evaluate your credit The possibilities to use the QR -codal of the installation, enter the phone camera on the QR -KODO project of the project -Partner program of the agent -user agreement Politician Politicia of the Privacy of the Setanashi Expertsai Vacancies © 2009–2023 LLC "Reflasis". When using materials, a hyperlink on sravni.ru is required. TIN 7710718303 OGRN 1087746642774. 109544 Moscow Boulevard Enthusiasts House 26th floor "Reflasis.ru" operates activities in the IT field: the service provides online selection services as advertising organizations - partners in the Internet using COOKIE files In order to provide users with more opportunities when visiting the site sravni.ru. Read more about the conditions of use.</v>
      </c>
    </row>
    <row r="357">
      <c r="A357" s="1" t="s">
        <v>1146</v>
      </c>
      <c r="B357" s="1" t="s">
        <v>1147</v>
      </c>
      <c r="C357" s="1" t="s">
        <v>1170</v>
      </c>
      <c r="D357" s="1">
        <v>8.0</v>
      </c>
      <c r="E357" s="4" t="s">
        <v>1171</v>
      </c>
      <c r="F357" s="1" t="s">
        <v>16</v>
      </c>
      <c r="G357" s="1" t="s">
        <v>31</v>
      </c>
      <c r="H357" s="4" t="s">
        <v>32</v>
      </c>
      <c r="I357" s="2">
        <v>1.0</v>
      </c>
      <c r="J357" s="5" t="str">
        <f>IFERROR(__xludf.DUMMYFUNCTION("GOOGLETRANSLATE(A357)"),"diary RU")</f>
        <v>diary RU</v>
      </c>
      <c r="K357" s="6" t="str">
        <f>IFERROR(__xludf.DUMMYFUNCTION("GOOGLETRANSLATE(B357)"),"Diary RU")</f>
        <v>Diary RU</v>
      </c>
      <c r="L357" s="5" t="str">
        <f>IFERROR(__xludf.DUMMYFUNCTION("GOOGLETRANSLATE(C357)"),"Diary.ru-a Russian IT company in the field of educational technologies. According to its own statements, the company is engaged in the development of a single electronic ...")</f>
        <v>Diary.ru-a Russian IT company in the field of educational technologies. According to its own statements, the company is engaged in the development of a single electronic ...</v>
      </c>
      <c r="M357" s="5" t="str">
        <f>IFERROR(__xludf.DUMMYFUNCTION("GOOGLETRANSLATE(G357)"),"Wikipedia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58">
      <c r="A358" s="1" t="s">
        <v>1146</v>
      </c>
      <c r="B358" s="1" t="s">
        <v>1172</v>
      </c>
      <c r="C358" s="1" t="s">
        <v>1173</v>
      </c>
      <c r="D358" s="1">
        <v>9.0</v>
      </c>
      <c r="E358" s="4" t="s">
        <v>1174</v>
      </c>
      <c r="F358" s="1" t="s">
        <v>16</v>
      </c>
      <c r="G358" s="1" t="s">
        <v>1175</v>
      </c>
      <c r="H358" s="4" t="s">
        <v>1176</v>
      </c>
      <c r="I358" s="2">
        <v>1.0</v>
      </c>
      <c r="J358" s="5" t="str">
        <f>IFERROR(__xludf.DUMMYFUNCTION("GOOGLETRANSLATE(A358)"),"diary RU")</f>
        <v>diary RU</v>
      </c>
      <c r="K358" s="6" t="str">
        <f>IFERROR(__xludf.DUMMYFUNCTION("GOOGLETRANSLATE(B358)"),"Diary.Ru - Encyclopedia ""Knanie.vicki""")</f>
        <v>Diary.Ru - Encyclopedia "Knanie.vicki"</v>
      </c>
      <c r="L358" s="5" t="str">
        <f>IFERROR(__xludf.DUMMYFUNCTION("GOOGLETRANSLATE(C358)"),"Oct. 2023. -")</f>
        <v>Oct. 2023. -</v>
      </c>
      <c r="M358" s="5" t="str">
        <f>IFERROR(__xludf.DUMMYFUNCTION("GOOGLETRANSLATE(G358)"),"Russian Society Knowledge - holding Grants of the Lecture of Marathona Lecture Interesting Personal Personal Personal Personal Directorate of Projects of Projects of Projects of the Lecture of Lecture Social -High -Human Resources to Lecture to Lecture to"&amp;" Building the Building Partner to Expert -Metal Exhibition -Forum “Russia” to watch a broadcast 04.11 - 12.04s . - cf. Online. Tatra -Russian educational action in more detail 28.09 - 15.12 cm. - Fri -documentary films about everything on Light and the be"&amp;"st about the most interesting in our cinema. Rather, go and enjoy the viewing! More knowledge. Vikinash new project is a digital library of reliable knowledge that we create together! Details the teachers and mentor 2023 Supreme Highlights with a lecturer"&amp;" with a lecturer with a lecturerome Averbukhserebiye winner of the Olympic Games Honored Master of Sports of Russia Baranovaanovags. the hero of the USSR Hero of labor Laureate The State Prizes of the USSR and the Russian Federation Professor Surgery, the"&amp;" Marukhukovo artist of the Russian State Prize, artistic director of the Moscow Provincial Theater, actor director Beloglazovkommandir of the Special Purpose of the Vityaz Center named after the F. E. Dzerzhinsky FSVang of the Russian Federation Hero of t"&amp;"he Russian Federation of the Russian Federation Berezikova -Russian athlete in battles in the mixed styles of the Believer, Berodistan Yes “I am!” Camila Valievari -Russian skater -president Winery President of the All -Russian Federation of the Artistic "&amp;"Gymnastics School of Gymnastics Golikova President of the Chairman of the Government of the Russian Federation Gorosiyuzakanterman Grefaman Gref -chairman of PJSC Sberbancyla Drozdovodtor of Biological Sciences Honored Professor of the Moscow State Univer"&amp;"sity of Geographical Faculty of Lomonosov Member Member of the Board of Trustees of WWF Russia Telezediy Member The author of the writers of Russia more than 200 articles and 40 books of the book Demiter Dyuzhevacter Sing -film director Honored Artist of "&amp;"the Russian Federation Zakharevoder of the Department of Information and Press of the Ministry of Foreign Affairs of the Russian Russian Cargean -Russian chessman of the Caspersky General General Director of Kaspersky Lab Director of NIC ""Kurchatov Insti"&amp;"tute"" Grigory Kokotkinossian actor Theater and Cinema Teacher Acting Artistic Director of the Architect Cultural Center Bloggaranna Kuznetsovacelor of the Chairman of the State Duma, Federal Assembly of the Russian Federation of the Russian Federation of"&amp;" the Russian Federation (Vovan) Prakersershezmage Lavrov minister of the Russian Federation of the KROSS COSMETIC, Actress singer Popular Blograleki Likhachevgeneral Director State Rosatom Corporation Roman The Lobashian editor of the television channel "&amp;"""My Planet"" Maria Lvova-Belya-Authorized President of the Russian Federation for the Rights of the Childvasmimmir Mashkovo artist Oleg Tabakov People's and Honored Artist of the Russian Medinsky President of the Russian Federation, Chairman of the Russi"&amp;"an Military-Historical Society of the Government of the Russian Federation on November 113 to scientific quiz and lectures on Cosmos Acquaintance with the Amur and Sakhalin regions Useful tips for self -development - how the next day of the educational pr"&amp;"ogram of the Russian exhibition ""Russia"" was held on November 10, 2023 General Director of GLONASS JSC, Alexei Rakevich conducted an excursion trip to the Tomsk and Novgorod regions at the Russian Economic Program of the Society “Knowledge” on November "&amp;"10, 2023 History in the persons of events and facts: in the Kherson region, educational activities were held, Knowledge of the TRACH. Khrephorycalendar of the measures for project -designed therapy to the Important Rossiya Russian Assembly at VDNH 2023 Ra"&amp;"zhovtorskhovtorskupkupkupkhkupkups 99) 393-33-38 technical support: Support@ znanierussia.ru Recreation “Knowledge”: info@znanierussia.ruadre Organization: 109240 Moscow intracity territory municipal district Tagansky Nikolayamskaya D 11 Politician Privac"&amp;"y Agreement of the Russian Society “Knowledge” on the creation of the Russian Society “Knowledge” Report on the use of property for 2021 years of age of 2021 about Using property for 2022 © 2023 Russian Society ""Knowledge""")</f>
        <v>Russian Society Knowledge - holding Grants of the Lecture of Marathona Lecture Interesting Personal Personal Personal Personal Directorate of Projects of Projects of Projects of the Lecture of Lecture Social -High -Human Resources to Lecture to Lecture to Building the Building Partner to Expert -Metal Exhibition -Forum “Russia” to watch a broadcast 04.11 - 12.04s . - cf. Online. Tatra -Russian educational action in more detail 28.09 - 15.12 cm. - Fri -documentary films about everything on Light and the best about the most interesting in our cinema. Rather, go and enjoy the viewing! More knowledge. Vikinash new project is a digital library of reliable knowledge that we create together! Details the teachers and mentor 2023 Supreme Highlights with a lecturer with a lecturer with a lecturerome Averbukhserebiye winner of the Olympic Games Honored Master of Sports of Russia Baranovaanovags. the hero of the USSR Hero of labor Laureate The State Prizes of the USSR and the Russian Federation Professor Surgery, the Marukhukovo artist of the Russian State Prize, artistic director of the Moscow Provincial Theater, actor director Beloglazovkommandir of the Special Purpose of the Vityaz Center named after the F. E. Dzerzhinsky FSVang of the Russian Federation Hero of the Russian Federation of the Russian Federation Berezikova -Russian athlete in battles in the mixed styles of the Believer, Berodistan Yes “I am!” Camila Valievari -Russian skater -president Winery President of the All -Russian Federation of the Artistic Gymnastics School of Gymnastics Golikova President of the Chairman of the Government of the Russian Federation Gorosiyuzakanterman Grefaman Gref -chairman of PJSC Sberbancyla Drozdovodtor of Biological Sciences Honored Professor of the Moscow State University of Geographical Faculty of Lomonosov Member Member of the Board of Trustees of WWF Russia Telezediy Member The author of the writers of Russia more than 200 articles and 40 books of the book Demiter Dyuzhevacter Sing -film director Honored Artist of the Russian Federation Zakharevoder of the Department of Information and Press of the Ministry of Foreign Affairs of the Russian Russian Cargean -Russian chessman of the Caspersky General General Director of Kaspersky Lab Director of NIC "Kurchatov Institute" Grigory Kokotkinossian actor Theater and Cinema Teacher Acting Artistic Director of the Architect Cultural Center Bloggaranna Kuznetsovacelor of the Chairman of the State Duma, Federal Assembly of the Russian Federation of the Russian Federation of the Russian Federation (Vovan) Prakersershezmage Lavrov minister of the Russian Federation of the KROSS COSMETIC, Actress singer Popular Blograleki Likhachevgeneral Director State Rosatom Corporation Roman The Lobashian editor of the television channel "My Planet" Maria Lvova-Belya-Authorized President of the Russian Federation for the Rights of the Childvasmimmir Mashkovo artist Oleg Tabakov People's and Honored Artist of the Russian Medinsky President of the Russian Federation, Chairman of the Russian Military-Historical Society of the Government of the Russian Federation on November 113 to scientific quiz and lectures on Cosmos Acquaintance with the Amur and Sakhalin regions Useful tips for self -development - how the next day of the educational program of the Russian exhibition "Russia" was held on November 10, 2023 General Director of GLONASS JSC, Alexei Rakevich conducted an excursion trip to the Tomsk and Novgorod regions at the Russian Economic Program of the Society “Knowledge” on November 10, 2023 History in the persons of events and facts: in the Kherson region, educational activities were held, Knowledge of the TRACH. Khrephorycalendar of the measures for project -designed therapy to the Important Rossiya Russian Assembly at VDNH 2023 Razhovtorskhovtorskupkupkupkhkupkups 99) 393-33-38 technical support: Support@ znanierussia.ru Recreation “Knowledge”: info@znanierussia.ruadre Organization: 109240 Moscow intracity territory municipal district Tagansky Nikolayamskaya D 11 Politician Privacy Agreement of the Russian Society “Knowledge” on the creation of the Russian Society “Knowledge” Report on the use of property for 2021 years of age of 2021 about Using property for 2022 © 2023 Russian Society "Knowledge"</v>
      </c>
    </row>
    <row r="359">
      <c r="A359" s="1" t="s">
        <v>1146</v>
      </c>
      <c r="B359" s="1" t="s">
        <v>1177</v>
      </c>
      <c r="C359" s="1" t="s">
        <v>1178</v>
      </c>
      <c r="D359" s="1">
        <v>10.0</v>
      </c>
      <c r="E359" s="4" t="s">
        <v>1179</v>
      </c>
      <c r="F359" s="1" t="s">
        <v>16</v>
      </c>
      <c r="G359" s="1" t="s">
        <v>1180</v>
      </c>
      <c r="H359" s="4" t="s">
        <v>1181</v>
      </c>
      <c r="I359" s="2">
        <v>2.0</v>
      </c>
      <c r="J359" s="5" t="str">
        <f>IFERROR(__xludf.DUMMYFUNCTION("GOOGLETRANSLATE(A359)"),"diary RU")</f>
        <v>diary RU</v>
      </c>
      <c r="K359" s="6" t="str">
        <f>IFERROR(__xludf.DUMMYFUNCTION("GOOGLETRANSLATE(B359)"),"Company diary.ru - habr career")</f>
        <v>Company diary.ru - habr career</v>
      </c>
      <c r="L359" s="5" t="str">
        <f>IFERROR(__xludf.DUMMYFUNCTION("GOOGLETRANSLATE(C359)"),"The company ""Diary.ru"" is the profile of the employer for the Habr Career: about the company, photos of the office, contacts.")</f>
        <v>The company "Diary.ru" is the profile of the employer for the Habr Career: about the company, photos of the office, contacts.</v>
      </c>
      <c r="M359" s="5" t="str">
        <f>IFERROR(__xludf.DUMMYFUNCTION("GOOGLETRANSLATE(G359)"),"Work in the IT industry Fresh vacancies and resumes Work Search-Habr career service Habra Service IT-specialist wipes for any questions about ITPROFORENCE WORK WORK for IT specialist vehicles through the Habr Accounts for the Habr Accounts Paniiyretingzar"&amp;"payplaces by oscillator -specialists will find a job to find a job in the ITPOGAMENATYSTYNASTENT IT3 347 VACACES ONLY is already here1,167 courses for obtaining and the development of skills177 386 ₽ Middle salary in the IT segment of 678 companies are lo"&amp;"oking for employees right now01 unidyds work on the souls of the Khabra Careers Actual vacancies for all leading specializations of the IT industry-designation of the design of the design of the design of the design of Tchikot 120 000 ₽ ₽ Frontent work de"&amp;"veloper (JavaScript/React) from 180 000 ₽Simplenight work FrontenD (React.js) Developer $ 4,000 to 6,000 Bittenredomskreact Developer 20,000 to 40 000 ₽ Laboratory 365 Demolished workmiddle Froneloper (React) from 120,000 to 200 000 asonable operation of "&amp;"theBackend developer (Pyt Hon django) from 180 000 ₽- PARSERUAL WORK OFFRONTEND ENGINEER (React Material-UI Typescript) from 1,500 to 2,000 $ GARANTEXED WORK WORKSENIOR FRONELOPEROT 3,500 more vacancies HAVIBR Development: Greenatomoskvqa Engineer Manal 1"&amp;"80 000 ₽ Caudated work CQA engineering 140 000 ₽T-tsdala workcrimato functional Tester (Middle Middle+ Manual QA) in CIB (remotely) from 130,000 to 250 000 ₽ Labor 365 Inopurrent Labor Apostor 80 000 to 150 000 ₽BDEVENED WORK CALE ASSURANCEOT 50 000 000 0"&amp;"00 ₽TINKOFOFMOSKAAKA. d) from 150,000 to 400 000 ₽ Cheeleomskvautomation QA Engineer (API) from 200 000 000 ₽rem finance s.R. Automed workmiddle / senior QA Engineerot 800 to 1,600 more vacancies-surDEVOPS engineer for design employment 80 000 ley VARDISE"&amp;"D WORK WORK AND 350 000 000 ₽GAUSSED WORK WORK AND 350 000 000 ₽VKMOSKVASITE RELIABILITY ENGINEER (SRE) from 200,000 to 500 000 ₽SOKOLOVENTENDENT WORK INSISTEMENT LINUXO 200 000 ₽KillSpace DEVEVOPS-engineer in EDTECH Project 200 000 to 300,000 ley OPS Eng"&amp;"ineering 200,000 to 400 000 ₽Avanpostmoskviangener of implementation (System Administrator Skill ) from 150 000 to 170 000 ₽ more vacancieshabr administration: MVP Labelended Workproject Managerot 100,000 to 150 000 ₽quantum workit workit Project Managero"&amp;" 80 000 ₽ Service -ServableProject manager 150 000 to 200 000 to 200 000 to 200 000 to 200 000 to 200 000 to 200 000 to 200 000 to 200,000 ₽freuders -dedicated workproject Manager (with functions of Business Analyst) from 2,500 $ FUTURE SEARCHUDALE WORKSP"&amp;"ROJECT Manager / Product Managerot 120 000 to 150 000 000 ₽ Ibiumed operationProduct Owner / POV EdTech-Product 300 000 ₽dna Teaminburgproject Manager (WEB coordinator WEB -development) from 145,000 to 165 000 ₽atlasmoskvasro in atlasot 200,000 to 280,000"&amp;" ₽ Vacanciihabr Management: YOURTUNESENCE WORK WORKS/UI Designer 100 000 ₽-product-producer-Petersburgui/Ux designer 150 000 ₽ aurobed work (B2B) up to 220 000 ₽TRIDALED WORK MU Bono.digtaldnated work designer 80 000 ₽1420 -given Workmiddle Designerot 1,5"&amp;"00 contouring work SSENIOR Designer of internal grocery interfaces 150 000 ₽Redlabmoscreician designer (remotely hourly payment) from 40,000 to 80 000 ₽ Warcassihabr Design: Gravity Field Democal work P GPB / Vesna -Data Data Working up up to 200 000 ₽Cli"&amp;"ckavia Work work Engineerot 2,500 to 4,000 $ RT Misudalized workshop Billingado 65 000 ₽2Seventaganrogsystem analyst of 100,000 to 150 000 ₽MTSMS -vanity analyst in the team of cross -platform mobile applications to 250,000 000 ₽Wininam and lurk Tikot 300"&amp;" 000 ₽ProCter &amp; Gamblemoskvasenior Data Engineer / Senior Data- Engineering 280 000 ₽ more vacancies-alepix, marketing workman 1,000 to 1,500 $ UAB SoftekUDALED WORKSMARKETINGER CPA NETWORKS (DATING UNDER WW) up to 200 000 ₽future search. Marketologist 60"&amp;" 000 to 100 000 ₽PERFORMANCE Maniacsed Work Speesist Contextual Advertising Office 80 000 to 120 000 ₽ Bankirrosankt-Petersburgseo-specialist / SEO-optimizer (remotely) from 60,000 to 120 000 ₽10Holding, work-specialist for marketing and income growth (an"&amp;"alysis and management) from 100,000 to 120 000 ₽ Future SEARCHUDEN WORKS SEO SEO SEO SEO -Departure / Team LEAD SEOOT 120 000 to 150 000 ₽ Rybasankancancarburg Director for Marketing (CMO) up to 300 000 ₽ more vacancieshabr marketing: Developer1462 Vacanc"&amp;"oftware Engineer1462 Vacancy Programmer 2 Categories 915 Vetermined 68 Vacancy Developer 854 vacancies Bacckend Developer683 Vacancia Analytic607 Vacancy Analytic 500 Vacancist programmer495 Vacancyyinzhener Technologist Programist482 Vacancy DWH482 Vacan"&amp;"cy work2301 Vacancies more vacancies02 Issules are the best place is trusted by the best companies that regularly place vacancies for the IT specialists from uslamoda tech4.5897%Code the LifeSTYLEMENALEMENT TUSTIONS4.77 Professional growth4.73LUXOFT4.4 78"&amp;"9%leading global company providing Digital strategy and development services Professional growth software 4.62 Social package4.57 -component working conditions 4.56Avito4.4487%of the announcements of which is used by a third of the Russian population of R"&amp;"ussian labor 4.81 The world is better 4.74 Minor technologies 4.7 Interesting tasks 4.57VK4.3588%The meeting place of the best working conditions 4.76 Social package4.64 Professional growth4.55 Tenzor4.3383%Development of a system of business communicatio"&amp;"ns and electronic document management C&gt; 1 million user-graphic working conditions4.71 components are made by the world Better 4.49 Relations with colleagues 4.45alf-bank4.3384%digital-banking unit with colleagues4.63 compound makes the world better 4.48 "&amp;"cramary growth 4.43LALIT4.3182%Multiprophyal group of the Russian industry of the Russian industry with colleagues4.59 Command makes the world better4 .53professional growth 4.44 -jandeks4.3085%company that develops the most popular search engine in Russi"&amp;"a and dozens of other services -to -deal working conditions 4.78 social package 4.72 companies makes the world better 4.6 School of technology4.2180%company with a flexible approach to work in technological solutions and bright corporate Culture to be a c"&amp;"olleagues 4.45-composed working conditions 4.4 Modern technologies 4.4.4.4.1878%the largest wholesale supplier of consumer goods in Russian in Russian, 82 Mineral Technologies4.64 Professional growth4.55 Lig of digital economy4.1778%Group of companies tha"&amp;"t provide professional services in the field of information and digital. The technologian package4.42 compound makes the world better 4.39 Issues with colleagues 4.37miro4.8798%The Online Collaboative Whiteboarding Platforming makes the world better 4.99 "&amp;"Social packet4.99 Professional growth4.94aston (Ex. Anddersen) 4.8096%outsourcing company, oriented to develop component working conditions 4.87 professional growth4.86 modern technologies4.84 Directic Credit4.7792%of technology - this is simply clear and"&amp;" conveniently makes the world better 4.9 Professional growth4.85jetbraains4.7499% Effective tools for developers in companies Makes the world better than 5.0 School with top management5.0 Carrier growth5.0 TELEMATIC 4.7392%International Developer and Russ"&amp;"ian leader of the solutions in the field of intellectual transportation salary 4.88 Office with colleagues 4.77 Professional growth4.77 European company 4.7196%LISING Company Company makes a world better 5.0 top management 4.9 Social package4.9indrive4.69"&amp;"96%International Passenger and Freight Service with headquarters in the Mountain-Vew California makes the world better 5.0 Professional growth 4.91-compound working conditions 4.91WRIKE4.6795%American company with headquarters in California in California."&amp;" The product of the same name for the management of projectscore labor conditions 4.92 Social package4.85 generation with colleagues 4.77qiwi4.6490%Holding payment service in Russia and the countries of the CIS-Correct working conditions4.92 Professional "&amp;"growth 4.83 Modern technologies4.83Korus Consulting4.6391%One of the largest Russian I-Communist Party Interesting tasks4. 86 companies make the world better 4.79 -component working conditions 4.79revolut4.5991%Global Money Apprafting working conditions 4"&amp;".85 Social package4.85dadekvative salary4.85 Razsoft4.5891%custom -made software development and information systems of labor 4.94 Professional growth4.71SHA -MENZHMENT 4.65 RATION of companies 03 Create Professional resumes of profiles on a quarry Haber "&amp;"can get comprehensive information about your achievements. Just send the employer a link to your profile. And tell the Bolshenevyki about yourself and the education will help you find the right work. The active in communities and additional courses make t"&amp;"he profile attractive for the employer. To make up the profile04 Follow the relevant The salary allows you to find out the current salary by any specialty of the IT industry. On the day we update data on salary183 074 ₽ Middle salary on the basis of 13209"&amp;" questionnaires for the 2nd floor. 2023350 000 ₽ MAKOMUMUM160 000 ₽ MEMEDIAN50 000 ₽ minimum testing122 539 ₽ Medium salary on the basis of 2442 profiles for 2nd floor. 2023240 000 ₽Maximum 100 000 ₽ MEMEDIAN40 000 ₽ Mumadinisting161 911 ₽ Middle salary o"&amp;"n the basis of 1351 profiles for the 2nd floor. 2023313 000 ₽Maximum134 000 ₽ median50 000 ₽ minimum junction193 702 ₽ Middle salary on the basis of 2047 profiles for the 2nd floor. 2023368 000 ₽Maximum 160 000 ₽ median60 000 ₽ minimum design97 816 ₽ Mead"&amp;"s on the basis of 1375 profiles for 2-floor. 2023200 000 ₽Maximum 70 000 ₽ median30 000 ₽ minimumanalytics152 052 ₽ Meads on the basis of 2450 profiles for the 2nd floor. 2023276 000 ₽ MAKOMAKOMUMENEMENT140 000 ₽ MEMADIA52 200 ₽ minimum 105kachi of their "&amp;"skill Khabr career collected educational courses from the 100 best schools of additional education in IT development -designation of the design of the design of C ++ 126 000 ₽XYZYZ Schoolonline training. Development of games on Unity74 500 ₽Khexletonline "&amp;"training professional: Fullstack-developer213 840 ₽ Netologyonline training python from zero to Middle103 400 ₽html Academyonline Learning and CSS. Adaptive miles and automation25 900 ₽xyz schoolonline training leoper casual86 Fessions: Testing Engineer 6"&amp;"3 000 ₽ Yajandex Productumonline training engineer for testing ButkMP128 800 ₽ Contour schoolonline Training API9900 testing ₽skillboxonline Tearing Automated Testing Web applications for JavaScript42 900 ₽Tusonline Training Testing107 300 ₽ EDUSONOLLINAL"&amp;"LINAL PO60 464 ₽Kyproonline training engineer for Testing10 5 600 ₽ more Kursklermonline Training DEDEVOPS UPGRADE165 ₽ NeTology on-line training-engineer with zero148 000 ₽Tusonline learning infrastructure platform based Kubernetes95 000 ₽skillfactoryonl"&amp;"ine training DEDEVOPS-engineer98 2 150 ₽GB (Geekbrains) Online Training DEDEVOPS-Engineer: Quick Start in the profession87 454 ₽ more courses XYZ Schoolonline Training Game Projects 87 500 ₽ Caucasiacomonaline training of a production manager120 000 ₽ Sch"&amp;"ool ofonline learning ₽ EDUSONOLLINALINAL PRODUCTION OPERATION OFFICE: Enterprise Management161 200 ₽ProductStaronline Training Gruwth Hacking39 000 000 ₽ City Business Schoolonline Training AGILE in Project Management10 900 ₽ more courses XYZ Schoolonlin"&amp;"e Training TRip37 200 ₽ Nelynine training-designer96 745 ₽xyz school-lonline-ART53 800 ₽XYZYZ Schoolroneline LEAR Ozing of special effects in Houdini FX104 000 ₽xyz Schoolonline training-Undresser 800 ₽xyz Schoolonline Training anatomy of gaming character"&amp;"s 20 300 ₽xyz schoolonline training 3D characters173 500 ₽xyz schoolonline trainingConcept art81 500 ₽ Cursakens Permonline training engineer 95 000 ₽shote tutorial proceedings: data analyst data108 540 ¦ Data Scientist96 500 ₽ SSTENET Schoolonline Traini"&amp;"ng Analysis. Development of requirements for software in the group 36 000 ₽cors Academyonline Training Project Management 1C32 600 ₽ Contour school -rational training for working with data 42 000, ₽killfactoryline levies Product analytics54 960 ₽skillboxo"&amp;"nline data learning with zero109 868 ₽ ₽ courses06 Read useful articles regularly publish useful articles for a career : Studies of events, employers' ratings and much more. November 3, how much they spend on IT: Senor of the Bacendicity of Hiring on Nove"&amp;"mber 1 on November 1 on the IT market in 3 quarter 202310 events on October 31 Events for EICHARS AND IT in November 24 October 22-a new section in the Complete of Company de to work18 October Work in IT in 2023: DATSTEAM research on October 112 to make a"&amp;" vacancy to which will respond-Instruction of the Mamation on September 28 of the Events for Eichar and Recruiters in October Service27 September Prices from October 27 Special Projects25 September Pete-Project Projects 22 “We simply in Uglcons and just i"&amp;"n Uglcons and just in Ugli and Ugliors quit "" - the stories of career failures part 5 tests on September 21 on IT: 73% of experienced specialists become mentors of the Spoprojects18 September Analysts 2.07 Watchers the most useful thing we make up severa"&amp;"l times a month of mailing ratings with articles and tutorians for those who build their careers in it. Currect! Rierao service services and prices of the Mountagincam Professional contacts of the employer of the employer-API Support Service Support for t"&amp;"he Consignation with the User of the Right Propes of the Service of the LISTISTITITION OF THE STSTSETYSHYSIA OF THE SECTIONS 3347 vacancies and 259444 resumes on average 12 responses for the service of service and price of the co-manager Topi -API Service"&amp;" Support Support for Primary Projects Habrahabrq &amp; Afrylance")</f>
        <v>Work in the IT industry Fresh vacancies and resumes Work Search-Habr career service Habra Service IT-specialist wipes for any questions about ITPROFORENCE WORK WORK for IT specialist vehicles through the Habr Accounts for the Habr Accounts Paniiyretingzarpayplaces by oscillator -specialists will find a job to find a job in the ITPOGAMENATYSTYNASTENT IT3 347 VACACES ONLY is already here1,167 courses for obtaining and the development of skills177 386 ₽ Middle salary in the IT segment of 678 companies are looking for employees right now01 unidyds work on the souls of the Khabra Careers Actual vacancies for all leading specializations of the IT industry-designation of the design of the design of the design of the design of Tchikot 120 000 ₽ ₽ Frontent work developer (JavaScript/React) from 180 000 ₽Simplenight work FrontenD (React.js) Developer $ 4,000 to 6,000 Bittenredomskreact Developer 20,000 to 40 000 ₽ Laboratory 365 Demolished workmiddle Froneloper (React) from 120,000 to 200 000 asonable operation of theBackend developer (Pyt Hon django) from 180 000 ₽- PARSERUAL WORK OFFRONTEND ENGINEER (React Material-UI Typescript) from 1,500 to 2,000 $ GARANTEXED WORK WORKSENIOR FRONELOPEROT 3,500 more vacancies HAVIBR Development: Greenatomoskvqa Engineer Manal 180 000 ₽ Caudated work CQA engineering 140 000 ₽T-tsdala workcrimato functional Tester (Middle Middle+ Manual QA) in CIB (remotely) from 130,000 to 250 000 ₽ Labor 365 Inopurrent Labor Apostor 80 000 to 150 000 ₽BDEVENED WORK CALE ASSURANCEOT 50 000 000 000 ₽TINKOFOFMOSKAAKA. d) from 150,000 to 400 000 ₽ Cheeleomskvautomation QA Engineer (API) from 200 000 000 ₽rem finance s.R. Automed workmiddle / senior QA Engineerot 800 to 1,600 more vacancies-surDEVOPS engineer for design employment 80 000 ley VARDISED WORK WORK AND 350 000 000 ₽GAUSSED WORK WORK AND 350 000 000 ₽VKMOSKVASITE RELIABILITY ENGINEER (SRE) from 200,000 to 500 000 ₽SOKOLOVENTENDENT WORK INSISTEMENT LINUXO 200 000 ₽KillSpace DEVEVOPS-engineer in EDTECH Project 200 000 to 300,000 ley OPS Engineering 200,000 to 400 000 ₽Avanpostmoskviangener of implementation (System Administrator Skill ) from 150 000 to 170 000 ₽ more vacancieshabr administration: MVP Labelended Workproject Managerot 100,000 to 150 000 ₽quantum workit workit Project Managero 80 000 ₽ Service -ServableProject manager 150 000 to 200 000 to 200 000 to 200 000 to 200 000 to 200 000 to 200 000 to 200 000 to 200,000 ₽freuders -dedicated workproject Manager (with functions of Business Analyst) from 2,500 $ FUTURE SEARCHUDALE WORKSPROJECT Manager / Product Managerot 120 000 to 150 000 000 ₽ Ibiumed operationProduct Owner / POV EdTech-Product 300 000 ₽dna Teaminburgproject Manager (WEB coordinator WEB -development) from 145,000 to 165 000 ₽atlasmoskvasro in atlasot 200,000 to 280,000 ₽ Vacanciihabr Management: YOURTUNESENCE WORK WORKS/UI Designer 100 000 ₽-product-producer-Petersburgui/Ux designer 150 000 ₽ aurobed work (B2B) up to 220 000 ₽TRIDALED WORK MU Bono.digtaldnated work designer 80 000 ₽1420 -given Workmiddle Designerot 1,500 contouring work SSENIOR Designer of internal grocery interfaces 150 000 ₽Redlabmoscreician designer (remotely hourly payment) from 40,000 to 80 000 ₽ Warcassihabr Design: Gravity Field Democal work P GPB / Vesna -Data Data Working up up to 200 000 ₽Clickavia Work work Engineerot 2,500 to 4,000 $ RT Misudalized workshop Billingado 65 000 ₽2Seventaganrogsystem analyst of 100,000 to 150 000 ₽MTSMS -vanity analyst in the team of cross -platform mobile applications to 250,000 000 ₽Wininam and lurk Tikot 300 000 ₽ProCter &amp; Gamblemoskvasenior Data Engineer / Senior Data- Engineering 280 000 ₽ more vacancies-alepix, marketing workman 1,000 to 1,500 $ UAB SoftekUDALED WORKSMARKETINGER CPA NETWORKS (DATING UNDER WW) up to 200 000 ₽future search. Marketologist 60 000 to 100 000 ₽PERFORMANCE Maniacsed Work Speesist Contextual Advertising Office 80 000 to 120 000 ₽ Bankirrosankt-Petersburgseo-specialist / SEO-optimizer (remotely) from 60,000 to 120 000 ₽10Holding, work-specialist for marketing and income growth (analysis and management) from 100,000 to 120 000 ₽ Future SEARCHUDEN WORKS SEO SEO SEO SEO -Departure / Team LEAD SEOOT 120 000 to 150 000 ₽ Rybasankancancarburg Director for Marketing (CMO) up to 300 000 ₽ more vacancieshabr marketing: Developer1462 Vacancoftware Engineer1462 Vacancy Programmer 2 Categories 915 Vetermined 68 Vacancy Developer 854 vacancies Bacckend Developer683 Vacancia Analytic607 Vacancy Analytic 500 Vacancist programmer495 Vacancyyinzhener Technologist Programist482 Vacancy DWH482 Vacancy work2301 Vacancies more vacancies02 Issules are the best place is trusted by the best companies that regularly place vacancies for the IT specialists from uslamoda tech4.5897%Code the LifeSTYLEMENALEMENT TUSTIONS4.77 Professional growth4.73LUXOFT4.4 789%leading global company providing Digital strategy and development services Professional growth software 4.62 Social package4.57 -component working conditions 4.56Avito4.4487%of the announcements of which is used by a third of the Russian population of Russian labor 4.81 The world is better 4.74 Minor technologies 4.7 Interesting tasks 4.57VK4.3588%The meeting place of the best working conditions 4.76 Social package4.64 Professional growth4.55 Tenzor4.3383%Development of a system of business communications and electronic document management C&gt; 1 million user-graphic working conditions4.71 components are made by the world Better 4.49 Relations with colleagues 4.45alf-bank4.3384%digital-banking unit with colleagues4.63 compound makes the world better 4.48 cramary growth 4.43LALIT4.3182%Multiprophyal group of the Russian industry of the Russian industry with colleagues4.59 Command makes the world better4 .53professional growth 4.44 -jandeks4.3085%company that develops the most popular search engine in Russia and dozens of other services -to -deal working conditions 4.78 social package 4.72 companies makes the world better 4.6 School of technology4.2180%company with a flexible approach to work in technological solutions and bright corporate Culture to be a colleagues 4.45-composed working conditions 4.4 Modern technologies 4.4.4.4.1878%the largest wholesale supplier of consumer goods in Russian in Russian, 82 Mineral Technologies4.64 Professional growth4.55 Lig of digital economy4.1778%Group of companies that provide professional services in the field of information and digital. The technologian package4.42 compound makes the world better 4.39 Issues with colleagues 4.37miro4.8798%The Online Collaboative Whiteboarding Platforming makes the world better 4.99 Social packet4.99 Professional growth4.94aston (Ex. Anddersen) 4.8096%outsourcing company, oriented to develop component working conditions 4.87 professional growth4.86 modern technologies4.84 Directic Credit4.7792%of technology - this is simply clear and conveniently makes the world better 4.9 Professional growth4.85jetbraains4.7499% Effective tools for developers in companies Makes the world better than 5.0 School with top management5.0 Carrier growth5.0 TELEMATIC 4.7392%International Developer and Russian leader of the solutions in the field of intellectual transportation salary 4.88 Office with colleagues 4.77 Professional growth4.77 European company 4.7196%LISING Company Company makes a world better 5.0 top management 4.9 Social package4.9indrive4.6996%International Passenger and Freight Service with headquarters in the Mountain-Vew California makes the world better 5.0 Professional growth 4.91-compound working conditions 4.91WRIKE4.6795%American company with headquarters in California in California. The product of the same name for the management of projectscore labor conditions 4.92 Social package4.85 generation with colleagues 4.77qiwi4.6490%Holding payment service in Russia and the countries of the CIS-Correct working conditions4.92 Professional growth 4.83 Modern technologies4.83Korus Consulting4.6391%One of the largest Russian I-Communist Party Interesting tasks4. 86 companies make the world better 4.79 -component working conditions 4.79revolut4.5991%Global Money Apprafting working conditions 4.85 Social package4.85dadekvative salary4.85 Razsoft4.5891%custom -made software development and information systems of labor 4.94 Professional growth4.71SHA -MENZHMENT 4.65 RATION of companies 03 Create Professional resumes of profiles on a quarry Haber can get comprehensive information about your achievements. Just send the employer a link to your profile. And tell the Bolshenevyki about yourself and the education will help you find the right work. The active in communities and additional courses make the profile attractive for the employer. To make up the profile04 Follow the relevant The salary allows you to find out the current salary by any specialty of the IT industry. On the day we update data on salary183 074 ₽ Middle salary on the basis of 13209 questionnaires for the 2nd floor. 2023350 000 ₽ MAKOMUMUM160 000 ₽ MEMEDIAN50 000 ₽ minimum testing122 539 ₽ Medium salary on the basis of 2442 profiles for 2nd floor. 2023240 000 ₽Maximum 100 000 ₽ MEMEDIAN40 000 ₽ Mumadinisting161 911 ₽ Middle salary on the basis of 1351 profiles for the 2nd floor. 2023313 000 ₽Maximum134 000 ₽ median50 000 ₽ minimum junction193 702 ₽ Middle salary on the basis of 2047 profiles for the 2nd floor. 2023368 000 ₽Maximum 160 000 ₽ median60 000 ₽ minimum design97 816 ₽ Meads on the basis of 1375 profiles for 2-floor. 2023200 000 ₽Maximum 70 000 ₽ median30 000 ₽ minimumanalytics152 052 ₽ Meads on the basis of 2450 profiles for the 2nd floor. 2023276 000 ₽ MAKOMAKOMUMENEMENT140 000 ₽ MEMADIA52 200 ₽ minimum 105kachi of their skill Khabr career collected educational courses from the 100 best schools of additional education in IT development -designation of the design of the design of C ++ 126 000 ₽XYZYZ Schoolonline training. Development of games on Unity74 500 ₽Khexletonline training professional: Fullstack-developer213 840 ₽ Netologyonline training python from zero to Middle103 400 ₽html Academyonline Learning and CSS. Adaptive miles and automation25 900 ₽xyz schoolonline training leoper casual86 Fessions: Testing Engineer 63 000 ₽ Yajandex Productumonline training engineer for testing ButkMP128 800 ₽ Contour schoolonline Training API9900 testing ₽skillboxonline Tearing Automated Testing Web applications for JavaScript42 900 ₽Tusonline Training Testing107 300 ₽ EDUSONOLLINALLINAL PO60 464 ₽Kyproonline training engineer for Testing10 5 600 ₽ more Kursklermonline Training DEDEVOPS UPGRADE165 ₽ NeTology on-line training-engineer with zero148 000 ₽Tusonline learning infrastructure platform based Kubernetes95 000 ₽skillfactoryonline training DEDEVOPS-engineer98 2 150 ₽GB (Geekbrains) Online Training DEDEVOPS-Engineer: Quick Start in the profession87 454 ₽ more courses XYZ Schoolonline Training Game Projects 87 500 ₽ Caucasiacomonaline training of a production manager120 000 ₽ School ofonline learning ₽ EDUSONOLLINALINAL PRODUCTION OPERATION OFFICE: Enterprise Management161 200 ₽ProductStaronline Training Gruwth Hacking39 000 000 ₽ City Business Schoolonline Training AGILE in Project Management10 900 ₽ more courses XYZ Schoolonline Training TRip37 200 ₽ Nelynine training-designer96 745 ₽xyz school-lonline-ART53 800 ₽XYZYZ Schoolroneline LEAR Ozing of special effects in Houdini FX104 000 ₽xyz Schoolonline training-Undresser 800 ₽xyz Schoolonline Training anatomy of gaming characters 20 300 ₽xyz schoolonline training 3D characters173 500 ₽xyz schoolonline trainingConcept art81 500 ₽ Cursakens Permonline training engineer 95 000 ₽shote tutorial proceedings: data analyst data108 540 ¦ Data Scientist96 500 ₽ SSTENET Schoolonline Training Analysis. Development of requirements for software in the group 36 000 ₽cors Academyonline Training Project Management 1C32 600 ₽ Contour school -rational training for working with data 42 000, ₽killfactoryline levies Product analytics54 960 ₽skillboxonline data learning with zero109 868 ₽ ₽ courses06 Read useful articles regularly publish useful articles for a career : Studies of events, employers' ratings and much more. November 3, how much they spend on IT: Senor of the Bacendicity of Hiring on November 1 on November 1 on the IT market in 3 quarter 202310 events on October 31 Events for EICHARS AND IT in November 24 October 22-a new section in the Complete of Company de to work18 October Work in IT in 2023: DATSTEAM research on October 112 to make a vacancy to which will respond-Instruction of the Mamation on September 28 of the Events for Eichar and Recruiters in October Service27 September Prices from October 27 Special Projects25 September Pete-Project Projects 22 “We simply in Uglcons and just in Uglcons and just in Ugli and Ugliors quit " - the stories of career failures part 5 tests on September 21 on IT: 73% of experienced specialists become mentors of the Spoprojects18 September Analysts 2.07 Watchers the most useful thing we make up several times a month of mailing ratings with articles and tutorians for those who build their careers in it. Currect! Rierao service services and prices of the Mountagincam Professional contacts of the employer of the employer-API Support Service Support for the Consignation with the User of the Right Propes of the Service of the LISTISTITITION OF THE STSTSETYSHYSIA OF THE SECTIONS 3347 vacancies and 259444 resumes on average 12 responses for the service of service and price of the co-manager Topi -API Service Support Support for Primary Projects Habrahabrq &amp; Afrylance</v>
      </c>
    </row>
    <row r="360">
      <c r="A360" s="1" t="s">
        <v>1146</v>
      </c>
      <c r="B360" s="1" t="s">
        <v>1147</v>
      </c>
      <c r="D360" s="1">
        <v>11.0</v>
      </c>
      <c r="E360" s="4" t="s">
        <v>1182</v>
      </c>
      <c r="F360" s="1" t="s">
        <v>16</v>
      </c>
      <c r="G360" s="1" t="s">
        <v>273</v>
      </c>
      <c r="H360" s="4" t="s">
        <v>476</v>
      </c>
      <c r="I360" s="2">
        <v>0.0</v>
      </c>
      <c r="J360" s="5" t="str">
        <f>IFERROR(__xludf.DUMMYFUNCTION("GOOGLETRANSLATE(A360)"),"diary RU")</f>
        <v>diary RU</v>
      </c>
      <c r="K360" s="6" t="str">
        <f>IFERROR(__xludf.DUMMYFUNCTION("GOOGLETRANSLATE(B360)"),"Diary RU")</f>
        <v>Diary RU</v>
      </c>
      <c r="L360" s="5" t="str">
        <f>IFERROR(__xludf.DUMMYFUNCTION("GOOGLETRANSLATE(C360)"),"#VALUE!")</f>
        <v>#VALUE!</v>
      </c>
      <c r="M360" s="5" t="str">
        <f>IFERROR(__xludf.DUMMYFUNCTION("GOOGLETRANSLATE(G360)"),"Update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361">
      <c r="A361" s="1" t="s">
        <v>1146</v>
      </c>
      <c r="B361" s="1" t="s">
        <v>1183</v>
      </c>
      <c r="C361" s="1" t="s">
        <v>1184</v>
      </c>
      <c r="D361" s="1">
        <v>12.0</v>
      </c>
      <c r="E361" s="4" t="s">
        <v>1185</v>
      </c>
      <c r="F361" s="1" t="s">
        <v>16</v>
      </c>
      <c r="G361" s="1" t="s">
        <v>444</v>
      </c>
      <c r="H361" s="4" t="s">
        <v>445</v>
      </c>
      <c r="I361" s="2">
        <v>0.0</v>
      </c>
      <c r="J361" s="5" t="str">
        <f>IFERROR(__xludf.DUMMYFUNCTION("GOOGLETRANSLATE(A361)"),"diary RU")</f>
        <v>diary RU</v>
      </c>
      <c r="K361" s="6" t="str">
        <f>IFERROR(__xludf.DUMMYFUNCTION("GOOGLETRANSLATE(B361)"),"Dnevnik_ru - Dnevnik.ru")</f>
        <v>Dnevnik_ru - Dnevnik.ru</v>
      </c>
      <c r="L361" s="5" t="str">
        <f>IFERROR(__xludf.DUMMYFUNCTION("GOOGLETRANSLATE(C361)"),"Diary.ru announced the rating of leading regions on the use of electronic journals in schools. Details on the official website Diary.ru.")</f>
        <v>Diary.ru announced the rating of leading regions on the use of electronic journals in schools. Details on the official website Diary.ru.</v>
      </c>
      <c r="M361" s="5" t="str">
        <f>IFERROR(__xludf.DUMMYFUNCTION("GOOGLETRANSLATE(G361)"),"JavaScript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362">
      <c r="A362" s="1" t="s">
        <v>1146</v>
      </c>
      <c r="B362" s="1" t="s">
        <v>1186</v>
      </c>
      <c r="C362" s="1" t="s">
        <v>1187</v>
      </c>
      <c r="D362" s="1">
        <v>13.0</v>
      </c>
      <c r="E362" s="4" t="s">
        <v>1188</v>
      </c>
      <c r="F362" s="1" t="s">
        <v>16</v>
      </c>
      <c r="G362" s="1" t="s">
        <v>428</v>
      </c>
      <c r="H362" s="4" t="s">
        <v>429</v>
      </c>
      <c r="I362" s="2">
        <v>1.0</v>
      </c>
      <c r="J362" s="5" t="str">
        <f>IFERROR(__xludf.DUMMYFUNCTION("GOOGLETRANSLATE(A362)"),"diary RU")</f>
        <v>diary RU</v>
      </c>
      <c r="K362" s="6" t="str">
        <f>IFERROR(__xludf.DUMMYFUNCTION("GOOGLETRANSLATE(B362)"),"Diary.ru | Ok.ru")</f>
        <v>Diary.ru | Ok.ru</v>
      </c>
      <c r="L362" s="5" t="str">
        <f>IFERROR(__xludf.DUMMYFUNCTION("GOOGLETRANSLATE(C362)"),"Group Dote.ru. Diary.ru - a free digital educational platform for educational organizations developed by the resident ""Skolkovo"", ...")</f>
        <v>Group Dote.ru. Diary.ru - a free digital educational platform for educational organizations developed by the resident "Skolkovo", ...</v>
      </c>
      <c r="M362" s="5" t="str">
        <f>IFERROR(__xludf.DUMMYFUNCTION("GOOGLETRANSLATE(G362)"),"Social network classmates. Communication with friends in approx. Your place of a meeting with classmates to a version for people with disabilities. Spend the search for oxervice vk.ruchkocyaledarzadarzadakavidovidovkivk post-a-reservoir-sort-tolevo-Kontak"&amp;"othels are using cookies to improve your service for you. You can accept them or set them up on your own. To gain more information more than more emotions and bright communication! Go to OK to meet your friends and find new to chat with loved ones and int"&amp;"erestingly spend time using our entertainment services. To fulfill the qi-codelephone or email address. It is possible to enter the postparols on QR-kodun? There is no profile in Odnoklakhnikiye, the profilesmical mobility of the business of the business "&amp;"of the business of the business of the development of the COOKIEVAKACASISENISTION of the company © 2006–2023 VK / LLC VKMI uses in detail technology.")</f>
        <v>Social network classmates. Communication with friends in approx. Your place of a meeting with classmates to a version for people with disabilities. Spend the search for oxervice vk.ruchkocyaledarzadarzadakavidovidovkivk post-a-reservoir-sort-tolevo-Kontakothels are using cookies to improve your service for you. You can accept them or set them up on your own. To gain more information more than more emotions and bright communication! Go to OK to meet your friends and find new to chat with loved ones and interestingly spend time using our entertainment services. To fulfill the qi-codelephone or email address. It is possible to enter the postparols on QR-kodun? There is no profile in Odnoklakhnikiye, the profilesmical mobility of the business of the business of the business of the business of the development of the COOKIEVAKACASISENISTION of the company © 2006–2023 VK / LLC VKMI uses in detail technology.</v>
      </c>
    </row>
    <row r="363">
      <c r="A363" s="1" t="s">
        <v>1146</v>
      </c>
      <c r="B363" s="1" t="s">
        <v>1189</v>
      </c>
      <c r="C363" s="1" t="s">
        <v>1190</v>
      </c>
      <c r="D363" s="1">
        <v>14.0</v>
      </c>
      <c r="E363" s="4" t="s">
        <v>1191</v>
      </c>
      <c r="F363" s="1" t="s">
        <v>16</v>
      </c>
      <c r="I363" s="2">
        <v>1.0</v>
      </c>
      <c r="J363" s="5" t="str">
        <f>IFERROR(__xludf.DUMMYFUNCTION("GOOGLETRANSLATE(A363)"),"diary RU")</f>
        <v>diary RU</v>
      </c>
      <c r="K363" s="6" t="str">
        <f>IFERROR(__xludf.DUMMYFUNCTION("GOOGLETRANSLATE(B363)"),"Diary RU.")</f>
        <v>Diary RU.</v>
      </c>
      <c r="L363" s="5" t="str">
        <f>IFERROR(__xludf.DUMMYFUNCTION("GOOGLETRANSLATE(C363)"),"The schedule editor allows you to quickly transfer the existing school schedule to the electronic diary. Electronic diary. Each student in the diary is available ...")</f>
        <v>The schedule editor allows you to quickly transfer the existing school schedule to the electronic diary. Electronic diary. Each student in the diary is available ...</v>
      </c>
      <c r="M363" s="5" t="str">
        <f>IFERROR(__xludf.DUMMYFUNCTION("GOOGLETRANSLATE(G363)"),"#VALUE!")</f>
        <v>#VALUE!</v>
      </c>
    </row>
    <row r="364">
      <c r="A364" s="1" t="s">
        <v>1146</v>
      </c>
      <c r="B364" s="1" t="s">
        <v>1192</v>
      </c>
      <c r="D364" s="1">
        <v>15.0</v>
      </c>
      <c r="E364" s="4" t="s">
        <v>1193</v>
      </c>
      <c r="F364" s="1" t="s">
        <v>16</v>
      </c>
      <c r="I364" s="2">
        <v>1.0</v>
      </c>
      <c r="J364" s="5" t="str">
        <f>IFERROR(__xludf.DUMMYFUNCTION("GOOGLETRANSLATE(A364)"),"diary RU")</f>
        <v>diary RU</v>
      </c>
      <c r="K364" s="6" t="str">
        <f>IFERROR(__xludf.DUMMYFUNCTION("GOOGLETRANSLATE(B364)"),"Reviews about dnevnik.ru - School educational network")</f>
        <v>Reviews about dnevnik.ru - School educational network</v>
      </c>
      <c r="L364" s="5" t="str">
        <f>IFERROR(__xludf.DUMMYFUNCTION("GOOGLETRANSLATE(C364)"),"#VALUE!")</f>
        <v>#VALUE!</v>
      </c>
      <c r="M364" s="5" t="str">
        <f>IFERROR(__xludf.DUMMYFUNCTION("GOOGLETRANSLATE(G364)"),"#VALUE!")</f>
        <v>#VALUE!</v>
      </c>
    </row>
    <row r="365">
      <c r="A365" s="1" t="s">
        <v>1146</v>
      </c>
      <c r="B365" s="1" t="s">
        <v>1194</v>
      </c>
      <c r="C365" s="1" t="s">
        <v>1195</v>
      </c>
      <c r="D365" s="1">
        <v>16.0</v>
      </c>
      <c r="E365" s="4" t="s">
        <v>1196</v>
      </c>
      <c r="F365" s="1" t="s">
        <v>16</v>
      </c>
      <c r="G365" s="1" t="s">
        <v>541</v>
      </c>
      <c r="H365" s="4" t="s">
        <v>542</v>
      </c>
      <c r="I365" s="2">
        <v>2.0</v>
      </c>
      <c r="J365" s="5" t="str">
        <f>IFERROR(__xludf.DUMMYFUNCTION("GOOGLETRANSLATE(A365)"),"diary RU")</f>
        <v>diary RU</v>
      </c>
      <c r="K365" s="6" t="str">
        <f>IFERROR(__xludf.DUMMYFUNCTION("GOOGLETRANSLATE(B365)"),"dnevnik.ru | reviews")</f>
        <v>dnevnik.ru | reviews</v>
      </c>
      <c r="L365" s="5" t="str">
        <f>IFERROR(__xludf.DUMMYFUNCTION("GOOGLETRANSLATE(C365)"),"A site for monitoring assessments by parents, which cannot be entered. When electronic diaries were introduced at my daughter’s school, many parents began to resent. I ...")</f>
        <v>A site for monitoring assessments by parents, which cannot be entered. When electronic diaries were introduced at my daughter’s school, many parents began to resent. I ...</v>
      </c>
      <c r="M365" s="5" t="str">
        <f>IFERROR(__xludf.DUMMYFUNCTION("GOOGLETRANSLATE(G365)"),"  IRECOMMMEND.RU | Review the recall of beauty and healthy is a chronicled-hungry-nuclear-nickelitarous-eating-eater-mowing review of 6 hours 24 hours-day / D.E. dreadlocks / Safe dreadlocks12.11.202301: 061 +12 photos realized that without dreadlocks I n"&amp;"o longer perceive myself, hello! I dreamed about dreadlocks for a long time, but forever there was no money for this hairstyle. And then I went to work, money appeared, but in my pedagogical world there was no place for such a self -expression. Last year,"&amp;" on vacation, she decided on Afrokoschiki. The House of Strakhs VDNH Moscowkitt154573012.202300: 302 +12 Photo House of Fear New An attraction at VDNH will tell you what is inside and share impressions. Hello readers of my review and lovers of unusual imp"&amp;"ressions. Finally, I visited a new attraction at VDNH called ""House of Fear."" He attracted my attention for a long time in 2023 so that at the moment it is a novelty. KDV Fun Ban Cake Cute LI12.11.202303: 071 +18 Photos are the most popular and famous "&amp;"🎂 in our city! With huge pieces of bananas inside 🍌🍰 I’ll tell you how the taste of the Fun Ban cake has changed brighter in six months and how many times the price has grown in a year ... I buy this cake already 4 or 5 times from June 2022 and now I d"&amp;"ecided: why not write review? The network in which it is sold, known throughout Russia, photos and my impressions may come in handy. So I’ll tell you what I think about the KDV biscuit cake (KDV) Fun Ban. Express Contractor Gliss Kur Oil Nutritive Omega-9"&amp;"+ hair maruls in need of nutritiondelovaja11.11.202323: 58+ 1 photo, it is better to spend 300 rubles 1 time for this air conditioner than to spend more than 1000 for several worthless sprays from other markets. I already had sprays -Contributions from gl"&amp;"eam gleam and this is the best that I tried for hair from this segment. I was convinced more than once on experience. Schwarzkopf for a long time for a long time known to me, a manufacturer of care products for hair from youth from youth is exactly famili"&amp;"ar with him, and this is exactly 20 years. Lalique L'amor Lalique Irina78711.202323: 071 +3 photos luxurious innocent and attractive so that I end 4 backlogs of my sun! I have a large collection of aromas but this I repeat this fourth time. Oda Femininity"&amp;" Tender assertiveness innocent seduction on the verge of a slap in the face for a careless look. The aroma is beautiful, it will like it if you like train and powder aromas. A solution for intravenous and intramuscular administration of Solopharm Ketorola"&amp;"c-Solofarm 30 mg/million is useful11.11.202323: 282 +15 photos will relieve pain with endometriosis and not only accurately everyone! Here you will learn about my experience of using this drug. All my life I had very painful menstruation. On a 10-point sc"&amp;"ale, all 9 points. Sometimes the condition reached the fact that I almost cut down from the intensity of pain. The tonic The Saem Calamansi Pore Freshner Yulchenka M12.11.202303: 07 +6 The photo lightly healed the healing - which he did not do! And in the"&amp;"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Пл"&amp;"аток Palantini Артикул 10992476Степанида112.11.202301:08 2 +10 фото Очень I plan to give a gentle and affectionate handkerchief a man to blame a man. I did not acquire a beautiful dress of fuchsia for myself. And I had already visited it at one event and "&amp;"painted it. But a month later I will speak in a duet with a bard and already made up that I would show up in my pink outfit again The duet involves a similarity in stage costumes. Chocolatean St. Petersburgdinka_sale11.11.202323: 421 +11 photos of a large"&amp;" selection of interesting dishes. Good day to everyone who looked at everyone. I just love chocolate, although the prices there are not the most democratic. But still my loved ones are there. True, from time to time they disappear from the menu. Jennifer "&amp;"Lopez Live Luxeevgeny 5335312.11.202301: 14za bottle 5 for the aroma for solid two -time perfume was not particularly needed. My gaze caught on the bottle. Beautiful bright chic. And I ordered the aroma. Perfume in the tester version without a box. The ar"&amp;"oma was not really impressed. A cheap unpleasant sharp. Such aromas were popular in 90. Evalar cellulose microcrystalline MCC Ankir-Bvita8512.11.202302: 481 The principle of action is easy to lose weight: the tablet swells in the stomach and does not eat "&amp;"much. That's why you are very not bad. For everyone, I remembered another drug that I tried for weight loss: Pullose MCC Evalar in tablets. Well, that I haven’t tried for this business now, now I wouldn’t do that. Previously, they found out in the pharmac"&amp;"y how trite does not sound. And immediately without leaving the counter ... Palette of eyelid shadows Maqpro Cream Shadows Primaire 10 colors Fard Cremejusthelly12.11.202301: 20+30 photos Play the artist? An indispensable product for those who want divers"&amp;"ity in the Fard Creme makeup attracted me with the opportunity to use them as substrates for color matte shades of creating their colors - endless creativity. Palette of shadows in this color layout is the most universal palette Fard Creme and the manufac"&amp;"turer has a lot of them. Show also a response tuning jubanutkablondi111.202321: 158 +8 photos I am glad that I made powdery lips - very natural and convenient. It’s a pity that my main problem still did not solve Hello everyone! Nature did not endow me wi"&amp;"th beautiful lips and at the beginning of this year I finally made the desired procedure for increasing. My next step was powdery spraying and this procedure was more likely than a whim ... Failure departure (manicure) at home from Paris 11.10.11.202323: "&amp;"491 +8 photos of a salon manicure of the house. How to make the nails to yourself so that they do not differ from the work of the master? I welcome everyone! I wanted to share my story about how to make nails on your own no worse than in the cabin. There "&amp;"are a lot of reasons to start doing manicure for himself: someone wants to save time or money, someone does not trust the masters worries for sterility and so on and so on. ATLASTRide boots warm grandmothers with heart_sia11.11.202318: 391 +7 Photo girls "&amp;"""Goodbye youth"" grandmothers or just felt boots. I bought it for work, but I am ready to go at home, a handful gift for the New Year 🌟 Devichniki Hello to find high -quality warm and cool outward shoes for me is hard for me. I am ready for hours to loo"&amp;"k for her on the Internet until I find what I really like. I love not quite the same as everyone sometimes prefer some zest in shoes. Brect systems / braces / orthodontic scobytanyushka_11.11.202316: 4822 +9 photo installation of h4 braces at 38 years old"&amp;". Will there be a result and is it worth installing? (The review will be supplemented with the beginning of treatment 04/04/2023 GMOi teeth were bored from childhood. Large jaws were bored with childhood. There were attempts to fix with plates but did not"&amp;" ask. Different reasons and fears did not allow me to do their teeth earlier. Chizhik chain of stores 111.11.202306: 375: 375 +26 photos were there 3 times, but the goods have already appeared that I will buy hello to this store every trip! Recently, a ne"&amp;"w Chizhik supermarket has been opened in the area. This store refers to the type of Lighthouse of the Boar of Dobrozo. This is not is that my favorite stores but once a month I like to wander there. I always find something necessary and useful at pleasant"&amp;" prices. Coloring hair in the AIRTOUCHOKOKEANA Z11.11.202317: 274 +11 photos and this is AIRTOUCH? My experience of fashionable coloring, the process is worn out as it is worn Hi. Today I will share my opinion with you whether it is worth making the fashi"&amp;"onable coloring technique of eirtach. I have a negative experience of hair dyeing in the cabin so I most often color myself. Operation for peritotonyus 300911.11.202309: 3821 peritonitis Resuscitation consequences good afternoon! More recently .. with sha"&amp;"king hands, I searched and read any information and reviews about people who had undergone an operation to remove appendix and peritonitis and today I want to leave my feedback! Smart Column Yandex Station Minikristinatret10.11.202323: 321 +13 photos - an"&amp;"d do you like to read fairy tales? Once Alice asked. After dad just read his son a fairy tale. Does the column eavesdrop on? My opinion. Hi all. We bought a column of Alice after the birth of a son. I noticed that the baby falls asleep well under the whit"&amp;"e noise. And I did not want to lose my phone for the time of his sleep. And since relatives gave money. I wanted to buy something necessary. And all sorts of obligatory things have long been bought. Biorevitalization of the area of ​​the face and neck inj"&amp;"ectionkakady11.11.202308: 3911 +3 photos The most useless waste of money in my life. The procedure after which it got worse How many have been living for 27 years so much and a neighboring with circles under the eyes: very thin skin and nasolacence were i"&amp;"nherited by inheritance. From 13 years I have been trying to fight this: cream masks of masks but genetics can not be deceived. Syndrome (2023 Film) Sveta Chereshkina 11/11/202313: 34 2 +10 photos Syndrome - a specific film. Many will not like it, but you"&amp;" need to watch. Do not read reviews and reviews of the film ""Syndrome"". You will definitely encounter a spoiler one way or another. It is best to watch the movie Syndrome as a completely unprepared viewer. What is the film Syndrome about? Description of"&amp;" KinoPoisk General Information: We are all different people unfortunately imperfect. Modi gift store chain stores 1111.11.202319: 322 +33 photos Five for the best calculation for the New Year receives Modi! I'll show you what to buy for a gift! The New Ye"&amp;"ar mood begins in November. Many stores are already trying on New Year's jewelry, unfortunately, so so. I have a foreboding that this year I will be surprised by those from whom you do not expect. Miracles of decoration. AppStartolea_9511.11.202322: 093 +"&amp;"9 photo Earnings on the Internet. I take out more per day than I earn for 500+ reviews on the Airek. When are the tasks and you can get more? Good afternoon. The AppStart application is not the first application for downloading applications where I earn m"&amp;"y “penny”. Now all the money earned on the Internet, including this site of reviews and this application that brings me at least not big but I put it off here. Show another review of the reviewcrass Minskyulia130712.11.202306: 281 +11 photos 🍕🍔 Bolshoy "&amp;"selection of dishes stylish design and successful location. Fudmall ""Concors"" is a great place where you can eat deliciously to wait for your train to have a good time with friends or just relax after the shopping last month I visited the beautiful Mins"&amp;"k. The city is amazing beautiful and modern. It's nice to watch how it becomes better every year. In particular, new institutions are opening here. So on the top floor of the Galileo shopping center there is a huge Fudmall Concors. Means of the D/Treatmen"&amp;"t of a cold and influenza CJSC CJSC Mrn MrppferonSherstobitovasvetlana12.11.202306: 27+3 photos with our allergicians, hello hello! When an ARVI occurs in mom and child, you buy all the improvised means. Yes, and this constant advertising on TV. Eh it wou"&amp;"ld be better to use old and proven recipes for grandmothers. Our deplorable experience of use. Soft toy Trudi seal art. 11776609Marylovely0512.11.202306: 26+6 photos of a charming seal that has been with me for many years. I saw this toy in the store at t"&amp;"he age of 16 and I fell in love with it very much and later they gave me money for it that I was very happy. Since then, this teddy seal is with me in life. Groats are semolina ""Tender"" Veronika koljuchka12.11.202306: 25+2 photo ordinary semolina clean."&amp;" Soft welcome to everyone in a new review! Today I have semolina. I am not a consumer of this cereal. Yes, I cook but do not eat practically. But mom loves so that there is always at home. Another purchase is a semolina ""tender"" from the brand passim. V"&amp;"ariety m, that is, it is soft - from soft varieties of wheat. Pepper seasoning steak grill and barbecue12.11.202306: 24+6 photos Fragrant but unsaturated seasoning. And the mill that misses whole spices without grinding. Hi all! Where to buy I bought this"&amp;" seasoning in a regular supermarket. Something like 180-150 rubles is very inexpensive. Appearance of a glass bottle in the form of a sand clock. The label indicates all the information about the seasoning - the composition of the manufacturer. Canned oli"&amp;"ves Maestro de Olivadina69anid 11.202305: 39 giant olives with a giant bone bought to try such olives in Magnet when the price has decreased greatly because the expiration date was suitable. Really large juicy good olives with a large bone. It would be be"&amp;"tter if the same fillings were laid when they make stuffed olives))) Well, in general, the product is quite tasty. Filodendron Birkin Natalia 020712.11.202305: 28+1 photo I share experience for a beautiful and non -whimsical plant. I will never part with "&amp;"him. Hi all!! Filodendron Birkin is such an interesting and beautiful indoor plant with white striped patterns on dark green wax leaves that really look spectacular. I’ll tell you how to care for it, this plant is growing for two years. The northern islan"&amp;"ds of the Neva Delta on the ship ""Koryushka"" St. Petersburgirin Fadeenkova 11/12/202305: 17 1 +36 photos rolled on a comfortable boat along the Neva. Observing the sunset 😌 Hello dear friends! Today I have a review on the tour ""Northern Islands of the"&amp;" Neva Delts on the ship"" Kuryushka ""in St. Petersburg. On the day when we walked on the statement of the island and then doused in the Koryushka restaurant - closer in the evening we went to ride the ship with an excursion. Hormonal drugs Akrikhin Comfo"&amp;"derm knyura_xitrova12.11.202305: 15 times I have come across atopic dermatitis, it knows how important it is to choose my remedy. Comfordems exactly it. Hello girls! 3 months I used a corticosteroid from time to time and here is my verdict: Comfoderm K fo"&amp;"r the atopic baby what I need. It is only when the child has an exacerbation. The Tornado ""Storm"" Energy drink Weeldees12.11.202305: 09, which is classic -biased in front of us, the most classic taste is the legendary combination of chimose and sugar - "&amp;"Tornado Storm Energetic is the same budgetary drink that all loves more like ""Lemonada"" and not as a tonic effect of the effect from it you will not wait - only the sugar content in ... is not a wooferzisse12.11.202305: 091 +3 photo country of badly - a"&amp;" fairy tale or a terrible dream? The tale of a boy who did not want to help her grandmother. Is there an instructive moment? Hello everyone! I reviewed the old Soviet cartoons some repeatedly and some discovered for myself for the first time. And I rememb"&amp;"ered another cartoon about the bad thing that I definitely looked and decided to find him on YouTube. Nipple-dummy Dr. Brown's Silicone Night Advantage Tatyana_0412.11.202305: 00+3 photos luminous in the darkness of the nipple ... 🌌hm let's try! All pros"&amp;" and cons. Where and for how much to buy? My eldest child sucked the nipples for long only 2-3 months after birth. When he began to spit out the very first nipple, Then I took the nipple of another company with the other form again spat out. The non -ster"&amp;"oidal anti -inflammatory agent of Medorb CJSC IbuprofenPro100MASHA12.11.202304: 45+1 photo from pain helped weakly and in the stomach caused severity and then became normal. The most strange ibuprofen that I have met. The headache is never by the way, but"&amp;" on the day when I had to buy this packaging of Ibuprofen, it was just at the wrong time. On the way to another city, to see a doctor on the bus, my head was hellishly. The Karamazov brothers (2008 film) lu.n.12.11.202304: 33+35 photos ""Brothers Karamazo"&amp;"v""-the surprisingly good film of 2009 I got to watch some adaptation of Dostoevsky but the ""brothers Karamazov"" Soviet production did not want to watch it firstly I, I I saw many times and secondly, and the main thing was never lying to this film, alth"&amp;"ough the actors were wonderful and it seemed in the text, but there was always a feeling ... Evening dress Lord Bear Black Mini Corset Article WB 176480930930NEGATIVE CARROT12.11.202304: 131 +13 photos of vintage - bandage The dress is a corset. Almost th"&amp;"e perfect little black crime ❤ Hello dear readers everyone) once again acted like a real girl and spent money on a dress. I didn’t have to look particularly - I didn’t have to - soon the new year is I need a reason?) I can say a clash with a dress by acci"&amp;"dent - I chose another dress and here ... Hair balm Royal Samples Cosmetics Nourishing balm with keratin and valuable oils to restore for recovery Dry damaged and brittle hair Evgushka211012.11.202304: 00 1st -hearted balm. My love of good time of day. No"&amp;"t so long ago I purchased hair balm from the Royal Samples brand after experience decided to write a review. Acquaintance with the brand. Honestly, this brand never knew. And did not pay attention to him. After I found information about him. House of Ada "&amp;"LLC: Karmayklov mansion (2023 Film) Voina12.11.202303: 59+7 photos “Karmayklov mansion”: Hello night in the house! About the film the plot in the center of the plot is a group of friends who decided to spend the night in an old mansion where ghosts live i"&amp;"n rumors. However, they soon understand that rumors do not lie and they have to face real evil. Fight/Heat (1995 Film) Konstt7812.11.202303: 57+3 photos Classic police action. He who did not look he lost a lot. This is a militant already 1995. The old anc"&amp;"ient bearded but so cool. At first glance, a movie about bandits and cops but in fact is not - it is about people. Some of them are bad (robbing banks kill their fellow citizens) other good (catch bad ones). Abrek (TV series 2023) Kitt154573012.11.202303:"&amp;" 55+12 photo series ""Abrek"" 2023-dog battles Hunting for young girls-many cruel scenes. My impressions of this series. Hello readers of my review. Recently, a rather unusual series called ""Abrek"" has only five episodes in it. And a completely unusual "&amp;"plot is heavy and psychological terms, and besides, there are many frankly cruel moments in it. After reading the official description, I became interested. Axon Tambovst.d12.11.202303: 10+6 photos how I was disappointed in this construction store ... Hel"&amp;"lo everyone! Since the start of repairs in my mother’s apartment, we began to be purchased in Axon. Then bonuses seductive then delivery is free to our remote microdistrict. And in principle, everything in this store arranged for me, although small (unple"&amp;"asant) incidents sometimes happened. Payment for the authors as soon as possible the issues of support for the support of the rule of law enforcement on monetization to the representatives of branding are allowed only with the written permission of the Si"&amp;"te Administration. For the issues of the site, write to info@irecommed.ru. Policy of the confidentiality directory on the site in the VKOL version of the mobile version")</f>
        <v>  IRECOMMMEND.RU | Review the recall of beauty and healthy is a chronicled-hungry-nuclear-nickelitarous-eating-eater-mowing review of 6 hours 24 hours-day / D.E. dreadlocks / Safe dreadlocks12.11.202301: 061 +12 photos realized that without dreadlocks I no longer perceive myself, hello! I dreamed about dreadlocks for a long time, but forever there was no money for this hairstyle. And then I went to work, money appeared, but in my pedagogical world there was no place for such a self -expression. Last year, on vacation, she decided on Afrokoschiki. The House of Strakhs VDNH Moscowkitt154573012.202300: 302 +12 Photo House of Fear New An attraction at VDNH will tell you what is inside and share impressions. Hello readers of my review and lovers of unusual impressions. Finally, I visited a new attraction at VDNH called "House of Fear." He attracted my attention for a long time in 2023 so that at the moment it is a novelty. KDV Fun Ban Cake Cute LI12.11.202303: 071 +18 Photos are the most popular and famous 🎂 in our city! With huge pieces of bananas inside 🍌🍰 I’ll tell you how the taste of the Fun Ban cake has changed brighter in six months and how many times the price has grown in a year ... I buy this cake already 4 or 5 times from June 2022 and now I decided: why not write review? The network in which it is sold, known throughout Russia, photos and my impressions may come in handy. So I’ll tell you what I think about the KDV biscuit cake (KDV) Fun Ban. Express Contractor Gliss Kur Oil Nutritive Omega-9+ hair maruls in need of nutritiondelovaja11.11.202323: 58+ 1 photo, it is better to spend 300 rubles 1 time for this air conditioner than to spend more than 1000 for several worthless sprays from other markets. I already had sprays -Contributions from gleam gleam and this is the best that I tried for hair from this segment. I was convinced more than once on experience. Schwarzkopf for a long time for a long time known to me, a manufacturer of care products for hair from youth from youth is exactly familiar with him, and this is exactly 20 years. Lalique L'amor Lalique Irina78711.202323: 071 +3 photos luxurious innocent and attractive so that I end 4 backlogs of my sun! I have a large collection of aromas but this I repeat this fourth time. Oda Femininity Tender assertiveness innocent seduction on the verge of a slap in the face for a careless look. The aroma is beautiful, it will like it if you like train and powder aromas. A solution for intravenous and intramuscular administration of Solopharm Ketorolac-Solofarm 30 mg/million is useful11.11.202323: 282 +15 photos will relieve pain with endometriosis and not only accurately everyone! Here you will learn about my experience of using this drug. All my life I had very painful menstruation. On a 10-point scale, all 9 points. Sometimes the condition reached the fact that I almost cut down from the intensity of pain. The tonic The Saem Calamansi Pore Freshner Yulchenka M12.11.202303: 07 +6 The photo lightly healed the healing - which he did not do! And in the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Платок Palantini Артикул 10992476Степанида112.11.202301:08 2 +10 фото Очень I plan to give a gentle and affectionate handkerchief a man to blame a man. I did not acquire a beautiful dress of fuchsia for myself. And I had already visited it at one event and painted it. But a month later I will speak in a duet with a bard and already made up that I would show up in my pink outfit again The duet involves a similarity in stage costumes. Chocolatean St. Petersburgdinka_sale11.11.202323: 421 +11 photos of a large selection of interesting dishes. Good day to everyone who looked at everyone. I just love chocolate, although the prices there are not the most democratic. But still my loved ones are there. True, from time to time they disappear from the menu. Jennifer Lopez Live Luxeevgeny 5335312.11.202301: 14za bottle 5 for the aroma for solid two -time perfume was not particularly needed. My gaze caught on the bottle. Beautiful bright chic. And I ordered the aroma. Perfume in the tester version without a box. The aroma was not really impressed. A cheap unpleasant sharp. Such aromas were popular in 90. Evalar cellulose microcrystalline MCC Ankir-Bvita8512.11.202302: 481 The principle of action is easy to lose weight: the tablet swells in the stomach and does not eat much. That's why you are very not bad. For everyone, I remembered another drug that I tried for weight loss: Pullose MCC Evalar in tablets. Well, that I haven’t tried for this business now, now I wouldn’t do that. Previously, they found out in the pharmacy how trite does not sound. And immediately without leaving the counter ... Palette of eyelid shadows Maqpro Cream Shadows Primaire 10 colors Fard Cremejusthelly12.11.202301: 20+30 photos Play the artist? An indispensable product for those who want diversity in the Fard Creme makeup attracted me with the opportunity to use them as substrates for color matte shades of creating their colors - endless creativity. Palette of shadows in this color layout is the most universal palette Fard Creme and the manufacturer has a lot of them. Show also a response tuning jubanutkablondi111.202321: 158 +8 photos I am glad that I made powdery lips - very natural and convenient. It’s a pity that my main problem still did not solve Hello everyone! Nature did not endow me with beautiful lips and at the beginning of this year I finally made the desired procedure for increasing. My next step was powdery spraying and this procedure was more likely than a whim ... Failure departure (manicure) at home from Paris 11.10.11.202323: 491 +8 photos of a salon manicure of the house. How to make the nails to yourself so that they do not differ from the work of the master? I welcome everyone! I wanted to share my story about how to make nails on your own no worse than in the cabin. There are a lot of reasons to start doing manicure for himself: someone wants to save time or money, someone does not trust the masters worries for sterility and so on and so on. ATLASTRide boots warm grandmothers with heart_sia11.11.202318: 391 +7 Photo girls "Goodbye youth" grandmothers or just felt boots. I bought it for work, but I am ready to go at home, a handful gift for the New Year 🌟 Devichniki Hello to find high -quality warm and cool outward shoes for me is hard for me. I am ready for hours to look for her on the Internet until I find what I really like. I love not quite the same as everyone sometimes prefer some zest in shoes. Brect systems / braces / orthodontic scobytanyushka_11.11.202316: 4822 +9 photo installation of h4 braces at 38 years old. Will there be a result and is it worth installing? (The review will be supplemented with the beginning of treatment 04/04/2023 GMOi teeth were bored from childhood. Large jaws were bored with childhood. There were attempts to fix with plates but did not ask. Different reasons and fears did not allow me to do their teeth earlier. Chizhik chain of stores 111.11.202306: 375: 375 +26 photos were there 3 times, but the goods have already appeared that I will buy hello to this store every trip! Recently, a new Chizhik supermarket has been opened in the area. This store refers to the type of Lighthouse of the Boar of Dobrozo. This is not is that my favorite stores but once a month I like to wander there. I always find something necessary and useful at pleasant prices. Coloring hair in the AIRTOUCHOKOKEANA Z11.11.202317: 274 +11 photos and this is AIRTOUCH? My experience of fashionable coloring, the process is worn out as it is worn Hi. Today I will share my opinion with you whether it is worth making the fashionable coloring technique of eirtach. I have a negative experience of hair dyeing in the cabin so I most often color myself. Operation for peritotonyus 300911.11.202309: 3821 peritonitis Resuscitation consequences good afternoon! More recently .. with shaking hands, I searched and read any information and reviews about people who had undergone an operation to remove appendix and peritonitis and today I want to leave my feedback! Smart Column Yandex Station Minikristinatret10.11.202323: 321 +13 photos - and do you like to read fairy tales? Once Alice asked. After dad just read his son a fairy tale. Does the column eavesdrop on? My opinion. Hi all. We bought a column of Alice after the birth of a son. I noticed that the baby falls asleep well under the white noise. And I did not want to lose my phone for the time of his sleep. And since relatives gave money. I wanted to buy something necessary. And all sorts of obligatory things have long been bought. Biorevitalization of the area of ​​the face and neck injectionkakady11.11.202308: 3911 +3 photos The most useless waste of money in my life. The procedure after which it got worse How many have been living for 27 years so much and a neighboring with circles under the eyes: very thin skin and nasolacence were inherited by inheritance. From 13 years I have been trying to fight this: cream masks of masks but genetics can not be deceived. Syndrome (2023 Film) Sveta Chereshkina 11/11/202313: 34 2 +10 photos Syndrome - a specific film. Many will not like it, but you need to watch. Do not read reviews and reviews of the film "Syndrome". You will definitely encounter a spoiler one way or another. It is best to watch the movie Syndrome as a completely unprepared viewer. What is the film Syndrome about? Description of KinoPoisk General Information: We are all different people unfortunately imperfect. Modi gift store chain stores 1111.11.202319: 322 +33 photos Five for the best calculation for the New Year receives Modi! I'll show you what to buy for a gift! The New Year mood begins in November. Many stores are already trying on New Year's jewelry, unfortunately, so so. I have a foreboding that this year I will be surprised by those from whom you do not expect. Miracles of decoration. AppStartolea_9511.11.202322: 093 +9 photo Earnings on the Internet. I take out more per day than I earn for 500+ reviews on the Airek. When are the tasks and you can get more? Good afternoon. The AppStart application is not the first application for downloading applications where I earn my “penny”. Now all the money earned on the Internet, including this site of reviews and this application that brings me at least not big but I put it off here. Show another review of the reviewcrass Minskyulia130712.11.202306: 281 +11 photos 🍕🍔 Bolshoy selection of dishes stylish design and successful location. Fudmall "Concors" is a great place where you can eat deliciously to wait for your train to have a good time with friends or just relax after the shopping last month I visited the beautiful Minsk. The city is amazing beautiful and modern. It's nice to watch how it becomes better every year. In particular, new institutions are opening here. So on the top floor of the Galileo shopping center there is a huge Fudmall Concors. Means of the D/Treatment of a cold and influenza CJSC CJSC Mrn MrppferonSherstobitovasvetlana12.11.202306: 27+3 photos with our allergicians, hello hello! When an ARVI occurs in mom and child, you buy all the improvised means. Yes, and this constant advertising on TV. Eh it would be better to use old and proven recipes for grandmothers. Our deplorable experience of use. Soft toy Trudi seal art. 11776609Marylovely0512.11.202306: 26+6 photos of a charming seal that has been with me for many years. I saw this toy in the store at the age of 16 and I fell in love with it very much and later they gave me money for it that I was very happy. Since then, this teddy seal is with me in life. Groats are semolina "Tender" Veronika koljuchka12.11.202306: 25+2 photo ordinary semolina clean. Soft welcome to everyone in a new review! Today I have semolina. I am not a consumer of this cereal. Yes, I cook but do not eat practically. But mom loves so that there is always at home. Another purchase is a semolina "tender" from the brand passim. Variety m, that is, it is soft - from soft varieties of wheat. Pepper seasoning steak grill and barbecue12.11.202306: 24+6 photos Fragrant but unsaturated seasoning. And the mill that misses whole spices without grinding. Hi all! Where to buy I bought this seasoning in a regular supermarket. Something like 180-150 rubles is very inexpensive. Appearance of a glass bottle in the form of a sand clock. The label indicates all the information about the seasoning - the composition of the manufacturer. Canned olives Maestro de Olivadina69anid 11.202305: 39 giant olives with a giant bone bought to try such olives in Magnet when the price has decreased greatly because the expiration date was suitable. Really large juicy good olives with a large bone. It would be better if the same fillings were laid when they make stuffed olives))) Well, in general, the product is quite tasty. Filodendron Birkin Natalia 020712.11.202305: 28+1 photo I share experience for a beautiful and non -whimsical plant. I will never part with him. Hi all!! Filodendron Birkin is such an interesting and beautiful indoor plant with white striped patterns on dark green wax leaves that really look spectacular. I’ll tell you how to care for it, this plant is growing for two years. The northern islands of the Neva Delta on the ship "Koryushka" St. Petersburgirin Fadeenkova 11/12/202305: 17 1 +36 photos rolled on a comfortable boat along the Neva. Observing the sunset 😌 Hello dear friends! Today I have a review on the tour "Northern Islands of the Neva Delts on the ship" Kuryushka "in St. Petersburg. On the day when we walked on the statement of the island and then doused in the Koryushka restaurant - closer in the evening we went to ride the ship with an excursion. Hormonal drugs Akrikhin Comfoderm knyura_xitrova12.11.202305: 15 times I have come across atopic dermatitis, it knows how important it is to choose my remedy. Comfordems exactly it. Hello girls! 3 months I used a corticosteroid from time to time and here is my verdict: Comfoderm K for the atopic baby what I need. It is only when the child has an exacerbation. The Tornado "Storm" Energy drink Weeldees12.11.202305: 09, which is classic -biased in front of us, the most classic taste is the legendary combination of chimose and sugar - Tornado Storm Energetic is the same budgetary drink that all loves more like "Lemonada" and not as a tonic effect of the effect from it you will not wait - only the sugar content in ... is not a wooferzisse12.11.202305: 091 +3 photo country of badly - a fairy tale or a terrible dream? The tale of a boy who did not want to help her grandmother. Is there an instructive moment? Hello everyone! I reviewed the old Soviet cartoons some repeatedly and some discovered for myself for the first time. And I remembered another cartoon about the bad thing that I definitely looked and decided to find him on YouTube. Nipple-dummy Dr. Brown's Silicone Night Advantage Tatyana_0412.11.202305: 00+3 photos luminous in the darkness of the nipple ... 🌌hm let's try! All pros and cons. Where and for how much to buy? My eldest child sucked the nipples for long only 2-3 months after birth. When he began to spit out the very first nipple, Then I took the nipple of another company with the other form again spat out. The non -steroidal anti -inflammatory agent of Medorb CJSC IbuprofenPro100MASHA12.11.202304: 45+1 photo from pain helped weakly and in the stomach caused severity and then became normal. The most strange ibuprofen that I have met. The headache is never by the way, but on the day when I had to buy this packaging of Ibuprofen, it was just at the wrong time. On the way to another city, to see a doctor on the bus, my head was hellishly. The Karamazov brothers (2008 film) lu.n.12.11.202304: 33+35 photos "Brothers Karamazov"-the surprisingly good film of 2009 I got to watch some adaptation of Dostoevsky but the "brothers Karamazov" Soviet production did not want to watch it firstly I, I I saw many times and secondly, and the main thing was never lying to this film, although the actors were wonderful and it seemed in the text, but there was always a feeling ... Evening dress Lord Bear Black Mini Corset Article WB 176480930930NEGATIVE CARROT12.11.202304: 131 +13 photos of vintage - bandage The dress is a corset. Almost the perfect little black crime ❤ Hello dear readers everyone) once again acted like a real girl and spent money on a dress. I didn’t have to look particularly - I didn’t have to - soon the new year is I need a reason?) I can say a clash with a dress by accident - I chose another dress and here ... Hair balm Royal Samples Cosmetics Nourishing balm with keratin and valuable oils to restore for recovery Dry damaged and brittle hair Evgushka211012.11.202304: 00 1st -hearted balm. My love of good time of day. Not so long ago I purchased hair balm from the Royal Samples brand after experience decided to write a review. Acquaintance with the brand. Honestly, this brand never knew. And did not pay attention to him. After I found information about him. House of Ada LLC: Karmayklov mansion (2023 Film) Voina12.11.202303: 59+7 photos “Karmayklov mansion”: Hello night in the house! About the film the plot in the center of the plot is a group of friends who decided to spend the night in an old mansion where ghosts live in rumors. However, they soon understand that rumors do not lie and they have to face real evil. Fight/Heat (1995 Film) Konstt7812.11.202303: 57+3 photos Classic police action. He who did not look he lost a lot. This is a militant already 1995. The old ancient bearded but so cool. At first glance, a movie about bandits and cops but in fact is not - it is about people. Some of them are bad (robbing banks kill their fellow citizens) other good (catch bad ones). Abrek (TV series 2023) Kitt154573012.11.202303: 55+12 photo series "Abrek" 2023-dog battles Hunting for young girls-many cruel scenes. My impressions of this series. Hello readers of my review. Recently, a rather unusual series called "Abrek" has only five episodes in it. And a completely unusual plot is heavy and psychological terms, and besides, there are many frankly cruel moments in it. After reading the official description, I became interested. Axon Tambovst.d12.11.202303: 10+6 photos how I was disappointed in this construction store ... Hello everyone! Since the start of repairs in my mother’s apartment, we began to be purchased in Axon. Then bonuses seductive then delivery is free to our remote microdistrict. And in principle, everything in this store arranged for me, although small (unpleasant) incidents sometimes happened. Payment for the authors as soon as possible the issues of support for the support of the rule of law enforcement on monetization to the representatives of branding are allowed only with the written permission of the Site Administration. For the issues of the site, write to info@irecommed.ru. Policy of the confidentiality directory on the site in the VKOL version of the mobile version</v>
      </c>
    </row>
    <row r="366">
      <c r="A366" s="1" t="s">
        <v>1146</v>
      </c>
      <c r="B366" s="1" t="s">
        <v>1146</v>
      </c>
      <c r="D366" s="1">
        <v>17.0</v>
      </c>
      <c r="E366" s="4" t="s">
        <v>1197</v>
      </c>
      <c r="F366" s="1" t="s">
        <v>16</v>
      </c>
      <c r="G366" s="1" t="s">
        <v>309</v>
      </c>
      <c r="H366" s="4" t="s">
        <v>310</v>
      </c>
      <c r="I366" s="2">
        <v>1.0</v>
      </c>
      <c r="J366" s="5" t="str">
        <f>IFERROR(__xludf.DUMMYFUNCTION("GOOGLETRANSLATE(A366)"),"diary RU")</f>
        <v>diary RU</v>
      </c>
      <c r="K366" s="6" t="str">
        <f>IFERROR(__xludf.DUMMYFUNCTION("GOOGLETRANSLATE(B366)"),"diary RU")</f>
        <v>diary RU</v>
      </c>
      <c r="L366" s="5" t="str">
        <f>IFERROR(__xludf.DUMMYFUNCTION("GOOGLETRANSLATE(C366)"),"#VALUE!")</f>
        <v>#VALUE!</v>
      </c>
      <c r="M366" s="5" t="str">
        <f>IFERROR(__xludf.DUMMYFUNCTION("GOOGLETRANSLATE(G366)"),"Google Chrome - The Fast &amp; Secure Web Browser Built to be Yours         Google uses cookies to deliver its services to personalize ads and to analyze traffic. You can adjust your privacy controls anytime in your  Google settings or read our cookie policy."&amp;"Ok got itMenuMenuicon chrome logoJump to contentHomeThe Browser by GoogleFeatures              icon-expand-featuresOverviewGoogle address barPassword checkSyncDark modeTabsArticles for youExtensionsSafety              icon-expand-featuresPrivacy on the we"&amp;"bSupport              icon-expand-featuresHelpful tips for ChromeSupport              Get ChromeDownload Chromeclose drawericon chrome logoHomeThe Browser by GoogleFeatures              icon-expand-featuresOverviewGoogle address barPassword checkSyncDark "&amp;"modeTabsArticles for youExtensionsSafety              icon-expand-featuresPrivacy on the webSupport              icon-expand-featuresHelpful tips for ChromeSupport              Get ChromeDownload ChromeFastSafeYoursBy GoogleDownload                    The"&amp;" browser  built to be                   f                  a                  s                  t                  s                  a                  f                  e                  y                  o                  u                  r     "&amp;"             sPause animationPlay animationGet ChromeDownload ChromeFor Windows 10 32-bit.I want to update ChromeFor Windows 11/10 64-bit.I want to update ChromeFor Windows XP/VistaThis device won’t receive updates because Google Chrome no longer supports"&amp;" your operating system.For Windows 8.1/8/7 32-bitThis device won’t receive updates because Google Chrome no longer supports your operating system.For Windows 8.1/8/7 64-bitThis device won’t receive updates because Google Chrome no longer supports your ope"&amp;"rating system.For macOS 10.15 or later.I want to update ChromeThis computer will no longer receive Google Chrome updates because macOS 10.6 - 10.12 are no longer supported.This computer will no longer receive Google Chrome updates because macOS 10.6 - 10."&amp;"12 are no longer supported.This computer will no longer receive Google Chrome updates because macOS 10.6 - 10.12 are no longer supported.This computer will no longer receive Google Chrome updates because macOS 10.6 - 10.12 are no longer supported.For macO"&amp;"S 10.13/10.14This device won’t receive updates because Google Chrome no longer supports your operating system.Debian/Ubuntu/Fedora/openSUSE.I want to update                 Chrome              I want to update ChromeLearn how to                 update    "&amp;"          I want to update ChromeSet Google Chrome as my default browserHelp make Google Chrome better by automatically sending usage statistics and crash reports to Google.                What are crash reports?Help make Google Chrome better by automatic"&amp;"ally sending usage statistics and crash reports to Google.                What are crash reports?Help make Google Chrome better by automatically sending usage statistics and crash reports to Google.                What are crash reports?Help make Google C"&amp;"hrome better by automatically sending usage statistics and crash reports to Google.                What are crash reports?Set Google Chrome as my default browserHelp make Google Chrome better by automatically sending usage statistics and crash reports to "&amp;"Google.                What are crash reports?Help make Google Chrome better by automatically sending usage statistics and crash reports to Google.                What are crash reports?Help make Google Chrome better by automatically sending usage statist"&amp;"ics and crash reports to Google.                What are crash reports?Help make Google Chrome better by automatically sending usage statistics and crash reports to Google.                What are crash reports?Set Google Chrome as my default browserHelp "&amp;"make Google Chrome better by automatically sending usage statistics and crash reports to Google.                What are crash reports?Set Google Chrome as my default browserHelp make Google Chrome better by automatically sending usage statistics and cras"&amp;"h reports to Google.                What are crash reports?Set Google Chrome as my default browserHelp make Google Chrome better by automatically sending usage statistics and crash reports to Google.                What are crash reports?By downloading Ch"&amp;"rome you agree to the Google Terms of Service and Chrome and ChromeOS Additional Terms of ServiceBy downloading Chrome you agree to the Google Terms of Service and Chrome and ChromeOS Additional Terms of ServiceBy downloading Chrome you agree to the Googl"&amp;"e Terms of Service and Chrome and ChromeOS Additional Terms of ServiceBy downloading Chrome you agree to the Google Terms of Service and Chrome and ChromeOS Additional Terms of ServiceBy downloading Chrome you agree to the Google Terms of Service and Chro"&amp;"me and ChromeOS Additional Terms of ServiceBy downloading Chrome you agree to the Google Terms of Service and Chrome and ChromeOS Additional Terms of ServiceBy downloading Chrome you agree to the Google Terms of Service and Chrome and ChromeOS Additional "&amp;"Terms of ServiceBy downloading Chrome you agree to the Google Terms of Service and Chrome and ChromeOS Additional Terms of ServiceBy downloading Chrome you agree to the Google Terms of Service and Chrome and ChromeOS Additional Terms of ServiceBy download"&amp;"ing Chrome you agree to the Google Terms of Service and Chrome and ChromeOS Additional Terms of ServiceBy downloading Chrome you agree to the Google Terms of Service and Chrome and ChromeOS Additional Terms of ServiceBy downloading Chrome you agree to the"&amp;" Google Terms of Service and Chrome and ChromeOS Additional Terms of ServiceBy downloading Chrome you agree to the Google Terms of Service and Chrome and ChromeOS Additional Terms of ServiceBy downloading Chrome you agree to the Google Terms of Service an"&amp;"d Chrome and ChromeOS Additional Terms of ServiceBy downloading Chrome you agree to the Google Terms of Service and Chrome and ChromeOS Additional Terms of ServiceBy downloading Chrome you agree to the Google Terms of Service and Chrome and ChromeOS Addit"&amp;"ional Terms of ServiceBy downloading Chrome you agree to the Google Terms of Service and Chrome and ChromeOS Additional Terms of ServiceBy downloading Chrome you agree to the Google Terms of Service and Chrome and ChromeOS Additional Terms of ServiceBy do"&amp;"wnloading Chrome you agree to the Google Terms of Service and Chrome and ChromeOS Additional Terms of ServiceBy downloading Chrome you agree to the Google Terms of Service and Chrome and ChromeOS Additional Terms of ServiceScroll for                 more "&amp;"                   The             f            a            s            t   way to do things online          Prioritize performance              Chrome is built for performance. Optimize your experience with features like Energy Saver and Memory Saver. "&amp;"     Stay on top of tabs              Chrome has tools to help you manage the tabs you’re not quite ready to close. Group label and color code your tabs to stay organized and work faster.      Optimized for your device              Chrome is built to work"&amp;" with your device across platforms. That means a smooth experience on whatever you’re working with.      Scan for the  Chrome app          Automatic updates              There’s a new Chrome update every four weeks making it easy to have the newest featur"&amp;"es and a faster safer browser.      Prioritize performance              Chrome is built for performance. Optimize your experience with features like Energy Saver and Memory Saver.      Stay on top of tabs              Chrome has tools to help you manage t"&amp;"he tabs you’re not quite ready to close. Group label and color code your tabs to stay organized and work faster.      Optimized for your device              Chrome is built to work with your device across platforms. That means a smooth experience on whate"&amp;"ver you’re working with.      Scan for the  Chrome app          Automatic updates              There’s a new Chrome update every four weeks making it easy to have the newest features and a faster safer browser.       Stay             s            a       "&amp;"     f            e   while you browse          Stay             s            a            f            ewhile you browse          PASSWORD MANAGER          Use strong passwords on every site.              Chrome has Google Password Manager built in which"&amp;" makes it simple to save manage and protect your passwords online. It also helps you create stronger passwords for every account you use.      ENHANCED SAFE BROWSING          Browse with the confidence that you're staying safer online.              Chrome"&amp;"'s Safe Browsing warns you about malware or phishing attacks. Turn on Enhanced Safe Browsing for even more safety protections.      SAFETY CHECK          Check your safety level in real time with just one click.              Chrome's Safety Check confirms"&amp;" the overall security and privacy of your browsing experience including your saved passwords extensions and settings. If something needs attention Chrome will help you fix it.      PRIVACY GUIDE          Keep your privacy under your control with easy-to-u"&amp;"se settings.              Chrome makes it easy to understand exactly what you’re sharing online and who you’re sharing it with. Simply use the Privacy Guide a step-by-step tour of your privacy settings.       Make it             y            o            "&amp;"u            r            s   and take it with you          Make it             y            o            u            r            s   and take it with you          Customize your Chrome    Personalize your web browser with themes dark mode and other opt"&amp;"ions built just for you.      Browse across devices    Sign in to Chrome on any device to access your bookmarks saved passwords and more.      Save time with autofill    Use Chrome to save addresses passwords and more to quickly autofill your details.    "&amp;"  Customize your Chrome    Personalize your web browser with themes dark mode and other options built just for you.      Browse across devices    Sign in to Chrome on any device to access your bookmarks saved passwords and more.      Save time with autofi"&amp;"ll    Use Chrome to save addresses passwords and more to quickly autofill your details.      Extend your experience              From shopping and entertainment to productivity find extensions to improve your experience in the Chrome Web Store.       The "&amp;"browser             b            u            i            l            tby Google      GOOGLE AI          Access AI superpowers while you browse.                  Google is integrating artificial intelligence to make our products more useful. We use AI f"&amp;"or features like Search Google Translate and more and we’re innovating new technologies responsibly.      Google Search          The search bar you love built right in.              Access a world of knowledge at your fingertips. Check the weather solve m"&amp;"ath equations and get instant search results all contained inside your browser’s address bar.      GOOGLE WORKSPACE          Get things done with or without Wi-Fi.          Get things done in Gmail Google Docs Google Slides Google Sheets Google Translate "&amp;"and Google Drive even without an internet connection.Frequently asked questionsHow do I install Chrome?To install Chrome simply download the installation file then look for it in your downloads folder. Open the file and follow the instructions. Once Chrom"&amp;"e is installed you can delete the install file. Learn more about downloading Chrome here.Does Chrome work on my operating system?Chrome is compatible with devices that run Windows and Mac operating systems provided they meet the minimum system requirement"&amp;"s. In order to install Chrome and receive adequate support you must meet the system requirements. Learn more about using Chrome on your device.How do I make Chrome my default browser?You can set Chrome as your default browser on Windows or Mac operating s"&amp;"ystems as well as your iPhone iPad or Android device. When you set Chrome as your default browser any link you click will automatically open in Chrome. Find specific instructions for your device here.What are Chrome's safety settings?Chrome uses cutting-e"&amp;"dge safety and security features to help you manage your safety. Use Safety Check to instantly audit for compromised passwords safe browsing status and any available Chrome updates. Learn more about safety and security on Chrome.      Take your browser wi"&amp;"th you    Download Chrome on your mobile device or tablet and sign into your account for the same browser experience everywhere.Get ChromeDownload Chrome      Scan for the  Chrome app     Follow usYoutubeTwitterFacebook              Chrome FamilyOther Pla"&amp;"tformsChromebooks              Chromecast                            EnterpriseDownload Chrome                 Browser              Chrome Browser for                 Enterprise              Chrome                 Devices              ChromeOS            "&amp;"  Google                 Cloud              Google                 Workspace                            EducationGoogle Chrome                 Browser              Devices              Web                 Store                            Dev and PartnersC"&amp;"hromium              ChromeOS              Chrome Web                 Store              Chrome                 Experiments              Chrome BetaChrome DevChrome Canary              Stay ConnectedGoogle Chrome                 Blog              Update C"&amp;"hromeChrome                 Help              Chrome TipsGooglePrivacy and TermsAbout GoogleGoogle ProductsHelpHelpChange language or regionCatalà - EspanyaDansk - DanmarkDeutsch - DeutschlandEesti - EestiEnglish - AustraliaEnglish - CanadaEnglish - Unite"&amp;"d KingdomEnglish - Hong Kong SAR ChinaEnglish - IrelandEnglish - IndiaEnglish - PhilippinesEnglish - PakistanEnglish - SingaporeEnglish - United StatesEspañol - LatinoaméricaEspañol - EspañaEspañol - Estados UnidosFilipino - PilipinasFrançais - CanadaFran"&amp;"çais - FranceHrvatski - HrvatskaIndonesia - IndonesiaItaliano - ItaliaLatviešu - LatvijaLietuvių - LietuvaMagyar - MagyarországMelayu - MalaysiaNederlands - NederlandNorsk Bokmål - NorgePolski - PolskaPortuguês - PortugalPortuguês - BrasilRomână - România"&amp;"Slovenčina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السعوديةف"&amp;"ارسیहिन्दी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syst"&amp;"em.For Windows 8.1/8/7 32-bitThis device won’t receive updates because Google Chrome no longer supports your operating system.For Windows 8.1/8/7 64-bitThis device won’t receive updates because Google Chrome no longer supports your operating system.Get Ch"&amp;"rome for MacFor macOS 10.15 or later.This computer will no longer receive Google Chrome updates because macOS 10.6 - 10.12 are no longer supported.This computer will no longer receive Google Chrome updates because macOS 10.6 - 10.12 are no longer supporte"&amp;"d.This computer will no longer receive Google Chrome updates because macOS 10.6 - 10.12 are no longer supported.This computer will no longer receive Google Chrome updates because macOS 10.6 - 10.12 are no longer supported.For macOS 10.13/10.14This device "&amp;"won’t receive updates because Google Chrome no longer supports your operating system.Get Chrome for LinuxDebian/Ubuntu/Fedora/openSUSE.Please select your download package:64 bit .deb (For Debian/Ubuntu)64 bit .rpm (For Fedora/openSUSE)Not Debian/Ubuntu or"&amp;" Fedora/openSUSE? There may be a community-supported version for your distribution. See Linux Chromium packagesGet Chrome for iOSGet Chrome for chromeOSGet Chrome for androidSet Google Chrome as my default browserHelp make Google Chrome better by automati"&amp;"cally sending usage statistics and crash reports to Google.                What are crash reports?Note: Installing Google Chrome will add the Google repository so your system will automatically keep Google Chrome up to date. If you don’t want Google's rep"&amp;"ository do “sudo touch /etc/default/google-chrome” before installing the package.By downloading Chrome you agree to the Google Terms of Service and Chrome and ChromeOS Additional Terms of ServiceAccept and installAccept and installAccept and installGet Ch"&amp;"romeDownload for phone or tabletAndroidiOSDownload for another desktop OSWindows 11/10 64-bitWindows 10 32-bitmacOS 10.15 or laterLinuxFrozen versionsWindows XPWindows VistaWindows 8.1/8/7 32-bitWindows 8.1/8/7 64-bitMac 10.6 - 10.8Mac 10.9Mac 10.10Mac 10"&amp;".11 - 10.12Mac 10.13 - 10.14Looks like you’re already using Chrome browser. Nice!The device you have runs on ChromeOS which already has Chrome browser built-in. No need to manually install or update it — with automatic updates you’ll always get the latest"&amp;" version. Learn more about automatic updates.Looking for Chrome for a different operating system?See the full list of supported operating systems.")</f>
        <v>Google Chrome - The Fast &amp; Secure Web Browser Built to be Yours         Google uses cookies to deliver its services to personalize ads and to analyze traffic. You can adjust your privacy controls anytime in your  Google settings or read our cookie policy.Ok got itMenuMenuicon chrome logoJump to contentHomeThe Browser by GoogleFeatures              icon-expand-featuresOverviewGoogle address barPassword checkSyncDark modeTabsArticles for youExtensionsSafety              icon-expand-featuresPrivacy on the webSupport              icon-expand-featuresHelpful tips for ChromeSupport              Get ChromeDownload Chromeclose drawericon chrome logoHomeThe Browser by GoogleFeatures              icon-expand-featuresOverviewGoogle address barPassword checkSyncDark modeTabsArticles for youExtensionsSafety              icon-expand-featuresPrivacy on the webSupport              icon-expand-featuresHelpful tips for ChromeSupport              Get ChromeDownload ChromeFastSafeYoursBy GoogleDownload                    The browser  built to be                   f                  a                  s                  t                  s                  a                  f                  e                  y                  o                  u                  r                  sPause animationPlay animationGet ChromeDownload ChromeFor Windows 10 32-bit.I want to update ChromeFor Windows 11/10 64-bit.I want to update ChromeFor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system.For macOS 10.15 or later.I want to update ChromeThis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system.Debian/Ubuntu/Fedora/openSUSE.I want to update                 Chrome              I want to update ChromeLearn how to                 update              I want to update ChromeSet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ServiceScroll for                 more                    The             f            a            s            t   way to do things online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Stay             s            a            f            e   while you browse          Stay             s            a            f            ewhile you browse          PASSWORD MANAGER          Use strong passwords on every site.              Chrome has Google Password Manager built in which makes it simple to save manage and protect your passwords online. It also helps you create stronger passwords for every account you use.      ENHANCED SAFE BROWSING          Browse with the confidence that you're staying safer online.              Chrome's Safe Browsing warns you about malware or phishing attacks. Turn on Enhanced Safe Browsing for even more safety protections.      SAFETY CHECK          Check your safety level in real time with just one click.              Chrome's Safety Check confirms the overall security and privacy of your browsing experience including your saved passwords extensions and settings. If something needs attention Chrome will help you fix it.      PRIVACY GUIDE          Keep your privacy under your control with easy-to-use settings.              Chrome makes it easy to understand exactly what you’re sharing online and who you’re sharing it with. Simply use the Privacy Guide a step-by-step tour of your privacy settings.       Make it             y            o            u            r            s   and take it with you          Make it             y            o            u            r            s   and take it with you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Extend your experience              From shopping and entertainment to productivity find extensions to improve your experience in the Chrome Web Store.       The browser             b            u            i            l            tby Google      GOOGLE AI          Access AI superpowers while you browse.                  Google is integrating artificial intelligence to make our products more useful. We use AI for features like Search Google Translate and more and we’re innovating new technologies responsibly.      Google Search          The search bar you love built right in.              Access a world of knowledge at your fingertips. Check the weather solve math equations and get instant search results all contained inside your browser’s address bar.      GOOGLE WORKSPACE          Get things done with or without Wi-Fi.          Get things done in Gmail Google Docs Google Slides Google Sheets Google Translate and Google Drive even without an internet connection.Frequently asked questionsHow do I install Chrome?To install Chrome simply download the installation file then look for it in your downloads folder. Open the file and follow the instructions. Once Chrome is installed you can delete the install file. Learn more about downloading Chrome here.Does Chrome work on my operating system?Chrome is compatible with devices that run Windows and Mac operating systems provided they meet the minimum system requirements. In order to install Chrome and receive adequate support you must meet the system requirements. Learn more about using Chrome on your device.How do I make Chrome my default browser?You can set Chrome as your default browser on Windows or Mac operating systems as well as your iPhone iPad or Android device. When you set Chrome as your default browser any link you click will automatically open in Chrome. Find specific instructions for your device here.What are Chrome's safety settings?Chrome uses cutting-edge safety and security features to help you manage your safety. Use Safety Check to instantly audit for compromised passwords safe browsing status and any available Chrome updates. Learn more about safety and security on Chrome.      Take your browser with you    Download Chrome on your mobile device or tablet and sign into your account for the same browser experience everywhere.Get ChromeDownload Chrome      Scan for the  Chrome app     Follow usYoutubeTwitterFacebook              Chrome FamilyOther PlatformsChromebooks              Chromecast                            EnterpriseDownload Chrome                 Browser              Chrome Browser for                 Enterprise              Chrome                 Devices              ChromeOS              Google                 Cloud              Google                 Workspace                            EducationGoogle Chrome                 Browser              Devices              Web                 Store                            Dev and PartnersChromium              ChromeOS              Chrome Web                 Store              Chrome                 Experiments              Chrome BetaChrome DevChrome Canary              Stay ConnectedGoogle Chrome                 Blog              Update ChromeChrome                 Help              Chrome TipsGooglePrivacy and TermsAbout GoogleGoogle ProductsHelpHelpChange language or regionCatalà - EspanyaDansk - DanmarkDeutsch - DeutschlandEesti - EestiEnglish - AustraliaEnglish - CanadaEnglish - United KingdomEnglish - Hong Kong SAR ChinaEnglish - IrelandEnglish - IndiaEnglish - PhilippinesEnglish - PakistanEnglish - SingaporeEnglish - United StatesEspañol - LatinoaméricaEspañol - EspañaEspañol - Estados UnidosFilipino - PilipinasFrançais - CanadaFrançais - FranceHrvatski - HrvatskaIndonesia - IndonesiaItaliano - ItaliaLatviešu - LatvijaLietuvių - LietuvaMagyar - MagyarországMelayu - MalaysiaNederlands - NederlandNorsk Bokmål - NorgePolski - PolskaPortuguês - PortugalPortuguês - BrasilRomână - RomâniaSlovenčina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system.Get Chrome for MacFor macOS 10.15 or later.This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system.Get Chrome for LinuxDebian/Ubuntu/Fedora/openSUSE.Please select your download package:64 bit .deb (For Debian/Ubuntu)64 bit .rpm (For Fedora/openSUSE)Not Debian/Ubuntu or Fedora/openSUSE? There may be a community-supported version for your distribution. See Linux Chromium packagesGet Chrome for iOSGet Chrome for chromeOSGet Chrome for androidSet Google Chrome as my default browserHelp make Google Chrome better by automatically sending usage statistics and crash reports to Google.                What are crash reports?Note: Installing Google Chrome will add the Google repository so your system will automatically keep Google Chrome up to date. If you don’t want Google's repository do “sudo touch /etc/default/google-chrome” before installing the package.By downloading Chrome you agree to the Google Terms of Service and Chrome and ChromeOS Additional Terms of ServiceAccept and installAccept and installAccept and installGet ChromeDownload for phone or tabletAndroidiOSDownload for another desktop OSWindows 11/10 64-bitWindows 10 32-bitmacOS 10.15 or laterLinuxFrozen versionsWindows XPWindows VistaWindows 8.1/8/7 32-bitWindows 8.1/8/7 64-bitMac 10.6 - 10.8Mac 10.9Mac 10.10Mac 10.11 - 10.12Mac 10.13 - 10.14Looks like you’re already using Chrome browser. Nice!The device you have runs on ChromeOS which already has Chrome browser built-in. No need to manually install or update it — with automatic updates you’ll always get the latest version. Learn more about automatic updates.Looking for Chrome for a different operating system?See the full list of supported operating systems.</v>
      </c>
    </row>
    <row r="367">
      <c r="A367" s="1" t="s">
        <v>1146</v>
      </c>
      <c r="B367" s="1" t="s">
        <v>1198</v>
      </c>
      <c r="C367" s="1" t="s">
        <v>1173</v>
      </c>
      <c r="D367" s="1">
        <v>22.0</v>
      </c>
      <c r="E367" s="4" t="s">
        <v>1199</v>
      </c>
      <c r="F367" s="1" t="s">
        <v>16</v>
      </c>
      <c r="G367" s="1" t="s">
        <v>120</v>
      </c>
      <c r="H367" s="4" t="s">
        <v>121</v>
      </c>
      <c r="I367" s="2">
        <v>0.0</v>
      </c>
      <c r="J367" s="5" t="str">
        <f>IFERROR(__xludf.DUMMYFUNCTION("GOOGLETRANSLATE(A367)"),"diary RU")</f>
        <v>diary RU</v>
      </c>
      <c r="K367" s="6" t="str">
        <f>IFERROR(__xludf.DUMMYFUNCTION("GOOGLETRANSLATE(B367)"),"Magazine Diary.ru - Applications in Google Play")</f>
        <v>Magazine Diary.ru - Applications in Google Play</v>
      </c>
      <c r="L367" s="5" t="str">
        <f>IFERROR(__xludf.DUMMYFUNCTION("GOOGLETRANSLATE(C367)"),"Oct. 2023. -")</f>
        <v>Oct. 2023. -</v>
      </c>
      <c r="M367" s="5" t="str">
        <f>IFERROR(__xludf.DUMMYFUNCTION("GOOGLETRANSLATE(G367)"),"Android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68">
      <c r="A368" s="1" t="s">
        <v>1146</v>
      </c>
      <c r="B368" s="1" t="s">
        <v>1200</v>
      </c>
      <c r="C368" s="1" t="s">
        <v>1201</v>
      </c>
      <c r="D368" s="1">
        <v>2.0</v>
      </c>
      <c r="E368" s="4" t="s">
        <v>1153</v>
      </c>
      <c r="F368" s="1" t="s">
        <v>43</v>
      </c>
      <c r="G368" s="1" t="s">
        <v>34</v>
      </c>
      <c r="H368" s="4" t="s">
        <v>35</v>
      </c>
      <c r="I368" s="2">
        <v>0.0</v>
      </c>
      <c r="J368" s="5" t="str">
        <f>IFERROR(__xludf.DUMMYFUNCTION("GOOGLETRANSLATE(A368)"),"diary RU")</f>
        <v>diary RU</v>
      </c>
      <c r="K368" s="6" t="str">
        <f>IFERROR(__xludf.DUMMYFUNCTION("GOOGLETRANSLATE(B368)"),"Diary.ru - VKontakte")</f>
        <v>Diary.ru - VKontakte</v>
      </c>
      <c r="L368" s="5" t="str">
        <f>IFERROR(__xludf.DUMMYFUNCTION("GOOGLETRANSLATE(C368)"),"Description: Diary.ru - a free digital educational platform for educational organizations developed by Diary.ru.")</f>
        <v>Description: Diary.ru - a free digital educational platform for educational organizations developed by Diary.ru.</v>
      </c>
      <c r="M368" s="5" t="str">
        <f>IFERROR(__xludf.DUMMYFUNCTION("GOOGLETRANSLATE(G368)"),"VK.com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69">
      <c r="A369" s="1" t="s">
        <v>1146</v>
      </c>
      <c r="B369" s="1" t="s">
        <v>1202</v>
      </c>
      <c r="C369" s="1" t="s">
        <v>1170</v>
      </c>
      <c r="D369" s="1">
        <v>7.0</v>
      </c>
      <c r="E369" s="4" t="s">
        <v>1171</v>
      </c>
      <c r="F369" s="1" t="s">
        <v>43</v>
      </c>
      <c r="G369" s="1" t="s">
        <v>31</v>
      </c>
      <c r="H369" s="4" t="s">
        <v>32</v>
      </c>
      <c r="I369" s="2">
        <v>1.0</v>
      </c>
      <c r="J369" s="5" t="str">
        <f>IFERROR(__xludf.DUMMYFUNCTION("GOOGLETRANSLATE(A369)"),"diary RU")</f>
        <v>diary RU</v>
      </c>
      <c r="K369" s="6" t="str">
        <f>IFERROR(__xludf.DUMMYFUNCTION("GOOGLETRANSLATE(B369)"),"DiNewnite.ru - Wikipedia")</f>
        <v>DiNewnite.ru - Wikipedia</v>
      </c>
      <c r="L369" s="5" t="str">
        <f>IFERROR(__xludf.DUMMYFUNCTION("GOOGLETRANSLATE(C369)"),"Diary.ru-a Russian IT company in the field of educational technologies. According to its own statements, the company is engaged in the development of a single electronic ...")</f>
        <v>Diary.ru-a Russian IT company in the field of educational technologies. According to its own statements, the company is engaged in the development of a single electronic ...</v>
      </c>
      <c r="M369" s="5" t="str">
        <f>IFERROR(__xludf.DUMMYFUNCTION("GOOGLETRANSLATE(G369)"),"Wikipedia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70">
      <c r="A370" s="1" t="s">
        <v>1146</v>
      </c>
      <c r="B370" s="1" t="s">
        <v>1203</v>
      </c>
      <c r="C370" s="1" t="s">
        <v>1184</v>
      </c>
      <c r="D370" s="1">
        <v>8.0</v>
      </c>
      <c r="E370" s="4" t="s">
        <v>1185</v>
      </c>
      <c r="F370" s="1" t="s">
        <v>43</v>
      </c>
      <c r="G370" s="1" t="s">
        <v>444</v>
      </c>
      <c r="H370" s="4" t="s">
        <v>445</v>
      </c>
      <c r="I370" s="2">
        <v>0.0</v>
      </c>
      <c r="J370" s="5" t="str">
        <f>IFERROR(__xludf.DUMMYFUNCTION("GOOGLETRANSLATE(A370)"),"diary RU")</f>
        <v>diary RU</v>
      </c>
      <c r="K370" s="6" t="str">
        <f>IFERROR(__xludf.DUMMYFUNCTION("GOOGLETRANSLATE(B370)"),"Dnevnik.ru (@dnevnik_ru) / X")</f>
        <v>Dnevnik.ru (@dnevnik_ru) / X</v>
      </c>
      <c r="L370" s="5" t="str">
        <f>IFERROR(__xludf.DUMMYFUNCTION("GOOGLETRANSLATE(C370)"),"Diary.ru announced the rating of leading regions on the use of electronic journals in schools. Details on the official website Diary.ru.")</f>
        <v>Diary.ru announced the rating of leading regions on the use of electronic journals in schools. Details on the official website Diary.ru.</v>
      </c>
      <c r="M370" s="5" t="str">
        <f>IFERROR(__xludf.DUMMYFUNCTION("GOOGLETRANSLATE(G370)"),"JavaScript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371">
      <c r="A371" s="1" t="s">
        <v>1146</v>
      </c>
      <c r="B371" s="1" t="s">
        <v>1204</v>
      </c>
      <c r="C371" s="1" t="s">
        <v>1173</v>
      </c>
      <c r="D371" s="1">
        <v>9.0</v>
      </c>
      <c r="E371" s="4" t="s">
        <v>1174</v>
      </c>
      <c r="F371" s="1" t="s">
        <v>43</v>
      </c>
      <c r="G371" s="1" t="s">
        <v>1175</v>
      </c>
      <c r="H371" s="4" t="s">
        <v>1176</v>
      </c>
      <c r="I371" s="2">
        <v>1.0</v>
      </c>
      <c r="J371" s="5" t="str">
        <f>IFERROR(__xludf.DUMMYFUNCTION("GOOGLETRANSLATE(A371)"),"diary RU")</f>
        <v>diary RU</v>
      </c>
      <c r="K371" s="6" t="str">
        <f>IFERROR(__xludf.DUMMYFUNCTION("GOOGLETRANSLATE(B371)"),"Diary.ru - Russian Society Knowledge")</f>
        <v>Diary.ru - Russian Society Knowledge</v>
      </c>
      <c r="L371" s="5" t="str">
        <f>IFERROR(__xludf.DUMMYFUNCTION("GOOGLETRANSLATE(C371)"),"Oct. 2023. -")</f>
        <v>Oct. 2023. -</v>
      </c>
      <c r="M371" s="5" t="str">
        <f>IFERROR(__xludf.DUMMYFUNCTION("GOOGLETRANSLATE(G371)"),"Russian Society Knowledge - holding Grants of the Lecture of Marathona Lecture Interesting Personal Personal Personal Personal Directorate of Projects of Projects of Projects of the Lecture of Lecture Social -High -Human Resources to Lecture to Lecture to"&amp;" Building the Building Partner to Expert -Metal Exhibition -Forum “Russia” to watch a broadcast 04.11 - 12.04s . - cf. Online. Tatra -Russian educational action in more detail 28.09 - 15.12 cm. - Fri -documentary films about everything on Light and the be"&amp;"st about the most interesting in our cinema. Rather, go and enjoy the viewing! More knowledge. Vikinash new project is a digital library of reliable knowledge that we create together! Details the teachers and mentor 2023 Supreme Highlights with a lecturer"&amp;" with a lecturer with a lecturerome Averbukhserebiye winner of the Olympic Games Honored Master of Sports of Russia Baranovaanovags. the hero of the USSR Hero of labor Laureate The State Prizes of the USSR and the Russian Federation Professor Surgery, the"&amp;" Marukhukovo artist of the Russian State Prize, artistic director of the Moscow Provincial Theater, actor director Beloglazovkommandir of the Special Purpose of the Vityaz Center named after the F. E. Dzerzhinsky FSVang of the Russian Federation Hero of t"&amp;"he Russian Federation of the Russian Federation Berezikova -Russian athlete in battles in the mixed styles of the Believer, Berodistan Yes “I am!” Camila Valievari -Russian skater -president Winery President of the All -Russian Federation of the Artistic "&amp;"Gymnastics School of Gymnastics Golikova President of the Chairman of the Government of the Russian Federation Gorosiyuzakanterman Grefaman Gref -chairman of PJSC Sberbancyla Drozdovodtor of Biological Sciences Honored Professor of the Moscow State Univer"&amp;"sity of Geographical Faculty of Lomonosov Member Member of the Board of Trustees of WWF Russia Telezediy Member The author of the writers of Russia more than 200 articles and 40 books of the book Demiter Dyuzhevacter Sing -film director Honored Artist of "&amp;"the Russian Federation Zakharevoder of the Department of Information and Press of the Ministry of Foreign Affairs of the Russian Russian Cargean -Russian chessman of the Caspersky General General Director of Kaspersky Lab Director of NIC ""Kurchatov Insti"&amp;"tute"" Grigory Kokotkinossian actor Theater and Cinema Teacher Acting Artistic Director of the Architect Cultural Center Bloggaranna Kuznetsovacelor of the Chairman of the State Duma, Federal Assembly of the Russian Federation of the Russian Federation of"&amp;" the Russian Federation (Vovan) Prakersershezmage Lavrov minister of the Russian Federation of the KROSS COSMETIC, Actress singer Popular Blograleki Likhachevgeneral Director State Rosatom Corporation Roman The Lobashian editor of the television channel "&amp;"""My Planet"" Maria Lvova-Belya-Authorized President of the Russian Federation for the Rights of the Childvasmimmir Mashkovo artist Oleg Tabakov People's and Honored Artist of the Russian Medinsky President of the Russian Federation, Chairman of the Russi"&amp;"an Military-Historical Society of the Government of the Russian Federation on November 113 to scientific quiz and lectures on Cosmos Acquaintance with the Amur and Sakhalin regions Useful tips for self -development - how the next day of the educational pr"&amp;"ogram of the Russian exhibition ""Russia"" was held on November 10, 2023 General Director of GLONASS JSC, Alexei Rakevich conducted an excursion trip to the Tomsk and Novgorod regions at the Russian Economic Program of the Society “Knowledge” on November "&amp;"10, 2023 History in the persons of events and facts: in the Kherson region, educational activities were held, Knowledge of the TRACH. Khrephorycalendar of the measures for project -designed therapy to the Important Rossiya Russian Assembly at VDNH 2023 Ra"&amp;"zhovtorskhovtorskupkupkupkhkupkups 99) 393-33-38 technical support: Support@ znanierussia.ru Recreation “Knowledge”: info@znanierussia.ruadre Organization: 109240 Moscow intracity territory municipal district Tagansky Nikolayamskaya D 11 Politician Privac"&amp;"y Agreement of the Russian Society “Knowledge” on the creation of the Russian Society “Knowledge” Report on the use of property for 2021 years of age of 2021 about Using property for 2022 © 2023 Russian Society ""Knowledge""")</f>
        <v>Russian Society Knowledge - holding Grants of the Lecture of Marathona Lecture Interesting Personal Personal Personal Personal Directorate of Projects of Projects of Projects of the Lecture of Lecture Social -High -Human Resources to Lecture to Lecture to Building the Building Partner to Expert -Metal Exhibition -Forum “Russia” to watch a broadcast 04.11 - 12.04s . - cf. Online. Tatra -Russian educational action in more detail 28.09 - 15.12 cm. - Fri -documentary films about everything on Light and the best about the most interesting in our cinema. Rather, go and enjoy the viewing! More knowledge. Vikinash new project is a digital library of reliable knowledge that we create together! Details the teachers and mentor 2023 Supreme Highlights with a lecturer with a lecturer with a lecturerome Averbukhserebiye winner of the Olympic Games Honored Master of Sports of Russia Baranovaanovags. the hero of the USSR Hero of labor Laureate The State Prizes of the USSR and the Russian Federation Professor Surgery, the Marukhukovo artist of the Russian State Prize, artistic director of the Moscow Provincial Theater, actor director Beloglazovkommandir of the Special Purpose of the Vityaz Center named after the F. E. Dzerzhinsky FSVang of the Russian Federation Hero of the Russian Federation of the Russian Federation Berezikova -Russian athlete in battles in the mixed styles of the Believer, Berodistan Yes “I am!” Camila Valievari -Russian skater -president Winery President of the All -Russian Federation of the Artistic Gymnastics School of Gymnastics Golikova President of the Chairman of the Government of the Russian Federation Gorosiyuzakanterman Grefaman Gref -chairman of PJSC Sberbancyla Drozdovodtor of Biological Sciences Honored Professor of the Moscow State University of Geographical Faculty of Lomonosov Member Member of the Board of Trustees of WWF Russia Telezediy Member The author of the writers of Russia more than 200 articles and 40 books of the book Demiter Dyuzhevacter Sing -film director Honored Artist of the Russian Federation Zakharevoder of the Department of Information and Press of the Ministry of Foreign Affairs of the Russian Russian Cargean -Russian chessman of the Caspersky General General Director of Kaspersky Lab Director of NIC "Kurchatov Institute" Grigory Kokotkinossian actor Theater and Cinema Teacher Acting Artistic Director of the Architect Cultural Center Bloggaranna Kuznetsovacelor of the Chairman of the State Duma, Federal Assembly of the Russian Federation of the Russian Federation of the Russian Federation (Vovan) Prakersershezmage Lavrov minister of the Russian Federation of the KROSS COSMETIC, Actress singer Popular Blograleki Likhachevgeneral Director State Rosatom Corporation Roman The Lobashian editor of the television channel "My Planet" Maria Lvova-Belya-Authorized President of the Russian Federation for the Rights of the Childvasmimmir Mashkovo artist Oleg Tabakov People's and Honored Artist of the Russian Medinsky President of the Russian Federation, Chairman of the Russian Military-Historical Society of the Government of the Russian Federation on November 113 to scientific quiz and lectures on Cosmos Acquaintance with the Amur and Sakhalin regions Useful tips for self -development - how the next day of the educational program of the Russian exhibition "Russia" was held on November 10, 2023 General Director of GLONASS JSC, Alexei Rakevich conducted an excursion trip to the Tomsk and Novgorod regions at the Russian Economic Program of the Society “Knowledge” on November 10, 2023 History in the persons of events and facts: in the Kherson region, educational activities were held, Knowledge of the TRACH. Khrephorycalendar of the measures for project -designed therapy to the Important Rossiya Russian Assembly at VDNH 2023 Razhovtorskhovtorskupkupkupkhkupkups 99) 393-33-38 technical support: Support@ znanierussia.ru Recreation “Knowledge”: info@znanierussia.ruadre Organization: 109240 Moscow intracity territory municipal district Tagansky Nikolayamskaya D 11 Politician Privacy Agreement of the Russian Society “Knowledge” on the creation of the Russian Society “Knowledge” Report on the use of property for 2021 years of age of 2021 about Using property for 2022 © 2023 Russian Society "Knowledge"</v>
      </c>
    </row>
    <row r="372">
      <c r="A372" s="1" t="s">
        <v>1146</v>
      </c>
      <c r="B372" s="1" t="s">
        <v>1205</v>
      </c>
      <c r="C372" s="1" t="s">
        <v>1206</v>
      </c>
      <c r="D372" s="1">
        <v>11.0</v>
      </c>
      <c r="E372" s="4" t="s">
        <v>1207</v>
      </c>
      <c r="F372" s="1" t="s">
        <v>43</v>
      </c>
      <c r="G372" s="1" t="s">
        <v>448</v>
      </c>
      <c r="H372" s="4" t="s">
        <v>449</v>
      </c>
      <c r="I372" s="2">
        <v>1.0</v>
      </c>
      <c r="J372" s="5" t="str">
        <f>IFERROR(__xludf.DUMMYFUNCTION("GOOGLETRANSLATE(A372)"),"diary RU")</f>
        <v>diary RU</v>
      </c>
      <c r="K372" s="6" t="str">
        <f>IFERROR(__xludf.DUMMYFUNCTION("GOOGLETRANSLATE(B372)"),"Vacancies of the company Diary.ru - Work in St.")</f>
        <v>Vacancies of the company Diary.ru - Work in St.</v>
      </c>
      <c r="L372" s="5" t="str">
        <f>IFERROR(__xludf.DUMMYFUNCTION("GOOGLETRANSLATE(C372)"),"Work in the company Dote.ru. Information about the company and all open vacancies in St. Petersburg, Moscow.")</f>
        <v>Work in the company Dote.ru. Information about the company and all open vacancies in St. Petersburg, Moscow.</v>
      </c>
      <c r="M372" s="5" t="str">
        <f>IFERROR(__xludf.DUMMYFUNCTION("GOOGLETRANSLATE(G372)"),"Work in Moscow Search for personnel and publishing vacancies - HH.ru. Working with our site, you need to include JavaScript in your browser. Curi -mosquito -workers, ready -made resumes -wise advice, help, work to make a resumes -winging system finding an"&amp;" employee 65,757 425 haste1 4102 vacancies2 088 561 compliance with the phone so that employers can offer you work to confirm to confirm that you do not introduce the text from the picture: the other text of the text “continue” you confirm that you are fa"&amp;"miliarized with the “Agreement on the provision of assistance in employment (Offer)” Vacancies of the day of the day 7649 Vacanceism of the house83707 Vacancies 72000 to 89 000 000 ₽Rabotahr Moscow employee restaurant 50,000 to 70000 ₽ Dododo pizza (DPM N"&amp;"orth) Moskvalichny assistant psychologist 50,000 to 250,000 ₽ Guphanina Alina Borisovna Moskovaristat 74000 to 91000 ₽ Fleet Moscow Administrator in the hot yogi -2000 to 50,000 ₽Bikram .ru Yoga Moskvalichny driver 100,000 to 120,000 ₽ Hihitrova Anastasia"&amp;" Viktorovna Moskvannoye seller-cashier/Administrator 60,000 ₽ Bukhaev Yusup Sydemyeva Moskvypskor (guard) in the clinic 80,000 to 80,000 ₽ Krapetvei ₽ Defeditrum 87 000 to 121000 ₽rabotahr Moscow Moscow 60,000 to 140,000 ₽ Bukhaev Yusup Saidemeyeva Moscow"&amp;" -Semey driver to 1,20,000 to 140,000 ₽ INSITS Moskovo View all work in the Moscow Automobile Administrative Personnel Safe and Medium Management of the Raw Personnel Management Service -Schools Logiiiscence of entertainment of mass mediamarketing adverti"&amp;"sing PRMMedicin pharmaceuticals Education Production Service Service Service Production Service Maintenance Worker Personnel Trade Trade Clubs Fitness Salons Beauty Strategia Investment Consulting Storestroe Real Estate Sports Transportation Transportuisc"&amp;"ent Hotel Restaurant Management by personnel Training and Office of the Emergenary Gholoset in the rating 000 000 and more work in November with daily payments-welding November with a salary of 150 000 ₽ Vacancia November for managers with a salary of 150"&amp;" 000 ₽, not to spoil the impression of themselves with activity in social networks, to become an accountant from scratch ""R-Farm"": to live a full life and benefit people ""Pentorochka"": how to become the owner of a business and workshop for programmers"&amp;" for engineering for engineering for engineering for engineering The sales manager for directorship for administrator work for marketer work for design will be designed for lawyers in other cities in the Zagoryansk work in Moscow work in prompt work in lo"&amp;"ng -term work in driving work in shopatin work in Bobrov work in Mytishchkhnich work in the Khimki -work in Russia, most of the life of almost every of us. But nothing forever: it happens that one day you have to change the place of work and plunge with y"&amp;"our head in search of vacancies - I want to find a good alternative to the current position. Often when changing work, we think not only about changing the company but also about changing professional activities. And it is at these moments that the questi"&amp;"on arises: “How to find a good job in Moscow now? And most importantly, what should this work be? ”Showing it completely to solve such issues easily and quickly just go to hh.ru! On our website you can always find out the latest labor market news and also"&amp;" study a fresh review of salaries with which it is easy to evaluate what Positions should be aiming. If you have already determined the vacancies of which specialties you are interested in only you can create a resume and start searching for a dream work!"&amp;" It is most convenient to look for a job using our vacancies catalog: by clicking in the mouse, you will get a list of relevant and high -quality vacancies in the Moscow or other region of Russia. But this is not the only option for searching for work. On"&amp;" our site you can create an attractive resume and vacancies will begin to flock to you! And having combined both of these methods, you can get the fastest and most importantly effective way to search for work! Create a summary of the application vacancies"&amp;" answers to responses and access to a resume - always at your fingertips. Just enter the phone camera on the QR-CODDHUNTERO company of the company's vacancies for the site of the personal data of personal data-safety Headhunteretika and complianceheadHunt"&amp;"er Apartneadhunter of the provision of the service of the use of the site and articles of labor in the company of Russian serial workshops SE for applicants for reservations Service Prophorus. Processing Summies Summary for you to work for a production ca"&amp;"lendar expert recommendation with a young specialist for young specialists of the School School School Upon -residents of employees, consonant of the company, by professionals, near the metro notification in the Messengeryswitch to English © 2023 Hadhante"&amp;"r LLC, HH.ru information resource applies (information technologies for the provision of information on the systematization and analysis of information related to the preferences of users of the Internet. Russian Federation) Today on the site 1410102 vaca"&amp;"ncies 65757425 resume 2088561 Company and in a week 3611017 invitations subscribe to the Push notifications of HH.ru now subscribe now")</f>
        <v>Work in Moscow Search for personnel and publishing vacancies - HH.ru. Working with our site, you need to include JavaScript in your browser. Curi -mosquito -workers, ready -made resumes -wise advice, help, work to make a resumes -winging system finding an employee 65,757 425 haste1 4102 vacancies2 088 561 compliance with the phone so that employers can offer you work to confirm to confirm that you do not introduce the text from the picture: the other text of the text “continue” you confirm that you are familiarized with the “Agreement on the provision of assistance in employment (Offer)” Vacancies of the day of the day 7649 Vacanceism of the house83707 Vacancies 72000 to 89 000 000 ₽Rabotahr Moscow employee restaurant 50,000 to 70000 ₽ Dododo pizza (DPM North) Moskvalichny assistant psychologist 50,000 to 250,000 ₽ Guphanina Alina Borisovna Moskovaristat 74000 to 91000 ₽ Fleet Moscow Administrator in the hot yogi -2000 to 50,000 ₽Bikram .ru Yoga Moskvalichny driver 100,000 to 120,000 ₽ Hihitrova Anastasia Viktorovna Moskvannoye seller-cashier/Administrator 60,000 ₽ Bukhaev Yusup Sydemyeva Moskvypskor (guard) in the clinic 80,000 to 80,000 ₽ Krapetvei ₽ Defeditrum 87 000 to 121000 ₽rabotahr Moscow Moscow 60,000 to 140,000 ₽ Bukhaev Yusup Saidemeyeva Moscow -Semey driver to 1,20,000 to 140,000 ₽ INSITS Moskovo View all work in the Moscow Automobile Administrative Personnel Safe and Medium Management of the Raw Personnel Management Service -Schools Logiiiscence of entertainment of mass mediamarketing advertising PRMMedicin pharmaceuticals Education Production Service Service Service Production Service Maintenance Worker Personnel Trade Trade Clubs Fitness Salons Beauty Strategia Investment Consulting Storestroe Real Estate Sports Transportation Transportuiscent Hotel Restaurant Management by personnel Training and Office of the Emergenary Gholoset in the rating 000 000 and more work in November with daily payments-welding November with a salary of 150 000 ₽ Vacancia November for managers with a salary of 150 000 ₽, not to spoil the impression of themselves with activity in social networks, to become an accountant from scratch "R-Farm": to live a full life and benefit people "Pentorochka": how to become the owner of a business and workshop for programmers for engineering for engineering for engineering for engineering The sales manager for directorship for administrator work for marketer work for design will be designed for lawyers in other cities in the Zagoryansk work in Moscow work in prompt work in long -term work in driving work in shopatin work in Bobrov work in Mytishchkhnich work in the Khimki -work in Russia, most of the life of almost every of us. But nothing forever: it happens that one day you have to change the place of work and plunge with your head in search of vacancies - I want to find a good alternative to the current position. Often when changing work, we think not only about changing the company but also about changing professional activities. And it is at these moments that the question arises: “How to find a good job in Moscow now? And most importantly, what should this work be? ”Showing it completely to solve such issues easily and quickly just go to hh.ru! On our website you can always find out the latest labor market news and also study a fresh review of salaries with which it is easy to evaluate what Positions should be aiming. If you have already determined the vacancies of which specialties you are interested in only you can create a resume and start searching for a dream work! It is most convenient to look for a job using our vacancies catalog: by clicking in the mouse, you will get a list of relevant and high -quality vacancies in the Moscow or other region of Russia. But this is not the only option for searching for work. On our site you can create an attractive resume and vacancies will begin to flock to you! And having combined both of these methods, you can get the fastest and most importantly effective way to search for work! Create a summary of the application vacancies answers to responses and access to a resume - always at your fingertips. Just enter the phone camera on the QR-CODDHUNTERO company of the company's vacancies for the site of the personal data of personal data-safety Headhunteretika and complianceheadHunter Apartneadhunter of the provision of the service of the use of the site and articles of labor in the company of Russian serial workshops SE for applicants for reservations Service Prophorus. Processing Summies Summary for you to work for a production calendar expert recommendation with a young specialist for young specialists of the School School School Upon -residents of employees, consonant of the company, by professionals, near the metro notification in the Messengeryswitch to English © 2023 Hadhanter LLC, HH.ru information resource applies (information technologies for the provision of information on the systematization and analysis of information related to the preferences of users of the Internet. Russian Federation) Today on the site 1410102 vacancies 65757425 resume 2088561 Company and in a week 3611017 invitations subscribe to the Push notifications of HH.ru now subscribe now</v>
      </c>
    </row>
    <row r="373">
      <c r="A373" s="1" t="s">
        <v>1146</v>
      </c>
      <c r="B373" s="1" t="s">
        <v>1208</v>
      </c>
      <c r="D373" s="1">
        <v>12.0</v>
      </c>
      <c r="E373" s="4" t="s">
        <v>1182</v>
      </c>
      <c r="F373" s="1" t="s">
        <v>43</v>
      </c>
      <c r="G373" s="1" t="s">
        <v>273</v>
      </c>
      <c r="H373" s="4" t="s">
        <v>476</v>
      </c>
      <c r="I373" s="2">
        <v>0.0</v>
      </c>
      <c r="J373" s="5" t="str">
        <f>IFERROR(__xludf.DUMMYFUNCTION("GOOGLETRANSLATE(A373)"),"diary RU")</f>
        <v>diary RU</v>
      </c>
      <c r="K373" s="6" t="str">
        <f>IFERROR(__xludf.DUMMYFUNCTION("GOOGLETRANSLATE(B373)"),"Diary.ru - Facebook")</f>
        <v>Diary.ru - Facebook</v>
      </c>
      <c r="L373" s="5" t="str">
        <f>IFERROR(__xludf.DUMMYFUNCTION("GOOGLETRANSLATE(C373)"),"#VALUE!")</f>
        <v>#VALUE!</v>
      </c>
      <c r="M373" s="5" t="str">
        <f>IFERROR(__xludf.DUMMYFUNCTION("GOOGLETRANSLATE(G373)"),"Update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374">
      <c r="A374" s="1" t="s">
        <v>1146</v>
      </c>
      <c r="B374" s="1" t="s">
        <v>1209</v>
      </c>
      <c r="C374" s="1" t="s">
        <v>1210</v>
      </c>
      <c r="D374" s="1">
        <v>14.0</v>
      </c>
      <c r="E374" s="4" t="s">
        <v>1211</v>
      </c>
      <c r="F374" s="1" t="s">
        <v>43</v>
      </c>
      <c r="G374" s="1" t="s">
        <v>1212</v>
      </c>
      <c r="H374" s="4" t="s">
        <v>1213</v>
      </c>
      <c r="I374" s="2">
        <v>1.0</v>
      </c>
      <c r="J374" s="5" t="str">
        <f>IFERROR(__xludf.DUMMYFUNCTION("GOOGLETRANSLATE(A374)"),"diary RU")</f>
        <v>diary RU</v>
      </c>
      <c r="K374" s="6" t="str">
        <f>IFERROR(__xludf.DUMMYFUNCTION("GOOGLETRANSLATE(B374)"),"Diary.ru - School No. 36 Veliky Novgorod")</f>
        <v>Diary.ru - School No. 36 Veliky Novgorod</v>
      </c>
      <c r="L374" s="5" t="str">
        <f>IFERROR(__xludf.DUMMYFUNCTION("GOOGLETRANSLATE(C374)"),"Diary.ru · Diary.ru - students · student diary - Diary. · Educational resources - online library contains almost all works that ...")</f>
        <v>Diary.ru · Diary.ru - students · student diary - Diary. · Educational resources - online library contains almost all works that ...</v>
      </c>
      <c r="M374" s="5" t="str">
        <f>IFERROR(__xludf.DUMMYFUNCTION("GOOGLETRANSLATE(G374)"),"School No. 36 Veliky Novgorod Site MAOU ""School No. 36"" is located at: https: //sh36-velikij-novgorod-r49.gosuslugi.ru/ Forequisitive communications for additional grades 5, grades77 -grades 9th grades10, grades1111, literature for summer reading, schoo"&amp;"l forms of SEARTIONAL behavior on the rules of road traffic on the rules of the road, security behavior at the objects of railway transportation and security measures on the reservoir in the autumn-winter duration of the use of pyrotechnicians. Little que"&amp;"stions for a minute for arriving from the territories of the DPR and LPR (legal representatives) of students in the 1st class in grade 1 in grade 10 in school-paying hot foods of primary class students Excellecontrol for the nutritional nouriseter for add"&amp;"itional education, the schedule of calls for 2022-2023 Tutorial year of distribution of consultation consultations Consults GIA - 9GIA - 11 support in development School-Mamathal supports Blackmarks for Documents to the school uniform, leave the children "&amp;"unattended the parental heart! News of the exploration of the Office of the Offenses of the Offenses of emotional dysfunction and suicidal intentions of social and pedagogical training of students of 9 11th grades for passing the examination Tactful secur"&amp;"ity of information about the educational organization Information security of the Center for Digital Education of Children “IT-Cub »The Center for Natural Science Education Derzhavin and I am the center of additional education Svetlana Borisovna -Director"&amp;" MAOU"" School No. 36 ""about School 2017, school No. 36 opened its doors for 1350 boys and girls who want to plunge into the world of possibilities of those wishing to understand and master the new one to express their own thoughts to make decisions To h"&amp;"elp each other. Nash the school is a high -tech educational institution in which technical teaching aids are combined with modern teaching technologies. This is a school in which today there is everything you need: multimedia complexes Interactive boards "&amp;"computers Plasma panels Lingapon Cabinet Developing training complexes Research laboratories and studio where a special emotionally attractive environment is created. Want to know about the school more to become a member of the construction of a modern di"&amp;"gital school? Come to study at our school! Ads! Viral hepatitis of viral hepatitis in matters and the answer healing camp of the work of the World of My Opportunities ""Dear Parents (legal representatives)! In June 1, he begins his work The school camp “T"&amp;"he World of My Opportunities” 8.30 is a meeting of children at the porch of the school. The educators will have a sign with the detachment number in which the classes that are included in this detachment will be indicated. The child has a child: replaceab"&amp;"le head cleaning shoes for records of a pencil case with accessories if the child is not a student of school No. 36, then it is necessary to bring a medical certificate. 1 detachment - students 1 A class + pre -school2 detachment - students 1B class + 1k "&amp;"class3 detachment - students 1 l class + 1 m class + students from the schools of the city4 detachment - students 2V class + 2m class5 - students 2B class + 2A class + 2l Class + 2K class + students from schools in the city6 Squad-students of 3 classes7 d"&amp;"etachment-students of 4 classes8 detachment-students of the 5th and 6th grades of the reception of children in grade 1 in 2023 in the Novgorod region !!! In order to submit an application for enrollment to the first grade on March 15 from 15:00, go to pub"&amp;"lic services on the link -www.gosuslugi.ru/600426kak submit an application on the public services website: to register or have an account on the public services website from March 15 to go to the public services website and Fill out a draft application fo"&amp;"r acceptance on March23 at 00.00 Send a notice to receive a notification to the email address. Assignment will receive from public services to a single automated system (AIS) and will be registered in the journal of accepting applications at school. Maint"&amp;"ened parents of future first -graders! Acceptance of children's education in first grade In an extraordinary and priority, having the right to preemptive admission as well as living in the fixed territory begins on March 23, 2023: at 00:00 on the public s"&amp;"ervices website from 09:00 in the MFC and at the school at a personal visit, we will inform you that the submission of applications for admission in grade 2023- 2024 academic year at the school will be held according to the schedule: 23 March 2023 from 09"&amp;".00 to 17.00 without a break of the office. 429.24 27 and March 28, 2023 - from 09.00 to 17.00 in the reception room (2nd floor). S. March 29, 2023, a full -time visit to submit applications will be carried out from 15.00 to 17.00 in the reception (2nd fl"&amp;"oor). Information on the territories assigned to schools can be found out On the sites of the management of the education of urban and municipal districts of the municipal regions of the region. How to submit an application on the public services website:"&amp;" to register or have an account on the public service website on March 15 to go to the public services website and fill out a draft application on March23 at 00.00 Send a notice to electronic The address of public services will be received from the public"&amp;" services website to a unified automated system (AIS) and will be registered in the journal of accepting applications at the school. On March 15, 2023, the Ministry of Education of the Novgorod Region will begin to work a hotline phone for children in gra"&amp;"de 1: 8,8162- 50-10-10. Monday: Friday from 09.00 to 13.00 from 14.00 to 17.00. Rupped the behavior and procedure of the population when receiving the signal ""Attention to everyone!"" Transfer of the vacation of parents (legal representatives)! Additiona"&amp;"l holidays for students of the 1st grades are transferred for the period from 06.02.02.02 .2023 to 12.02.2023 In connection with the need to conduct preventive measures to prevent influenza and acute respiratory viral infections. The holidays were agreed "&amp;"with the founder. Netnesses on March 03, 2023 rule the reception of children in the first grade in the Novgorod region on January 17, 2023, the teacher of the general enlightenment teacher of the Education was awarded The departmental reward to the teache"&amp;"r of OBZH Gennady Starunov on October 01, 2022 The new places were opened on October 1, 2022 in our school, a solemn event was held on the opening of the newly created places of additional education of children ... September 20, 2022anketing of parents of"&amp;" students of students of 8 9th grades on the organization of career guidance on May 20 2022 A guests of the fairy -tale dedicated to the cultural heritage of the Novgorod Territory and the Novgorod tales on April 26, 2022222 22 22 222222s on May 03 June 2"&amp;"022 begins to participate in the All -Russian Olympiad of schoolchildren on April 01, 2022 Office of the professional skill of the city competition of professional skills on February 15, 2022fest Val ""Visiting a fairy tale »The fairy tale is the festival"&amp;""" Visiting the Tale ""the great Ustyug! February 15, 2022 Old Microphone Project"" Golden Microphone. 3 season ”All we are coming together there are proposals for organizing the educational process or do you know how to make a school better? Write about "&amp;"the problem of the Calendar of events &lt;&lt; November 2023 &gt;&gt; PNVTSRCHTTSBVS 1 2 3 4 5 5 6 7 8 9 10 11 12 12 13 15 15 16 18 18 191 19 20 22 22 22 26 27 29 30 Useful reference all photo On the site with the consent of their owning law © MAOU ""School No. 36"" "&amp;"Creation of the site - 3xweb")</f>
        <v>School No. 36 Veliky Novgorod Site MAOU "School No. 36" is located at: https: //sh36-velikij-novgorod-r49.gosuslugi.ru/ Forequisitive communications for additional grades 5, grades77 -grades 9th grades10, grades1111, literature for summer reading, school forms of SEARTIONAL behavior on the rules of road traffic on the rules of the road, security behavior at the objects of railway transportation and security measures on the reservoir in the autumn-winter duration of the use of pyrotechnicians. Little questions for a minute for arriving from the territories of the DPR and LPR (legal representatives) of students in the 1st class in grade 1 in grade 10 in school-paying hot foods of primary class students Excellecontrol for the nutritional nouriseter for additional education, the schedule of calls for 2022-2023 Tutorial year of distribution of consultation consultations Consults GIA - 9GIA - 11 support in development School-Mamathal supports Blackmarks for Documents to the school uniform, leave the children unattended the parental heart! News of the exploration of the Office of the Offenses of the Offenses of emotional dysfunction and suicidal intentions of social and pedagogical training of students of 9 11th grades for passing the examination Tactful security of information about the educational organization Information security of the Center for Digital Education of Children “IT-Cub »The Center for Natural Science Education Derzhavin and I am the center of additional education Svetlana Borisovna -Director MAOU" School No. 36 "about School 2017, school No. 36 opened its doors for 1350 boys and girls who want to plunge into the world of possibilities of those wishing to understand and master the new one to express their own thoughts to make decisions To help each other. Nash the school is a high -tech educational institution in which technical teaching aids are combined with modern teaching technologies. This is a school in which today there is everything you need: multimedia complexes Interactive boards computers Plasma panels Lingapon Cabinet Developing training complexes Research laboratories and studio where a special emotionally attractive environment is created. Want to know about the school more to become a member of the construction of a modern digital school? Come to study at our school! Ads! Viral hepatitis of viral hepatitis in matters and the answer healing camp of the work of the World of My Opportunities "Dear Parents (legal representatives)! In June 1, he begins his work The school camp “The World of My Opportunities” 8.30 is a meeting of children at the porch of the school. The educators will have a sign with the detachment number in which the classes that are included in this detachment will be indicated. The child has a child: replaceable head cleaning shoes for records of a pencil case with accessories if the child is not a student of school No. 36, then it is necessary to bring a medical certificate. 1 detachment - students 1 A class + pre -school2 detachment - students 1B class + 1k class3 detachment - students 1 l class + 1 m class + students from the schools of the city4 detachment - students 2V class + 2m class5 - students 2B class + 2A class + 2l Class + 2K class + students from schools in the city6 Squad-students of 3 classes7 detachment-students of 4 classes8 detachment-students of the 5th and 6th grades of the reception of children in grade 1 in 2023 in the Novgorod region !!! In order to submit an application for enrollment to the first grade on March 15 from 15:00, go to public services on the link -www.gosuslugi.ru/600426kak submit an application on the public services website: to register or have an account on the public services website from March 15 to go to the public services website and Fill out a draft application for acceptance on March23 at 00.00 Send a notice to receive a notification to the email address. Assignment will receive from public services to a single automated system (AIS) and will be registered in the journal of accepting applications at school. Maintened parents of future first -graders! Acceptance of children's education in first grade In an extraordinary and priority, having the right to preemptive admission as well as living in the fixed territory begins on March 23, 2023: at 00:00 on the public services website from 09:00 in the MFC and at the school at a personal visit, we will inform you that the submission of applications for admission in grade 2023- 2024 academic year at the school will be held according to the schedule: 23 March 2023 from 09.00 to 17.00 without a break of the office. 429.24 27 and March 28, 2023 - from 09.00 to 17.00 in the reception room (2nd floor). S. March 29, 2023, a full -time visit to submit applications will be carried out from 15.00 to 17.00 in the reception (2nd floor). Information on the territories assigned to schools can be found out On the sites of the management of the education of urban and municipal districts of the municipal regions of the region. How to submit an application on the public services website: to register or have an account on the public service website on March 15 to go to the public services website and fill out a draft application on March23 at 00.00 Send a notice to electronic The address of public services will be received from the public services website to a unified automated system (AIS) and will be registered in the journal of accepting applications at the school. On March 15, 2023, the Ministry of Education of the Novgorod Region will begin to work a hotline phone for children in grade 1: 8,8162- 50-10-10. Monday: Friday from 09.00 to 13.00 from 14.00 to 17.00. Rupped the behavior and procedure of the population when receiving the signal "Attention to everyone!" Transfer of the vacation of parents (legal representatives)! Additional holidays for students of the 1st grades are transferred for the period from 06.02.02.02 .2023 to 12.02.2023 In connection with the need to conduct preventive measures to prevent influenza and acute respiratory viral infections. The holidays were agreed with the founder. Netnesses on March 03, 2023 rule the reception of children in the first grade in the Novgorod region on January 17, 2023, the teacher of the general enlightenment teacher of the Education was awarded The departmental reward to the teacher of OBZH Gennady Starunov on October 01, 2022 The new places were opened on October 1, 2022 in our school, a solemn event was held on the opening of the newly created places of additional education of children ... September 20, 2022anketing of parents of students of students of 8 9th grades on the organization of career guidance on May 20 2022 A guests of the fairy -tale dedicated to the cultural heritage of the Novgorod Territory and the Novgorod tales on April 26, 2022222 22 22 222222s on May 03 June 2022 begins to participate in the All -Russian Olympiad of schoolchildren on April 01, 2022 Office of the professional skill of the city competition of professional skills on February 15, 2022fest Val "Visiting a fairy tale »The fairy tale is the festival" Visiting the Tale "the great Ustyug! February 15, 2022 Old Microphone Project" Golden Microphone. 3 season ”All we are coming together there are proposals for organizing the educational process or do you know how to make a school better? Write about the problem of the Calendar of events &lt;&lt; November 2023 &gt;&gt; PNVTSRCHTTSBVS 1 2 3 4 5 5 6 7 8 9 10 11 12 12 13 15 15 16 18 18 191 19 20 22 22 22 26 27 29 30 Useful reference all photo On the site with the consent of their owning law © MAOU "School No. 36" Creation of the site - 3xweb</v>
      </c>
    </row>
    <row r="375">
      <c r="A375" s="1" t="s">
        <v>1146</v>
      </c>
      <c r="B375" s="1" t="s">
        <v>1214</v>
      </c>
      <c r="D375" s="1">
        <v>15.0</v>
      </c>
      <c r="E375" s="4" t="s">
        <v>1167</v>
      </c>
      <c r="F375" s="1" t="s">
        <v>43</v>
      </c>
      <c r="G375" s="1" t="s">
        <v>1168</v>
      </c>
      <c r="H375" s="4" t="s">
        <v>1169</v>
      </c>
      <c r="I375" s="2">
        <v>1.0</v>
      </c>
      <c r="J375" s="5" t="str">
        <f>IFERROR(__xludf.DUMMYFUNCTION("GOOGLETRANSLATE(A375)"),"diary RU")</f>
        <v>diary RU</v>
      </c>
      <c r="K375" s="6" t="str">
        <f>IFERROR(__xludf.DUMMYFUNCTION("GOOGLETRANSLATE(B375)"),"RU Diary - Personal Account of the student - Compare the.ru")</f>
        <v>RU Diary - Personal Account of the student - Compare the.ru</v>
      </c>
      <c r="L375" s="5" t="str">
        <f>IFERROR(__xludf.DUMMYFUNCTION("GOOGLETRANSLATE(C375)"),"#VALUE!")</f>
        <v>#VALUE!</v>
      </c>
      <c r="M375" s="5" t="str">
        <f>IFERROR(__xludf.DUMMYFUNCTION("GOOGLETRANSLATE(G375)"),"Compare the selection and comparison of credit cards of credit cards Car insurance Calculator Calculator and CASCO Rating of insurance companies of the credit use of credit recovery of auto -credit Credit Credit Credit Credits online bankcrodins without c"&amp;"ertificates of real estate income with poor credit history of exchange of foreign currency exchange rates NG Banking Services Banking Covers on Banning -Supervision Options Supervision Mortgage of Travelers Insurance Aparties athletes Discard Medical Insu"&amp;"rance Critical Disease Craduation from a bite tick -luggage of the house and animal overthrow daching KBMRrating of insurance companies of insurance companies. Outputs about insurance companies on insurance storage online posts on crankcases without refus"&amp;"al from bad kizima without interest -free, borrowed borrowings for the deposit of Ptszami -long -term borrowing loans of the MFOspections FOOPOTETECIPENITIONAL CRIENTS for a mortgage online family mortgage with state -cervical vehicle housing housing cons"&amp;"truction. House -refinancing mortgages in new buildings Piccalculator of a mortgage of a mortgage without initial contributions on mortgages for a young family for a young family mortgage mortgage for Banking Service Banking Card Card Credit Credit Card C"&amp;"ard Card Credit Cards with Free Service Card Credit Cards with an instant decision of the Card of Cards without Outcredit cards with delivery cards without confirming an income card of an installmentar cards with cashbacks of banking records of banking ch"&amp;"ecks about banks Board of depository investment investment deposit deposit invoice to invest money and investment Investment insurance programs for life-saving insurance of Life-rending banking records banks of bankshakhi-rating Blackracies Conducting Off"&amp;"ice of Business Service Service Universal Conductors Quillingwed Registration Business-Ling-Gallery Services Services for Markets of Changes to IP and LLC LLC IPREETISITS BANKS ON BUSINESS OF BUSINESS OF BAST CONCLUSIONS ON THE BANCHOOKSHINALINAL Skillbox"&amp;" programmakesino-School management Analyticamarketing PROTEMING to the USE and OGED development for python1-programingq testing graphic-design-designing Language Curses about courses of schools of schools of schools of schools and response and response an"&amp;"d response of companies and games. Ting experts of the Creditan investigation of the insurance of lifting aids, we will save money to compare prices and save up to 5,500 ₽ Com bosom to place prices for 1 minute to place the banks ready to give out a loan "&amp;"on the right You are conditions of a card for 10 minutes 0%insurance of an insurance for a bankprise of 500 000 ₽ Credit rating of a credit history for the absence of delays and an error -free pay -off -class, the best conditions are the best conditions f"&amp;"or tourist insurance athletes Service 9 thousand. Responsive Often searchcifers of cash registering loan loan loans for cartridges on security for car loans on the security of real estate application For creditcredites with poor bickens without a certific"&amp;"ate of launcher, liner -term accounts with monthly payments to dollarshvallete deposits for retirees in euro -ranges in the yuanahpets on the deposit of the deposit of the hen There are a suburban boat mortgage with state support for a young family of a f"&amp;"amily in new buildings in new buildings in the new building cards to the best credit card cards without refusal cards with poor kyvirtual credit card cards installments with 100 % approval by instant solutions by conding cards with delivery cards Unionpay"&amp;"cobeiding Cards Card Card Card Card Card Cards with cashback cards for a child with free service cards of Mirsa Process by the residual -concrete cards for pensioner -concern cards Unionpaycobejing debit card -bearing -based maps for cartridges without pe"&amp;"rcentage without verification Online poses on a map without refusalsayamsim for ptszams without refusal from poor kions and promotional c do in the Mfostorovannannanikalchata OSAGOOSAGO ONLYKASKAROSKAING FOR LIFE -Building Life for Mortgage Supervision of"&amp;" Real Estate from accidents of cases of civicnutic codes Redites at 0%long -term microcreditic codes through public services business architecture business -register for business accounts for ipcredit for LLC Ekweingbank guarantees of food products for a "&amp;"medical medical insurance for the GoddMS with dentistry with telemedicine insurance from bite tick -pacing from critical illness from heart attack and stroke from racin -investment service to open up the overwhelming of the Onlineis for the IPREATIVE BROK"&amp;"ROGRABLIC score for legal limits NGRACTION OF THE CONTRODUCTURENCENT PROGNITION for the exam and OGESELS - In the mobile application, Implay, Open Open Services Online Controls Contacts Checks and Contacts Insurance Consure Evaluate your credit The possib"&amp;"ilities to use the QR -codal of the installation, enter the phone camera on the QR -KODO project of the project -Partner program of the agent -user agreement Politician Politicia of the Privacy of the Setanashi Expertsai Vacancies © 2009–2023 LLC ""Reflas"&amp;"is"". When using materials, a hyperlink on sravni.ru is required. TIN 7710718303 OGRN 1087746642774. 109544 Moscow Boulevard Enthusiasts House 26th floor ""Reflasis.ru"" operates activities in the IT field: the service provides online selection services a"&amp;"s advertising organizations - partners in the Internet using COOKIE files In order to provide users with more opportunities when visiting the site sravni.ru. Read more about the conditions of use.")</f>
        <v>Compare the selection and comparison of credit cards of credit cards Car insurance Calculator Calculator and CASCO Rating of insurance companies of the credit use of credit recovery of auto -credit Credit Credit Credit Credits online bankcrodins without certificates of real estate income with poor credit history of exchange of foreign currency exchange rates NG Banking Services Banking Covers on Banning -Supervision Options Supervision Mortgage of Travelers Insurance Aparties athletes Discard Medical Insurance Critical Disease Craduation from a bite tick -luggage of the house and animal overthrow daching KBMRrating of insurance companies of insurance companies. Outputs about insurance companies on insurance storage online posts on crankcases without refusal from bad kizima without interest -free, borrowed borrowings for the deposit of Ptszami -long -term borrowing loans of the MFOspections FOOPOTETECIPENITIONAL CRIENTS for a mortgage online family mortgage with state -cervical vehicle housing housing construction. House -refinancing mortgages in new buildings Piccalculator of a mortgage of a mortgage without initial contributions on mortgages for a young family for a young family mortgage mortgage for Banking Service Banking Card Card Credit Credit Card Card Card Credit Cards with Free Service Card Credit Cards with an instant decision of the Card of Cards without Outcredit cards with delivery cards without confirming an income card of an installmentar cards with cashbacks of banking records of banking checks about banks Board of depository investment investment deposit deposit invoice to invest money and investment Investment insurance programs for life-saving insurance of Life-rending banking records banks of bankshakhi-rating Blackracies Conducting Office of Business Service Service Universal Conductors Quillingwed Registration Business-Ling-Gallery Services Services for Markets of Changes to IP and LLC LLC IPREETISITS BANKS ON BUSINESS OF BUSINESS OF BAST CONCLUSIONS ON THE BANCHOOKSHINALINAL Skillbox programmakesino-School management Analyticamarketing PROTEMING to the USE and OGED development for python1-programingq testing graphic-design-designing Language Curses about courses of schools of schools of schools of schools and response and response and response of companies and games. Ting experts of the Creditan investigation of the insurance of lifting aids, we will save money to compare prices and save up to 5,500 ₽ Com bosom to place prices for 1 minute to place the banks ready to give out a loan on the right You are conditions of a card for 10 minutes 0%insurance of an insurance for a bankprise of 500 000 ₽ Credit rating of a credit history for the absence of delays and an error -free pay -off -class, the best conditions are the best conditions for tourist insurance athletes Service 9 thousand. Responsive Often searchcifers of cash registering loan loan loans for cartridges on security for car loans on the security of real estate application For creditcredites with poor bickens without a certificate of launcher, liner -term accounts with monthly payments to dollarshvallete deposits for retirees in euro -ranges in the yuanahpets on the deposit of the deposit of the hen There are a suburban boat mortgage with state support for a young family of a family in new buildings in new buildings in the new building cards to the best credit card cards without refusal cards with poor kyvirtual credit card cards installments with 100 % approval by instant solutions by conding cards with delivery cards Unionpaycobeiding Cards Card Card Card Card Card Cards with cashback cards for a child with free service cards of Mirsa Process by the residual -concrete cards for pensioner -concern cards Unionpaycobejing debit card -bearing -based maps for cartridges without percentage without verification Online poses on a map without refusalsayamsim for ptszams without refusal from poor kions and promotional c do in the Mfostorovannannanikalchata OSAGOOSAGO ONLYKASKAROSKAING FOR LIFE -Building Life for Mortgage Supervision of Real Estate from accidents of cases of civicnutic codes Redites at 0%long -term microcreditic codes through public services business architecture business -register for business accounts for ipcredit for LLC Ekweingbank guarantees of food products for a medical medical insurance for the GoddMS with dentistry with telemedicine insurance from bite tick -pacing from critical illness from heart attack and stroke from racin -investment service to open up the overwhelming of the Onlineis for the IPREATIVE BROKROGRABLIC score for legal limits NGRACTION OF THE CONTRODUCTURENCENT PROGNITION for the exam and OGESELS - In the mobile application, Implay, Open Open Services Online Controls Contacts Checks and Contacts Insurance Consure Evaluate your credit The possibilities to use the QR -codal of the installation, enter the phone camera on the QR -KODO project of the project -Partner program of the agent -user agreement Politician Politicia of the Privacy of the Setanashi Expertsai Vacancies © 2009–2023 LLC "Reflasis". When using materials, a hyperlink on sravni.ru is required. TIN 7710718303 OGRN 1087746642774. 109544 Moscow Boulevard Enthusiasts House 26th floor "Reflasis.ru" operates activities in the IT field: the service provides online selection services as advertising organizations - partners in the Internet using COOKIE files In order to provide users with more opportunities when visiting the site sravni.ru. Read more about the conditions of use.</v>
      </c>
    </row>
    <row r="376">
      <c r="A376" s="1" t="s">
        <v>1146</v>
      </c>
      <c r="B376" s="1" t="s">
        <v>1147</v>
      </c>
      <c r="C376" s="1" t="s">
        <v>1215</v>
      </c>
      <c r="D376" s="1">
        <v>17.0</v>
      </c>
      <c r="E376" s="4" t="s">
        <v>1216</v>
      </c>
      <c r="F376" s="1" t="s">
        <v>43</v>
      </c>
      <c r="I376" s="2">
        <v>1.0</v>
      </c>
      <c r="J376" s="5" t="str">
        <f>IFERROR(__xludf.DUMMYFUNCTION("GOOGLETRANSLATE(A376)"),"diary RU")</f>
        <v>diary RU</v>
      </c>
      <c r="K376" s="6" t="str">
        <f>IFERROR(__xludf.DUMMYFUNCTION("GOOGLETRANSLATE(B376)"),"Diary RU")</f>
        <v>Diary RU</v>
      </c>
      <c r="L376" s="5" t="str">
        <f>IFERROR(__xludf.DUMMYFUNCTION("GOOGLETRANSLATE(C376)"),"Authorization in Diary.ru for users of the Irkutsk region · The availability of a standard or confirmed account on the public services portal (register for ...")</f>
        <v>Authorization in Diary.ru for users of the Irkutsk region · The availability of a standard or confirmed account on the public services portal (register for ...</v>
      </c>
      <c r="M376" s="5" t="str">
        <f>IFERROR(__xludf.DUMMYFUNCTION("GOOGLETRANSLATE(G376)"),"#VALUE!")</f>
        <v>#VALUE!</v>
      </c>
    </row>
    <row r="377">
      <c r="A377" s="1" t="s">
        <v>1146</v>
      </c>
      <c r="B377" s="1" t="s">
        <v>1217</v>
      </c>
      <c r="C377" s="1" t="s">
        <v>1206</v>
      </c>
      <c r="D377" s="1">
        <v>28.0</v>
      </c>
      <c r="E377" s="4" t="s">
        <v>1207</v>
      </c>
      <c r="F377" s="1" t="s">
        <v>43</v>
      </c>
      <c r="G377" s="1" t="s">
        <v>448</v>
      </c>
      <c r="H377" s="4" t="s">
        <v>449</v>
      </c>
      <c r="I377" s="2">
        <v>1.0</v>
      </c>
      <c r="J377" s="5" t="str">
        <f>IFERROR(__xludf.DUMMYFUNCTION("GOOGLETRANSLATE(A377)"),"diary RU")</f>
        <v>diary RU</v>
      </c>
      <c r="K377" s="6" t="str">
        <f>IFERROR(__xludf.DUMMYFUNCTION("GOOGLETRANSLATE(B377)"),"Vacancies of the company Diary.ru - work in St.")</f>
        <v>Vacancies of the company Diary.ru - work in St.</v>
      </c>
      <c r="L377" s="5" t="str">
        <f>IFERROR(__xludf.DUMMYFUNCTION("GOOGLETRANSLATE(C377)"),"Work in the company Dote.ru. Information about the company and all open vacancies in St. Petersburg, Moscow.")</f>
        <v>Work in the company Dote.ru. Information about the company and all open vacancies in St. Petersburg, Moscow.</v>
      </c>
      <c r="M377" s="5" t="str">
        <f>IFERROR(__xludf.DUMMYFUNCTION("GOOGLETRANSLATE(G377)"),"Work in Moscow Search for personnel and publishing vacancies - HH.ru. Working with our site, you need to include JavaScript in your browser. Curi -mosquito -workers, ready -made resumes -wise advice, help, work to make a resumes -winging system finding an"&amp;" employee 65,757 425 haste1 4102 vacancies2 088 561 compliance with the phone so that employers can offer you work to confirm to confirm that you do not introduce the text from the picture: the other text of the text “continue” you confirm that you are fa"&amp;"miliarized with the “Agreement on the provision of assistance in employment (Offer)” Vacancies of the day of the day 7649 Vacanceism of the house83707 Vacancies 72000 to 89 000 000 ₽Rabotahr Moscow employee restaurant 50,000 to 70000 ₽ Dododo pizza (DPM N"&amp;"orth) Moskvalichny assistant psychologist 50,000 to 250,000 ₽ Guphanina Alina Borisovna Moskovaristat 74000 to 91000 ₽ Fleet Moscow Administrator in the hot yogi -2000 to 50,000 ₽Bikram .ru Yoga Moskvalichny driver 100,000 to 120,000 ₽ Hihitrova Anastasia"&amp;" Viktorovna Moskvannoye seller-cashier/Administrator 60,000 ₽ Bukhaev Yusup Sydemyeva Moskvypskor (guard) in the clinic 80,000 to 80,000 ₽ Krapetvei ₽ Defeditrum 87 000 to 121000 ₽rabotahr Moscow Moscow 60,000 to 140,000 ₽ Bukhaev Yusup Saidemeyeva Moscow"&amp;" -Semey driver to 1,20,000 to 140,000 ₽ INSITS Moskovo View all work in the Moscow Automobile Administrative Personnel Safe and Medium Management of the Raw Personnel Management Service -Schools Logiiiscence of entertainment of mass mediamarketing adverti"&amp;"sing PRMMedicin pharmaceuticals Education Production Service Service Service Production Service Maintenance Worker Personnel Trade Trade Clubs Fitness Salons Beauty Strategia Investment Consulting Storestroe Real Estate Sports Transportation Transportuisc"&amp;"ent Hotel Restaurant Management by personnel Training and Office of the Emergenary Gholoset in the rating 000 000 and more work in November with daily payments-welding November with a salary of 150 000 ₽ Vacancia November for managers with a salary of 150"&amp;" 000 ₽, not to spoil the impression of themselves with activity in social networks, to become an accountant from scratch ""R-Farm"": to live a full life and benefit people ""Pentorochka"": how to become the owner of a business and workshop for programmers"&amp;" for engineering for engineering for engineering for engineering The sales manager for directorship for administrator work for marketer work for design will be designed for lawyers in other cities in the Zagoryansk work in Moscow work in prompt work in lo"&amp;"ng -term work in driving work in shopatin work in Bobrov work in Mytishchkhnich work in the Khimki -work in Russia, most of the life of almost every of us. But nothing forever: it happens that one day you have to change the place of work and plunge with y"&amp;"our head in search of vacancies - I want to find a good alternative to the current position. Often when changing work, we think not only about changing the company but also about changing professional activities. And it is at these moments that the questi"&amp;"on arises: “How to find a good job in Moscow now? And most importantly, what should this work be? ”Showing it completely to solve such issues easily and quickly just go to hh.ru! On our website you can always find out the latest labor market news and also"&amp;" study a fresh review of salaries with which it is easy to evaluate what Positions should be aiming. If you have already determined the vacancies of which specialties you are interested in only you can create a resume and start searching for a dream work!"&amp;" It is most convenient to look for a job using our vacancies catalog: by clicking in the mouse, you will get a list of relevant and high -quality vacancies in the Moscow or other region of Russia. But this is not the only option for searching for work. On"&amp;" our site you can create an attractive resume and vacancies will begin to flock to you! And having combined both of these methods, you can get the fastest and most importantly effective way to search for work! Create a summary of the application vacancies"&amp;" answers to responses and access to a resume - always at your fingertips. Just enter the phone camera on the QR-CODDHUNTERO company of the company's vacancies for the site of the personal data of personal data-safety Headhunteretika and complianceheadHunt"&amp;"er Apartneadhunter of the provision of the service of the use of the site and articles of labor in the company of Russian serial workshops SE for applicants for reservations Service Prophorus. Processing Summies Summary for you to work for a production ca"&amp;"lendar expert recommendation with a young specialist for young specialists of the School School School Upon -residents of employees, consonant of the company, by professionals, near the metro notification in the Messengeryswitch to English © 2023 Hadhante"&amp;"r LLC, HH.ru information resource applies (information technologies for the provision of information on the systematization and analysis of information related to the preferences of users of the Internet. Russian Federation) Today on the site 1410102 vaca"&amp;"ncies 65757425 resume 2088561 Company and in a week 3611017 invitations subscribe to the Push notifications of HH.ru now subscribe now")</f>
        <v>Work in Moscow Search for personnel and publishing vacancies - HH.ru. Working with our site, you need to include JavaScript in your browser. Curi -mosquito -workers, ready -made resumes -wise advice, help, work to make a resumes -winging system finding an employee 65,757 425 haste1 4102 vacancies2 088 561 compliance with the phone so that employers can offer you work to confirm to confirm that you do not introduce the text from the picture: the other text of the text “continue” you confirm that you are familiarized with the “Agreement on the provision of assistance in employment (Offer)” Vacancies of the day of the day 7649 Vacanceism of the house83707 Vacancies 72000 to 89 000 000 ₽Rabotahr Moscow employee restaurant 50,000 to 70000 ₽ Dododo pizza (DPM North) Moskvalichny assistant psychologist 50,000 to 250,000 ₽ Guphanina Alina Borisovna Moskovaristat 74000 to 91000 ₽ Fleet Moscow Administrator in the hot yogi -2000 to 50,000 ₽Bikram .ru Yoga Moskvalichny driver 100,000 to 120,000 ₽ Hihitrova Anastasia Viktorovna Moskvannoye seller-cashier/Administrator 60,000 ₽ Bukhaev Yusup Sydemyeva Moskvypskor (guard) in the clinic 80,000 to 80,000 ₽ Krapetvei ₽ Defeditrum 87 000 to 121000 ₽rabotahr Moscow Moscow 60,000 to 140,000 ₽ Bukhaev Yusup Saidemeyeva Moscow -Semey driver to 1,20,000 to 140,000 ₽ INSITS Moskovo View all work in the Moscow Automobile Administrative Personnel Safe and Medium Management of the Raw Personnel Management Service -Schools Logiiiscence of entertainment of mass mediamarketing advertising PRMMedicin pharmaceuticals Education Production Service Service Service Production Service Maintenance Worker Personnel Trade Trade Clubs Fitness Salons Beauty Strategia Investment Consulting Storestroe Real Estate Sports Transportation Transportuiscent Hotel Restaurant Management by personnel Training and Office of the Emergenary Gholoset in the rating 000 000 and more work in November with daily payments-welding November with a salary of 150 000 ₽ Vacancia November for managers with a salary of 150 000 ₽, not to spoil the impression of themselves with activity in social networks, to become an accountant from scratch "R-Farm": to live a full life and benefit people "Pentorochka": how to become the owner of a business and workshop for programmers for engineering for engineering for engineering for engineering The sales manager for directorship for administrator work for marketer work for design will be designed for lawyers in other cities in the Zagoryansk work in Moscow work in prompt work in long -term work in driving work in shopatin work in Bobrov work in Mytishchkhnich work in the Khimki -work in Russia, most of the life of almost every of us. But nothing forever: it happens that one day you have to change the place of work and plunge with your head in search of vacancies - I want to find a good alternative to the current position. Often when changing work, we think not only about changing the company but also about changing professional activities. And it is at these moments that the question arises: “How to find a good job in Moscow now? And most importantly, what should this work be? ”Showing it completely to solve such issues easily and quickly just go to hh.ru! On our website you can always find out the latest labor market news and also study a fresh review of salaries with which it is easy to evaluate what Positions should be aiming. If you have already determined the vacancies of which specialties you are interested in only you can create a resume and start searching for a dream work! It is most convenient to look for a job using our vacancies catalog: by clicking in the mouse, you will get a list of relevant and high -quality vacancies in the Moscow or other region of Russia. But this is not the only option for searching for work. On our site you can create an attractive resume and vacancies will begin to flock to you! And having combined both of these methods, you can get the fastest and most importantly effective way to search for work! Create a summary of the application vacancies answers to responses and access to a resume - always at your fingertips. Just enter the phone camera on the QR-CODDHUNTERO company of the company's vacancies for the site of the personal data of personal data-safety Headhunteretika and complianceheadHunter Apartneadhunter of the provision of the service of the use of the site and articles of labor in the company of Russian serial workshops SE for applicants for reservations Service Prophorus. Processing Summies Summary for you to work for a production calendar expert recommendation with a young specialist for young specialists of the School School School Upon -residents of employees, consonant of the company, by professionals, near the metro notification in the Messengeryswitch to English © 2023 Hadhanter LLC, HH.ru information resource applies (information technologies for the provision of information on the systematization and analysis of information related to the preferences of users of the Internet. Russian Federation) Today on the site 1410102 vacancies 65757425 resume 2088561 Company and in a week 3611017 invitations subscribe to the Push notifications of HH.ru now subscribe now</v>
      </c>
    </row>
    <row r="378">
      <c r="A378" s="1" t="s">
        <v>1146</v>
      </c>
      <c r="B378" s="1" t="s">
        <v>1147</v>
      </c>
      <c r="C378" s="1" t="s">
        <v>1210</v>
      </c>
      <c r="D378" s="1">
        <v>30.0</v>
      </c>
      <c r="E378" s="4" t="s">
        <v>1211</v>
      </c>
      <c r="F378" s="1" t="s">
        <v>43</v>
      </c>
      <c r="G378" s="1" t="s">
        <v>1212</v>
      </c>
      <c r="H378" s="4" t="s">
        <v>1213</v>
      </c>
      <c r="I378" s="2">
        <v>1.0</v>
      </c>
      <c r="J378" s="5" t="str">
        <f>IFERROR(__xludf.DUMMYFUNCTION("GOOGLETRANSLATE(A378)"),"diary RU")</f>
        <v>diary RU</v>
      </c>
      <c r="K378" s="6" t="str">
        <f>IFERROR(__xludf.DUMMYFUNCTION("GOOGLETRANSLATE(B378)"),"Diary RU")</f>
        <v>Diary RU</v>
      </c>
      <c r="L378" s="5" t="str">
        <f>IFERROR(__xludf.DUMMYFUNCTION("GOOGLETRANSLATE(C378)"),"Diary.ru · Diary.ru - students · student diary - Diary. · Educational resources - online library contains almost all works that ...")</f>
        <v>Diary.ru · Diary.ru - students · student diary - Diary. · Educational resources - online library contains almost all works that ...</v>
      </c>
      <c r="M378" s="5" t="str">
        <f>IFERROR(__xludf.DUMMYFUNCTION("GOOGLETRANSLATE(G378)"),"School No. 36 Veliky Novgorod Site MAOU ""School No. 36"" is located at: https: //sh36-velikij-novgorod-r49.gosuslugi.ru/ Forequisitive communications for additional grades 5, grades77 -grades 9th grades10, grades1111, literature for summer reading, schoo"&amp;"l forms of SEARTIONAL behavior on the rules of road traffic on the rules of the road, security behavior at the objects of railway transportation and security measures on the reservoir in the autumn-winter duration of the use of pyrotechnicians. Little que"&amp;"stions for a minute for arriving from the territories of the DPR and LPR (legal representatives) of students in the 1st class in grade 1 in grade 10 in school-paying hot foods of primary class students Excellecontrol for the nutritional nouriseter for add"&amp;"itional education, the schedule of calls for 2022-2023 Tutorial year of distribution of consultation consultations Consults GIA - 9GIA - 11 support in development School-Mamathal supports Blackmarks for Documents to the school uniform, leave the children "&amp;"unattended the parental heart! News of the exploration of the Office of the Offenses of the Offenses of emotional dysfunction and suicidal intentions of social and pedagogical training of students of 9 11th grades for passing the examination Tactful secur"&amp;"ity of information about the educational organization Information security of the Center for Digital Education of Children “IT-Cub »The Center for Natural Science Education Derzhavin and I am the center of additional education Svetlana Borisovna -Director"&amp;" MAOU"" School No. 36 ""about School 2017, school No. 36 opened its doors for 1350 boys and girls who want to plunge into the world of possibilities of those wishing to understand and master the new one to express their own thoughts to make decisions To h"&amp;"elp each other. Nash the school is a high -tech educational institution in which technical teaching aids are combined with modern teaching technologies. This is a school in which today there is everything you need: multimedia complexes Interactive boards "&amp;"computers Plasma panels Lingapon Cabinet Developing training complexes Research laboratories and studio where a special emotionally attractive environment is created. Want to know about the school more to become a member of the construction of a modern di"&amp;"gital school? Come to study at our school! Ads! Viral hepatitis of viral hepatitis in matters and the answer healing camp of the work of the World of My Opportunities ""Dear Parents (legal representatives)! In June 1, he begins his work The school camp “T"&amp;"he World of My Opportunities” 8.30 is a meeting of children at the porch of the school. The educators will have a sign with the detachment number in which the classes that are included in this detachment will be indicated. The child has a child: replaceab"&amp;"le head cleaning shoes for records of a pencil case with accessories if the child is not a student of school No. 36, then it is necessary to bring a medical certificate. 1 detachment - students 1 A class + pre -school2 detachment - students 1B class + 1k "&amp;"class3 detachment - students 1 l class + 1 m class + students from the schools of the city4 detachment - students 2V class + 2m class5 - students 2B class + 2A class + 2l Class + 2K class + students from schools in the city6 Squad-students of 3 classes7 d"&amp;"etachment-students of 4 classes8 detachment-students of the 5th and 6th grades of the reception of children in grade 1 in 2023 in the Novgorod region !!! In order to submit an application for enrollment to the first grade on March 15 from 15:00, go to pub"&amp;"lic services on the link -www.gosuslugi.ru/600426kak submit an application on the public services website: to register or have an account on the public services website from March 15 to go to the public services website and Fill out a draft application fo"&amp;"r acceptance on March23 at 00.00 Send a notice to receive a notification to the email address. Assignment will receive from public services to a single automated system (AIS) and will be registered in the journal of accepting applications at school. Maint"&amp;"ened parents of future first -graders! Acceptance of children's education in first grade In an extraordinary and priority, having the right to preemptive admission as well as living in the fixed territory begins on March 23, 2023: at 00:00 on the public s"&amp;"ervices website from 09:00 in the MFC and at the school at a personal visit, we will inform you that the submission of applications for admission in grade 2023- 2024 academic year at the school will be held according to the schedule: 23 March 2023 from 09"&amp;".00 to 17.00 without a break of the office. 429.24 27 and March 28, 2023 - from 09.00 to 17.00 in the reception room (2nd floor). S. March 29, 2023, a full -time visit to submit applications will be carried out from 15.00 to 17.00 in the reception (2nd fl"&amp;"oor). Information on the territories assigned to schools can be found out On the sites of the management of the education of urban and municipal districts of the municipal regions of the region. How to submit an application on the public services website:"&amp;" to register or have an account on the public service website on March 15 to go to the public services website and fill out a draft application on March23 at 00.00 Send a notice to electronic The address of public services will be received from the public"&amp;" services website to a unified automated system (AIS) and will be registered in the journal of accepting applications at the school. On March 15, 2023, the Ministry of Education of the Novgorod Region will begin to work a hotline phone for children in gra"&amp;"de 1: 8,8162- 50-10-10. Monday: Friday from 09.00 to 13.00 from 14.00 to 17.00. Rupped the behavior and procedure of the population when receiving the signal ""Attention to everyone!"" Transfer of the vacation of parents (legal representatives)! Additiona"&amp;"l holidays for students of the 1st grades are transferred for the period from 06.02.02.02 .2023 to 12.02.2023 In connection with the need to conduct preventive measures to prevent influenza and acute respiratory viral infections. The holidays were agreed "&amp;"with the founder. Netnesses on March 03, 2023 rule the reception of children in the first grade in the Novgorod region on January 17, 2023, the teacher of the general enlightenment teacher of the Education was awarded The departmental reward to the teache"&amp;"r of OBZH Gennady Starunov on October 01, 2022 The new places were opened on October 1, 2022 in our school, a solemn event was held on the opening of the newly created places of additional education of children ... September 20, 2022anketing of parents of"&amp;" students of students of 8 9th grades on the organization of career guidance on May 20 2022 A guests of the fairy -tale dedicated to the cultural heritage of the Novgorod Territory and the Novgorod tales on April 26, 2022222 22 22 222222s on May 03 June 2"&amp;"022 begins to participate in the All -Russian Olympiad of schoolchildren on April 01, 2022 Office of the professional skill of the city competition of professional skills on February 15, 2022fest Val ""Visiting a fairy tale »The fairy tale is the festival"&amp;""" Visiting the Tale ""the great Ustyug! February 15, 2022 Old Microphone Project"" Golden Microphone. 3 season ”All we are coming together there are proposals for organizing the educational process or do you know how to make a school better? Write about "&amp;"the problem of the Calendar of events &lt;&lt; November 2023 &gt;&gt; PNVTSRCHTTSBVS 1 2 3 4 5 5 6 7 8 9 10 11 12 12 13 15 15 16 18 18 191 19 20 22 22 22 26 27 29 30 Useful reference all photo On the site with the consent of their owning law © MAOU ""School No. 36"" "&amp;"Creation of the site - 3xweb")</f>
        <v>School No. 36 Veliky Novgorod Site MAOU "School No. 36" is located at: https: //sh36-velikij-novgorod-r49.gosuslugi.ru/ Forequisitive communications for additional grades 5, grades77 -grades 9th grades10, grades1111, literature for summer reading, school forms of SEARTIONAL behavior on the rules of road traffic on the rules of the road, security behavior at the objects of railway transportation and security measures on the reservoir in the autumn-winter duration of the use of pyrotechnicians. Little questions for a minute for arriving from the territories of the DPR and LPR (legal representatives) of students in the 1st class in grade 1 in grade 10 in school-paying hot foods of primary class students Excellecontrol for the nutritional nouriseter for additional education, the schedule of calls for 2022-2023 Tutorial year of distribution of consultation consultations Consults GIA - 9GIA - 11 support in development School-Mamathal supports Blackmarks for Documents to the school uniform, leave the children unattended the parental heart! News of the exploration of the Office of the Offenses of the Offenses of emotional dysfunction and suicidal intentions of social and pedagogical training of students of 9 11th grades for passing the examination Tactful security of information about the educational organization Information security of the Center for Digital Education of Children “IT-Cub »The Center for Natural Science Education Derzhavin and I am the center of additional education Svetlana Borisovna -Director MAOU" School No. 36 "about School 2017, school No. 36 opened its doors for 1350 boys and girls who want to plunge into the world of possibilities of those wishing to understand and master the new one to express their own thoughts to make decisions To help each other. Nash the school is a high -tech educational institution in which technical teaching aids are combined with modern teaching technologies. This is a school in which today there is everything you need: multimedia complexes Interactive boards computers Plasma panels Lingapon Cabinet Developing training complexes Research laboratories and studio where a special emotionally attractive environment is created. Want to know about the school more to become a member of the construction of a modern digital school? Come to study at our school! Ads! Viral hepatitis of viral hepatitis in matters and the answer healing camp of the work of the World of My Opportunities "Dear Parents (legal representatives)! In June 1, he begins his work The school camp “The World of My Opportunities” 8.30 is a meeting of children at the porch of the school. The educators will have a sign with the detachment number in which the classes that are included in this detachment will be indicated. The child has a child: replaceable head cleaning shoes for records of a pencil case with accessories if the child is not a student of school No. 36, then it is necessary to bring a medical certificate. 1 detachment - students 1 A class + pre -school2 detachment - students 1B class + 1k class3 detachment - students 1 l class + 1 m class + students from the schools of the city4 detachment - students 2V class + 2m class5 - students 2B class + 2A class + 2l Class + 2K class + students from schools in the city6 Squad-students of 3 classes7 detachment-students of 4 classes8 detachment-students of the 5th and 6th grades of the reception of children in grade 1 in 2023 in the Novgorod region !!! In order to submit an application for enrollment to the first grade on March 15 from 15:00, go to public services on the link -www.gosuslugi.ru/600426kak submit an application on the public services website: to register or have an account on the public services website from March 15 to go to the public services website and Fill out a draft application for acceptance on March23 at 00.00 Send a notice to receive a notification to the email address. Assignment will receive from public services to a single automated system (AIS) and will be registered in the journal of accepting applications at school. Maintened parents of future first -graders! Acceptance of children's education in first grade In an extraordinary and priority, having the right to preemptive admission as well as living in the fixed territory begins on March 23, 2023: at 00:00 on the public services website from 09:00 in the MFC and at the school at a personal visit, we will inform you that the submission of applications for admission in grade 2023- 2024 academic year at the school will be held according to the schedule: 23 March 2023 from 09.00 to 17.00 without a break of the office. 429.24 27 and March 28, 2023 - from 09.00 to 17.00 in the reception room (2nd floor). S. March 29, 2023, a full -time visit to submit applications will be carried out from 15.00 to 17.00 in the reception (2nd floor). Information on the territories assigned to schools can be found out On the sites of the management of the education of urban and municipal districts of the municipal regions of the region. How to submit an application on the public services website: to register or have an account on the public service website on March 15 to go to the public services website and fill out a draft application on March23 at 00.00 Send a notice to electronic The address of public services will be received from the public services website to a unified automated system (AIS) and will be registered in the journal of accepting applications at the school. On March 15, 2023, the Ministry of Education of the Novgorod Region will begin to work a hotline phone for children in grade 1: 8,8162- 50-10-10. Monday: Friday from 09.00 to 13.00 from 14.00 to 17.00. Rupped the behavior and procedure of the population when receiving the signal "Attention to everyone!" Transfer of the vacation of parents (legal representatives)! Additional holidays for students of the 1st grades are transferred for the period from 06.02.02.02 .2023 to 12.02.2023 In connection with the need to conduct preventive measures to prevent influenza and acute respiratory viral infections. The holidays were agreed with the founder. Netnesses on March 03, 2023 rule the reception of children in the first grade in the Novgorod region on January 17, 2023, the teacher of the general enlightenment teacher of the Education was awarded The departmental reward to the teacher of OBZH Gennady Starunov on October 01, 2022 The new places were opened on October 1, 2022 in our school, a solemn event was held on the opening of the newly created places of additional education of children ... September 20, 2022anketing of parents of students of students of 8 9th grades on the organization of career guidance on May 20 2022 A guests of the fairy -tale dedicated to the cultural heritage of the Novgorod Territory and the Novgorod tales on April 26, 2022222 22 22 222222s on May 03 June 2022 begins to participate in the All -Russian Olympiad of schoolchildren on April 01, 2022 Office of the professional skill of the city competition of professional skills on February 15, 2022fest Val "Visiting a fairy tale »The fairy tale is the festival" Visiting the Tale "the great Ustyug! February 15, 2022 Old Microphone Project" Golden Microphone. 3 season ”All we are coming together there are proposals for organizing the educational process or do you know how to make a school better? Write about the problem of the Calendar of events &lt;&lt; November 2023 &gt;&gt; PNVTSRCHTTSBVS 1 2 3 4 5 5 6 7 8 9 10 11 12 12 13 15 15 16 18 18 191 19 20 22 22 22 26 27 29 30 Useful reference all photo On the site with the consent of their owning law © MAOU "School No. 36" Creation of the site - 3xweb</v>
      </c>
    </row>
    <row r="379">
      <c r="A379" s="1" t="s">
        <v>1218</v>
      </c>
      <c r="B379" s="1" t="s">
        <v>1219</v>
      </c>
      <c r="C379" s="1" t="s">
        <v>1220</v>
      </c>
      <c r="D379" s="1">
        <v>1.0</v>
      </c>
      <c r="E379" s="4" t="s">
        <v>1221</v>
      </c>
      <c r="F379" s="1" t="s">
        <v>16</v>
      </c>
      <c r="I379" s="2">
        <v>3.0</v>
      </c>
      <c r="J379" s="5" t="str">
        <f>IFERROR(__xludf.DUMMYFUNCTION("GOOGLETRANSLATE(A379)"),"DNS")</f>
        <v>DNS</v>
      </c>
      <c r="K379" s="6" t="str">
        <f>IFERROR(__xludf.DUMMYFUNCTION("GOOGLETRANSLATE(B379)"),"DNS - online store of digital and household appliances for ...")</f>
        <v>DNS - online store of digital and household appliances for ...</v>
      </c>
      <c r="L379" s="5" t="str">
        <f>IFERROR(__xludf.DUMMYFUNCTION("GOOGLETRANSLATE(C379)"),"A large assortment of electronics, digital and household appliances, as well as home goods, well-known brands in the DNS online store at excellent prices.")</f>
        <v>A large assortment of electronics, digital and household appliances, as well as home goods, well-known brands in the DNS online store at excellent prices.</v>
      </c>
      <c r="M379" s="5" t="str">
        <f>IFERROR(__xludf.DUMMYFUNCTION("GOOGLETRANSLATE(G379)"),"#VALUE!")</f>
        <v>#VALUE!</v>
      </c>
    </row>
    <row r="380">
      <c r="A380" s="1" t="s">
        <v>1218</v>
      </c>
      <c r="B380" s="1" t="s">
        <v>1222</v>
      </c>
      <c r="C380" s="1" t="s">
        <v>1223</v>
      </c>
      <c r="D380" s="1">
        <v>2.0</v>
      </c>
      <c r="E380" s="4" t="s">
        <v>1224</v>
      </c>
      <c r="F380" s="1" t="s">
        <v>16</v>
      </c>
      <c r="G380" s="1" t="s">
        <v>34</v>
      </c>
      <c r="H380" s="4" t="s">
        <v>35</v>
      </c>
      <c r="I380" s="2">
        <v>3.0</v>
      </c>
      <c r="J380" s="5" t="str">
        <f>IFERROR(__xludf.DUMMYFUNCTION("GOOGLETRANSLATE(A380)"),"DNS")</f>
        <v>DNS</v>
      </c>
      <c r="K380" s="6" t="str">
        <f>IFERROR(__xludf.DUMMYFUNCTION("GOOGLETRANSLATE(B380)"),"DNS 2023 store chain")</f>
        <v>DNS 2023 store chain</v>
      </c>
      <c r="L380" s="5" t="str">
        <f>IFERROR(__xludf.DUMMYFUNCTION("GOOGLETRANSLATE(C380)"),"The official page of the company. DNS is one of the leaders of the digital retail of Russia. In 1998, the company opened its first computer store in the city ...")</f>
        <v>The official page of the company. DNS is one of the leaders of the digital retail of Russia. In 1998, the company opened its first computer store in the city ...</v>
      </c>
      <c r="M380" s="5" t="str">
        <f>IFERROR(__xludf.DUMMYFUNCTION("GOOGLETRANSLATE(G380)"),"VK.com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81">
      <c r="A381" s="1" t="s">
        <v>1218</v>
      </c>
      <c r="B381" s="1" t="s">
        <v>1225</v>
      </c>
      <c r="C381" s="1" t="s">
        <v>1226</v>
      </c>
      <c r="D381" s="1">
        <v>3.0</v>
      </c>
      <c r="E381" s="4" t="s">
        <v>1227</v>
      </c>
      <c r="F381" s="1" t="s">
        <v>16</v>
      </c>
      <c r="G381" s="1" t="s">
        <v>31</v>
      </c>
      <c r="H381" s="4" t="s">
        <v>32</v>
      </c>
      <c r="I381" s="2">
        <v>1.0</v>
      </c>
      <c r="J381" s="5" t="str">
        <f>IFERROR(__xludf.DUMMYFUNCTION("GOOGLETRANSLATE(A381)"),"DNS")</f>
        <v>DNS</v>
      </c>
      <c r="K381" s="6" t="str">
        <f>IFERROR(__xludf.DUMMYFUNCTION("GOOGLETRANSLATE(B381)"),"DNS - Wikipedia")</f>
        <v>DNS - Wikipedia</v>
      </c>
      <c r="L381" s="5" t="str">
        <f>IFERROR(__xludf.DUMMYFUNCTION("GOOGLETRANSLATE(C381)"),"DNS (Eng. Domain Name System ""Demole System"") - a computer distributed system for obtaining information about domains. Most often used for ...")</f>
        <v>DNS (Eng. Domain Name System "Demole System") - a computer distributed system for obtaining information about domains. Most often used for ...</v>
      </c>
      <c r="M381" s="5" t="str">
        <f>IFERROR(__xludf.DUMMYFUNCTION("GOOGLETRANSLATE(G381)"),"Wikipedia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82">
      <c r="A382" s="1" t="s">
        <v>1218</v>
      </c>
      <c r="B382" s="1" t="s">
        <v>1228</v>
      </c>
      <c r="C382" s="1" t="s">
        <v>1229</v>
      </c>
      <c r="D382" s="1">
        <v>4.0</v>
      </c>
      <c r="E382" s="4" t="s">
        <v>1230</v>
      </c>
      <c r="F382" s="1" t="s">
        <v>16</v>
      </c>
      <c r="I382" s="2">
        <v>3.0</v>
      </c>
      <c r="J382" s="5" t="str">
        <f>IFERROR(__xludf.DUMMYFUNCTION("GOOGLETRANSLATE(A382)"),"DNS")</f>
        <v>DNS</v>
      </c>
      <c r="K382" s="6" t="str">
        <f>IFERROR(__xludf.DUMMYFUNCTION("GOOGLETRANSLATE(B382)"),"DNS shops in Vladivostok on the map")</f>
        <v>DNS shops in Vladivostok on the map</v>
      </c>
      <c r="L382" s="5" t="str">
        <f>IFERROR(__xludf.DUMMYFUNCTION("GOOGLETRANSLATE(C382)"),"DNS shops: addresses on the map, ☎ phones, sites, hours of work, ☆ reviews, photos, ⚑ Search for travel by city transport and cars.")</f>
        <v>DNS shops: addresses on the map, ☎ phones, sites, hours of work, ☆ reviews, photos, ⚑ Search for travel by city transport and cars.</v>
      </c>
      <c r="M382" s="5" t="str">
        <f>IFERROR(__xludf.DUMMYFUNCTION("GOOGLETRANSLATE(G382)"),"#VALUE!")</f>
        <v>#VALUE!</v>
      </c>
    </row>
    <row r="383">
      <c r="A383" s="1" t="s">
        <v>1218</v>
      </c>
      <c r="B383" s="1" t="s">
        <v>1231</v>
      </c>
      <c r="C383" s="1" t="s">
        <v>1232</v>
      </c>
      <c r="D383" s="1">
        <v>5.0</v>
      </c>
      <c r="E383" s="4" t="s">
        <v>1233</v>
      </c>
      <c r="F383" s="1" t="s">
        <v>16</v>
      </c>
      <c r="I383" s="2">
        <v>3.0</v>
      </c>
      <c r="J383" s="5" t="str">
        <f>IFERROR(__xludf.DUMMYFUNCTION("GOOGLETRANSLATE(A383)"),"DNS")</f>
        <v>DNS</v>
      </c>
      <c r="K383" s="6" t="str">
        <f>IFERROR(__xludf.DUMMYFUNCTION("GOOGLETRANSLATE(B383)"),"DNS stores in Tyumen on the map")</f>
        <v>DNS stores in Tyumen on the map</v>
      </c>
      <c r="L383" s="5" t="str">
        <f>IFERROR(__xludf.DUMMYFUNCTION("GOOGLETRANSLATE(C383)"),"DNS stores: Addresses on the map, ☎ phones, sites, hours of work, ☆ reviews, photos, ⚑ Search for travel by city transport and cars.")</f>
        <v>DNS stores: Addresses on the map, ☎ phones, sites, hours of work, ☆ reviews, photos, ⚑ Search for travel by city transport and cars.</v>
      </c>
      <c r="M383" s="5" t="str">
        <f>IFERROR(__xludf.DUMMYFUNCTION("GOOGLETRANSLATE(G383)"),"#VALUE!")</f>
        <v>#VALUE!</v>
      </c>
    </row>
    <row r="384">
      <c r="A384" s="1" t="s">
        <v>1218</v>
      </c>
      <c r="B384" s="1" t="s">
        <v>1234</v>
      </c>
      <c r="D384" s="1">
        <v>6.0</v>
      </c>
      <c r="E384" s="4" t="s">
        <v>1235</v>
      </c>
      <c r="F384" s="1" t="s">
        <v>16</v>
      </c>
      <c r="I384" s="2">
        <v>3.0</v>
      </c>
      <c r="J384" s="5" t="str">
        <f>IFERROR(__xludf.DUMMYFUNCTION("GOOGLETRANSLATE(A384)"),"DNS")</f>
        <v>DNS</v>
      </c>
      <c r="K384" s="6" t="str">
        <f>IFERROR(__xludf.DUMMYFUNCTION("GOOGLETRANSLATE(B384)"),"DNS (DNS) Vladivostok: Online magazine. Catalog ...")</f>
        <v>DNS (DNS) Vladivostok: Online magazine. Catalog ...</v>
      </c>
      <c r="L384" s="5" t="str">
        <f>IFERROR(__xludf.DUMMYFUNCTION("GOOGLETRANSLATE(C384)"),"#VALUE!")</f>
        <v>#VALUE!</v>
      </c>
      <c r="M384" s="5" t="str">
        <f>IFERROR(__xludf.DUMMYFUNCTION("GOOGLETRANSLATE(G384)"),"#VALUE!")</f>
        <v>#VALUE!</v>
      </c>
    </row>
    <row r="385">
      <c r="A385" s="1" t="s">
        <v>1218</v>
      </c>
      <c r="B385" s="1" t="s">
        <v>1236</v>
      </c>
      <c r="C385" s="1" t="s">
        <v>1237</v>
      </c>
      <c r="D385" s="1">
        <v>7.0</v>
      </c>
      <c r="E385" s="4" t="s">
        <v>1238</v>
      </c>
      <c r="F385" s="1" t="s">
        <v>16</v>
      </c>
      <c r="G385" s="1" t="s">
        <v>336</v>
      </c>
      <c r="H385" s="4" t="s">
        <v>453</v>
      </c>
      <c r="I385" s="2">
        <v>3.0</v>
      </c>
      <c r="J385" s="5" t="str">
        <f>IFERROR(__xludf.DUMMYFUNCTION("GOOGLETRANSLATE(A385)"),"DNS")</f>
        <v>DNS</v>
      </c>
      <c r="K385" s="6" t="str">
        <f>IFERROR(__xludf.DUMMYFUNCTION("GOOGLETRANSLATE(B385)"),"Novosibirsk addresses of DNS stores in Novosibirsk on ...")</f>
        <v>Novosibirsk addresses of DNS stores in Novosibirsk on ...</v>
      </c>
      <c r="L385" s="5" t="str">
        <f>IFERROR(__xludf.DUMMYFUNCTION("GOOGLETRANSLATE(C385)"),"Novosibirsk Addresses of DNS stores in Novosibirsk, Yandex maps: phones, hours of work, photos, inputs, reviews how to get in transport or go on foot.")</f>
        <v>Novosibirsk Addresses of DNS stores in Novosibirsk, Yandex maps: phones, hours of work, photos, inputs, reviews how to get in transport or go on foot.</v>
      </c>
      <c r="M385" s="5" t="str">
        <f>IFERROR(__xludf.DUMMYFUNCTION("GOOGLETRANSLATE(G385)"),"Oh!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386">
      <c r="A386" s="1" t="s">
        <v>1218</v>
      </c>
      <c r="B386" s="1" t="s">
        <v>1239</v>
      </c>
      <c r="C386" s="1" t="s">
        <v>1240</v>
      </c>
      <c r="D386" s="1">
        <v>8.0</v>
      </c>
      <c r="E386" s="4" t="s">
        <v>1241</v>
      </c>
      <c r="F386" s="1" t="s">
        <v>16</v>
      </c>
      <c r="G386" s="1" t="s">
        <v>1239</v>
      </c>
      <c r="H386" s="4" t="s">
        <v>1242</v>
      </c>
      <c r="I386" s="2">
        <v>3.0</v>
      </c>
      <c r="J386" s="5" t="str">
        <f>IFERROR(__xludf.DUMMYFUNCTION("GOOGLETRANSLATE(A386)"),"DNS")</f>
        <v>DNS</v>
      </c>
      <c r="K386" s="6" t="str">
        <f>IFERROR(__xludf.DUMMYFUNCTION("GOOGLETRANSLATE(B386)"),"DNS Group - DNS group of companies")</f>
        <v>DNS Group - DNS group of companies</v>
      </c>
      <c r="L386" s="5" t="str">
        <f>IFERROR(__xludf.DUMMYFUNCTION("GOOGLETRANSLATE(C386)"),"DNS Group - We do more accessible goods and services, build modern housing and logistics complexes, develop production and training centers.")</f>
        <v>DNS Group - We do more accessible goods and services, build modern housing and logistics complexes, develop production and training centers.</v>
      </c>
      <c r="M386" s="5" t="str">
        <f>IFERROR(__xludf.DUMMYFUNCTION("GOOGLETRANSLATE(G386)"),"DNS Group - DNS group of companies")</f>
        <v>DNS Group - DNS group of companies</v>
      </c>
    </row>
    <row r="387">
      <c r="A387" s="1" t="s">
        <v>1218</v>
      </c>
      <c r="B387" s="1" t="s">
        <v>1243</v>
      </c>
      <c r="C387" s="1" t="s">
        <v>1244</v>
      </c>
      <c r="D387" s="1">
        <v>9.0</v>
      </c>
      <c r="E387" s="4" t="s">
        <v>1245</v>
      </c>
      <c r="F387" s="1" t="s">
        <v>16</v>
      </c>
      <c r="G387" s="1" t="s">
        <v>1246</v>
      </c>
      <c r="H387" s="4" t="s">
        <v>1247</v>
      </c>
      <c r="I387" s="2">
        <v>3.0</v>
      </c>
      <c r="J387" s="5" t="str">
        <f>IFERROR(__xludf.DUMMYFUNCTION("GOOGLETRANSLATE(A387)"),"DNS")</f>
        <v>DNS</v>
      </c>
      <c r="K387" s="6" t="str">
        <f>IFERROR(__xludf.DUMMYFUNCTION("GOOGLETRANSLATE(B387)"),"DNS - Krasnodar")</f>
        <v>DNS - Krasnodar</v>
      </c>
      <c r="L387" s="5" t="str">
        <f>IFERROR(__xludf.DUMMYFUNCTION("GOOGLETRANSLATE(C387)"),"DNS is one of the leaders in the market for the sale of digital and household appliances in Russia. Today it is represented in more than 400 cities. In the assortment of stores you ...")</f>
        <v>DNS is one of the leaders in the market for the sale of digital and household appliances in Russia. Today it is represented in more than 400 cities. In the assortment of stores you ...</v>
      </c>
      <c r="M387" s="5" t="str">
        <f>IFERROR(__xludf.DUMMYFUNCTION("GOOGLETRANSLATE(G387)"),"Trading Quarter ""City Center"" Krasnodar st. Red 176 88612012088 | Official website of the shopping center for sale stores discounts and promotions shops and supermarkets Rest and entertainment of cafes and restaurants of shopping. Krasnodar st. Red 1761"&amp;"0: 00-22: 008 (861) 201-20-88 menus of food in the online menu-menu food in the online menu is open from 10:00 to 22:00 Krasnodar st. Red 176 8 (861) 201-20-88 Support Service for the storefisha share aedmarket School-navigation service Support to order t"&amp;"o order food in the online menu to pay for the parking lot more fascinated in more detail Hand Made Market in the City Code of City City City City City City Complete Shoping all shops stores stores. us Women to men grow where to eat children to get over t"&amp;"he service for animals to go to all categories of Afishavce events 12.11 at 16:30 Maintain your team! 12.11 at 13:00 ""Sea Battle"" on the stage of the Fudmarket !11 Bardy evening -made Friday! 05.11 Musical evening 05:00 p.m. Children's interactive ""Aut"&amp;"umn holidays!"" Festive program 04.11 First Friday November! Bard of Saturday performances in November! All promotions and discounts of the promotion buy with a huge discount! From November 7, 2023 to November 19, 2023, give comfort to your pets! From Nov"&amp;"ember 8, 2023 to January 31, 2024 Discounts at Lady and Hooligan from November 5, 2023 to November 11, 2023 Favorite goods are more profitable with the Crossroads card! From November 7, 2023 to November 14, 2023, Promusic shopping day from November 11, 20"&amp;"23 to November 12, 2023 Favorable purchases with the Crossroads card! From October 31, 2023 to November 7, 2023, terribly beautiful smiles from October 30, 2023 to November 5, 2023 GIPFEL gives 1,500 purchases from October 31, 2023 to November 6, 2023 A n"&amp;"ew set of tea mugs! From October 25, 2023 to November 5, 2023 Halloween in DNS! From October 27, 2023 to December 8, 2023 All shares on the shopping center are in more detail this place of meeting and shopping for the whole family. The City Center has a c"&amp;"ozy interior and atmosphere where you can make purchases to relax in a cafe with friends. Sign up for a newsletter to keep an eye on promotions and news to subscribe by pressing the “Subscribe” button, I give my consent to process my personal data in acco"&amp;"rdance with the Federal Law of July 27, 2006 No. 152-ФЗ “On Personal Data” on the basis and for purposes Leave your e-mail certain in accordance with the processing of personal data and we will send you interesting news and the rally to eat restaurants br"&amp;"eakfast and sweet-worshipers Fastfood food nutrition of a European cuisine cuisine cuisine / Freshi / Cocktheiliva restaurants is all more details for ordering the food online to order everything you want more and more. Food online viewing the institution"&amp;"s of VKontakteCentergorodamam in a gift! We give a bouquet! More precisely, two bouquets at once !!!! Classic - from the flowers from the “Bouquet” shop “Bouquet” flower workshop and ... centergorodically brilliantly! We begin to prepare for the New Year'"&amp;"s Eve. No, no early. You asked us to make a selection of unusual but stylish outfits - ... Centergoroda and let the whole world wait. When it is important to hide in a comfortable house - there is Home Fashion @Home_Fashion23. Textiles and utensils for .."&amp;". Centergoroda Male shopping is quick shopping! And in our “City Center” we have such a store for decisive ... Centergoroda is a smile! Seeing ... with a detailed plan for the treatment of all teeth! In the Only Dent dentistry, the “Acquaintance with the "&amp;"Doctor” campaign has started. ... Centergoroda has time to put on all the best at once. Because it got cold! And for the top you already need a blouse on a blouse of a blouse on a blouse - can we start a Centergoroda raincoat at first? Trying! Open select"&amp;" - a new seasonal menu in the ""Bread Stories"" @breadstories, I soup - pumpkin with ... centergoroda with such requests - to us. In the only place in the city where you can buy shoes or an apartment where you can delicious ... Centergoroda -plate wears n"&amp;"ot only superheroes! We present a selection of the most relevant clothes for the fall! R rainches Trengi jackets. ... Centergoroda ""Forget all you knew about tea. We go to our new"" Give Tea ""store Daikha in the city center where they know about tea, th"&amp;"is is what is neither in ... to subscribe to the Reviews of Yaroslav Artsimovich A wonderful place! You can eat deliciously and eat tasty and eat and eat tasty and eat Buy something you need. Enterly entertained. Lyona Popova is a very beautiful shopping "&amp;"center. A lot of space and this is very cool. A good selection of stores! Valentina mikhaylo is always purely beautiful scenery on the street always children's slides and attractions. Many street foods for every taste. And a variety of stores Inside Tk. O"&amp;"lga Totskaya is a great place in the city. Stores products. Very beautiful restaurants of cafes. You will have a good rest. Ooksana pu classroom in the very center of the city. Many different shops and food zone can always have a delicious snack of love o"&amp;"f Ilyins. I will especially note a free children's town and underground parking lots on which the first two hours - free! Daria Polina atmospheric shopping centers in the center of several buildings. There is a food market of a cafe with various furniture"&amp;" -sergiga biryukovs almost the only place in which a resident of Novomishastskaya for a second represents himself in Milan. Well, so nice. It is necessary for such places more places to the city - the eye exclusively caresses such a kindergarten, an excel"&amp;"lent location of the underground parking is clean and accurately. The possibility of shopping in different categories of goods. A good place to hold a meeting and lunch. Sabina of Gubiev live over the most shopping center you feel in the epicenter of an a"&amp;"ctive mini -town in e - where to take a walk there is a cute courtyard where you can have a bite to eat and issue the delivery of the beauty salons of the crossroads near the gallery and the park. Kirill 10rd The unexpected location of the shopping center"&amp;" is very beautiful. You can take a walk and celebrate the holiday in some cafe. Alexander Samoshkin I like the fact that there are many those who you often see and you can take a walk with those who you love here a good gym center FIT TUNTER CINABON Resta"&amp;"urant, etc. Reviews of the city center - this ...? A convenient place for work and meetings to watch more than the tenant in Tkkontaktyl TKREPLIL TKREPLICE Politics Political Policy of Confidentiality for the processing of personal data-specific assessmen"&amp;"t of working conditions 8 (861) 201-20-88 Call me back © 2023 The City Center Trade quarter. Lotus Plus JSC Legal address: 350020 Krasnodar Territory G.O. City of Krasnodar G. Krasnodar st. Red d. 176 pp. And office 20 development of CT")</f>
        <v>Trading Quarter "City Center" Krasnodar st. Red 176 88612012088 | Official website of the shopping center for sale stores discounts and promotions shops and supermarkets Rest and entertainment of cafes and restaurants of shopping. Krasnodar st. Red 17610: 00-22: 008 (861) 201-20-88 menus of food in the online menu-menu food in the online menu is open from 10:00 to 22:00 Krasnodar st. Red 176 8 (861) 201-20-88 Support Service for the storefisha share aedmarket School-navigation service Support to order to order food in the online menu to pay for the parking lot more fascinated in more detail Hand Made Market in the City Code of City City City City City City Complete Shoping all shops stores stores. us Women to men grow where to eat children to get over the service for animals to go to all categories of Afishavce events 12.11 at 16:30 Maintain your team! 12.11 at 13:00 "Sea Battle" on the stage of the Fudmarket !11 Bardy evening -made Friday! 05.11 Musical evening 05:00 p.m. Children's interactive "Autumn holidays!" Festive program 04.11 First Friday November! Bard of Saturday performances in November! All promotions and discounts of the promotion buy with a huge discount! From November 7, 2023 to November 19, 2023, give comfort to your pets! From November 8, 2023 to January 31, 2024 Discounts at Lady and Hooligan from November 5, 2023 to November 11, 2023 Favorite goods are more profitable with the Crossroads card! From November 7, 2023 to November 14, 2023, Promusic shopping day from November 11, 2023 to November 12, 2023 Favorable purchases with the Crossroads card! From October 31, 2023 to November 7, 2023, terribly beautiful smiles from October 30, 2023 to November 5, 2023 GIPFEL gives 1,500 purchases from October 31, 2023 to November 6, 2023 A new set of tea mugs! From October 25, 2023 to November 5, 2023 Halloween in DNS! From October 27, 2023 to December 8, 2023 All shares on the shopping center are in more detail this place of meeting and shopping for the whole family. The City Center has a cozy interior and atmosphere where you can make purchases to relax in a cafe with friends. Sign up for a newsletter to keep an eye on promotions and news to subscribe by pressing the “Subscribe” button, I give my consent to process my personal data in accordance with the Federal Law of July 27, 2006 No. 152-ФЗ “On Personal Data” on the basis and for purposes Leave your e-mail certain in accordance with the processing of personal data and we will send you interesting news and the rally to eat restaurants breakfast and sweet-worshipers Fastfood food nutrition of a European cuisine cuisine cuisine / Freshi / Cocktheiliva restaurants is all more details for ordering the food online to order everything you want more and more. Food online viewing the institutions of VKontakteCentergorodamam in a gift! We give a bouquet! More precisely, two bouquets at once !!!! Classic - from the flowers from the “Bouquet” shop “Bouquet” flower workshop and ... centergorodically brilliantly! We begin to prepare for the New Year's Eve. No, no early. You asked us to make a selection of unusual but stylish outfits - ... Centergoroda and let the whole world wait. When it is important to hide in a comfortable house - there is Home Fashion @Home_Fashion23. Textiles and utensils for ... Centergoroda Male shopping is quick shopping! And in our “City Center” we have such a store for decisive ... Centergoroda is a smile! Seeing ... with a detailed plan for the treatment of all teeth! In the Only Dent dentistry, the “Acquaintance with the Doctor” campaign has started. ... Centergoroda has time to put on all the best at once. Because it got cold! And for the top you already need a blouse on a blouse of a blouse on a blouse - can we start a Centergoroda raincoat at first? Trying! Open select - a new seasonal menu in the "Bread Stories" @breadstories, I soup - pumpkin with ... centergoroda with such requests - to us. In the only place in the city where you can buy shoes or an apartment where you can delicious ... Centergoroda -plate wears not only superheroes! We present a selection of the most relevant clothes for the fall! R rainches Trengi jackets. ... Centergoroda "Forget all you knew about tea. We go to our new" Give Tea "store Daikha in the city center where they know about tea, this is what is neither in ... to subscribe to the Reviews of Yaroslav Artsimovich A wonderful place! You can eat deliciously and eat tasty and eat and eat tasty and eat Buy something you need. Enterly entertained. Lyona Popova is a very beautiful shopping center. A lot of space and this is very cool. A good selection of stores! Valentina mikhaylo is always purely beautiful scenery on the street always children's slides and attractions. Many street foods for every taste. And a variety of stores Inside Tk. Olga Totskaya is a great place in the city. Stores products. Very beautiful restaurants of cafes. You will have a good rest. Ooksana pu classroom in the very center of the city. Many different shops and food zone can always have a delicious snack of love of Ilyins. I will especially note a free children's town and underground parking lots on which the first two hours - free! Daria Polina atmospheric shopping centers in the center of several buildings. There is a food market of a cafe with various furniture -sergiga biryukovs almost the only place in which a resident of Novomishastskaya for a second represents himself in Milan. Well, so nice. It is necessary for such places more places to the city - the eye exclusively caresses such a kindergarten, an excellent location of the underground parking is clean and accurately. The possibility of shopping in different categories of goods. A good place to hold a meeting and lunch. Sabina of Gubiev live over the most shopping center you feel in the epicenter of an active mini -town in e - where to take a walk there is a cute courtyard where you can have a bite to eat and issue the delivery of the beauty salons of the crossroads near the gallery and the park. Kirill 10rd The unexpected location of the shopping center is very beautiful. You can take a walk and celebrate the holiday in some cafe. Alexander Samoshkin I like the fact that there are many those who you often see and you can take a walk with those who you love here a good gym center FIT TUNTER CINABON Restaurant, etc. Reviews of the city center - this ...? A convenient place for work and meetings to watch more than the tenant in Tkkontaktyl TKREPLIL TKREPLICE Politics Political Policy of Confidentiality for the processing of personal data-specific assessment of working conditions 8 (861) 201-20-88 Call me back © 2023 The City Center Trade quarter. Lotus Plus JSC Legal address: 350020 Krasnodar Territory G.O. City of Krasnodar G. Krasnodar st. Red d. 176 pp. And office 20 development of CT</v>
      </c>
    </row>
    <row r="388">
      <c r="A388" s="1" t="s">
        <v>1218</v>
      </c>
      <c r="B388" s="1" t="s">
        <v>1248</v>
      </c>
      <c r="C388" s="1" t="s">
        <v>1249</v>
      </c>
      <c r="D388" s="1">
        <v>10.0</v>
      </c>
      <c r="E388" s="4" t="s">
        <v>1250</v>
      </c>
      <c r="F388" s="1" t="s">
        <v>16</v>
      </c>
      <c r="G388" s="1" t="s">
        <v>1251</v>
      </c>
      <c r="H388" s="4" t="s">
        <v>1252</v>
      </c>
      <c r="I388" s="2">
        <v>3.0</v>
      </c>
      <c r="J388" s="5" t="str">
        <f>IFERROR(__xludf.DUMMYFUNCTION("GOOGLETRANSLATE(A388)"),"DNS")</f>
        <v>DNS</v>
      </c>
      <c r="K388" s="6" t="str">
        <f>IFERROR(__xludf.DUMMYFUNCTION("GOOGLETRANSLATE(B388)"),"DNS - Novosibirsk - Zoon.ru")</f>
        <v>DNS - Novosibirsk - Zoon.ru</v>
      </c>
      <c r="L388" s="5" t="str">
        <f>IFERROR(__xludf.DUMMYFUNCTION("GOOGLETRANSLATE(C388)"),"DNS in Novosibirsk: 61 institutions with addresses, reviews and photos. The most complete catalog of institutions with photos, ☎️ and reviews, a convenient search for places on the map.")</f>
        <v>DNS in Novosibirsk: 61 institutions with addresses, reviews and photos. The most complete catalog of institutions with photos, ☎️ and reviews, a convenient search for places on the map.</v>
      </c>
      <c r="M388" s="5" t="str">
        <f>IFERROR(__xludf.DUMMYFUNCTION("GOOGLETRANSLATE(G388)"),"Novosibirsk-City map with all organizations: Reviews photo rating How to get-Zoon Moskvasankt-Petersburgovosibirskskovsanburg Kazankitimobkiybiyshzhevyzhevnitsky Novgorodchelyabinsksamaraskstov-Donufakranskodiydoybright organization Convenient selection Z"&amp;"i baby clinic Analysis of blood Maternity Hospital Home Beauty Salon and Spamsage Manicure hairdresser Makeup haircut French French Manicure Pilling to watch more car service service a vehicle vehicle tinting toning toning auto -reference STOMISSITION STA"&amp;"TE COMPETITIONAL School Preparations School of Arts Sports School Courses for Higher Education Dancing School School School School School Bar Delivery Pizza Delivery Souss Teca dog nursery Castration cat Crumpid dogs Dogs Dog Cats Watch more saunas and a "&amp;"bathhouse -Banassene you can with your food Russian bathhouse public bath. Choosing brooms Infrared sauna Turkish bath to watch more service central commissions of mobile phones repair of Washing machines repair of air conditioner repair of cartridges to "&amp;"be more Для детейДетский лагерь Детская библиотека Подготовка к школе Детский санаторий Семейная школа Детский развлекательный центр Центр детского творчества 							Смотреть больше							Развлекательные центрыПарки Бассейн Пляж Лабиринт Аквапарк Катки Ци"&amp;"рки 							Смотреть больше							Фитнес клубыТренажёрный зал Боевые искусства Аэробика Пилатес Пауэрлифтинг Кроссфит Зумба 							Смотреть больше							АптекиИнтернет-аптека Круглосуточная доставка лекарств Лекарственные препараты Home medical equipment H"&amp;"omeopathic preparations of medical devices. Production of drugs to watch more household service -a -hail transport transport and cargo transportation dry cleaning ATelier Garbage Office photo studio postmate to watch more public services traffic police Pe"&amp;"nsion funds Grants CPUSIAL PRODUCTURAL CULTISH OF THE COMPORTANCE OF AND A NOT ASSALY COMPLY COMMUNICAL GARDING COMPORTATIONAL TYLE COMPORTANT COMPITIONA State Kindergarten Watch more Holidays in rest of the rest ski resort pool skating on horseback rider"&amp;"s, exit to the lake or river sauna watch more Internet company Internet-store IT-company mobile application website IT-Autsourcing Sites Date Center View more Yoga Centuryoga for beginners Qigun kundalini yoga khatha yoga yoga online yoga nidra yoga for p"&amp;"regnant women to watch more quests quests quests for adult quests-adventures quest-yazhas quest with actors of the quest Performance to more cinema theater Otovar products delivery Tools of food and drinks of auto parts watch more real estate building of "&amp;"the hostel of the real estate agency Sale of land plots and low -rise houses renting offices renting rights of rights to watch more night pounds Party Dancings Economy Karaka Feyskontrol Watch more education college academy gymnasium lyceum watch more clo"&amp;"thing and shoes of the Internet -fields Shoes Women Adidas online women's clothing store jewelry Watch more optics-linked glasses contact lenses Color lenses online store Optics multifocal lenses Delivery Operation Repair Watch more ritual services Mork C"&amp;"remantiles Cregories Columbarium Sales of Ritual Bureau View Ritual Buke Tel Company Installation of heating and water supply and water supply systems Landscaping Landscape Design Wallets Grounds Laying Tiles Watch more Trade Centurypertmarket Business Ce"&amp;"nter Skag Comber Trade and Entrepreneous Center Business Park Viewing Tourismer Kurortion Tour operator Tour operator Guest House Hotel hostel watch more services for business equipment Newspaper bookmakership guides passenger auto and electric transport "&amp;"enterprises Publishing house Taxi rental to watch more finance Bank ATM Refinancing Insurance Company Exchange of Life Insurance Medical Insurance Medical Insurance Watch more Consumer Services Consumer Consumer Consultation Legal Consultation Supervision"&amp;" of labor disputes Notary debt, District Lquidification Enterprise Enterprise Enterprise Enterprises to Watch more reviews💬 Every day we check 20 thousand reviews and 3 thousand assessments find and delete inaccurate. Actual prices and shares⚡ on Zun, it"&amp;" is convenient to choose offers at a price. Organizations monitor their relevance and also regularly add shares. Proven experts 🙋imes on a zun 1.5 million specialists to sign or call home. These are doctors of the tutors stylists, etc. Convenient selecti"&amp;"on of places and services👌 The Zun contains detailed information about all organizations: addresses of photography services Price Service as well as rating and reviews of real visitors. 1234 Popular food Health Beauty Buying of Entertainment Repair Remem"&amp;"ber. Other Medical Barber ₽ 292 ₽ Pitsezieuria ₽ Suchesi-bar ≈ 279 ₽ Relias with hookahs 10,600 ₽ Mostomatology of polyclinic-resonance tomography (MRI) Manicure ₽ Hairy hairline 2 000 ₽ Barber Py ≈ 350 ₽ Training mudding • 1,000 ₽ Caps-rush repairwords ≈"&amp;" 500 ₽ Promotions and discounts up to 70% all shares on Zoon 55% Discount of a neurologist = 900 R 4.7 Medical Center Medical on Groupm. Oktyabrskaya Kirova 46/1 remained 1 day until November 13, 50% discount27.10 We have open day and a discount of 50% 4."&amp;"9 Center for Beauty and Health Talismanm. Birch Rocheulitsa Fedoseeva 25,0004,000 rubles. Washing nozzles at the stand 5 Autokatmasters car service. Birch Roshchanikolai Ostrovsky 249 left 18 days until November 30, the Map of Novosibirsk Organization of "&amp;"the Speecialist Democratic Demosyany Curses of Beauty and Spannes -Mesh -Mesh -Mesat Service Services and Banibovyt Service Services for Business Building Clainfittees Classical Service Center -Sum Bolsical places of oopticism of the Testiismapteracidian "&amp;"Sadyuridic services of centersitances of the company -trade centerial centerial services -priestly theater of Raratyat -transhaterapylists for repair specialist specialists in beauty and service business. -Med49/ 361 Respirement on November 11 at 8: 55m I"&amp;" liked the benevolent doctor who remarkably completed her work, that is, she carried out probing. It is worth noting that the results of the study provided me already on the next review of the reviews 50/4 of the reclamation on November 11 at 3: 37mn like"&amp;"d the internal situation and teachers. The interior is pleasant beautiful and modern also a lot of light since there are large windows. Katya and Oksana are available and clearly explained everything to the question to review the paw48/122 reviewed on Nov"&amp;"ember 11 at 1: 52VS The lovely friendly, I was well pleased, I am happy. They turned as the dog limped on a paw. The injection was made easier. They gave recommendations just to follow if something is then contacted. All the reviews were healthy! 49/223 w"&amp;"as reviewed on November 10 at 15: 52: it was in the center in the center. I turned to the therapist. The doctor quite a very pleasant girl prescribed me treatment. The situation in the center is a comfortable impression Very good Solivliv’s reviewsnibble "&amp;"Invest31/ 5 Review Meshutka Meleshko November 10 at 14: 17: 17th: 17th: I test. Just got on a rally with double income. He started with a small amount of 8000 rubles. For half a year .. It is a pity that so far there are few investment offers and diversif"&amp;"y the portfolio for all reviews4 wheels49/4 with the rechargeer on November 10 at 13: 25-high store was very pleased with prices. At UAZ Patriot took the wheels for a good price for today's times. There is no year for tires 2022 14 week to the quality of "&amp;"the claims. All reviews of the Divine 47/1 of the recondition on November 10 at 12: 01 Khoor Service! The cash register got up ended with a fiscal drive came to Delta on the same day replaced FN and made a small repair. KKM is back in service again. All r"&amp;"eviewsmax Bus20/ 3 reviews on November 10 at 11: 05 Negative review about Max Bas: if you were going to go budgetary to ride in the Sheregesh mountains for the first time. Just buy a ticket to the bus and settled in the room and roll and there’s nothing t"&amp;"o be bad by the reviews-Novosibirsk37/ 2 reviewers on November 10 at 8: 20 Personal Renault departure from Russia, of course, everyone had to get used to new realities. The price of the price has changed. For many years I have been serving my car in Avtom"&amp;"ir on Petukhov (I bought it from the manager of Dmitry) all the reviews of the transit continent40/ 3 of Izalia Protopopova on November 10 at 7: 06D -Rave TC with loyal prices and fast terms. Polite and competent employees work on the terminal in which ca"&amp;"se they can help and suggest. All reviewskarkasman45/ 1 recondition on November 10 at 4: 39, the experience of cooperation with the company ""Karkasman"": met with Vitaly discussed all my wishes for the construction of a frame house in the A-Frame style ."&amp;" Further, Alexander (designer) began the work all reviews ofrsimed49/961 of the reviewed on November 10 at 3: 44 in the medical center Beautiful design good employees and good doctor. The doctor -cardiologist was opened, we discussed all my problems and t"&amp;"he doctor gave me recommendations. All reviews of theersimed49/1054 of the Izisaalis on November 9 at 16: 42mn I liked everything, including a good doctor and friendly and very smiling girls who helped they said where to go and presented Gift to the child"&amp;". Okulista coped with very much the reviews of the Ling Deteration Detection of LJ50/ 40 Review Nezdominov November 9 at 13: 42 District record and service an excellent condition of the devices. Nedototatkinetommentature suggested checking the cashiers in"&amp;" grocery but thanks to the rapid maintenance and instruments without Comfort 20/3 of Comfort 19 November 9 on November 9 at 12:27 FOR Cautious !!! On November 8, 2022, we entered into an agreement with LLC Technology Comfort in the person of the director "&amp;"of Samokovsky Maxim Alexandrovich for the manufacture of delivery and installation of the kitchen headset of the VVSA RESPORYSIBMD47/ 163 Olesyeva Oleshava on November 9 at 11: 52 Distilled ones with a friend. Before that, many acquaintances were encoded "&amp;"here. Very impressed. We do not drink after treatment. All reviews 48/17 are reviewed Nesterov on November 9 at 7: 45 Distribution Personnel -Statement of a certain time for a certain time did not even know what the company exists in the help of issuing l"&amp;"oans, but now the time came. I already had an acting review of the construction organizations of the Novosibirsk Region40/4 Displex-54 on November 9 at 6: 39, grateful for the help in the paperwork and a competent approach. Experts are always in touch and"&amp;" help in any question. All reviews 38/2 recesses on November 8 at 21: 01 often visit this car service for maintenance. Recently, I had problems with the suspension of the car, but the master in the car service quickly corrected them in one day. I really l"&amp;"ike it as a professional in the review of the LED products ABK IC-Sib48/ 115 Reviews on November 8 at 19: 27 Non-Statatical Comforteria Lights from the LED products store are just shining! Bright and beautiful light low energy consumption and a long servi"&amp;"ce life - all that you need to create all the reviewsphydodinskaya33/ 1 reviewed on November 8 at 14: 50 very good bakery girls are beautiful friendly how much I come all the fresh hotter from the cities. I want to thank the girls for maintenance so that "&amp;"your superiors appreciated your difficult kitchens 47/5 Reviewing Markin on November 8 at 13: 05 Distribution, the appearance of the cabinet of the cabinet was a small but roomy wardrobe of the compartment here the most favorable conditions were offered. "&amp;"The order was not disappointed with the review of the Creator50/ 3 recalculation ‘Rockstar November 8 at 7: 44 -hearted company professional experts of their business. In the courtyard of the center, cool playgrounds and the children go there to a walk wi"&amp;"th the whole center - this is a certain plus. If I could have taken it, I drove BVSA reviewer service25/1 I reciteral on November 8 at 6: 33 several times about the replacement of the double -glazed window from the beginning, they said well the master too"&amp;"k you well. He will call back. Passing 3 days NOT CALLED NOT WASH I wrote for 4 I called myself again, they said, probably, all the reviews are all the reviewsinvitro38/ 13 reviewsmarin D November 8 at 4: 33 Domestism, I was surprised, I saw the score of "&amp;"this wonderful office work at the very guys. Everything is a review smile48/ 52 recitivatyana on November 8 At 2: 09, everything was very happy in the clinic and for the service, that is, an excellent professional dentist-therapist said everything in the "&amp;"case, she didn’t say nothing superfluous in the case, and she also did not see the Reviews of the Reviews of the Gross, November 7 at 22: 45 Distribution, there is all The dimensions and styles did not notice. Nedostatkivode did not notice. The commentary"&amp;" Graduate asked to write a review of the first place, I went to my daughter, I was happy with the dress, I wanted a bunch of all the retirement fund48/ 13 Review of Yermakov on November 7 at 21: 19 -considerae to compare the non -governmental pension prog"&amp;"ram at Sberbank and VTB, then at NPFs VTB profitability over the past year higher. That is why I decided to conclude an NGO agreement with NPF VTB. In addition, I like the reviews of the reviews of the SCC48/ 27 Reviews of November 7 at 19: 14 commentarie"&amp;"s were here for legal support of the transaction when purchasing an apartment in the secondary market. They also helped with checking all the necessary documents. Specialists are very sensible to the Gramvs reviewer Service49/ 57 Reviews of Reviews on Nov"&amp;"ember 7 at 17: 46 in the car service I was immediately accepted and promptly did it all the most! Employees quickly replaced the corrugation because she had already rotted. Previously addressed to the full replacement of Glushitayniegsydtl39/ 11 Rights Zi"&amp;"nazinaid Mirkin on November 7 at 15: 59 combinations recently, a very modern laboratory confirmation of paternity liked the attentive attitude of the personnel, a professional and qualitative approach to servicing a review of the removal, 39 reviews of th"&amp;"e reviewer, on November 7 at 12: 10 compensation of the noblest place for dinema That they drove fed the seller well well. The environment of the Uyutovs reviews Akvasvasvis30/ 1 Review on November 7 at 11: 31 companies is not reliable. The promised time "&amp;"does not come. They asked you to come to eliminate non -service in the well: they feed breakfast. 2022 of October, the month is still yields. Reviews54 Center for the sale of goods and services On disinfectment of disinfecting deratization15/ 1, review -K"&amp;"ilia on November 7 at 9: 54th fools, they promise a guarantee for the service, they come, they say, they say a neglected case after the second processing, give a guarantee - in fact 1.11.2023 I ordered processing - 4.11.2023 - went to the VVSA RESPORTSY S"&amp;"SROTICAL massage Heat50/ 25 reviewsmaxim Gavrilov on November 7 at 6: 49 Distribution of the service of the Service of the Nedostatkina discovered the salon of erotic massage of the heat. This real paradise rested more than ever. Programs helped me a lot "&amp;"with Viskovsaeasy STOM48/ 59 Reviewer Malysheva November 7 at 0: 16 Distribution, the sensitivity of the doctorship of the doctorship was easily! A very polite personnel-handsome doctor who gently drilled my ill-fated tooth nervous system did not suffer f"&amp;"rom a reviewmaria-ra 20/1 review of on November 6 at 18: 55, I bought herring fillets in a jar, I didn’t look at the shelf life of the house when I cut it and I realized that the taste is strange. I looked and the term went out on September 24. The store "&amp;"Directorate You Cavse reviewsovita Verde49/ 13 Putsovdiana Prepasova on November 6 at 17: 31commenting periodically I contact the clinic for cosmetic procedures. Basically, I devote a greater choice of droppers. To maintain a healthy look of skin and body"&amp;". The effects of the reviewtrum-Service50/ 6 are harmless and the effect on November 6 at 14: 47 something was with the screen on the phone could not deal with the husband. They gave it to the service center quickly found the reason and eliminated on the "&amp;"same day they did not take it expensive. I advise you to reviewdelta48/ 54 of the reviewel R November 6 at 14: 36 District, they came to meet the warmth helped to quickly take shape and sent immediately to the X -ray. Nedeostatki, the place of operation w"&amp;"as a little when the anesthesia went down to be patient. Now the final -foster of beauty 36/1 reviewer is finished on November 6 at 14: 12th in full delight. Manicure Bliss! Thanks to Vera !!! All the reviews of Eximer46/ 99 Reviews Svetlano Demchenko on "&amp;"November 6 at 5: 01 compensation has already been operating for three years as their daughters were operating their eyes here - they conducted scleroplasty. And a year ago, she finally made LKZ (femo lasik) since due to scleroplasty myopia stopped the bac"&amp;"k of the back of the lifesaver50/ 26 Respiring Korotkov on November 5 at 20: 28 SPASIBO Huge for all personnel ""Lifle stick""! I see a 5 -year -old child that he has progress in learning! Employees taught a lot! My child goes with pleasure for classes be"&amp;"cause everything is reviewed byTOP47/ 122 Options on November 5 at 19: 58 Distributions are taught! Interesting classes! Good place! Good price! Disadvantage of the Academy TOP! Thanks to this Academy, my son has learned many things. 1 Review of November "&amp;"5 at 16: 20th day, I finally reached the recall of this wonderful studio .. Julia is a big fellow in terms of achieving the result on request, my main difficulty (like most girls) belly Boka Ivse Reviews 46/19 Review November 5 at 14 : 06 District clinic."&amp;" I thought for a long time what to do with a vascular mesh and a rosation on my face and turned to the clinic of Altik and the doctor N.I. The doctor carefully listened to me and developed a plan for LVSE PROPROFOFO-MED27/ 1 REMODAMARA Fedorovna on Novemb"&amp;"er 5 at 6: 17 PRESTION TOMENTION. Your Admin Julia does not know how to communicate with clients. Very rude and boorish attitude. In connection with an acute illness, I asked me to take it to Lorus urgently where I was received by Disgavzetoktor40/ 11 Req"&amp;"uest Stepanov on November 4 at 15: 34 Distributor trying to portray the participation of the personnel. 11, 11, the Dr. Yorka 3 years old, was poorly analyzed and preliminary diagnosis of all reviews / 2 Izmarvanovna November 4 at 10: 20 Varrymny steam. !"&amp;"! On a memorial table when ordering borsch with meat, a stew of yellow color with 3 plastics of Kutya potatoes according to the 80g menu was served. They submitted less than 80 grams per 4 people with goulash with a back of the review PROPROKOVEVA M.A.50/"&amp;" 1 Review of November 4 at 6: 43 Landing specialist. Inspires trust. She held a consultation for my mother (they traveled together, because my mother is a pensioner and does not particularly understand anything). Mom and I was satisfied. Immediately at th"&amp;"e CDU consultation reviewsreborn44/ 21 Review of Petrishen on November 3 at 17: 43Dostosiyat, the monitor is simply a young man of the house -study of the Office. I contacted the Reborn service monitor took the next day everything works. I am very pleased"&amp;" with the report of the servy of the review of Dr. Sholokhov39/17 of the reviewsovladimyr November 3 at 12: 23 Distribution of the services of the service of the service of the Service -Statement of the Commerculture Hello! I want to share my experience. "&amp;"I was in the clinic of Dr. Sholokhov on Blefaroplasty of the upper and lower eyelids. The result is very removal classical school49/16 of the reviews of November 3 in 12: November 3 at 12: November 3 at 12: November 3 at 12: November 3 at 12 09 I like an "&amp;"individual approach and a good attitude towards students. If a problem arises in the classroom, then employees delve into it do not lower it from their hands, that is, they are included in the process and help children. To all the reviews of the student50"&amp;"/ 13 Reviews of November 3 at 10: 55 in dentistry I liked what I consulted made an X-ray to all the questions answered all questions. I turned my gum with acute pain. The doctor looked at Skavs Pensus50/ 3 S. Opavladimyr S. November 3 at 10: 06 really lik"&amp;"ed it. It seems that the video turned out better than it was on the cassette. I recommend it. All reviewsmart Motors30/ 1 purebaccontan on November 3 at 9: 37 will work the angry crooks. The day before the purchase of the Kalina Brake pedal, I was notifie"&amp;"d that it costs 150 rubles. I had to pay 350 rubles in the fact of purchase. On Vitrvs, a review of 2448/6 Review of Daniel on November 3 at 8: 24 Distribution of professionalism and accuracy in a hard -to -the -style of the Commentary, I actually work in"&amp;" the company of Nanny 24 and I am very comfortable at work. The management is responsive and all the reviews of eximer49/48 of the reviewslaris K. November 2 at 22: 30 commentary on her child to correct vision with glasses. After the phone recorded, they "&amp;"called before the day the visit was warned so that they would not forget. The head doctor took us. The clinic is a small offvce review of the Aurum47/ 57 reviews of Malakhov on November 2 at 22: 30 commentaries we have been here for the first time we have"&amp;" been here for the first time. I like quality good service always do everything clearly in terms of time. All reviews of impeccable manicure EMI42/ 73 of the review on November 2 at 17: 37 Distribution dreamed of undergoing training in EMI. The dream that"&amp;" she chose the online form! It is convenient that at any convenient time I can start learning. The teaching takes place in a very convenient application. PBCA of the reviewship49/ 43 is recalled on November 2 at 16: 23, I was satisfied with the work of a "&amp;"competent doctor who created comfortable conditions for me. The specialist conducted treatment and seized channels. All reviews of the Century47/ 3 Sharova recuscition on November 2 at 15: 55 Personable installations of new doors. The neighbors already as"&amp;"ked where exactly we purchased them) Thank you already recommended you so that the new customers are waiting for them) all the reviews 36/77 Reviews Svetlan on November 2 At 13:48 compartment, everything was fine with the child. We liked cheese soups and "&amp;"pizza very tasty. All reviews of theConCONCERT 5423/3 Izaanastasia Timkina on November 2 at 13: 05 Dobroy all the day. More than six months have passed as the concert has been canceled for tickets have not yet been returned. They feed breakfasts do not re"&amp;"spond to the telephone excuse “I’m busy working” All reviews of theultimax Service25/ 1 Pisierge Mikhailovich. November 2 at 12:30 reflective service, like a boorish attitude towards customers. I drove to change the oil demanded to knock down the snow on "&amp;"their sink. They simply refused to knock down the snow by saying that they could only “wash the car” all the reviews of the Service34/ 1 recruiter on November 2 at 12: 05 Baby -Robbery Service. After their rebout, a processor burned out after a few days. "&amp;"Moreover, when handing over for repairs, they assured me that everything would be fine. But although it is written in their act that the guarantee extends to TolVSE -Limp49/ 10 Review of the Review on November 2 at 12: 00 we go because the child likes the"&amp;" classes ""Young speaker"" what is the main thing for me. The lessons are held in a mild form, therefore, the child is happy to go and performs tasks. I chose the School of Potovsa Reviewsibwill50/ 1 Review of November 2 at 11: 30 MNE I liked everything v"&amp;"isually including the layout. I turned to the company because someone prompted me to this idea and managers Marina and Dima are well done! Marina quickly and clearly did everything, and Dimvs's reviews of the reviews of Merk on November 2 at 11: 11 will b"&amp;"e observed in this clinic for a couple of years with all our pets. Professional approach: nothing more is prescribed to the patients and their owners. Thank you so much! All the response -made boom20/ 1 reviewgulnara is on November 2 at 8: 28 ordered the "&amp;"cabinet of the compartment when they went to collect the tone of different doors at the snow -white and the second -hand said they said and now they change and now they change it and now Every Thursday they promise and they can’t bring a review of the ped"&amp;"icure50/ 1 psychalris on November 2 at 7: 25 hijacking. / 79 Reviews of November 2 at 5: 51, the peeling and Thai massage came to the capsule. Masters are very pleasant and sociable. They provided good care. All procedures were completed with high quality"&amp;". I was satisfied. Be sure to PVCE REMARUPARUS30/ 10 Reviewed November 2 at 4: 19: I am a very good sanatorium I put 5 stars delight. Very kind and understanding honey. staff. Very worthy treatment, including the Dead Sea basin, is a vocational complex of"&amp;" professional reviews of the Dental Clinic46/ 13 reviewsergea on November 1 at 21: 27m I liked the doctor Ekaterina a related soul, therefore I trust her in all clinics. He took advantage of the treatment of caries. In the service, the quality and speed a"&amp;"re comfortable and comfortable conditions and the attitude of the Pobvs is a response -target bar49/ 3 recallioner on November 1 at 21: 19 excessively everything was very cool at the level. I had a massage master of massage, I have been coming an individu"&amp;"al approach to the quality of massage for the first time. I made the back of the master Ilya completely consultir to the background Park50/ 1 Semenova on November 1 at 21: 00 reads that the apartment is the type of housing that they usually take for rent,"&amp;" but in such a place I myself would not mind living. I have to work from here - 10 minutes on foot. Here is everything nearby: oats reviewspuls-auto48/ 49 reviewsergea November 1 at 20: 16 in the car service, pleasant staff work! Employees correctly expla"&amp;"ined and completed work related to the electrician in the variator of the Nissan Qashqai car. I was also recommended how to properly have a review of the review-balcony43/ 45 Reviews of Firinov on November 1 at 19: 28Dostal-resistant attitude towards cust"&amp;"omer-eatstatoxyuitocoumers, which made us all our expectations. It has become a cozy and functional space where we can enjoy the reviews of the response50/ 1 Review on November 1 at 18: 52 It is very comfortable quality manicure is excellent now your regu"&amp;"lar client! All reviews-Marketing49/ 8 Reviewor Elvira on November 1 at 18: 14 weekest-stitcommentary advertising agency! Only positive emotions of the review of the Roads-group25/ 1 admission on November 1 at 17: 48 very good agency! Professionals work t"&amp;"heir business !! For many years we have been “cooperating” with Irina Mikhailovna always everything at the highest level !!! Thank you for everything !! Everything is a responsive of the Real Estate50/ 24 of the reconciliation on November 1 at 12: 39, Evg"&amp;"eny's good and responsible approach! He is very good at once again not pulling everything says well done in the case! On the recommendation of acquaintances, I applied for the sale of the apartment to be registered as a review-Siberian bus station17/ 282,"&amp;" Rizaanastasia Taeva on November 1 at 10: 46 weeks of the carrier to its passengers !!!! 08.10.2023 Bus Novosibirsk-Zarinsk (landing Lenin St.) lingered for 45 minutes then an employee of the bus station when checking Bilevsa Permatology Statology on Leni"&amp;"n Street49/164 Specialized on November 1 at 10: 29 District, I know the advantages of private traders. The non-study of the service was called. They call and offer their service specialist on Robotvs's reviews of the AutokatMaster50/ 53 recusialonor on No"&amp;"vember 1 at 8: 05m I liked everything! They set up the speed of reception and quality of work. Employees accepted even before that time I was recorded quickly performed tire fitting and balancing the wheels. The father of my TVS is a review of the Bear 24"&amp;"/214 Resalecomer October 31 at 21: 07 to turn the Siberian bear only if there are no other providers. Work support is zero. Already for several days in a row in the evening, the speed drops to 5-7MB, apparently their ancient govnovs, the result is a revie"&amp;"w of 28/5 reviewships on October 31 at 18: 23 of the 23-dusk, it could not with such an attitude of the staff. The clinic’s nodostatkieteh exists, they wind up the reviews misleading. Commentary! Do not get fooled! Reviews by Nakruvse reviewsymonako25/ 1 "&amp;"reviewer on October 31 at 16: 39 made cilia ... Irina’s “Master” ... came home, within three hours, 4 missiles of cilia fell out of one eye. The eyelashes glued-kvda I want to hang out there. It is a pity the spent time and money reviewshadusha premium fi"&amp;"tness women49/ 5 reviewsandra on October 31 at 15: 26 Proceedings are a wonderful place! Service at the highest level Comfortable stylish halls of locker rooms. A very beautiful entrance area of ​​the coffee shop where you can drink tea/coffee or a protei"&amp;"n cocktail after training. Hence the Pensyadydarvin48/ 51 Review Dmitry Yezhov October 31 at 13: 55 commentaries, the Plainers know their job. The operation took place without the consequences of the reviewshelindlindlizing50/ 3 recuscidmitry Yezhov Octob"&amp;"er 31 at 13: 51 business development of the business urgently needed an amount of 2 million. We decided with a partner that a great option would be to use the return leasing service. Turned to the company. The reviews of thezapspetstekteh25/ 1 recovery on"&amp;" October 31 at 12: 44 did not agree to the company and the office of the office would be a lifting at first raised the price for no reason (although the contract and the specification were signed) by 225tr. They brought the engine, it turned out not at al"&amp;"l that they asked Vuvs as a review of Europe44/1 Izillekander on October 31 at 12: 41 very responsive and pleasant specialist. Quickly agreed very high -quality completed his work, I was always in touch, I did not explain everything, I advised me! It was "&amp;"nice to work! A big one reviewed the Glamur35/ 1 Remember 31 on October 12: 09 I was in the women's store Glamor I liked the smiling many goods consulted and helped with the choice of reviewsyblex36/ 1 The reconcile user on October 31 at 11: 42mash was a "&amp;"Hodovka, after the accident, the expert had to be shown in it. The employee of the Center normally made a collapse-reinstall showed that the wheels left and at the end issued all the necessary all the reviews of Light48/ 3 of the reconcile on October 31 a"&amp;"t 9: 59thly made an order in this online store. The doors of good quality and prices are significantly lower than the omiting &amp; Colorlon36/ 21 Ratrapolin 31 on October 31 at 8: 39 Distribution, I just left for a terrible -pointed -core days in this store,"&amp;" I needed to consult my husband as a gift as a gift. I came across all the reviewermobot40/ 4 Opacislan Petrenko on October 31 at 7: 01-naval boiler room for the school and adjacent houses with a capacity of 900 kW was purchased in the last heating season"&amp;". The expenses were reduced by 2-25 times and the costs of buying a boiler room and installation planning the Russian Office of Russia No. 9620/ 1 Pyntomila on October 31 at 6: 28 -ahead an idiot came up with a single reference service that you have to wa"&amp;"it for an answer for more than 10 minutes. And they are not answered to the number of p/ o, the operating modes of the queue are the horror in the Mausoleum. All the review of the Park37/ 2 reconcutyana on October 31 at 6: 26, the very cool park rested wi"&amp;"th the whole family for pleasure. Interesting locations have something to see). The playground is super !!! Thank you for such a place) All reviews of the article Medical Article of the teeth: what is it like it is carried out by hygiene of the oral cavit"&amp;"y in the dentistry of reading: 3 minutes 14 seconds of views: 345 dates of publication: 01/01/2023 NEAL DAY ""Nail Day"" feel unique! Medical article of the heart : what kind of procedure are readings and contraindications of reading: 8 minutes 11 seconds"&amp;" of views: 247DATE Publications: 09/26/2023 In more detail “Old Russia”-a place where you are always waiting for you! A cozy cafe on the Avenue of the Dzerzhinsky Massenian article: what problems the doctor solves and under What symptoms and diseases you "&amp;"need to sign up for a consultation of reading: 4 minutes 21 seconds of views: 135 Data Publications: 09/28/2023 In more detail-unique dental technologies in Novosibirskma will make your smile impeccable! “Healthy people”: Medical Center for Real Assistanc"&amp;"e Care for the main value-health-Health-Health-Health Pomegranate is a European level of medical services in Novosibirsk! Dental clinic on Krasnoye Prospekt New Organizations store of cargo spare parts Avtradinvosibirsk district Verkh-Tulinsky village vil"&amp;"lage village Krasny Vostok Sovetskaya Street 62B NovosibirsksometicMathmassage_NSKDP. Kudryashovsky Viktor Petkau 32 Novosibirskkabinet hairdresser-colorist Dusi Kovalchuk 248 Novosibirsksalo Beauty Meduzaulitsa Blucher 73/1 Novosibirskmon Bonulitsa Nemir"&amp;"ovich-Danchenko 146/1 NovosibirsklazerLine_Berdskooleg 7 Berdskzo 7 Berdskzo Otupnikinika of Bogdan Khmelnitsky 1 Novosibirskmono Studio Pro_ Rresnitsyulitsa Petukhova 79 Novosibirsk Studio Records of video feeders Snegovik Production Podcast -Railway Dis"&amp;"trict 630003 Vladimir Street 2 /1 Novosibirskkadrochny agency HR Recruiterdeputsk Street 46 Novosibirsk store Auto Marts Avtomoye Street Petukhova 51BK21 Novosibirskmozzherina.muahlinine 28 Novosibirskprnsprotelocomolosomolskaya 27 Berdskstudiy on the Peo"&amp;"ple’s Ulitsenarodnaya 47 Novosibirskniel-Lukesgrist Osova 32/1 Novosibirsk Studio Cosmetologist 27/1 Novosibirsk Studio Massage on the Lazurny Ulzelazuraya 24 Novosibirskkabinet manicure and pedicure in the Iskitimivoczal 4 Iskitim studio of manicure in I"&amp;"skitimepushkina 24 Iskitim studio of beauty on the main street 49s. Lebedevo Central 49 Novosibirsknr_Geticaulis Sibiryakov-Gvardeytsy 51/1 Novosibirsk Masters. Leninskoye DNT Opin spaces 3 Novosibirskm`Egiadrien Leshen 29/1 Novosibirsk Center Dr. Ermakov"&amp;"akmunistic Street 50 Novosibirskpunkpunchte of issuing goods Yummigamishak 15 Novosibirskdenchik_v_bankenishegodskaya 27/1 Novosibirskophis Tsetti 77 Novosibirsk Studio JAZAKARY Avenue 86/2 Novosibirskholy Hell Narodnaya 8 Novosibirskhochaskhoproprospect "&amp;"of Dzerzhinsky 14/2 Novosibirskmassage cabinet Healthy spine Kirova 29 Novosibirsklook at Tatto Rozhkli Prospekt 65 Novosibirskshkoye School of emotional awareness just live Kububovaya 88 Novosibirsk Studio Smooth &amp; Solutionsrp. Linevo 4th microdistrict 9"&amp;"A Novosibirskkrikunova Lashaleksandra Chistyakova 2/1 Novosibirskna-Production Center Vector-VITAPARITARISTION 2 Novosibirskclinic BEAUTYULICA KROPOTKINA 132 Novosibirskkabinet-aesthetist Cosmasmic Soviet Taulitsa Zabalueva 96 Novosibirskkapaproskostcheva"&amp;" 74/1 Novosibirskparikmarkhmakhorerskaya Usteninina 4 Toguchinmedician center Life -Life Tula 142 Novosibirskparikmachmachmerek Laizasovite 204 K1 Iskimmax Style Studio. Verkh-Tula working 20 Novosibirsk Studio of the Beauty of Anna Sibiryakov-Gvardeytsy "&amp;"51/1 Novosibirsk Companies Auto Auto Tolmachevskaya 21A Novosibirsk Companies for the Cargo Transportation Partner Communist 2 Novosibirskshkhol Machkalyana Kirov 113 Novosibirsk Medical Medical School Kalulitsa Yesenin 67 Novosibirsk Mmedician Migration "&amp;"Central City District 630000 Military Street 21 Novosibirskmitsubishi GDI Service Street 8/14 Novosibirskzoocenter Tafiulitsa Plakhotnaya 74/1 Novosibirsk Studio No. Zeleny Boro 7 Novosibirskskinological Club Siberia-Altyprota 82 Novosibirsk Studio Bredin"&amp;"g Kos Marinosulitsa Bolshevik 103 Novosibirsk Studio Depilation Epil_magic_nskulitsa Petukhova 162 Novosibirskbuti-Studio LUKSOPHIA 18 Novosibirsk sports club Dzerzhinetszerzhinsky district 630124 Dovator street 11 Novosibirsklub swimming Aqua Swimsovet s"&amp;"treet 60b Novosibirskbrows &amp; Lash.vnvkamena 74 Novosibirsk Center MS.Dermaulitsa Mikhai La Kulagina 29/1 Novosibirsksalo Beauty July Dzerzhinsky 32 NovosibirskanabrowGurokurokamenskaya 55 Novosibirskmedician laboratory of Littekhulitsa of the Heroes of th"&amp;"e Revolution 23/1 Novosibirskkabynet Masakakiyaster Avenue 153g Novosibirsk Studio Massage LPG.figuragorsky microdistrict 8 NovosibirskBeauty Timekhov 69 K2 Novosibirskmassage Salon on Health 20 Novosibirsk Studio Correction of the Lillepshdadi 8 Novosibi"&amp;"rskkabysk Kopabits on the Kotovsky Kotovokotovsky street 17 Siberian beauty on the Marine Prospekemorskaya Prospekt 58 Novosibirsk-school-studio-Studio Glagrp. Village 18 Koltsovoofp for children of the Korokorolev 8 Novosibirskmaster Strizhekulitsa Petuk"&amp;"hova 12/4 Novosibirskkabinet massage therapist-aesthetistafedoseeva 2 Novosibirskvetliderfadeeva 66/5 Novosibirskdet Center for Correction and Speech of the Speech of the GUREVIELICA 42 Novosibirsklusinnia microdigns 32 Issecimima 32 Iskimima The extingui"&amp;"shing cabinet in the okitimeyuzhny microdistrict 55b is a look -out look. Marusino Street Gorky 42a Novosibirsksalo Beauty La Belles. Verkh-Tula Rainbow microdistrict 17/3 NovosibirskppTichkina lashessmicraion Green Bor 7 Novosibirskysky Visa Center Carro"&amp;"und Magistral 16 Novosibirsk Flower Workshop 51 Novosibirskpunch at the Weith-Station 16 Novosibirskhoreographic Studio Skittelsulitsa Pen Tukhova 95/4 NovosibirskBogini Nielielitz Michurin 12a Novosibirskrvani Burgerulitsa Dusi Kovalchuk 187 Kiosk Novosi"&amp;"birsk Shopics House on Komsomolskaya Ulitses. Bagan Komsomolskaya 38b Novosibirskpecarny Batonrp. Kochenevo School 72 Novosibirskteddy Loftsteper 15 Overcomplex of the Atlantulita Tolstoy 133 Novosibirsk Shopics Bitcomlenin 112 Tatarskvitservisulis Chaply"&amp;"gina 35 Novosibirsk Center of Pre-Supervision Preparation of the Avtodode1th Krasnogorsky lane 41a Novosibirskkofeyni WAYULIA 67 Siberian store spare parts for the career and construction equipment of ZKTLIKOV 21 Novosibirskvs organizations with reviews a"&amp;"nd rating in Novosibirskavtomakaavtosovtoskolyaerobicaearobicaeerobicaerobicaerobicaerogaban and Saunabaseynabaseynabaseynablesparoplastilogolnitsybolingurger-grier service service of the Vetapteaptegiptegiptegiptegi-Detach-DETTENTENT ENSUMENTARIC CENTERS"&amp;" SADDISServised and drinking consultation of the Maslazo-Parquesobakaraoka-Barykatkaka-presideter store stores (KT) Computed clubs of clubs inekerossfittekrug -round -loser carpilled veterinary clinics carpilled clothing and shoe round -up restaurant -rus"&amp;"tle -rustle -rustle -bonding salons and spacro -logo -round -shaped fitness fitness clubs English courses Massagerals manicaces hairdresses Hairdresses Hairdressions grain epilation of the bonding of the cerebral cerebral of household Technics stores of c"&amp;"hildren's clothing and shoes of inexpensive clothing and shoes of lower linen stores Shuvils Shopics Shops stores Sports shops Sports clothing stores Supreme shops fabric stores Flower shops, Nailing, eyelashing eyelash-club clubs with dancing Bannias. Ha"&amp;"irwoman and houses of resty-a-a-a-pilespilatespirapypyrapirsing salon reception of gynecologist entertainment of thectogenenlasticastrodomasauns and baths where you can do with their foods from the basin-sequences for delivery Floval Sports and Fitnesseri"&amp;"zation Cosemonelization of Coscustril Strage of Dogs (Gruming) Construction and Repair Railway Disvaluables of Folk consumption of consumption of glasses of vessels of the head of the head and neck services for the business services for animal services of"&amp;" laundry rooms with basic polloorography polloorography for documents STKA Salon Motorchimitable INCAL CONSTRUCTIONS ObSCISTRALS AND Gynecology Cygunzykhikhayhanytyka faces of the Personnel Schools of Dance Shugaring add a place to add access access to Or"&amp;"ganizations Help of vacancies about the ""Zoon"" media about us Zoon in other cities Blogue contacts of the error-tell us by clicking Ctrl +Enter phone: +7 (495) 660-39-16 Email: Corp@zoon.ru Address: 125252 Moscow g Chapaevsky PER HOUSE 14 FOREAR 2. OGRN"&amp;": 1157746291878 Conditions for using the confidentiality policy of ZUN LLC-an IT company that provides customers with a software license to attract customers and manage a reputation on the network due to automated modules. Zun LLC carries out activities i"&amp;"n the field of information technology. Type of activity (code): 62.09")</f>
        <v>Novosibirsk-City map with all organizations: Reviews photo rating How to get-Zoon Moskvasankt-Petersburgovosibirskskovsanburg Kazankitimobkiybiyshzhevyzhevnitsky Novgorodchelyabinsksamaraskstov-Donufakranskodiydoybright organization Convenient selection Zi baby clinic Analysis of blood Maternity Hospital Home Beauty Salon and Spamsage Manicure hairdresser Makeup haircut French French Manicure Pilling to watch more car service service a vehicle vehicle tinting toning toning auto -reference STOMISSITION STATE COMPETITIONAL School Preparations School of Arts Sports School Courses for Higher Education Dancing School School School School School Bar Delivery Pizza Delivery Souss Teca dog nursery Castration cat Crumpid dogs Dogs Dog Cats Watch more saunas and a bathhouse -Banassene you can with your food Russian bathhouse public bath. Choosing brooms Infrared sauna Turkish bath to watch more service central commissions of mobile phones repair of Washing machines repair of air conditioner repair of cartridges to be more Для детейДетский лагерь Детская библиотека Подготовка к школе Детский санаторий Семейная школа Детский развлекательный центр Центр детского творчества 							Смотреть больше							Развлекательные центрыПарки Бассейн Пляж Лабиринт Аквапарк Катки Цирки 							Смотреть больше							Фитнес клубыТренажёрный зал Боевые искусства Аэробика Пилатес Пауэрлифтинг Кроссфит Зумба 							Смотреть больше							АптекиИнтернет-аптека Круглосуточная доставка лекарств Лекарственные препараты Home medical equipment Homeopathic preparations of medical devices. Production of drugs to watch more household service -a -hail transport transport and cargo transportation dry cleaning ATelier Garbage Office photo studio postmate to watch more public services traffic police Pension funds Grants CPUSIAL PRODUCTURAL CULTISH OF THE COMPORTANCE OF AND A NOT ASSALY COMPLY COMMUNICAL GARDING COMPORTATIONAL TYLE COMPORTANT COMPITIONA State Kindergarten Watch more Holidays in rest of the rest ski resort pool skating on horseback riders, exit to the lake or river sauna watch more Internet company Internet-store IT-company mobile application website IT-Autsourcing Sites Date Center View more Yoga Centuryoga for beginners Qigun kundalini yoga khatha yoga yoga online yoga nidra yoga for pregnant women to watch more quests quests quests for adult quests-adventures quest-yazhas quest with actors of the quest Performance to more cinema theater Otovar products delivery Tools of food and drinks of auto parts watch more real estate building of the hostel of the real estate agency Sale of land plots and low -rise houses renting offices renting rights of rights to watch more night pounds Party Dancings Economy Karaka Feyskontrol Watch more education college academy gymnasium lyceum watch more clothing and shoes of the Internet -fields Shoes Women Adidas online women's clothing store jewelry Watch more optics-linked glasses contact lenses Color lenses online store Optics multifocal lenses Delivery Operation Repair Watch more ritual services Mork Cremantiles Cregories Columbarium Sales of Ritual Bureau View Ritual Buke Tel Company Installation of heating and water supply and water supply systems Landscaping Landscape Design Wallets Grounds Laying Tiles Watch more Trade Centurypertmarket Business Center Skag Comber Trade and Entrepreneous Center Business Park Viewing Tourismer Kurortion Tour operator Tour operator Guest House Hotel hostel watch more services for business equipment Newspaper bookmakership guides passenger auto and electric transport enterprises Publishing house Taxi rental to watch more finance Bank ATM Refinancing Insurance Company Exchange of Life Insurance Medical Insurance Medical Insurance Watch more Consumer Services Consumer Consumer Consultation Legal Consultation Supervision of labor disputes Notary debt, District Lquidification Enterprise Enterprise Enterprise Enterprises to Watch more reviews💬 Every day we check 20 thousand reviews and 3 thousand assessments find and delete inaccurate. Actual prices and shares⚡ on Zun, it is convenient to choose offers at a price. Organizations monitor their relevance and also regularly add shares. Proven experts 🙋imes on a zun 1.5 million specialists to sign or call home. These are doctors of the tutors stylists, etc. Convenient selection of places and services👌 The Zun contains detailed information about all organizations: addresses of photography services Price Service as well as rating and reviews of real visitors. 1234 Popular food Health Beauty Buying of Entertainment Repair Remember. Other Medical Barber ₽ 292 ₽ Pitsezieuria ₽ Suchesi-bar ≈ 279 ₽ Relias with hookahs 10,600 ₽ Mostomatology of polyclinic-resonance tomography (MRI) Manicure ₽ Hairy hairline 2 000 ₽ Barber Py ≈ 350 ₽ Training mudding • 1,000 ₽ Caps-rush repairwords ≈ 500 ₽ Promotions and discounts up to 70% all shares on Zoon 55% Discount of a neurologist = 900 R 4.7 Medical Center Medical on Groupm. Oktyabrskaya Kirova 46/1 remained 1 day until November 13, 50% discount27.10 We have open day and a discount of 50% 4.9 Center for Beauty and Health Talismanm. Birch Rocheulitsa Fedoseeva 25,0004,000 rubles. Washing nozzles at the stand 5 Autokatmasters car service. Birch Roshchanikolai Ostrovsky 249 left 18 days until November 30, the Map of Novosibirsk Organization of the Speecialist Democratic Demosyany Curses of Beauty and Spannes -Mesh -Mesh -Mesat Service Services and Banibovyt Service Services for Business Building Clainfittees Classical Service Center -Sum Bolsical places of oopticism of the Testiismapteracidian Sadyuridic services of centersitances of the company -trade centerial centerial services -priestly theater of Raratyat -transhaterapylists for repair specialist specialists in beauty and service business. -Med49/ 361 Respirement on November 11 at 8: 55m I liked the benevolent doctor who remarkably completed her work, that is, she carried out probing. It is worth noting that the results of the study provided me already on the next review of the reviews 50/4 of the reclamation on November 11 at 3: 37mn liked the internal situation and teachers. The interior is pleasant beautiful and modern also a lot of light since there are large windows. Katya and Oksana are available and clearly explained everything to the question to review the paw48/122 reviewed on November 11 at 1: 52VS The lovely friendly, I was well pleased, I am happy. They turned as the dog limped on a paw. The injection was made easier. They gave recommendations just to follow if something is then contacted. All the reviews were healthy! 49/223 was reviewed on November 10 at 15: 52: it was in the center in the center. I turned to the therapist. The doctor quite a very pleasant girl prescribed me treatment. The situation in the center is a comfortable impression Very good Solivliv’s reviewsnibble Invest31/ 5 Review Meshutka Meleshko November 10 at 14: 17: 17th: 17th: I test. Just got on a rally with double income. He started with a small amount of 8000 rubles. For half a year .. It is a pity that so far there are few investment offers and diversify the portfolio for all reviews4 wheels49/4 with the rechargeer on November 10 at 13: 25-high store was very pleased with prices. At UAZ Patriot took the wheels for a good price for today's times. There is no year for tires 2022 14 week to the quality of the claims. All reviews of the Divine 47/1 of the recondition on November 10 at 12: 01 Khoor Service! The cash register got up ended with a fiscal drive came to Delta on the same day replaced FN and made a small repair. KKM is back in service again. All reviewsmax Bus20/ 3 reviews on November 10 at 11: 05 Negative review about Max Bas: if you were going to go budgetary to ride in the Sheregesh mountains for the first time. Just buy a ticket to the bus and settled in the room and roll and there’s nothing to be bad by the reviews-Novosibirsk37/ 2 reviewers on November 10 at 8: 20 Personal Renault departure from Russia, of course, everyone had to get used to new realities. The price of the price has changed. For many years I have been serving my car in Avtomir on Petukhov (I bought it from the manager of Dmitry) all the reviews of the transit continent40/ 3 of Izalia Protopopova on November 10 at 7: 06D -Rave TC with loyal prices and fast terms. Polite and competent employees work on the terminal in which case they can help and suggest. All reviewskarkasman45/ 1 recondition on November 10 at 4: 39, the experience of cooperation with the company "Karkasman": met with Vitaly discussed all my wishes for the construction of a frame house in the A-Frame style . Further, Alexander (designer) began the work all reviews ofrsimed49/961 of the reviewed on November 10 at 3: 44 in the medical center Beautiful design good employees and good doctor. The doctor -cardiologist was opened, we discussed all my problems and the doctor gave me recommendations. All reviews of theersimed49/1054 of the Izisaalis on November 9 at 16: 42mn I liked everything, including a good doctor and friendly and very smiling girls who helped they said where to go and presented Gift to the child. Okulista coped with very much the reviews of the Ling Deteration Detection of LJ50/ 40 Review Nezdominov November 9 at 13: 42 District record and service an excellent condition of the devices. Nedototatkinetommentature suggested checking the cashiers in grocery but thanks to the rapid maintenance and instruments without Comfort 20/3 of Comfort 19 November 9 on November 9 at 12:27 FOR Cautious !!! On November 8, 2022, we entered into an agreement with LLC Technology Comfort in the person of the director of Samokovsky Maxim Alexandrovich for the manufacture of delivery and installation of the kitchen headset of the VVSA RESPORYSIBMD47/ 163 Olesyeva Oleshava on November 9 at 11: 52 Distilled ones with a friend. Before that, many acquaintances were encoded here. Very impressed. We do not drink after treatment. All reviews 48/17 are reviewed Nesterov on November 9 at 7: 45 Distribution Personnel -Statement of a certain time for a certain time did not even know what the company exists in the help of issuing loans, but now the time came. I already had an acting review of the construction organizations of the Novosibirsk Region40/4 Displex-54 on November 9 at 6: 39, grateful for the help in the paperwork and a competent approach. Experts are always in touch and help in any question. All reviews 38/2 recesses on November 8 at 21: 01 often visit this car service for maintenance. Recently, I had problems with the suspension of the car, but the master in the car service quickly corrected them in one day. I really like it as a professional in the review of the LED products ABK IC-Sib48/ 115 Reviews on November 8 at 19: 27 Non-Statatical Comforteria Lights from the LED products store are just shining! Bright and beautiful light low energy consumption and a long service life - all that you need to create all the reviewsphydodinskaya33/ 1 reviewed on November 8 at 14: 50 very good bakery girls are beautiful friendly how much I come all the fresh hotter from the cities. I want to thank the girls for maintenance so that your superiors appreciated your difficult kitchens 47/5 Reviewing Markin on November 8 at 13: 05 Distribution, the appearance of the cabinet of the cabinet was a small but roomy wardrobe of the compartment here the most favorable conditions were offered. The order was not disappointed with the review of the Creator50/ 3 recalculation ‘Rockstar November 8 at 7: 44 -hearted company professional experts of their business. In the courtyard of the center, cool playgrounds and the children go there to a walk with the whole center - this is a certain plus. If I could have taken it, I drove BVSA reviewer service25/1 I reciteral on November 8 at 6: 33 several times about the replacement of the double -glazed window from the beginning, they said well the master took you well. He will call back. Passing 3 days NOT CALLED NOT WASH I wrote for 4 I called myself again, they said, probably, all the reviews are all the reviewsinvitro38/ 13 reviewsmarin D November 8 at 4: 33 Domestism, I was surprised, I saw the score of this wonderful office work at the very guys. Everything is a review smile48/ 52 recitivatyana on November 8 At 2: 09, everything was very happy in the clinic and for the service, that is, an excellent professional dentist-therapist said everything in the case, she didn’t say nothing superfluous in the case, and she also did not see the Reviews of the Reviews of the Gross, November 7 at 22: 45 Distribution, there is all The dimensions and styles did not notice. Nedostatkivode did not notice. The commentary Graduate asked to write a review of the first place, I went to my daughter, I was happy with the dress, I wanted a bunch of all the retirement fund48/ 13 Review of Yermakov on November 7 at 21: 19 -considerae to compare the non -governmental pension program at Sberbank and VTB, then at NPFs VTB profitability over the past year higher. That is why I decided to conclude an NGO agreement with NPF VTB. In addition, I like the reviews of the reviews of the SCC48/ 27 Reviews of November 7 at 19: 14 commentaries were here for legal support of the transaction when purchasing an apartment in the secondary market. They also helped with checking all the necessary documents. Specialists are very sensible to the Gramvs reviewer Service49/ 57 Reviews of Reviews on November 7 at 17: 46 in the car service I was immediately accepted and promptly did it all the most! Employees quickly replaced the corrugation because she had already rotted. Previously addressed to the full replacement of Glushitayniegsydtl39/ 11 Rights Zinazinaid Mirkin on November 7 at 15: 59 combinations recently, a very modern laboratory confirmation of paternity liked the attentive attitude of the personnel, a professional and qualitative approach to servicing a review of the removal, 39 reviews of the reviewer, on November 7 at 12: 10 compensation of the noblest place for dinema That they drove fed the seller well well. The environment of the Uyutovs reviews Akvasvasvis30/ 1 Review on November 7 at 11: 31 companies is not reliable. The promised time does not come. They asked you to come to eliminate non -service in the well: they feed breakfast. 2022 of October, the month is still yields. Reviews54 Center for the sale of goods and services On disinfectment of disinfecting deratization15/ 1, review -Kilia on November 7 at 9: 54th fools, they promise a guarantee for the service, they come, they say, they say a neglected case after the second processing, give a guarantee - in fact 1.11.2023 I ordered processing - 4.11.2023 - went to the VVSA RESPORTSY SSROTICAL massage Heat50/ 25 reviewsmaxim Gavrilov on November 7 at 6: 49 Distribution of the service of the Service of the Nedostatkina discovered the salon of erotic massage of the heat. This real paradise rested more than ever. Programs helped me a lot with Viskovsaeasy STOM48/ 59 Reviewer Malysheva November 7 at 0: 16 Distribution, the sensitivity of the doctorship of the doctorship was easily! A very polite personnel-handsome doctor who gently drilled my ill-fated tooth nervous system did not suffer from a reviewmaria-ra 20/1 review of on November 6 at 18: 55, I bought herring fillets in a jar, I didn’t look at the shelf life of the house when I cut it and I realized that the taste is strange. I looked and the term went out on September 24. The store Directorate You Cavse reviewsovita Verde49/ 13 Putsovdiana Prepasova on November 6 at 17: 31commenting periodically I contact the clinic for cosmetic procedures. Basically, I devote a greater choice of droppers. To maintain a healthy look of skin and body. The effects of the reviewtrum-Service50/ 6 are harmless and the effect on November 6 at 14: 47 something was with the screen on the phone could not deal with the husband. They gave it to the service center quickly found the reason and eliminated on the same day they did not take it expensive. I advise you to reviewdelta48/ 54 of the reviewel R November 6 at 14: 36 District, they came to meet the warmth helped to quickly take shape and sent immediately to the X -ray. Nedeostatki, the place of operation was a little when the anesthesia went down to be patient. Now the final -foster of beauty 36/1 reviewer is finished on November 6 at 14: 12th in full delight. Manicure Bliss! Thanks to Vera !!! All the reviews of Eximer46/ 99 Reviews Svetlano Demchenko on November 6 at 5: 01 compensation has already been operating for three years as their daughters were operating their eyes here - they conducted scleroplasty. And a year ago, she finally made LKZ (femo lasik) since due to scleroplasty myopia stopped the back of the back of the lifesaver50/ 26 Respiring Korotkov on November 5 at 20: 28 SPASIBO Huge for all personnel "Lifle stick"! I see a 5 -year -old child that he has progress in learning! Employees taught a lot! My child goes with pleasure for classes because everything is reviewed byTOP47/ 122 Options on November 5 at 19: 58 Distributions are taught! Interesting classes! Good place! Good price! Disadvantage of the Academy TOP! Thanks to this Academy, my son has learned many things. 1 Review of November 5 at 16: 20th day, I finally reached the recall of this wonderful studio .. Julia is a big fellow in terms of achieving the result on request, my main difficulty (like most girls) belly Boka Ivse Reviews 46/19 Review November 5 at 14 : 06 District clinic. I thought for a long time what to do with a vascular mesh and a rosation on my face and turned to the clinic of Altik and the doctor N.I. The doctor carefully listened to me and developed a plan for LVSE PROPROFOFO-MED27/ 1 REMODAMARA Fedorovna on November 5 at 6: 17 PRESTION TOMENTION. Your Admin Julia does not know how to communicate with clients. Very rude and boorish attitude. In connection with an acute illness, I asked me to take it to Lorus urgently where I was received by Disgavzetoktor40/ 11 Request Stepanov on November 4 at 15: 34 Distributor trying to portray the participation of the personnel. 11, 11, the Dr. Yorka 3 years old, was poorly analyzed and preliminary diagnosis of all reviews / 2 Izmarvanovna November 4 at 10: 20 Varrymny steam. !! On a memorial table when ordering borsch with meat, a stew of yellow color with 3 plastics of Kutya potatoes according to the 80g menu was served. They submitted less than 80 grams per 4 people with goulash with a back of the review PROPROKOVEVA M.A.50/ 1 Review of November 4 at 6: 43 Landing specialist. Inspires trust. She held a consultation for my mother (they traveled together, because my mother is a pensioner and does not particularly understand anything). Mom and I was satisfied. Immediately at the CDU consultation reviewsreborn44/ 21 Review of Petrishen on November 3 at 17: 43Dostosiyat, the monitor is simply a young man of the house -study of the Office. I contacted the Reborn service monitor took the next day everything works. I am very pleased with the report of the servy of the review of Dr. Sholokhov39/17 of the reviewsovladimyr November 3 at 12: 23 Distribution of the services of the service of the service of the Service -Statement of the Commerculture Hello! I want to share my experience. I was in the clinic of Dr. Sholokhov on Blefaroplasty of the upper and lower eyelids. The result is very removal classical school49/16 of the reviews of November 3 in 12: November 3 at 12: November 3 at 12: November 3 at 12: November 3 at 12 09 I like an individual approach and a good attitude towards students. If a problem arises in the classroom, then employees delve into it do not lower it from their hands, that is, they are included in the process and help children. To all the reviews of the student50/ 13 Reviews of November 3 at 10: 55 in dentistry I liked what I consulted made an X-ray to all the questions answered all questions. I turned my gum with acute pain. The doctor looked at Skavs Pensus50/ 3 S. Opavladimyr S. November 3 at 10: 06 really liked it. It seems that the video turned out better than it was on the cassette. I recommend it. All reviewsmart Motors30/ 1 purebaccontan on November 3 at 9: 37 will work the angry crooks. The day before the purchase of the Kalina Brake pedal, I was notified that it costs 150 rubles. I had to pay 350 rubles in the fact of purchase. On Vitrvs, a review of 2448/6 Review of Daniel on November 3 at 8: 24 Distribution of professionalism and accuracy in a hard -to -the -style of the Commentary, I actually work in the company of Nanny 24 and I am very comfortable at work. The management is responsive and all the reviews of eximer49/48 of the reviewslaris K. November 2 at 22: 30 commentary on her child to correct vision with glasses. After the phone recorded, they called before the day the visit was warned so that they would not forget. The head doctor took us. The clinic is a small offvce review of the Aurum47/ 57 reviews of Malakhov on November 2 at 22: 30 commentaries we have been here for the first time we have been here for the first time. I like quality good service always do everything clearly in terms of time. All reviews of impeccable manicure EMI42/ 73 of the review on November 2 at 17: 37 Distribution dreamed of undergoing training in EMI. The dream that she chose the online form! It is convenient that at any convenient time I can start learning. The teaching takes place in a very convenient application. PBCA of the reviewship49/ 43 is recalled on November 2 at 16: 23, I was satisfied with the work of a competent doctor who created comfortable conditions for me. The specialist conducted treatment and seized channels. All reviews of the Century47/ 3 Sharova recuscition on November 2 at 15: 55 Personable installations of new doors. The neighbors already asked where exactly we purchased them) Thank you already recommended you so that the new customers are waiting for them) all the reviews 36/77 Reviews Svetlan on November 2 At 13:48 compartment, everything was fine with the child. We liked cheese soups and pizza very tasty. All reviews of theConCONCERT 5423/3 Izaanastasia Timkina on November 2 at 13: 05 Dobroy all the day. More than six months have passed as the concert has been canceled for tickets have not yet been returned. They feed breakfasts do not respond to the telephone excuse “I’m busy working” All reviews of theultimax Service25/ 1 Pisierge Mikhailovich. November 2 at 12:30 reflective service, like a boorish attitude towards customers. I drove to change the oil demanded to knock down the snow on their sink. They simply refused to knock down the snow by saying that they could only “wash the car” all the reviews of the Service34/ 1 recruiter on November 2 at 12: 05 Baby -Robbery Service. After their rebout, a processor burned out after a few days. Moreover, when handing over for repairs, they assured me that everything would be fine. But although it is written in their act that the guarantee extends to TolVSE -Limp49/ 10 Review of the Review on November 2 at 12: 00 we go because the child likes the classes "Young speaker" what is the main thing for me. The lessons are held in a mild form, therefore, the child is happy to go and performs tasks. I chose the School of Potovsa Reviewsibwill50/ 1 Review of November 2 at 11: 30 MNE I liked everything visually including the layout. I turned to the company because someone prompted me to this idea and managers Marina and Dima are well done! Marina quickly and clearly did everything, and Dimvs's reviews of the reviews of Merk on November 2 at 11: 11 will be observed in this clinic for a couple of years with all our pets. Professional approach: nothing more is prescribed to the patients and their owners. Thank you so much! All the response -made boom20/ 1 reviewgulnara is on November 2 at 8: 28 ordered the cabinet of the compartment when they went to collect the tone of different doors at the snow -white and the second -hand said they said and now they change and now they change it and now Every Thursday they promise and they can’t bring a review of the pedicure50/ 1 psychalris on November 2 at 7: 25 hijacking. / 79 Reviews of November 2 at 5: 51, the peeling and Thai massage came to the capsule. Masters are very pleasant and sociable. They provided good care. All procedures were completed with high quality. I was satisfied. Be sure to PVCE REMARUPARUS30/ 10 Reviewed November 2 at 4: 19: I am a very good sanatorium I put 5 stars delight. Very kind and understanding honey. staff. Very worthy treatment, including the Dead Sea basin, is a vocational complex of professional reviews of the Dental Clinic46/ 13 reviewsergea on November 1 at 21: 27m I liked the doctor Ekaterina a related soul, therefore I trust her in all clinics. He took advantage of the treatment of caries. In the service, the quality and speed are comfortable and comfortable conditions and the attitude of the Pobvs is a response -target bar49/ 3 recallioner on November 1 at 21: 19 excessively everything was very cool at the level. I had a massage master of massage, I have been coming an individual approach to the quality of massage for the first time. I made the back of the master Ilya completely consultir to the background Park50/ 1 Semenova on November 1 at 21: 00 reads that the apartment is the type of housing that they usually take for rent, but in such a place I myself would not mind living. I have to work from here - 10 minutes on foot. Here is everything nearby: oats reviewspuls-auto48/ 49 reviewsergea November 1 at 20: 16 in the car service, pleasant staff work! Employees correctly explained and completed work related to the electrician in the variator of the Nissan Qashqai car. I was also recommended how to properly have a review of the review-balcony43/ 45 Reviews of Firinov on November 1 at 19: 28Dostal-resistant attitude towards customer-eatstatoxyuitocoumers, which made us all our expectations. It has become a cozy and functional space where we can enjoy the reviews of the response50/ 1 Review on November 1 at 18: 52 It is very comfortable quality manicure is excellent now your regular client! All reviews-Marketing49/ 8 Reviewor Elvira on November 1 at 18: 14 weekest-stitcommentary advertising agency! Only positive emotions of the review of the Roads-group25/ 1 admission on November 1 at 17: 48 very good agency! Professionals work their business !! For many years we have been “cooperating” with Irina Mikhailovna always everything at the highest level !!! Thank you for everything !! Everything is a responsive of the Real Estate50/ 24 of the reconciliation on November 1 at 12: 39, Evgeny's good and responsible approach! He is very good at once again not pulling everything says well done in the case! On the recommendation of acquaintances, I applied for the sale of the apartment to be registered as a review-Siberian bus station17/ 282, Rizaanastasia Taeva on November 1 at 10: 46 weeks of the carrier to its passengers !!!! 08.10.2023 Bus Novosibirsk-Zarinsk (landing Lenin St.) lingered for 45 minutes then an employee of the bus station when checking Bilevsa Permatology Statology on Lenin Street49/164 Specialized on November 1 at 10: 29 District, I know the advantages of private traders. The non-study of the service was called. They call and offer their service specialist on Robotvs's reviews of the AutokatMaster50/ 53 recusialonor on November 1 at 8: 05m I liked everything! They set up the speed of reception and quality of work. Employees accepted even before that time I was recorded quickly performed tire fitting and balancing the wheels. The father of my TVS is a review of the Bear 24/214 Resalecomer October 31 at 21: 07 to turn the Siberian bear only if there are no other providers. Work support is zero. Already for several days in a row in the evening, the speed drops to 5-7MB, apparently their ancient govnovs, the result is a review of 28/5 reviewships on October 31 at 18: 23 of the 23-dusk, it could not with such an attitude of the staff. The clinic’s nodostatkieteh exists, they wind up the reviews misleading. Commentary! Do not get fooled! Reviews by Nakruvse reviewsymonako25/ 1 reviewer on October 31 at 16: 39 made cilia ... Irina’s “Master” ... came home, within three hours, 4 missiles of cilia fell out of one eye. The eyelashes glued-kvda I want to hang out there. It is a pity the spent time and money reviewshadusha premium fitness women49/ 5 reviewsandra on October 31 at 15: 26 Proceedings are a wonderful place! Service at the highest level Comfortable stylish halls of locker rooms. A very beautiful entrance area of ​​the coffee shop where you can drink tea/coffee or a protein cocktail after training. Hence the Pensyadydarvin48/ 51 Review Dmitry Yezhov October 31 at 13: 55 commentaries, the Plainers know their job. The operation took place without the consequences of the reviewshelindlindlizing50/ 3 recuscidmitry Yezhov October 31 at 13: 51 business development of the business urgently needed an amount of 2 million. We decided with a partner that a great option would be to use the return leasing service. Turned to the company. The reviews of thezapspetstekteh25/ 1 recovery on October 31 at 12: 44 did not agree to the company and the office of the office would be a lifting at first raised the price for no reason (although the contract and the specification were signed) by 225tr. They brought the engine, it turned out not at all that they asked Vuvs as a review of Europe44/1 Izillekander on October 31 at 12: 41 very responsive and pleasant specialist. Quickly agreed very high -quality completed his work, I was always in touch, I did not explain everything, I advised me! It was nice to work! A big one reviewed the Glamur35/ 1 Remember 31 on October 12: 09 I was in the women's store Glamor I liked the smiling many goods consulted and helped with the choice of reviewsyblex36/ 1 The reconcile user on October 31 at 11: 42mash was a Hodovka, after the accident, the expert had to be shown in it. The employee of the Center normally made a collapse-reinstall showed that the wheels left and at the end issued all the necessary all the reviews of Light48/ 3 of the reconcile on October 31 at 9: 59thly made an order in this online store. The doors of good quality and prices are significantly lower than the omiting &amp; Colorlon36/ 21 Ratrapolin 31 on October 31 at 8: 39 Distribution, I just left for a terrible -pointed -core days in this store, I needed to consult my husband as a gift as a gift. I came across all the reviewermobot40/ 4 Opacislan Petrenko on October 31 at 7: 01-naval boiler room for the school and adjacent houses with a capacity of 900 kW was purchased in the last heating season. The expenses were reduced by 2-25 times and the costs of buying a boiler room and installation planning the Russian Office of Russia No. 9620/ 1 Pyntomila on October 31 at 6: 28 -ahead an idiot came up with a single reference service that you have to wait for an answer for more than 10 minutes. And they are not answered to the number of p/ o, the operating modes of the queue are the horror in the Mausoleum. All the review of the Park37/ 2 reconcutyana on October 31 at 6: 26, the very cool park rested with the whole family for pleasure. Interesting locations have something to see). The playground is super !!! Thank you for such a place) All reviews of the article Medical Article of the teeth: what is it like it is carried out by hygiene of the oral cavity in the dentistry of reading: 3 minutes 14 seconds of views: 345 dates of publication: 01/01/2023 NEAL DAY "Nail Day" feel unique! Medical article of the heart : what kind of procedure are readings and contraindications of reading: 8 minutes 11 seconds of views: 247DATE Publications: 09/26/2023 In more detail “Old Russia”-a place where you are always waiting for you! A cozy cafe on the Avenue of the Dzerzhinsky Massenian article: what problems the doctor solves and under What symptoms and diseases you need to sign up for a consultation of reading: 4 minutes 21 seconds of views: 135 Data Publications: 09/28/2023 In more detail-unique dental technologies in Novosibirskma will make your smile impeccable! “Healthy people”: Medical Center for Real Assistance Care for the main value-health-Health-Health-Health Pomegranate is a European level of medical services in Novosibirsk! Dental clinic on Krasnoye Prospekt New Organizations store of cargo spare parts Avtradinvosibirsk district Verkh-Tulinsky village village village Krasny Vostok Sovetskaya Street 62B NovosibirsksometicMathmassage_NSKDP. Kudryashovsky Viktor Petkau 32 Novosibirskkabinet hairdresser-colorist Dusi Kovalchuk 248 Novosibirsksalo Beauty Meduzaulitsa Blucher 73/1 Novosibirskmon Bonulitsa Nemirovich-Danchenko 146/1 NovosibirsklazerLine_Berdskooleg 7 Berdskzo 7 Berdskzo Otupnikinika of Bogdan Khmelnitsky 1 Novosibirskmono Studio Pro_ Rresnitsyulitsa Petukhova 79 Novosibirsk Studio Records of video feeders Snegovik Production Podcast -Railway District 630003 Vladimir Street 2 /1 Novosibirskkadrochny agency HR Recruiterdeputsk Street 46 Novosibirsk store Auto Marts Avtomoye Street Petukhova 51BK21 Novosibirskmozzherina.muahlinine 28 Novosibirskprnsprotelocomolosomolskaya 27 Berdskstudiy on the People’s Ulitsenarodnaya 47 Novosibirskniel-Lukesgrist Osova 32/1 Novosibirsk Studio Cosmetologist 27/1 Novosibirsk Studio Massage on the Lazurny Ulzelazuraya 24 Novosibirskkabinet manicure and pedicure in the Iskitimivoczal 4 Iskitim studio of manicure in Iskitimepushkina 24 Iskitim studio of beauty on the main street 49s. Lebedevo Central 49 Novosibirsknr_Geticaulis Sibiryakov-Gvardeytsy 51/1 Novosibirsk Masters. Leninskoye DNT Opin spaces 3 Novosibirskm`Egiadrien Leshen 29/1 Novosibirsk Center Dr. Ermakovakmunistic Street 50 Novosibirskpunkpunchte of issuing goods Yummigamishak 15 Novosibirskdenchik_v_bankenishegodskaya 27/1 Novosibirskophis Tsetti 77 Novosibirsk Studio JAZAKARY Avenue 86/2 Novosibirskholy Hell Narodnaya 8 Novosibirskhochaskhoproprospect of Dzerzhinsky 14/2 Novosibirskmassage cabinet Healthy spine Kirova 29 Novosibirsklook at Tatto Rozhkli Prospekt 65 Novosibirskshkoye School of emotional awareness just live Kububovaya 88 Novosibirsk Studio Smooth &amp; Solutionsrp. Linevo 4th microdistrict 9A Novosibirskkrikunova Lashaleksandra Chistyakova 2/1 Novosibirskna-Production Center Vector-VITAPARITARISTION 2 Novosibirskclinic BEAUTYULICA KROPOTKINA 132 Novosibirskkabinet-aesthetist Cosmasmic Soviet Taulitsa Zabalueva 96 Novosibirskkapaproskostcheva 74/1 Novosibirskparikmarkhmakhorerskaya Usteninina 4 Toguchinmedician center Life -Life Tula 142 Novosibirskparikmachmachmerek Laizasovite 204 K1 Iskimmax Style Studio. Verkh-Tula working 20 Novosibirsk Studio of the Beauty of Anna Sibiryakov-Gvardeytsy 51/1 Novosibirsk Companies Auto Auto Tolmachevskaya 21A Novosibirsk Companies for the Cargo Transportation Partner Communist 2 Novosibirskshkhol Machkalyana Kirov 113 Novosibirsk Medical Medical School Kalulitsa Yesenin 67 Novosibirsk Mmedician Migration Central City District 630000 Military Street 21 Novosibirskmitsubishi GDI Service Street 8/14 Novosibirskzoocenter Tafiulitsa Plakhotnaya 74/1 Novosibirsk Studio No. Zeleny Boro 7 Novosibirskskinological Club Siberia-Altyprota 82 Novosibirsk Studio Breding Kos Marinosulitsa Bolshevik 103 Novosibirsk Studio Depilation Epil_magic_nskulitsa Petukhova 162 Novosibirskbuti-Studio LUKSOPHIA 18 Novosibirsk sports club Dzerzhinetszerzhinsky district 630124 Dovator street 11 Novosibirsklub swimming Aqua Swimsovet street 60b Novosibirskbrows &amp; Lash.vnvkamena 74 Novosibirsk Center MS.Dermaulitsa Mikhai La Kulagina 29/1 Novosibirsksalo Beauty July Dzerzhinsky 32 NovosibirskanabrowGurokurokamenskaya 55 Novosibirskmedician laboratory of Littekhulitsa of the Heroes of the Revolution 23/1 Novosibirskkabynet Masakakiyaster Avenue 153g Novosibirsk Studio Massage LPG.figuragorsky microdistrict 8 NovosibirskBeauty Timekhov 69 K2 Novosibirskmassage Salon on Health 20 Novosibirsk Studio Correction of the Lillepshdadi 8 Novosibirskkabysk Kopabits on the Kotovsky Kotovokotovsky street 17 Siberian beauty on the Marine Prospekemorskaya Prospekt 58 Novosibirsk-school-studio-Studio Glagrp. Village 18 Koltsovoofp for children of the Korokorolev 8 Novosibirskmaster Strizhekulitsa Petukhova 12/4 Novosibirskkabinet massage therapist-aesthetistafedoseeva 2 Novosibirskvetliderfadeeva 66/5 Novosibirskdet Center for Correction and Speech of the Speech of the GUREVIELICA 42 Novosibirsklusinnia microdigns 32 Issecimima 32 Iskimima The extinguishing cabinet in the okitimeyuzhny microdistrict 55b is a look -out look. Marusino Street Gorky 42a Novosibirsksalo Beauty La Belles. Verkh-Tula Rainbow microdistrict 17/3 NovosibirskppTichkina lashessmicraion Green Bor 7 Novosibirskysky Visa Center Carround Magistral 16 Novosibirsk Flower Workshop 51 Novosibirskpunch at the Weith-Station 16 Novosibirskhoreographic Studio Skittelsulitsa Pen Tukhova 95/4 NovosibirskBogini Nielielitz Michurin 12a Novosibirskrvani Burgerulitsa Dusi Kovalchuk 187 Kiosk Novosibirsk Shopics House on Komsomolskaya Ulitses. Bagan Komsomolskaya 38b Novosibirskpecarny Batonrp. Kochenevo School 72 Novosibirskteddy Loftsteper 15 Overcomplex of the Atlantulita Tolstoy 133 Novosibirsk Shopics Bitcomlenin 112 Tatarskvitservisulis Chaplygina 35 Novosibirsk Center of Pre-Supervision Preparation of the Avtodode1th Krasnogorsky lane 41a Novosibirskkofeyni WAYULIA 67 Siberian store spare parts for the career and construction equipment of ZKTLIKOV 21 Novosibirskvs organizations with reviews and rating in Novosibirskavtomakaavtosovtoskolyaerobicaearobicaeerobicaerobicaerobicaerogaban and Saunabaseynabaseynabaseynablesparoplastilogolnitsybolingurger-grier service service of the Vetapteaptegiptegiptegiptegi-Detach-DETTENTENT ENSUMENTARIC CENTERS SADDISServised and drinking consultation of the Maslazo-Parquesobakaraoka-Barykatkaka-presideter store stores (KT) Computed clubs of clubs inekerossfittekrug -round -loser carpilled veterinary clinics carpilled clothing and shoe round -up restaurant -rustle -rustle -rustle -bonding salons and spacro -logo -round -shaped fitness fitness clubs English courses Massagerals manicaces hairdresses Hairdresses Hairdressions grain epilation of the bonding of the cerebral cerebral of household Technics stores of children's clothing and shoes of inexpensive clothing and shoes of lower linen stores Shuvils Shopics Shops stores Sports shops Sports clothing stores Supreme shops fabric stores Flower shops, Nailing, eyelashing eyelash-club clubs with dancing Bannias. Hairwoman and houses of resty-a-a-a-pilespilatespirapypyrapirsing salon reception of gynecologist entertainment of thectogenenlasticastrodomasauns and baths where you can do with their foods from the basin-sequences for delivery Floval Sports and Fitnesserization Cosemonelization of Coscustril Strage of Dogs (Gruming) Construction and Repair Railway Disvaluables of Folk consumption of consumption of glasses of vessels of the head of the head and neck services for the business services for animal services of laundry rooms with basic polloorography polloorography for documents STKA Salon Motorchimitable INCAL CONSTRUCTIONS ObSCISTRALS AND Gynecology Cygunzykhikhayhanytyka faces of the Personnel Schools of Dance Shugaring add a place to add access access to Organizations Help of vacancies about the "Zoon" media about us Zoon in other cities Blogue contacts of the error-tell us by clicking Ctrl +Enter phone: +7 (495) 660-39-16 Email: Corp@zoon.ru Address: 125252 Moscow g Chapaevsky PER HOUSE 14 FOREAR 2. OGRN: 1157746291878 Conditions for using the confidentiality policy of ZUN LLC-an IT company that provides customers with a software license to attract customers and manage a reputation on the network due to automated modules. Zun LLC carries out activities in the field of information technology. Type of activity (code): 62.09</v>
      </c>
    </row>
    <row r="389">
      <c r="A389" s="1" t="s">
        <v>1218</v>
      </c>
      <c r="B389" s="1" t="s">
        <v>1253</v>
      </c>
      <c r="C389" s="1" t="s">
        <v>1254</v>
      </c>
      <c r="D389" s="1">
        <v>11.0</v>
      </c>
      <c r="E389" s="4" t="s">
        <v>1255</v>
      </c>
      <c r="F389" s="1" t="s">
        <v>16</v>
      </c>
      <c r="I389" s="2">
        <v>3.0</v>
      </c>
      <c r="J389" s="5" t="str">
        <f>IFERROR(__xludf.DUMMYFUNCTION("GOOGLETRANSLATE(A389)"),"DNS")</f>
        <v>DNS</v>
      </c>
      <c r="K389" s="6" t="str">
        <f>IFERROR(__xludf.DUMMYFUNCTION("GOOGLETRANSLATE(B389)"),"DNS store in Novosibirsk - Swamp")</f>
        <v>DNS store in Novosibirsk - Swamp</v>
      </c>
      <c r="L389" s="5" t="str">
        <f>IFERROR(__xludf.DUMMYFUNCTION("GOOGLETRANSLATE(C389)"),"The DNS store in Novosibirsk at the Novosibirsk Region, Bolotnoye, Ul 50 years of October, D 1, how to get, prices, phone number, rating, work schedule.")</f>
        <v>The DNS store in Novosibirsk at the Novosibirsk Region, Bolotnoye, Ul 50 years of October, D 1, how to get, prices, phone number, rating, work schedule.</v>
      </c>
      <c r="M389" s="5" t="str">
        <f>IFERROR(__xludf.DUMMYFUNCTION("GOOGLETRANSLATE(G389)"),"#VALUE!")</f>
        <v>#VALUE!</v>
      </c>
    </row>
    <row r="390">
      <c r="A390" s="1" t="s">
        <v>1218</v>
      </c>
      <c r="B390" s="1" t="s">
        <v>1256</v>
      </c>
      <c r="C390" s="1" t="s">
        <v>1257</v>
      </c>
      <c r="D390" s="1">
        <v>12.0</v>
      </c>
      <c r="E390" s="4" t="s">
        <v>1258</v>
      </c>
      <c r="F390" s="1" t="s">
        <v>16</v>
      </c>
      <c r="G390" s="1" t="s">
        <v>1259</v>
      </c>
      <c r="H390" s="4" t="s">
        <v>1260</v>
      </c>
      <c r="I390" s="2">
        <v>3.0</v>
      </c>
      <c r="J390" s="5" t="str">
        <f>IFERROR(__xludf.DUMMYFUNCTION("GOOGLETRANSLATE(A390)"),"DNS")</f>
        <v>DNS</v>
      </c>
      <c r="K390" s="6" t="str">
        <f>IFERROR(__xludf.DUMMYFUNCTION("GOOGLETRANSLATE(B390)"),"DNS Shop in St. Petersburg - Addresses on the map and reviews")</f>
        <v>DNS Shop in St. Petersburg - Addresses on the map and reviews</v>
      </c>
      <c r="L390" s="5" t="str">
        <f>IFERROR(__xludf.DUMMYFUNCTION("GOOGLETRANSLATE(C390)"),"DNS Shop addresses in St. Petersburg ... Bad! The store has good sellers, delivery is very bad. The manager transfers to the courier, the courier mumbles nothing to say ...")</f>
        <v>DNS Shop addresses in St. Petersburg ... Bad! The store has good sellers, delivery is very bad. The manager transfers to the courier, the courier mumbles nothing to say ...</v>
      </c>
      <c r="M390" s="5" t="str">
        <f>IFERROR(__xludf.DUMMYFUNCTION("GOOGLETRANSLATE(G390)"),"Directory of St. Petersburg-Phones and addresses of organizations of St. Petersburg menus of St. Petersburg St. Petersburgarogrossiyakosiakanblargograd Voronezh Ekaterinburg Irkutsk Krasnoyarsk Moscow Nizhny Novgorod Novosibirsk Omsk Perm Ryazan Samara Sa"&amp;"mara Saratov Saratov Smolen SK Togliatti Tula Tyumen Ufa Chelyabinsk all cities of Russia Dnipro Zaporozhye Kiev Lviv Odessa Kharkov all the cities of Ukraine Almaty Karaganda Kostanay Nur Sultan (Astana) Pavlodar Ust-Kamenogorsk All cities of Kazakhstan "&amp;"Brest Grodsk Grodsk Minsk Mogilev all cities Belarus Motor Showsalons Banks Veterinary clinic clinic stores of furniture Medical centers Remes Lones Beauty of taxi service Dental clinics insurance companies Construction companies Trade centers of travel a"&amp;"gency fitness Clubs of dry cleaning schools of foreign languages ​​Jewelry stores all reference books Find the School of Organizations St. Petersburg-Popular Paul Subskavtosalones470 Auto Service663 Auto-School 332 Driving Agencies Pharmacies15 Rent of sp"&amp;"ecial equipment471 Ateliers for sewing clothing620 banks128 bars18 basins6 accounting courses74 Bureau of translations 208 Bicycle stores186 Veterinary pharmacies183 Veterinary clinics271 Wine stores169 Gymnasium112 Gynecological clinics171 Hypermarkets1 "&amp;"Fe242 Cinemas80 Cleaning companies 22 Bookstores310 Computer stores Children's clothing195 Toy stores544 Skin stores and fur stores kitchen 628 stores furniture255 Lower underwear stores 695 Shoes Schools312 Clothing stores553 Gifts Gifts 560 stores I nee"&amp;"dle it 282 Slate shops525 SPRIEDS OF SPIRITS 386 Shops 95 Shoes and discs505 Power tool stores MFC62 stretch ceilings538 bakery71 Plastic windows137 Plastic surgery 116 Sushi-bars клубы305 Химчистки92 Центры йоги9 Чайные магазины330 Шиномонтаж139 Школы ин"&amp;"остранных языков515 Школы танцев542 Ювелирные магазины684 Юридические компании92 Автобизнес Бытовая техника Госучреждения Детские товары Досуг и развлечения Другие организации Здоровье и спорт Информационные технологии Искусство Магазины Мебель Медицина М"&amp;"ода и красота Недвижимость Образование Одежда и обувь Охрана и безопасность Полиграфия Предметы интерьера Products of food manufacturers and suppliers Other services Advertising Services Restaurants Restaurants and Cafe Social Organizations Reference and "&amp;"Media Construction Construction materials Telecommunications goods for home transport tourism and rest services for animal services for the population Services Electronics Legal Services St. Petersburg Service Petershofa58 In St. Petersburg Boxberry 274 r"&amp;"eviews Boxberry H&amp;M 17 reviews H&amp;M intimissimi 22 INTIMISSIMI LAMODA 370 reviews Lamoda Love Republic 2 reviews Love Republic Nike Obi 112 reviews OBII OSTIN 124 reviews of Ostin Rendez Vous 115 Reviews Rendez Vous Reserved 132 Reserved SPSR- Express 432 "&amp;"SPSR-Express SunLight 706 reviews SunLight Tommy Hilfiger 2 Excavigns Tommy Hilfiger Zara 33 Zara Alfa Bank 696 Reviews Alfa Auchan 384 Excitage Beeline 624 review Gazelkin 84 Gazelkin Gazelkin Gazelkin Gazelkin Gazelkin Permarket Okay 424 review hypermar"&amp;"ket Oksa Gloria Jeans 96 reviews Gloria Jeans Tenser COMP 234 RECRESS TOGARTOVKOF DECHEL 166 Reviews DECHEL MIR 549 Reviews Children's world daughters Sons 624 Dishenta Son Comus 57 Reviews Coffee House 119 Reviews Coffee House Haus Lenta 428 Lyuroa Merle"&amp;"n 617 Reviews Merlen Merlen Merlen Merlen Merlen Merlen Merlen Video Shop Shop 6 reviews store Leonardo stores 585 Gold 108 reviews stores 585 Gold magnet 662 Magnit Magnit Moscow Jewelry Plant 383 REMOMS Moscow Jewelry Plant First Bit 53 Rive Gosh 447 Re"&amp;"views Rive Rive Rivf Rosselkhozbank 281 Reviews Rosselzbank Sberbank 967 Reviews Sberbank Sberbank SDAK ​​164 7 Reviews SDEK Citylink 535 Reviews Citylink Sportmaster 315 reviews Sportmaster Tausovichkof 188 Reviews Taxovichkof your 316 reviews of your re"&amp;"views 19 reviews Palych's 467 reviews Surname Eldorado 516 reviews Eldorado Reviews about the companies of St. Petersburg Popular Section Makers of Medicine Medicine Medicine Medicine Details and shoes Repair transportation tutorials and rest Information "&amp;"Policy Confidentiality Regions+ Add Communication company use the mailing address: mail@kitabi.ru")</f>
        <v>Directory of St. Petersburg-Phones and addresses of organizations of St. Petersburg menus of St. Petersburg St. Petersburgarogrossiyakosiakanblargograd Voronezh Ekaterinburg Irkutsk Krasnoyarsk Moscow Nizhny Novgorod Novosibirsk Omsk Perm Ryazan Samara Samara Saratov Saratov Smolen SK Togliatti Tula Tyumen Ufa Chelyabinsk all cities of Russia Dnipro Zaporozhye Kiev Lviv Odessa Kharkov all the cities of Ukraine Almaty Karaganda Kostanay Nur Sultan (Astana) Pavlodar Ust-Kamenogorsk All cities of Kazakhstan Brest Grodsk Grodsk Minsk Mogilev all cities Belarus Motor Showsalons Banks Veterinary clinic clinic stores of furniture Medical centers Remes Lones Beauty of taxi service Dental clinics insurance companies Construction companies Trade centers of travel agency fitness Clubs of dry cleaning schools of foreign languages ​​Jewelry stores all reference books Find the School of Organizations St. Petersburg-Popular Paul Subskavtosalones470 Auto Service663 Auto-School 332 Driving Agencies Pharmacies15 Rent of special equipment471 Ateliers for sewing clothing620 banks128 bars18 basins6 accounting courses74 Bureau of translations 208 Bicycle stores186 Veterinary pharmacies183 Veterinary clinics271 Wine stores169 Gymnasium112 Gynecological clinics171 Hypermarkets1 Fe242 Cinemas80 Cleaning companies 22 Bookstores310 Computer stores Children's clothing195 Toy stores544 Skin stores and fur stores kitchen 628 stores furniture255 Lower underwear stores 695 Shoes Schools312 Clothing stores553 Gifts Gifts 560 stores I needle it 282 Slate shops525 SPRIEDS OF SPIRITS 386 Shops 95 Shoes and discs505 Power tool stores MFC62 stretch ceilings538 bakery71 Plastic windows137 Plastic surgery 116 Sushi-bars клубы305 Химчистки92 Центры йоги9 Чайные магазины330 Шиномонтаж139 Школы иностранных языков515 Школы танцев542 Ювелирные магазины684 Юридические компании92 Автобизнес Бытовая техника Госучреждения Детские товары Досуг и развлечения Другие организации Здоровье и спорт Информационные технологии Искусство Магазины Мебель Медицина Мода и красота Недвижимость Образование Одежда и обувь Охрана и безопасность Полиграфия Предметы интерьера Products of food manufacturers and suppliers Other services Advertising Services Restaurants Restaurants and Cafe Social Organizations Reference and Media Construction Construction materials Telecommunications goods for home transport tourism and rest services for animal services for the population Services Electronics Legal Services St. Petersburg Service Petershofa58 In St. Petersburg Boxberry 274 reviews Boxberry H&amp;M 17 reviews H&amp;M intimissimi 22 INTIMISSIMI LAMODA 370 reviews Lamoda Love Republic 2 reviews Love Republic Nike Obi 112 reviews OBII OSTIN 124 reviews of Ostin Rendez Vous 115 Reviews Rendez Vous Reserved 132 Reserved SPSR- Express 432 SPSR-Express SunLight 706 reviews SunLight Tommy Hilfiger 2 Excavigns Tommy Hilfiger Zara 33 Zara Alfa Bank 696 Reviews Alfa Auchan 384 Excitage Beeline 624 review Gazelkin 84 Gazelkin Gazelkin Gazelkin Gazelkin Gazelkin Permarket Okay 424 review hypermarket Oksa Gloria Jeans 96 reviews Gloria Jeans Tenser COMP 234 RECRESS TOGARTOVKOF DECHEL 166 Reviews DECHEL MIR 549 Reviews Children's world daughters Sons 624 Dishenta Son Comus 57 Reviews Coffee House 119 Reviews Coffee House Haus Lenta 428 Lyuroa Merlen 617 Reviews Merlen Merlen Merlen Merlen Merlen Merlen Merlen Video Shop Shop 6 reviews store Leonardo stores 585 Gold 108 reviews stores 585 Gold magnet 662 Magnit Magnit Moscow Jewelry Plant 383 REMOMS Moscow Jewelry Plant First Bit 53 Rive Gosh 447 Reviews Rive Rive Rivf Rosselkhozbank 281 Reviews Rosselzbank Sberbank 967 Reviews Sberbank Sberbank SDAK ​​164 7 Reviews SDEK Citylink 535 Reviews Citylink Sportmaster 315 reviews Sportmaster Tausovichkof 188 Reviews Taxovichkof your 316 reviews of your reviews 19 reviews Palych's 467 reviews Surname Eldorado 516 reviews Eldorado Reviews about the companies of St. Petersburg Popular Section Makers of Medicine Medicine Medicine Medicine Details and shoes Repair transportation tutorials and rest Information Policy Confidentiality Regions+ Add Communication company use the mailing address: mail@kitabi.ru</v>
      </c>
    </row>
    <row r="391">
      <c r="A391" s="1" t="s">
        <v>1218</v>
      </c>
      <c r="B391" s="1" t="s">
        <v>1261</v>
      </c>
      <c r="C391" s="1" t="s">
        <v>1262</v>
      </c>
      <c r="D391" s="1">
        <v>13.0</v>
      </c>
      <c r="E391" s="4" t="s">
        <v>1263</v>
      </c>
      <c r="F391" s="1" t="s">
        <v>16</v>
      </c>
      <c r="G391" s="1" t="s">
        <v>1264</v>
      </c>
      <c r="H391" s="4" t="s">
        <v>1265</v>
      </c>
      <c r="I391" s="2">
        <v>1.0</v>
      </c>
      <c r="J391" s="5" t="str">
        <f>IFERROR(__xludf.DUMMYFUNCTION("GOOGLETRANSLATE(A391)"),"DNS")</f>
        <v>DNS</v>
      </c>
      <c r="K391" s="6" t="str">
        <f>IFERROR(__xludf.DUMMYFUNCTION("GOOGLETRANSLATE(B391)"),"DNS Settings with registrars - Tilda Help Center")</f>
        <v>DNS Settings with registrars - Tilda Help Center</v>
      </c>
      <c r="L391" s="5" t="str">
        <f>IFERROR(__xludf.DUMMYFUNCTION("GOOGLETRANSLATE(C391)"),"For a domain that needs to be configured, find the “DNS” control section. Click “+Add another entry” and select the type of recording A. Click on the IKNOKA with ...")</f>
        <v>For a domain that needs to be configured, find the “DNS” control section. Click “+Add another entry” and select the type of recording A. Click on the IKNOKA with ...</v>
      </c>
      <c r="M391" s="5" t="str">
        <f>IFERROR(__xludf.DUMMYFUNCTION("GOOGLETRANSLATE(G391)"),"Reference Center Reference Center for the work of the work of the workload is arranged tilditioning a new pages of the page of the page in another accommodation of the page order and httpskak to buy a domain to connect the domain on the DNS of Tilda Instr"&amp;"uctions for the popular registration assignment when connecting domaining HTTPS (SSL serience ) How to make mail for domaining site -site -site site Domenashapa Site and basement -heading pinting page https. HTTPS creation of packet -editing pages to make"&amp;" menicacious references to the page Publishing a pages of a page to other peremilory work with the cover version of the site sitagid on seo -pooppantimization of the SEOPOPPIPPICAL SAVICIAL SAM ookkak make a blog gearing aids the target add a search for a"&amp;" deliberate gap and soft carrier to save the page in the pdfkak Create a template -cuttage to make online -S Write out of the “List of Pages” Clickable Email and the television collection of the site in social networks input of data of the loading data an"&amp;"d scrolls to change the color of the icon tilda icons-storenitanneter and receiving payment of commodities for goods for goods with a basket of payment systems for payment systems of order Sorry without payment of online sale of one product With the choic"&amp;"e of parameterians, delivery of delivery products for purchase air cassub form of datamailGoogle acceptance tables tablechimpgoogle FormssendgridsENEGETRESPONSPONINISENISENISENEMAMAMAMAMAGAPHAROMONBIROCHOL MtelegramslackzapiernotiontrellosalesalesForcehub"&amp;"spotSendinbluepipedrive data redignment for server scripts toasts Siteakak Statistics Stagandexagoogle Analytics Send data on vilian EBookpixel VKontaktegoogle Tag Managerseogid on Seozero Block. Highly Continclical Designing Modular Mesh -Gorgery Clay An"&amp;"imation -step -haired animation -enemigger animation of the figmazor designer. Lettering of mailing trifles and payment plans for auto -casual -cave -free payments for the payment of Personal to Business are more than more developing aircraft. Plugin for "&amp;"WordPress INFECTIONS INFORMATIONS INSCRIPENDENDENAROCOLOKENTRARY SETAMS STRICTIONAL PROPRENLELLALINE-MARDINGRIDZERO BLOCK DISTRICTOR Tilder Tilda Detailed Instructions for Functions Frequently asked questions of an introductory tour and useful links Searc"&amp;"h sections start work How Tilda is arranged DOMEN TILDOME DOMEN TILDIOSHKI DO DO NOME DOMENT Show everything → Site settings of the hat and basement fonts ⭐️ The main page of the folder editing of the siteafavicon (icon in the tab) show everything → Page "&amp;"editing how to make menus with the covers of the mobile version of the mobile version with the page ⭐️ show everything → online store → online store → online store Online store and receiving payments ⭐️ Work with the basket catalog and adding goods to the"&amp;" options and options for goods of payment systems ⭐️ Delivery services show everything → Forms of data acceptance setting ⭐️ Emailda CRM ⭐️Google Gratitude tables show all → Statistics of the site built-in static static stations site ⭐️ Statistics of onli"&amp;"ne store Yandex.Metricias Google Analyticss Division Google Tag Managerpixel Facebook show everything → SEO guide for Seo ⭐️ How to add a site in Google and Yandexpanel SEO Recommendations for the site ⭐️ Curlier Tags h1 h2 h3kak add keywords show everyth"&amp;"ing → Zero Block Starting work Knowledgeable accountukak download invoice With Personal on Business, it is more to show more sites → Streams and News How to make a blogging streams on the site ⭐️Seo setting post -ogle AMP and Yandex.Troboding comments to "&amp;"posts show everything → Designer of letters Presentation of the Designer of Letters Creation and Submission of Salmages of Sending Sending Subjects for the Code Show everything with a paid mailing list → Developers Insert Code insertion to the code page i"&amp;"n the Head Setexport Siteapi Sitaapi Sinection Store Street Store on Webhook Plagin for WordPress show everything → Popular queries How to Connect your Domencake to Move your Made On Tildkak. Connect the HTTPS protocol. To add the phavicon (site icon for "&amp;"Browser)? How to connect forms how to add a link to a specific place on the page you can see changes after publication, create a page to copy a page to improve SEO how to make your block using zero Blocks insert a html-kodkak adjust the mobile version to "&amp;"make menus to convert a standard block into zero Block how to make the Internet to make the Internet -Sagingde to see examples of site sites to work in Tildekak to change the Personal tariff for Busryskak to pay to cashless questions and answers → Video t"&amp;"utorials → Video tutorials → How to make one-page site 35:12 How to make an online store 26:24 How to make a multi-page site 20:30 how to make a blog 16: 10 Step -by -step animation in Tilda 11:44 Work in the editor began to work how to work in a text edi"&amp;"tor how to configure the form how to make a site menu how to configure a hat and basement zero Block in a live broadcast of step -by -step animation rubber layout of the site how to transfer a mock -up from a graphic editor Tilda has a difficult animation"&amp;" in Zero Block Settings of the site how to connect data reception services multilingual site on Tilde how to configure the basket how to add goods options on how to make convenient navigation on the site how to work in Tilda CRM design a site grid on Tild"&amp;"a: how to put a visual order as a designer on tilda To receive the first orders of the site typographic on Tilda where the designer on Tilda Put the portfolio show more video → Find the designer in Tilda Experts to find a proven artist for your project, f"&amp;"ill out the brief at the Tilda Experts site and get the responses of relevant experts. Read more → Tilda Education → Educational Journal of the Platform for creating websites Tilda Publinging. Practical design and marketing guidelines for digital projects"&amp;". Creation of Landing Page Free online contribution that will teach to create effective planting pages online marketing from scratch online educational institution that will teach to work with web analytics and advance on social networks. Design in the di"&amp;"gital environment about the stages of work on web design theory of design and development Visual taste Animation in the Web Free online study from which you will learn about types of web animation and rules for its use Creation of the Site how to create a"&amp;" site. Step-by-step guide how to make an online store on your own how to make beautiful articles on Tilda Tips for creating navigation Design Chek List: Design errors where to find pictures for a site or article How to make a site cover for the choice of "&amp;"font Zero Block Marketing How to write a text for a landing SEO website promotion on Tilde Creating an e-mail mailing list How to find and fix the errors of seo Personalization of the Landering Advertising and SMM how to assemble a list of key phrases for"&amp;" playing advertising step-by-step guide for start-ups for newcomers to a step-by-step guide for launching a facebook for newcomers Promotion on social networks is more materials → Tilda.cc Tilda Education Video tutors Webinars Blog telling about the viola"&amp;"tion of rights if you think that the user Tilda Publicing violates your rights to send us through the form of support for consultations on the functions of the platform use the feedback form in your personal Cabinet or write on team@tilda.cc for accountin"&amp;"g to get closing documents or confirmation of payment - write to docs@tilda.cc make on tilda")</f>
        <v>Reference Center Reference Center for the work of the work of the workload is arranged tilditioning a new pages of the page of the page in another accommodation of the page order and httpskak to buy a domain to connect the domain on the DNS of Tilda Instructions for the popular registration assignment when connecting domaining HTTPS (SSL serience ) How to make mail for domaining site -site -site site Domenashapa Site and basement -heading pinting page https. HTTPS creation of packet -editing pages to make menicacious references to the page Publishing a pages of a page to other peremilory work with the cover version of the site sitagid on seo -pooppantimization of the SEOPOPPIPPICAL SAVICIAL SAM ookkak make a blog gearing aids the target add a search for a deliberate gap and soft carrier to save the page in the pdfkak Create a template -cuttage to make online -S Write out of the “List of Pages” Clickable Email and the television collection of the site in social networks input of data of the loading data and scrolls to change the color of the icon tilda icons-storenitanneter and receiving payment of commodities for goods for goods with a basket of payment systems for payment systems of order Sorry without payment of online sale of one product With the choice of parameterians, delivery of delivery products for purchase air cassub form of datamailGoogle acceptance tables tablechimpgoogle FormssendgridsENEGETRESPONSPONINISENISENISENEMAMAMAMAMAGAPHAROMONBIROCHOL MtelegramslackzapiernotiontrellosalesalesForcehubspotSendinbluepipedrive data redignment for server scripts toasts Siteakak Statistics Stagandexagoogle Analytics Send data on vilian EBookpixel VKontaktegoogle Tag Managerseogid on Seozero Block. Highly Continclical Designing Modular Mesh -Gorgery Clay Animation -step -haired animation -enemigger animation of the figmazor designer. Lettering of mailing trifles and payment plans for auto -casual -cave -free payments for the payment of Personal to Business are more than more developing aircraft. Plugin for WordPress INFECTIONS INFORMATIONS INSCRIPENDENDENAROCOLOKENTRARY SETAMS STRICTIONAL PROPRENLELLALINE-MARDINGRIDZERO BLOCK DISTRICTOR Tilder Tilda Detailed Instructions for Functions Frequently asked questions of an introductory tour and useful links Search sections start work How Tilda is arranged DOMEN TILDOME DOMEN TILDIOSHKI DO DO NOME DOMENT Show everything → Site settings of the hat and basement fonts ⭐️ The main page of the folder editing of the siteafavicon (icon in the tab) show everything → Page editing how to make menus with the covers of the mobile version of the mobile version with the page ⭐️ show everything → online store → online store → online store Online store and receiving payments ⭐️ Work with the basket catalog and adding goods to the options and options for goods of payment systems ⭐️ Delivery services show everything → Forms of data acceptance setting ⭐️ Emailda CRM ⭐️Google Gratitude tables show all → Statistics of the site built-in static static stations site ⭐️ Statistics of online store Yandex.Metricias Google Analyticss Division Google Tag Managerpixel Facebook show everything → SEO guide for Seo ⭐️ How to add a site in Google and Yandexpanel SEO Recommendations for the site ⭐️ Curlier Tags h1 h2 h3kak add keywords show everything → Zero Block Starting work Knowledgeable accountukak download invoice With Personal on Business, it is more to show more sites → Streams and News How to make a blogging streams on the site ⭐️Seo setting post -ogle AMP and Yandex.Troboding comments to posts show everything → Designer of letters Presentation of the Designer of Letters Creation and Submission of Salmages of Sending Sending Subjects for the Code Show everything with a paid mailing list → Developers Insert Code insertion to the code page in the Head Setexport Siteapi Sitaapi Sinection Store Street Store on Webhook Plagin for WordPress show everything → Popular queries How to Connect your Domencake to Move your Made On Tildkak. Connect the HTTPS protocol. To add the phavicon (site icon for Browser)? How to connect forms how to add a link to a specific place on the page you can see changes after publication, create a page to copy a page to improve SEO how to make your block using zero Blocks insert a html-kodkak adjust the mobile version to make menus to convert a standard block into zero Block how to make the Internet to make the Internet -Sagingde to see examples of site sites to work in Tildekak to change the Personal tariff for Busryskak to pay to cashless questions and answers → Video tutorials → Video tutorials → How to make one-page site 35:12 How to make an online store 26:24 How to make a multi-page site 20:30 how to make a blog 16: 10 Step -by -step animation in Tilda 11:44 Work in the editor began to work how to work in a text editor how to configure the form how to make a site menu how to configure a hat and basement zero Block in a live broadcast of step -by -step animation rubber layout of the site how to transfer a mock -up from a graphic editor Tilda has a difficult animation in Zero Block Settings of the site how to connect data reception services multilingual site on Tilde how to configure the basket how to add goods options on how to make convenient navigation on the site how to work in Tilda CRM design a site grid on Tilda: how to put a visual order as a designer on tilda To receive the first orders of the site typographic on Tilda where the designer on Tilda Put the portfolio show more video → Find the designer in Tilda Experts to find a proven artist for your project, fill out the brief at the Tilda Experts site and get the responses of relevant experts. Read more → Tilda Education → Educational Journal of the Platform for creating websites Tilda Publinging. Practical design and marketing guidelines for digital projects. Creation of Landing Page Free online contribution that will teach to create effective planting pages online marketing from scratch online educational institution that will teach to work with web analytics and advance on social networks. Design in the digital environment about the stages of work on web design theory of design and development Visual taste Animation in the Web Free online study from which you will learn about types of web animation and rules for its use Creation of the Site how to create a site. Step-by-step guide how to make an online store on your own how to make beautiful articles on Tilda Tips for creating navigation Design Chek List: Design errors where to find pictures for a site or article How to make a site cover for the choice of font Zero Block Marketing How to write a text for a landing SEO website promotion on Tilde Creating an e-mail mailing list How to find and fix the errors of seo Personalization of the Landering Advertising and SMM how to assemble a list of key phrases for playing advertising step-by-step guide for start-ups for newcomers to a step-by-step guide for launching a facebook for newcomers Promotion on social networks is more materials → Tilda.cc Tilda Education Video tutors Webinars Blog telling about the violation of rights if you think that the user Tilda Publicing violates your rights to send us through the form of support for consultations on the functions of the platform use the feedback form in your personal Cabinet or write on team@tilda.cc for accounting to get closing documents or confirmation of payment - write to docs@tilda.cc make on tilda</v>
      </c>
    </row>
    <row r="392">
      <c r="A392" s="1" t="s">
        <v>1218</v>
      </c>
      <c r="B392" s="1" t="s">
        <v>1266</v>
      </c>
      <c r="C392" s="1" t="s">
        <v>1267</v>
      </c>
      <c r="D392" s="1">
        <v>14.0</v>
      </c>
      <c r="E392" s="4" t="s">
        <v>1268</v>
      </c>
      <c r="F392" s="1" t="s">
        <v>16</v>
      </c>
      <c r="G392" s="1" t="s">
        <v>1269</v>
      </c>
      <c r="H392" s="4" t="s">
        <v>1270</v>
      </c>
      <c r="I392" s="2">
        <v>3.0</v>
      </c>
      <c r="J392" s="5" t="str">
        <f>IFERROR(__xludf.DUMMYFUNCTION("GOOGLETRANSLATE(A392)"),"DNS")</f>
        <v>DNS</v>
      </c>
      <c r="K392" s="6" t="str">
        <f>IFERROR(__xludf.DUMMYFUNCTION("GOOGLETRANSLATE(B392)"),"Program of profitable purchases Prozapass")</f>
        <v>Program of profitable purchases Prozapass</v>
      </c>
      <c r="L392" s="5" t="str">
        <f>IFERROR(__xludf.DUMMYFUNCTION("GOOGLETRANSLATE(C392)"),"Any product participating in the Prozapass program in stores or on DNS network sites. The number of bonuses accrued for the goods can be seen next to ...")</f>
        <v>Any product participating in the Prozapass program in stores or on DNS network sites. The number of bonuses accrued for the goods can be seen next to ...</v>
      </c>
      <c r="M392" s="5" t="str">
        <f>IFERROR(__xludf.DUMMYFUNCTION("GOOGLETRANSLATE(G392)"),"The program of profitable purchases Prozapass program of profitable purchases Prozapass are frequently asked questions why participate in the program? How to save bonuses? How to spend bonuses? What are bonuses? How to get a card? If the card is already i"&amp;"n the program? We will return part of the Prozapass program to Prozapass program. Personal bonus account. And you are pleased and we don’t feel sorry! You make purchases and automatically get bonuses for your bonus accounted bonuses. You can get a discoun"&amp;"t of up to 100% of the cost of new purchases. How to save bonuses? Get bonuses when buying a Prozapass program in stores or on network sites DNS. The redness of bonuses accrued for the goods can be seen next to the price of each product participating in t"&amp;"he Prozapass program. Immediately after registering on the site and confirming the phone number you open a bonus account and from this moment you can save bonuses. How to spend bonuses? Get discounts when purchasing a product! When buying in a store, you "&amp;"need to present a card at the checkout until the purchase is paid. Balance in your personal account to get a balance on SMS, bonuses become active 15 days after they are accrued on the card. (Read more) Bonuses should be spent within 365 calendar days fro"&amp;"m the moment of the last activity on a bonus card. (Read more) Bonuses can be spent when buying any types of goods and services, except: Gift cards for payment of insurance products payment of contributions for any types of loans for delivery services for"&amp;" the installation and dismantling of large -sized equipment. What are bonuses? 1 accumulated bonus - this is 1 ruble of discounts! Simply and without deception! How to get a card? Two simple ways to receive a bonus card Prozapass: 1. Super simple way to g"&amp;"et a card contact the sales consultant in any of the DNS 2. MEGA SIMPLEMENT MACHER A CARE OF THE SITS AND ABOUT THE MOST MOST MOST MOST MOVE NUMBER Phone. What is your phone number to the seller of any of the DNS chain stores and get a bonus card. (Read m"&amp;"ore) already has an account!? Enter the site place the order by setting the flag ""Register in the bonus program"" and you will become a participant in the bonus program. Only an individual who is 18 years old at the time of registration can receive a car"&amp;"d. If the card is already there, register on the site and copy Online bonuses! If you have already been issued in the DNS chain store Prozapass and you want to make purchases in an online store with bonuses on your card, you should register on the site an"&amp;"d confirm your phone number and place the order by setting the flag ""Register in the bonus program."" You can find out how many bonuses on your card can be in your personal account and for sellers in the chain of stores. Get service by phone number. Do n"&amp;"ot keep and do not look for a bunch of papers on the purchase of goods,")</f>
        <v>The program of profitable purchases Prozapass program of profitable purchases Prozapass are frequently asked questions why participate in the program? How to save bonuses? How to spend bonuses? What are bonuses? How to get a card? If the card is already in the program? We will return part of the Prozapass program to Prozapass program. Personal bonus account. And you are pleased and we don’t feel sorry! You make purchases and automatically get bonuses for your bonus accounted bonuses. You can get a discount of up to 100% of the cost of new purchases. How to save bonuses? Get bonuses when buying a Prozapass program in stores or on network sites DNS. The redness of bonuses accrued for the goods can be seen next to the price of each product participating in the Prozapass program. Immediately after registering on the site and confirming the phone number you open a bonus account and from this moment you can save bonuses. How to spend bonuses? Get discounts when purchasing a product! When buying in a store, you need to present a card at the checkout until the purchase is paid. Balance in your personal account to get a balance on SMS, bonuses become active 15 days after they are accrued on the card. (Read more) Bonuses should be spent within 365 calendar days from the moment of the last activity on a bonus card. (Read more) Bonuses can be spent when buying any types of goods and services, except: Gift cards for payment of insurance products payment of contributions for any types of loans for delivery services for the installation and dismantling of large -sized equipment. What are bonuses? 1 accumulated bonus - this is 1 ruble of discounts! Simply and without deception! How to get a card? Two simple ways to receive a bonus card Prozapass: 1. Super simple way to get a card contact the sales consultant in any of the DNS 2. MEGA SIMPLEMENT MACHER A CARE OF THE SITS AND ABOUT THE MOST MOST MOST MOST MOVE NUMBER Phone. What is your phone number to the seller of any of the DNS chain stores and get a bonus card. (Read more) already has an account!? Enter the site place the order by setting the flag "Register in the bonus program" and you will become a participant in the bonus program. Only an individual who is 18 years old at the time of registration can receive a card. If the card is already there, register on the site and copy Online bonuses! If you have already been issued in the DNS chain store Prozapass and you want to make purchases in an online store with bonuses on your card, you should register on the site and confirm your phone number and place the order by setting the flag "Register in the bonus program." You can find out how many bonuses on your card can be in your personal account and for sellers in the chain of stores. Get service by phone number. Do not keep and do not look for a bunch of papers on the purchase of goods,</v>
      </c>
    </row>
    <row r="393">
      <c r="A393" s="1" t="s">
        <v>1218</v>
      </c>
      <c r="B393" s="1" t="s">
        <v>1271</v>
      </c>
      <c r="D393" s="1">
        <v>15.0</v>
      </c>
      <c r="E393" s="4" t="s">
        <v>1272</v>
      </c>
      <c r="F393" s="1" t="s">
        <v>16</v>
      </c>
      <c r="G393" s="1" t="s">
        <v>1273</v>
      </c>
      <c r="H393" s="4" t="s">
        <v>1274</v>
      </c>
      <c r="I393" s="2">
        <v>3.0</v>
      </c>
      <c r="J393" s="5" t="str">
        <f>IFERROR(__xludf.DUMMYFUNCTION("GOOGLETRANSLATE(A393)"),"DNS")</f>
        <v>DNS</v>
      </c>
      <c r="K393" s="6" t="str">
        <f>IFERROR(__xludf.DUMMYFUNCTION("GOOGLETRANSLATE(B393)"),"DNS Development")</f>
        <v>DNS Development</v>
      </c>
      <c r="L393" s="5" t="str">
        <f>IFERROR(__xludf.DUMMYFUNCTION("GOOGLETRANSLATE(C393)"),"#VALUE!")</f>
        <v>#VALUE!</v>
      </c>
      <c r="M393" s="5" t="str">
        <f>IFERROR(__xludf.DUMMYFUNCTION("GOOGLETRANSLATE(G393)"),"DNS Development of the company Project -Zakopkupkakanisi on the Naskontaktyo company Pro -Kakkakakiyaptyavalis Yankovsky format -building plant Primeriadns Citizagorized settlement Garden in the School in the LCD Format Zvakavakakaksimi on Nastaktyrus /EN"&amp;"GAVALIS OF YANKOVSKY YANKOVSKY YANKOVSKY The Far East to the page of the project of the Primorye Primorye Plant in the Nadezhdinskaya torus with a capacity to 150,000 sq.m. On the page of the project-Asagorized village ready-made house in a well-maintaine"&amp;"d village on the page of the project, residential buildings-affordable housing modern technologies for construction on the project Projects of public-private partnerships School and kindergarten in the Format LCD Contact us 8 (423) 279-56 -53")</f>
        <v>DNS Development of the company Project -Zakopkupkakanisi on the Naskontaktyo company Pro -Kakkakakiyaptyavalis Yankovsky format -building plant Primeriadns Citizagorized settlement Garden in the School in the LCD Format Zvakavakakaksimi on Nastaktyrus /ENGAVALIS OF YANKOVSKY YANKOVSKY YANKOVSKY The Far East to the page of the project of the Primorye Primorye Plant in the Nadezhdinskaya torus with a capacity to 150,000 sq.m. On the page of the project-Asagorized village ready-made house in a well-maintained village on the page of the project, residential buildings-affordable housing modern technologies for construction on the project Projects of public-private partnerships School and kindergarten in the Format LCD Contact us 8 (423) 279-56 -53</v>
      </c>
    </row>
    <row r="394">
      <c r="A394" s="1" t="s">
        <v>1218</v>
      </c>
      <c r="B394" s="1" t="s">
        <v>1275</v>
      </c>
      <c r="C394" s="1" t="s">
        <v>1276</v>
      </c>
      <c r="D394" s="1">
        <v>16.0</v>
      </c>
      <c r="E394" s="4" t="s">
        <v>1277</v>
      </c>
      <c r="F394" s="1" t="s">
        <v>16</v>
      </c>
      <c r="I394" s="2">
        <v>3.0</v>
      </c>
      <c r="J394" s="5" t="str">
        <f>IFERROR(__xludf.DUMMYFUNCTION("GOOGLETRANSLATE(A394)"),"DNS")</f>
        <v>DNS</v>
      </c>
      <c r="K394" s="6" t="str">
        <f>IFERROR(__xludf.DUMMYFUNCTION("GOOGLETRANSLATE(B394)"),"DNS (DNS) - digital and household appliances - installments with ...")</f>
        <v>DNS (DNS) - digital and household appliances - installments with ...</v>
      </c>
      <c r="L394" s="5" t="str">
        <f>IFERROR(__xludf.DUMMYFUNCTION("GOOGLETRANSLATE(C394)"),"Installment up to 12 months. Without overpayments and the initial contribution on the Halva card in the DNS (DNS) - digital and household appliances - installment plan with the Halva card. Order ...")</f>
        <v>Installment up to 12 months. Without overpayments and the initial contribution on the Halva card in the DNS (DNS) - digital and household appliances - installment plan with the Halva card. Order ...</v>
      </c>
      <c r="M394" s="5" t="str">
        <f>IFERROR(__xludf.DUMMYFUNCTION("GOOGLETRANSLATE(G394)"),"#VALUE!")</f>
        <v>#VALUE!</v>
      </c>
    </row>
    <row r="395">
      <c r="A395" s="1" t="s">
        <v>1218</v>
      </c>
      <c r="B395" s="1" t="s">
        <v>1278</v>
      </c>
      <c r="C395" s="1" t="s">
        <v>1279</v>
      </c>
      <c r="D395" s="1">
        <v>17.0</v>
      </c>
      <c r="E395" s="4" t="s">
        <v>1280</v>
      </c>
      <c r="F395" s="1" t="s">
        <v>16</v>
      </c>
      <c r="G395" s="1" t="s">
        <v>1281</v>
      </c>
      <c r="H395" s="4" t="s">
        <v>1282</v>
      </c>
      <c r="I395" s="2">
        <v>1.0</v>
      </c>
      <c r="J395" s="5" t="str">
        <f>IFERROR(__xludf.DUMMYFUNCTION("GOOGLETRANSLATE(A395)"),"DNS")</f>
        <v>DNS</v>
      </c>
      <c r="K395" s="6" t="str">
        <f>IFERROR(__xludf.DUMMYFUNCTION("GOOGLETRANSLATE(B395)"),"Setting up resource records on hosting")</f>
        <v>Setting up resource records on hosting</v>
      </c>
      <c r="L395" s="5" t="str">
        <f>IFERROR(__xludf.DUMMYFUNCTION("GOOGLETRANSLATE(C395)"),"Read about the appointment of resource records in the article: What are DNS resource recordings? This instruction will suit you if you have ordered a hosting reg.ru and for domain ...")</f>
        <v>Read about the appointment of resource records in the article: What are DNS resource recordings? This instruction will suit you if you have ordered a hosting reg.ru and for domain ...</v>
      </c>
      <c r="M395" s="5" t="str">
        <f>IFERROR(__xludf.DUMMYFUNCTION("GOOGLETRANSLATE(G395)"),"Help | Reg.ru Buy Korzina open maleuphois Reg. Sitting all -storage systems and ordering hosting, and connecting the site on the hosting of reg. Rog to all -in -area server to order all classical VPSs and controls. Working with VPS to order all-up servers"&amp;" and dCDedicatedColocation to order all-SSL-SSL-SSL-SSL-to-order SSL-Service Region REG REGS REGS REGS. Payment of the funds of the funds to order the All -Partna Partnant Program Program Program Processing the All -legal issues of the Truth of the Pravda"&amp;" -calling all video certificates Popular general information about personal data and legal grounds for paying: how to set and pay for what hosting is in simple words what is a domain (domain name) Policy of Promotionality Office of Reg.ru LLC What is DNS "&amp;"in simple words to place a ready -made site on the Internet Settleing Reg.ru Lifhaki Discounts and IT news Subscribe to sign You accept the rules for mailing products domain hosting creation of sites reg. Oblako servers and DC SSL Services Services Use Ba"&amp;"se Base documents WHOIS Documents of domains of domains EDO Partners to report violation of the company Contacts Offices of Promotions and Discounts of the event Blog Reviews of customers +7 495 580 –11-11 phone in Moscow 8 800 555-34-78 Free call in Russ"&amp;"ia VK Telegram Ok Moikrug Youtube Twitter Banking card Siberpay QIWI Poshek Yumony Cash Cash Cashless Translation All Methods of payment Found a typo LLC ""Reg.ru"" Legal information and rules of use We use cookies. Having continued to work with the site,"&amp;" you agree with the policy of processing personal data and the rules for using the site. Well, please turn on JavaScript for the correct operation of this page. How to enable JavaScript")</f>
        <v>Help | Reg.ru Buy Korzina open maleuphois Reg. Sitting all -storage systems and ordering hosting, and connecting the site on the hosting of reg. Rog to all -in -area server to order all classical VPSs and controls. Working with VPS to order all-up servers and dCDedicatedColocation to order all-SSL-SSL-SSL-SSL-to-order SSL-Service Region REG REGS REGS REGS. Payment of the funds of the funds to order the All -Partna Partnant Program Program Program Processing the All -legal issues of the Truth of the Pravda -calling all video certificates Popular general information about personal data and legal grounds for paying: how to set and pay for what hosting is in simple words what is a domain (domain name) Policy of Promotionality Office of Reg.ru LLC What is DNS in simple words to place a ready -made site on the Internet Settleing Reg.ru Lifhaki Discounts and IT news Subscribe to sign You accept the rules for mailing products domain hosting creation of sites reg. Oblako servers and DC SSL Services Services Use Base Base documents WHOIS Documents of domains of domains EDO Partners to report violation of the company Contacts Offices of Promotions and Discounts of the event Blog Reviews of customers +7 495 580 –11-11 phone in Moscow 8 800 555-34-78 Free call in Russia VK Telegram Ok Moikrug Youtube Twitter Banking card Siberpay QIWI Poshek Yumony Cash Cash Cashless Translation All Methods of payment Found a typo LLC "Reg.ru" Legal information and rules of use We use cookies. Having continued to work with the site, you agree with the policy of processing personal data and the rules for using the site. Well, please turn on JavaScript for the correct operation of this page. How to enable JavaScript</v>
      </c>
    </row>
    <row r="396">
      <c r="A396" s="1" t="s">
        <v>1218</v>
      </c>
      <c r="B396" s="1" t="s">
        <v>1283</v>
      </c>
      <c r="C396" s="1" t="s">
        <v>1284</v>
      </c>
      <c r="D396" s="1">
        <v>3.0</v>
      </c>
      <c r="E396" s="4" t="s">
        <v>1285</v>
      </c>
      <c r="F396" s="1" t="s">
        <v>43</v>
      </c>
      <c r="G396" s="1" t="s">
        <v>1286</v>
      </c>
      <c r="H396" s="4" t="s">
        <v>1287</v>
      </c>
      <c r="I396" s="2">
        <v>3.0</v>
      </c>
      <c r="J396" s="5" t="str">
        <f>IFERROR(__xludf.DUMMYFUNCTION("GOOGLETRANSLATE(A396)"),"DNS")</f>
        <v>DNS</v>
      </c>
      <c r="K396" s="6" t="str">
        <f>IFERROR(__xludf.DUMMYFUNCTION("GOOGLETRANSLATE(B396)"),"Public DNS | Google for Developers")</f>
        <v>Public DNS | Google for Developers</v>
      </c>
      <c r="L396" s="5" t="str">
        <f>IFERROR(__xludf.DUMMYFUNCTION("GOOGLETRANSLATE(C396)"),"A free, global DNS resolution service that you can use as an alternative to your current DNS provider.")</f>
        <v>A free, global DNS resolution service that you can use as an alternative to your current DNS provider.</v>
      </c>
      <c r="M396" s="5" t="str">
        <f>IFERROR(__xludf.DUMMYFUNCTION("GOOGLETRANSLATE(G396)"),"Google for Developers - from AI and Cloud to Mobile and Web    Products      Develop                      Android                                          Chrome                                          ChromeOS                                          Cl"&amp;"oud                                          Firebase                                          Flutter                                          Google Assistant                                          Google Maps Platform                                 "&amp;"         Google Workspace                                          TensorFlow                                          YouTube                    Grow                      Firebase                                          Google Ads                       "&amp;"                   Google Analytics                                          Google Play                                          Search                                          Web Push and Notification APIs                    Earn                      A"&amp;"dMob                                          Google Ads API                                          Google Pay                                          Google Play Billing                                          Interactive Media Ads                   "&amp;"     Solutions          Events          Learn          Community      Groups                      Google Developer Groups                                          Google Developer Student Clubs                                          Women Techmakers    "&amp;"                                      Google Developer Experts                                          Tech Equity Collective                    Programs                      Accelerator                                          Solution Challenge        "&amp;"                                  DevFest                    Stories                      All Stories                        Developer Profile          Blog      EnglishDeutschEspañolEspañol – América LatinaFrançaisIndonesiaItalianoPolskiPortuguês – Brasi"&amp;"lTiếng ViệtTürkçeРусскийעבריתالعربيّةفارسیहिंदीবাংলাภาษาไทย中文 – 简体中文 – 繁體日本語한국어Sign in      Products         More         Solutions         Events         Learn         Community         More         Developer Profile         Blog         Develop       "&amp;"  Android         Chrome         ChromeOS         Cloud         Firebase         Flutter         Google Assistant         Google Maps Platform         Google Workspace         TensorFlow         YouTube         Grow         Firebase         Google Ads    "&amp;"     Google Analytics         Google Play         Search         Web Push and Notification APIs         Earn         AdMob         Google Ads API         Google Pay         Google Play Billing         Interactive Media Ads         Groups         Google De"&amp;"veloper Groups         Google Developer Student Clubs         Women Techmakers         Google Developer Experts         Tech Equity Collective         Programs         Accelerator         Solution Challenge         DevFest         Stories         All Stor"&amp;"ies    Connect with fellow devs and learn how to build with Google. Find a DevFest near you.             Google for Developers                    Products                            Stay organized with collections                            Save and categ"&amp;"orize content based on your preferences.                          Build smartership faster                        Unlock creativity and simplify your workflow with open integrated solutions.           I'm building for:    Mobile    arrow_forward    Web   "&amp;" arrow_forward    AI    arrow_forward    Cloud    arrow_forward                  Start building today            Android Modern tools to help you build experiences that people love across every Android device.Google Cloud Build apps faster make smarter bu"&amp;"siness decisions and            connect people everywhere.TensorFlow An end-to-end platform that makes it easy to build and            deploy ML models in any environment.Chrome Modern tools and features that help you build high-quality            web exp"&amp;"eriences.Google Play Grow your business improve app quality engage your            audience and earn revenue.Firebase An app development platform that helps you build and grow            apps and games users love.PaLM An easy and safe API to experiment wi"&amp;"th Google's large language models.MakerSuite Quickly prototype generative AI applications in a browser - no ML expertise or coding required.Flutter Build test and deploy beautiful web mobile desktop and            embedded apps from one codebase.Google Ad"&amp;"s Promote your website products and app to the right users            with Google Ads.Kaggle A platform to share machine learning data sets explore and            build models and compete in competitions.Angular The web development framework for building "&amp;"the future.View all developer products                  Trending news                        Apply to the Indie Games Accelerator                    Get mentorship and training to power your game's growth on Google Play. Apply to the 10-week accelerator f"&amp;"or high-potential indie game studios.          Learn more            Join DevFest 2023                    Explore hands-on learning and technical talks. Find a DevFest near you.          Learn more            MakerSuite is now available in 180 countries  "&amp;"                  Sign up now to prototype AI applications with the PaLM 2 language model.          Learn moreWhat's new in Android            Android Studio Giraffe is now stable                    Featuring updates to Live Edit Compose animation preview"&amp;"s a new Device Explorer and more.          Download now            Find an event                    Grow your knowledge through online and in-person developer events.          View events            Improve technical skills                    Keep up with"&amp;" Google technology. Sharpen skills and master new ones.          Start learning            Join a community                    Meet a diverse network no matter where you are on your developer journey.          Explore communities                  Follow G"&amp;"oogle for Developers                              YouTube            Subscribe to join a community of creative developers and learn the latest in Google technology.Learn more                  Instagram            Follow and discover developer resources co"&amp;"mmunity events and inspirational stories.Learn more                  LinkedIn            Join a community of creative developers and learn how to use the latest in technology. Learn more                  X            Join the conversation to discover the "&amp;"latest developer tools resources events and announcements.Learn moreConnect                                  Blog                                                      Instagram                                                      LinkedIn                 "&amp;"                                     Twitter                                                                                              YouTube                    Programs                                  Women Techmakers                                "&amp;"                      Google Developer Groups                                                      Google Developer Experts                                                      Accelerators                                                                  "&amp;"                            Google Developer Student Clubs                    Developer consoles                                  Google API Console                                                      Google Cloud Platform Console                        "&amp;"                              Google Play Console                                                      Firebase Console                                                      Actions on Google Console                                                      Cas"&amp;"t SDK Developer Console                                                                                              Chrome Web Store Dashboard                              Android                  Chrome                  Firebase                  Google "&amp;"Cloud Platform                  All products                  Terms                  Privacy        Sign up for the Google for Developers newsletter          Subscribe        EnglishDeutschEspañolEspañol – América LatinaFrançaisIndonesiaItalianoPolskiPort"&amp;"uguês – BrasilTiếng ViệtTürkçeРусскийעבריתالعربيّةفارسیहिंदीবাংলাภาษาไทย中文 – 简体中文 – 繁體日本語한국어")</f>
        <v>Google for Developers - from AI and Cloud to Mobile and Web    Products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Solutions          Events          Learn          Community      Groups                      Google Developer Groups                                          Google Developer Student Clubs                                          Women Techmakers                                          Google Developer Experts                                          Tech Equity Collective                    Programs                      Accelerator                                          Solution Challenge                                          DevFest                    Stories                      All Stories                        Developer Profile          Blog      EnglishDeutschEspañolEspañol – América LatinaFrançaisIndonesiaItalianoPolskiPortuguês – BrasilTiếng ViệtTürkçeРусскийעבריתالعربيّةفارسیहिंदीবাংলাภาษาไทย中文 – 简体中文 – 繁體日本語한국어Sign in      Products         More         Solutions         Events         Learn         Community         More         Developer Profile         Blog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Groups         Google Developer Groups         Google Developer Student Clubs         Women Techmakers         Google Developer Experts         Tech Equity Collective         Programs         Accelerator         Solution Challenge         DevFest         Stories         All Stories    Connect with fellow devs and learn how to build with Google. Find a DevFest near you.             Google for Developers                    Products                            Stay organized with collections                            Save and categorize content based on your preferences.                          Build smartership faster                        Unlock creativity and simplify your workflow with open integrated solutions.           I'm building for:    Mobile    arrow_forward    Web    arrow_forward    AI    arrow_forward    Cloud    arrow_forward                  Start building today            Android Modern tools to help you build experiences that people love across every Android device.Google Cloud Build apps faster make smarter business decisions and            connect people everywhere.TensorFlow An end-to-end platform that makes it easy to build and            deploy ML models in any environment.Chrome Modern tools and features that help you build high-quality            web experiences.Google Play Grow your business improve app quality engage your            audience and earn revenue.Firebase An app development platform that helps you build and grow            apps and games users love.PaLM An easy and safe API to experiment with Google's large language models.MakerSuite Quickly prototype generative AI applications in a browser - no ML expertise or coding required.Flutter Build test and deploy beautiful web mobile desktop and            embedded apps from one codebase.Google Ads Promote your website products and app to the right users            with Google Ads.Kaggle A platform to share machine learning data sets explore and            build models and compete in competitions.Angular The web development framework for building the future.View all developer products                  Trending news                        Apply to the Indie Games Accelerator                    Get mentorship and training to power your game's growth on Google Play. Apply to the 10-week accelerator for high-potential indie game studios.          Learn more            Join DevFest 2023                    Explore hands-on learning and technical talks. Find a DevFest near you.          Learn more            MakerSuite is now available in 180 countries                    Sign up now to prototype AI applications with the PaLM 2 language model.          Learn moreWhat's new in Android            Android Studio Giraffe is now stable                    Featuring updates to Live Edit Compose animation previews a new Device Explorer and more.          Download now            Find an event                    Grow your knowledge through online and in-person developer events.          View events            Improve technical skills                    Keep up with Google technology. Sharpen skills and master new ones.          Start learning            Join a community                    Meet a diverse network no matter where you are on your developer journey.          Explore communities                  Follow Google for Developers                              YouTube            Subscribe to join a community of creative developers and learn the latest in Google technology.Learn more                  Instagram            Follow and discover developer resources community events and inspirational stories.Learn more                  LinkedIn            Join a community of creative developers and learn how to use the latest in technology. Learn more                  X            Join the conversation to discover the latest developer tools resources events and announcements.Learn moreConnect                                  Blog                                                      Instagram                                                      LinkedIn                                                      Twitter                                                                                              YouTube                    Programs                                  Women Techmakers                                                      Google Developer Groups                                                      Google Developer Experts                                                      Accelerators                                                                                              Google Developer Student Clubs                    Developer consoles                                  Google API Console                                                      Google Cloud Platform Console                                                      Google Play Console                                                      Firebase Console                                                      Actions on Google Console                                                      Cast SDK Developer Console                                                                                              Chrome Web Store Dashboard                              Android                  Chrome                  Firebase                  Google Cloud Platform                  All products                  Terms                  Privacy        Sign up for the Google for Developers newsletter          Subscribe        EnglishDeutschEspañolEspañol – América LatinaFrançaisIndonesiaItalianoPolskiPortuguês – BrasilTiếng ViệtTürkçeРусскийעבריתالعربيّةفارسیहिंदीবাংলাภาษาไทย中文 – 简体中文 – 繁體日本語한국어</v>
      </c>
    </row>
    <row r="397">
      <c r="A397" s="1" t="s">
        <v>1218</v>
      </c>
      <c r="B397" s="1" t="s">
        <v>1288</v>
      </c>
      <c r="C397" s="1" t="s">
        <v>1289</v>
      </c>
      <c r="D397" s="1">
        <v>4.0</v>
      </c>
      <c r="E397" s="4" t="s">
        <v>1290</v>
      </c>
      <c r="F397" s="1" t="s">
        <v>43</v>
      </c>
      <c r="G397" s="1" t="s">
        <v>1286</v>
      </c>
      <c r="H397" s="4" t="s">
        <v>1287</v>
      </c>
      <c r="I397" s="2">
        <v>3.0</v>
      </c>
      <c r="J397" s="5" t="str">
        <f>IFERROR(__xludf.DUMMYFUNCTION("GOOGLETRANSLATE(A397)"),"DNS")</f>
        <v>DNS</v>
      </c>
      <c r="K397" s="6" t="str">
        <f>IFERROR(__xludf.DUMMYFUNCTION("GOOGLETRANSLATE(B397)"),"Get Started | Public DNS")</f>
        <v>Get Started | Public DNS</v>
      </c>
      <c r="L397" s="5" t="str">
        <f>IFERROR(__xludf.DUMMYFUNCTION("GOOGLETRANSLATE(C397)"),"Configure your network settings to use Google Public DNS. When you use Google Public DNS, you are changing your DNS ""switchboard"" operator from your ISP to ...")</f>
        <v>Configure your network settings to use Google Public DNS. When you use Google Public DNS, you are changing your DNS "switchboard" operator from your ISP to ...</v>
      </c>
      <c r="M397" s="5" t="str">
        <f>IFERROR(__xludf.DUMMYFUNCTION("GOOGLETRANSLATE(G397)"),"Google for Developers - from AI and Cloud to Mobile and Web    Products      Develop                      Android                                          Chrome                                          ChromeOS                                          Cl"&amp;"oud                                          Firebase                                          Flutter                                          Google Assistant                                          Google Maps Platform                                 "&amp;"         Google Workspace                                          TensorFlow                                          YouTube                    Grow                      Firebase                                          Google Ads                       "&amp;"                   Google Analytics                                          Google Play                                          Search                                          Web Push and Notification APIs                    Earn                      A"&amp;"dMob                                          Google Ads API                                          Google Pay                                          Google Play Billing                                          Interactive Media Ads                   "&amp;"     Solutions          Events          Learn          Community      Groups                      Google Developer Groups                                          Google Developer Student Clubs                                          Women Techmakers    "&amp;"                                      Google Developer Experts                                          Tech Equity Collective                    Programs                      Accelerator                                          Solution Challenge        "&amp;"                                  DevFest                    Stories                      All Stories                        Developer Profile          Blog      EnglishDeutschEspañolEspañol – América LatinaFrançaisIndonesiaItalianoPolskiPortuguês – Brasi"&amp;"lTiếng ViệtTürkçeРусскийעבריתالعربيّةفارسیहिंदीবাংলাภาษาไทย中文 – 简体中文 – 繁體日本語한국어Sign in      Products         More         Solutions         Events         Learn         Community         More         Developer Profile         Blog         Develop       "&amp;"  Android         Chrome         ChromeOS         Cloud         Firebase         Flutter         Google Assistant         Google Maps Platform         Google Workspace         TensorFlow         YouTube         Grow         Firebase         Google Ads    "&amp;"     Google Analytics         Google Play         Search         Web Push and Notification APIs         Earn         AdMob         Google Ads API         Google Pay         Google Play Billing         Interactive Media Ads         Groups         Google De"&amp;"veloper Groups         Google Developer Student Clubs         Women Techmakers         Google Developer Experts         Tech Equity Collective         Programs         Accelerator         Solution Challenge         DevFest         Stories         All Stor"&amp;"ies    Connect with fellow devs and learn how to build with Google. Find a DevFest near you.             Google for Developers                    Products                            Stay organized with collections                            Save and categ"&amp;"orize content based on your preferences.                          Build smartership faster                        Unlock creativity and simplify your workflow with open integrated solutions.           I'm building for:    Mobile    arrow_forward    Web   "&amp;" arrow_forward    AI    arrow_forward    Cloud    arrow_forward                  Start building today            Android Modern tools to help you build experiences that people love across every Android device.Google Cloud Build apps faster make smarter bu"&amp;"siness decisions and            connect people everywhere.TensorFlow An end-to-end platform that makes it easy to build and            deploy ML models in any environment.Chrome Modern tools and features that help you build high-quality            web exp"&amp;"eriences.Google Play Grow your business improve app quality engage your            audience and earn revenue.Firebase An app development platform that helps you build and grow            apps and games users love.PaLM An easy and safe API to experiment wi"&amp;"th Google's large language models.MakerSuite Quickly prototype generative AI applications in a browser - no ML expertise or coding required.Flutter Build test and deploy beautiful web mobile desktop and            embedded apps from one codebase.Google Ad"&amp;"s Promote your website products and app to the right users            with Google Ads.Kaggle A platform to share machine learning data sets explore and            build models and compete in competitions.Angular The web development framework for building "&amp;"the future.View all developer products                  Trending news                        Apply to the Indie Games Accelerator                    Get mentorship and training to power your game's growth on Google Play. Apply to the 10-week accelerator f"&amp;"or high-potential indie game studios.          Learn more            Join DevFest 2023                    Explore hands-on learning and technical talks. Find a DevFest near you.          Learn more            MakerSuite is now available in 180 countries  "&amp;"                  Sign up now to prototype AI applications with the PaLM 2 language model.          Learn moreWhat's new in Android            Android Studio Giraffe is now stable                    Featuring updates to Live Edit Compose animation preview"&amp;"s a new Device Explorer and more.          Download now            Find an event                    Grow your knowledge through online and in-person developer events.          View events            Improve technical skills                    Keep up with"&amp;" Google technology. Sharpen skills and master new ones.          Start learning            Join a community                    Meet a diverse network no matter where you are on your developer journey.          Explore communities                  Follow G"&amp;"oogle for Developers                              YouTube            Subscribe to join a community of creative developers and learn the latest in Google technology.Learn more                  Instagram            Follow and discover developer resources co"&amp;"mmunity events and inspirational stories.Learn more                  LinkedIn            Join a community of creative developers and learn how to use the latest in technology. Learn more                  X            Join the conversation to discover the "&amp;"latest developer tools resources events and announcements.Learn moreConnect                                  Blog                                                      Instagram                                                      LinkedIn                 "&amp;"                                     Twitter                                                                                              YouTube                    Programs                                  Women Techmakers                                "&amp;"                      Google Developer Groups                                                      Google Developer Experts                                                      Accelerators                                                                  "&amp;"                            Google Developer Student Clubs                    Developer consoles                                  Google API Console                                                      Google Cloud Platform Console                        "&amp;"                              Google Play Console                                                      Firebase Console                                                      Actions on Google Console                                                      Cas"&amp;"t SDK Developer Console                                                                                              Chrome Web Store Dashboard                              Android                  Chrome                  Firebase                  Google "&amp;"Cloud Platform                  All products                  Terms                  Privacy        Sign up for the Google for Developers newsletter          Subscribe        EnglishDeutschEspañolEspañol – América LatinaFrançaisIndonesiaItalianoPolskiPort"&amp;"uguês – BrasilTiếng ViệtTürkçeРусскийעבריתالعربيّةفارسیहिंदीবাংলাภาษาไทย中文 – 简体中文 – 繁體日本語한국어")</f>
        <v>Google for Developers - from AI and Cloud to Mobile and Web    Products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Solutions          Events          Learn          Community      Groups                      Google Developer Groups                                          Google Developer Student Clubs                                          Women Techmakers                                          Google Developer Experts                                          Tech Equity Collective                    Programs                      Accelerator                                          Solution Challenge                                          DevFest                    Stories                      All Stories                        Developer Profile          Blog      EnglishDeutschEspañolEspañol – América LatinaFrançaisIndonesiaItalianoPolskiPortuguês – BrasilTiếng ViệtTürkçeРусскийעבריתالعربيّةفارسیहिंदीবাংলাภาษาไทย中文 – 简体中文 – 繁體日本語한국어Sign in      Products         More         Solutions         Events         Learn         Community         More         Developer Profile         Blog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Groups         Google Developer Groups         Google Developer Student Clubs         Women Techmakers         Google Developer Experts         Tech Equity Collective         Programs         Accelerator         Solution Challenge         DevFest         Stories         All Stories    Connect with fellow devs and learn how to build with Google. Find a DevFest near you.             Google for Developers                    Products                            Stay organized with collections                            Save and categorize content based on your preferences.                          Build smartership faster                        Unlock creativity and simplify your workflow with open integrated solutions.           I'm building for:    Mobile    arrow_forward    Web    arrow_forward    AI    arrow_forward    Cloud    arrow_forward                  Start building today            Android Modern tools to help you build experiences that people love across every Android device.Google Cloud Build apps faster make smarter business decisions and            connect people everywhere.TensorFlow An end-to-end platform that makes it easy to build and            deploy ML models in any environment.Chrome Modern tools and features that help you build high-quality            web experiences.Google Play Grow your business improve app quality engage your            audience and earn revenue.Firebase An app development platform that helps you build and grow            apps and games users love.PaLM An easy and safe API to experiment with Google's large language models.MakerSuite Quickly prototype generative AI applications in a browser - no ML expertise or coding required.Flutter Build test and deploy beautiful web mobile desktop and            embedded apps from one codebase.Google Ads Promote your website products and app to the right users            with Google Ads.Kaggle A platform to share machine learning data sets explore and            build models and compete in competitions.Angular The web development framework for building the future.View all developer products                  Trending news                        Apply to the Indie Games Accelerator                    Get mentorship and training to power your game's growth on Google Play. Apply to the 10-week accelerator for high-potential indie game studios.          Learn more            Join DevFest 2023                    Explore hands-on learning and technical talks. Find a DevFest near you.          Learn more            MakerSuite is now available in 180 countries                    Sign up now to prototype AI applications with the PaLM 2 language model.          Learn moreWhat's new in Android            Android Studio Giraffe is now stable                    Featuring updates to Live Edit Compose animation previews a new Device Explorer and more.          Download now            Find an event                    Grow your knowledge through online and in-person developer events.          View events            Improve technical skills                    Keep up with Google technology. Sharpen skills and master new ones.          Start learning            Join a community                    Meet a diverse network no matter where you are on your developer journey.          Explore communities                  Follow Google for Developers                              YouTube            Subscribe to join a community of creative developers and learn the latest in Google technology.Learn more                  Instagram            Follow and discover developer resources community events and inspirational stories.Learn more                  LinkedIn            Join a community of creative developers and learn how to use the latest in technology. Learn more                  X            Join the conversation to discover the latest developer tools resources events and announcements.Learn moreConnect                                  Blog                                                      Instagram                                                      LinkedIn                                                      Twitter                                                                                              YouTube                    Programs                                  Women Techmakers                                                      Google Developer Groups                                                      Google Developer Experts                                                      Accelerators                                                                                              Google Developer Student Clubs                    Developer consoles                                  Google API Console                                                      Google Cloud Platform Console                                                      Google Play Console                                                      Firebase Console                                                      Actions on Google Console                                                      Cast SDK Developer Console                                                                                              Chrome Web Store Dashboard                              Android                  Chrome                  Firebase                  Google Cloud Platform                  All products                  Terms                  Privacy        Sign up for the Google for Developers newsletter          Subscribe        EnglishDeutschEspañolEspañol – América LatinaFrançaisIndonesiaItalianoPolskiPortuguês – BrasilTiếng ViệtTürkçeРусскийעבריתالعربيّةفارسیहिंदीবাংলাภาษาไทย中文 – 简体中文 – 繁體日本語한국어</v>
      </c>
    </row>
    <row r="398">
      <c r="A398" s="1" t="s">
        <v>1218</v>
      </c>
      <c r="B398" s="1" t="s">
        <v>1291</v>
      </c>
      <c r="C398" s="1" t="s">
        <v>1292</v>
      </c>
      <c r="D398" s="1">
        <v>6.0</v>
      </c>
      <c r="E398" s="4" t="s">
        <v>1293</v>
      </c>
      <c r="F398" s="1" t="s">
        <v>43</v>
      </c>
      <c r="G398" s="1" t="s">
        <v>1294</v>
      </c>
      <c r="H398" s="4" t="s">
        <v>1295</v>
      </c>
      <c r="I398" s="2">
        <v>3.0</v>
      </c>
      <c r="J398" s="5" t="str">
        <f>IFERROR(__xludf.DUMMYFUNCTION("GOOGLETRANSLATE(A398)"),"DNS")</f>
        <v>DNS</v>
      </c>
      <c r="K398" s="6" t="str">
        <f>IFERROR(__xludf.DUMMYFUNCTION("GOOGLETRANSLATE(B398)"),"What is DNS? | How DNS works")</f>
        <v>What is DNS? | How DNS works</v>
      </c>
      <c r="L398" s="5" t="str">
        <f>IFERROR(__xludf.DUMMYFUNCTION("GOOGLETRANSLATE(C398)"),"DNS, or the domain name system, is the phonebook of the Internet, connecting web browsers with websites. Learn more about how DNS works and what DNS servers ...")</f>
        <v>DNS, or the domain name system, is the phonebook of the Internet, connecting web browsers with websites. Learn more about how DNS works and what DNS servers ...</v>
      </c>
      <c r="M398" s="5" t="str">
        <f>IFERROR(__xludf.DUMMYFUNCTION("GOOGLETRANSLATE(G398)"),"Cloudflare - The Web Performance &amp; Security Company | CloudflareSolutionsBy needBy industryPublic interestNeed help choosing?Contact SalesProductsOur productsFor your employeesFor apps and infrastructureFor developersConsumer servicesNeed help choosing?Vi"&amp;"ew What's NewContact SalesPricingOur plans &amp; pricingEnterprise planCompare all plansNeed help choosing?View FAQsContact SalesResourcesDocumentationGetting StartedApplication SecurityApplication ServicesZero Trust ServicesNetwork ServicesInsightsDeveloper "&amp;"PlatformAPIResource hubLearningTrends &amp; insightsBlogCloudflare TVCommunity forumGet helpContact SalesPartnersChannel &amp; alliance partnersTechnology partnersPeering portalPartner networkPartner NetworkWhy CloudflareWhy choose CloudflareLearn about Cloudflar"&amp;"eComparisonsWhy trust CloudflareResource hubBlogEnterprise level servicesExplore case studiesContact SalesSign upSign upUnder attack?Under attack?Log inLog inSupportContact SupportHelp CenterCloudflare CommunityLost account access?Utility Nav - Sign UpSig"&amp;"n UpLog InLog Inskip to contentSales: +1 (650) 319 8930+1 (650) 319 8930SupportSign UpLog InSolutionsProductsPricingResourcesPartnersWhy CloudflareSupportUnder attack?Sales: +1 (650) 319 8930Sign upContact SalesSign upUnder attack?Log inSign Up|Log InSolu"&amp;"tionsProductsPricingResourcesPartnersWhy CloudflareSupportUnder attack?Sales: +1 (650) 319 8930Sign upContact SalesDiscover the connectivity cloudRegain control while connecting and protecting your people apps and data everywhere.Learn moreControlRegain v"&amp;"isibility and control of IT and security across on-prem public cloud SaaS and the InternetSecurityImprove security and resilience while reducing your attack surface vendor count and tool sprawlSpeedAccelerate application and network performance while rapi"&amp;"dly developing new applicationsCostReduce cost and complexity to reinvest resources in your highest prioritiesContact salesPowered by an intelligent global network our connectivity cloud is a unified platform that helps your business work deliver and inno"&amp;"vate everywhere.SASE and SSE servicesConnect and secure your employees contractors devices networks apps and data everywhere they live.Explore SASE / SSEApp and infrastructure servicesGive your digital products and services top-notch security reliability "&amp;"and performance for customers everywhere.Explore appsExplore infrastructureDeveloper servicesEasily build and deploy full-stack applications everywhere thanks to integrated compute storage and networking.Explore developer servicesWant to speak with an exp"&amp;"ert?Get in touchWhat’s newSlide 1 of 9BlogDDoS attacks surged by 65% in Q3 and included thousands of hyper-volumetric threats.Read the blogMagic Network Monitoring gives customers end-to-end visibility into all network trafficRead the blogHow Prisma saved"&amp;" 98% on distribution costs after switching to Cloudflare R2Read the blogPressRead our press release on the HTTP/2 Rapid Reset attack campaign and Cloudflare’s responseRead press releasePressNewsweek certifies Cloudflare as one of the Most Loved Workplaces"&amp;" in 2023Learn morePressCloudflare delivers single-vendor Secure Access Service Edge (SASE)Learn moreBlogWhy Cloudflare is the only post quantum-enabled Zero Trust providerRead the blogBlogEmail Security RetroScan catches the threats your security provider"&amp;" missedRead the blogBlogNow available for everyone: our free private reCAPTCHA alternativeRead the blogBlogDDoS attacks surged by 65% in Q3 and included thousands of hyper-volumetric threats.Read the blogMagic Network Monitoring gives customers end-to-end"&amp;" visibility into all network trafficRead the blogHow Prisma saved 98% on distribution costs after switching to Cloudflare R2Read the blogPressRead our press release on the HTTP/2 Rapid Reset attack campaign and Cloudflare’s responseRead press releasePress"&amp;"Newsweek certifies Cloudflare as one of the Most Loved Workplaces in 2023Learn morePressCloudflare delivers single-vendor Secure Access Service Edge (SASE)Learn moreBlogWhy Cloudflare is the only post quantum-enabled Zero Trust providerRead the blogBlogEm"&amp;"ail Security RetroScan catches the threats your security provider missedRead the blogBlogNow available for everyone: our free private reCAPTCHA alternativeRead the blogBlogDDoS attacks surged by 65% in Q3 and included thousands of hyper-volumetric threats"&amp;".Read the blogMagic Network Monitoring gives customers end-to-end visibility into all network trafficRead the blogHow Prisma saved 98% on distribution costs after switching to Cloudflare R2Read the blogPressRead our press release on the HTTP/2 Rapid Reset"&amp;" attack campaign and Cloudflare’s responseRead press releasePressNewsweek certifies Cloudflare as one of the Most Loved Workplaces in 2023Learn morePressCloudflare delivers single-vendor Secure Access Service Edge (SASE)Learn moreBlogWhy Cloudflare is the"&amp;" only post quantum-enabled Zero Trust providerRead the blogBlogEmail Security RetroScan catches the threats your security provider missedRead the blogBlogNow available for everyone: our free private reCAPTCHA alternativeRead the blogWhat analysts sayA Lea"&amp;"der in Gartner® Magic Quadrant™ for Web Application and API ProtectionGartner has recognized Cloudflare as a Leader in the 2022 ""Gartner® Magic Quadrant™ for Web Application and API Protection (WAAP)"" report that evaluated 11 vendors for their ‘ability "&amp;"to execute’ and ‘completeness of vision’Read the reportCloudflare a Leader in 2023 Forrester Wave™: Enterprise Email SecurityCloudflare tied for the top score in the strategy category and received the highest scores possible in the criteria of vision and "&amp;"innovation.Read the reportCloudflare a Leader in 2023 IDC MarketScape: Zero Trust Network AccessIDC cites Cloudflare's ""aggressive product strategy to support enterprise security needs.""Read the report30% of the Fortune 1000 rely on CloudflareSee how le"&amp;"ading enterprises regain control with CloudflareCloudflare’s connectivity cloud protects 900+ GPC websites giving them complete visibility into threats across their entire digital footprint.Read case studyCloudflare’s connectivity cloud powers Polestar’s "&amp;"global ecommerce and development operations giving them resilience during launches and promotions.Read case studySage leverages Cloudflare to improve application performance and security enhance product development secure user data and streamline their di"&amp;"gital footprint.Read case studySee all case studiesResourcesInsightsEventsNewsInsightEQT reduces complexity with Cloudflare’s connectivity cloudRead case studyInfographicHow a connectivity cloud helps restore control of security and ITView infographicVide"&amp;"oCloudflare’s CIO discusses advice on important CIO prioritiesWatch nowArticleA step-by-step roadmap for your Zero Trust security journeyRead articleArticleSecuring the AI revolutionRead articleBlogInsights from Cloudflare’s latest application security th"&amp;"reat reportRead blogContact a Cloudflare enterprise representativeGet in touchSalesEnterprise SalesBecome a PartnerContact Sales:+1 (650) 319 8930Getting StartedIndustry AnalystsPricingCase StudiesWhite PapersWebinarsLearning CenterCommunityCommunity HubB"&amp;"logProject GalileoAthenian ProjectCloudflare for CampaignsCloudflare TVDevelopersDeveloper HubCloudflare WorkersIntegrationsSupportHelp CenterCloudflare StatusComplianceGDPRTrust &amp; SafetyCompanyAbout CloudflareDiversity Equity &amp; InclusionInvestor Relation"&amp;"sOur TeamPressCareersCloudflare ConnectLogos &amp; Press KitNetwork Map© 2023 Cloudflare Inc.Privacy PolicyTerms of UseReport Security IssuesCookie PreferencesTrademark")</f>
        <v>Cloudflare - The Web Performance &amp; Security Company | CloudflareSolutionsBy needBy industryPublic interestNeed help choosing?Contact SalesProductsOur productsFor your employeesFor apps and infrastructureFor developersConsumer servicesNeed help choosing?View What's NewContact SalesPricingOur plans &amp; pricingEnterprise planCompare all plansNeed help choosing?View FAQsContact SalesResourcesDocumentationGetting StartedApplication SecurityApplication ServicesZero Trust ServicesNetwork ServicesInsightsDeveloper PlatformAPIResource hubLearningTrends &amp; insightsBlogCloudflare TVCommunity forumGet helpContact SalesPartnersChannel &amp; alliance partnersTechnology partnersPeering portalPartner networkPartner NetworkWhy CloudflareWhy choose CloudflareLearn about CloudflareComparisonsWhy trust CloudflareResource hubBlogEnterprise level servicesExplore case studiesContact SalesSign upSign upUnder attack?Under attack?Log inLog inSupportContact SupportHelp CenterCloudflare CommunityLost account access?Utility Nav - Sign UpSign UpLog InLog Inskip to contentSales: +1 (650) 319 8930+1 (650) 319 8930SupportSign UpLog InSolutionsProductsPricingResourcesPartnersWhy CloudflareSupportUnder attack?Sales: +1 (650) 319 8930Sign upContact SalesSign upUnder attack?Log inSign Up|Log InSolutionsProductsPricingResourcesPartnersWhy CloudflareSupportUnder attack?Sales: +1 (650) 319 8930Sign upContact SalesDiscover the connectivity cloudRegain control while connecting and protecting your people apps and data everywhere.Learn moreControlRegain visibility and control of IT and security across on-prem public cloud SaaS and the InternetSecurityImprove security and resilience while reducing your attack surface vendor count and tool sprawlSpeedAccelerate application and network performance while rapidly developing new applicationsCostReduce cost and complexity to reinvest resources in your highest prioritiesContact salesPowered by an intelligent global network our connectivity cloud is a unified platform that helps your business work deliver and innovate everywhere.SASE and SSE servicesConnect and secure your employees contractors devices networks apps and data everywhere they live.Explore SASE / SSEApp and infrastructure servicesGive your digital products and services top-notch security reliability and performance for customers everywhere.Explore appsExplore infrastructureDeveloper servicesEasily build and deploy full-stack applications everywhere thanks to integrated compute storage and networking.Explore developer servicesWant to speak with an expert?Get in touchWhat’s newSlide 1 of 9BlogDDoS attacks surged by 65% in Q3 and included thousands of hyper-volumetric threats.Read the blogMagic Network Monitoring gives customers end-to-end visibility into all network trafficRead the blogHow Prisma saved 98% on distribution costs after switching to Cloudflare R2Read the blogPressRead our press release on the HTTP/2 Rapid Reset attack campaign and Cloudflare’s responseRead press releasePressNewsweek certifies Cloudflare as one of the Most Loved Workplaces in 2023Learn morePressCloudflare delivers single-vendor Secure Access Service Edge (SASE)Learn moreBlogWhy Cloudflare is the only post quantum-enabled Zero Trust providerRead the blogBlogEmail Security RetroScan catches the threats your security provider missedRead the blogBlogNow available for everyone: our free private reCAPTCHA alternativeRead the blogBlogDDoS attacks surged by 65% in Q3 and included thousands of hyper-volumetric threats.Read the blogMagic Network Monitoring gives customers end-to-end visibility into all network trafficRead the blogHow Prisma saved 98% on distribution costs after switching to Cloudflare R2Read the blogPressRead our press release on the HTTP/2 Rapid Reset attack campaign and Cloudflare’s responseRead press releasePressNewsweek certifies Cloudflare as one of the Most Loved Workplaces in 2023Learn morePressCloudflare delivers single-vendor Secure Access Service Edge (SASE)Learn moreBlogWhy Cloudflare is the only post quantum-enabled Zero Trust providerRead the blogBlogEmail Security RetroScan catches the threats your security provider missedRead the blogBlogNow available for everyone: our free private reCAPTCHA alternativeRead the blogBlogDDoS attacks surged by 65% in Q3 and included thousands of hyper-volumetric threats.Read the blogMagic Network Monitoring gives customers end-to-end visibility into all network trafficRead the blogHow Prisma saved 98% on distribution costs after switching to Cloudflare R2Read the blogPressRead our press release on the HTTP/2 Rapid Reset attack campaign and Cloudflare’s responseRead press releasePressNewsweek certifies Cloudflare as one of the Most Loved Workplaces in 2023Learn morePressCloudflare delivers single-vendor Secure Access Service Edge (SASE)Learn moreBlogWhy Cloudflare is the only post quantum-enabled Zero Trust providerRead the blogBlogEmail Security RetroScan catches the threats your security provider missedRead the blogBlogNow available for everyone: our free private reCAPTCHA alternativeRead the blogWhat analysts sayA Leader in Gartner® Magic Quadrant™ for Web Application and API ProtectionGartner has recognized Cloudflare as a Leader in the 2022 "Gartner® Magic Quadrant™ for Web Application and API Protection (WAAP)" report that evaluated 11 vendors for their ‘ability to execute’ and ‘completeness of vision’Read the reportCloudflare a Leader in 2023 Forrester Wave™: Enterprise Email SecurityCloudflare tied for the top score in the strategy category and received the highest scores possible in the criteria of vision and innovation.Read the reportCloudflare a Leader in 2023 IDC MarketScape: Zero Trust Network AccessIDC cites Cloudflare's "aggressive product strategy to support enterprise security needs."Read the report30% of the Fortune 1000 rely on CloudflareSee how leading enterprises regain control with CloudflareCloudflare’s connectivity cloud protects 900+ GPC websites giving them complete visibility into threats across their entire digital footprint.Read case studyCloudflare’s connectivity cloud powers Polestar’s global ecommerce and development operations giving them resilience during launches and promotions.Read case studySage leverages Cloudflare to improve application performance and security enhance product development secure user data and streamline their digital footprint.Read case studySee all case studiesResourcesInsightsEventsNewsInsightEQT reduces complexity with Cloudflare’s connectivity cloudRead case studyInfographicHow a connectivity cloud helps restore control of security and ITView infographicVideoCloudflare’s CIO discusses advice on important CIO prioritiesWatch nowArticleA step-by-step roadmap for your Zero Trust security journeyRead articleArticleSecuring the AI revolutionRead articleBlogInsights from Cloudflare’s latest application security threat reportRead blogContact a Cloudflare enterprise representativeGet in touchSalesEnterprise SalesBecome a PartnerContact Sales:+1 (650) 319 8930Getting StartedIndustry AnalystsPricingCase StudiesWhite PapersWebinarsLearning CenterCommunityCommunity HubBlogProject GalileoAthenian ProjectCloudflare for CampaignsCloudflare TVDevelopersDeveloper HubCloudflare WorkersIntegrationsSupportHelp CenterCloudflare StatusComplianceGDPRTrust &amp; SafetyCompanyAbout CloudflareDiversity Equity &amp; InclusionInvestor RelationsOur TeamPressCareersCloudflare ConnectLogos &amp; Press KitNetwork Map© 2023 Cloudflare Inc.Privacy PolicyTerms of UseReport Security IssuesCookie PreferencesTrademark</v>
      </c>
    </row>
    <row r="399">
      <c r="A399" s="1" t="s">
        <v>1218</v>
      </c>
      <c r="B399" s="1" t="s">
        <v>1296</v>
      </c>
      <c r="C399" s="1" t="s">
        <v>1297</v>
      </c>
      <c r="D399" s="1">
        <v>7.0</v>
      </c>
      <c r="E399" s="4" t="s">
        <v>1298</v>
      </c>
      <c r="F399" s="1" t="s">
        <v>43</v>
      </c>
      <c r="G399" s="1" t="s">
        <v>1110</v>
      </c>
      <c r="H399" s="4" t="s">
        <v>1111</v>
      </c>
      <c r="I399" s="2">
        <v>3.0</v>
      </c>
      <c r="J399" s="5" t="str">
        <f>IFERROR(__xludf.DUMMYFUNCTION("GOOGLETRANSLATE(A399)"),"DNS")</f>
        <v>DNS</v>
      </c>
      <c r="K399" s="6" t="str">
        <f>IFERROR(__xludf.DUMMYFUNCTION("GOOGLETRANSLATE(B399)"),"Cloud DNS")</f>
        <v>Cloud DNS</v>
      </c>
      <c r="L399" s="5" t="str">
        <f>IFERROR(__xludf.DUMMYFUNCTION("GOOGLETRANSLATE(C399)"),"Cloud DNS. Reliable, resilient, low-latency DNS serving from Google's worldwide network with everything you need to register, manage, and serve your domains.")</f>
        <v>Cloud DNS. Reliable, resilient, low-latency DNS serving from Google's worldwide network with everything you need to register, manage, and serve your domains.</v>
      </c>
      <c r="M399" s="5" t="str">
        <f>IFERROR(__xludf.DUMMYFUNCTION("GOOGLETRANSLATE(G399)"),"Cloud Computing Services | Google CloudGet $300 in free credits and free usage of 20+ productsThe new way to cloud starts hereBuild apps fast leverage generative AI and analyze data in seconds—all with Google-grade security. Get started for freeContact sa"&amp;"lesWhat's newFor developersEventMissed the Next ‘23 keynote? Watch the broadcast on demandNew productsExplore our latest generative AI productsGenerative AI NavigatorGet gen AI recommendations for your business and industryDeveloper offerGet $300 in free "&amp;"credits and free usage of 20+ productsDeveloper CenterLearn skills build with sample code and access resourcesAI SummitLearn how to turn your ideas into apps with gen AI tools on Dec 13-14What's newEventMissed the Next ‘23 keynote? Watch the broadcast on "&amp;"demandNew productsExplore our latest generative AI productsGenerative AI NavigatorGet gen AI recommendations for your business and industryFor developersDeveloper offerGet $300 in free credits and free usage of 20+ productsDeveloper CenterLearn skills bui"&amp;"ld with sample code and access resourcesAI SummitLearn how to turn your ideas into apps with gen AI tools on Dec 13-14Choose from over 150 cutting-edge productsExplore and assess Google Cloud with free usage of over 20 products plus new customers get $300"&amp;" in free credits on signup.Get startedSee all productsAI and machine learningBuild generative AI applications quickly and responsibly—powered by Google’s most advanced technologyImprove customer service with Contact Center AI’s virtual agents and conversa"&amp;"tional AI products like Speech-to-TextBuild deploy and scale more effective AI models with our unified machine learning platform Vertex AIGet AI-powered code generation recommendations and completion across Google Cloud products from Duet AIComputeCreate "&amp;"and run customizable virtual machines with Compute Engine. For scale-out workloads Tau VMs offer 42% better price performance over comparable cloud offerings.Automatically deploy scale and manage containers with Google Kubernetes Engine or Cloud RunMigrat"&amp;"e your apps at your own pace by moving directly to virtual machines or automatically modernizing to containers—without rewriting codeStorageStore any type of data any amount of data and retrieve it as often as you’d like with object storageTransfer data w"&amp;"ith online and offline transfer solutions including Storage Transfer Service and Transfer AppliancePersistent Disk block storage is fully integrated with Google Cloud products like Compute Engine and GKEDatabasesReduce maintenance costs with fully managed"&amp;" MySQL PostgreSQL and SQL Server databasesSimplify migrations to Cloud SQL from MySQL and PostgreSQL with the Database Migration ServiceDevelop rich applications using a fully managed scalable and serverless document databaseData analyticsRun analytics at"&amp;" scale with 26%–34% lower three-year TCO on BigQuery compared to cloud data warehouse alternativesIngest process and analyze event streams in real time to make data more usefulReveal the true power of your data and bring clarity to every situation with Lo"&amp;"oker and Google CloudNetworkingHelp protect your applications and websites against denial of service and web attacks with Cloud ArmorQuickly and securely scale web and video content delivery with Cloud CDNExplore hybrid connectivity options including VPN "&amp;"peering and enterprise supportDeveloper toolsWrite debug and run cloud-native applications locally or in the cloud—quickly and easily with Cloud CodeWith Cloud Build continuously build test and deploy software across all languages and in multiple environm"&amp;"entsDeploy pre-built solution templates—with an active Google Cloud account—including dynamic websites load balanced VMs and three tier web apps.Save up to 30% over 3 years compared to other clouds with products like Anthos BigQuery and Active Assist.Requ"&amp;"est a quoteBuild and scale your startup with your first year covered by Google Cloud credits plus get support to help your startup grow.Learn more about the programSolve your business problems with our industry solutionsFrom improving retail product disco"&amp;"very to detecting bank fraud our industry solutions tackle your biggest challenges.Request a demoRetailConsumer packaged goodsFinancial servicesHealthcare and life sciencesMedia and entertainmentTelecommunicationsGamingManufacturingSupply chain and logist"&amp;"icsGovernmentEducationSee all industries9 / top 10retail companies trust Google CloudThe largest US beauty retailer easily supported a 9X growth in user traffic with Google Cloud’s highly scalable infrastructure. Discover what you can do with our retail s"&amp;"olutions.Explore retail solutionsRetailConsumer packaged goodsFinancial servicesHealthcare and life sciencesMedia and entertainmentTelecommunicationsGamingManufacturingSupply chain and logisticsGovernmentEducationSee all industriesBuild with the cloud pla"&amp;"tform designed for developersGet started with Google Cloud’s easy-to-use platform tools and APIsGet started for freeAI-powered collaboratorIntroducing Duet AI for Google CloudConsole tourGet started with Google Cloud consoleHow-toBuild tune and deploy fou"&amp;"ndation models with Vertex AIPRODUCTS SPOTLIGHTGoogle Cloud products explained in 1 minuteDiscover more developer toolsIntroducing Duet AI for Google CloudGet started with Google Cloud consoleBuild tune and deploy foundation models with Vertex AIGoogle Cl"&amp;"oud products explained in 1 minuteDiscover more developer toolsExplore technical blogs how-tos and resourcesVisit the Developer CenterStart learning Google Cloud skills at your own paceExplore developer trainingGet special invitations technical AMAs and m"&amp;"oreJoin Google Cloud InnovatorsCustomer innovation happens on Google Cloud2:55TIME gets a 360 degree view of its customers and gives the whole company access to metrics Watch the video3:15Goldman Sachs empowers its team to analyze data and scale compute p"&amp;"ower confidentlyWatch the video2:54Spotify powers the playlists of 381 million monthly listeners with Google CloudWatch the videoFrontier Development Lab in partnership with NASA analyzed a 20-year data bottleneck in 20 mins with Google Cloud AILaunch the"&amp;" demo1:55Cardinal Health saved 25% quarter over quarter by migrating to Google CloudWatch the videoLeading companies solve for innovation with Google CloudRead the EbookSee more customersCloud computing ready for businessWhether you’re migrating or alread"&amp;"y in the cloud we’ll help you modernize and digitally transform your business.Talk to usRun and build your apps anywhereAvoid vendor lock-in and speed up development with Google Cloud’s commitment to open source hybrid and multicloud.Make smarter decision"&amp;"s with the leading data platformGive anyone on your team access to business insights with advanced machine learning and analytics.Protect what's importantHelp defend your data and apps against threats and fraudulent activity with the same security technol"&amp;"ogy Google uses.Transform how your teams collaborate—from anywhereIntegrate video calling email chat and document collaboration in one place.Let’s start building your tomorrow todayGet started for freeContact salesCall our sales team844-613-7589Run on the"&amp;" industry’s cleanest cloudLearn moreGet updates with the Google Cloud newsletterSubscribemenuOverviewSolutionsProductsPricingResourcesDocsSupportContact UsDocsSupport language‪English‬‪English‬‪Deutsch‬‪Español‬‪Español (Latinoamérica)‬‪Français‬‪Indones"&amp;"ia‬‪Italiano‬‪Português (Brasil)‬‪简体中文‬‪繁體中文‬‪日本語‬‪한국어‬ConsoleSign inStart freeStart freeContact UscloseAccelerate your digital transformationWhether your business is early in its journey or well on its way to digital transformation Google Cloud can help "&amp;"solve your toughest challenges.Learn moreKey benefitsWhy Google CloudTop reasons businesses choose us.AI and MLGet enterprise-ready AI.MulticloudRun your apps wherever you need them.Global infrastructureBuild on the same infrastructure as Google.Data Clou"&amp;"dMake smarter decisions with unified data.Open cloudScale with open flexible technology.Trust and securityKeep your data secure and compliant.Productivity and collaborationConnect your teams with AI-powered apps.Reports and insightsExecutive insightsCurat"&amp;"ed C-suite perspectives.Analyst reportsRead what industry analysts say about us.WhitepapersBrowse and download popular whitepapers.Customer storiesExplore case studies and videos.closeIndustry SolutionsApplication ModernizationArtificial IntelligenceAPIs "&amp;"and ApplicationsDatabasesData CloudDigital TransformationInfrastructure ModernizationProductivity and CollaborationSecuritySmart AnalyticsStartups and SMBSee all solutionsIndustry SolutionsReduce cost increase operational agility and capture new market op"&amp;"portunities.RetailAnalytics and collaboration tools for the retail value chain.Consumer Packaged GoodsSolutions for CPG digital transformation and brand growth.Financial ServicesComputing data management and analytics tools for financial services.Healthca"&amp;"re and Life SciencesAdvance research at scale and empower healthcare innovation.Media and EntertainmentSolutions for content production and distribution operations.TelecommunicationsHybrid and multi-cloud services to deploy and monetize 5G.GamesAI-driven "&amp;"solutions to build and scale games faster.ManufacturingMigration and AI tools to optimize the manufacturing value chain.Supply Chain and LogisticsEnable sustainable efficient and resilient data-driven operations across supply chain and logistics operation"&amp;"s.GovernmentData storage AI and analytics solutions for government agencies.EducationTeaching tools to provide more engaging learning experiences.Not seeing what you're looking for?See all industry solutionsApplication ModernizationAssess plan implement a"&amp;"nd measure software practices and capabilities to modernize and simplify your organization’s business application portfolios.CAMPProgram that uses DORA to improve your software delivery capabilities.Modernize Traditional ApplicationsAnalyze categorize and"&amp;" get started with cloud migration on traditional workloads.Migrate from PaaS: Cloud Foundry OpenshiftTools for moving your existing containers into Google's managed container services.Migrate from MainframeAutomated tools and prescriptive guidance for mov"&amp;"ing your mainframe apps to the cloud.Modernize Software DeliverySoftware supply chain best practices - innerloop productivity CI/CD and S3C.DevOps Best PracticesProcesses and resources for implementing DevOps in your org.SRE PrinciplesTools and resources "&amp;"for adopting SRE in your org.Day 2 Operations for GKETools and guidance for effective GKE management and monitoring.FinOps and Optimization of GKEBest practices for running reliable performant and cost effective applications on GKE.Run Applications at the"&amp;" EdgeGuidance for localized and low latency apps on Google’s hardware agnostic edge solution.Architect for MulticloudManage workloads across multiple clouds with a consistent platform.Go ServerlessFully managed environment for developing deploying and sca"&amp;"ling apps.Artificial IntelligenceAdd intelligence and efficiency to your business with AI and machine learning.Contact Center AIAI model for speaking with customers and assisting human agents.Document AIDocument processing and data capture automated at sc"&amp;"ale.Product DiscoveryGoogle-quality search and product recommendations for retailers.APIs and ApplicationsSpeed up the pace of innovation without coding using APIs apps and automation.New Business Channels Using APIsAttract and empower an ecosystem of dev"&amp;"elopers and partners.Unlocking Legacy Applications Using APIsCloud services for extending and modernizing legacy apps.Open Banking APIxSimplify and accelerate secure delivery of open banking compliant APIs.DatabasesMigrate and manage enterprise data with "&amp;"security reliability high availability and fully managed data services.Database MigrationGuides and tools to simplify your database migration life cycle.Database ModernizationUpgrades to modernize your operational database infrastructure.Databases for Gam"&amp;"esBuild global live games with Google Cloud databases.Google Cloud DatabasesDatabase services to migrate manage and modernize data.Migrate Oracle workloads to Google CloudRehost replatform rewrite your Oracle workloads.Open Source DatabasesFully managed o"&amp;"pen source databases with enterprise-grade support.SQL Server on Google CloudOptions for running SQL Server virtual machines on Google Cloud.Data CloudUnify data across your organization with an open and simplified approach to data-driven transformation t"&amp;"hat is unmatched for speed scale and security with AI built-in.Databases SolutionsMigrate and manage enterprise data with security reliability high availability and fully managed data services.Smart Analytics SolutionsGenerate instant insights from data a"&amp;"t any scale with a serverless fully managed analytics platform that significantly simplifies analytics.AI SolutionsAdd intelligence and efficiency to your business with AI and machine learning.Data Cloud for ISVsInnovate optimize and amplify your SaaS app"&amp;"lications using Google's data and machine learning solutions such as BigQuery Looker Spanner and Vertex AI.Data Cloud AllianceAn initiative to ensure that global businesses have more seamless access and insights into the data required for digital transfor"&amp;"mation.Digital TransformationAccelerate business recovery and ensure a better future with solutions that enable hybrid and multi-cloud generate intelligent insights and keep your workers connected.Digital InnovationReimagine your operations and unlock new"&amp;" opportunities.Operational EfficiencyPrioritize investments and optimize costs.COVID-19 SolutionsGet work done more safely and securely.COVID-19 Solutions for the Healthcare IndustryHow Google is helping healthcare meet extraordinary challenges.Infrastruc"&amp;"ture ModernizationMigrate quickly with solutions for SAP VMware Windows Oracle and other workloads.Application MigrationDiscovery and analysis tools for moving to the cloud.SAP on Google CloudCertifications for running SAP applications and SAP HANA.High P"&amp;"erformance ComputingCompute storage and networking options to support any workload.Windows on Google CloudTools and partners for running Windows workloads.Data Center MigrationMigration solutions for VMs apps databases and more.Active AssistAutomatic clou"&amp;"d resource optimization and increased security.Virtual DesktopsRemote work solutions for desktops and applications (VDI &amp; DaaS).Rapid Migration Program (RaMP)End-to-end migration program to simplify your path to the cloud.Backup and Disaster RecoveryEnsur"&amp;"e your business continuity needs are met.Productivity and CollaborationChange the way teams work with solutions designed for humans and built for impact.Google WorkspaceCollaboration and productivity tools for enterprises.Google Workspace EssentialsSecure"&amp;" video meetings and modern collaboration for teams.Cloud IdentityUnified platform for IT admins to manage user devices and apps.Chrome EnterpriseChromeOS Chrome Browser and Chrome devices built for business.Cloud SearchEnterprise search for employees to q"&amp;"uickly find company information.SecurityDetect investigate and respond to online threats to help protect your business.Security Analytics and OperationsSolution for analyzing petabytes of security telemetry.Web App and API ProtectionThreat and fraud prote"&amp;"ction for your web applications and APIs.Security and Resilience FrameworkSolutions for each phase of the security and resilience life cycle.Risk and compliance as code (RCaC)Solution to modernize your governance risk and compliance function with automati"&amp;"on.Software Supply Chain SecuritySolution for improving end-to-end software supply chain security.Security FoundationRecommended products to help achieve a strong security posture.Smart AnalyticsGenerate instant insights from data at any scale with a serv"&amp;"erless fully managed analytics platform that significantly simplifies analytics.Data Warehouse ModernizationData warehouse to jumpstart your migration and unlock insights.Data Lake ModernizationServices for building and modernizing your data lake.Spark on"&amp;" Google CloudRun and write Spark where you need it serverless and integrated.Stream AnalyticsInsights from ingesting processing and analyzing event streams.Business IntelligenceSolutions for modernizing your BI stack and creating rich data experiences.Dat"&amp;"a SciencePut your data to work with Data Science on Google Cloud.Marketing AnalyticsSolutions for collecting analyzing and activating customer data.Geospatial Analytics and AISolutions for building a more prosperous and sustainable business.DatasetsData f"&amp;"rom Google public and commercial providers to enrich your analytics and AI initiatives.Startups and SMBAccelerate startup and SMB growth with tailored solutions and programs.Startup SolutionsGrow your startup and solve your toughest challenges using Googl"&amp;"e’s proven technology.Startup ProgramGet financial business and technical support to take your startup to the next level.Small and Medium BusinessExplore solutions for web hosting app development AI and analytics.Software as a ServiceBuild better SaaS pro"&amp;"ducts scale efficiently and grow your business.closeFeatured ProductsAI and Machine LearningBusiness IntelligenceComputeContainersData AnalyticsDatabasesDeveloper ToolsDistributed CloudHybrid and MulticloudIndustry SpecificIntegration ServicesManagement T"&amp;"oolsMaps and GeospatialMedia ServicesMigrationMixed RealityNetworkingOperationsProductivity and CollaborationSecurity and IdentityServerlessStorageWeb3See all products (100+)Featured ProductsCompute EngineVirtual machines running in Google’s data center.C"&amp;"loud StorageObject storage that’s secure durable and scalable.BigQueryData warehouse for business agility and insights.Cloud RunFully managed environment for running containerized apps.Google Kubernetes EngineManaged environment for running containerized "&amp;"apps.Vertex AI PlatformUnified platform for ML models and generative AI.LookerPlatform for BI data applications and embedded analytics.Apigee API ManagementManage the full life cycle of APIs anywhere with visibility and control.Cloud SQLRelational databas"&amp;"e services for MySQL PostgreSQL and SQL Server.Cloud SDKCommand-line tools and libraries for Google Cloud.Cloud CDNContent delivery network for delivering web and video.Not seeing what you're looking for?See all products (100+)AI and Machine LearningVerte"&amp;"x AI PlatformUnified platform for ML models and generative AI.Generative AI on Vertex AIBuild tune and deploy foundation models on Vertex AI.Vertex AI Search and ConversationGenerative AI apps for search and conversational AI.DialogflowLifelike conversati"&amp;"onal AI with state-of-the-art virtual agents.Natural Language AISentiment analysis and classification of unstructured text.Speech-to-TextSpeech recognition and transcription across 125 languages.Text-to-SpeechSpeech synthesis in 220+ voices and 40+ langua"&amp;"ges.Translation AILanguage detection translation and glossary support.Document AIDocument processing and data capture automated at scale.Vision AICustom and pre-trained models to detect emotion text and more.Contact Center AIAI model for speaking with cus"&amp;"tomers and assisting human agents.Not seeing what you're looking for?See all AI and machine learning productsBusiness IntelligenceLookerPlatform for BI data applications and embedded analytics.Looker StudioInteractive data suite for dashboarding reporting"&amp;" and analytics.ComputeCompute EngineVirtual machines running in Google’s data center.App EngineServerless application platform for apps and back ends.Cloud GPUsGPUs for ML scientific computing and 3D visualization.Migrate to Virtual MachinesServer and vir"&amp;"tual machine migration to Compute Engine.Spot VMsCompute instances for batch jobs and fault-tolerant workloads.BatchFully managed service for scheduling batch jobs.Sole-Tenant NodesDedicated hardware for compliance licensing and management.Bare MetalInfra"&amp;"structure to run specialized workloads on Google Cloud.RecommenderUsage recommendations for Google Cloud products and services.VMware EngineFully managed native VMware Cloud Foundation software stack.Cloud RunFully managed environment for running containe"&amp;"rized apps.Not seeing what you're looking for?See all compute productsContainersGoogle Kubernetes EngineManaged environment for running containerized apps.Cloud RunFully managed environment for running containerized apps.Cloud BuildSolution for running bu"&amp;"ild steps in a Docker container.Artifact RegistryPackage manager for build artifacts and dependencies.Cloud CodeIDE support to write run and debug Kubernetes applications.Cloud DeployFully managed continuous delivery to GKE and Cloud Run.Migrate to Contai"&amp;"nersComponents for migrating VMs into system containers on GKE.Deep Learning ContainersContainers with data science frameworks libraries and tools.KnativeComponents to create Kubernetes-native cloud-based software.Data AnalyticsBigQueryData warehouse for "&amp;"business agility and insights.LookerPlatform for BI data applications and embedded analytics.DataflowStreaming analytics for stream and batch processing.Pub/SubMessaging service for event ingestion and delivery.DataprocService for running Apache Spark and"&amp;" Apache Hadoop clusters.Cloud Data FusionData integration for building and managing data pipelines.Cloud ComposerWorkflow orchestration service built on Apache Airflow.DataprepService to prepare data for analysis and machine learning.DataplexIntelligent d"&amp;"ata fabric for unifying data management across silos.DataformBuild version control and deploy SQL workflows in BigQuery.Analytics HubService for securely and efficiently exchanging data analytics assets.Not seeing what you're looking for?See all data anal"&amp;"ytics productsDatabasesAlloyDB for PostgreSQLFully managed PostgreSQL-compatible database for enterprise workloads.Cloud SQLFully managed database for MySQL PostgreSQL and SQL Server.FirestoreCloud-native document database for building rich mobile web and"&amp;" IoT apps.Cloud SpannerCloud-native relational database with unlimited scale and 99.999% availability.Cloud BigtableCloud-native wide-column database for large-scale low-latency workloads.DatastreamServerless change data capture and replication service.Da"&amp;"tabase Migration ServiceServerless minimal downtime migrations to Cloud SQL.Developer ToolsArtifact RegistryUniversal package manager for build artifacts and dependencies.Cloud CodeIDE support to write run and debug Kubernetes applications.Cloud BuildCont"&amp;"inuous integration and continuous delivery platform.Cloud DeployFully managed continuous delivery to GKE and Cloud Run.Cloud Deployment ManagerService for creating and managing Google Cloud resources.Cloud SDKCommand-line tools and libraries for Google Cl"&amp;"oud.Cloud SchedulerCron job scheduler for task automation and management.Cloud Source RepositoriesPrivate Git repository to store manage and track code.Cloud TasksTask management service for asynchronous task execution.Cloud WorkstationsManaged and secure"&amp;" development environments in the cloud.Tools for PowerShellFull cloud control from Windows PowerShell.Not seeing what you're looking for?See all developer toolsDistributed CloudGoogle Distributed Cloud EdgeDistributed cloud services for edge workloads.Goo"&amp;"gle Distributed Cloud HostedDistributed cloud for air-gapped workloads.Hybrid and MulticloudGoogle Kubernetes EngineManaged environment for running containerized apps.Apigee API ManagementAPI management development and security platform.Migrate to Contain"&amp;"ersTool to move workloads and existing applications to GKE.Traffic DirectorTraffic control pane and management for open service mesh.Cloud BuildService for executing builds on Google Cloud infrastructure.OperationsMonitoring logging and application perfor"&amp;"mance suite.AnthosPlatform for modernizing existing apps and building new ones.Distributed CloudFully managed solutions for the edge and data centers.Industry SpecificAnti Money Laundering AIDetect suspicious potential money laundering activity with AI.Cl"&amp;"oud Healthcare APISolution for bridging existing care systems and apps on Google Cloud.Device Connect for FitbitGain a 360-degree patient view with connected Fitbit data on Google Cloud.Telecom Network AutomationReady to use cloud-native automation for te"&amp;"lecom networks.Telecom Data FabricTelecom data management and analytics with an automated approach.Telecom Subscriber InsightsIngests data to improve subscriber acquisition and retention.Spectrum Access System (SAS)Controls fundamental access to the Citiz"&amp;"ens Broadband Radio Service (CBRS).Integration ServicesApplication IntegrationConnect to 3rd party apps and enable data consistency without code.WorkflowsWorkflow orchestration for serverless products and API services.Apigee API ManagementManage the full "&amp;"life cycle of APIs anywhere with visibility and control.Cloud TasksTask management service for asynchronous task execution.Cloud SchedulerCron job scheduler for task automation and management.DataprocService for running Apache Spark and Apache Hadoop clus"&amp;"ters.Cloud Data FusionData integration for building and managing data pipelines.Cloud ComposerWorkflow orchestration service built on Apache Airflow.Pub/SubMessaging service for event ingestion and delivery.EventarcBuild an event-driven architecture that "&amp;"can connect any service.Management ToolsCloud ShellInteractive shell environment with a built-in command line.Cloud consoleWeb-based interface for managing and monitoring cloud apps.Cloud EndpointsDeployment and development management for APIs on Google C"&amp;"loud.Cloud IAMPermissions management system for Google Cloud resources.Cloud APIsProgrammatic interfaces for  Google Cloud services.Service CatalogService catalog for admins managing internal enterprise solutions.Cost ManagementTools for monitoring contro"&amp;"lling and optimizing your costs.OperationsMonitoring logging and application performance suite.Carbon FootprintDashboard to view and export Google Cloud carbon emissions reports.Config ConnectorKubernetes add-on for managing Google Cloud resources.Active "&amp;"AssistTools for easily managing performance security and cost.Not seeing what you're looking for?See all management toolsMaps and GeospatialEarth EngineGeospatial platform for Earth observation data and analysis.Google Maps PlatformCreate immersive locati"&amp;"on experiences and improve business operations.Media ServicesCloud CDNContent delivery network for serving web and video content.Live Steam APIService to convert live video and package for streaming.OpenCueOpen source render manager for visual effects and"&amp;" animation.Transcoder APIConvert video files and package them for optimized delivery.Video Stitcher APIService for dynamic or server side ad insertion.MigrationMigration CenterUnified platform for migrating and modernizing with Google Cloud.Application Mi"&amp;"grationApp migration to the cloud for low-cost refresh cycles.Migrate to Virtual MachinesComponents for migrating VMs and physical servers to Compute Engine.Cloud Foundation ToolkitReference templates for Deployment Manager and Terraform.Database Migratio"&amp;"n ServiceServerless minimal downtime migrations to Cloud SQL.Migrate to ContainersComponents for migrating VMs into system containers on GKE.BigQuery Data Transfer ServiceData import service for scheduling and moving data into BigQuery.Rapid Migration Pro"&amp;"gram (RaMP)End-to-end migration program to simplify your path to the cloud.Transfer ApplianceStorage server for moving large volumes of data to Google Cloud.Storage Transfer ServiceData transfers from online and on-premises sources to Cloud Storage.VMware"&amp;" EngineMigrate and run your VMware workloads natively on Google Cloud.Mixed RealityImmersive Stream for XRHosts renders and streams 3D and XR experiences.NetworkingCloud ArmorSecurity policies and defense against web and DDoS attacks.Cloud CDN and Media C"&amp;"DNContent delivery network for serving web and video content.Cloud DNSDomain name system for reliable and low-latency name lookups.Cloud Load BalancingService for distributing traffic across applications and regions.Cloud NATNAT service for giving private"&amp;" instances internet access.Cloud ConnectivityConnectivity options for VPN peering and enterprise needs.Network Connectivity CenterConnectivity management to help simplify and scale networks.Network Intelligence CenterNetwork monitoring verification and op"&amp;"timization platform.Network Service TiersCloud network options  based on performance availability and cost.Virtual Private CloudSingle VPC for an entire organization isolated within projects.Private Service ConnectSecure connection between your VPC and se"&amp;"rvices.Not seeing what you're looking for?See all networking productsOperationsCloud LoggingGoogle Cloud audit platform and application logs management.Cloud MonitoringInfrastructure and application health with rich metrics.Error ReportingApplication erro"&amp;"r identification and analysis.Cloud DebuggerReal-time application state inspection and in -production debugging.Cloud TraceTracing system collecting latency data from applications.Cloud ProfilerCPU and heap profiler for analyzing application performance.P"&amp;"roductivity and CollaborationAppSheetNo-code development platform to build and extend applications.Appsheet AutomationBuild automations and applications on a unified platform.Google WorkspaceCollaboration and productivity tools for individuals and organiz"&amp;"ations.Google Workspace EssentialsSecure video meetings and modern collaboration for teams.Duet AI for WorkspaceEmbeds generative AI across Workspace apps.Cloud IdentityUnified platform for IT admins to manage user devices and apps.Chrome EnterpriseChrome"&amp;" OS Chrome Browser and Chrome devices built for business.Security and IdentityCloud IAMPermissions management system for Google Cloud resources.Assured WorkloadsCompliance and security controls for sensitive workloads.Cloud Key ManagementManage encryption"&amp;" keys on Google Cloud.Confidential ComputingEncrypt data in use with Confidential VMs.Security Command CenterPlatform for defending against threats to your Google Cloud assets.Cloud Data Loss PreventionSensitive data inspection classification and redactio"&amp;"n platform.Mandiant Products and ServicesCybersecurity technology and expertise from the frontlines.Chronicle SIEMExtract signals from your security telemetry to find threats instantly.Chronicle Security OperationsDetect investigate and respond to cyber t"&amp;"hreats.Secret ManagerStore API keys passwords certificates and other sensitive data.BeyondCorp EnterpriseZero-trust access control for your internal web apps.Not seeing what you're looking for?See all security and identity productsServerlessCloud RunFully"&amp;" managed environment for running containerized apps.Cloud FunctionsPlatform for creating functions that respond to cloud events.App EngineServerless application platform for apps and back ends.WorkflowsWorkflow orchestration for serverless products and AP"&amp;"I services.API GatewayDevelop deploy secure and manage APIs with a full managed gateway.StorageCloud StorageObject storage that’s secure durable and scalable.Backup and DR ServiceService for centralized application-consistent data protection.FilestoreFile"&amp;" storage that is highly scalable and secure.Persistent DiskBlock storage for virtual machine instances running on Google Cloud.Cloud Storage for FirebaseObject storage for storing and serving user-generated content.Local SSDBlock storage that is locally a"&amp;"ttached for high-performance needs.Storage Transfer ServiceData transfers from online and on-premises sources to Cloud Storage.Web3Blockchain Node EngineFully managed node hosting for developing on the blockchain.closeSave money with our transparent appro"&amp;"ach to pricingGoogle Cloud's pay-as-you-go pricing offers automatic savings based on monthly usage and discounted rates for prepaid resources. Contact us today to get a quote.Request a quotePricing overview and toolsGoogle Cloud pricingPay only for what y"&amp;"ou use with no lock-in.Pricing calculatorCalculate your cloud savings.Google Cloud free tierExplore products with free monthly usage.Cost optimization frameworkGet best practices to optimize workload costs.Cost management toolsTools to monitor and control"&amp;" your costs.Product-specific PricingCompute EngineCloud SQLGoogle Kubernetes EngineCloud StorageBigQuerySee full price list with 100+ productscloseLearn &amp; buildGoogle Cloud Free Program$300 in free credits and 20+ free products.QuickstartsGet tutorials an"&amp;"d walkthroughs.Cloud computing basicsLearn more about cloud computing topics.BlogRead our latest product news and stories.Learning HubGrow your career with role-based learningTrainingEnroll in on-demand or classroom training.CertificationPrepare and regis"&amp;"ter for certifications.Cloud Architecture CenterGet reference architectures and best practices.ConnectInnovatorsJoin Google Cloud's developer program.Developer CenterStay in the know and stay connected.Events and webinarsBrowse upcoming and on demand even"&amp;"ts.Google Cloud CommunityAsk questions find answers and connect.Third-party tools and partnersGoogle Cloud MarketplaceDeploy ready-to-go solutions in a few clicks.Google Cloud partnersExplore benefits of working with a partner.Become a partnerJoin the Par"&amp;"tner Advantage program.closeOverviewarrow_forwardSolutionsarrow_forwardProductsarrow_forwardPricingarrow_forwardResourcesarrow_forwardDocsSupportConsoleAccelerate your digital transformationLearn moreKey benefitsWhy Google CloudAI and MLMulticloudGlobal i"&amp;"nfrastructureData CloudOpen cloudTrust and securityProductivity and collaborationReports and insightsExecutive insightsAnalyst reportsWhitepapersCustomer storiesIndustry SolutionsRetailConsumer Packaged GoodsFinancial ServicesHealthcare and Life SciencesM"&amp;"edia and EntertainmentTelecommunicationsGamesManufacturingSupply Chain and LogisticsGovernmentEducationSee all industry solutionsSee all solutionsApplication ModernizationCAMPModernize Traditional ApplicationsMigrate from PaaS: Cloud Foundry OpenshiftMigr"&amp;"ate from MainframeModernize Software DeliveryDevOps Best PracticesSRE PrinciplesDay 2 Operations for GKEFinOps and Optimization of GKERun Applications at the EdgeArchitect for MulticloudGo ServerlessArtificial IntelligenceContact Center AIDocument AIProdu"&amp;"ct DiscoveryAPIs and ApplicationsNew Business Channels Using APIsUnlocking Legacy Applications Using APIsOpen Banking APIxDatabasesDatabase MigrationDatabase ModernizationDatabases for GamesGoogle Cloud DatabasesMigrate Oracle workloads to Google CloudOpe"&amp;"n Source DatabasesSQL Server on Google CloudData CloudDatabases SolutionsSmart Analytics SolutionsAI SolutionsData Cloud for ISVsData Cloud AllianceDigital TransformationDigital InnovationOperational EfficiencyCOVID-19 SolutionsCOVID-19 Solutions for the "&amp;"Healthcare IndustryInfrastructure ModernizationApplication MigrationSAP on Google CloudHigh Performance ComputingWindows on Google CloudData Center MigrationActive AssistVirtual DesktopsRapid Migration Program (RaMP)Backup and Disaster RecoveryProductivit"&amp;"y and CollaborationGoogle WorkspaceGoogle Workspace EssentialsCloud IdentityChrome EnterpriseCloud SearchSecuritySecurity Analytics and OperationsWeb App and API ProtectionSecurity and Resilience FrameworkRisk and compliance as code (RCaC)Software Supply "&amp;"Chain SecuritySecurity FoundationSmart AnalyticsData Warehouse ModernizationData Lake ModernizationSpark on Google CloudStream AnalyticsBusiness IntelligenceData ScienceMarketing AnalyticsGeospatial Analytics and AIDatasetsStartups and SMBStartup Solution"&amp;"sStartup ProgramSmall and Medium BusinessSoftware as a ServiceFeatured ProductsCompute EngineCloud StorageBigQueryCloud RunGoogle Kubernetes EngineVertex AI PlatformLookerApigee API ManagementCloud SQLCloud SDKCloud CDNSee all products (100+)AI and Machin"&amp;"e LearningVertex AI PlatformGenerative AI on Vertex AIVertex AI Search and ConversationDialogflowNatural Language AISpeech-to-TextText-to-SpeechTranslation AIDocument AIVision AIContact Center AISee all AI and machine learning productsBusiness Intelligenc"&amp;"eLookerLooker StudioComputeCompute EngineApp EngineCloud GPUsMigrate to Virtual MachinesSpot VMsBatchSole-Tenant NodesBare MetalRecommenderVMware EngineCloud RunSee all compute productsContainersGoogle Kubernetes EngineCloud RunCloud BuildArtifact Registr"&amp;"yCloud CodeCloud DeployMigrate to ContainersDeep Learning ContainersKnativeData AnalyticsBigQueryLookerDataflowPub/SubDataprocCloud Data FusionCloud ComposerDataprepDataplexDataformAnalytics HubSee all data analytics productsDatabasesAlloyDB for PostgreSQ"&amp;"LCloud SQLFirestoreCloud SpannerCloud BigtableDatastreamDatabase Migration ServiceDeveloper ToolsArtifact RegistryCloud CodeCloud BuildCloud DeployCloud Deployment ManagerCloud SDKCloud SchedulerCloud Source RepositoriesCloud TasksCloud WorkstationsTools "&amp;"for PowerShellSee all developer toolsDistributed CloudGoogle Distributed Cloud EdgeGoogle Distributed Cloud HostedHybrid and MulticloudGoogle Kubernetes EngineApigee API ManagementMigrate to ContainersTraffic DirectorCloud BuildOperationsAnthosDistributed"&amp;" CloudIndustry SpecificAnti Money Laundering AICloud Healthcare APIDevice Connect for FitbitTelecom Network AutomationTelecom Data FabricTelecom Subscriber InsightsSpectrum Access System (SAS)Integration ServicesApplication IntegrationWorkflowsApigee API "&amp;"ManagementCloud TasksCloud SchedulerDataprocCloud Data FusionCloud ComposerPub/SubEventarcManagement ToolsCloud ShellCloud consoleCloud EndpointsCloud IAMCloud APIsService CatalogCost ManagementOperationsCarbon FootprintConfig ConnectorActive AssistSee al"&amp;"l management toolsMaps and GeospatialEarth EngineGoogle Maps PlatformMedia ServicesCloud CDNLive Steam APIOpenCueTranscoder APIVideo Stitcher APIMigrationMigration CenterApplication MigrationMigrate to Virtual MachinesCloud Foundation ToolkitDatabase Migr"&amp;"ation ServiceMigrate to ContainersBigQuery Data Transfer ServiceRapid Migration Program (RaMP)Transfer ApplianceStorage Transfer ServiceVMware EngineMixed RealityImmersive Stream for XRNetworkingCloud ArmorCloud CDN and Media CDNCloud DNSCloud Load Balanc"&amp;"ingCloud NATCloud ConnectivityNetwork Connectivity CenterNetwork Intelligence CenterNetwork Service TiersVirtual Private CloudPrivate Service ConnectSee all networking productsOperationsCloud LoggingCloud MonitoringError ReportingCloud DebuggerCloud Trace"&amp;"Cloud ProfilerProductivity and CollaborationAppSheetAppsheet AutomationGoogle WorkspaceGoogle Workspace EssentialsDuet AI for WorkspaceCloud IdentityChrome EnterpriseSecurity and IdentityCloud IAMAssured WorkloadsCloud Key ManagementConfidential Computing"&amp;"Security Command CenterCloud Data Loss PreventionMandiant Products and ServicesChronicle SIEMChronicle Security OperationsSecret ManagerBeyondCorp EnterpriseSee all security and identity productsServerlessCloud RunCloud FunctionsApp EngineWorkflowsAPI Gat"&amp;"ewayStorageCloud StorageBackup and DR ServiceFilestorePersistent DiskCloud Storage for FirebaseLocal SSDStorage Transfer ServiceWeb3Blockchain Node EngineSave money with our transparent approach to pricingRequest a quotePricing overview and toolsGoogle Cl"&amp;"oud pricingPricing calculatorGoogle Cloud free tierCost optimization frameworkCost management toolsProduct-specific PricingCompute EngineCloud SQLGoogle Kubernetes EngineCloud StorageBigQuerySee full price list with 100+ productsLearn &amp; buildGoogle Cloud "&amp;"Free ProgramQuickstartsCloud computing basicsBlogLearning HubTrainingCertificationCloud Architecture CenterConnectInnovatorsDeveloper CenterEvents and webinarsGoogle Cloud CommunityThird-party tools and partnersGoogle Cloud MarketplaceGoogle Cloud partner"&amp;"sBecome a partnerWhy GoogleChoosing Google CloudTrust and securityOpen cloudMulticloudGlobal infrastructureCustomers and case studiesAnalyst reportsWhitepapersBlogProducts and pricingGoogle Cloud pricingGoogle Workspace pricingSee all productsSolutionsInf"&amp;"rastructure modernizationDatabasesApplication modernizationSmart analyticsArtificial IntelligenceSecurityProductivity &amp; work transformationIndustry solutionsDevOps solutionsSmall business solutionsSee all solutionsResourcesGoogle Cloud documentationGoogle"&amp;" Cloud quickstartsGoogle Cloud MarketplaceLearn about cloud computingSupportCode samplesCloud Architecture CenterTrainingCertificationsGoogle DevelopersGoogle Cloud for StartupsSystem statusRelease NotesEngageContact salesFind a PartnerBecome a PartnerEve"&amp;"ntsPodcastsDeveloper CenterPress CornerGoogle Cloud on YouTubeGoogle Cloud Tech on YouTubeFollow on TwitterJoin User ResearchWe're hiring. Join Google Cloud!Google Cloud CommunityAbout GooglePrivacySite termsGoogle Cloud termsOur third decade of climate a"&amp;"ction: join usSign up for the Google Cloud newsletterSubscribe language‪English‬‪English‬‪Deutsch‬‪Español‬‪Español (Latinoamérica)‬‪Français‬‪Indonesia‬‪Italiano‬‪Português (Brasil)‬‪简体中文‬‪繁體中文‬‪日本語‬‪한국어‬")</f>
        <v>Cloud Computing Services | Google CloudGet $300 in free credits and free usage of 20+ productsThe new way to cloud starts hereBuild apps fast leverage generative AI and analyze data in seconds—all with Google-grade security. Get started for freeContact salesWhat's newFor developersEventMissed the Next ‘23 keynote? Watch the broadcast on demandNew productsExplore our latest generative AI productsGenerative AI NavigatorGet gen AI recommendations for your business and industryDeveloper offerGet $300 in free credits and free usage of 20+ productsDeveloper CenterLearn skills build with sample code and access resourcesAI SummitLearn how to turn your ideas into apps with gen AI tools on Dec 13-14What's newEventMissed the Next ‘23 keynote? Watch the broadcast on demandNew productsExplore our latest generative AI productsGenerative AI NavigatorGet gen AI recommendations for your business and industryFor developersDeveloper offerGet $300 in free credits and free usage of 20+ productsDeveloper CenterLearn skills build with sample code and access resourcesAI SummitLearn how to turn your ideas into apps with gen AI tools on Dec 13-14Choose from over 150 cutting-edge productsExplore and assess Google Cloud with free usage of over 20 products plus new customers get $300 in free credits on signup.Get startedSee all productsAI and machine learningBuild generative AI applications quickly and responsibly—powered by Google’s most advanced technologyImprove customer service with Contact Center AI’s virtual agents and conversational AI products like Speech-to-TextBuild deploy and scale more effective AI models with our unified machine learning platform Vertex AIGet AI-powered code generation recommendations and completion across Google Cloud products from Duet AIComputeCreate and run customizable virtual machines with Compute Engine. For scale-out workloads Tau VMs offer 42% better price performance over comparable cloud offerings.Automatically deploy scale and manage containers with Google Kubernetes Engine or Cloud RunMigrate your apps at your own pace by moving directly to virtual machines or automatically modernizing to containers—without rewriting codeStorageStore any type of data any amount of data and retrieve it as often as you’d like with object storageTransfer data with online and offline transfer solutions including Storage Transfer Service and Transfer AppliancePersistent Disk block storage is fully integrated with Google Cloud products like Compute Engine and GKEDatabasesReduce maintenance costs with fully managed MySQL PostgreSQL and SQL Server databasesSimplify migrations to Cloud SQL from MySQL and PostgreSQL with the Database Migration ServiceDevelop rich applications using a fully managed scalable and serverless document databaseData analyticsRun analytics at scale with 26%–34% lower three-year TCO on BigQuery compared to cloud data warehouse alternativesIngest process and analyze event streams in real time to make data more usefulReveal the true power of your data and bring clarity to every situation with Looker and Google CloudNetworkingHelp protect your applications and websites against denial of service and web attacks with Cloud ArmorQuickly and securely scale web and video content delivery with Cloud CDNExplore hybrid connectivity options including VPN peering and enterprise supportDeveloper toolsWrite debug and run cloud-native applications locally or in the cloud—quickly and easily with Cloud CodeWith Cloud Build continuously build test and deploy software across all languages and in multiple environmentsDeploy pre-built solution templates—with an active Google Cloud account—including dynamic websites load balanced VMs and three tier web apps.Save up to 30% over 3 years compared to other clouds with products like Anthos BigQuery and Active Assist.Request a quoteBuild and scale your startup with your first year covered by Google Cloud credits plus get support to help your startup grow.Learn more about the programSolve your business problems with our industry solutionsFrom improving retail product discovery to detecting bank fraud our industry solutions tackle your biggest challenges.Request a demoRetailConsumer packaged goodsFinancial servicesHealthcare and life sciencesMedia and entertainmentTelecommunicationsGamingManufacturingSupply chain and logisticsGovernmentEducationSee all industries9 / top 10retail companies trust Google CloudThe largest US beauty retailer easily supported a 9X growth in user traffic with Google Cloud’s highly scalable infrastructure. Discover what you can do with our retail solutions.Explore retail solutionsRetailConsumer packaged goodsFinancial servicesHealthcare and life sciencesMedia and entertainmentTelecommunicationsGamingManufacturingSupply chain and logisticsGovernmentEducationSee all industriesBuild with the cloud platform designed for developersGet started with Google Cloud’s easy-to-use platform tools and APIsGet started for freeAI-powered collaboratorIntroducing Duet AI for Google CloudConsole tourGet started with Google Cloud consoleHow-toBuild tune and deploy foundation models with Vertex AIPRODUCTS SPOTLIGHTGoogle Cloud products explained in 1 minuteDiscover more developer toolsIntroducing Duet AI for Google CloudGet started with Google Cloud consoleBuild tune and deploy foundation models with Vertex AIGoogle Cloud products explained in 1 minuteDiscover more developer toolsExplore technical blogs how-tos and resourcesVisit the Developer CenterStart learning Google Cloud skills at your own paceExplore developer trainingGet special invitations technical AMAs and moreJoin Google Cloud InnovatorsCustomer innovation happens on Google Cloud2:55TIME gets a 360 degree view of its customers and gives the whole company access to metrics Watch the video3:15Goldman Sachs empowers its team to analyze data and scale compute power confidentlyWatch the video2:54Spotify powers the playlists of 381 million monthly listeners with Google CloudWatch the videoFrontier Development Lab in partnership with NASA analyzed a 20-year data bottleneck in 20 mins with Google Cloud AILaunch the demo1:55Cardinal Health saved 25% quarter over quarter by migrating to Google CloudWatch the videoLeading companies solve for innovation with Google CloudRead the EbookSee more customersCloud computing ready for businessWhether you’re migrating or already in the cloud we’ll help you modernize and digitally transform your business.Talk to usRun and build your apps anywhereAvoid vendor lock-in and speed up development with Google Cloud’s commitment to open source hybrid and multicloud.Make smarter decisions with the leading data platformGive anyone on your team access to business insights with advanced machine learning and analytics.Protect what's importantHelp defend your data and apps against threats and fraudulent activity with the same security technology Google uses.Transform how your teams collaborate—from anywhereIntegrate video calling email chat and document collaboration in one place.Let’s start building your tomorrow todayGet started for freeContact salesCall our sales team844-613-7589Run on the industry’s cleanest cloudLearn moreGet updates with the Google Cloud newsletterSubscribemenuOverviewSolutionsProductsPricingResourcesDocsSupportContact UsDocsSupport language‪English‬‪English‬‪Deutsch‬‪Español‬‪Español (Latinoamérica)‬‪Français‬‪Indonesia‬‪Italiano‬‪Português (Brasil)‬‪简体中文‬‪繁體中文‬‪日本語‬‪한국어‬ConsoleSign inStart freeStart freeContact UscloseAccelerate your digital transformationWhether your business is early in its journey or well on its way to digital transformation Google Cloud can help solve your toughest challenges.Learn moreKey benefitsWhy Google CloudTop reasons businesses choose us.AI and MLGet enterprise-ready AI.MulticloudRun your apps wherever you need them.Global infrastructureBuild on the same infrastructure as Google.Data CloudMake smarter decisions with unified data.Open cloudScale with open flexible technology.Trust and securityKeep your data secure and compliant.Productivity and collaborationConnect your teams with AI-powered apps.Reports and insightsExecutive insightsCurated C-suite perspectives.Analyst reportsRead what industry analysts say about us.WhitepapersBrowse and download popular whitepapers.Customer storiesExplore case studies and videos.closeIndustry SolutionsApplication ModernizationArtificial IntelligenceAPIs and ApplicationsDatabasesData CloudDigital TransformationInfrastructure ModernizationProductivity and CollaborationSecuritySmart AnalyticsStartups and SMBSee all solutionsIndustry SolutionsReduce cost increase operational agility and capture new market opportunities.RetailAnalytics and collaboration tools for the retail value chain.Consumer Packaged GoodsSolutions for CPG digital transformation and brand growth.Financial ServicesComputing data management and analytics tools for financial services.Healthcare and Life SciencesAdvance research at scale and empower healthcare innovation.Media and EntertainmentSolutions for content production and distribution operations.TelecommunicationsHybrid and multi-cloud services to deploy and monetize 5G.GamesAI-driven solutions to build and scale games faster.ManufacturingMigration and AI tools to optimize the manufacturing value chain.Supply Chain and LogisticsEnable sustainable efficient and resilient data-driven operations across supply chain and logistics operations.GovernmentData storage AI and analytics solutions for government agencies.EducationTeaching tools to provide more engaging learning experiences.Not seeing what you're looking for?See all industry solutionsApplication ModernizationAssess plan implement and measure software practices and capabilities to modernize and simplify your organization’s business application portfolios.CAMPProgram that uses DORA to improve your software delivery capabilities.Modernize Traditional ApplicationsAnalyze categorize and get started with cloud migration on traditional workloads.Migrate from PaaS: Cloud Foundry OpenshiftTools for moving your existing containers into Google's managed container services.Migrate from MainframeAutomated tools and prescriptive guidance for moving your mainframe apps to the cloud.Modernize Software DeliverySoftware supply chain best practices - innerloop productivity CI/CD and S3C.DevOps Best PracticesProcesses and resources for implementing DevOps in your org.SRE PrinciplesTools and resources for adopting SRE in your org.Day 2 Operations for GKETools and guidance for effective GKE management and monitoring.FinOps and Optimization of GKEBest practices for running reliable performant and cost effective applications on GKE.Run Applications at the EdgeGuidance for localized and low latency apps on Google’s hardware agnostic edge solution.Architect for MulticloudManage workloads across multiple clouds with a consistent platform.Go ServerlessFully managed environment for developing deploying and scaling apps.Artificial IntelligenceAdd intelligence and efficiency to your business with AI and machine learning.Contact Center AIAI model for speaking with customers and assisting human agents.Document AIDocument processing and data capture automated at scale.Product DiscoveryGoogle-quality search and product recommendations for retailers.APIs and ApplicationsSpeed up the pace of innovation without coding using APIs apps and automation.New Business Channels Using APIsAttract and empower an ecosystem of developers and partners.Unlocking Legacy Applications Using APIsCloud services for extending and modernizing legacy apps.Open Banking APIxSimplify and accelerate secure delivery of open banking compliant APIs.DatabasesMigrate and manage enterprise data with security reliability high availability and fully managed data services.Database MigrationGuides and tools to simplify your database migration life cycle.Database ModernizationUpgrades to modernize your operational database infrastructure.Databases for GamesBuild global live games with Google Cloud databases.Google Cloud DatabasesDatabase services to migrate manage and modernize data.Migrate Oracle workloads to Google CloudRehost replatform rewrite your Oracle workloads.Open Source DatabasesFully managed open source databases with enterprise-grade support.SQL Server on Google CloudOptions for running SQL Server virtual machines on Google Cloud.Data CloudUnify data across your organization with an open and simplified approach to data-driven transformation that is unmatched for speed scale and security with AI built-in.Databases SolutionsMigrate and manage enterprise data with security reliability high availability and fully managed data services.Smart Analytics SolutionsGenerate instant insights from data at any scale with a serverless fully managed analytics platform that significantly simplifies analytics.AI SolutionsAdd intelligence and efficiency to your business with AI and machine learning.Data Cloud for ISVsInnovate optimize and amplify your SaaS applications using Google's data and machine learning solutions such as BigQuery Looker Spanner and Vertex AI.Data Cloud AllianceAn initiative to ensure that global businesses have more seamless access and insights into the data required for digital transformation.Digital TransformationAccelerate business recovery and ensure a better future with solutions that enable hybrid and multi-cloud generate intelligent insights and keep your workers connected.Digital InnovationReimagine your operations and unlock new opportunities.Operational EfficiencyPrioritize investments and optimize costs.COVID-19 SolutionsGet work done more safely and securely.COVID-19 Solutions for the Healthcare IndustryHow Google is helping healthcare meet extraordinary challenges.Infrastructure ModernizationMigrate quickly with solutions for SAP VMware Windows Oracle and other workloads.Application MigrationDiscovery and analysis tools for moving to the cloud.SAP on Google CloudCertifications for running SAP applications and SAP HANA.High Performance ComputingCompute storage and networking options to support any workload.Windows on Google CloudTools and partners for running Windows workloads.Data Center MigrationMigration solutions for VMs apps databases and more.Active AssistAutomatic cloud resource optimization and increased security.Virtual DesktopsRemote work solutions for desktops and applications (VDI &amp; DaaS).Rapid Migration Program (RaMP)End-to-end migration program to simplify your path to the cloud.Backup and Disaster RecoveryEnsure your business continuity needs are met.Productivity and CollaborationChange the way teams work with solutions designed for humans and built for impact.Google WorkspaceCollaboration and productivity tools for enterprises.Google Workspace EssentialsSecure video meetings and modern collaboration for teams.Cloud IdentityUnified platform for IT admins to manage user devices and apps.Chrome EnterpriseChromeOS Chrome Browser and Chrome devices built for business.Cloud SearchEnterprise search for employees to quickly find company information.SecurityDetect investigate and respond to online threats to help protect your business.Security Analytics and OperationsSolution for analyzing petabytes of security telemetry.Web App and API ProtectionThreat and fraud protection for your web applications and APIs.Security and Resilience FrameworkSolutions for each phase of the security and resilience life cycle.Risk and compliance as code (RCaC)Solution to modernize your governance risk and compliance function with automation.Software Supply Chain SecuritySolution for improving end-to-end software supply chain security.Security FoundationRecommended products to help achieve a strong security posture.Smart AnalyticsGenerate instant insights from data at any scale with a serverless fully managed analytics platform that significantly simplifies analytics.Data Warehouse ModernizationData warehouse to jumpstart your migration and unlock insights.Data Lake ModernizationServices for building and modernizing your data lake.Spark on Google CloudRun and write Spark where you need it serverless and integrated.Stream AnalyticsInsights from ingesting processing and analyzing event streams.Business IntelligenceSolutions for modernizing your BI stack and creating rich data experiences.Data SciencePut your data to work with Data Science on Google Cloud.Marketing AnalyticsSolutions for collecting analyzing and activating customer data.Geospatial Analytics and AISolutions for building a more prosperous and sustainable business.DatasetsData from Google public and commercial providers to enrich your analytics and AI initiatives.Startups and SMBAccelerate startup and SMB growth with tailored solutions and programs.Startup SolutionsGrow your startup and solve your toughest challenges using Google’s proven technology.Startup ProgramGet financial business and technical support to take your startup to the next level.Small and Medium BusinessExplore solutions for web hosting app development AI and analytics.Software as a ServiceBuild better SaaS products scale efficiently and grow your business.closeFeatured ProductsAI and Machine LearningBusiness IntelligenceComputeContainersData AnalyticsDatabasesDeveloper ToolsDistributed CloudHybrid and MulticloudIndustry SpecificIntegration ServicesManagement ToolsMaps and GeospatialMedia ServicesMigrationMixed RealityNetworkingOperationsProductivity and CollaborationSecurity and IdentityServerlessStorageWeb3See all products (100+)Featured ProductsCompute EngineVirtual machines running in Google’s data center.Cloud StorageObject storage that’s secure durable and scalable.BigQueryData warehouse for business agility and insights.Cloud RunFully managed environment for running containerized apps.Google Kubernetes EngineManaged environment for running containerized apps.Vertex AI PlatformUnified platform for ML models and generative AI.LookerPlatform for BI data applications and embedded analytics.Apigee API ManagementManage the full life cycle of APIs anywhere with visibility and control.Cloud SQLRelational database services for MySQL PostgreSQL and SQL Server.Cloud SDKCommand-line tools and libraries for Google Cloud.Cloud CDNContent delivery network for delivering web and video.Not seeing what you're looking for?See all products (100+)AI and Machine LearningVertex AI PlatformUnified platform for ML models and generative AI.Generative AI on Vertex AIBuild tune and deploy foundation models on Vertex AI.Vertex AI Search and ConversationGenerative AI apps for search and conversational AI.DialogflowLifelike conversational AI with state-of-the-art virtual agents.Natural Language AISentiment analysis and classification of unstructured text.Speech-to-TextSpeech recognition and transcription across 125 languages.Text-to-SpeechSpeech synthesis in 220+ voices and 40+ languages.Translation AILanguage detection translation and glossary support.Document AIDocument processing and data capture automated at scale.Vision AICustom and pre-trained models to detect emotion text and more.Contact Center AIAI model for speaking with customers and assisting human agents.Not seeing what you're looking for?See all AI and machine learning productsBusiness IntelligenceLookerPlatform for BI data applications and embedded analytics.Looker StudioInteractive data suite for dashboarding reporting and analytics.ComputeCompute EngineVirtual machines running in Google’s data center.App EngineServerless application platform for apps and back ends.Cloud GPUsGPUs for ML scientific computing and 3D visualization.Migrate to Virtual MachinesServer and virtual machine migration to Compute Engine.Spot VMsCompute instances for batch jobs and fault-tolerant workloads.BatchFully managed service for scheduling batch jobs.Sole-Tenant NodesDedicated hardware for compliance licensing and management.Bare MetalInfrastructure to run specialized workloads on Google Cloud.RecommenderUsage recommendations for Google Cloud products and services.VMware EngineFully managed native VMware Cloud Foundation software stack.Cloud RunFully managed environment for running containerized apps.Not seeing what you're looking for?See all compute productsContainersGoogle Kubernetes EngineManaged environment for running containerized apps.Cloud RunFully managed environment for running containerized apps.Cloud BuildSolution for running build steps in a Docker container.Artifact RegistryPackage manager for build artifacts and dependencies.Cloud CodeIDE support to write run and debug Kubernetes applications.Cloud DeployFully managed continuous delivery to GKE and Cloud Run.Migrate to ContainersComponents for migrating VMs into system containers on GKE.Deep Learning ContainersContainers with data science frameworks libraries and tools.KnativeComponents to create Kubernetes-native cloud-based software.Data AnalyticsBigQueryData warehouse for business agility and insights.LookerPlatform for BI data applications and embedded analytics.DataflowStreaming analytics for stream and batch processing.Pub/SubMessaging service for event ingestion and delivery.DataprocService for running Apache Spark and Apache Hadoop clusters.Cloud Data FusionData integration for building and managing data pipelines.Cloud ComposerWorkflow orchestration service built on Apache Airflow.DataprepService to prepare data for analysis and machine learning.DataplexIntelligent data fabric for unifying data management across silos.DataformBuild version control and deploy SQL workflows in BigQuery.Analytics HubService for securely and efficiently exchanging data analytics assets.Not seeing what you're looking for?See all data analytics productsDatabasesAlloyDB for PostgreSQLFully managed PostgreSQL-compatible database for enterprise workloads.Cloud SQLFully managed database for MySQL PostgreSQL and SQL Server.FirestoreCloud-native document database for building rich mobile web and IoT apps.Cloud SpannerCloud-native relational database with unlimited scale and 99.999% availability.Cloud BigtableCloud-native wide-column database for large-scale low-latency workloads.DatastreamServerless change data capture and replication service.Database Migration ServiceServerless minimal downtime migrations to Cloud SQL.Developer ToolsArtifact RegistryUniversal package manager for build artifacts and dependencies.Cloud CodeIDE support to write run and debug Kubernetes applications.Cloud BuildContinuous integration and continuous delivery platform.Cloud DeployFully managed continuous delivery to GKE and Cloud Run.Cloud Deployment ManagerService for creating and managing Google Cloud resources.Cloud SDKCommand-line tools and libraries for Google Cloud.Cloud SchedulerCron job scheduler for task automation and management.Cloud Source RepositoriesPrivate Git repository to store manage and track code.Cloud TasksTask management service for asynchronous task execution.Cloud WorkstationsManaged and secure development environments in the cloud.Tools for PowerShellFull cloud control from Windows PowerShell.Not seeing what you're looking for?See all developer toolsDistributed CloudGoogle Distributed Cloud EdgeDistributed cloud services for edge workloads.Google Distributed Cloud HostedDistributed cloud for air-gapped workloads.Hybrid and MulticloudGoogle Kubernetes EngineManaged environment for running containerized apps.Apigee API ManagementAPI management development and security platform.Migrate to ContainersTool to move workloads and existing applications to GKE.Traffic DirectorTraffic control pane and management for open service mesh.Cloud BuildService for executing builds on Google Cloud infrastructure.OperationsMonitoring logging and application performance suite.AnthosPlatform for modernizing existing apps and building new ones.Distributed CloudFully managed solutions for the edge and data centers.Industry SpecificAnti Money Laundering AIDetect suspicious potential money laundering activity with AI.Cloud Healthcare APISolution for bridging existing care systems and apps on Google Cloud.Device Connect for FitbitGain a 360-degree patient view with connected Fitbit data on Google Cloud.Telecom Network AutomationReady to use cloud-native automation for telecom networks.Telecom Data FabricTelecom data management and analytics with an automated approach.Telecom Subscriber InsightsIngests data to improve subscriber acquisition and retention.Spectrum Access System (SAS)Controls fundamental access to the Citizens Broadband Radio Service (CBRS).Integration ServicesApplication IntegrationConnect to 3rd party apps and enable data consistency without code.WorkflowsWorkflow orchestration for serverless products and API services.Apigee API ManagementManage the full life cycle of APIs anywhere with visibility and control.Cloud TasksTask management service for asynchronous task execution.Cloud SchedulerCron job scheduler for task automation and management.DataprocService for running Apache Spark and Apache Hadoop clusters.Cloud Data FusionData integration for building and managing data pipelines.Cloud ComposerWorkflow orchestration service built on Apache Airflow.Pub/SubMessaging service for event ingestion and delivery.EventarcBuild an event-driven architecture that can connect any service.Management ToolsCloud ShellInteractive shell environment with a built-in command line.Cloud consoleWeb-based interface for managing and monitoring cloud apps.Cloud EndpointsDeployment and development management for APIs on Google Cloud.Cloud IAMPermissions management system for Google Cloud resources.Cloud APIsProgrammatic interfaces for  Google Cloud services.Service CatalogService catalog for admins managing internal enterprise solutions.Cost ManagementTools for monitoring controlling and optimizing your costs.OperationsMonitoring logging and application performance suite.Carbon FootprintDashboard to view and export Google Cloud carbon emissions reports.Config ConnectorKubernetes add-on for managing Google Cloud resources.Active AssistTools for easily managing performance security and cost.Not seeing what you're looking for?See all management toolsMaps and GeospatialEarth EngineGeospatial platform for Earth observation data and analysis.Google Maps PlatformCreate immersive location experiences and improve business operations.Media ServicesCloud CDNContent delivery network for serving web and video content.Live Steam APIService to convert live video and package for streaming.OpenCueOpen source render manager for visual effects and animation.Transcoder APIConvert video files and package them for optimized delivery.Video Stitcher APIService for dynamic or server side ad insertion.MigrationMigration CenterUnified platform for migrating and modernizing with Google Cloud.Application MigrationApp migration to the cloud for low-cost refresh cycles.Migrate to Virtual MachinesComponents for migrating VMs and physical servers to Compute Engine.Cloud Foundation ToolkitReference templates for Deployment Manager and Terraform.Database Migration ServiceServerless minimal downtime migrations to Cloud SQL.Migrate to ContainersComponents for migrating VMs into system containers on GKE.BigQuery Data Transfer ServiceData import service for scheduling and moving data into BigQuery.Rapid Migration Program (RaMP)End-to-end migration program to simplify your path to the cloud.Transfer ApplianceStorage server for moving large volumes of data to Google Cloud.Storage Transfer ServiceData transfers from online and on-premises sources to Cloud Storage.VMware EngineMigrate and run your VMware workloads natively on Google Cloud.Mixed RealityImmersive Stream for XRHosts renders and streams 3D and XR experiences.NetworkingCloud ArmorSecurity policies and defense against web and DDoS attacks.Cloud CDN and Media CDNContent delivery network for serving web and video content.Cloud DNSDomain name system for reliable and low-latency name lookups.Cloud Load BalancingService for distributing traffic across applications and regions.Cloud NATNAT service for giving private instances internet access.Cloud ConnectivityConnectivity options for VPN peering and enterprise needs.Network Connectivity CenterConnectivity management to help simplify and scale networks.Network Intelligence CenterNetwork monitoring verification and optimization platform.Network Service TiersCloud network options  based on performance availability and cost.Virtual Private CloudSingle VPC for an entire organization isolated within projects.Private Service ConnectSecure connection between your VPC and services.Not seeing what you're looking for?See all networking productsOperationsCloud LoggingGoogle Cloud audit platform and application logs management.Cloud MonitoringInfrastructure and application health with rich metrics.Error ReportingApplication error identification and analysis.Cloud DebuggerReal-time application state inspection and in -production debugging.Cloud TraceTracing system collecting latency data from applications.Cloud ProfilerCPU and heap profiler for analyzing application performance.Productivity and CollaborationAppSheetNo-code development platform to build and extend applications.Appsheet AutomationBuild automations and applications on a unified platform.Google WorkspaceCollaboration and productivity tools for individuals and organizations.Google Workspace EssentialsSecure video meetings and modern collaboration for teams.Duet AI for WorkspaceEmbeds generative AI across Workspace apps.Cloud IdentityUnified platform for IT admins to manage user devices and apps.Chrome EnterpriseChrome OS Chrome Browser and Chrome devices built for business.Security and IdentityCloud IAMPermissions management system for Google Cloud resources.Assured WorkloadsCompliance and security controls for sensitive workloads.Cloud Key ManagementManage encryption keys on Google Cloud.Confidential ComputingEncrypt data in use with Confidential VMs.Security Command CenterPlatform for defending against threats to your Google Cloud assets.Cloud Data Loss PreventionSensitive data inspection classification and redaction platform.Mandiant Products and ServicesCybersecurity technology and expertise from the frontlines.Chronicle SIEMExtract signals from your security telemetry to find threats instantly.Chronicle Security OperationsDetect investigate and respond to cyber threats.Secret ManagerStore API keys passwords certificates and other sensitive data.BeyondCorp EnterpriseZero-trust access control for your internal web apps.Not seeing what you're looking for?See all security and identity productsServerlessCloud RunFully managed environment for running containerized apps.Cloud FunctionsPlatform for creating functions that respond to cloud events.App EngineServerless application platform for apps and back ends.WorkflowsWorkflow orchestration for serverless products and API services.API GatewayDevelop deploy secure and manage APIs with a full managed gateway.StorageCloud StorageObject storage that’s secure durable and scalable.Backup and DR ServiceService for centralized application-consistent data protection.FilestoreFile storage that is highly scalable and secure.Persistent DiskBlock storage for virtual machine instances running on Google Cloud.Cloud Storage for FirebaseObject storage for storing and serving user-generated content.Local SSDBlock storage that is locally attached for high-performance needs.Storage Transfer ServiceData transfers from online and on-premises sources to Cloud Storage.Web3Blockchain Node EngineFully managed node hosting for developing on the blockchain.closeSave money with our transparent approach to pricingGoogle Cloud's pay-as-you-go pricing offers automatic savings based on monthly usage and discounted rates for prepaid resources. Contact us today to get a quote.Request a quotePricing overview and toolsGoogle Cloud pricingPay only for what you use with no lock-in.Pricing calculatorCalculate your cloud savings.Google Cloud free tierExplore products with free monthly usage.Cost optimization frameworkGet best practices to optimize workload costs.Cost management toolsTools to monitor and control your costs.Product-specific PricingCompute EngineCloud SQLGoogle Kubernetes EngineCloud StorageBigQuerySee full price list with 100+ productscloseLearn &amp; buildGoogle Cloud Free Program$300 in free credits and 20+ free products.QuickstartsGet tutorials and walkthroughs.Cloud computing basicsLearn more about cloud computing topics.BlogRead our latest product news and stories.Learning HubGrow your career with role-based learningTrainingEnroll in on-demand or classroom training.CertificationPrepare and register for certifications.Cloud Architecture CenterGet reference architectures and best practices.ConnectInnovatorsJoin Google Cloud's developer program.Developer CenterStay in the know and stay connected.Events and webinarsBrowse upcoming and on demand events.Google Cloud CommunityAsk questions find answers and connect.Third-party tools and partnersGoogle Cloud MarketplaceDeploy ready-to-go solutions in a few clicks.Google Cloud partnersExplore benefits of working with a partner.Become a partnerJoin the Partner Advantage program.closeOverviewarrow_forwardSolutionsarrow_forwardProductsarrow_forwardPricingarrow_forwardResourcesarrow_forwardDocsSupportConsoleAccelerate your digital transformationLearn moreKey benefitsWhy Google CloudAI and MLMulticloudGlobal infrastructureData CloudOpen cloudTrust and securityProductivity and collaborationReports and insightsExecutive insightsAnalyst reportsWhitepapersCustomer storiesIndustry SolutionsRetailConsumer Packaged GoodsFinancial ServicesHealthcare and Life SciencesMedia and EntertainmentTelecommunicationsGamesManufacturingSupply Chain and LogisticsGovernmentEducationSee all industry solutionsSee all solutionsApplication ModernizationCAMPModernize Traditional ApplicationsMigrate from PaaS: Cloud Foundry OpenshiftMigrate from MainframeModernize Software DeliveryDevOps Best PracticesSRE PrinciplesDay 2 Operations for GKEFinOps and Optimization of GKERun Applications at the EdgeArchitect for MulticloudGo ServerlessArtificial IntelligenceContact Center AIDocument AIProduct DiscoveryAPIs and ApplicationsNew Business Channels Using APIsUnlocking Legacy Applications Using APIsOpen Banking APIxDatabasesDatabase MigrationDatabase ModernizationDatabases for GamesGoogle Cloud DatabasesMigrate Oracle workloads to Google CloudOpen Source DatabasesSQL Server on Google CloudData CloudDatabases SolutionsSmart Analytics SolutionsAI SolutionsData Cloud for ISVsData Cloud AllianceDigital TransformationDigital InnovationOperational EfficiencyCOVID-19 SolutionsCOVID-19 Solutions for the Healthcare IndustryInfrastructure ModernizationApplication MigrationSAP on Google CloudHigh Performance ComputingWindows on Google CloudData Center MigrationActive AssistVirtual DesktopsRapid Migration Program (RaMP)Backup and Disaster RecoveryProductivity and CollaborationGoogle WorkspaceGoogle Workspace EssentialsCloud IdentityChrome EnterpriseCloud SearchSecuritySecurity Analytics and OperationsWeb App and API ProtectionSecurity and Resilience FrameworkRisk and compliance as code (RCaC)Software Supply Chain SecuritySecurity FoundationSmart AnalyticsData Warehouse ModernizationData Lake ModernizationSpark on Google CloudStream AnalyticsBusiness IntelligenceData ScienceMarketing AnalyticsGeospatial Analytics and AIDatasetsStartups and SMBStartup SolutionsStartup ProgramSmall and Medium BusinessSoftware as a ServiceFeatured ProductsCompute EngineCloud StorageBigQueryCloud RunGoogle Kubernetes EngineVertex AI PlatformLookerApigee API ManagementCloud SQLCloud SDKCloud CDNSee all products (100+)AI and Machine LearningVertex AI PlatformGenerative AI on Vertex AIVertex AI Search and ConversationDialogflowNatural Language AISpeech-to-TextText-to-SpeechTranslation AIDocument AIVision AIContact Center AISee all AI and machine learning productsBusiness IntelligenceLookerLooker StudioComputeCompute EngineApp EngineCloud GPUsMigrate to Virtual MachinesSpot VMsBatchSole-Tenant NodesBare MetalRecommenderVMware EngineCloud RunSee all compute productsContainersGoogle Kubernetes EngineCloud RunCloud BuildArtifact RegistryCloud CodeCloud DeployMigrate to ContainersDeep Learning ContainersKnativeData AnalyticsBigQueryLookerDataflowPub/SubDataprocCloud Data FusionCloud ComposerDataprepDataplexDataformAnalytics HubSee all data analytics productsDatabasesAlloyDB for PostgreSQLCloud SQLFirestoreCloud SpannerCloud BigtableDatastreamDatabase Migration ServiceDeveloper ToolsArtifact RegistryCloud CodeCloud BuildCloud DeployCloud Deployment ManagerCloud SDKCloud SchedulerCloud Source RepositoriesCloud TasksCloud WorkstationsTools for PowerShellSee all developer toolsDistributed CloudGoogle Distributed Cloud EdgeGoogle Distributed Cloud HostedHybrid and MulticloudGoogle Kubernetes EngineApigee API ManagementMigrate to ContainersTraffic DirectorCloud BuildOperationsAnthosDistributed CloudIndustry SpecificAnti Money Laundering AICloud Healthcare APIDevice Connect for FitbitTelecom Network AutomationTelecom Data FabricTelecom Subscriber InsightsSpectrum Access System (SAS)Integration ServicesApplication IntegrationWorkflowsApigee API ManagementCloud TasksCloud SchedulerDataprocCloud Data FusionCloud ComposerPub/SubEventarcManagement ToolsCloud ShellCloud consoleCloud EndpointsCloud IAMCloud APIsService CatalogCost ManagementOperationsCarbon FootprintConfig ConnectorActive AssistSee all management toolsMaps and GeospatialEarth EngineGoogle Maps PlatformMedia ServicesCloud CDNLive Steam APIOpenCueTranscoder APIVideo Stitcher APIMigrationMigration CenterApplication MigrationMigrate to Virtual MachinesCloud Foundation ToolkitDatabase Migration ServiceMigrate to ContainersBigQuery Data Transfer ServiceRapid Migration Program (RaMP)Transfer ApplianceStorage Transfer ServiceVMware EngineMixed RealityImmersive Stream for XRNetworkingCloud ArmorCloud CDN and Media CDNCloud DNSCloud Load BalancingCloud NATCloud ConnectivityNetwork Connectivity CenterNetwork Intelligence CenterNetwork Service TiersVirtual Private CloudPrivate Service ConnectSee all networking productsOperationsCloud LoggingCloud MonitoringError ReportingCloud DebuggerCloud TraceCloud ProfilerProductivity and CollaborationAppSheetAppsheet AutomationGoogle WorkspaceGoogle Workspace EssentialsDuet AI for WorkspaceCloud IdentityChrome EnterpriseSecurity and IdentityCloud IAMAssured WorkloadsCloud Key ManagementConfidential ComputingSecurity Command CenterCloud Data Loss PreventionMandiant Products and ServicesChronicle SIEMChronicle Security OperationsSecret ManagerBeyondCorp EnterpriseSee all security and identity productsServerlessCloud RunCloud FunctionsApp EngineWorkflowsAPI GatewayStorageCloud StorageBackup and DR ServiceFilestorePersistent DiskCloud Storage for FirebaseLocal SSDStorage Transfer ServiceWeb3Blockchain Node EngineSave money with our transparent approach to pricingRequest a quotePricing overview and toolsGoogle Cloud pricingPricing calculatorGoogle Cloud free tierCost optimization frameworkCost management toolsProduct-specific PricingCompute EngineCloud SQLGoogle Kubernetes EngineCloud StorageBigQuerySee full price list with 100+ productsLearn &amp; buildGoogle Cloud Free ProgramQuickstartsCloud computing basicsBlogLearning HubTrainingCertificationCloud Architecture CenterConnectInnovatorsDeveloper CenterEvents and webinarsGoogle Cloud CommunityThird-party tools and partnersGoogle Cloud MarketplaceGoogle Cloud partnersBecome a partnerWhy GoogleChoosing Google CloudTrust and securityOpen cloudMulticloudGlobal infrastructureCustomers and case studiesAnalyst reportsWhitepapersBlogProducts and pricingGoogle Cloud pricingGoogle Workspace pricingSee all productsSolutionsInfrastructure modernizationDatabasesApplication modernizationSmart analyticsArtificial IntelligenceSecurityProductivity &amp; work transformationIndustry solutionsDevOps solutionsSmall business solutionsSee all solutionsResourcesGoogle Cloud documentationGoogle Cloud quickstartsGoogle Cloud MarketplaceLearn about cloud computingSupportCode samplesCloud Architecture CenterTrainingCertificationsGoogle DevelopersGoogle Cloud for StartupsSystem statusRelease NotesEngageContact salesFind a PartnerBecome a PartnerEventsPodcastsDeveloper CenterPress CornerGoogle Cloud on YouTubeGoogle Cloud Tech on YouTubeFollow on TwitterJoin User ResearchWe're hiring. Join Google Cloud!Google Cloud CommunityAbout GooglePrivacySite termsGoogle Cloud termsOur third decade of climate action: join usSign up for the Google Cloud newsletterSubscribe language‪English‬‪English‬‪Deutsch‬‪Español‬‪Español (Latinoamérica)‬‪Français‬‪Indonesia‬‪Italiano‬‪Português (Brasil)‬‪简体中文‬‪繁體中文‬‪日本語‬‪한국어‬</v>
      </c>
    </row>
    <row r="400">
      <c r="A400" s="1" t="s">
        <v>1218</v>
      </c>
      <c r="B400" s="1" t="s">
        <v>1299</v>
      </c>
      <c r="C400" s="1" t="s">
        <v>1300</v>
      </c>
      <c r="D400" s="1">
        <v>8.0</v>
      </c>
      <c r="E400" s="4" t="s">
        <v>1301</v>
      </c>
      <c r="F400" s="1" t="s">
        <v>43</v>
      </c>
      <c r="G400" s="1" t="s">
        <v>1302</v>
      </c>
      <c r="H400" s="4" t="s">
        <v>1303</v>
      </c>
      <c r="I400" s="2">
        <v>3.0</v>
      </c>
      <c r="J400" s="5" t="str">
        <f>IFERROR(__xludf.DUMMYFUNCTION("GOOGLETRANSLATE(A400)"),"DNS")</f>
        <v>DNS</v>
      </c>
      <c r="K400" s="6" t="str">
        <f>IFERROR(__xludf.DUMMYFUNCTION("GOOGLETRANSLATE(B400)"),"What is DNS? – Introduction to DNS")</f>
        <v>What is DNS? – Introduction to DNS</v>
      </c>
      <c r="L400" s="5" t="str">
        <f>IFERROR(__xludf.DUMMYFUNCTION("GOOGLETRANSLATE(C400)"),"DNS, or the Domain Name System, translates human readable domain names (for example, www.amazon.com) to machine readable IP addresses (for example, 192.0.2.44).")</f>
        <v>DNS, or the Domain Name System, translates human readable domain names (for example, www.amazon.com) to machine readable IP addresses (for example, 192.0.2.44).</v>
      </c>
      <c r="M400" s="5" t="str">
        <f>IFERROR(__xludf.DUMMYFUNCTION("GOOGLETRANSLATE(G400)"),"Cloud Computing Services - Amazon Web Services (AWS) Skip to main contentClick here to return to Amazon Web Services homepageContact Us Support  English My Account  Sign In  Create an AWS Account re:InventProductsSolutionsPricingDocumentationLearnPartner "&amp;"NetworkAWS MarketplaceCustomer EnablementEventsExplore More  Close عربيBahasa IndonesiaDeutschEnglishEspañolFrançaisItalianoPortuguêsTiếng ViệtTürkçeΡусскийไทย日本語한국어中文 (简体)中文 (繁體) Close My ProfileSign out of AWS Builder IDAWS Management ConsoleAccount Set"&amp;"tingsBilling &amp; Cost ManagementSecurity CredentialsAWS Personal Health Dashboard Close Support CenterExpert HelpKnowledge CenterAWS Support OverviewAWS re:PostClick here to return to Amazon Web Services homepage  Get Started for Free   Contact Us  re:Inven"&amp;"t  Products  Solutions  Pricing  Introduction to AWS  Getting Started  Documentation  Training and Certification  Developer Center  Customer Success  Partner Network  AWS Marketplace  Support  AWS re:Post  Log into Console  Download the Mobile App  Start "&amp;"Building on AWS Today               Whether you're looking for compute power database storage content delivery or other functionality AWS has the services to help you build sophisticated applications with increased flexibility scalability and reliability "&amp;"               Get Started for Free  Explore the AWS platform cloud products and capabilities               Get started                  Try Amazon Redshift for Free               Accelerate your time to insights with fast easy and secure cloud data wareh"&amp;"ousing at scale                             Get started                  Amazon S3 Object Lambda               Add your own code to process data retrieved from Amazon S3 before returning it to an application                             Learn more         "&amp;"         AWS Skill Builder - Learn AWS by Doing AWS               Access 100+ AWS Builder Labs that sharpen your cloud skills quickly in a safe sandbox environment                             Subscribe today                 PrevNext             Start Buil"&amp;"ding With Free Tier                         Use Amazon EC2 S3 and more— free for a full year                          Launch Your First App in Minutes                         Learn AWS fundamentals and start building with short step-by-step tutorials     "&amp;"                     Enable Remote Work &amp; Learning                         Support remote employees students and contact center agents                          Amazon Lightsail                         Everything you need to get started on AWS—for a low pr"&amp;"edictable price                           Solutions                           View our AWS Solutions library                            Products                           Explore our cloud-based products                            Training &amp; Certification"&amp;"                           Learn how to build on AWS                            Customer Innovation                           Read our customer success stories                            Solutions                           View our AWS Solutions library  "&amp;"                          Products                           Explore our cloud-based products                            Training &amp; Certification                           Learn how to build on AWS                            Customer Innovation           "&amp;"                Read our customer success stories               Explore Our Solutions By Industry  Advertising &amp; Marketing                Achieve cost-efficiency for petabyte-scale analytics and single-digit millisecond latency workloads.                 "&amp;" Financial Services                Less cost. More resiliency. Explore AWS solutions across banking payments capital markets and insurance.                  Game Tech                Create computationally ridiculous games across all genres and platforms. "&amp;"                 Education                Personalize student-learning experiences access applications from anywhere and improve learning.                 View All Industries  By Technology Category  Analytics &amp; Data Lakes                Securely store ca"&amp;"tegorize and analyze all your data in one centralized repository.                  Machine Learning                Build with powerful services and platforms and the broadest machine learning framework support anywhere.                  Serverless Computi"&amp;"ng                Build and run applications and services without thinking about servers.                  Storage                Durable cost-effective options for backup disaster recovery and data archiving at petabyte scale.                 View All So"&amp;"lutions  Explore Our Products              Featured Services                            Analytics                            Cloud Financial Management                            Compute                            Containers                            Dat"&amp;"abase                            Front-End Web &amp; Mobile                            Internet of Things                            Machine Learning                            Networking &amp; Content Delivery                            Security Identity &amp; Compl"&amp;"iance                            Serverless                            Storage              Featured Services Rank Featured Services Rank                  No products found for this category.                View All Product Categories  Service Name Servic"&amp;"e Name                  No products found for this category.                View All Analytics Products  Service Name Service Name                  No products found for this category.                View All Cloud Financial Management Products  Service N"&amp;"ame Service Name                  No products found for this category.                View All Compute Products  Service Name Service Name                  No products found for this category.                View All Containers Products  Service Name Serv"&amp;"ice Name                  No products found for this category.                View All Database Products  Featured Services Rank Featured Services Rank                  No products found for this category.                View All Front-end Web &amp; Mobile Pr"&amp;"oducts  Service Name Service Name                  No products found for this category.                View All Internet of Things Products  Service Name Service Name                  No products found for this category.                View All Machine Le"&amp;"arning Products  Service Name Service Name                  No products found for this category.                View All Networking &amp; Content Delivery Products  Service Name Service Name                  No products found for this category.               "&amp;" View All Security Identity &amp; Compliance Products  Service Name Service Name                  No products found for this category.                View All Serverless Products  Service Name Service Name                  No products found for this category."&amp;"                View All Storage Products   Training and Certification              For Builders                            For Decision Makers                           For Builders                           For developers data scientists solutions archi"&amp;"tects or anyone interested in learning how to build on AWS today                                Free Online Training                  Go from learning to doing with more than 500 free digital training courses built by AWS experts Take a Digital Course »  "&amp;"                  AWS Learning Recommendations                  Start building today with Ramp-Up guides featuring curated resources to grow your AWS knowledge Browse by Role or Solution »                    AWS Certification                  Grow your ca"&amp;"reer and business with industry-recognized credentials validating your cloud skills Learn More About AWS Certification »                For Decision Makers                           For technical and business leaders who develop cloud skills in their orga"&amp;"nization to enable innovation and transformation                                Upskill Your Teams                  Explore best practices to empower your teams with comprehensive training and certification programs Read the E-book»                    Vir"&amp;"tual Classroom Training                  Accelerate your cloud transformation with training from AWS experts familiar with your AWS use cases Learn More »                    AWS Certified Staff                  Learn how AWS Certification can help your or"&amp;"ganizations achieve business outcomes Download Whitepaper »   Powering Customer Innovation             Featured Customer Innovations                          Advertising &amp; Marketing                          Aerospace &amp; Satellite                          A"&amp;"griculture                          Automotive                          Education                          Energy                          Financial Services                          Government                          Healthcare &amp; Life Sciences          "&amp;"                Manufacturing                          Media &amp; Entertainment                          Retail | Consumer Packaged Goods                          Travel &amp; Hospitality             Customer Name Customer Name                 No products found "&amp;"for this category.               View All Customer Stories  Customer Name Customer Name                 No products found for this category.               View All Advertising &amp; Marketing Customer Stories  Customer Name Customer Name                 No pr"&amp;"oducts found for this category.               View All Aerospace &amp; Satellite Customer Stories  Customer Name Customer Name                 No products found for this category.               View All Agriculture Customer Stories  Customer Name Customer Nam"&amp;"e                 No products found for this category.               View All Automotive Customer Stories  Customer Name Customer Name                 No products found for this category.               View All Education Customer Stories  Customer Name Cu"&amp;"stomer Name                 No products found for this category.               View All Energy Customer Stories  Customer Name Customer Name                 No products found for this category.               View All Financial Services Customer Stories  C"&amp;"ustomer Name Customer Name                 No products found for this category.               View All Government Stories  Customer Name Customer Name                 No products found for this category.               View All Healthcare &amp; Life Sciences C"&amp;"ustomer Stories  Customer Name Customer Name                 No products found for this category.               View All Manufacturing Customer Stories  Customer Name Customer Name                 No products found for this category.               View Al"&amp;"l Media &amp; Entertainment Customer Stories  Customer Name Customer Name                 No products found for this category.               View All Retail &amp; Consumer Goods Customer Stories  Customer Name Customer Name                 No products found for t"&amp;"his category.               View All Travel &amp; Hospitality Customer Stories   Engineered for the Most Demanding Requirements              Secure                           Comprehensive security capabilities to satisfy the most demanding requirements.      "&amp;"                      Compliant                           Rich controls auditing and broad security accreditations.                            Hybrid                           Build hybrid architectures that extend your on-premises infrastructure to the C"&amp;"loud.                            Scalable                           Access as much or as little as you need and scale up and down as required with only a few minutes notice.               Global Network of AWS Regions          The AWS Cloud spans 102 Avai"&amp;"lability Zones within 32 geographic regions around the world with announced plans for 15 more Availability Zones and 5 more AWS Regions in Canada Germany Malaysia New Zealand and Thailand.          Skip Map  List view              Regions                 "&amp;"          Coming Soon              Learn more about AWS Regions  Close             Analyst Reports                       Read what top analysts such as Gartner and IDC are saying about AWS                        AWS Training                       Free dig"&amp;"ital courses to help you develop your skills                        AWS Partner Network                       Join AWS Partner Network to build and grow your cloud business                        The Amazon Builders' Library                       Learn ho"&amp;"w Amazon builds and operates software from the builders themselves              Sign In to the Console  Learn About AWSWhat Is AWS?What Is Cloud Computing?AWS Inclusion Diversity &amp; EquityWhat Is DevOps?What Is a Container?What Is a Data Lake?What is Gener"&amp;"ative AI?AWS Cloud SecurityWhat's NewBlogsPress Releases Resources for AWSGetting StartedTraining and CertificationAWS Solutions LibraryArchitecture CenterProduct and Technical FAQsAnalyst ReportsAWS Partners Developers on AWSDeveloper CenterSDKs &amp; Tools."&amp;"NET on AWSPython on AWSJava on AWSPHP on AWSJavaScript on AWS HelpContact UsGet Expert HelpFile a Support TicketAWS re:PostKnowledge CenterAWS Support OverviewLegalAWS Careers  Create an AWS Account                  Amazon is an Equal Opportunity Employer"&amp;":          Minority / Women / Disability / Veteran / Gender Identity / Sexual Orientation / Age.LanguageعربيBahasa IndonesiaDeutschEnglishEspañolFrançaisItalianoPortuguêsTiếng ViệtTürkçeΡусскийไทย日本語한국어中文 (简体)中文 (繁體)Privacy|Site Terms| Cookie Preferences "&amp;"|© 2023 Amazon Web Services Inc. or its affiliates. All rights reserved. Ending Support for Internet Explorer Got it        AWS support for Internet Explorer ends on 07/31/2022. Supported browsers are Chrome Firefox Edge and Safari.       Learn more »Got "&amp;"it")</f>
        <v>Cloud Computing Services - Amazon Web Services (AWS) Skip to main contentClick here to return to Amazon Web Services homepageContact Us Support  English My Account  Sign In  Create an AWS Account re:InventProductsSolutionsPricingDocumentationLearnPartner NetworkAWS MarketplaceCustomer EnablementEventsExplore More  Close عربيBahasa IndonesiaDeutschEnglishEspañolFrançaisItalianoPortuguêsTiếng ViệtTürkçeΡусскийไทย日本語한국어中文 (简体)中文 (繁體) Close My ProfileSign out of AWS Builder IDAWS Management ConsoleAccount SettingsBilling &amp; Cost ManagementSecurity CredentialsAWS Personal Health Dashboard Close Support CenterExpert HelpKnowledge CenterAWS Support OverviewAWS re:PostClick here to return to Amazon Web Services homepage  Get Started for Free   Contact Us  re:Invent  Products  Solutions  Pricing  Introduction to AWS  Getting Started  Documentation  Training and Certification  Developer Center  Customer Success  Partner Network  AWS Marketplace  Support  AWS re:Post  Log into Console  Download the Mobile App  Start Building on AWS Today               Whether you're looking for compute power database storage content delivery or other functionality AWS has the services to help you build sophisticated applications with increased flexibility scalability and reliability                Get Started for Free  Explore the AWS platform cloud products and capabilities               Get started                  Try Amazon Redshift for Free               Accelerate your time to insights with fast easy and secure cloud data warehousing at scale                             Get started                  Amazon S3 Object Lambda               Add your own code to process data retrieved from Amazon S3 before returning it to an application                             Learn more                  AWS Skill Builder - Learn AWS by Doing AWS               Access 100+ AWS Builder Labs that sharpen your cloud skills quickly in a safe sandbox environment                             Subscribe today                 PrevNext             Start Building With Free Tier                         Use Amazon EC2 S3 and more— free for a full year                          Launch Your First App in Minutes                         Learn AWS fundamentals and start building with short step-by-step tutorials                          Enable Remote Work &amp; Learning                         Support remote employees students and contact center agents                          Amazon Lightsail                         Everything you need to get started on AWS—for a low predictable price                           Solutions                           View our AWS Solutions library                            Products                           Explore our cloud-based products                            Training &amp; Certification                           Learn how to build on AWS                            Customer Innovation                           Read our customer success stories                            Solutions                           View our AWS Solutions library                            Products                           Explore our cloud-based products                            Training &amp; Certification                           Learn how to build on AWS                            Customer Innovation                           Read our customer success stories               Explore Our Solutions By Industry  Advertising &amp; Marketing                Achieve cost-efficiency for petabyte-scale analytics and single-digit millisecond latency workloads.                  Financial Services                Less cost. More resiliency. Explore AWS solutions across banking payments capital markets and insurance.                  Game Tech                Create computationally ridiculous games across all genres and platforms.                  Education                Personalize student-learning experiences access applications from anywhere and improve learning.                 View All Industries  By Technology Category  Analytics &amp; Data Lakes                Securely store categorize and analyze all your data in one centralized repository.                  Machine Learning                Build with powerful services and platforms and the broadest machine learning framework support anywhere.                  Serverless Computing                Build and run applications and services without thinking about servers.                  Storage                Durable cost-effective options for backup disaster recovery and data archiving at petabyte scale.                 View All Solutions  Explore Our Products              Featured Services                            Analytics                            Cloud Financial Management                            Compute                            Containers                            Database                            Front-End Web &amp; Mobile                            Internet of Things                            Machine Learning                            Networking &amp; Content Delivery                            Security Identity &amp; Compliance                            Serverless                            Storage              Featured Services Rank Featured Services Rank                  No products found for this category.                View All Product Categories  Service Name Service Name                  No products found for this category.                View All Analytics Products  Service Name Service Name                  No products found for this category.                View All Cloud Financial Management Products  Service Name Service Name                  No products found for this category.                View All Compute Products  Service Name Service Name                  No products found for this category.                View All Containers Products  Service Name Service Name                  No products found for this category.                View All Database Products  Featured Services Rank Featured Services Rank                  No products found for this category.                View All Front-end Web &amp; Mobile Products  Service Name Service Name                  No products found for this category.                View All Internet of Things Products  Service Name Service Name                  No products found for this category.                View All Machine Learning Products  Service Name Service Name                  No products found for this category.                View All Networking &amp; Content Delivery Products  Service Name Service Name                  No products found for this category.                View All Security Identity &amp; Compliance Products  Service Name Service Name                  No products found for this category.                View All Serverless Products  Service Name Service Name                  No products found for this category.                View All Storage Products   Training and Certification              For Builders                            For Decision Makers                           For Builders                           For developers data scientists solutions architects or anyone interested in learning how to build on AWS today                                Free Online Training                  Go from learning to doing with more than 500 free digital training courses built by AWS experts Take a Digital Course »                    AWS Learning Recommendations                  Start building today with Ramp-Up guides featuring curated resources to grow your AWS knowledge Browse by Role or Solution »                    AWS Certification                  Grow your career and business with industry-recognized credentials validating your cloud skills Learn More About AWS Certification »                For Decision Makers                           For technical and business leaders who develop cloud skills in their organization to enable innovation and transformation                                Upskill Your Teams                  Explore best practices to empower your teams with comprehensive training and certification programs Read the E-book»                    Virtual Classroom Training                  Accelerate your cloud transformation with training from AWS experts familiar with your AWS use cases Learn More »                    AWS Certified Staff                  Learn how AWS Certification can help your organizations achieve business outcomes Download Whitepaper »   Powering Customer Innovation             Featured Customer Innovations                          Advertising &amp; Marketing                          Aerospace &amp; Satellite                          Agriculture                          Automotive                          Education                          Energy                          Financial Services                          Government                          Healthcare &amp; Life Sciences                          Manufacturing                          Media &amp; Entertainment                          Retail | Consumer Packaged Goods                          Travel &amp; Hospitality             Customer Name Customer Name                 No products found for this category.               View All Customer Stories  Customer Name Customer Name                 No products found for this category.               View All Advertising &amp; Marketing Customer Stories  Customer Name Customer Name                 No products found for this category.               View All Aerospace &amp; Satellite Customer Stories  Customer Name Customer Name                 No products found for this category.               View All Agriculture Customer Stories  Customer Name Customer Name                 No products found for this category.               View All Automotive Customer Stories  Customer Name Customer Name                 No products found for this category.               View All Education Customer Stories  Customer Name Customer Name                 No products found for this category.               View All Energy Customer Stories  Customer Name Customer Name                 No products found for this category.               View All Financial Services Customer Stories  Customer Name Customer Name                 No products found for this category.               View All Government Stories  Customer Name Customer Name                 No products found for this category.               View All Healthcare &amp; Life Sciences Customer Stories  Customer Name Customer Name                 No products found for this category.               View All Manufacturing Customer Stories  Customer Name Customer Name                 No products found for this category.               View All Media &amp; Entertainment Customer Stories  Customer Name Customer Name                 No products found for this category.               View All Retail &amp; Consumer Goods Customer Stories  Customer Name Customer Name                 No products found for this category.               View All Travel &amp; Hospitality Customer Stories   Engineered for the Most Demanding Requirements              Secure                           Comprehensive security capabilities to satisfy the most demanding requirements.                            Compliant                           Rich controls auditing and broad security accreditations.                            Hybrid                           Build hybrid architectures that extend your on-premises infrastructure to the Cloud.                            Scalable                           Access as much or as little as you need and scale up and down as required with only a few minutes notice.               Global Network of AWS Regions          The AWS Cloud spans 102 Availability Zones within 32 geographic regions around the world with announced plans for 15 more Availability Zones and 5 more AWS Regions in Canada Germany Malaysia New Zealand and Thailand.          Skip Map  List view              Regions                           Coming Soon              Learn more about AWS Regions  Close             Analyst Reports                       Read what top analysts such as Gartner and IDC are saying about AWS                        AWS Training                       Free digital courses to help you develop your skills                        AWS Partner Network                       Join AWS Partner Network to build and grow your cloud business                        The Amazon Builders' Library                       Learn how Amazon builds and operates software from the builders themselves              Sign In to the Console  Learn About AWSWhat Is AWS?What Is Cloud Computing?AWS Inclusion Diversity &amp; EquityWhat Is DevOps?What Is a Container?What Is a Data Lake?What is Generative AI?AWS Cloud SecurityWhat's NewBlogsPress Releases Resources for AWSGetting StartedTraining and CertificationAWS Solutions LibraryArchitecture CenterProduct and Technical FAQsAnalyst ReportsAWS Partners Developers on AWSDeveloper CenterSDKs &amp; Tools.NET on AWSPython on AWSJava on AWSPHP on AWSJavaScript on AWS HelpContact UsGet Expert HelpFile a Support TicketAWS re:PostKnowledge CenterAWS Support OverviewLegalAWS Careers  Create an AWS Account                  Amazon is an Equal Opportunity Employer:          Minority / Women / Disability / Veteran / Gender Identity / Sexual Orientation / Age.LanguageعربيBahasa IndonesiaDeutschEnglishEspañolFrançaisItalianoPortuguêsTiếng ViệtTürkçeΡусскийไทย日本語한국어中文 (简体)中文 (繁體)Privacy|Site Terms| Cookie Preferences |© 2023 Amazon Web Services Inc. or its affiliates. All rights reserved. Ending Support for Internet Explorer Got it        AWS support for Internet Explorer ends on 07/31/2022. Supported browsers are Chrome Firefox Edge and Safari.       Learn more »Got it</v>
      </c>
    </row>
    <row r="401">
      <c r="A401" s="1" t="s">
        <v>1218</v>
      </c>
      <c r="B401" s="1" t="s">
        <v>1304</v>
      </c>
      <c r="C401" s="1" t="s">
        <v>1305</v>
      </c>
      <c r="D401" s="1">
        <v>9.0</v>
      </c>
      <c r="E401" s="4" t="s">
        <v>1306</v>
      </c>
      <c r="F401" s="1" t="s">
        <v>43</v>
      </c>
      <c r="G401" s="1" t="s">
        <v>1307</v>
      </c>
      <c r="H401" s="4" t="s">
        <v>1308</v>
      </c>
      <c r="I401" s="2">
        <v>3.0</v>
      </c>
      <c r="J401" s="5" t="str">
        <f>IFERROR(__xludf.DUMMYFUNCTION("GOOGLETRANSLATE(A401)"),"DNS")</f>
        <v>DNS</v>
      </c>
      <c r="K401" s="6" t="str">
        <f>IFERROR(__xludf.DUMMYFUNCTION("GOOGLETRANSLATE(B401)"),"Quad9 | A public and free DNS service for a better security ...")</f>
        <v>Quad9 | A public and free DNS service for a better security ...</v>
      </c>
      <c r="L401" s="5" t="str">
        <f>IFERROR(__xludf.DUMMYFUNCTION("GOOGLETRANSLATE(C401)"),"An open DNS recursive service for free security and high privacy. Quad9 is a free service that replaces your default ISP or enterprise Domain Name Server ...")</f>
        <v>An open DNS recursive service for free security and high privacy. Quad9 is a free service that replaces your default ISP or enterprise Domain Name Server ...</v>
      </c>
      <c r="M401" s="5" t="str">
        <f>IFERROR(__xludf.DUMMYFUNCTION("GOOGLETRANSLATE(G401)"),"Quad9 | A public and free DNS service for a better security and privacy    Service  Service Service Addresses &amp; FeaturesThreat blockingPrivacyLocations    News  News News BlogPressMedia Kit    Support  Support Support Set up guidesFAQSearch Blocked Domain"&amp;"sGet support    About  About About Foundation CouncilTeamJobsTransparency ReportSponsorsPartners Donate ▸  en ▾ DeutschEnglishEspañolFrançaisPortuguês  IPv4 9.9.9.9 149.112.112.112             IPv6           2620:fe::fe 2620:fe::9             More options"&amp;" ▸             An open DNS recursive service for free security and high privacy Quad9 is a free service that replaces your default ISP or enterprise Domain Name Server (DNS) configuration. When your computer performs any Internet transaction that uses the"&amp;" DNS (and most transactions do) Quad9 blocks lookups of malicious host names from an up-to-the-minute list of threats. This blocking action protects your computer mobile device or IoT systems against a wide range of threats such as malware phishing spywar"&amp;"e and botnets and it can improve performance in addition to guaranteeing privacy. The Quad9 DNS service is operated by the Swiss-based Quad9 Foundation whose mission is to provide a safer and more robust Internet for everyone. Watch our short videos on ho"&amp;"w to set up Quad9 - Windows / MacOS ▸ 220M+       Average Daily Blocks           20+           Threats Intelligence Providers     200       Resolver Clusters in 90 countries     Watch our short videos on how to set up Quad9 - Windows / MacOS ▸           P"&amp;"rivacy         How Quad9 protects your privacy When your devices use Quad9 normally no data containing your IP address is ever logged in any Quad9 system. Connections can employ encryption if your system supports it and the entire Quad9 platform has been "&amp;"designed to be GDPR-compliant from the first public announcement in 2017. Read more about Quad9’s privacy ▸ Why Quad9 is dedicated to data privacy Every transaction on the Internet starts with a DNS event. This name lookup reveals critically sensitive dat"&amp;"a about the person triggering that transaction. The nature of those name lookups has created a strong and dangerous motivation for commercialization of personal data from DNS recursive resolver services. Quad9 is the only large DNS resolver with a foundin"&amp;"g charter that includes privacy as a primary goal and the Quad9 team is devoted to the concept of keeping personal data under the control of the end user.   Quad9’s organizational move to Switzerland is important for the free and open internet because it "&amp;"provides much-needed geographic and legal diversity in the open DNS resolver space. It also shows that Quad9 is actively seeking to work within the legislative framework that best serves the privacy of its users.I support the Quad9 open resolver because i"&amp;"t puts the end user first and helps build a secure and private internet without collecting – and therefore without the possibility of commercializing – users’ personal information. I believe Quad9’s philosophy of openness and transparency in handling user"&amp;"s’ data resonates strongly with the core beliefs of our community.”   Christian Kaufmann       Chairman             RIPE    I’m really impressed by the privacy architecture of Quad9.  In addition to providing great security as a DNS resolver Quad9 doesn’t"&amp;" collect or retain personal data.  Now it is relocating to Switzerland where it will become subject to the rigors of Swiss data protection law which is similar to GDPR.  In addition it obtained findings of law from the Swiss government whereby it won’t be"&amp;" required to retain personal information nor will it be subject to requests from law enforcement or national security”   Omer Tene       Vice President and Chief Knowledge Officer             International Association of Privacy Professionals             "&amp;"  Security         How Quad9 blocks malware Quad9 routes your DNS queries through a secure network of servers around the globe. The system uses threat intelligence from more than a dozen of the industry’s leading cybersecurity companies to give a real-tim"&amp;"e perspective on what websites are safe and what sites are known to include malware or other threats. If the system detects that the site you want to reach is known to be infected you’ll automatically be blocked from entry – keeping your data and computer"&amp;" safe.  Why Quad9 provides security services For the Internet to be an effective tool users must trust their ability to use online services without fear of theft fraud or misuse of their devices by criminals. Public and private network operators need prot"&amp;"ection against malicious use of infrastructure resources and attacks against their users or customers. Quad9’s mission is to improve the security and stability of the Internet to allow everyone to be less vulnerable to risks and more effective in their da"&amp;"ily online interactions.   Check to see if a domain is in the millions of  malicious domains Quad9 blocks Enter a hostname or domain name to check if it is blocked by Quad9   Search             Participate         How to use Quad9 Quad9 can be used simply"&amp;" by setting the DNS server settings for your device to the addresses given in one of our service profiles. No sign-up is required no account data needs to be given to Quad9 and there is no contract. Quad9 is free to use and collects no personal data about"&amp;" you. You can configure your router or wifi access point to distribute these settings which will extend protection to all the elements on your local network including IoT devices many of which otherwise would not have any anti-malware defenses.  Why parti"&amp;"cipate? Quad9 is a not-for-profit organization relying on grants and partnerships with commercial and non-commercial sources and from individuals. Your use of Quad9 may prevent a ransomware attack prevent your bank account from being compromised or protec"&amp;"t your laptop from being used as part of an illicit criminal attack on others. All of these potential protections and many millions of other interventions have a direct savings result for you your business or organization and the companies you rely on suc"&amp;"h as banks and e-commerce firms. We hope that this understanding may inspire you to donate to Quad9 as an individual or with a corporate sponsorship. Donate ▸  Quad9c/o SWITCHWerdstrasse 28004 ZürichSwitzerland Major sponsors ◂▸         This work is licen"&amp;"sed under a                  CC BY-NC SA 4.0 License")</f>
        <v>Quad9 | A public and free DNS service for a better security and privacy    Service  Service Service Addresses &amp; FeaturesThreat blockingPrivacyLocations    News  News News BlogPressMedia Kit    Support  Support Support Set up guidesFAQSearch Blocked DomainsGet support    About  About About Foundation CouncilTeamJobsTransparency ReportSponsorsPartners Donate ▸  en ▾ DeutschEnglishEspañolFrançaisPortuguês  IPv4 9.9.9.9 149.112.112.112             IPv6           2620:fe::fe 2620:fe::9             More options ▸             An open DNS recursive service for free security and high privacy Quad9 is a free service that replaces your default ISP or enterprise Domain Name Server (DNS) configuration. When your computer performs any Internet transaction that uses the DNS (and most transactions do) Quad9 blocks lookups of malicious host names from an up-to-the-minute list of threats. This blocking action protects your computer mobile device or IoT systems against a wide range of threats such as malware phishing spyware and botnets and it can improve performance in addition to guaranteeing privacy. The Quad9 DNS service is operated by the Swiss-based Quad9 Foundation whose mission is to provide a safer and more robust Internet for everyone. Watch our short videos on how to set up Quad9 - Windows / MacOS ▸ 220M+       Average Daily Blocks           20+           Threats Intelligence Providers     200       Resolver Clusters in 90 countries     Watch our short videos on how to set up Quad9 - Windows / MacOS ▸           Privacy         How Quad9 protects your privacy When your devices use Quad9 normally no data containing your IP address is ever logged in any Quad9 system. Connections can employ encryption if your system supports it and the entire Quad9 platform has been designed to be GDPR-compliant from the first public announcement in 2017. Read more about Quad9’s privacy ▸ Why Quad9 is dedicated to data privacy Every transaction on the Internet starts with a DNS event. This name lookup reveals critically sensitive data about the person triggering that transaction. The nature of those name lookups has created a strong and dangerous motivation for commercialization of personal data from DNS recursive resolver services. Quad9 is the only large DNS resolver with a founding charter that includes privacy as a primary goal and the Quad9 team is devoted to the concept of keeping personal data under the control of the end user.   Quad9’s organizational move to Switzerland is important for the free and open internet because it provides much-needed geographic and legal diversity in the open DNS resolver space. It also shows that Quad9 is actively seeking to work within the legislative framework that best serves the privacy of its users.I support the Quad9 open resolver because it puts the end user first and helps build a secure and private internet without collecting – and therefore without the possibility of commercializing – users’ personal information. I believe Quad9’s philosophy of openness and transparency in handling users’ data resonates strongly with the core beliefs of our community.”   Christian Kaufmann       Chairman             RIPE    I’m really impressed by the privacy architecture of Quad9.  In addition to providing great security as a DNS resolver Quad9 doesn’t collect or retain personal data.  Now it is relocating to Switzerland where it will become subject to the rigors of Swiss data protection law which is similar to GDPR.  In addition it obtained findings of law from the Swiss government whereby it won’t be required to retain personal information nor will it be subject to requests from law enforcement or national security”   Omer Tene       Vice President and Chief Knowledge Officer             International Association of Privacy Professionals               Security         How Quad9 blocks malware Quad9 routes your DNS queries through a secure network of servers around the globe. The system uses threat intelligence from more than a dozen of the industry’s leading cybersecurity companies to give a real-time perspective on what websites are safe and what sites are known to include malware or other threats. If the system detects that the site you want to reach is known to be infected you’ll automatically be blocked from entry – keeping your data and computer safe.  Why Quad9 provides security services For the Internet to be an effective tool users must trust their ability to use online services without fear of theft fraud or misuse of their devices by criminals. Public and private network operators need protection against malicious use of infrastructure resources and attacks against their users or customers. Quad9’s mission is to improve the security and stability of the Internet to allow everyone to be less vulnerable to risks and more effective in their daily online interactions.   Check to see if a domain is in the millions of  malicious domains Quad9 blocks Enter a hostname or domain name to check if it is blocked by Quad9   Search             Participate         How to use Quad9 Quad9 can be used simply by setting the DNS server settings for your device to the addresses given in one of our service profiles. No sign-up is required no account data needs to be given to Quad9 and there is no contract. Quad9 is free to use and collects no personal data about you. You can configure your router or wifi access point to distribute these settings which will extend protection to all the elements on your local network including IoT devices many of which otherwise would not have any anti-malware defenses.  Why participate? Quad9 is a not-for-profit organization relying on grants and partnerships with commercial and non-commercial sources and from individuals. Your use of Quad9 may prevent a ransomware attack prevent your bank account from being compromised or protect your laptop from being used as part of an illicit criminal attack on others. All of these potential protections and many millions of other interventions have a direct savings result for you your business or organization and the companies you rely on such as banks and e-commerce firms. We hope that this understanding may inspire you to donate to Quad9 as an individual or with a corporate sponsorship. Donate ▸  Quad9c/o SWITCHWerdstrasse 28004 ZürichSwitzerland Major sponsors ◂▸         This work is licensed under a                  CC BY-NC SA 4.0 License</v>
      </c>
    </row>
    <row r="402">
      <c r="A402" s="1" t="s">
        <v>1218</v>
      </c>
      <c r="B402" s="1" t="s">
        <v>1309</v>
      </c>
      <c r="C402" s="1" t="s">
        <v>1310</v>
      </c>
      <c r="D402" s="1">
        <v>10.0</v>
      </c>
      <c r="E402" s="4" t="s">
        <v>1311</v>
      </c>
      <c r="F402" s="1" t="s">
        <v>43</v>
      </c>
      <c r="G402" s="1" t="s">
        <v>1312</v>
      </c>
      <c r="H402" s="4" t="s">
        <v>1313</v>
      </c>
      <c r="I402" s="2">
        <v>3.0</v>
      </c>
      <c r="J402" s="5" t="str">
        <f>IFERROR(__xludf.DUMMYFUNCTION("GOOGLETRANSLATE(A402)"),"DNS")</f>
        <v>DNS</v>
      </c>
      <c r="K402" s="6" t="str">
        <f>IFERROR(__xludf.DUMMYFUNCTION("GOOGLETRANSLATE(B402)"),"DNS Lookup Tool")</f>
        <v>DNS Lookup Tool</v>
      </c>
      <c r="L402" s="5" t="str">
        <f>IFERROR(__xludf.DUMMYFUNCTION("GOOGLETRANSLATE(C402)"),"The DNS lookup is done directly against the domain's authoritative name server, so changes to DNS Records should show up instantly. By default, the DNS ...")</f>
        <v>The DNS lookup is done directly against the domain's authoritative name server, so changes to DNS Records should show up instantly. By default, the DNS ...</v>
      </c>
      <c r="M402" s="5" t="str">
        <f>IFERROR(__xludf.DUMMYFUNCTION("GOOGLETRANSLATE(G402)"),"MX Lookup Tool - Check your DNS MX Records online - MxToolbox                    Javascript is disabled. Javascript is required for this site.                Fix the ProblemMX Lookup                    Domain Name                Solve Email Delivery Probl"&amp;"emsABOUT MX LOOKUP  This test will list MX records for a domain in priority order. The MX lookup is done directly against the domain's authoritative name server so changes to MX Records should show up instantly. You can click Diagnostics  which will conne"&amp;"ct to the mail server verify reverse DNS records perform a simple Open Relay check and measure response time performance. You may also check each MX record (IP Address) against 105 DNS based blacklists . (Commonly called RBLs DNSBLs)                      "&amp;"    Your IP is: |                         ContactTerms &amp; ConditionsSite MapSecurityAPIPrivacy                        Phone: (866)-MXTOOLBOX / (866)-698-6652 |                     © Copyright 2004-2021 MXToolBox Inc All                    rights reserved. "&amp;"US Patents 10839353 B2 &amp; 11461738 B2                        burritos@banana-pancakes.combraunstrowman@banana-pancakes.comfinnbalor@banana-pancakes.comricflair@banana-pancakes.comrandysavage@banana-pancakes.comMxToolBox has been UpdatedRefresh Page×       "&amp;"             Sign-InSign in insteadEmail Address:Do you have an MxToolbox.com password?No I am a new user:Your Name:Password:Telephone:Company:Title:ExecutiveSystem AdministratorEmail AdministratorIT ManagerMarketing ManagerSmall Business OwnerConsultantO"&amp;"ther – Please SpecifyYes I have a password.Forgot your password?TermsWe respect your privacyAlready have an account?Sign Up insteadEmail:Password:TermsWe respect your privacy")</f>
        <v>MX Lookup Tool - Check your DNS MX Records online - MxToolbox                    Javascript is disabled. Javascript is required for this site.                Fix the ProblemMX Lookup                    Domain Name                Solve Email Delivery ProblemsABOUT MX LOOKUP  This test will list MX records for a domain in priority order. The MX lookup is done directly against the domain's authoritative name server so changes to MX Records should show up instantly. You can click Diagnostics  which will connect to the mail server verify reverse DNS records perform a simple Open Relay check and measure response time performance. You may also check each MX record (IP Address) against 105 DNS based blacklists . (Commonly called RBLs DNSBLs)                          Your IP is: |                         ContactTerms &amp; ConditionsSite MapSecurityAPIPrivacy                        Phone: (866)-MXTOOLBOX / (866)-698-6652 |                     © Copyright 2004-2021 MXToolBox Inc All                    rights reserved. US Patents 10839353 B2 &amp; 11461738 B2                        burritos@banana-pancakes.combraunstrowman@banana-pancakes.comfinnbalor@banana-pancakes.comricflair@banana-pancakes.comrandysavage@banana-pancakes.comMxToolBox has been UpdatedRefresh Page×                    Sign-InSign in insteadEmail Address:Do you have an MxToolbox.com password?No I am a new user:Your Name:Password:Telephone:Company:Title:ExecutiveSystem AdministratorEmail AdministratorIT ManagerMarketing ManagerSmall Business OwnerConsultantOther – Please SpecifyYes I have a password.Forgot your password?TermsWe respect your privacyAlready have an account?Sign Up insteadEmail:Password:TermsWe respect your privacy</v>
      </c>
    </row>
    <row r="403">
      <c r="A403" s="1" t="s">
        <v>1218</v>
      </c>
      <c r="B403" s="1" t="s">
        <v>1314</v>
      </c>
      <c r="C403" s="1" t="s">
        <v>1315</v>
      </c>
      <c r="D403" s="1">
        <v>11.0</v>
      </c>
      <c r="E403" s="4" t="s">
        <v>1316</v>
      </c>
      <c r="F403" s="1" t="s">
        <v>43</v>
      </c>
      <c r="G403" s="1" t="s">
        <v>1317</v>
      </c>
      <c r="H403" s="4" t="s">
        <v>1318</v>
      </c>
      <c r="I403" s="2">
        <v>3.0</v>
      </c>
      <c r="J403" s="5" t="str">
        <f>IFERROR(__xludf.DUMMYFUNCTION("GOOGLETRANSLATE(A403)"),"DNS")</f>
        <v>DNS</v>
      </c>
      <c r="K403" s="6" t="str">
        <f>IFERROR(__xludf.DUMMYFUNCTION("GOOGLETRANSLATE(B403)"),"DNS leak test")</f>
        <v>DNS leak test</v>
      </c>
      <c r="L403" s="5" t="str">
        <f>IFERROR(__xludf.DUMMYFUNCTION("GOOGLETRANSLATE(C403)"),"DNSleaktest.com offers a simple test to determine if you DNS requests are being leaked which may represent a critical privacy threat. The test takes only a ...")</f>
        <v>DNSleaktest.com offers a simple test to determine if you DNS requests are being leaked which may represent a critical privacy threat. The test takes only a ...</v>
      </c>
      <c r="M403" s="5" t="str">
        <f>IFERROR(__xludf.DUMMYFUNCTION("GOOGLETRANSLATE(G403)"),"DNS leak testWhat is a DNS leak?What are transparent DNS proxies?How to fix a DNS leakHello 208.75.19.153from Ann Arbor United StatesWhats the difference?Privacy policy | IVPN Limited")</f>
        <v>DNS leak testWhat is a DNS leak?What are transparent DNS proxies?How to fix a DNS leakHello 208.75.19.153from Ann Arbor United StatesWhats the difference?Privacy policy | IVPN Limited</v>
      </c>
    </row>
    <row r="404">
      <c r="A404" s="1" t="s">
        <v>1218</v>
      </c>
      <c r="B404" s="1" t="s">
        <v>1319</v>
      </c>
      <c r="C404" s="1" t="s">
        <v>1320</v>
      </c>
      <c r="D404" s="1">
        <v>12.0</v>
      </c>
      <c r="E404" s="4" t="s">
        <v>1321</v>
      </c>
      <c r="F404" s="1" t="s">
        <v>43</v>
      </c>
      <c r="G404" s="1" t="s">
        <v>1322</v>
      </c>
      <c r="H404" s="4" t="s">
        <v>1323</v>
      </c>
      <c r="I404" s="2">
        <v>3.0</v>
      </c>
      <c r="J404" s="5" t="str">
        <f>IFERROR(__xludf.DUMMYFUNCTION("GOOGLETRANSLATE(A404)"),"DNS")</f>
        <v>DNS</v>
      </c>
      <c r="K404" s="6" t="str">
        <f>IFERROR(__xludf.DUMMYFUNCTION("GOOGLETRANSLATE(B404)"),"DNS Made Easy | Fast and Most Reliable Provider")</f>
        <v>DNS Made Easy | Fast and Most Reliable Provider</v>
      </c>
      <c r="L404" s="5" t="str">
        <f>IFERROR(__xludf.DUMMYFUNCTION("GOOGLETRANSLATE(C404)"),"DNS Made Easy is a top provider that offers best DNS management services and tools. Sign up for free and enjoy the fastest and most reliable managed DNS.")</f>
        <v>DNS Made Easy is a top provider that offers best DNS management services and tools. Sign up for free and enjoy the fastest and most reliable managed DNS.</v>
      </c>
      <c r="M404" s="5" t="str">
        <f>IFERROR(__xludf.DUMMYFUNCTION("GOOGLETRANSLATE(G404)"),"DNS Made Easy | Fast and Most Reliable Provider ServicesManaged DNS Services• DNS Failover• ANAME Records• Global Traffic DirectorSecondary DNSDNS AnalyticsReal-Time Traffic AnomalyMail ServicesDomain RegistrationTechnologyNetworkIndustry Leading Speeds"&amp;"Rest APIDynamic DNSThird Party IntegrationAffiliate ProgramEnterprisePricingResources  What is DNS?Subnet Mask Cheat SheetBlogBlog ArchivesTutorialsStatusFAQAbout   Our StoryCareersPoliciesContact UsLogin   Control PanelAnalyticsFree TrialBook DemoProd"&amp;"ucts Managed DNS ServicesDNS FailoverANAME RecordsGlobal Traffic DirectorSecondary DNSDNS AnalyticsMail ServicesDomain RegistrationTechnologyNetworkIndustry Leading SpeedRest APIDynamic DNSThird Party IntegrationAffiliate ProgramPricingEnterpriseResourc"&amp;"esWhat is DNS?Subnet Mask Cheat SheetBlogTutorialsStatusFAQAboutOur StoryCareersPoliciesContact UsLoginStart Free TrialDNS Performance and DNS Uptime LeaderDigicert dns trust manager offers premium managed dnsServicesManaged DNS Services• DNS Failover•"&amp;" ANAME Records• Global Traffic DirectorSecondary DNSDNS AnalyticsReal-Time Traffic AnomalyMail ServicesDomain RegistrationTechnologyNetworkIndustry Leading SpeedsRest APIDynamic DNSThird Party IntegrationAffiliate ProgramEnterprisePricingResources  What"&amp;" is DNS?Subnet Mask Cheat SheetBlogBlog ArchivesTutorialsStatusFAQAbout   Our StoryCareersPoliciesContact UsLogin   Control PanelAnalyticsFree TrialBook DemoProducts Managed DNS ServicesDNS FailoverANAME RecordsGlobal Traffic DirectorSecondary DNSDNS A"&amp;"nalyticsMail ServicesDomain RegistrationTechnologyNetworkIndustry Leading SpeedRest APIDynamic DNSThird Party IntegrationAffiliate ProgramPricingEnterpriseResourcesWhat is DNS?Subnet Mask Cheat SheetBlogTutorialsStatusFAQAboutOur StoryCareersPoliciesCo"&amp;"ntact UsLoginStart Free TrialOur mission is to provide ground-breaking traffic management solutions to organizations that require increased uptime enhanced performance and that want to eliminate IT department workload and stress. For over 20 years we have"&amp;" enabled the world's largest brands to achieve lucrative success. We provide next-generation solutions that exceed demands of our partners.Schedule a DemoStart Free TrialCORE PILLARS OF SUCCESSNeed Enterprise Monitoring?Fully automated real time alerts sm"&amp;"art routing and location checks Monitoring Services30 Day Free DNS TrialReceive unlimited queries DNS analytics and failover for 3 domains.Learn MorePricingDNS Pricing PlansYou have the ability to upgrade and scale to meet any of your organization's growt"&amp;"h requirements.FREE TRIALFREEFor 30 DaysPurchaseDNS-5$18.75 / month$225 Billed AnnuallyPurchase5 Domains1500 Records5M Queries /mo1 Failover Record5 Query Logs Two Factor Auth100% SLA-backedSee FeaturesDNS-25$56.25 / month$675 Billed AnnuallyPurchase25 Do"&amp;"mains7500 Records25M Queries /mo5 Failover Records10 Query Logs /moTwo Factor Auth100% SLA-backedDNS AnalyticsSee FeaturesDNS-50$175 / monthor $2100 Billed AnnuallyPurchase50 Domains15000 Records50M Queries /mo10 Failover Records25 Query Logs /mo1 Global "&amp;"Traffic Director (GTD)3 Factor Auth100% SLA-backedDNS AnalyticsDNSSECSee FeaturesEnterpriseContact usfor pricingGet Custom QuoteScalable PricingWhite Glove SupportDedicated Support TeamWhite Glove MigrationQuarterly Account ReviewsEscalated Support Respon"&amp;"se Times24/7/365 SupportEnterprise MonitoringDNS Video SupportFeature RequestsBook Strategy CallNeed more advanced features?DigiCert Constellix DNS offers advanced permissions with speed based decisions real time alerts advanced GeoDNS MultiCDN and weight"&amp;"ed round robin. If your organization requires advanced features for your enterprise domains:‍Contact for QuoteBook Strategy CallCompare DNS Plan ServicesFeatureDNS-5$14.50/moDNS-25$45/moDNS-50$145/moEnterpriseCustomPurchasePurchasePurchaseContact UsDomain"&amp;"s52550CustomMonthly Queries5 Million25 Million50 MillionCustomMonthly Records1500750015000CustomMonthly Query Logs51025CustomFailover Records1510CustomGlobal Traffic Director Included001CustomPlan FeaturesPlan FeaturesPlan FeaturesGet a DemoCompare DNS Pl"&amp;"an FeaturesDNS-5 and DNS-25 are billed annually. DNS-50 can be billed monthly or annually.FeatureDNS-5$18.75 /moDNS-25$56.25 /moDNS-50$175 /moEnterprisePurchasePurchasePurchaseContact UsTwo Factor AuthenticationThree Factor Authentication100% SLA-backedDN"&amp;"S AnalyticsRest API AccessDNSSECSAML/SSO (setup fee)Geo Load Balancing (GTD)Add-OnSee Add-OnsSee Add-OnsSee Add-OnsGet a DemoAdd-On PricingDNS-5 and DNS-25 are billed annually. DNS-50 can be billed monthly or annually.FeatureDNS-5DNS-25DNS-50EnterprisePur"&amp;"chasePurchasePurchaseContact UsFailover Records (each)$2.50 /month$2.50 /month$2.50 /month$2.50 /monthAdditional Queries (per million)$2 /month$.48 /month$.48 /monthAdditional Domains (each)$1 /month$1 /month$1 /monthGlobal Traffic Director (each)$660 /ye"&amp;"ar$660 /year$540 /year$540 /yearAdditional Users (each)$14.95 /year$14.95 /year$14.95 /yearAnomaly Detection (World)$50 /month$50 /month$50 /monthMigration Assistance$250/hour$150/ hrIncludedBusiness Hour Phone Support $150 /hourIncludedIncludedDedicated "&amp;"Vanity IP Address$300 /year$300 /yearPremium Support$1000 /yearIncludedDNS SupportDNS SupportDNS SupportGet a DemoDNS SupportDNS-5 and DNS-25 are billed annually. DNS-50 can be billed monthly or annually.SupportDNS-5DNS-25DNS-50EnterprisePurchasePurchaseP"&amp;"urchaseContact UsAccount Ticket SetupDedicated Account RepresentativeBusiness Hour Live Phone SupportLive Chat SupportLive Video SupportLearning LabsPrivate WebinarsRoad Map Requests24/7/365 SupportPrivate Sandbox Account AccessAdvantagesbuilt on the fast"&amp;"est most reliable network‍FREE TRIALFREEFor 30 DaysPurchaseSecure DNS NetworkOur network and infrastructure was expertly designed to withstand any attack based on scale and complexity. Seasoned DNS administrators with 20+ years of experience ensure reliab"&amp;"le infrastructure. We are able to guarantee 100% DNS uptime to all of our clients. No other DNS provider has the resources to ensure 100% uptime for your organization.Learn MoreIndustry Leading SpeedDigiCert DNS Trust Manager is consistently ranked as the"&amp;" world's fastest DNS provider according to third party network monitoring firms. We understand that fast DNS resolution is of utmost importance to your brand and that is why we dedicate more resources to our DNS network than any other provider in the indu"&amp;"stry.Learn MoreAdvanced AnalyticsUnderstanding your DNS data and having the necessary tools to quickly diagnose problems is essential to your organization's success. With our advanced analytics solutions you can keep your websites running efficiently.Lear"&amp;"n MoreOutage Free GuaranteedOur exceptional DNS solutions and unrivaled network infrastructure give us the ability to offer 100% uptime without incident. Providing you with peace of mind and elite performance.Learn MoreREST API Automation through code to "&amp;"tightly integrate DNS with your organization's growth. Perform the core functions of the DigiCert DNS GUI control panel but programmatically! Even advanced services like Global Traffic Director HTTP Redirection and Failover can all be configured through R"&amp;"EST.Learn MoreTraffic Performance MonitoringOur DNS solutions use proprietary artificial intelligence / machine learning to provide real-time anomaly detection of your DNS traffic. This unique solution provides alerts that will save your organization from"&amp;" costly outages and performance issues.Learn MoreTop-Rated Enterprise SupportOur support team is extensively trained to provide the highest level of support in the industry. Continuing education is provided to our engineers regarding the evolving internet"&amp;" landscape. We solve complex issues for our clients with ease.Learn MoreThird-Party IntegrationsWith a multitude of integrations available your team can reduce manual tasks workload stress and errors. Developed by DevOps engineers with over 20 years of tr"&amp;"affic management expertise.Learn MoreNEED Next-Level Services?Book Strategy DemoNeed advanced services &amp; customized solutions? Schedule a customized demo and a free POC account.Derek SeymourTrusted by the world's largest brandsServicesManaged DNS Service"&amp;"s• DNS Failover• ANAME Records• Global Traffic DirectorSecondary DNSDNS AnalyticsReal-Time Traffic AnomalyMail ServicesDomain RegistrationTechnologyNetworkIndustry Leading SpeedsRest APIDynamic DNSThird Party IntegrationAffiliate ProgramEnterprisePricing"&amp;"Resources  What is DNS?Subnet Mask Cheat SheetBlogBlog ArchivesTutorialsStatusFAQAbout   Our StoryCareersPoliciesContact UsLogin   Control PanelAnalyticsFree TrialBook DemoProducts Managed DNS ServicesDNS FailoverANAME RecordsGlobal Traffic DirectorSe"&amp;"condary DNSDNS AnalyticsMail ServicesDomain RegistrationTechnologyNetworkIndustry Leading SpeedRest APIDynamic DNSThird Party IntegrationAffiliate ProgramPricingEnterpriseResourcesWhat is DNS?Subnet Mask Cheat SheetBlogTutorialsStatusFAQAboutOur StoryC"&amp;"areersPoliciesContact UsLoginStart Free TrialWHAT Our Clients SAYWe Keep Brands OnlineServing over 30000 global organizations millions of domains worldwide and 180+ billion queries per day""Consistently and widely outperforms other providers""After extens"&amp;"ive research and tests among top DNS vendors we've concluded that DigiCert DNS Trust Manager consistently and widely outperforms other providers. We highly recommend web providers to switch.Derek SeymourDerek Seymour""Superb tech support... powerful API"""&amp;"We are extremely satisfied with the fail over options the API access and the superb tech support. I would specially recommend the service to any startup or										medium size business that don't want to worry about DNS to try the service and to the big "&amp;"companies to try the powerful										API and fell in love with it.Armando AndradeArmando Andrade""I really like the Automatic DNS Failover &amp; System Monitoring"" I really love DNS Made Easy. When I make a change to any record in any of my domains that ch"&amp;"ange is instantly propagated										to all of their servers and I really like the Automatic DNS Failover &amp; System Monitoring. Iulian HalacIulian Halac""The best value in our IT budget"" Hands down DNSMadeEasy represents the best value in our IT budget. "&amp;"Rarely (in any industry!) do you find a company with										an offering that is as good (if not better) than their competitors yet costs hundreds to thousands of times less.										Amazing job in all facets guys you should be proud of the company you'"&amp;"ve built!Dan PlaksonDan PlaksonAUTOMATIONIntegrationsDigiCert DNS services can be easily integrated into any existing product or service to automate infrastructure deployment through code. Powered by our world renowned REST API .Manage your DNS records ac"&amp;"ross multiple providers.Get startedRuby API ClientRuby library for DigiCert DNS API.Get startedDomain automation plus integrations with over 500 third-party apps.Get startedChef CookbookGeneric DNS record cookbook that supports pluggable DNS providers.Get"&amp;" startedManage hundreds of cloud servicesGet startedRead moreBlogLatest Industry NewsBlogJune 2 2023Managed Authoritative DNS in 2023: Unleashing Performance and SecurityLearn MoreBlogJune 2 2023Enhancing Resilience and Performance with Secondary DNS: Lev"&amp;"eraging DigiCert DNS Trust Manager for Organizational SuccessLearn MoreBlogJune 2 2023Understanding the Key Differences Between Authoritative DNS and Recursive DNSLearn MoreBlogJune 2 2023Streamlining DNS Management for Cost Savings with DigiCert DNS Trus"&amp;"t ManagerLearn MoreBlogMay 17 2023Optimizing TTL for DNS Records for Improved PerformanceLearn MoreBlogMay 17 2023CNAME Flattening: Unlocking the Power of ANAME Records for Efficient Domain PointingLearn MoreWant a Proof of Concept?Start your free (no cre"&amp;"dit card required) 30-day trial and have access to the fastest and most reliable DNS in the world.‍Yep it really is that easy.Start Free TrialServicesManaged DNS ServicesSecondary DNSDNS AnalyticsMail ServicesTechnologyIndustry Leading SpeedsNetworkREST A"&amp;"PIDynamic DNSThird-Party IntegrationsAffiliate ProgramAboutOur StoryCareersContact UsBlogPoliciesDigital AssetsUtility PagesWhat is DNS?Subnet Mask Cheat SheetTutorialsStatusFAQContactsales@dnsmadeeasy.com+1 703.880.309511490 Commerce Park Dr Ste 140Resto"&amp;"n Virginia 20191 USA© 2023 DigiCert Inc. All rights reserved.Social MediaFacebookTwitterYouTubeLinkedInProductsDNS DNS ManagementFailoverLoad BalancingGeo IP ServicesANAME RecordsCNAME RecordsSee All FeaturesDNS AnalyticsQuery Reports and StatisticsReal-T"&amp;"ime LogsReal-Time Traffic Anomaly DetectionMonitoringPerformance MonitoringReal User MonitoringCDN Performance ReportsSolutionsMulti-CDN ManagementLatency Load Balancing - Round RobinTraffic Steering Load BalancerGlobal Load BalancingAPI Devops &amp; Automati"&amp;"onDisaster Recovery Plan PricingProducts PricingGet a Custom QuotePricing CalculatorPricing FAQsLearnConstellix Blog / NewsEducational ResourcesWhat is DNSWhat is GeoDNS?IP Anycast+Video DemosPress ReleasesToolsBuilt-In IntegrationsDNS Lookup ToolTracerou"&amp;"te ToolSubnet Mask Cheat SheetDNS Records Cheat SheetOutage Calculator ToolQPS CalculatorCompare DNSCompare DNS ProvidersAmazon Route 53CloudFlareMicrosoft AzureNS1DYN OracleGoogle CloudNeustar / UltraDNSFree vs Paid DNSSee All FeaturesCompare OutagesOuta"&amp;"ge PreventionWhy ConstellixPremium SupportPartnership ProgramSupportWeb SupportIntegrationsDNS MigrationKnowledge BaseContact UsDNS StatusFAQPoliciesSign UpBook DemoLoginUser ManagementDNSSonarAnalyticsBilling")</f>
        <v>DNS Made Easy | Fast and Most Reliable Provider ServicesManaged DNS Services• DNS Failover• ANAME Records• Global Traffic DirectorSecondary DNSDNS AnalyticsReal-Time Traffic AnomalyMail ServicesDomain RegistrationTechnologyNetworkIndustry Leading SpeedsRest APIDynamic DNSThird Party IntegrationAffiliate ProgramEnterprisePricingResources  What is DNS?Subnet Mask Cheat SheetBlogBlog ArchivesTutorialsStatusFAQAbout   Our StoryCareersPoliciesContact UsLogin   Control PanelAnalyticsFree TrialBook DemoProducts Managed DNS ServicesDNS FailoverANAME RecordsGlobal Traffic DirectorSecondary DNSDNS AnalyticsMail ServicesDomain RegistrationTechnologyNetworkIndustry Leading SpeedRest APIDynamic DNSThird Party IntegrationAffiliate ProgramPricingEnterpriseResourcesWhat is DNS?Subnet Mask Cheat SheetBlogTutorialsStatusFAQAboutOur StoryCareersPoliciesContact UsLoginStart Free TrialDNS Performance and DNS Uptime LeaderDigicert dns trust manager offers premium managed dnsServicesManaged DNS Services• DNS Failover• ANAME Records• Global Traffic DirectorSecondary DNSDNS AnalyticsReal-Time Traffic AnomalyMail ServicesDomain RegistrationTechnologyNetworkIndustry Leading SpeedsRest APIDynamic DNSThird Party IntegrationAffiliate ProgramEnterprisePricingResources  What is DNS?Subnet Mask Cheat SheetBlogBlog ArchivesTutorialsStatusFAQAbout   Our StoryCareersPoliciesContact UsLogin   Control PanelAnalyticsFree TrialBook DemoProducts Managed DNS ServicesDNS FailoverANAME RecordsGlobal Traffic DirectorSecondary DNSDNS AnalyticsMail ServicesDomain RegistrationTechnologyNetworkIndustry Leading SpeedRest APIDynamic DNSThird Party IntegrationAffiliate ProgramPricingEnterpriseResourcesWhat is DNS?Subnet Mask Cheat SheetBlogTutorialsStatusFAQAboutOur StoryCareersPoliciesContact UsLoginStart Free TrialOur mission is to provide ground-breaking traffic management solutions to organizations that require increased uptime enhanced performance and that want to eliminate IT department workload and stress. For over 20 years we have enabled the world's largest brands to achieve lucrative success. We provide next-generation solutions that exceed demands of our partners.Schedule a DemoStart Free TrialCORE PILLARS OF SUCCESSNeed Enterprise Monitoring?Fully automated real time alerts smart routing and location checks Monitoring Services30 Day Free DNS TrialReceive unlimited queries DNS analytics and failover for 3 domains.Learn MorePricingDNS Pricing PlansYou have the ability to upgrade and scale to meet any of your organization's growth requirements.FREE TRIALFREEFor 30 DaysPurchaseDNS-5$18.75 / month$225 Billed AnnuallyPurchase5 Domains1500 Records5M Queries /mo1 Failover Record5 Query Logs Two Factor Auth100% SLA-backedSee FeaturesDNS-25$56.25 / month$675 Billed AnnuallyPurchase25 Domains7500 Records25M Queries /mo5 Failover Records10 Query Logs /moTwo Factor Auth100% SLA-backedDNS AnalyticsSee FeaturesDNS-50$175 / monthor $2100 Billed AnnuallyPurchase50 Domains15000 Records50M Queries /mo10 Failover Records25 Query Logs /mo1 Global Traffic Director (GTD)3 Factor Auth100% SLA-backedDNS AnalyticsDNSSECSee FeaturesEnterpriseContact usfor pricingGet Custom QuoteScalable PricingWhite Glove SupportDedicated Support TeamWhite Glove MigrationQuarterly Account ReviewsEscalated Support Response Times24/7/365 SupportEnterprise MonitoringDNS Video SupportFeature RequestsBook Strategy CallNeed more advanced features?DigiCert Constellix DNS offers advanced permissions with speed based decisions real time alerts advanced GeoDNS MultiCDN and weighted round robin. If your organization requires advanced features for your enterprise domains:‍Contact for QuoteBook Strategy CallCompare DNS Plan ServicesFeatureDNS-5$14.50/moDNS-25$45/moDNS-50$145/moEnterpriseCustomPurchasePurchasePurchaseContact UsDomains52550CustomMonthly Queries5 Million25 Million50 MillionCustomMonthly Records1500750015000CustomMonthly Query Logs51025CustomFailover Records1510CustomGlobal Traffic Director Included001CustomPlan FeaturesPlan FeaturesPlan FeaturesGet a DemoCompare DNS Plan FeaturesDNS-5 and DNS-25 are billed annually. DNS-50 can be billed monthly or annually.FeatureDNS-5$18.75 /moDNS-25$56.25 /moDNS-50$175 /moEnterprisePurchasePurchasePurchaseContact UsTwo Factor AuthenticationThree Factor Authentication100% SLA-backedDNS AnalyticsRest API AccessDNSSECSAML/SSO (setup fee)Geo Load Balancing (GTD)Add-OnSee Add-OnsSee Add-OnsSee Add-OnsGet a DemoAdd-On PricingDNS-5 and DNS-25 are billed annually. DNS-50 can be billed monthly or annually.FeatureDNS-5DNS-25DNS-50EnterprisePurchasePurchasePurchaseContact UsFailover Records (each)$2.50 /month$2.50 /month$2.50 /month$2.50 /monthAdditional Queries (per million)$2 /month$.48 /month$.48 /monthAdditional Domains (each)$1 /month$1 /month$1 /monthGlobal Traffic Director (each)$660 /year$660 /year$540 /year$540 /yearAdditional Users (each)$14.95 /year$14.95 /year$14.95 /yearAnomaly Detection (World)$50 /month$50 /month$50 /monthMigration Assistance$250/hour$150/ hrIncludedBusiness Hour Phone Support $150 /hourIncludedIncludedDedicated Vanity IP Address$300 /year$300 /yearPremium Support$1000 /yearIncludedDNS SupportDNS SupportDNS SupportGet a DemoDNS SupportDNS-5 and DNS-25 are billed annually. DNS-50 can be billed monthly or annually.SupportDNS-5DNS-25DNS-50EnterprisePurchasePurchasePurchaseContact UsAccount Ticket SetupDedicated Account RepresentativeBusiness Hour Live Phone SupportLive Chat SupportLive Video SupportLearning LabsPrivate WebinarsRoad Map Requests24/7/365 SupportPrivate Sandbox Account AccessAdvantagesbuilt on the fastest most reliable network‍FREE TRIALFREEFor 30 DaysPurchaseSecure DNS NetworkOur network and infrastructure was expertly designed to withstand any attack based on scale and complexity. Seasoned DNS administrators with 20+ years of experience ensure reliable infrastructure. We are able to guarantee 100% DNS uptime to all of our clients. No other DNS provider has the resources to ensure 100% uptime for your organization.Learn MoreIndustry Leading SpeedDigiCert DNS Trust Manager is consistently ranked as the world's fastest DNS provider according to third party network monitoring firms. We understand that fast DNS resolution is of utmost importance to your brand and that is why we dedicate more resources to our DNS network than any other provider in the industry.Learn MoreAdvanced AnalyticsUnderstanding your DNS data and having the necessary tools to quickly diagnose problems is essential to your organization's success. With our advanced analytics solutions you can keep your websites running efficiently.Learn MoreOutage Free GuaranteedOur exceptional DNS solutions and unrivaled network infrastructure give us the ability to offer 100% uptime without incident. Providing you with peace of mind and elite performance.Learn MoreREST API Automation through code to tightly integrate DNS with your organization's growth. Perform the core functions of the DigiCert DNS GUI control panel but programmatically! Even advanced services like Global Traffic Director HTTP Redirection and Failover can all be configured through REST.Learn MoreTraffic Performance MonitoringOur DNS solutions use proprietary artificial intelligence / machine learning to provide real-time anomaly detection of your DNS traffic. This unique solution provides alerts that will save your organization from costly outages and performance issues.Learn MoreTop-Rated Enterprise SupportOur support team is extensively trained to provide the highest level of support in the industry. Continuing education is provided to our engineers regarding the evolving internet landscape. We solve complex issues for our clients with ease.Learn MoreThird-Party IntegrationsWith a multitude of integrations available your team can reduce manual tasks workload stress and errors. Developed by DevOps engineers with over 20 years of traffic management expertise.Learn MoreNEED Next-Level Services?Book Strategy DemoNeed advanced services &amp; customized solutions? Schedule a customized demo and a free POC account.Derek SeymourTrusted by the world's largest brandsServicesManaged DNS Services• DNS Failover• ANAME Records• Global Traffic DirectorSecondary DNSDNS AnalyticsReal-Time Traffic AnomalyMail ServicesDomain RegistrationTechnologyNetworkIndustry Leading SpeedsRest APIDynamic DNSThird Party IntegrationAffiliate ProgramEnterprisePricingResources  What is DNS?Subnet Mask Cheat SheetBlogBlog ArchivesTutorialsStatusFAQAbout   Our StoryCareersPoliciesContact UsLogin   Control PanelAnalyticsFree TrialBook DemoProducts Managed DNS ServicesDNS FailoverANAME RecordsGlobal Traffic DirectorSecondary DNSDNS AnalyticsMail ServicesDomain RegistrationTechnologyNetworkIndustry Leading SpeedRest APIDynamic DNSThird Party IntegrationAffiliate ProgramPricingEnterpriseResourcesWhat is DNS?Subnet Mask Cheat SheetBlogTutorialsStatusFAQAboutOur StoryCareersPoliciesContact UsLoginStart Free TrialWHAT Our Clients SAYWe Keep Brands OnlineServing over 30000 global organizations millions of domains worldwide and 180+ billion queries per day"Consistently and widely outperforms other providers"After extensive research and tests among top DNS vendors we've concluded that DigiCert DNS Trust Manager consistently and widely outperforms other providers. We highly recommend web providers to switch.Derek SeymourDerek Seymour"Superb tech support... powerful API"We are extremely satisfied with the fail over options the API access and the superb tech support. I would specially recommend the service to any startup or										medium size business that don't want to worry about DNS to try the service and to the big companies to try the powerful										API and fell in love with it.Armando AndradeArmando Andrade"I really like the Automatic DNS Failover &amp; System Monitoring" I really love DNS Made Easy. When I make a change to any record in any of my domains that change is instantly propagated										to all of their servers and I really like the Automatic DNS Failover &amp; System Monitoring. Iulian HalacIulian Halac"The best value in our IT budget" Hands down DNSMadeEasy represents the best value in our IT budget. Rarely (in any industry!) do you find a company with										an offering that is as good (if not better) than their competitors yet costs hundreds to thousands of times less.										Amazing job in all facets guys you should be proud of the company you've built!Dan PlaksonDan PlaksonAUTOMATIONIntegrationsDigiCert DNS services can be easily integrated into any existing product or service to automate infrastructure deployment through code. Powered by our world renowned REST API .Manage your DNS records across multiple providers.Get startedRuby API ClientRuby library for DigiCert DNS API.Get startedDomain automation plus integrations with over 500 third-party apps.Get startedChef CookbookGeneric DNS record cookbook that supports pluggable DNS providers.Get startedManage hundreds of cloud servicesGet startedRead moreBlogLatest Industry NewsBlogJune 2 2023Managed Authoritative DNS in 2023: Unleashing Performance and SecurityLearn MoreBlogJune 2 2023Enhancing Resilience and Performance with Secondary DNS: Leveraging DigiCert DNS Trust Manager for Organizational SuccessLearn MoreBlogJune 2 2023Understanding the Key Differences Between Authoritative DNS and Recursive DNSLearn MoreBlogJune 2 2023Streamlining DNS Management for Cost Savings with DigiCert DNS Trust ManagerLearn MoreBlogMay 17 2023Optimizing TTL for DNS Records for Improved PerformanceLearn MoreBlogMay 17 2023CNAME Flattening: Unlocking the Power of ANAME Records for Efficient Domain PointingLearn MoreWant a Proof of Concept?Start your free (no credit card required) 30-day trial and have access to the fastest and most reliable DNS in the world.‍Yep it really is that easy.Start Free TrialServicesManaged DNS ServicesSecondary DNSDNS AnalyticsMail ServicesTechnologyIndustry Leading SpeedsNetworkREST APIDynamic DNSThird-Party IntegrationsAffiliate ProgramAboutOur StoryCareersContact UsBlogPoliciesDigital AssetsUtility PagesWhat is DNS?Subnet Mask Cheat SheetTutorialsStatusFAQContactsales@dnsmadeeasy.com+1 703.880.309511490 Commerce Park Dr Ste 140Reston Virginia 20191 USA© 2023 DigiCert Inc. All rights reserved.Social MediaFacebookTwitterYouTubeLinkedInProductsDNS DNS ManagementFailoverLoad BalancingGeo IP ServicesANAME RecordsCNAME RecordsSee All FeaturesDNS AnalyticsQuery Reports and StatisticsReal-Time LogsReal-Time Traffic Anomaly DetectionMonitoringPerformance MonitoringReal User MonitoringCDN Performance ReportsSolutionsMulti-CDN ManagementLatency Load Balancing - Round RobinTraffic Steering Load BalancerGlobal Load BalancingAPI Devops &amp; AutomationDisaster Recovery Plan PricingProducts PricingGet a Custom QuotePricing CalculatorPricing FAQsLearnConstellix Blog / NewsEducational ResourcesWhat is DNSWhat is GeoDNS?IP Anycast+Video DemosPress ReleasesToolsBuilt-In IntegrationsDNS Lookup ToolTraceroute ToolSubnet Mask Cheat SheetDNS Records Cheat SheetOutage Calculator ToolQPS CalculatorCompare DNSCompare DNS ProvidersAmazon Route 53CloudFlareMicrosoft AzureNS1DYN OracleGoogle CloudNeustar / UltraDNSFree vs Paid DNSSee All FeaturesCompare OutagesOutage PreventionWhy ConstellixPremium SupportPartnership ProgramSupportWeb SupportIntegrationsDNS MigrationKnowledge BaseContact UsDNS StatusFAQPoliciesSign UpBook DemoLoginUser ManagementDNSSonarAnalyticsBilling</v>
      </c>
    </row>
    <row r="405">
      <c r="A405" s="1" t="s">
        <v>1218</v>
      </c>
      <c r="B405" s="1" t="s">
        <v>1324</v>
      </c>
      <c r="C405" s="1" t="s">
        <v>1325</v>
      </c>
      <c r="D405" s="1">
        <v>13.0</v>
      </c>
      <c r="E405" s="4" t="s">
        <v>1326</v>
      </c>
      <c r="F405" s="1" t="s">
        <v>43</v>
      </c>
      <c r="G405" s="1" t="s">
        <v>1327</v>
      </c>
      <c r="H405" s="4" t="s">
        <v>1328</v>
      </c>
      <c r="I405" s="2">
        <v>3.0</v>
      </c>
      <c r="J405" s="5" t="str">
        <f>IFERROR(__xludf.DUMMYFUNCTION("GOOGLETRANSLATE(A405)"),"DNS")</f>
        <v>DNS</v>
      </c>
      <c r="K405" s="6" t="str">
        <f>IFERROR(__xludf.DUMMYFUNCTION("GOOGLETRANSLATE(B405)"),"GRC's | DNS Nameserver Performance Benchmark")</f>
        <v>GRC's | DNS Nameserver Performance Benchmark</v>
      </c>
      <c r="L405" s="5" t="str">
        <f>IFERROR(__xludf.DUMMYFUNCTION("GOOGLETRANSLATE(C405)"),"GRC's DNS Benchmark performs a detailed analysis and comparison of the operational performance and reliability of any set of up to 200 DNS nameservers ( ...")</f>
        <v>GRC's DNS Benchmark performs a detailed analysis and comparison of the operational performance and reliability of any set of up to 200 DNS nameservers ( ...</v>
      </c>
      <c r="M405" s="5" t="str">
        <f>IFERROR(__xludf.DUMMYFUNCTION("GOOGLETRANSLATE(G405)"),"  Home of Gibson Research Corporation   Purchasing Sales Support Technical Support Contact Us Blogs Twitter &amp; RSS Privacy Policy Steve's Projects Page Steve's Old Resume General information What SpinRite Does User testimonials S.M.A.R.T. Monitor Purchase "&amp;"SpinRite FAQ Demo Videos Knowledgebase: B04E Knowledgebase: SATA Knowledgebase: BIOS SpinRite v5.0 pages ShieldsUP! Certificate Revocation Password Haystacks HTTPS Fingerprints Security Now! DNS Spoofability Test Perfect Passwords PPP Passwords Tech TV vi"&amp;"deo clips Newsgroup DiscussionsSQRLSecurity» InSpectre Securable Leaktest Shoot the messenger Unplug n' Pray DCOMbobulator MouseTrap MouseTrapCmdUtilities» ValiDrive InControl ReadSpeed DNS Benchmark InitDisk Never 10  (no upgrade) Wizmo ID Serve ClicKey "&amp;"Free &amp; Clear IDentity (ASPI)Obsolete» FIX-CIH TIP (trouble in paradise) OptOut XPdite NoShare LetShare PatchworkGeneral» Malware Repository SQRL Login Technology EV SSL/TLS Certificates Ultra-high entropy PRNG Pure CSS web menus NAT router security PDA ma"&amp;"x battery lifePending» GRC NetFilter TrustPuppyHistorical» Worm wars of 2001 File downloader spying Sub-pixel font rendering Earthlink browser tag ZIP &amp; JAZ click of deathDormant» OpenVPN The Assimilator ASPI MEHealth» Health Homepage The Low Carb Choice "&amp;"Vitamin D Healthy Sleep Formula Zeo Sleep Manager ProSQRL PDP-8 Computers TrueCrypt Repository Big Number Calculator The Quiet Canine  Gibson Research Corporation Proudly AnnouncesThe industry's #1 hard drive data recoverysoftware is NOW COMPATIBLE with N"&amp;"TFSFAT Linux and ALL OTHER file systems!And the exclusive home of . . .More than 106852742 shields tested!To proceed click the logos or select from the menu above.")</f>
        <v>  Home of Gibson Research Corporation   Purchasing Sales Support Technical Support Contact Us Blogs Twitter &amp; RSS Privacy Policy Steve's Projects Page Steve's Old Resume General information What SpinRite Does User testimonials S.M.A.R.T. Monitor Purchase SpinRite FAQ Demo Videos Knowledgebase: B04E Knowledgebase: SATA Knowledgebase: BIOS SpinRite v5.0 pages ShieldsUP! Certificate Revocation Password Haystacks HTTPS Fingerprints Security Now! DNS Spoofability Test Perfect Passwords PPP Passwords Tech TV video clips Newsgroup DiscussionsSQRLSecurity» InSpectre Securable Leaktest Shoot the messenger Unplug n' Pray DCOMbobulator MouseTrap MouseTrapCmdUtilities» ValiDrive InControl ReadSpeed DNS Benchmark InitDisk Never 10  (no upgrade) Wizmo ID Serve ClicKey Free &amp; Clear IDentity (ASPI)Obsolete» FIX-CIH TIP (trouble in paradise) OptOut XPdite NoShare LetShare PatchworkGeneral» Malware Repository SQRL Login Technology EV SSL/TLS Certificates Ultra-high entropy PRNG Pure CSS web menus NAT router security PDA max battery lifePending» GRC NetFilter TrustPuppyHistorical» Worm wars of 2001 File downloader spying Sub-pixel font rendering Earthlink browser tag ZIP &amp; JAZ click of deathDormant» OpenVPN The Assimilator ASPI MEHealth» Health Homepage The Low Carb Choice Vitamin D Healthy Sleep Formula Zeo Sleep Manager ProSQRL PDP-8 Computers TrueCrypt Repository Big Number Calculator The Quiet Canine  Gibson Research Corporation Proudly AnnouncesThe industry's #1 hard drive data recoverysoftware is NOW COMPATIBLE with NTFSFAT Linux and ALL OTHER file systems!And the exclusive home of . . .More than 106852742 shields tested!To proceed click the logos or select from the menu above.</v>
      </c>
    </row>
    <row r="406">
      <c r="A406" s="1" t="s">
        <v>1218</v>
      </c>
      <c r="B406" s="1" t="s">
        <v>1329</v>
      </c>
      <c r="C406" s="1" t="s">
        <v>1330</v>
      </c>
      <c r="D406" s="1">
        <v>14.0</v>
      </c>
      <c r="E406" s="4" t="s">
        <v>1331</v>
      </c>
      <c r="F406" s="1" t="s">
        <v>43</v>
      </c>
      <c r="G406" s="1" t="s">
        <v>1332</v>
      </c>
      <c r="H406" s="4" t="s">
        <v>1333</v>
      </c>
      <c r="I406" s="2">
        <v>3.0</v>
      </c>
      <c r="J406" s="5" t="str">
        <f>IFERROR(__xludf.DUMMYFUNCTION("GOOGLETRANSLATE(A406)"),"DNS")</f>
        <v>DNS</v>
      </c>
      <c r="K406" s="6" t="str">
        <f>IFERROR(__xludf.DUMMYFUNCTION("GOOGLETRANSLATE(B406)"),"DNS Propagation Checker - Global DNS Testing Tool")</f>
        <v>DNS Propagation Checker - Global DNS Testing Tool</v>
      </c>
      <c r="L406" s="5" t="str">
        <f>IFERROR(__xludf.DUMMYFUNCTION("GOOGLETRANSLATE(C406)"),"whatsmydns.net is a free online tool that lets you quickly and easily perform a DNS lookup to check DNS propagation and see information of any domain from DNS ...")</f>
        <v>whatsmydns.net is a free online tool that lets you quickly and easily perform a DNS lookup to check DNS propagation and see information of any domain from DNS ...</v>
      </c>
      <c r="M406" s="5" t="str">
        <f>IFERROR(__xludf.DUMMYFUNCTION("GOOGLETRANSLATE(G406)"),"DNS Propagation Checker - Global DNS Testing ToolAAAAACNAMEMXNSPTRSOASRVTXTCAA                                Expected Value:                             Search                Donate            United StatesLoading...-United StatesLoading...-United States"&amp;"Loading...-United StatesLoading...-United StatesLoading...-CanadaLoading...-MexicoLoading...-BrazilLoading...-SpainLoading...-United KingdomLoading...-FranceLoading...-NetherlandsLoading...-GermanyLoading...-SwitzerlandLoading...-ItalyLoading...-South Afr"&amp;"icaLoading...-TurkeyLoading...-RussiaLoading...-PakistanLoading...-IndiaLoading...-ThailandLoading...-MalaysiaLoading...-SingaporeLoading...-ChinaLoading...-South KoreaLoading...-JapanLoading...-AustraliaLoading...-AustraliaLoading...-DNS Propagation Chec"&amp;"kerwhatsmydns.net lets you instantly perform a DNS lookup to check a domain name's current IP address and DNS record information against multiple nameservers located in different parts of the world.                                        ← back to map vie"&amp;"w                                    ...Global DNS Checker - How to check DNS propagationwhatsmydns.net is a free online tool that lets you quickly and easily perform a DNS lookup to check DNS propagation and see information of any domain from DNS servers"&amp;" located in many countries all around the world.You can test changes made to new or existing domains and see if they have been updated correctly without the need to manually query remote servers. This gives you immediate insight into how users globally ma"&amp;"y be resolving DNS records for your website email or other online service.Many operating systems include DNS tools to check DNS records manually for diagnosing problems. However using these tools can be complicated and difficult to understand for non-tech"&amp;"nical people which is why the whatsmydns.net DNS checker was created to help with quickly checking DNS propagation.whatsmydns.net makes the process of performing global DNS checks easy by maintaining a range of DNS servers to perform lookups with. These r"&amp;"esults are then parsed and displayed on a map so that results are easier to understand at a glance. Individual lookup results can be seen in detail by selecting a server location from the list or clicking on the map markers once a search has been complete"&amp;"d.What is DNS and how does it work?The Domain Name System (known as DNS) is a system used to convert a name (like www.google.com) into an IP address (like 192.168.2.1). These addresses are used by computers to communicate with each other on the internet. "&amp;"Most people find remembering names much easier than numbers so DNS makes this process easy.When you visit a website your computer phone or tablet will first check your local DNS cache for the corresponding IP address. If your device has not recently looke"&amp;"d up this website then it will need to ask your configured DNS server which will forward the request on to the DNS server responsible for managing the records. This process is known as a DNS lookup request.Once the IP address is known it is stored locally"&amp;" for a set period of time known as the Time To Live (TTL) and used to speed up future requests. Updated records will not be returned until this time has expired this can often be the cause of why DNS changes do not appear to be working right away.What is "&amp;"DNS propagation?DNS propagation is the term commonly used to check the current state of DNS results globally and is often asked about when changes made to DNS zones do not appear to be working as expected. This process can take from only a few minutes but"&amp;" often takes up to 48-72 hours and sometimes longer.While technically DNS does not propagate this is the term that people have become familiar with. DNS requests are recursively forwarded and looked up from the locally used resolver to the authoritative n"&amp;"ame server on demand and then cached to speed up future lookup requests. For this reason commonly used DNS servers of large network providers located around the world have been selected when performing DNS checks.For popular websites DNS results may be ca"&amp;"ched for people in different parts of the world using many different recursive DNS resolvers. If you have recently made changes to your configuration and the TTL has not yet expired then some people may be receiving out of date results which could mean th"&amp;"at they see an older version of your website.How long does DNS propagation take?How long DNS propagation takes usually depends on your records TTL setting. This can be anywhere from several minutes up to 48-72 hours or longer. However there are sometimes "&amp;"other reasons for a long propagation time.The main issues as to why DNS propagation can take so long are:DNS Cache - The Time to Live (TTL) is the duration in which DNS data is allowed to 'live' in the cache of a local device or DNS resolver. When this du"&amp;"ration expires the local device or server removes existing DNS information and carries out another DNS lookup to fetch new information. Higher TTL settings can often cause a delay in DNS propagation.Internet Service Providers - Your ISP also caches DNS re"&amp;"sults which allows for many users to access sites faster. For every website requested they will ask the DNS server responsible only once but return the same result for many users. Some ISPs also overlook TTL rules keeping a cached DNS record even if the T"&amp;"TL has expired. This can make DNS propagation take longer than it should.Other DNS Servers - You may not be using your ISPs DNS server if this is the case then the same issues that may be causing delays can still apply.Domain Name Registrar - When changin"&amp;"g web hosting or DNS providers for your domain it is often also required to update your authoritative name servers. These changes will need to be reflected in the corresponding TLD nameserver for your domain name. For example if you were to change the NS "&amp;"records for example.com then the .com TLD nameserver would also need to update which can cause delays in DNS propagation.How do you speed up DNS propagation?A technique used to speed up DNS propagation and prevent a delay is to lower your DNS records TTL "&amp;"a few days in advance of making any changes so that when the change is made any old records expire more quickly. Unfortunately most people who are having issues and trying to speed up DNS propagation only find this out after making changes and are wonderi"&amp;"ng why they're not seeing instant results.If you have checked DNS globally and are seeing different results locally then you may consider flushing your DNS cache or using another DNS server. As a last resort manually overriding your local DNS entries in y"&amp;"our systems hosts file can also be done but should be considered a temporary measure and only works for certain record types.What server types are used in a DNS check?There are 4 different types of DNS servers involved when performing a DNS check. Each ha"&amp;"s a different role and may not be needed at all depending on the situation having all these different server types is what contributes to DNS propagation issues.Recursive Resolver - The DNS server your device communicates with is called the recursive reso"&amp;"lver and is issued to you automatically by your ISP but can be also configured on your router or individual devices. These DNS severs are ideally located in close geographical proximity to return results as fast as possible. These servers will cache a cop"&amp;"y of the DNS results to speed up future DNS lookup requests.Root Name Server - This type of DNS server is responsible for returning the IP address of the TLD (Top Level Domain) nameserver. For instance if it is trying to resolve example.com the root name "&amp;"server returns the IP of the TLD name server that runs .com domains.TLD Name Server - This name server returns the authoritative name servers for each domain under the Top Level Domain it's responsible for.  The .com TLD name server will return results fo"&amp;"r example.com but not example.org.Authoritative Name Server - This stores DNS servers' configuration data for specific domain names.What happens when a DNS request is made?Below demonstrates the flow of events when a user requests to visit www.example.com"&amp;" in their web browser for the first time and does not yet have cached results. As you can see each step introduces the possibility of a DNS propagation delay.→ You type www.example.com into your web browser.→ Your device sends a request to your configured"&amp;" recursive resolver.→ The recursive resolver asks the root nameserver for the IP address of the TLD nameserver responsible for .com domains.← The root nameserver returns the IP address of the .com TLD nameserver to the recursive resolver.→ The recursive r"&amp;"esolver asks the .com TLD nameserver for the address of the authoritative nameserver responsible for example.com.← The .com TLD nameserver returns the IP address of the authoritative nameserver to the recursive resolver.→ The recursive resolver asks the a"&amp;"uthoritative nameserver for the IP address of www.example.com.← The authoritative nameserver returns the IP address of www.example.com to the recursive resolver.← The recursive resolver returns IP address of www.example.com to the browser.→ Your browser m"&amp;"akes a web request directly to the resolved IP address.Which DNS record types can be checked?You can check DNS propagation for common record types including:A - The most common DNS record used to point a domain to an IP address.CNAME - Also known as alias"&amp;" records they point to other DNS records. Sometimes used for subdomains like www.MX - Mail Exchanger records are used set email servers and their priority.NS - Name Server records store the authoritative nameserver.TXT - Text records are commonly used for"&amp;" configuration settings such as SPF and DKIM records.                        Additional types that can be checked which are usually used in more advanced configurations include:                        AAAA                        CAA                       "&amp;" PTR                        SOA and                        SRV.                    Make sure to check all your DNS recordsWhen checking DNS records there are often multiple record types that you need to verify are correct. For example websites sometimes i"&amp;"nclude www or other subdomains as either an A or CNAME record and email servers use the MX record type.                            Check Another Record Type ↑                        or                            Check Another Domain ↑                     "&amp;"   ...Support MeIf you find this service useful for checking DNS propagation please consider donating to help pay hosting costs and keeping the site up to date.                        Donate via PayPal                    DNS ToolsDNS CheckerDNS LookupReve"&amp;"rse DNS LookupWhat's My IP Address?DNS GuidesDNS SecurityFlush DNSHosts FileDNS LookupA Record LookupAAAA Record LookupCAA Record LookupCNAME Record LookupMX Record LookupNS Record LookupPTR Record LookupSOA Record LookupSRV Record LookupTXT Record Lookup"&amp;"Articles &amp; BlogDNS ArticlesDevelopment BlogDNS ServersGlobal DNS ServersAustralian DNS ServersFrance DNS ServersNew Zealand DNS ServersUnited Kingdom DNS ServersUnited States DNS Servers                    Browser Extension                 Chrome         "&amp;"               new                    Social MediaContactEmail: [email protected]Twitter: @whatsmydnsLegalPrivacy Policy")</f>
        <v>DNS Propagation Checker - Global DNS Testing ToolAAAAACNAMEMXNSPTRSOASRVTXTCAA                                Expected Value:                             Search                Donate            United StatesLoading...-United StatesLoading...-United StatesLoading...-United StatesLoading...-United StatesLoading...-CanadaLoading...-MexicoLoading...-BrazilLoading...-SpainLoading...-United KingdomLoading...-FranceLoading...-NetherlandsLoading...-GermanyLoading...-SwitzerlandLoading...-ItalyLoading...-South AfricaLoading...-TurkeyLoading...-RussiaLoading...-PakistanLoading...-IndiaLoading...-ThailandLoading...-MalaysiaLoading...-SingaporeLoading...-ChinaLoading...-South KoreaLoading...-JapanLoading...-AustraliaLoading...-AustraliaLoading...-DNS Propagation Checkerwhatsmydns.net lets you instantly perform a DNS lookup to check a domain name's current IP address and DNS record information against multiple nameservers located in different parts of the world.                                        ← back to map view                                    ...Global DNS Checker - How to check DNS propagationwhatsmydns.net is a free online tool that lets you quickly and easily perform a DNS lookup to check DNS propagation and see information of any domain from DNS servers located in many countries all around the world.You can test changes made to new or existing domains and see if they have been updated correctly without the need to manually query remote servers. This gives you immediate insight into how users globally may be resolving DNS records for your website email or other online service.Many operating systems include DNS tools to check DNS records manually for diagnosing problems. However using these tools can be complicated and difficult to understand for non-technical people which is why the whatsmydns.net DNS checker was created to help with quickly checking DNS propagation.whatsmydns.net makes the process of performing global DNS checks easy by maintaining a range of DNS servers to perform lookups with. These results are then parsed and displayed on a map so that results are easier to understand at a glance. Individual lookup results can be seen in detail by selecting a server location from the list or clicking on the map markers once a search has been completed.What is DNS and how does it work?The Domain Name System (known as DNS) is a system used to convert a name (like www.google.com) into an IP address (like 192.168.2.1). These addresses are used by computers to communicate with each other on the internet. Most people find remembering names much easier than numbers so DNS makes this process easy.When you visit a website your computer phone or tablet will first check your local DNS cache for the corresponding IP address. If your device has not recently looked up this website then it will need to ask your configured DNS server which will forward the request on to the DNS server responsible for managing the records. This process is known as a DNS lookup request.Once the IP address is known it is stored locally for a set period of time known as the Time To Live (TTL) and used to speed up future requests. Updated records will not be returned until this time has expired this can often be the cause of why DNS changes do not appear to be working right away.What is DNS propagation?DNS propagation is the term commonly used to check the current state of DNS results globally and is often asked about when changes made to DNS zones do not appear to be working as expected. This process can take from only a few minutes but often takes up to 48-72 hours and sometimes longer.While technically DNS does not propagate this is the term that people have become familiar with. DNS requests are recursively forwarded and looked up from the locally used resolver to the authoritative name server on demand and then cached to speed up future lookup requests. For this reason commonly used DNS servers of large network providers located around the world have been selected when performing DNS checks.For popular websites DNS results may be cached for people in different parts of the world using many different recursive DNS resolvers. If you have recently made changes to your configuration and the TTL has not yet expired then some people may be receiving out of date results which could mean that they see an older version of your website.How long does DNS propagation take?How long DNS propagation takes usually depends on your records TTL setting. This can be anywhere from several minutes up to 48-72 hours or longer. However there are sometimes other reasons for a long propagation time.The main issues as to why DNS propagation can take so long are:DNS Cache - The Time to Live (TTL) is the duration in which DNS data is allowed to 'live' in the cache of a local device or DNS resolver. When this duration expires the local device or server removes existing DNS information and carries out another DNS lookup to fetch new information. Higher TTL settings can often cause a delay in DNS propagation.Internet Service Providers - Your ISP also caches DNS results which allows for many users to access sites faster. For every website requested they will ask the DNS server responsible only once but return the same result for many users. Some ISPs also overlook TTL rules keeping a cached DNS record even if the TTL has expired. This can make DNS propagation take longer than it should.Other DNS Servers - You may not be using your ISPs DNS server if this is the case then the same issues that may be causing delays can still apply.Domain Name Registrar - When changing web hosting or DNS providers for your domain it is often also required to update your authoritative name servers. These changes will need to be reflected in the corresponding TLD nameserver for your domain name. For example if you were to change the NS records for example.com then the .com TLD nameserver would also need to update which can cause delays in DNS propagation.How do you speed up DNS propagation?A technique used to speed up DNS propagation and prevent a delay is to lower your DNS records TTL a few days in advance of making any changes so that when the change is made any old records expire more quickly. Unfortunately most people who are having issues and trying to speed up DNS propagation only find this out after making changes and are wondering why they're not seeing instant results.If you have checked DNS globally and are seeing different results locally then you may consider flushing your DNS cache or using another DNS server. As a last resort manually overriding your local DNS entries in your systems hosts file can also be done but should be considered a temporary measure and only works for certain record types.What server types are used in a DNS check?There are 4 different types of DNS servers involved when performing a DNS check. Each has a different role and may not be needed at all depending on the situation having all these different server types is what contributes to DNS propagation issues.Recursive Resolver - The DNS server your device communicates with is called the recursive resolver and is issued to you automatically by your ISP but can be also configured on your router or individual devices. These DNS severs are ideally located in close geographical proximity to return results as fast as possible. These servers will cache a copy of the DNS results to speed up future DNS lookup requests.Root Name Server - This type of DNS server is responsible for returning the IP address of the TLD (Top Level Domain) nameserver. For instance if it is trying to resolve example.com the root name server returns the IP of the TLD name server that runs .com domains.TLD Name Server - This name server returns the authoritative name servers for each domain under the Top Level Domain it's responsible for.  The .com TLD name server will return results for example.com but not example.org.Authoritative Name Server - This stores DNS servers' configuration data for specific domain names.What happens when a DNS request is made?Below demonstrates the flow of events when a user requests to visit www.example.com in their web browser for the first time and does not yet have cached results. As you can see each step introduces the possibility of a DNS propagation delay.→ You type www.example.com into your web browser.→ Your device sends a request to your configured recursive resolver.→ The recursive resolver asks the root nameserver for the IP address of the TLD nameserver responsible for .com domains.← The root nameserver returns the IP address of the .com TLD nameserver to the recursive resolver.→ The recursive resolver asks the .com TLD nameserver for the address of the authoritative nameserver responsible for example.com.← The .com TLD nameserver returns the IP address of the authoritative nameserver to the recursive resolver.→ The recursive resolver asks the authoritative nameserver for the IP address of www.example.com.← The authoritative nameserver returns the IP address of www.example.com to the recursive resolver.← The recursive resolver returns IP address of www.example.com to the browser.→ Your browser makes a web request directly to the resolved IP address.Which DNS record types can be checked?You can check DNS propagation for common record types including:A - The most common DNS record used to point a domain to an IP address.CNAME - Also known as alias records they point to other DNS records. Sometimes used for subdomains like www.MX - Mail Exchanger records are used set email servers and their priority.NS - Name Server records store the authoritative nameserver.TXT - Text records are commonly used for configuration settings such as SPF and DKIM records.                        Additional types that can be checked which are usually used in more advanced configurations include:                        AAAA                        CAA                        PTR                        SOA and                        SRV.                    Make sure to check all your DNS recordsWhen checking DNS records there are often multiple record types that you need to verify are correct. For example websites sometimes include www or other subdomains as either an A or CNAME record and email servers use the MX record type.                            Check Another Record Type ↑                        or                            Check Another Domain ↑                        ...Support MeIf you find this service useful for checking DNS propagation please consider donating to help pay hosting costs and keeping the site up to date.                        Donate via PayPal                    DNS ToolsDNS CheckerDNS LookupReverse DNS LookupWhat's My IP Address?DNS GuidesDNS SecurityFlush DNSHosts FileDNS LookupA Record LookupAAAA Record LookupCAA Record LookupCNAME Record LookupMX Record LookupNS Record LookupPTR Record LookupSOA Record LookupSRV Record LookupTXT Record LookupArticles &amp; BlogDNS ArticlesDevelopment BlogDNS ServersGlobal DNS ServersAustralian DNS ServersFrance DNS ServersNew Zealand DNS ServersUnited Kingdom DNS ServersUnited States DNS Servers                    Browser Extension                 Chrome                        new                    Social MediaContactEmail: [email protected]Twitter: @whatsmydnsLegalPrivacy Policy</v>
      </c>
    </row>
    <row r="407">
      <c r="A407" s="1" t="s">
        <v>1218</v>
      </c>
      <c r="B407" s="1" t="s">
        <v>1334</v>
      </c>
      <c r="C407" s="1" t="s">
        <v>1335</v>
      </c>
      <c r="D407" s="1">
        <v>15.0</v>
      </c>
      <c r="E407" s="4" t="s">
        <v>1336</v>
      </c>
      <c r="F407" s="1" t="s">
        <v>43</v>
      </c>
      <c r="I407" s="2">
        <v>3.0</v>
      </c>
      <c r="J407" s="5" t="str">
        <f>IFERROR(__xludf.DUMMYFUNCTION("GOOGLETRANSLATE(A407)"),"DNS")</f>
        <v>DNS</v>
      </c>
      <c r="K407" s="6" t="str">
        <f>IFERROR(__xludf.DUMMYFUNCTION("GOOGLETRANSLATE(B407)"),"What is DNS? | Domains - GoDaddy Help US")</f>
        <v>What is DNS? | Domains - GoDaddy Help US</v>
      </c>
      <c r="L407" s="5" t="str">
        <f>IFERROR(__xludf.DUMMYFUNCTION("GOOGLETRANSLATE(C407)"),"The easiest way to access your DNS is to sign in to your GoDaddy Domain Portfolio, click or tap directly on your domain name and then select DNS. You should see ...")</f>
        <v>The easiest way to access your DNS is to sign in to your GoDaddy Domain Portfolio, click or tap directly on your domain name and then select DNS. You should see ...</v>
      </c>
      <c r="M407" s="5" t="str">
        <f>IFERROR(__xludf.DUMMYFUNCTION("GOOGLETRANSLATE(G407)"),"#VALUE!")</f>
        <v>#VALUE!</v>
      </c>
    </row>
    <row r="408">
      <c r="A408" s="1" t="s">
        <v>1218</v>
      </c>
      <c r="B408" s="1" t="s">
        <v>1337</v>
      </c>
      <c r="D408" s="1">
        <v>16.0</v>
      </c>
      <c r="E408" s="4" t="s">
        <v>1338</v>
      </c>
      <c r="F408" s="1" t="s">
        <v>43</v>
      </c>
      <c r="G408" s="1" t="s">
        <v>1339</v>
      </c>
      <c r="H408" s="4" t="s">
        <v>1340</v>
      </c>
      <c r="I408" s="2">
        <v>3.0</v>
      </c>
      <c r="J408" s="5" t="str">
        <f>IFERROR(__xludf.DUMMYFUNCTION("GOOGLETRANSLATE(A408)"),"DNS")</f>
        <v>DNS</v>
      </c>
      <c r="K408" s="6" t="str">
        <f>IFERROR(__xludf.DUMMYFUNCTION("GOOGLETRANSLATE(B408)"),"Cloud Delivered Enterprise Security by OpenDNS")</f>
        <v>Cloud Delivered Enterprise Security by OpenDNS</v>
      </c>
      <c r="L408" s="5" t="str">
        <f>IFERROR(__xludf.DUMMYFUNCTION("GOOGLETRANSLATE(C408)"),"#VALUE!")</f>
        <v>#VALUE!</v>
      </c>
      <c r="M408" s="5" t="str">
        <f>IFERROR(__xludf.DUMMYFUNCTION("GOOGLETRANSLATE(G408)"),"Cloud Delivered Enterprise Security by OpenDNSSkip to contentSkip to footerOpenDNS is now part of Cisco  Learn More About CiscoEnterprisePartnersConsumerAbout UsSearchSupportLoginDashboardEnterpriseMSP &amp; PartnersConsumerAbout UsSearchSupportLoginDashboard"&amp;"Improve YourInternetEnterprise SecurityCisco Umbrella provides protection against threats on the internet such as malware phishing and ransomware. Visit umbrella.cisco.comConsumerOpenDNS is a suite of consumer products aimed at making your internet faster"&amp;" safer and more reliable.Learn moreWhy users love OpenDNSDelivers faster more reliable home internetThanks to our global data centers and peering partnerships we shorten the routes between every network and our data centers–making your internet access eve"&amp;"n faster.Helps make the web a safer placeWith filtering or pre-configured protection you can safeguard your family against adult content and more. It’s the easiest way to add parental and content filtering controls to every device in your home.Easy to set"&amp;" upGet OpenDNS up and running in your home quickly and easily. PhD in Computer Science not required. Thanks to our helpful guides and knowledge base set up is a breeze.Who We AreData Center LocationsLearn MoreCommunitySpiceworksTwitterFacebookLinkedIn© Op"&amp;"enDNS 2023208.67.222.222 · 208.67.220.220Cisco Online Privacy StatementSitemap")</f>
        <v>Cloud Delivered Enterprise Security by OpenDNSSkip to contentSkip to footerOpenDNS is now part of Cisco  Learn More About CiscoEnterprisePartnersConsumerAbout UsSearchSupportLoginDashboardEnterpriseMSP &amp; PartnersConsumerAbout UsSearchSupportLoginDashboardImprove YourInternetEnterprise SecurityCisco Umbrella provides protection against threats on the internet such as malware phishing and ransomware. Visit umbrella.cisco.comConsumerOpenDNS is a suite of consumer products aimed at making your internet faster safer and more reliable.Learn moreWhy users love OpenDNSDelivers faster more reliable home internetThanks to our global data centers and peering partnerships we shorten the routes between every network and our data centers–making your internet access even faster.Helps make the web a safer placeWith filtering or pre-configured protection you can safeguard your family against adult content and more. It’s the easiest way to add parental and content filtering controls to every device in your home.Easy to set upGet OpenDNS up and running in your home quickly and easily. PhD in Computer Science not required. Thanks to our helpful guides and knowledge base set up is a breeze.Who We AreData Center LocationsLearn MoreCommunitySpiceworksTwitterFacebookLinkedIn© OpenDNS 2023208.67.222.222 · 208.67.220.220Cisco Online Privacy StatementSitemap</v>
      </c>
    </row>
    <row r="409">
      <c r="A409" s="1" t="s">
        <v>1218</v>
      </c>
      <c r="B409" s="1" t="s">
        <v>1341</v>
      </c>
      <c r="D409" s="1">
        <v>17.0</v>
      </c>
      <c r="E409" s="4" t="s">
        <v>1342</v>
      </c>
      <c r="F409" s="1" t="s">
        <v>43</v>
      </c>
      <c r="G409" s="1" t="s">
        <v>120</v>
      </c>
      <c r="H409" s="4" t="s">
        <v>121</v>
      </c>
      <c r="I409" s="2">
        <v>1.0</v>
      </c>
      <c r="J409" s="5" t="str">
        <f>IFERROR(__xludf.DUMMYFUNCTION("GOOGLETRANSLATE(A409)"),"DNS")</f>
        <v>DNS</v>
      </c>
      <c r="K409" s="6" t="str">
        <f>IFERROR(__xludf.DUMMYFUNCTION("GOOGLETRANSLATE(B409)"),"DNS SHOP - Apps on Google Play")</f>
        <v>DNS SHOP - Apps on Google Play</v>
      </c>
      <c r="L409" s="5" t="str">
        <f>IFERROR(__xludf.DUMMYFUNCTION("GOOGLETRANSLATE(C409)"),"#VALUE!")</f>
        <v>#VALUE!</v>
      </c>
      <c r="M409" s="5" t="str">
        <f>IFERROR(__xludf.DUMMYFUNCTION("GOOGLETRANSLATE(G409)"),"Android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410">
      <c r="A410" s="1" t="s">
        <v>1218</v>
      </c>
      <c r="B410" s="1" t="s">
        <v>1343</v>
      </c>
      <c r="C410" s="1" t="s">
        <v>1344</v>
      </c>
      <c r="D410" s="1">
        <v>29.0</v>
      </c>
      <c r="E410" s="4" t="s">
        <v>1345</v>
      </c>
      <c r="F410" s="1" t="s">
        <v>43</v>
      </c>
      <c r="G410" s="1" t="s">
        <v>1346</v>
      </c>
      <c r="H410" s="4" t="s">
        <v>1347</v>
      </c>
      <c r="I410" s="2">
        <v>3.0</v>
      </c>
      <c r="J410" s="5" t="str">
        <f>IFERROR(__xludf.DUMMYFUNCTION("GOOGLETRANSLATE(A410)"),"DNS")</f>
        <v>DNS</v>
      </c>
      <c r="K410" s="6" t="str">
        <f>IFERROR(__xludf.DUMMYFUNCTION("GOOGLETRANSLATE(B410)"),"DNS Performance - Compare the speed and uptime of ...")</f>
        <v>DNS Performance - Compare the speed and uptime of ...</v>
      </c>
      <c r="L410" s="5" t="str">
        <f>IFERROR(__xludf.DUMMYFUNCTION("GOOGLETRANSLATE(C410)"),"Compare the speed and uptime of enterprise and commercial DNS services.")</f>
        <v>Compare the speed and uptime of enterprise and commercial DNS services.</v>
      </c>
      <c r="M410" s="5" t="str">
        <f>IFERROR(__xludf.DUMMYFUNCTION("GOOGLETRANSLATE(G410)"),"DNS Performance - Compare the speed and uptime of enterprise and commercial DNS services | DNSPerfToggle navigationMENUCLOSEGet premiumDNS Performance &amp; UptimeAuthoritative DNS ProvidersPublic DNS ResolversDNS Root ServersDNS Providers All DNS ProvidersTo"&amp;"ols DNS Propagation checkerDNS Speed BenchmarkNetworkGet premiumDNS Performance Analytics and ComparisonFind the fastest and most reliable DNS for free based on millions of testsData powered by:How we measure DNS PerformanceAll DNS providers are tested ev"&amp;"ery minute from 200+ locations globally. All tests are over IPv4 with a 1-second timeout. The public data is updated once per hour but contact us for real-time data.Authoritative DNS providersPublic DNS resolversDNS Root ServersDNS ProvidersLocation:World"&amp;"Period:Last 30 daysType:Raw Performance                            Resolver                                Simulation                            UptimeQualityFilters DNS ResolversLocation:WorldPeriod:Last 30 daysType:Raw Performance                       "&amp;"     UptimeQualityFilters DNS Root ServersLocation:WorldPeriod:Last 30 daysType:Raw PerformanceUptimeQualityFilters  Find out when DNSPerf and CDNPerf release new features and toolsWe rarely send messages only when we have important news to share. No spam"&amp;" or annoying emails.We rarely send messages only when we have important news to share. No spam or annoying emails.Our other projects:Get in touch will@perfops.netMedia© 2020 PerfOps Sp z.o.o. All rights reserved.")</f>
        <v>DNS Performance - Compare the speed and uptime of enterprise and commercial DNS services | DNSPerfToggle navigationMENUCLOSEGet premiumDNS Performance &amp; UptimeAuthoritative DNS ProvidersPublic DNS ResolversDNS Root ServersDNS Providers All DNS ProvidersTools DNS Propagation checkerDNS Speed BenchmarkNetworkGet premiumDNS Performance Analytics and ComparisonFind the fastest and most reliable DNS for free based on millions of testsData powered by:How we measure DNS PerformanceAll DNS providers are tested every minute from 200+ locations globally. All tests are over IPv4 with a 1-second timeout. The public data is updated once per hour but contact us for real-time data.Authoritative DNS providersPublic DNS resolversDNS Root ServersDNS ProvidersLocation:WorldPeriod:Last 30 daysType:Raw Performance                            Resolver                                Simulation                            UptimeQualityFilters DNS ResolversLocation:WorldPeriod:Last 30 daysType:Raw Performance                            UptimeQualityFilters DNS Root ServersLocation:WorldPeriod:Last 30 daysType:Raw PerformanceUptimeQualityFilters  Find out when DNSPerf and CDNPerf release new features and toolsWe rarely send messages only when we have important news to share. No spam or annoying emails.We rarely send messages only when we have important news to share. No spam or annoying emails.Our other projects:Get in touch will@perfops.netMedia© 2020 PerfOps Sp z.o.o. All rights reserved.</v>
      </c>
    </row>
    <row r="411">
      <c r="A411" s="1" t="s">
        <v>1218</v>
      </c>
      <c r="B411" s="1" t="s">
        <v>1348</v>
      </c>
      <c r="C411" s="1" t="s">
        <v>1349</v>
      </c>
      <c r="D411" s="1">
        <v>34.0</v>
      </c>
      <c r="E411" s="4" t="s">
        <v>1350</v>
      </c>
      <c r="F411" s="1" t="s">
        <v>43</v>
      </c>
      <c r="I411" s="2">
        <v>3.0</v>
      </c>
      <c r="J411" s="5" t="str">
        <f>IFERROR(__xludf.DUMMYFUNCTION("GOOGLETRANSLATE(A411)"),"DNS")</f>
        <v>DNS</v>
      </c>
      <c r="K411" s="6" t="str">
        <f>IFERROR(__xludf.DUMMYFUNCTION("GOOGLETRANSLATE(B411)"),"the Internet's Fastest, Privacy-First DNS Resolver - WARP")</f>
        <v>the Internet's Fastest, Privacy-First DNS Resolver - WARP</v>
      </c>
      <c r="L411" s="5" t="str">
        <f>IFERROR(__xludf.DUMMYFUNCTION("GOOGLETRANSLATE(C411)"),"Setup on Android · Open System Preferences. · Search for DNS Servers and select it from the dropdown. · Click the + button to add a DNS Server and enter 1.1.1.1 ...")</f>
        <v>Setup on Android · Open System Preferences. · Search for DNS Servers and select it from the dropdown. · Click the + button to add a DNS Server and enter 1.1.1.1 ...</v>
      </c>
      <c r="M411" s="5" t="str">
        <f>IFERROR(__xludf.DUMMYFUNCTION("GOOGLETRANSLATE(G411)"),"#VALUE!")</f>
        <v>#VALUE!</v>
      </c>
    </row>
    <row r="412">
      <c r="A412" s="1" t="s">
        <v>1351</v>
      </c>
      <c r="B412" s="1" t="s">
        <v>1352</v>
      </c>
      <c r="C412" s="1" t="s">
        <v>1353</v>
      </c>
      <c r="D412" s="1">
        <v>1.0</v>
      </c>
      <c r="E412" s="4" t="s">
        <v>1354</v>
      </c>
      <c r="F412" s="1" t="s">
        <v>16</v>
      </c>
      <c r="G412" s="1" t="s">
        <v>31</v>
      </c>
      <c r="H412" s="4" t="s">
        <v>32</v>
      </c>
      <c r="I412" s="2">
        <v>2.0</v>
      </c>
      <c r="J412" s="5" t="str">
        <f>IFERROR(__xludf.DUMMYFUNCTION("GOOGLETRANSLATE(A412)"),"Inna Churikova")</f>
        <v>Inna Churikova</v>
      </c>
      <c r="K412" s="6" t="str">
        <f>IFERROR(__xludf.DUMMYFUNCTION("GOOGLETRANSLATE(B412)"),"Churikova, Inna Mikhailovna")</f>
        <v>Churikova, Inna Mikhailovna</v>
      </c>
      <c r="L412" s="5" t="str">
        <f>IFERROR(__xludf.DUMMYFUNCTION("GOOGLETRANSLATE(C412)"),"Inna Mikhailovna Churikova (October 5, 1943, Belebey, Bashkir ASSR - January 14, 2023, Moscow) - Sovetskaya and Russian actress theater and cinema; ...")</f>
        <v>Inna Mikhailovna Churikova (October 5, 1943, Belebey, Bashkir ASSR - January 14, 2023, Moscow) - Sovetskaya and Russian actress theater and cinema; ...</v>
      </c>
      <c r="M412" s="5" t="str">
        <f>IFERROR(__xludf.DUMMYFUNCTION("GOOGLETRANSLATE(G412)"),"Wikipedia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413">
      <c r="A413" s="1" t="s">
        <v>1351</v>
      </c>
      <c r="B413" s="1" t="s">
        <v>1355</v>
      </c>
      <c r="C413" s="1" t="s">
        <v>1356</v>
      </c>
      <c r="D413" s="1">
        <v>2.0</v>
      </c>
      <c r="E413" s="4" t="s">
        <v>1357</v>
      </c>
      <c r="F413" s="1" t="s">
        <v>16</v>
      </c>
      <c r="G413" s="1" t="s">
        <v>336</v>
      </c>
      <c r="H413" s="4" t="s">
        <v>337</v>
      </c>
      <c r="I413" s="2">
        <v>1.0</v>
      </c>
      <c r="J413" s="5" t="str">
        <f>IFERROR(__xludf.DUMMYFUNCTION("GOOGLETRANSLATE(A413)"),"Inna Churikova")</f>
        <v>Inna Churikova</v>
      </c>
      <c r="K413" s="6" t="str">
        <f>IFERROR(__xludf.DUMMYFUNCTION("GOOGLETRANSLATE(B413)"),"Inna Churikova: films, biography, family, ...")</f>
        <v>Inna Churikova: films, biography, family, ...</v>
      </c>
      <c r="L413" s="5" t="str">
        <f>IFERROR(__xludf.DUMMYFUNCTION("GOOGLETRANSLATE(C413)"),"Inna Churikova. Date of birth: October 5, 1943. Actress, actress dubbing, screenwriter. The best films: the same Munchausen, idiot, beginning, Moscow saga, ...")</f>
        <v>Inna Churikova. Date of birth: October 5, 1943. Actress, actress dubbing, screenwriter. The best films: the same Munchausen, idiot, beginning, Moscow saga, ...</v>
      </c>
      <c r="M413" s="5" t="str">
        <f>IFERROR(__xludf.DUMMYFUNCTION("GOOGLETRANSLATE(G413)"),"Oh!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414">
      <c r="A414" s="1" t="s">
        <v>1351</v>
      </c>
      <c r="B414" s="1" t="s">
        <v>1358</v>
      </c>
      <c r="D414" s="1">
        <v>3.0</v>
      </c>
      <c r="E414" s="4" t="s">
        <v>1359</v>
      </c>
      <c r="F414" s="1" t="s">
        <v>16</v>
      </c>
      <c r="G414" s="1" t="s">
        <v>1360</v>
      </c>
      <c r="H414" s="4" t="s">
        <v>1361</v>
      </c>
      <c r="I414" s="2">
        <v>1.0</v>
      </c>
      <c r="J414" s="5" t="str">
        <f>IFERROR(__xludf.DUMMYFUNCTION("GOOGLETRANSLATE(A414)"),"Inna Churikova")</f>
        <v>Inna Churikova</v>
      </c>
      <c r="K414" s="6" t="str">
        <f>IFERROR(__xludf.DUMMYFUNCTION("GOOGLETRANSLATE(B414)"),"Inna Churikova - actress - biography")</f>
        <v>Inna Churikova - actress - biography</v>
      </c>
      <c r="L414" s="5" t="str">
        <f>IFERROR(__xludf.DUMMYFUNCTION("GOOGLETRANSLATE(C414)"),"#VALUE!")</f>
        <v>#VALUE!</v>
      </c>
      <c r="M414" s="5" t="str">
        <f>IFERROR(__xludf.DUMMYFUNCTION("GOOGLETRANSLATE(G414)"),"����-�����.�� - �������� ������ �������� ����� ������� ���� � ������ ��������������� �������������� ������������� ����������������������������������� ������������������������������������������ ��������� �� ���������������� �� ��������������� �������������"&amp;"���������������������� ����������� ������������������ �������������������� ��� ����������������� � �������������� ������������������ ��� �������-���������������� ������� ���������������������� ��������������� ������������������ � ���������� �������� �����"&amp;"���������� ���������� ������������������� ����������������� ��������������� ������������������������ ������������ ��������������� ���������� ��������� ���������������� ������������������� ������������������� ������ ������������ �������� �������������� ���"&amp;"�������������� ���������������� ������������� �������� ������������������ ���������� ���������� ������������������� ����������������� ������������� ���������������������� �����������������������-������������������������� �������������������� ������������ "&amp;"� ������������������ �������������� ������������ �� ���������������� ���������� ����������������� ������� ���������������������������������������������������������������������������������-������������������������-������������������������ �����������������"&amp;"������� ������������-�������������������� ������������� ������ � ����������������� �����-���������������� ������������ �������� ��������������� ������������ ������� ������������������� ������������������� ��������������������������������� �� ����������� �"&amp;"�������������� ������������������������������������������ ����������-���� � ������������ �� ����������������� ���� ���� ��������� ���� ���� ���� �� ���������������� �������������� ������������� ����������� ����������� ������������������������� �������� ��"&amp;" ���������������� �� �������������������� ������������������������������������������� �� ������������ ������ ������: ����� ������� ������ ������� ������� � ������ �� ��� ����������� ���� � �������: ��������� �������� �� ������ ���������������� �1�: ��� ��"&amp;"������� ������� �� ������� � �������������� ��������� ��������� ��� ������ ����� ������� ����� �������� ��� ����� ����� � ������ ��������: ������� ������� ����� �� ������Okko ������� ����������� ����������� ��� ���������� �������� �������������� �������� "&amp;"� ���������� �������� ������� � �������� �������������� ������������� � ����� IFFI������� ���� &gt;&gt;11 ���������� � ������ ������� � ��� ������� ���� ������ ����� �� ������� ����� The Legend of Zelda11 ������������ ��������� ��������� ��� ������ ����� ������"&amp;"�� ������� ������� �� ��� ��� ������ � �������11 ������������-�������� ��������� ����� �����������: ������� ������� ������� � ��� �������� ��������� 9 �������������� ������� START11 �������� ����� �������� ��� ����� ����� � ������ ��������: ������� ������"&amp;"� ����� �� ������� ����� ����������� �� ������� ����� �� ����� ���� � �������� ��������� ��������� ��-������11 ����������� ����������� � ��������� ������ �������� �� ���� ����� �� ��������10 ������Okko ������� ����������� ����������� ��� ���������� ������"&amp;"�� �������10 ������������������� �������� ������� ����������� � ������� �������� ��������� 26 ������10 �������������� ���� �����: ������ ����� ������� ���������� ����� � �������� �������� ������1 �������������������� &gt;&gt;����� ������ ������ ������������ ���"&amp;"��: �������� ����� � ������ ����� ������ ������ ������������������: ���� ��������� ������ ������ � ���� ����������� ��������: ���� ��������� ����� ������ � ���������� �������������� ������� �������� ������������ ����������������� ������ ���� ����� �������"&amp;"���� �������� ���� �� ������ People�������� &gt;&gt;7 ����������� ��������: ���� ���� ����� ""�����"" � ��������� ��������� �� ��������������������� ����� � � ������ ��� ��û ������������� ����� � ������ ������-������������� ����1 �����������6 ������������ �����"&amp;"��: ����� ��� ������� ��� ��� � ������ ��� �� ������� � ������� � �� �� ������������� � ��������� ��� ���������� ��������� � � ������ ��������� ������� ����� ����� ������� ����� ��� �� ��������� �������� � ������������ ������� ������� ����� ����������� � "&amp;"�����5 ������������3 ����������� �����������: �� ����� ����� ���������� � �������� ������� ���� ����� �� ���� ���� ������� �� �� ��� �� ������������������ � �������� � � �������� �������� ��������� �������� � ������� � ������� � ���������� ������ �� �����"&amp;"�� � ����� �������2 �����������2 �������������� ��������: �� ����� ������ ������� �� ������������ � � ������ ������ ���������� � �����. ����� �� �������� ������������ �������� �������� ���������� � �������� ������� ������� ��������� � �������� ����������2"&amp;"2 �������������� ��������: �� ��� ��� ��� ��������� �����������5 ������������20 ����������� �������: �� ������� �� ������ ������ ��� ��� �������� ������ ��� � � ��������� �������� ��� ��� �� ����2 �����������17 ����������� ����: �� ��������� ������� �����"&amp;"�� ��� ����������� � ����� ���������� ����� ������������� � ������������ ��������7 ������������12 ������������ ���������: ���� ���� ��������� ������� ������ �������������2 ���������������� �������� &gt;&gt;������ �������. ����� �2��������� ���� ������� �� �����"&amp;"� � ������ � ������������� ������� �������� ����� ������ � ��� ���������� � ������� �� ������� ���������� � �����������   (2 �����������)������� ��������. ������� �� ���������� ���������� 3�. ������� �� ����� ����������������������: ���������� � ��������."&amp;" ������� � ����������� ����������������� ������ �����������������: ������� ������� ������� � ��� ������������� ���� &gt;&gt;����� ������������ �������������� 2023����� �� ��� ���������������� 2023������. ����������� ��������� 2022����������� 1787. �������������"&amp;"���� ����� ��������� ����������������� 2023�������� ������������ ������� ����� �������� ���� ����� � ���������������� 2023������� � �������������� ����� ����������� ���������� ����������� 2023��� ������� ������-2������� �������� ���������� 2023��������� �"&amp;"������������ 2023��� ������ � ������� &gt;&gt;�������� &gt;&gt;10 �������������� �1�: ��� ��������� ������� �� ������� � ����������������� ���������� � ���� ���������� ������� � ������ ���� ������������2 �����������10 ���������������� �����: ������� ���� � ����������"&amp;"��������� ������ ��� �������� �����������1 �����������9 ������������� ����: � ������� ���� � ������� �������������� �� ���������� ��������� �������8 ���������� ���������: ������� ��� ������������?��������� ����������� ���� ������ �������� ������� ������� "&amp;"����������3 �����������5 ������������� ��������� �����: �������� ���� ���� ����� ����1 �����������5 ����������� ����������: ����� ��������1 �����������4 ����������� ��������� �����: ������� ������3 �����������2 �������������� ���������: ��� ����� �� ��� �"&amp;" �� ������������10 ������ ���� �� ����� ���������� ������ ������.9 ������ ���� �� ����� ������� ������ ������������.����� �������� &gt;&gt;11 ������������� ������ ������: ����� ������� ������ ������� ������� � ������ �� ��� ���������������������� ������ � ��� �"&amp;"�� ����������� �������� �����9 ���������������� ��������: �����-������������ ��������?������������ ������ � ���� � �����2 �����������8 ������������� � �� ����������: ������ �������� �����������. ��� ��� ����?����� ����� �������� � ��� ��������?7 ���������"&amp;"��� �������: ��������� ����������� ����������� ��������� ����� ���������� ����������� ����� 1980-�21 �����������6 ���������������: ���� ����� � ����12 ������������6 ���������������� �����������: ��� ��������� �������� � �������10 ������������4 �����������"&amp;"� ������ �� ���������������: ����� ��������� ������������ ������ ����� ������!�31 ������������� ��� ��û: �� ��� ������� ������� ������ �����������?6 ������������������� ���� &gt;&gt;7 ����������� � �����: ����-��� � ���� � ��������20 �������� ��� �� 2017 ������"&amp;"������3 �������������� ������: ������ ������� ����� ������ � ��������� ����� ������������� ��������� ��������-������ ������ �� ������ ����-�����.��31 ���������������� �� ����: ������ 300 �������� �� ��� ������ ������������������� �������� � ������� ��� ��"&amp;"������� ������ ��������3 �����������31 ���������� �������: ���������-��������������� ����� �������������� �������� ������ ������ ������ ��������� � ������ � ������ �������� � ����1 �����������30 ������������ ��������� ����� � ����� ����� �������� ������ �"&amp;"������� � ��� 10 ������� ������3 �����������30 ����������������� ��� � ������� ���: ���������������� ����� ������� ������� ��� ����2 �����������26 ������������ �������: ����������� ������ ���� � �������7 ������������25 �������Party Like a Russian: ��� ���"&amp;"� � ������� ������������ ����������� ��������� ��������3 ������������������� �������12 ������������ ������������� ��������������� ������10 ������PREMIER���� ����� ������������10 ������Apple TV+������ �� ������14 ������START��������� ������14 ������OKKO���"&amp;"��� ������14 ������Netflix����� ��������� �������14 ������PREMIER�������� ���15 ������Disney+������16 ������Netflix""������"": �������� ��������17 ������Disney+����� �������� ���� �� ���17 ������Netflix��������� &gt;&gt;11 ������������ ������ ���� ����� �������"&amp;"���� �������� ���� �� ������ People������ �������� ��������� �������11 ����������� ������ ������ ������������ �����: �������� ����� � ������ ����� ������ ������ �������������� ���������� ����� �������������11 �����������������: ���� ��������� ������ �����"&amp;"� � ���� ������������� ������� ������ ������. ����� �� ���������10 ������������ ��������: ���� ��������� ����� ������ � ���������� ������������������ �������� ������ OK! Awards ������� ��� �������1 �����������10 ����������� ������� �������� ������������ �"&amp;"����������18 ������������10 ����������� ���������� ����������� � ������� ���������10 ����������� ���� � ���� ��������� �� ����� ����� ������!�9 ��������������� ������: ������ ���������� ����� ��������� � ��������� �������������� �������� &gt;&gt;������� �������"&amp;"���������� �������������� ����������������� ��������������� ��������������� ����������� ����������������� ������������� ������������� ������������ ��������������� ����� ����������� ���������� ����������� ���������� ���������� ���������� 12 ������ &gt;&gt;������"&amp;"� ������ &gt;&gt;7 ������������� ��������� ������� �������� � ����� �������� �������� ���������� ������������ ������� ��������� �������� ����� ����� ��������� � ����� �������� ���������21 ���������������� ������� ������ ����� ������ ������ ����� �������� �� ���"&amp;"������� ��������� �� �������� ������������ � ���������� ������ ���������� ������� ����������� � �������������� 20 ��� ������ ������� ��� ���������� �������� ������ � �������� ��������1 �����������30 ��������������� ��� 13 � 30� ��������� � �������� ������"&amp;"��� ������ ��� ��������� �������� ������ ��������� ���� �������� � ���� ����3 �����������17 ������������� ����� � ������ ������������ ��������� ������� ������������ ��������� ��������� ���������������� ���� ����� ���������� ������� �����������5 ����������"&amp;"��10 �������������� ������ �������������� � ����� ��������� �� ����� ������ ������ ������� �������6 ������������8 ��������� ������ ����� ������� ������� ��������� ������ � ������ � ��������� ��� ��������6 ������������5 �������������� ������������� � �����"&amp;" ������ � ����-���� ������� ���������2 �����������29 ���������������� ���������� �������� �������� � ��������� ������ ������� �������� ���������� �������7 ��������������������� &gt;&gt;27 ��������������� �� ����� ����� ��������� � �������� ����: ����� ���������"&amp;" ���-2023����� ����������� ���������� �� ������� ��������� ������������ � ���� ����6 ������������19 ����������� ���� � ���� �����: ��� �� ��������� � ��������� ��� ��� ��� ����� ������� ������������� �� 189 ������ �������������� ������������� ������� � 33"&amp;"-� ��� ������� � �����-����������: � 20 �� 28 �������1 �����������11 ������������� ���� �� ���������� ����: ������� ��������� ������ � � ����� ��������������� ������ ������� ������ ������ ����������2 ������������������ ����������� &gt;&gt;11 �������������: ����"&amp;"�� ������11 ������ 22:00 ���1 �����������10 ������������������: ���� ��������� �����?� ���� � 10 �� 11 ������ 02:05 viju TV1000 �������2 �����������9 �������������������: �� ���9 ������ 18:50 viju TV1000 �������1 ������������������� &gt;&gt;8 ���������� �������"&amp;"����� ������ ���� ����� � �������� ��������� �� ���������� ��������� ���������������� � ������������ ������� ������ �����4 �����������-����: �������: ��� ����������� ����������� �������� FLCL?�������� ��� ��� ����� ������� ���� ������?�������� ���� &gt;&gt;11 �"&amp;"�������� ���� � �������: ��������� �������� �� ������ �������������������� ��������� ������ � �������� � �������� ���������24 ��������������� ������� � ������ ��������� ��� �������������: �������� ����� ���� � �� ��������� ������ ������ �� ��������� �����"&amp;"� ������1 ������������������� �� ��������� &gt;&gt;29 �������������� ����� ��� �������: �������� � ������� �������� ����� ����� ������ ������ �������� ��������� �������� ����������1 �����������19 ������������� �� �������: ������ ���������� ������������ ��������"&amp;"� �� ����� ������ ���������� ������ � ������� �����4 ������������ 2006-2023 kino-teatr.ru������������� ����� kino-teatr.ru �������� ������ � �������������� �������� � ��������� ����������������� ������������������� ���������������������")</f>
        <v>����-�����.�� - �������� ������ �������� ����� ������� ���� � ������ ��������������� �������������� ������������� ����������������������������������� ������������������������������������������ ��������� �� ���������������� �� ��������������� ����������������������������������� ����������� ������������������ �������������������� ��� ����������������� � �������������� ������������������ ��� �������-���������������� ������� ���������������������� ��������������� ������������������ � ���������� �������� ��������������� ���������� ������������������� ����������������� ��������������� ������������������������ ������������ ��������������� ���������� ��������� ���������������� ������������������� ������������������� ������ ������������ �������� �������������� ����������������� ���������������� ������������� �������� ������������������ ���������� ���������� ������������������� ����������������� ������������� ���������������������� �����������������������-������������������������� �������������������� ������������ � ������������������ �������������� ������������ �� ���������������� ���������� ����������������� ������� ���������������������������������������������������������������������������������-������������������������-������������������������ ������������������������ ������������-�������������������� ������������� ������ � ����������������� �����-���������������� ������������ �������� ��������������� ������������ ������� ������������������� ������������������� ��������������������������������� �� ����������� ��������������� ������������������������������������������ ����������-���� � ������������ �� ����������������� ���� ���� ��������� ���� ���� ���� �� ���������������� �������������� ������������� ����������� ����������� ������������������������� �������� �� ���������������� �� �������������������� ������������������������������������������� �� ������������ ������ ������: ����� ������� ������ ������� ������� � ������ �� ��� ����������� ���� � �������: ��������� �������� �� ������ ���������������� �1�: ��� ��������� ������� �� ������� � �������������� ��������� ��������� ��� ������ ����� ������� ����� �������� ��� ����� ����� � ������ ��������: ������� ������� ����� �� ������Okko ������� ����������� ����������� ��� ���������� �������� �������������� �������� � ���������� �������� ������� � �������� �������������� ������������� � ����� IFFI������� ���� &gt;&gt;11 ���������� � ������ ������� � ��� ������� ���� ������ ����� �� ������� ����� The Legend of Zelda11 ������������ ��������� ��������� ��� ������ ����� �������� ������� ������� �� ��� ��� ������ � �������11 ������������-�������� ��������� ����� �����������: ������� ������� ������� � ��� �������� ��������� 9 �������������� ������� START11 �������� ����� �������� ��� ����� ����� � ������ ��������: ������� ������� ����� �� ������� ����� ����������� �� ������� ����� �� ����� ���� � �������� ��������� ��������� ��-������11 ����������� ����������� � ��������� ������ �������� �� ���� ����� �� ��������10 ������Okko ������� ����������� ����������� ��� ���������� �������� �������10 ������������������� �������� ������� ����������� � ������� �������� ��������� 26 ������10 �������������� ���� �����: ������ ����� ������� ���������� ����� � �������� �������� ������1 �������������������� &gt;&gt;����� ������ ������ ������������ �����: �������� ����� � ������ ����� ������ ������ ������������������: ���� ��������� ������ ������ � ���� ����������� ��������: ���� ��������� ����� ������ � ���������� �������������� ������� �������� ������������ ����������������� ������ ���� ����� ����������� �������� ���� �� ������ People�������� &gt;&gt;7 ����������� ��������: ���� ���� ����� "�����" � ��������� ��������� �� ��������������������� ����� � � ������ ��� ��û ������������� ����� � ������ ������-������������� ����1 �����������6 ������������ �������: ����� ��� ������� ��� ��� � ������ ��� �� ������� � ������� � �� �� ������������� � ��������� ��� ���������� ��������� � � ������ ��������� ������� ����� ����� ������� ����� ��� �� ��������� �������� � ������������ ������� ������� ����� ����������� � �����5 ������������3 ����������� �����������: �� ����� ����� ���������� � �������� ������� ���� ����� �� ���� ���� ������� �� �� ��� �� ������������������ � �������� � � �������� �������� ��������� �������� � ������� � ������� � ���������� ������ �� ������� � ����� �������2 �����������2 �������������� ��������: �� ����� ������ ������� �� ������������ � � ������ ������ ���������� � �����. ����� �� �������� ������������ �������� �������� ���������� � �������� ������� ������� ��������� � �������� ����������22 �������������� ��������: �� ��� ��� ��� ��������� �����������5 ������������20 ����������� �������: �� ������� �� ������ ������ ��� ��� �������� ������ ��� � � ��������� �������� ��� ��� �� ����2 �����������17 ����������� ����: �� ��������� ������� ������� ��� ����������� � ����� ���������� ����� ������������� � ������������ ��������7 ������������12 ������������ ���������: ���� ���� ��������� ������� ������ �������������2 ���������������� �������� &gt;&gt;������ �������. ����� �2��������� ���� ������� �� ������ � ������ � ������������� ������� �������� ����� ������ � ��� ���������� � ������� �� ������� ���������� � �����������   (2 �����������)������� ��������. ������� �� ���������� ���������� 3�. ������� �� ����� ����������������������: ���������� � ��������. ������� � ����������� ����������������� ������ �����������������: ������� ������� ������� � ��� ������������� ���� &gt;&gt;����� ������������ �������������� 2023����� �� ��� ���������������� 2023������. ����������� ��������� 2022����������� 1787. ����������������� ����� ��������� ����������������� 2023�������� ������������ ������� ����� �������� ���� ����� � ���������������� 2023������� � �������������� ����� ����������� ���������� ����������� 2023��� ������� ������-2������� �������� ���������� 2023��������� ������������� 2023��� ������ � ������� &gt;&gt;�������� &gt;&gt;10 �������������� �1�: ��� ��������� ������� �� ������� � ����������������� ���������� � ���� ���������� ������� � ������ ���� ������������2 �����������10 ���������������� �����: ������� ���� � ������������������� ������ ��� �������� �����������1 �����������9 ������������� ����: � ������� ���� � ������� �������������� �� ���������� ��������� �������8 ���������� ���������: ������� ��� ������������?��������� ����������� ���� ������ �������� ������� ������� ����������3 �����������5 ������������� ��������� �����: �������� ���� ���� ����� ����1 �����������5 ����������� ����������: ����� ��������1 �����������4 ����������� ��������� �����: ������� ������3 �����������2 �������������� ���������: ��� ����� �� ��� � �� ������������10 ������ ���� �� ����� ���������� ������ ������.9 ������ ���� �� ����� ������� ������ ������������.����� �������� &gt;&gt;11 ������������� ������ ������: ����� ������� ������ ������� ������� � ������ �� ��� ���������������������� ������ � ��� ��� ����������� �������� �����9 ���������������� ��������: �����-������������ ��������?������������ ������ � ���� � �����2 �����������8 ������������� � �� ����������: ������ �������� �����������. ��� ��� ����?����� ����� �������� � ��� ��������?7 ������������ �������: ��������� ����������� ����������� ��������� ����� ���������� ����������� ����� 1980-�21 �����������6 ���������������: ���� ����� � ����12 ������������6 ���������������� �����������: ��� ��������� �������� � �������10 ������������4 ������������ ������ �� ���������������: ����� ��������� ������������ ������ ����� ������!�31 ������������� ��� ��û: �� ��� ������� ������� ������ �����������?6 ������������������� ���� &gt;&gt;7 ����������� � �����: ����-��� � ���� � ��������20 �������� ��� �� 2017 ������������3 �������������� ������: ������ ������� ����� ������ � ��������� ����� ������������� ��������� ��������-������ ������ �� ������ ����-�����.��31 ���������������� �� ����: ������ 300 �������� �� ��� ������ ������������������� �������� � ������� ��� ��������� ������ ��������3 �����������31 ���������� �������: ���������-��������������� ����� �������������� �������� ������ ������ ������ ��������� � ������ � ������ �������� � ����1 �����������30 ������������ ��������� ����� � ����� ����� �������� ������ �������� � ��� 10 ������� ������3 �����������30 ����������������� ��� � ������� ���: ���������������� ����� ������� ������� ��� ����2 �����������26 ������������ �������: ����������� ������ ���� � �������7 ������������25 �������Party Like a Russian: ��� ���� � ������� ������������ ����������� ��������� ��������3 ������������������� �������12 ������������ ������������� ��������������� ������10 ������PREMIER���� ����� ������������10 ������Apple TV+������ �� ������14 ������START��������� ������14 ������OKKO������ ������14 ������Netflix����� ��������� �������14 ������PREMIER�������� ���15 ������Disney+������16 ������Netflix"������": �������� ��������17 ������Disney+����� �������� ���� �� ���17 ������Netflix��������� &gt;&gt;11 ������������ ������ ���� ����� ����������� �������� ���� �� ������ People������ �������� ��������� �������11 ����������� ������ ������ ������������ �����: �������� ����� � ������ ����� ������ ������ �������������� ���������� ����� �������������11 �����������������: ���� ��������� ������ ������ � ���� ������������� ������� ������ ������. ����� �� ���������10 ������������ ��������: ���� ��������� ����� ������ � ���������� ������������������ �������� ������ OK! Awards ������� ��� �������1 �����������10 ����������� ������� �������� ������������ �����������18 ������������10 ����������� ���������� ����������� � ������� ���������10 ����������� ���� � ���� ��������� �� ����� ����� ������!�9 ��������������� ������: ������ ���������� ����� ��������� � ��������� �������������� �������� &gt;&gt;������� ����������������� �������������� ����������������� ��������������� ��������������� ����������� ����������������� ������������� ������������� ������������ ��������������� ����� ����������� ���������� ����������� ���������� ���������� ���������� 12 ������ &gt;&gt;������� ������ &gt;&gt;7 ������������� ��������� ������� �������� � ����� �������� �������� ���������� ������������ ������� ��������� �������� ����� ����� ��������� � ����� �������� ���������21 ���������������� ������� ������ ����� ������ ������ ����� �������� �� ���������� ��������� �� �������� ������������ � ���������� ������ ���������� ������� ����������� � �������������� 20 ��� ������ ������� ��� ���������� �������� ������ � �������� ��������1 �����������30 ��������������� ��� 13 � 30� ��������� � �������� ��������� ������ ��� ��������� �������� ������ ��������� ���� �������� � ���� ����3 �����������17 ������������� ����� � ������ ������������ ��������� ������� ������������ ��������� ��������� ���������������� ���� ����� ���������� ������� �����������5 ������������10 �������������� ������ �������������� � ����� ��������� �� ����� ������ ������ ������� �������6 ������������8 ��������� ������ ����� ������� ������� ��������� ������ � ������ � ��������� ��� ��������6 ������������5 �������������� ������������� � ����� ������ � ����-���� ������� ���������2 �����������29 ���������������� ���������� �������� �������� � ��������� ������ ������� �������� ���������� �������7 ��������������������� &gt;&gt;27 ��������������� �� ����� ����� ��������� � �������� ����: ����� ��������� ���-2023����� ����������� ���������� �� ������� ��������� ������������ � ���� ����6 ������������19 ����������� ���� � ���� �����: ��� �� ��������� � ��������� ��� ��� ��� ����� ������� ������������� �� 189 ������ �������������� ������������� ������� � 33-� ��� ������� � �����-����������: � 20 �� 28 �������1 �����������11 ������������� ���� �� ���������� ����: ������� ��������� ������ � � ����� ��������������� ������ ������� ������ ������ ����������2 ������������������ ����������� &gt;&gt;11 �������������: ������ ������11 ������ 22:00 ���1 �����������10 ������������������: ���� ��������� �����?� ���� � 10 �� 11 ������ 02:05 viju TV1000 �������2 �����������9 �������������������: �� ���9 ������ 18:50 viju TV1000 �������1 ������������������� &gt;&gt;8 ���������� ������������ ������ ���� ����� � �������� ��������� �� ���������� ��������� ���������������� � ������������ ������� ������ �����4 �����������-����: �������: ��� ����������� ����������� �������� FLCL?�������� ��� ��� ����� ������� ���� ������?�������� ���� &gt;&gt;11 ��������� ���� � �������: ��������� �������� �� ������ �������������������� ��������� ������ � �������� � �������� ���������24 ��������������� ������� � ������ ��������� ��� �������������: �������� ����� ���� � �� ��������� ������ ������ �� ��������� ������ ������1 ������������������� �� ��������� &gt;&gt;29 �������������� ����� ��� �������: �������� � ������� �������� ����� ����� ������ ������ �������� ��������� �������� ����������1 �����������19 ������������� �� �������: ������ ���������� ������������ ��������� �� ����� ������ ���������� ������ � ������� �����4 ������������ 2006-2023 kino-teatr.ru������������� ����� kino-teatr.ru �������� ������ � �������������� �������� � ��������� ����������������� ������������������� ���������������������</v>
      </c>
    </row>
    <row r="415">
      <c r="A415" s="1" t="s">
        <v>1351</v>
      </c>
      <c r="B415" s="1" t="s">
        <v>1362</v>
      </c>
      <c r="C415" s="1" t="s">
        <v>1363</v>
      </c>
      <c r="D415" s="1">
        <v>4.0</v>
      </c>
      <c r="E415" s="4" t="s">
        <v>1364</v>
      </c>
      <c r="F415" s="1" t="s">
        <v>16</v>
      </c>
      <c r="G415" s="1" t="s">
        <v>246</v>
      </c>
      <c r="H415" s="4" t="s">
        <v>247</v>
      </c>
      <c r="I415" s="2">
        <v>1.0</v>
      </c>
      <c r="J415" s="5" t="str">
        <f>IFERROR(__xludf.DUMMYFUNCTION("GOOGLETRANSLATE(A415)"),"Inna Churikova")</f>
        <v>Inna Churikova</v>
      </c>
      <c r="K415" s="6" t="str">
        <f>IFERROR(__xludf.DUMMYFUNCTION("GOOGLETRANSLATE(B415)"),"The biography of Inna Churikova")</f>
        <v>The biography of Inna Churikova</v>
      </c>
      <c r="L415" s="5" t="str">
        <f>IFERROR(__xludf.DUMMYFUNCTION("GOOGLETRANSLATE(C415)"),"Jan 14. 2023. -")</f>
        <v>Jan 14. 2023. -</v>
      </c>
      <c r="M415" s="5" t="str">
        <f>IFERROR(__xludf.DUMMYFUNCTION("GOOGLETRANSLATE(G415)"),"News in Russia and the world - Taspom, you use an outdated browser to work correctly, download the fresh version of the TASS.ru website, you agree using the cookies files that are indicated in the Personal Data House processing policy, rejected the financ"&amp;"ing project of the US government without the help of Kievites of Russia can make free travel to free travel The place of rest for children from large families of the US Armed Forces crashed in the eastern part of the Mediterranean Sea of ​​Mediterranean e"&amp;"xhibition-forum ""Russia"" of the Palestinian-Israeli conflict of Gaza entered over 850 trucks with humanitarian aid of Israel, announced the destruction of more than 150 tunnels and underground objects of Hamasarmia of Israel In Syriavo, she reported a l"&amp;"oss of communications with her employees in the Ashfa hospital in the Gazaisspaker of Congress proposed financing the government without the help of Kyivauarmia Israeli hit the cell of the Hzbollah missiles and threw humanitarian aid from the air for the "&amp;"field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человекаИндик"&amp;"аторырынкаНефть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NAT"&amp;"O Secretary General proposed to accept Ukraine into an alliance without the territories of the Ryazan region lost the case of 19 wagons from the rails expert stated that in Russia the mortality from pneumonia was located on a pre -ovate day of the day of "&amp;"the day of the day of the day. And they hid Russian films of the 20th century on the regiment where scientists are looking for a new house for all mankind Partner special projects on the way: about life about travel and about themselves. Four interviews f"&amp;"or the 20th anniversary of the Range Gonk of Ikonk, the 150th anniversary of Sergei Rachmaninovakak, chose the sovereign in Russia and chose Mikhail Romanovo, Li Vulcans to destroy their lives on the planetary. The study of the ice of ice saved people dur"&amp;"ing the blockade of the Leningradistory of the Complement of the Imperial train in 1888 in 1888 in 1888, they find and returned home the remains of the remains Heroes of the Stalingrad Battle of the Women's Movement in the Russian Holy of Construction of "&amp;"the famous Stalin Skolotok, which caused a rare eclipse on Yamal? How did houses on the bottom of the Black Sea of ​​Early Soviet Architecture examine all special projects of the Central Centernsk-Spectornsk prophylaxes in the Novosibirsk Region of Sverdl"&amp;"ovsk region. : Results work and Plansko incidence of diabetes mellitus in the Novosibirsk Region MSCOSTICIAL-BROGED PUSHRASTIC PROPECTION OF PUSHKINSKAYA Winter in social networks criticized Biden for the use of hints after laying Italy's wreath of the ci"&amp;"rcus and for several hours walked around the city of the Pskov Region in the DTP, three people of the Brazil championship were killed Due to the mass fight of the fans at the box, the game almost killed the game. “Krasnodar” and “Zenit” divided glasses in"&amp;" the RPL leaders match to see the material shutdown the adblock launch of the PNIPE created an accurate model of the influence of industrial dust on the health of Indonesia people for the first time in 60 years, the rare animal plastics from 13 countries "&amp;"discovered hundreds of harmful subsidiary, capable of making a fertile soil lunctural computer Helped to physicists to accelerate the algorithms of combinatorial optimization by the algorithm, American physicists have developed scientists who reported the"&amp;" causes of mass death of rare seals in the Caspian in 2022 in 2022 to treat the renal complications of the lupus Wolf passed the second phase of St. Petersburg tests created an analogue of glass -shaped rocks for medicine -scientists revealed the differen"&amp;"ces in the speed of aging cells from different parts Rnauki They said that over the year, the number of young scientists in Russia of the MES of the MIS rebukes has developed a charger for electric cars in domestic Pakpneumonia. What you need to know Nori"&amp;"lnikel intends to restore nature around the Novosibirsk factories, they have received a promising for the treatment of neuroblastyu Adygea project to manage a group of drones based on the other materials to the rest of the materials © Information Agency o"&amp;"f the TASS -Media Registration No. 03247 was issued by the State Committee on April 02, 1999. Russian Federation in Press. Sing-handed publications may contain information intended for users under 16 years old. In the information resource, recommending te"&amp;"chnologies are applied.")</f>
        <v>News in Russia and the world - Taspom, you use an outdated browser to work correctly, download the fresh version of the TASS.ru website, you agree using the cookies files that are indicated in the Personal Data House processing policy, rejected the financing project of the US government without the help of Kievites of Russia can make free travel to free travel The place of rest for children from large families of the US Armed Forces crashed in the eastern part of the Mediterranean Sea of ​​Mediterranean exhibition-forum "Russia" of the Palestinian-Israeli conflict of Gaza entered over 850 trucks with humanitarian aid of Israel, announced the destruction of more than 150 tunnels and underground objects of Hamasarmia of Israel In Syriavo, she reported a loss of communications with her employees in the Ashfa hospital in the Gazaisspaker of Congress proposed financing the government without the help of Kyivauarmia Israeli hit the cell of the Hzbollah missiles and threw humanitarian aid from the air for the 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NATO Secretary General proposed to accept Ukraine into an alliance without the territories of the Ryazan region lost the case of 19 wagons from the rails expert stated that in Russia the mortality from pneumonia was located on a pre -ovate day of the day of the day of the day of the day. And they hid Russian films of the 20th century on the regiment where scientists are looking for a new house for all mankind Partner special projects on the way: about life about travel and about themselves. Four interviews for the 20th anniversary of the Range Gonk of Ikonk, the 150th anniversary of Sergei Rachmaninovakak, chose the sovereign in Russia and chose Mikhail Romanovo, Li Vulcans to destroy their lives on the planetary. The study of the ice of ice saved people during the blockade of the Leningradistory of the Complement of the Imperial train in 1888 in 1888 in 1888, they find and returned home the remains of the remains Heroes of the Stalingrad Battle of the Women's Movement in the Russian Holy of Construction of the famous Stalin Skolotok, which caused a rare eclipse on Yamal? How did houses on the bottom of the Black Sea of ​​Early Soviet Architecture examine all special projects of the Central Centernsk-Spectornsk prophylaxes in the Novosibirsk Region of Sverdlovsk region. : Results work and Plansko incidence of diabetes mellitus in the Novosibirsk Region MSCOSTICIAL-BROGED PUSHRASTIC PROPECTION OF PUSHKINSKAYA Winter in social networks criticized Biden for the use of hints after laying Italy's wreath of the circus and for several hours walked around the city of the Pskov Region in the DTP, three people of the Brazil championship were killed Due to the mass fight of the fans at the box, the game almost killed the game. “Krasnodar” and “Zenit” divided glasses in the RPL leaders match to see the material shutdown the adblock launch of the PNIPE created an accurate model of the influence of industrial dust on the health of Indonesia people for the first time in 60 years, the rare animal plastics from 13 countries discovered hundreds of harmful subsidiary, capable of making a fertile soil lunctural computer Helped to physicists to accelerate the algorithms of combinatorial optimization by the algorithm, American physicists have developed scientists who reported the causes of mass death of rare seals in the Caspian in 2022 in 2022 to treat the renal complications of the lupus Wolf passed the second phase of St. Petersburg tests created an analogue of glass -shaped rocks for medicine -scientists revealed the differences in the speed of aging cells from different parts Rnauki They said that over the year, the number of young scientists in Russia of the MES of the MIS rebukes has developed a charger for electric cars in domestic Pakpneumonia. What you need to know Norilnikel intends to restore nature around the Novosibirsk factories, they have received a promising for the treatment of neuroblastyu Adygea project to manage a group of drones based on the other materials to the rest of the materials © Information Agency of the TASS -Media Registration No. 03247 was issued by the State Committee on April 02, 1999. Russian Federation in Press. Sing-handed publications may contain information intended for users under 16 years old. In the information resource, recommending technologies are applied.</v>
      </c>
    </row>
    <row r="416">
      <c r="A416" s="1" t="s">
        <v>1351</v>
      </c>
      <c r="B416" s="1" t="s">
        <v>1365</v>
      </c>
      <c r="D416" s="1">
        <v>5.0</v>
      </c>
      <c r="E416" s="4" t="s">
        <v>1366</v>
      </c>
      <c r="F416" s="1" t="s">
        <v>16</v>
      </c>
      <c r="G416" s="1" t="s">
        <v>1367</v>
      </c>
      <c r="H416" s="4" t="s">
        <v>1368</v>
      </c>
      <c r="I416" s="2">
        <v>1.0</v>
      </c>
      <c r="J416" s="5" t="str">
        <f>IFERROR(__xludf.DUMMYFUNCTION("GOOGLETRANSLATE(A416)"),"Inna Churikova")</f>
        <v>Inna Churikova</v>
      </c>
      <c r="K416" s="6" t="str">
        <f>IFERROR(__xludf.DUMMYFUNCTION("GOOGLETRANSLATE(B416)"),"Inna Churikova")</f>
        <v>Inna Churikova</v>
      </c>
      <c r="L416" s="5" t="str">
        <f>IFERROR(__xludf.DUMMYFUNCTION("GOOGLETRANSLATE(C416)"),"#VALUE!")</f>
        <v>#VALUE!</v>
      </c>
      <c r="M416" s="5" t="str">
        <f>IFERROR(__xludf.DUMMYFUNCTION("GOOGLETRANSLATE(G416)"),"The latest news of the show business of Russia and the world of biography of horoscopes stars is 24 Sumerovostybiography of theigorus-Sopakynod and the Sadopopro-Directory-Business-Business November11, 2023 15: 19th and hundreds of letters: how Efremov si"&amp;"ts in a colony and celebrates the anniversary of the next news and hundreds of letters: how Efremov sits in colony and notes the anniversary - BUSINESS November11, 2023 15: 19 Avatar, the second season of the Avatar show: New Rules New Participants New Me"&amp;"mber of the Jury-Business November 8, 2023 11: 33 Member Olympic champion Oleg Protopropropor Sports5, 2023 14: 25 Shchou-Business November 19, 2023 11: 11: 11: 11: 11: 11: The second season of the Avatar show was launched: New Rules New Participants New "&amp;"Member of the Jury Following News and Hundreds of Letters: How Efremov sits in a colony and celebrates the Jubilee-Business on November11, 2023 15: 19 Avatar show: New Rules New Participants New Member Jurisha-Business November 8, 2023 11: 33 Meter Olympi"&amp;"c champion Oleg Protopropropor Sports5 on November5, 2023. 14: 25 Sports5, 2023 14: 25 Muman champion Oleg Protopopovlynoye news and hundreds of letters: how Efremov sits in a colony and celebrates the anniversary-business on November11 2023 The second se"&amp;"ason of the Avatar show was launched: New Rules New Participants New Member of the Jury-Business, November 8, 2023 11: 33 Member Olympic champion Oleg Protopropropor Sports5, 2023 14: 25 Ceobratevs, a celebrity of Asmustravel threats and divorce: Kristina"&amp;" Asmus first said what turned out to be turned out Filming in the “text” Mikhail Efremovtort and hundreds of letters: how Efremov sits in a colony and celebrates the anniversary of theBackstreet Boys to find out who got the image of Trubadur in the “Avata"&amp;"r” show “Superstar!” The love story of Igor Novzhiev and his wife Alla “Avatar-Show” Sports guy Nightingale -born: we are trying to reveal the identity of this participation in the last news-business of the threat and divorce: Kristina Asmus first told ho"&amp;"w the shooting in the “text” of the show-businesswheel and hundreds of letters turned out: how Efremov sits in the colony and celebrates the anniversary-Khait from the “quartet and” became the father in the “quartet” 52 years old business on October 26, 2"&amp;"023 in Moscow, said goodbye to the Anfisa Rezovka, on October25, 2023, the star of the series ""Soldiers"" Ivan Zhidkov marries the student-business on October25, 2023. Dyanya Milokhin showed traces of beating in Tbilisi-Business on October 22, 2023 Tukta"&amp;"mysheva She answered by the end of the quarry of the sports on October 22, 2023. In the store of the sneakers of Nikita Efremov, he was served as a boss on October 22, 2023. Svetlan Razin admitted that she made seven abortions-business on October22, 2023."&amp;" Show-business, we’ll find out who got the image of Trubadur in the Avatar show99 On November 2023, the New Baronavirus strain is already in Russia: what is known about Pyoleshow-Business on November 8, 2023, the “blue light” washing: what will be the TV "&amp;"show in 2023 and why it requires the abolition on November8, 2023, the Gonkkong Kong Found in Russia: symptoms and symptoms and symptoms and symptoms The danger to the health of theshow business on November 8, 2023, the second season of the Avatar show wa"&amp;"s launched: new rules new participants new member of the Jury-Business Office of Love Igor Nadzhiev and his wife Allyshou-Business on October21, 2023 13: 58 times Malibu divorced shortly after the Wedding House of the Olympic champion Anfisa The cutting f"&amp;"arm on October 21, 2023 The results of the show “Voice. No children ""show business on October21, 2023, Svetlina, Svetlichnaya is treated for pneumonia and loses memory-Smisha-Business on October 19, 2023 Actor of the Kalambur show Sergey Glashkovo19, 202"&amp;"3, 2023, 2023 Schuu-Business Sports Businessman: We are trying to reveal the identity This participant in November 7, 2023 What is the Ministry of Happiness: the initiative of Matvienko and the World Practice-Business on October26, 2023, the young manista"&amp;" Ponomarenko revealed the reason for the hospitalization of the show-business on October26, 2023, the Kravovets discovered Pugacheva’s taxes for the “royal apartments” on the kympyu-business on October 26, 2023 “Miss Russia” Anna Linnikova came out to mar"&amp;"ry the business on October25, 2023. “The baby was taken from his mother: Ilya Sobolev and his wife and infants were almost expelled from the aircraft-business, we were giving the image of Sadko in the show“ Avatar ”show business on October25, 2023 “The sk"&amp;"irt did not lift up”: Andrei Gubin is outraged by the accusations of the singer Sharuhoshu-Business on October25, 2023, Nalia stormed the lover in Spain-Business on October 22, 2023, the Samoilova’s children were approved for the main roles in the new ser"&amp;"ial reciprocate of weekly fresh news to sign up for the expenses of the Business Economics of the Commercial Economics and Economics. Traveling and household carriers and opticha projectinformation About project-terraklamavakakan-dimensional consistency s"&amp;"ite Political Political Policy Cookie-Filter, Freshly Fresh News Subscribing in Social Schools: Found a typo? Help fix it! Highlight it and click Ctrl + Enterorphus in social networks: © 24smi.org 2010 - 2022. Using copyright materials that belong to 24sm"&amp;"i.org is possible only with a direct active link to the source. The editors are not responsible for the reliability of the information contained in advertisements. Category of Internet resource 18+")</f>
        <v>The latest news of the show business of Russia and the world of biography of horoscopes stars is 24 Sumerovostybiography of theigorus-Sopakynod and the Sadopopro-Directory-Business-Business November11, 2023 15: 19th and hundreds of letters: how Efremov sits in a colony and celebrates the anniversary of the next news and hundreds of letters: how Efremov sits in colony and notes the anniversary - BUSINESS November11, 2023 15: 19 Avatar, the second season of the Avatar show: New Rules New Participants New Member of the Jury-Business November 8, 2023 11: 33 Member Olympic champion Oleg Protopropropor Sports5, 2023 14: 25 Shchou-Business November 19, 2023 11: 11: 11: 11: 11: 11: The second season of the Avatar show was launched: New Rules New Participants New Member of the Jury Following News and Hundreds of Letters: How Efremov sits in a colony and celebrates the Jubilee-Business on November11, 2023 15: 19 Avatar show: New Rules New Participants New Member Jurisha-Business November 8, 2023 11: 33 Meter Olympic champion Oleg Protopropropor Sports5 on November5, 2023. 14: 25 Sports5, 2023 14: 25 Muman champion Oleg Protopopovlynoye news and hundreds of letters: how Efremov sits in a colony and celebrates the anniversary-business on November11 2023 The second season of the Avatar show was launched: New Rules New Participants New Member of the Jury-Business, November 8, 2023 11: 33 Member Olympic champion Oleg Protopropropor Sports5, 2023 14: 25 Ceobratevs, a celebrity of Asmustravel threats and divorce: Kristina Asmus first said what turned out to be turned out Filming in the “text” Mikhail Efremovtort and hundreds of letters: how Efremov sits in a colony and celebrates the anniversary of theBackstreet Boys to find out who got the image of Trubadur in the “Avatar” show “Superstar!” The love story of Igor Novzhiev and his wife Alla “Avatar-Show” Sports guy Nightingale -born: we are trying to reveal the identity of this participation in the last news-business of the threat and divorce: Kristina Asmus first told how the shooting in the “text” of the show-businesswheel and hundreds of letters turned out: how Efremov sits in the colony and celebrates the anniversary-Khait from the “quartet and” became the father in the “quartet” 52 years old business on October 26, 2023 in Moscow, said goodbye to the Anfisa Rezovka, on October25, 2023, the star of the series "Soldiers" Ivan Zhidkov marries the student-business on October25, 2023. Dyanya Milokhin showed traces of beating in Tbilisi-Business on October 22, 2023 Tuktamysheva She answered by the end of the quarry of the sports on October 22, 2023. In the store of the sneakers of Nikita Efremov, he was served as a boss on October 22, 2023. Svetlan Razin admitted that she made seven abortions-business on October22, 2023. Show-business, we’ll find out who got the image of Trubadur in the Avatar show99 On November 2023, the New Baronavirus strain is already in Russia: what is known about Pyoleshow-Business on November 8, 2023, the “blue light” washing: what will be the TV show in 2023 and why it requires the abolition on November8, 2023, the Gonkkong Kong Found in Russia: symptoms and symptoms and symptoms and symptoms The danger to the health of theshow business on November 8, 2023, the second season of the Avatar show was launched: new rules new participants new member of the Jury-Business Office of Love Igor Nadzhiev and his wife Allyshou-Business on October21, 2023 13: 58 times Malibu divorced shortly after the Wedding House of the Olympic champion Anfisa The cutting farm on October 21, 2023 The results of the show “Voice. No children "show business on October21, 2023, Svetlina, Svetlichnaya is treated for pneumonia and loses memory-Smisha-Business on October 19, 2023 Actor of the Kalambur show Sergey Glashkovo19, 2023, 2023, 2023 Schuu-Business Sports Businessman: We are trying to reveal the identity This participant in November 7, 2023 What is the Ministry of Happiness: the initiative of Matvienko and the World Practice-Business on October26, 2023, the young manista Ponomarenko revealed the reason for the hospitalization of the show-business on October26, 2023, the Kravovets discovered Pugacheva’s taxes for the “royal apartments” on the kympyu-business on October 26, 2023 “Miss Russia” Anna Linnikova came out to marry the business on October25, 2023. “The baby was taken from his mother: Ilya Sobolev and his wife and infants were almost expelled from the aircraft-business, we were giving the image of Sadko in the show“ Avatar ”show business on October25, 2023 “The skirt did not lift up”: Andrei Gubin is outraged by the accusations of the singer Sharuhoshu-Business on October25, 2023, Nalia stormed the lover in Spain-Business on October 22, 2023, the Samoilova’s children were approved for the main roles in the new serial reciprocate of weekly fresh news to sign up for the expenses of the Business Economics of the Commercial Economics and Economics. Traveling and household carriers and opticha projectinformation About project-terraklamavakakan-dimensional consistency site Political Political Policy Cookie-Filter, Freshly Fresh News Subscribing in Social Schools: Found a typo? Help fix it! Highlight it and click Ctrl + Enterorphus in social networks: © 24smi.org 2010 - 2022. Using copyright materials that belong to 24smi.org is possible only with a direct active link to the source. The editors are not responsible for the reliability of the information contained in advertisements. Category of Internet resource 18+</v>
      </c>
    </row>
    <row r="417">
      <c r="A417" s="1" t="s">
        <v>1351</v>
      </c>
      <c r="B417" s="1" t="s">
        <v>1369</v>
      </c>
      <c r="C417" s="1" t="s">
        <v>1370</v>
      </c>
      <c r="D417" s="1">
        <v>6.0</v>
      </c>
      <c r="E417" s="4" t="s">
        <v>1371</v>
      </c>
      <c r="F417" s="1" t="s">
        <v>16</v>
      </c>
      <c r="G417" s="1" t="s">
        <v>1372</v>
      </c>
      <c r="H417" s="4" t="s">
        <v>1373</v>
      </c>
      <c r="I417" s="2">
        <v>1.0</v>
      </c>
      <c r="J417" s="5" t="str">
        <f>IFERROR(__xludf.DUMMYFUNCTION("GOOGLETRANSLATE(A417)"),"Inna Churikova")</f>
        <v>Inna Churikova</v>
      </c>
      <c r="K417" s="6" t="str">
        <f>IFERROR(__xludf.DUMMYFUNCTION("GOOGLETRANSLATE(B417)"),"Churikova Inna Mikhailovna - biography of the actress, ...")</f>
        <v>Churikova Inna Mikhailovna - biography of the actress, ...</v>
      </c>
      <c r="L417" s="5" t="str">
        <f>IFERROR(__xludf.DUMMYFUNCTION("GOOGLETRANSLATE(C417)"),"June 13. 2023. -")</f>
        <v>June 13. 2023. -</v>
      </c>
      <c r="M417" s="5" t="str">
        <f>IFERROR(__xludf.DUMMYFUNCTION("GOOGLETRANSLATE(G417)"),"Culture.rf. The portal of the cultural heritage of the traditions of the peoples of Russia Afishapushkinskaya Kartovki -adoption online spectacles of the holidays may like the name of fishing. Artistic crafts of Russia. The names of the 20th century Broad"&amp;"casts of the broadcasting of transformations of the archives of the transmission transactions for translating stroke Squarerings can like the gyeslspetskotvsa special projects of the Kart Cartuced question of the day of the day of the day of the museums o"&amp;"f museums on the map: Virgin forests of comic stations about the movie movie Ty about the movie collection of film Babiography of actors and directors might like the car Museumsuy about museums and collections of the museum -to -house collection of arts o"&amp;"f museum collections of artists and Collectors may like the 5 manor's estates where it is worth visiting autumn musicians about music munsers of online puzzles of musical works and concerting concert halls of musicians and performing collective collective"&amp;" -concerts of the schematic; the birth of a red chapochteravso about the theaters of the theatrical collection about the theaters about the theaters about the theaters about the theaters Tactelaibiography of actors and the director of the theaters may lik"&amp;"e the Khrustal Turandot Crystal Crystal Ball in honor of Inna Churikoviteraturituravo about the literature of classical literature on Russian literature, collections on the literary theme of writers and the critic -bibliotexes of the Russian Russian poetr"&amp;"y may like the Ukrainians are burning: writers who have burned their works on the traditions of Russia's traditions about the traditions of Russia and ritual -religious heritage. MA Cultures and club -to -the -season inherits can appeal to the Suriece of "&amp;"the absurdity and useful architecture about the architecture of the Architecture catalogs about Architecture of the architects of architecturebiography of the architects of the Russian Termminins might like 5 ancient churches of different branches of Chri"&amp;"stian education about the formation of online artists about the art and science of lectures of lectures and public educational institutions tests Testers may like the Soviet legendary -forming artistic associations of Russian artism Zhniki supported each "&amp;"other searched for new styles and rebelled against the classic canons of the day of the day of the day -folklorine The modern language of the Tsar Alexei Mikhailovich is called the Tishahm? Daria Fedosovale of the Portal “Culture.rf” Publication: Ar-Nuvo "&amp;"or Ar-Deco? Guess the architectural style of a photograph of the music about music, poets wrote about the arfs of jazz and the works of Beethoven's publication that “experienced everyone and everyone who had experienced everyone and all ""How"" Red Moscow"&amp;" ""became one of the main Soviet aromatic confronters and lectures by Yuri Temirkanovo listening to the works of Shostakovich Khachaturian and Rachmaninov, a tour: are you versed in the poem? Distinguish the Katren from Verlibra and the pair rhyme - from "&amp;"the ring -sewer in Russia: from folk medicine to curses of the Oblast of Obel. From unclean power and conspiracies for love, Moscow skyscrapers of the beginning of the 20th century were built why they were afraid and when they began to call the cloudrezam"&amp;"ation of a tie: old medicinal diseases treated the amethyst of black peppers and the secret of the gland of the reindeer of Kondraty Ryleylyuboval Lyrics to the emperor and a song about the Yermak in the work of the poet-decibistan riya of one ballet: """&amp;""" Bayader ”as the scenes of the earthquake have disappeared from the performance and what does the“ HPP -2 ”revolutionary -horsemeum have the exhibition“ Cup Cup in the Combine of the Cup. In the direction of Rozanova »On November 10, the Culture of Mosc"&amp;"ow hosts the international exhibition-forum“ Russia ”on November 9, Culture News, the Congress“ Cultural Heritage of Uzbekistan ”-the Foundation of the New Renaissance” On November 8, the Russian Cultiva of the Humanities “Culture around us” is held on th"&amp;"e Russian Cultural News of the Humanities ” On November 7 Culture Culture News Creative Awards 2023, it completes the receipt of applications 3 November Employes interesting exhibitions on November 1 on November 1 Sign up for the newsletter of the Culture"&amp;". Films Lectures Concerts and Playlive15 November November 14:00 ""Museum routes of Russia."" Strategic session November 17: 0010 stories from the ""bad apartment"" Museum Museum Bulgakova on Bolshaya Sadovaya22 November 19: 00 Tyu does not become the Mem"&amp;"oinemkaluga Regional Philharmonic 26 November 19: 00k 150th anniversary of S. Rachmaninov “Opera Alekho” Kaluga Regional Philharmonic November 12: 00 Rhi-Baren-Black Theater Decree 08: 00 Persons “Tales of Naga Nyagans” Nyagansky Theater TR young Viewer N"&amp;"ovember 112 November 07: 00lecting “On the 75th anniversary of the conference on the study of the productive forces of Kuzbass” Department of the history of the Kuzbass State Local Lore Museum November 08:00 “As a Koschey Immortal in Vasilisa” Kansky Dram"&amp;"a Theater Catalogs Zapelovkino1899999999999999676 Handsuits1676 Handsuits 276 Hands 75 lectures of Russia347 mixtmuzia5474 Reviewsliterature722 2245 -placed creative laboratories of Russia, reduced classes for people with disabilities in all Strange Code:"&amp;" works for schoolchildren, book performances and architectural monumental creative laboratories of Russia -ores for people with disabilities throughout the strange code: works for students of the book and architectural monuments of the Project project of "&amp;"traveler: the image of India in the Russian artistan of unexpected miracles nye pearlsprooproterkta The Museum of Music Instruments of different eras is unusual objects and ancient interiors of the Afishalivespetsproektykinukinomazykazykazykazykazykazykaz"&amp;"ykatytotraliterachitecture formation ""Culture.rf"" - a humanitarian educational project dedicated to the culture of Russia. We talk about interesting and significant events and people in the history of literature of the Music of the Theater Music, as wel"&amp;"l as about folk traditions and monuments of our nature in the format of educational articles of interviews of news tests and in any modern Internet format. Culture. All rights are protected by contacts-mail: cultrf@mkrf.ru, the typos? Ctrl+Enterterialpric"&amp;"ation and copying of materials from the portal Active hyperlink is required")</f>
        <v>Culture.rf. The portal of the cultural heritage of the traditions of the peoples of Russia Afishapushkinskaya Kartovki -adoption online spectacles of the holidays may like the name of fishing. Artistic crafts of Russia. The names of the 20th century Broadcasts of the broadcasting of transformations of the archives of the transmission transactions for translating stroke Squarerings can like the gyeslspetskotvsa special projects of the Kart Cartuced question of the day of the day of the day of the museums of museums on the map: Virgin forests of comic stations about the movie movie Ty about the movie collection of film Babiography of actors and directors might like the car Museumsuy about museums and collections of the museum -to -house collection of arts of museum collections of artists and Collectors may like the 5 manor's estates where it is worth visiting autumn musicians about music munsers of online puzzles of musical works and concerting concert halls of musicians and performing collective collective -concerts of the schematic; the birth of a red chapochteravso about the theaters of the theatrical collection about the theaters about the theaters about the theaters about the theaters Tactelaibiography of actors and the director of the theaters may like the Khrustal Turandot Crystal Crystal Ball in honor of Inna Churikoviteraturituravo about the literature of classical literature on Russian literature, collections on the literary theme of writers and the critic -bibliotexes of the Russian Russian poetry may like the Ukrainians are burning: writers who have burned their works on the traditions of Russia's traditions about the traditions of Russia and ritual -religious heritage. MA Cultures and club -to -the -season inherits can appeal to the Suriece of the absurdity and useful architecture about the architecture of the Architecture catalogs about Architecture of the architects of architecturebiography of the architects of the Russian Termminins might like 5 ancient churches of different branches of Christian education about the formation of online artists about the art and science of lectures of lectures and public educational institutions tests Testers may like the Soviet legendary -forming artistic associations of Russian artism Zhniki supported each other searched for new styles and rebelled against the classic canons of the day of the day of the day -folklorine The modern language of the Tsar Alexei Mikhailovich is called the Tishahm? Daria Fedosovale of the Portal “Culture.rf” Publication: Ar-Nuvo or Ar-Deco? Guess the architectural style of a photograph of the music about music, poets wrote about the arfs of jazz and the works of Beethoven's publication that “experienced everyone and everyone who had experienced everyone and all "How" Red Moscow "became one of the main Soviet aromatic confronters and lectures by Yuri Temirkanovo listening to the works of Shostakovich Khachaturian and Rachmaninov, a tour: are you versed in the poem? Distinguish the Katren from Verlibra and the pair rhyme - from the ring -sewer in Russia: from folk medicine to curses of the Oblast of Obel. From unclean power and conspiracies for love, Moscow skyscrapers of the beginning of the 20th century were built why they were afraid and when they began to call the cloudrezamation of a tie: old medicinal diseases treated the amethyst of black peppers and the secret of the gland of the reindeer of Kondraty Ryleylyuboval Lyrics to the emperor and a song about the Yermak in the work of the poet-decibistan riya of one ballet: "" Bayader ”as the scenes of the earthquake have disappeared from the performance and what does the“ HPP -2 ”revolutionary -horsemeum have the exhibition“ Cup Cup in the Combine of the Cup. In the direction of Rozanova »On November 10, the Culture of Moscow hosts the international exhibition-forum“ Russia ”on November 9, Culture News, the Congress“ Cultural Heritage of Uzbekistan ”-the Foundation of the New Renaissance” On November 8, the Russian Cultiva of the Humanities “Culture around us” is held on the Russian Cultural News of the Humanities ” On November 7 Culture Culture News Creative Awards 2023, it completes the receipt of applications 3 November Employes interesting exhibitions on November 1 on November 1 Sign up for the newsletter of the Culture. Films Lectures Concerts and Playlive15 November November 14:00 "Museum routes of Russia." Strategic session November 17: 0010 stories from the "bad apartment" Museum Museum Bulgakova on Bolshaya Sadovaya22 November 19: 00 Tyu does not become the Memoinemkaluga Regional Philharmonic 26 November 19: 00k 150th anniversary of S. Rachmaninov “Opera Alekho” Kaluga Regional Philharmonic November 12: 00 Rhi-Baren-Black Theater Decree 08: 00 Persons “Tales of Naga Nyagans” Nyagansky Theater TR young Viewer November 112 November 07: 00lecting “On the 75th anniversary of the conference on the study of the productive forces of Kuzbass” Department of the history of the Kuzbass State Local Lore Museum November 08:00 “As a Koschey Immortal in Vasilisa” Kansky Drama Theater Catalogs Zapelovkino1899999999999999676 Handsuits1676 Handsuits 276 Hands 75 lectures of Russia347 mixtmuzia5474 Reviewsliterature722 2245 -placed creative laboratories of Russia, reduced classes for people with disabilities in all Strange Code: works for schoolchildren, book performances and architectural monumental creative laboratories of Russia -ores for people with disabilities throughout the strange code: works for students of the book and architectural monuments of the Project project of traveler: the image of India in the Russian artistan of unexpected miracles nye pearlsprooproterkta The Museum of Music Instruments of different eras is unusual objects and ancient interiors of the Afishalivespetsproektykinukinomazykazykazykazykazykazykazykatytotraliterachitecture formation "Culture.rf" - a humanitarian educational project dedicated to the culture of Russia. We talk about interesting and significant events and people in the history of literature of the Music of the Theater Music, as well as about folk traditions and monuments of our nature in the format of educational articles of interviews of news tests and in any modern Internet format. Culture. All rights are protected by contacts-mail: cultrf@mkrf.ru, the typos? Ctrl+Enterterialprication and copying of materials from the portal Active hyperlink is required</v>
      </c>
    </row>
    <row r="418">
      <c r="A418" s="1" t="s">
        <v>1351</v>
      </c>
      <c r="B418" s="1" t="s">
        <v>1374</v>
      </c>
      <c r="C418" s="1" t="s">
        <v>1375</v>
      </c>
      <c r="D418" s="1">
        <v>7.0</v>
      </c>
      <c r="E418" s="4" t="s">
        <v>1376</v>
      </c>
      <c r="F418" s="1" t="s">
        <v>16</v>
      </c>
      <c r="G418" s="1" t="s">
        <v>1377</v>
      </c>
      <c r="H418" s="4" t="s">
        <v>1378</v>
      </c>
      <c r="I418" s="2">
        <v>1.0</v>
      </c>
      <c r="J418" s="5" t="str">
        <f>IFERROR(__xludf.DUMMYFUNCTION("GOOGLETRANSLATE(A418)"),"Inna Churikova")</f>
        <v>Inna Churikova</v>
      </c>
      <c r="K418" s="6" t="str">
        <f>IFERROR(__xludf.DUMMYFUNCTION("GOOGLETRANSLATE(B418)"),"Inna Churikova biography, photo, personal life, ...")</f>
        <v>Inna Churikova biography, photo, personal life, ...</v>
      </c>
      <c r="L418" s="5" t="str">
        <f>IFERROR(__xludf.DUMMYFUNCTION("GOOGLETRANSLATE(C418)"),"Inna Churikova - without exaggeration, the great Russian actress, wife and muse of the talented director Gleb Panfilov and the prima of the legendary theater Lenkom. This ...")</f>
        <v>Inna Churikova - without exaggeration, the great Russian actress, wife and muse of the talented director Gleb Panfilov and the prima of the legendary theater Lenkom. This ...</v>
      </c>
      <c r="M418" s="5" t="str">
        <f>IFERROR(__xludf.DUMMYFUNCTION("GOOGLETRANSLATE(G418)"),"Find out everything. News of the day all the main news of the day for today, for today, the business of interest-busiastology menu ▼ toggle navigation show business interesting biographies Films Tests Forum Astrology Lunar calendar names in Russia in the "&amp;"world of incident, Learn all-Khanna explained why the children were born not in the Russian State Duma Andrei Svintsov Create a special tax regime “Live and release” for the reservoirs: Eva Polna told about the new album15 famous people who abandoned the "&amp;"citizenship of the Russian Federation Ivanushki published a rare archival video and explained why their group became the legendary group “Ivanushki International” for 29 years now It remains afloat, despite many musical directions of the domestic world wh"&amp;"o overwhelmed the world ... 3547 -year -old12 Russian stars who openly talk about their psyche problems constantly abode under the strongest psychological pressure. They have to cope with the onslaught of colleagues emanating from producers ... 11254 DELE"&amp;"CAL CARK will lie: 6 successful and 6 disastrous plastic surgery of celebrities, the desire to become better for a person. However, in the weather behind the ideal appearance, it is very easy to get out of the way and forget about their uniqueness .... 12"&amp;"1554-day-Khanna explained why they were born not in Russia, the singer admitted that the decision to give birth to children abroad was conscious and was made in advance. 3583 DELEASHING SHOULD SHOULD BUSTICAL News of the Day of News of Russiav Mirav-Prosp"&amp;"ection-Business-Glaces deceived 300 people, promising them furniture from IKEA, the entrepreneur registered the Love IKEA VRN company and claimed that the goods of the company that had left Russia, who had left Russia, have been able to import from Russia"&amp;" and ... 2187 Dalemoskovsky blogger in her apartment of the courier 36-year-old Anton Dudkov I ordered a bag for 500 thousand rubles on the Internet, but when they brought it the goods remained unhappy. The blogger decided that he was brought ... 2432 Dai"&amp;"leev of the Moscow Region was attacked by a “fighter with a zombie” the incident occurred in Lyubertsy. At first, a person who behaves inappropriately in black clothes attacked a woman with a child and then on the law enforcement officers .... 2330 Dailee"&amp;"v, the son of a famous theater director, was about the heir to the theater director and screenwriter Inna Abramova. A young man who fell out of the window discovered a passerby on the street. The place was called ... 26512 An interesting 8 things on a dat"&amp;"e that are good in theory, but they are bad in practice how to behave on a date what to do and what to talk about - these issues worry everyone who is waiting for a meeting and anticipating pleasant communication ... The signs that you are unpleasant to t"&amp;"he interlocutor, a person can not always or want to demonstrate hostility to the interlocutor but true feelings can be recognized thanks to the language of gestures of the manner ... 5109561, 7 unusual pancakes on Shrovetide, pancakes on Shrovetide, you w"&amp;"on’t be surprised, but on the holiday you want to try something new. These unusual recipes will help improve the mood on the eve of ... 5506095 Hays to be saved from a hangover if you are already drunk dizziness blurred reason and deterioration of orienta"&amp;"tion - the first signs of the upcoming morning hangover can be recognized during the feast .... 415976 An interesting factory is 4 pairs of zodiac signs are true friend A friend until the very end ❤️ Pales who remain correct throughout life - a rather rar"&amp;"e phenomenon in the modern world. Too many around the possibilities and temptations ... 370342830 Dailelus and hatred: what signs of the zodiac pulls to each other, but they are not fate to be such a relationship in which passion and hatred are in an equa"&amp;"l position. These couples constantly swear the hate hate each other and insanely ... 580515836 Dodalemes of these 4 zodiac signs will never leave the family over the men of these signs of these signs - first of all. However, do not confuse this list with "&amp;"a rating of fidelity. Some signs appearing in this material ... 317835675 Figure 4 of the most caring zodiac sign sincerely caring and indifferent people are very rare in our lives. The meaning of their existence lies somewhere outside their ego, they wan"&amp;"t to do ... 55824983 More articles of the articles, well, do you know celebrities? Check yourself! Some celebrities go to all kinds of tricks to hide the complexes about growth: the heels are hidden platforms unusual cut of clothing ... 211325518 Dailecap"&amp;"al: what is your salary in the world of Russian stars? The life of Russian celebrities is not only astronomical fees, but also the corresponding costs. 135461328, as far as you are a sexist so far in America and Europe, feminism is already perceived as an"&amp;" integral and even everyday part of the information agenda, Russia is slightly behind ... 13202026 Daileysoro will the uprising of cars begin? The test on the potential threat of artificial intelligence was warned by Stephen Hawking and Ilon Musk, but art"&amp;"ificial intelligence (hereinafter II) is still far from ... 1177992 gender of tests of the test of the current situation in Cryptomir Maxim Kurbangaleev spoke about the “crypto-sample” and about the situation in the market in the market in the market in t"&amp;"he market 2022. NFT-marketplace Opensea reduces employees by 20%... 958 gender and order jewelry online: useful advice to customers, the modern global network has long ceased to be a storage of information, turning into a set of convenient tools without w"&amp;"hich it is difficult ... 3145 Daileyecaks to understand the characteristics of diamonds for 5 minutes? Buying a diamond or jewelry with it is always an investment since such jewelry is transmitted from generation to generation. Therefore ... 5143 -Basic l"&amp;"ending rules: different categories of borrowers, any credit institution puts forward its requirements for potential borrowers. Someone has these requirements more strictly for someone-more loyal. 39999th-release releases of companies of Malyshev education"&amp;" 4.6albert Philosa Place of birth5.4andry Khozher what kind of Feofan in life, Feofan, how much became popular, all about the character7.1 Ododkb5.2 on the day a day For you, we select the reliable fresh news of the day about everything that happened toda"&amp;"y in Russia and in the world: Politics Economics Culture Sports Finance of the incident facts from the life of your favorite idols and answers to questions that excite you. The latest news of the day with experts and photo materials. Keep your hand on the"&amp;" pulse of world news along with the information portal to find out! Find out the whole of Russia in the world of public and the Factress releases of the Besestestesmnetiforumo company, the company Political Policy Political Association of Law is protected"&amp;". Copying and use of full materials is prohibited. Stead quoting is possible only if hyperlinks on the site uznayvse.ru")</f>
        <v>Find out everything. News of the day all the main news of the day for today, for today, the business of interest-busiastology menu ▼ toggle navigation show business interesting biographies Films Tests Forum Astrology Lunar calendar names in Russia in the world of incident, Learn all-Khanna explained why the children were born not in the Russian State Duma Andrei Svintsov Create a special tax regime “Live and release” for the reservoirs: Eva Polna told about the new album15 famous people who abandoned the citizenship of the Russian Federation Ivanushki published a rare archival video and explained why their group became the legendary group “Ivanushki International” for 29 years now It remains afloat, despite many musical directions of the domestic world who overwhelmed the world ... 3547 -year -old12 Russian stars who openly talk about their psyche problems constantly abode under the strongest psychological pressure. They have to cope with the onslaught of colleagues emanating from producers ... 11254 DELECAL CARK will lie: 6 successful and 6 disastrous plastic surgery of celebrities, the desire to become better for a person. However, in the weather behind the ideal appearance, it is very easy to get out of the way and forget about their uniqueness .... 121554-day-Khanna explained why they were born not in Russia, the singer admitted that the decision to give birth to children abroad was conscious and was made in advance. 3583 DELEASHING SHOULD SHOULD BUSTICAL News of the Day of News of Russiav Mirav-Prospection-Business-Glaces deceived 300 people, promising them furniture from IKEA, the entrepreneur registered the Love IKEA VRN company and claimed that the goods of the company that had left Russia, who had left Russia, have been able to import from Russia and ... 2187 Dalemoskovsky blogger in her apartment of the courier 36-year-old Anton Dudkov I ordered a bag for 500 thousand rubles on the Internet, but when they brought it the goods remained unhappy. The blogger decided that he was brought ... 2432 Daileev of the Moscow Region was attacked by a “fighter with a zombie” the incident occurred in Lyubertsy. At first, a person who behaves inappropriately in black clothes attacked a woman with a child and then on the law enforcement officers .... 2330 Daileev, the son of a famous theater director, was about the heir to the theater director and screenwriter Inna Abramova. A young man who fell out of the window discovered a passerby on the street. The place was called ... 26512 An interesting 8 things on a date that are good in theory, but they are bad in practice how to behave on a date what to do and what to talk about - these issues worry everyone who is waiting for a meeting and anticipating pleasant communication ... The signs that you are unpleasant to the interlocutor, a person can not always or want to demonstrate hostility to the interlocutor but true feelings can be recognized thanks to the language of gestures of the manner ... 5109561, 7 unusual pancakes on Shrovetide, pancakes on Shrovetide, you won’t be surprised, but on the holiday you want to try something new. These unusual recipes will help improve the mood on the eve of ... 5506095 Hays to be saved from a hangover if you are already drunk dizziness blurred reason and deterioration of orientation - the first signs of the upcoming morning hangover can be recognized during the feast .... 415976 An interesting factory is 4 pairs of zodiac signs are true friend A friend until the very end ❤️ Pales who remain correct throughout life - a rather rare phenomenon in the modern world. Too many around the possibilities and temptations ... 370342830 Dailelus and hatred: what signs of the zodiac pulls to each other, but they are not fate to be such a relationship in which passion and hatred are in an equal position. These couples constantly swear the hate hate each other and insanely ... 580515836 Dodalemes of these 4 zodiac signs will never leave the family over the men of these signs of these signs - first of all. However, do not confuse this list with a rating of fidelity. Some signs appearing in this material ... 317835675 Figure 4 of the most caring zodiac sign sincerely caring and indifferent people are very rare in our lives. The meaning of their existence lies somewhere outside their ego, they want to do ... 55824983 More articles of the articles, well, do you know celebrities? Check yourself! Some celebrities go to all kinds of tricks to hide the complexes about growth: the heels are hidden platforms unusual cut of clothing ... 211325518 Dailecapal: what is your salary in the world of Russian stars? The life of Russian celebrities is not only astronomical fees, but also the corresponding costs. 135461328, as far as you are a sexist so far in America and Europe, feminism is already perceived as an integral and even everyday part of the information agenda, Russia is slightly behind ... 13202026 Daileysoro will the uprising of cars begin? The test on the potential threat of artificial intelligence was warned by Stephen Hawking and Ilon Musk, but artificial intelligence (hereinafter II) is still far from ... 1177992 gender of tests of the test of the current situation in Cryptomir Maxim Kurbangaleev spoke about the “crypto-sample” and about the situation in the market in the market in the market in the market 2022. NFT-marketplace Opensea reduces employees by 20%... 958 gender and order jewelry online: useful advice to customers, the modern global network has long ceased to be a storage of information, turning into a set of convenient tools without which it is difficult ... 3145 Daileyecaks to understand the characteristics of diamonds for 5 minutes? Buying a diamond or jewelry with it is always an investment since such jewelry is transmitted from generation to generation. Therefore ... 5143 -Basic lending rules: different categories of borrowers, any credit institution puts forward its requirements for potential borrowers. Someone has these requirements more strictly for someone-more loyal. 39999th-release releases of companies of Malyshev education 4.6albert Philosa Place of birth5.4andry Khozher what kind of Feofan in life, Feofan, how much became popular, all about the character7.1 Ododkb5.2 on the day a day For you, we select the reliable fresh news of the day about everything that happened today in Russia and in the world: Politics Economics Culture Sports Finance of the incident facts from the life of your favorite idols and answers to questions that excite you. The latest news of the day with experts and photo materials. Keep your hand on the pulse of world news along with the information portal to find out! Find out the whole of Russia in the world of public and the Factress releases of the Besestestesmnetiforumo company, the company Political Policy Political Association of Law is protected. Copying and use of full materials is prohibited. Stead quoting is possible only if hyperlinks on the site uznayvse.ru</v>
      </c>
    </row>
    <row r="419">
      <c r="A419" s="1" t="s">
        <v>1351</v>
      </c>
      <c r="B419" s="1" t="s">
        <v>1352</v>
      </c>
      <c r="C419" s="1" t="s">
        <v>1379</v>
      </c>
      <c r="D419" s="1">
        <v>8.0</v>
      </c>
      <c r="E419" s="4" t="s">
        <v>1380</v>
      </c>
      <c r="F419" s="1" t="s">
        <v>16</v>
      </c>
      <c r="G419" s="1" t="s">
        <v>1175</v>
      </c>
      <c r="H419" s="4" t="s">
        <v>1176</v>
      </c>
      <c r="I419" s="2">
        <v>1.0</v>
      </c>
      <c r="J419" s="5" t="str">
        <f>IFERROR(__xludf.DUMMYFUNCTION("GOOGLETRANSLATE(A419)"),"Inna Churikova")</f>
        <v>Inna Churikova</v>
      </c>
      <c r="K419" s="6" t="str">
        <f>IFERROR(__xludf.DUMMYFUNCTION("GOOGLETRANSLATE(B419)"),"Churikova, Inna Mikhailovna")</f>
        <v>Churikova, Inna Mikhailovna</v>
      </c>
      <c r="L419" s="5" t="str">
        <f>IFERROR(__xludf.DUMMYFUNCTION("GOOGLETRANSLATE(C419)"),"July 11. 2023. -")</f>
        <v>July 11. 2023. -</v>
      </c>
      <c r="M419" s="5" t="str">
        <f>IFERROR(__xludf.DUMMYFUNCTION("GOOGLETRANSLATE(G419)"),"Russian Society Knowledge - holding Grants of the Lecture of Marathona Lecture Interesting Personal Personal Personal Personal Directorate of Projects of Projects of Projects of the Lecture of Lecture Social -High -Human Resources to Lecture to Lecture to"&amp;" Building the Building Partner to Expert -Metal Exhibition -Forum “Russia” to watch a broadcast 04.11 - 12.04s . - cf. Online. Tatra -Russian educational action in more detail 28.09 - 15.12 cm. - Fri -documentary films about everything on Light and the be"&amp;"st about the most interesting in our cinema. Rather, go and enjoy the viewing! More knowledge. Vikinash new project is a digital library of reliable knowledge that we create together! Details the teachers and mentor 2023 Supreme Highlights with a lecturer"&amp;" with a lecturer with a lecturerome Averbukhserebiye winner of the Olympic Games Honored Master of Sports of Russia Baranovaanovags. the hero of the USSR Hero of labor Laureate The State Prizes of the USSR and the Russian Federation Professor Surgery, the"&amp;" Marukhukovo artist of the Russian State Prize, artistic director of the Moscow Provincial Theater, actor director Beloglazovkommandir of the Special Purpose of the Vityaz Center named after the F. E. Dzerzhinsky FSVang of the Russian Federation Hero of t"&amp;"he Russian Federation of the Russian Federation Berezikova -Russian athlete in battles in the mixed styles of the Believer, Berodistan Yes “I am!” Camila Valievari -Russian skater -president Winery President of the All -Russian Federation of the Artistic "&amp;"Gymnastics School of Gymnastics Golikova President of the Chairman of the Government of the Russian Federation Gorosiyuzakanterman Grefaman Gref -chairman of PJSC Sberbancyla Drozdovodtor of Biological Sciences Honored Professor of the Moscow State Univer"&amp;"sity of Geographical Faculty of Lomonosov Member Member of the Board of Trustees of WWF Russia Telezediy Member The author of the writers of Russia more than 200 articles and 40 books of the book Demiter Dyuzhevacter Sing -film director Honored Artist of "&amp;"the Russian Federation Zakharevoder of the Department of Information and Press of the Ministry of Foreign Affairs of the Russian Russian Cargean -Russian chessman of the Caspersky General General Director of Kaspersky Lab Director of NIC ""Kurchatov Insti"&amp;"tute"" Grigory Kokotkinossian actor Theater and Cinema Teacher Acting Artistic Director of the Architect Cultural Center Bloggaranna Kuznetsovacelor of the Chairman of the State Duma, Federal Assembly of the Russian Federation of the Russian Federation of"&amp;" the Russian Federation (Vovan) Prakersershezmage Lavrov minister of the Russian Federation of the KROSS COSMETIC, Actress singer Popular Blograleki Likhachevgeneral Director State Rosatom Corporation Roman The Lobashian editor of the television channel "&amp;"""My Planet"" Maria Lvova-Belya-Authorized President of the Russian Federation for the Rights of the Childvasmimmir Mashkovo artist Oleg Tabakov People's and Honored Artist of the Russian Medinsky President of the Russian Federation, Chairman of the Russi"&amp;"an Military-Historical Society of the Government of the Russian Federation on November 113 to scientific quiz and lectures on Cosmos Acquaintance with the Amur and Sakhalin regions Useful tips for self -development - how the next day of the educational pr"&amp;"ogram of the Russian exhibition ""Russia"" was held on November 10, 2023 General Director of GLONASS JSC, Alexei Rakevich conducted an excursion trip to the Tomsk and Novgorod regions at the Russian Economic Program of the Society “Knowledge” on November "&amp;"10, 2023 History in the persons of events and facts: in the Kherson region, educational activities were held, Knowledge of the TRACH. Khrephorycalendar of the measures for project -designed therapy to the Important Rossiya Russian Assembly at VDNH 2023 Ra"&amp;"zhovtorskhovtorskupkupkupkhkupkups 99) 393-33-38 technical support: Support@ znanierussia.ru Recreation “Knowledge”: info@znanierussia.ruadre Organization: 109240 Moscow intracity territory municipal district Tagansky Nikolayamskaya D 11 Politician Privac"&amp;"y Agreement of the Russian Society “Knowledge” on the creation of the Russian Society “Knowledge” Report on the use of property for 2021 years of age of 2021 about Using property for 2022 © 2023 Russian Society ""Knowledge""")</f>
        <v>Russian Society Knowledge - holding Grants of the Lecture of Marathona Lecture Interesting Personal Personal Personal Personal Directorate of Projects of Projects of Projects of the Lecture of Lecture Social -High -Human Resources to Lecture to Lecture to Building the Building Partner to Expert -Metal Exhibition -Forum “Russia” to watch a broadcast 04.11 - 12.04s . - cf. Online. Tatra -Russian educational action in more detail 28.09 - 15.12 cm. - Fri -documentary films about everything on Light and the best about the most interesting in our cinema. Rather, go and enjoy the viewing! More knowledge. Vikinash new project is a digital library of reliable knowledge that we create together! Details the teachers and mentor 2023 Supreme Highlights with a lecturer with a lecturer with a lecturerome Averbukhserebiye winner of the Olympic Games Honored Master of Sports of Russia Baranovaanovags. the hero of the USSR Hero of labor Laureate The State Prizes of the USSR and the Russian Federation Professor Surgery, the Marukhukovo artist of the Russian State Prize, artistic director of the Moscow Provincial Theater, actor director Beloglazovkommandir of the Special Purpose of the Vityaz Center named after the F. E. Dzerzhinsky FSVang of the Russian Federation Hero of the Russian Federation of the Russian Federation Berezikova -Russian athlete in battles in the mixed styles of the Believer, Berodistan Yes “I am!” Camila Valievari -Russian skater -president Winery President of the All -Russian Federation of the Artistic Gymnastics School of Gymnastics Golikova President of the Chairman of the Government of the Russian Federation Gorosiyuzakanterman Grefaman Gref -chairman of PJSC Sberbancyla Drozdovodtor of Biological Sciences Honored Professor of the Moscow State University of Geographical Faculty of Lomonosov Member Member of the Board of Trustees of WWF Russia Telezediy Member The author of the writers of Russia more than 200 articles and 40 books of the book Demiter Dyuzhevacter Sing -film director Honored Artist of the Russian Federation Zakharevoder of the Department of Information and Press of the Ministry of Foreign Affairs of the Russian Russian Cargean -Russian chessman of the Caspersky General General Director of Kaspersky Lab Director of NIC "Kurchatov Institute" Grigory Kokotkinossian actor Theater and Cinema Teacher Acting Artistic Director of the Architect Cultural Center Bloggaranna Kuznetsovacelor of the Chairman of the State Duma, Federal Assembly of the Russian Federation of the Russian Federation of the Russian Federation (Vovan) Prakersershezmage Lavrov minister of the Russian Federation of the KROSS COSMETIC, Actress singer Popular Blograleki Likhachevgeneral Director State Rosatom Corporation Roman The Lobashian editor of the television channel "My Planet" Maria Lvova-Belya-Authorized President of the Russian Federation for the Rights of the Childvasmimmir Mashkovo artist Oleg Tabakov People's and Honored Artist of the Russian Medinsky President of the Russian Federation, Chairman of the Russian Military-Historical Society of the Government of the Russian Federation on November 113 to scientific quiz and lectures on Cosmos Acquaintance with the Amur and Sakhalin regions Useful tips for self -development - how the next day of the educational program of the Russian exhibition "Russia" was held on November 10, 2023 General Director of GLONASS JSC, Alexei Rakevich conducted an excursion trip to the Tomsk and Novgorod regions at the Russian Economic Program of the Society “Knowledge” on November 10, 2023 History in the persons of events and facts: in the Kherson region, educational activities were held, Knowledge of the TRACH. Khrephorycalendar of the measures for project -designed therapy to the Important Rossiya Russian Assembly at VDNH 2023 Razhovtorskhovtorskupkupkupkhkupkups 99) 393-33-38 technical support: Support@ znanierussia.ru Recreation “Knowledge”: info@znanierussia.ruadre Organization: 109240 Moscow intracity territory municipal district Tagansky Nikolayamskaya D 11 Politician Privacy Agreement of the Russian Society “Knowledge” on the creation of the Russian Society “Knowledge” Report on the use of property for 2021 years of age of 2021 about Using property for 2022 © 2023 Russian Society "Knowledge"</v>
      </c>
    </row>
    <row r="420">
      <c r="A420" s="1" t="s">
        <v>1351</v>
      </c>
      <c r="B420" s="1" t="s">
        <v>1381</v>
      </c>
      <c r="C420" s="1" t="s">
        <v>1382</v>
      </c>
      <c r="D420" s="1">
        <v>9.0</v>
      </c>
      <c r="E420" s="4" t="s">
        <v>1383</v>
      </c>
      <c r="F420" s="1" t="s">
        <v>16</v>
      </c>
      <c r="G420" s="1" t="s">
        <v>1384</v>
      </c>
      <c r="H420" s="4" t="s">
        <v>1385</v>
      </c>
      <c r="I420" s="2">
        <v>1.0</v>
      </c>
      <c r="J420" s="5" t="str">
        <f>IFERROR(__xludf.DUMMYFUNCTION("GOOGLETRANSLATE(A420)"),"Inna Churikova")</f>
        <v>Inna Churikova</v>
      </c>
      <c r="K420" s="6" t="str">
        <f>IFERROR(__xludf.DUMMYFUNCTION("GOOGLETRANSLATE(B420)"),"Inna Churikova: biography, photo")</f>
        <v>Inna Churikova: biography, photo</v>
      </c>
      <c r="L420" s="5" t="str">
        <f>IFERROR(__xludf.DUMMYFUNCTION("GOOGLETRANSLATE(C420)"),"Inna Churikova graduated from the Higher Theater School named after M. S. Shchepkin. Since 1965 - actress of the Moscow Theater of a young spectator, since 1968 she worked under contracts ...")</f>
        <v>Inna Churikova graduated from the Higher Theater School named after M. S. Shchepkin. Since 1965 - actress of the Moscow Theater of a young spectator, since 1968 she worked under contracts ...</v>
      </c>
      <c r="M420" s="5" t="str">
        <f>IFERROR(__xludf.DUMMYFUNCTION("GOOGLETRANSLATE(G420)"),"Cinema Mail.ru-films TV shows and television shows from the most popular online kinotar.ruchkhtama Mirodoklassnikvakovkontaktegryznakottaktegryno-namilogracoblakoblakovk combox projects of project-owned vehicle Verkhradradravotrachmodrodrahmodravrinindr 2"&amp;"023 / Rossiya, Traileler schedule and tickets for a pursuit of Tickets of absolute evil 2023 / Sweden to watch the Onlanininteriyuyuyuyeuria about the stargament Sopelnik: ""They said to me:"" You are a cadet. "" It’s good but I am also an actor ”reversin"&amp;"g the Frost of Revelation Asti Detective with Petrenko: what to see the now on the now on the new curious series of autumn that you could miss the films and the TV series see online) The musicalistoric biliography of the musical westwormltfilmults of the "&amp;"Detective Detective Angaanimeeerotics Surfrali -Great -Britishbielarmaniagiacongindiadaliytaliytaliytaliytaliyanadanakanadarakanadaeraeraciac -navigan -naviganiyashtyzhevyaniyanyanodyan -brigade reserves of the Republic of Emergencies Republican Nibazilia"&amp;"vivevvengriyavstriyavstriyanlandlandyanorium -Ryumyamyranirail Portugalia -Balogaria -Bariylannaya Zealania -earnings of the Greek Iranioslaviayslandiyelyuks (China) Colombiaefilippinings -ahopurliworvykhorvaghorvaghorvashkurvatygorvasiyraziyazhorvasiyraz"&amp;"iyazhorvasiyraziyazhorvasiyraziyazhorvasiyraziyazhorvasiyraziyazhorvasiyazyazyazhorvasiyraziyazykhorvasiyraziyazykubarvasiyazhorsiyamisiyamisiyamisiyazykhorvasiyraziyazykubarvasiyazyzhegarvaga Eniyaniykataroeeeeeeeehipetruglivawanmarocmacomalia-di-zerovie"&amp;"tnetnetnetnetnetnamper-publics Macedoniabosniya and Herzegovinatunisuzubekanesenesyelakisyninkiyanzaniholypakistaniyapanigeriyapuerto-riocyracia Arabician Republican Lankalbaniya Chernogorogoriyazauda Arabi-Restinsky territory of Sosenelafganamalviyakosta"&amp;"-rykakakambojabaldeshikionokkopopremieurmiadi-drama-drama-crimminel-sorcinthic-bribantastic-family-domestic-domestic-domestic anemults of auyazyanian Mobiography-mushroom-sesques-shows of children of the sportswordserndl adultsharossiyssirossiyasssrossiys"&amp;"sirossiyssorfranium-veliciterathylarmania-enytalia-nytaliasapaniacanadanadanakanadauhuka-navigation-navigation stormsytimeksikasikasikasikasyliacylombiyarvasyanoderlanderlanderlanderlanderlanderlanderlanderlandyanierlands New Zealandfinlandyazrailosraillo"&amp;"srailovakiyavayvan (China) Czech Republican Evelapormiadugaliawa-Armenia Afrixingasingasyapurpouricalslandia (up to 26 episodes) medium (26-100 episodes) long (101-250 episodes) very long (more than 250 episodes) all the status of ideas ended with the end"&amp;" of ideas. KI: Popular films of the latest Film -Russian film -based TV showing TV shows more recommendations, we recommend it is recommended to watch the films of the """" Surgery -nostbrad Pitt, with the new beloved Bezrukov believes that children need "&amp;"to be brought up with the help of arthromanic Sukachev in the longing for Mikhail Efremov ""Eths"" Returned Efremov. UDO: NEWS CEOPECRISTINA Asmus spoke about Difficult shootings after a fracture of the footage of the film “Mufas: King Leo” was transferre"&amp;"d to December 2024 Aronofski will be shot about Ilon Maskapremeres “Deadpool” and “Captain America” were transferred due to the strike of the acting company de Niro in the trial of ex-heads of the Pomo Podski with Bogomolov Peresild with daughters and oth"&amp;"ers for premierertur Sopelnik: “They said to me:“ You are a cadet. ” It’s also good but I am the actor ”Asmus touching Menshikov on her birthday, Burkovsky, Burkovsky, sells tickets for her birthday, Vladimir Mashkova, received the USA citizen Universal a"&amp;"ccidentally revealed the release date of SRAK 5"" Daddy's daughters ""presented a new series with its participation in Todorenko Polish appeared in the first trailer ""Christmas tree"" Star of ""Daddy's daughters"" spoke about the wisdom of Efremov in the"&amp;" colony of Efremov in the anniversary colony, Gaidulyan Mutsenets and the other stars at the premiere of the filmyapolin Gagarin, a slender figure in Kupanniknemuzhenets, spoke why she chose the acting profession -like. His state Zak Efron admitted that M"&amp;"atthew Permegollewood actors would like to play the strike of the “matchmakers” to take the cinema because of the spitz’s position on their cerebrospinal spitz, frank photo69-year-old Lyubov Uspenskaya showed the figure in the Kupalnikuraskiye Details of "&amp;"the filming of the new “Chronicle of Narnia”, the author of the religious anime was justified before The indignant fanatamyes of the news of the King's tsaryasch swamp/ 2023/1 h. 48 min. Drada thriller Detective Crimelpo with pike command/ 2023/1 h. 55 mi"&amp;"n. Adventures of fantasic -incurossia/ 2023/1 h. 46 min. Min. Triller adventure fantastic history of Canada/ 2023MULS Mypopular collapsing trailerybaba Frost and the secret of the New Year-Treatyle-headed 2-Tiremer-Tireler (English) Fir-trees 10 Tyzerorec"&amp;"epts of love of ghost trailers: Ice Empireer-Trailer (Eng.) Drunted girlfriend (English) Hero of our diluted trailers-family Plantraler (Angle) were born today. 88 years from the day Birth of Kelly1929-198294 since the birth of Hateaui 41 Godraian Gosling"&amp;"43 year -haharvi Stevelia Kovalchuk41 year old is the film """" Loven Karteshegodnya (12.11.2023 Sunday) Tomorrow (11/13/2023 Monetalist) 15/14) .11.2023 (Wednesday) 16.11.2023 ( Thursday) 11.11.2023 (Friday) 11/18/2023 (Saturday) 11.11.2023 (Sunday) 11/2"&amp;"0/2023 (Monday) 11/21/2023 (Tuesday) 11.12.2023 (Wednesday) 11/23/2023 (Thursday) 11/24/2023 (Friday) (Friday) 11/25/2023 (Saturday) The whole day -system and the night00: 0009: 0018: 0003: 00 only sessions in 2DLSO SENESS in my 3DStoria Viewing online fi"&amp;"lms of tweeting and tickets online the best films of the film awards Nkiserials Online the best serial-kencalercalendar of serial-high-techltellotellodellytrygramonlogramonline tv-chosen central central films and serial-casual canine and show-business alt"&amp;"ogethers of interviews of red-red prayer They were born ecabula of the company advertising to cancel the technologies of the recommendations for the use of the use of the Materials of the Handle &lt;Div Class = ""JS-Module"" Data-Module = ""Slotmodel"" Data-"&amp;"View = ""SlotView.674812"" Data-BrandsaFety = "" 0 ""&gt; &lt; /div&gt;")</f>
        <v>Cinema Mail.ru-films TV shows and television shows from the most popular online kinotar.ruchkhtama Mirodoklassnikvakovkontaktegryznakottaktegryno-namilogracoblakoblakovk combox projects of project-owned vehicle Verkhradradravotrachmodrodrahmodravrinindr 2023 / Rossiya, Traileler schedule and tickets for a pursuit of Tickets of absolute evil 2023 / Sweden to watch the Onlanininteriyuyuyuyeuria about the stargament Sopelnik: "They said to me:" You are a cadet. " It’s good but I am also an actor ”reversing the Frost of Revelation Asti Detective with Petrenko: what to see the now on the now on the new curious series of autumn that you could miss the films and the TV series see online) The musicalistoric biliography of the musical westwormltfilmults of the Detective Detective Angaanimeeerotics Surfrali -Great -Britishbielarmaniagiacongindiadaliytaliytaliytaliytaliyanadanakanadarakanadaeraeraciac -navigan -naviganiyashtyzhevyaniyanyanodyan -brigade reserves of the Republic of Emergencies Republican Nibaziliavivevvengriyavstriyavstriyanlandlandyanorium -Ryumyamyranirail Portugalia -Balogaria -Bariylannaya Zealania -earnings of the Greek Iranioslaviayslandiyelyuks (China) Colombiaefilippinings -ahopurliworvykhorvaghorvaghorvashkurvatygorvasiyraziyazhorvasiyraziyazhorvasiyraziyazhorvasiyraziyazhorvasiyraziyazhorvasiyraziyazhorvasiyazyazyazhorvasiyraziyazykhorvasiyraziyazykubarvasiyazhorsiyamisiyamisiyamisiyazykhorvasiyraziyazykubarvasiyazyzhegarvaga Eniyaniykataroeeeeeeeehipetruglivawanmarocmacomalia-di-zerovietnetnetnetnetnetnamper-publics Macedoniabosniya and Herzegovinatunisuzubekanesenesyelakisyninkiyanzaniholypakistaniyapanigeriyapuerto-riocyracia Arabician Republican Lankalbaniya Chernogorogoriyazauda Arabi-Restinsky territory of Sosenelafganamalviyakosta-rykakakambojabaldeshikionokkopopremieurmiadi-drama-drama-crimminel-sorcinthic-bribantastic-family-domestic-domestic-domestic anemults of auyazyanian Mobiography-mushroom-sesques-shows of children of the sportswordserndl adultsharossiyssirossiyasssrossiyssirossiyssorfranium-veliciterathylarmania-enytalia-nytaliasapaniacanadanadanakanadauhuka-navigation-navigation stormsytimeksikasikasikasikasyliacylombiyarvasyanoderlanderlanderlanderlanderlanderlanderlanderlandyanierlands New Zealandfinlandyazrailosraillosrailovakiyavayvan (China) Czech Republican Evelapormiadugaliawa-Armenia Afrixingasingasyapurpouricalslandia (up to 26 episodes) medium (26-100 episodes) long (101-250 episodes) very long (more than 250 episodes) all the status of ideas ended with the end of ideas. KI: Popular films of the latest Film -Russian film -based TV showing TV shows more recommendations, we recommend it is recommended to watch the films of the "" Surgery -nostbrad Pitt, with the new beloved Bezrukov believes that children need to be brought up with the help of arthromanic Sukachev in the longing for Mikhail Efremov "Eths" Returned Efremov. UDO: NEWS CEOPECRISTINA Asmus spoke about Difficult shootings after a fracture of the footage of the film “Mufas: King Leo” was transferred to December 2024 Aronofski will be shot about Ilon Maskapremeres “Deadpool” and “Captain America” were transferred due to the strike of the acting company de Niro in the trial of ex-heads of the Pomo Podski with Bogomolov Peresild with daughters and others for premierertur Sopelnik: “They said to me:“ You are a cadet. ” It’s also good but I am the actor ”Asmus touching Menshikov on her birthday, Burkovsky, Burkovsky, sells tickets for her birthday, Vladimir Mashkova, received the USA citizen Universal accidentally revealed the release date of SRAK 5" Daddy's daughters "presented a new series with its participation in Todorenko Polish appeared in the first trailer "Christmas tree" Star of "Daddy's daughters" spoke about the wisdom of Efremov in the colony of Efremov in the anniversary colony, Gaidulyan Mutsenets and the other stars at the premiere of the filmyapolin Gagarin, a slender figure in Kupanniknemuzhenets, spoke why she chose the acting profession -like. His state Zak Efron admitted that Matthew Permegollewood actors would like to play the strike of the “matchmakers” to take the cinema because of the spitz’s position on their cerebrospinal spitz, frank photo69-year-old Lyubov Uspenskaya showed the figure in the Kupalnikuraskiye Details of the filming of the new “Chronicle of Narnia”, the author of the religious anime was justified before The indignant fanatamyes of the news of the King's tsaryasch swamp/ 2023/1 h. 48 min. Drada thriller Detective Crimelpo with pike command/ 2023/1 h. 55 min. Adventures of fantasic -incurossia/ 2023/1 h. 46 min. Min. Triller adventure fantastic history of Canada/ 2023MULS Mypopular collapsing trailerybaba Frost and the secret of the New Year-Treatyle-headed 2-Tiremer-Tireler (English) Fir-trees 10 Tyzerorecepts of love of ghost trailers: Ice Empireer-Trailer (Eng.) Drunted girlfriend (English) Hero of our diluted trailers-family Plantraler (Angle) were born today. 88 years from the day Birth of Kelly1929-198294 since the birth of Hateaui 41 Godraian Gosling43 year -haharvi Stevelia Kovalchuk41 year old is the film "" Loven Karteshegodnya (12.11.2023 Sunday) Tomorrow (11/13/2023 Monetalist) 15/14) .11.2023 (Wednesday) 16.11.2023 ( Thursday) 11.11.2023 (Friday) 11/18/2023 (Saturday) 11.11.2023 (Sunday) 11/20/2023 (Monday) 11/21/2023 (Tuesday) 11.12.2023 (Wednesday) 11/23/2023 (Thursday) 11/24/2023 (Friday) (Friday) 11/25/2023 (Saturday) The whole day -system and the night00: 0009: 0018: 0003: 00 only sessions in 2DLSO SENESS in my 3DStoria Viewing online films of tweeting and tickets online the best films of the film awards Nkiserials Online the best serial-kencalercalendar of serial-high-techltellotellodellytrygramonlogramonline tv-chosen central central films and serial-casual canine and show-business altogethers of interviews of red-red prayer They were born ecabula of the company advertising to cancel the technologies of the recommendations for the use of the use of the Materials of the Handle &lt;Div Class = "JS-Module" Data-Module = "Slotmodel" Data-View = "SlotView.674812" Data-BrandsaFety = " 0 "&gt; &lt; /div&gt;</v>
      </c>
    </row>
    <row r="421">
      <c r="A421" s="1" t="s">
        <v>1351</v>
      </c>
      <c r="B421" s="1" t="s">
        <v>1386</v>
      </c>
      <c r="C421" s="1" t="s">
        <v>1363</v>
      </c>
      <c r="D421" s="1">
        <v>10.0</v>
      </c>
      <c r="E421" s="4" t="s">
        <v>1387</v>
      </c>
      <c r="F421" s="1" t="s">
        <v>16</v>
      </c>
      <c r="I421" s="2">
        <v>1.0</v>
      </c>
      <c r="J421" s="5" t="str">
        <f>IFERROR(__xludf.DUMMYFUNCTION("GOOGLETRANSLATE(A421)"),"Inna Churikova")</f>
        <v>Inna Churikova</v>
      </c>
      <c r="K421" s="6" t="str">
        <f>IFERROR(__xludf.DUMMYFUNCTION("GOOGLETRANSLATE(B421)"),"Biography of Inna Churikova - RIA Novosti, 01/14/2023")</f>
        <v>Biography of Inna Churikova - RIA Novosti, 01/14/2023</v>
      </c>
      <c r="L421" s="5" t="str">
        <f>IFERROR(__xludf.DUMMYFUNCTION("GOOGLETRANSLATE(C421)"),"Jan 14. 2023. -")</f>
        <v>Jan 14. 2023. -</v>
      </c>
      <c r="M421" s="5" t="str">
        <f>IFERROR(__xludf.DUMMYFUNCTION("GOOGLETRANSLATE(G421)"),"#VALUE!")</f>
        <v>#VALUE!</v>
      </c>
    </row>
    <row r="422">
      <c r="A422" s="1" t="s">
        <v>1351</v>
      </c>
      <c r="B422" s="1" t="s">
        <v>1388</v>
      </c>
      <c r="D422" s="1">
        <v>6.0</v>
      </c>
      <c r="E422" s="4" t="s">
        <v>1366</v>
      </c>
      <c r="F422" s="1" t="s">
        <v>43</v>
      </c>
      <c r="G422" s="1" t="s">
        <v>1367</v>
      </c>
      <c r="H422" s="4" t="s">
        <v>1368</v>
      </c>
      <c r="I422" s="2">
        <v>1.0</v>
      </c>
      <c r="J422" s="5" t="str">
        <f>IFERROR(__xludf.DUMMYFUNCTION("GOOGLETRANSLATE(A422)"),"Inna Churikova")</f>
        <v>Inna Churikova</v>
      </c>
      <c r="K422" s="6" t="str">
        <f>IFERROR(__xludf.DUMMYFUNCTION("GOOGLETRANSLATE(B422)"),"Inna Churikova - biography, personal life, photo, ...")</f>
        <v>Inna Churikova - biography, personal life, photo, ...</v>
      </c>
      <c r="L422" s="5" t="str">
        <f>IFERROR(__xludf.DUMMYFUNCTION("GOOGLETRANSLATE(C422)"),"#VALUE!")</f>
        <v>#VALUE!</v>
      </c>
      <c r="M422" s="5" t="str">
        <f>IFERROR(__xludf.DUMMYFUNCTION("GOOGLETRANSLATE(G422)"),"The latest news of the show business of Russia and the world of biography of horoscopes stars is 24 Sumerovostybiography of theigorus-Sopakynod and the Sadopopro-Directory-Business-Business November11, 2023 15: 19th and hundreds of letters: how Efremov si"&amp;"ts in a colony and celebrates the anniversary of the next news and hundreds of letters: how Efremov sits in colony and notes the anniversary - BUSINESS November11, 2023 15: 19 Avatar, the second season of the Avatar show: New Rules New Participants New Me"&amp;"mber of the Jury-Business November 8, 2023 11: 33 Member Olympic champion Oleg Protopropropor Sports5, 2023 14: 25 Shchou-Business November 19, 2023 11: 11: 11: 11: 11: 11: The second season of the Avatar show was launched: New Rules New Participants New "&amp;"Member of the Jury Following News and Hundreds of Letters: How Efremov sits in a colony and celebrates the Jubilee-Business on November11, 2023 15: 19 Avatar show: New Rules New Participants New Member Jurisha-Business November 8, 2023 11: 33 Meter Olympi"&amp;"c champion Oleg Protopropropor Sports5 on November5, 2023. 14: 25 Sports5, 2023 14: 25 Muman champion Oleg Protopopovlynoye news and hundreds of letters: how Efremov sits in a colony and celebrates the anniversary-business on November11 2023 The second se"&amp;"ason of the Avatar show was launched: New Rules New Participants New Member of the Jury-Business, November 8, 2023 11: 33 Member Olympic champion Oleg Protopropropor Sports5, 2023 14: 25 Ceobratevs, a celebrity of Asmustravel threats and divorce: Kristina"&amp;" Asmus first said what turned out to be turned out Filming in the “text” Mikhail Efremovtort and hundreds of letters: how Efremov sits in a colony and celebrates the anniversary of theBackstreet Boys to find out who got the image of Trubadur in the “Avata"&amp;"r” show “Superstar!” The love story of Igor Novzhiev and his wife Alla “Avatar-Show” Sports guy Nightingale -born: we are trying to reveal the identity of this participation in the last news-business of the threat and divorce: Kristina Asmus first told ho"&amp;"w the shooting in the “text” of the show-businesswheel and hundreds of letters turned out: how Efremov sits in the colony and celebrates the anniversary-Khait from the “quartet and” became the father in the “quartet” 52 years old business on October 26, 2"&amp;"023 in Moscow, said goodbye to the Anfisa Rezovka, on October25, 2023, the star of the series ""Soldiers"" Ivan Zhidkov marries the student-business on October25, 2023. Dyanya Milokhin showed traces of beating in Tbilisi-Business on October 22, 2023 Tukta"&amp;"mysheva She answered by the end of the quarry of the sports on October 22, 2023. In the store of the sneakers of Nikita Efremov, he was served as a boss on October 22, 2023. Svetlan Razin admitted that she made seven abortions-business on October22, 2023."&amp;" Show-business, we’ll find out who got the image of Trubadur in the Avatar show99 On November 2023, the New Baronavirus strain is already in Russia: what is known about Pyoleshow-Business on November 8, 2023, the “blue light” washing: what will be the TV "&amp;"show in 2023 and why it requires the abolition on November8, 2023, the Gonkkong Kong Found in Russia: symptoms and symptoms and symptoms and symptoms The danger to the health of theshow business on November 8, 2023, the second season of the Avatar show wa"&amp;"s launched: new rules new participants new member of the Jury-Business Office of Love Igor Nadzhiev and his wife Allyshou-Business on October21, 2023 13: 58 times Malibu divorced shortly after the Wedding House of the Olympic champion Anfisa The cutting f"&amp;"arm on October 21, 2023 The results of the show “Voice. No children ""show business on October21, 2023, Svetlina, Svetlichnaya is treated for pneumonia and loses memory-Smisha-Business on October 19, 2023 Actor of the Kalambur show Sergey Glashkovo19, 202"&amp;"3, 2023, 2023 Schuu-Business Sports Businessman: We are trying to reveal the identity This participant in November 7, 2023 What is the Ministry of Happiness: the initiative of Matvienko and the World Practice-Business on October26, 2023, the young manista"&amp;" Ponomarenko revealed the reason for the hospitalization of the show-business on October26, 2023, the Kravovets discovered Pugacheva’s taxes for the “royal apartments” on the kympyu-business on October 26, 2023 “Miss Russia” Anna Linnikova came out to mar"&amp;"ry the business on October25, 2023. “The baby was taken from his mother: Ilya Sobolev and his wife and infants were almost expelled from the aircraft-business, we were giving the image of Sadko in the show“ Avatar ”show business on October25, 2023 “The sk"&amp;"irt did not lift up”: Andrei Gubin is outraged by the accusations of the singer Sharuhoshu-Business on October25, 2023, Nalia stormed the lover in Spain-Business on October 22, 2023, the Samoilova’s children were approved for the main roles in the new ser"&amp;"ial reciprocate of weekly fresh news to sign up for the expenses of the Business Economics of the Commercial Economics and Economics. Traveling and household carriers and opticha projectinformation About project-terraklamavakakan-dimensional consistency s"&amp;"ite Political Political Policy Cookie-Filter, Freshly Fresh News Subscribing in Social Schools: Found a typo? Help fix it! Highlight it and click Ctrl + Enterorphus in social networks: © 24smi.org 2010 - 2022. Using copyright materials that belong to 24sm"&amp;"i.org is possible only with a direct active link to the source. The editors are not responsible for the reliability of the information contained in advertisements. Category of Internet resource 18+")</f>
        <v>The latest news of the show business of Russia and the world of biography of horoscopes stars is 24 Sumerovostybiography of theigorus-Sopakynod and the Sadopopro-Directory-Business-Business November11, 2023 15: 19th and hundreds of letters: how Efremov sits in a colony and celebrates the anniversary of the next news and hundreds of letters: how Efremov sits in colony and notes the anniversary - BUSINESS November11, 2023 15: 19 Avatar, the second season of the Avatar show: New Rules New Participants New Member of the Jury-Business November 8, 2023 11: 33 Member Olympic champion Oleg Protopropropor Sports5, 2023 14: 25 Shchou-Business November 19, 2023 11: 11: 11: 11: 11: 11: The second season of the Avatar show was launched: New Rules New Participants New Member of the Jury Following News and Hundreds of Letters: How Efremov sits in a colony and celebrates the Jubilee-Business on November11, 2023 15: 19 Avatar show: New Rules New Participants New Member Jurisha-Business November 8, 2023 11: 33 Meter Olympic champion Oleg Protopropropor Sports5 on November5, 2023. 14: 25 Sports5, 2023 14: 25 Muman champion Oleg Protopopovlynoye news and hundreds of letters: how Efremov sits in a colony and celebrates the anniversary-business on November11 2023 The second season of the Avatar show was launched: New Rules New Participants New Member of the Jury-Business, November 8, 2023 11: 33 Member Olympic champion Oleg Protopropropor Sports5, 2023 14: 25 Ceobratevs, a celebrity of Asmustravel threats and divorce: Kristina Asmus first said what turned out to be turned out Filming in the “text” Mikhail Efremovtort and hundreds of letters: how Efremov sits in a colony and celebrates the anniversary of theBackstreet Boys to find out who got the image of Trubadur in the “Avatar” show “Superstar!” The love story of Igor Novzhiev and his wife Alla “Avatar-Show” Sports guy Nightingale -born: we are trying to reveal the identity of this participation in the last news-business of the threat and divorce: Kristina Asmus first told how the shooting in the “text” of the show-businesswheel and hundreds of letters turned out: how Efremov sits in the colony and celebrates the anniversary-Khait from the “quartet and” became the father in the “quartet” 52 years old business on October 26, 2023 in Moscow, said goodbye to the Anfisa Rezovka, on October25, 2023, the star of the series "Soldiers" Ivan Zhidkov marries the student-business on October25, 2023. Dyanya Milokhin showed traces of beating in Tbilisi-Business on October 22, 2023 Tuktamysheva She answered by the end of the quarry of the sports on October 22, 2023. In the store of the sneakers of Nikita Efremov, he was served as a boss on October 22, 2023. Svetlan Razin admitted that she made seven abortions-business on October22, 2023. Show-business, we’ll find out who got the image of Trubadur in the Avatar show99 On November 2023, the New Baronavirus strain is already in Russia: what is known about Pyoleshow-Business on November 8, 2023, the “blue light” washing: what will be the TV show in 2023 and why it requires the abolition on November8, 2023, the Gonkkong Kong Found in Russia: symptoms and symptoms and symptoms and symptoms The danger to the health of theshow business on November 8, 2023, the second season of the Avatar show was launched: new rules new participants new member of the Jury-Business Office of Love Igor Nadzhiev and his wife Allyshou-Business on October21, 2023 13: 58 times Malibu divorced shortly after the Wedding House of the Olympic champion Anfisa The cutting farm on October 21, 2023 The results of the show “Voice. No children "show business on October21, 2023, Svetlina, Svetlichnaya is treated for pneumonia and loses memory-Smisha-Business on October 19, 2023 Actor of the Kalambur show Sergey Glashkovo19, 2023, 2023, 2023 Schuu-Business Sports Businessman: We are trying to reveal the identity This participant in November 7, 2023 What is the Ministry of Happiness: the initiative of Matvienko and the World Practice-Business on October26, 2023, the young manista Ponomarenko revealed the reason for the hospitalization of the show-business on October26, 2023, the Kravovets discovered Pugacheva’s taxes for the “royal apartments” on the kympyu-business on October 26, 2023 “Miss Russia” Anna Linnikova came out to marry the business on October25, 2023. “The baby was taken from his mother: Ilya Sobolev and his wife and infants were almost expelled from the aircraft-business, we were giving the image of Sadko in the show“ Avatar ”show business on October25, 2023 “The skirt did not lift up”: Andrei Gubin is outraged by the accusations of the singer Sharuhoshu-Business on October25, 2023, Nalia stormed the lover in Spain-Business on October 22, 2023, the Samoilova’s children were approved for the main roles in the new serial reciprocate of weekly fresh news to sign up for the expenses of the Business Economics of the Commercial Economics and Economics. Traveling and household carriers and opticha projectinformation About project-terraklamavakakan-dimensional consistency site Political Political Policy Cookie-Filter, Freshly Fresh News Subscribing in Social Schools: Found a typo? Help fix it! Highlight it and click Ctrl + Enterorphus in social networks: © 24smi.org 2010 - 2022. Using copyright materials that belong to 24smi.org is possible only with a direct active link to the source. The editors are not responsible for the reliability of the information contained in advertisements. Category of Internet resource 18+</v>
      </c>
    </row>
    <row r="423">
      <c r="A423" s="1" t="s">
        <v>1351</v>
      </c>
      <c r="B423" s="1" t="s">
        <v>1389</v>
      </c>
      <c r="C423" s="1" t="s">
        <v>1390</v>
      </c>
      <c r="D423" s="1">
        <v>10.0</v>
      </c>
      <c r="E423" s="4" t="s">
        <v>1391</v>
      </c>
      <c r="F423" s="1" t="s">
        <v>43</v>
      </c>
      <c r="G423" s="1" t="s">
        <v>135</v>
      </c>
      <c r="H423" s="4" t="s">
        <v>136</v>
      </c>
      <c r="I423" s="2">
        <v>1.0</v>
      </c>
      <c r="J423" s="5" t="str">
        <f>IFERROR(__xludf.DUMMYFUNCTION("GOOGLETRANSLATE(A423)"),"Inna Churikova")</f>
        <v>Inna Churikova</v>
      </c>
      <c r="K423" s="6" t="str">
        <f>IFERROR(__xludf.DUMMYFUNCTION("GOOGLETRANSLATE(B423)"),"The star of the changeable era: like Inna Churikova all ...")</f>
        <v>The star of the changeable era: like Inna Churikova all ...</v>
      </c>
      <c r="L423" s="5" t="str">
        <f>IFERROR(__xludf.DUMMYFUNCTION("GOOGLETRANSLATE(C423)"),"15 Jan. 2023. -")</f>
        <v>15 Jan. 2023. -</v>
      </c>
      <c r="M423" s="5" t="str">
        <f>IFERROR(__xludf.DUMMYFUNCTION("GOOGLETRANSLATE(G423)"),"Forbes.ru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424">
      <c r="A424" s="1" t="s">
        <v>1351</v>
      </c>
      <c r="B424" s="1" t="s">
        <v>1392</v>
      </c>
      <c r="C424" s="1" t="s">
        <v>1393</v>
      </c>
      <c r="D424" s="1">
        <v>209.0</v>
      </c>
      <c r="E424" s="4" t="s">
        <v>1394</v>
      </c>
      <c r="F424" s="1" t="s">
        <v>43</v>
      </c>
      <c r="G424" s="1" t="s">
        <v>273</v>
      </c>
      <c r="H424" s="4" t="s">
        <v>476</v>
      </c>
      <c r="I424" s="2">
        <v>2.0</v>
      </c>
      <c r="J424" s="5" t="str">
        <f>IFERROR(__xludf.DUMMYFUNCTION("GOOGLETRANSLATE(A424)"),"Inna Churikova")</f>
        <v>Inna Churikova</v>
      </c>
      <c r="K424" s="6" t="str">
        <f>IFERROR(__xludf.DUMMYFUNCTION("GOOGLETRANSLATE(B424)"),"Inna Churikova Inna Churikova")</f>
        <v>Inna Churikova Inna Churikova</v>
      </c>
      <c r="L424" s="5" t="str">
        <f>IFERROR(__xludf.DUMMYFUNCTION("GOOGLETRANSLATE(C424)"),"Inna Churikova Inna Churikova, Moscow. Like marks: 25 408 · Discuss: 5. Inna Churikova, Russian Actress, The “Tsarina of the Stage”")</f>
        <v>Inna Churikova Inna Churikova, Moscow. Like marks: 25 408 · Discuss: 5. Inna Churikova, Russian Actress, The “Tsarina of the Stage”</v>
      </c>
      <c r="M424" s="5" t="str">
        <f>IFERROR(__xludf.DUMMYFUNCTION("GOOGLETRANSLATE(G424)"),"Update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425">
      <c r="A425" s="1" t="s">
        <v>1351</v>
      </c>
      <c r="B425" s="1" t="s">
        <v>1395</v>
      </c>
      <c r="D425" s="1">
        <v>210.0</v>
      </c>
      <c r="E425" s="4" t="s">
        <v>1396</v>
      </c>
      <c r="F425" s="1" t="s">
        <v>43</v>
      </c>
      <c r="G425" s="1" t="s">
        <v>364</v>
      </c>
      <c r="H425" s="4" t="s">
        <v>365</v>
      </c>
      <c r="I425" s="2">
        <v>1.0</v>
      </c>
      <c r="J425" s="5" t="str">
        <f>IFERROR(__xludf.DUMMYFUNCTION("GOOGLETRANSLATE(A425)"),"Inna Churikova")</f>
        <v>Inna Churikova</v>
      </c>
      <c r="K425" s="6" t="str">
        <f>IFERROR(__xludf.DUMMYFUNCTION("GOOGLETRANSLATE(B425)"),"Inna Churikova (Inna Churikova) biography, films, ...")</f>
        <v>Inna Churikova (Inna Churikova) biography, films, ...</v>
      </c>
      <c r="L425" s="5" t="str">
        <f>IFERROR(__xludf.DUMMYFUNCTION("GOOGLETRANSLATE(C425)"),"#VALUE!")</f>
        <v>#VALUE!</v>
      </c>
      <c r="M425" s="5" t="str">
        <f>IFERROR(__xludf.DUMMYFUNCTION("GOOGLETRANSLATE(G425)"),"Афиша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202"&amp;"3 - январь 2024 МДМОт 900 ₽концертВивальди. The times of the year -Yabr 2023 - April 2024 House of Kinoot 1400 ₽6.1 Filmicatriye will be in 96 cinemas to buy a ticket -portable event of Khorkin. Show Duel November 19 at 18:00 Palace of gymnastics Irina Vi"&amp;"ner-Usmanova 1 1,500 ₽8 Epavkatinkoff City: Andy Warhol and Russian art on February 18 Jewish museum to buy a ticketfilmsindromid in 136 cinemas to the Ticketscription “Griff removed” November Bunker 450 ₽ Makers Moldhilms. Shie Mirrakkatalogi Film -expec"&amp;"ted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amp;"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amp;"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amp;"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amp;"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amp;"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amp;"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"&amp;"центр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animation-30%discord-disk"&amp;"idota Christmas trees25 and 27 The Meridian Cultural Center 400 ₽ Dinagome M-Torpedhockei on November 23 at 19:30 SKRK VTB Arena Arena - The Central Stadium Dynamo named after Yashin from 400 ₽ Dinomo M - Skykhokkey on December 25 at 19:30 SKRK VTB Arena "&amp;"- the Central Stadium Dynamo named after Yashin from 400 ₽ Dinomasm M - CSKAHOKKYAI on December 19 at 19:30 SKRK "" VTB Arena - the Central Stadium Dynamo named after Yashin from 200 ₽ ROPRODINA - Chernomoretorefutbol November 19 at 19:00 Sapsan Arenaafis"&amp;" Restaurantov10 The best restaurants in Moscow according to the version of Whereteat Moscow 202310 “Nature are 150 years old”: Evgeny Reimer about the future of the future and about the future of the future and The new restaurant ""NE"" in the atom pavili"&amp;"on on November 8 is in full swing: where to go to Sochi in November 7 November for a week: Khinkali festival Kazakh delicacies and ethnic firewalls on November7 The best restaurants of the Central Region of Russia according to the Whereteat 20234 Awards w"&amp;"ill be called the best restaurants of the capital of Krasnodar on November3 Sochi Rostov-on-Don and Gelendzhik will be held the festival of southern kitchen-eve-elays of a Syndromrill9.3ot 1100 ₽ Mayakovsky premieres 2023 January 2024 Lenkom Zakharovabori"&amp;"s Sveshnikov. Dreams of Eternity -Writers on January 14 Our artists of the Khatastastophantentesis of Afishavese7.7 Tylepyntlmenyboyevik8.8ot 1000 ₽ Rruxi -tank 2023 - January 2024 Muscovite Musical Theater KDKSKORO in Kinovsovsabiletychacamediyatyabileyb"&amp;"iletikhchik and poultry farmletfilombilets to the dream: once and for all, and for all the time-mercy-hungry, terrible sister-2ocedium collections Afishas are the most convenient way to choose how to conduct a free posting post: the main events of the wee"&amp;"k - you have to sign up the company editorial campaign Contactkitat CardiAfisha Dailypiknik Afishede. Rufisha Close -moving veteranstat. Bilet -picnovicular in terms of questioned issues, 1999–2023 LLC Afisha LLC. All rights reserved. For persons over 18 "&amp;"years old. User Agreement Policy of Confidentiality Rules for the Application of Technologies Azov Almetyevsk Anapa Angarsk Arzamas Armavir Arkhangelsk Astrakhan Achinsk Balashikha Balashikh Bataysk Beloregor Belorechensk Berdsk Bereznishk Blaguruslan Bug"&amp;"ulm Bugulma Buzulm Buzuluk Veliki Velik Verkhnyaya Pyshma Vidden Vladivostok Vladikavkaz Vladimir Volgograd Volgogonsk Volzhsky Vologda Volda Volk Vsevolozhsk Vyborg Gatchina Gornzhik Gorno-Altaysk Grozny Gubkin Gudermes Dzerzhinsk Dimitrovgrad Dmitrov Do"&amp;"lgoprudny Dubomodedovo Dubna Evpatoria Yekaterinburg Yelets Esentuki Zheleznogorsk (Krasnoyarsk) Zhukovsky Zareysk Zarenogorsk Zelenogradsky Zelenogostosvost Ivanovo Ivanovo and Ivanovo Ivanovo Zhevsk Irkutsk Istrim Istra Yoshkar-Ola Kazan Kaliningrad Kal"&amp;"uga Kamensk-Uralsky Kamyshin Kaspiysk Kemerovo Kingisepp Kirishi Kirov Kirovsk Klin Klintsov Kollets Kolpino Kolpino Komsomolsk-on-Amur Kopeysk Korolev Koryazhm Kostroma Krasnodarsk Krasnoyarsk Krasnoyarsk Kubinka Kubinka Kuznetsk Kurgan Kurgan Kursk Life"&amp;"tsk Lomonosov Lomonosovsi Luhmoi Luhmovitsa Ysuva Lytkarino Lyubertsy Magadan Magnitogorsk Maykop Makhachkala Miass Mozhaisk Moscow Murmansk Murmansk Mtsevshchi Naberezhnye Chelnye Nalran Nalchik Naro-Fominsk Nevinnomyssk Nevninome Neftekhugansk Nizhnekam"&amp;"sk Nizhny Novgorod Novolattysk Novomoskovsk Novorossiysk Novosibirsk Novocheboksarsk Novoshakhkhinsk New Urengsk November November SK Nyagan Obninsk Odintsovo Ozersk Oktyabrsky Omsk Orenburg Orekhovo-Zuevo Orsus Orsus Pavlovo Pavlovsky Posad Penza Pervour"&amp;"alsk Perm Peterhof Petrozavodsk Petropavlovsk-Kamchatsk Podolsk Poskopyevsk Pushkin Pushkin Pushkino Ramenskoye Reutov Rustov Rostov-Don Ruzan Ryazan Salavat Salevat Saransk Sevastopol Sevastopol Seversk Seversk Sergiev Sergiyev Sergiyev Sergukhov Sergukh"&amp;"ov Servor Simferopol Smolensk Sokol Solnechnogorsk Sosnovy Bor Sochi Spassk- Far Stavropol Stary Oskol Sterlitamak Stupino Surgut Syzran Taganrog Tagan Tikhvin Togvin Togliatti Tula Tula Tyumen Ulan-Uda Ulyanovsk Ust-Ilymsk Ufa Fryazino Khabarovsk Khaboks"&amp;"iysk Chelabinsk Chelyabinsk Cherkessk Chekhovsky Chi Chikhi Chi Chikha Chita Chita Chita Chita Chita. Elkovo Elestostal Elista Engels Yuzhno-Sakhalinsk Yakutsk Yalta Yaroslavl Selection Afishas Afishikalendar November 13, 2023 November 13, 2023 November 1"&amp;"4, 2023 November 15, 2023 November 16, 2023 November 17, 2023 November 18, 2023 November 19, 2023 November 21, 2023 22, 2023 November 23, 2023 November 25, 2023 27 2023 November 27 November 27 November 27 2023 November 28, 2023 November 29, 2023 November "&amp;"30, 2023 December 1, 2023 December 2, 2023 December 3, 2023 4 December 2023 5 December 2023 December 6, 2023 December 7, 2023 December 9, 2023 December 10, 2023 December 11, 2023 December 12, 2023 13 December 2023 14 December 2023 December 15, 2023 Decemb"&amp;"er 16, 2023 December 17, 2023 December 18, 2023 December 19, 2023 December 20, 2023 December 21, 2023 December 22, 2023 December 23, 2023 December 25, 2023 December 25, 2023 27 2023 27 December 28, 2023 December 29, 2023 December 30, 2023 December 31, 202"&amp;"3 January 1 January 2, 2024 January 3, 2024 January 4, 2024 January 5, 2024 January 6, 2024 January 7, 2024 January 8, 2024 January 924 January 10, 2024 January 11, 2024 January 12, 2024 January 14, 2024 January 15, 2024 January 16 January, January 16, Ja"&amp;"nuary 16 2024 January 17, 2024 January 2024 January 19, 2024 January 2024 January 21, 2024 January 22, 2024 January 23, 2024 January 24, 2024 January 25, 2024 January 26, 2024 January 28, 2024 January 29, 2024 January 30, 2024 January 2024 1 February, 202"&amp;"4 2 February 2024 February 3, 2024 February 4, 2024 February 5, 2024 February 6, 2024 February 7, 2024 February 8, 2024 February 9, 2024 February 10, 2024 February 11, 2024 February 13, 2024 February 14, 2024 February 15, 2024 February 16, 2024 17 Februar"&amp;"y 17, 2024 February 18, 2024 February 19, 2024 February 20, 2024 February 2024 February 22, 2024 February 23, 2024 2424 February 25, 2024 26 February 2024 27 2024 28 February 2024 29, 2024 March 2, 2024 March 3 March 3, 2024 4 March 2024 March 6 March Mar"&amp;"ch 6 March, March 6 March 2024 March 7, 2024 March 8, 2024 March 10 March 2024 March 11, 2024 March 12, 2024 March 13, 2024 March 14, 2024 March 15, 2024 March 16 March 17, 2024 March 18, 2024 March 19 March 2024 March 21, 2024 22 March 2024 23 23 March 2"&amp;"024 March 24, 2024 March 25, 2024 March 26, 2024 March 27, 2024 March 28, 2024 March 29, 2024 March 30, 2024 March 31, 2024 April 2 April 2, 2024 3 April, 2024 April 5, 2024 April 6, 2024 April 7, 2024 April 8, 2024 April 9, 2024 April 11 April 11, 2024 A"&amp;"pril 12, 2024 April 13, 2024 April 14, 2024 April 15, 2024 April 16, 2024 17 April 18, 2024 19 April 1924 April 2024 April 22, 2024 23 23, 2024 24 April 25 April April 25 April 25 2024 April 26 April 27 April 2024 April 28, 2024 April 29, 2024 April 30, 2"&amp;"024 May 1, 2024 May 2 May 2024 May 3, 2024 May 5 May 2024 May 6 May 2024 May 8, 2024 May 9, 2024 May 10 May 2024 11 May 2024 124 124 12 May 2024 May 13, 2024 May 14 May 15, 2024 May 16 May 2024 May 17, 2024 May 18 May 2024 May 19, 2024 May 2024 May 21, 20"&amp;"24 May 22 May 23, 2024 24 May 2024 May 25, 2024 May 27, 2024 28 May 28 May 2024 May 29, May 30, 2024 May 31, 2024 June 1, 2024 June 2, 2024 June 3, 2024 June 4, 2024 June 5, 2024 June 6 June 7, 2024 June 8, 2024 June 924 June 10 June 2024 June 12 June 13,"&amp;" 2024 June 14 June June 14 June 14 2024 June 15, 2024 June 16 June 17, 2024 June 18, 2024 June 19 June 2024 June 20, 2024 June 21, 2024 June 22 June 23, 2024 June 24, 2024 June 25, 2024 June 27, 2024 28 28 June 2024 29 June 2024 June 30, 2024 1 July 2024 "&amp;"July 2 July 3, 2024 July 4 July 5 July 2024 July 6 July 7, 2024 July 8 July 924 July 10 July 2024 July 12 July 13, 2024 July 14, 2024 July 15 July 16 July 17 July 17, 2024 July 18, 2024 July 19 July 2024 July 21, 2024 July 22 July 23, 2024 July 24, 2024 J"&amp;"uly 25, 2024 July 26 July 27, 2024 July 29, 2024 July 30, 2024 31 July, 2024 August 2, 2024 August 3 August 3 2024 August 4, 2024 August 5 August 6, 2024 August 7, 2024 August 8, 2024 August 9, 2024 August 10, 2024 August 11, 2024 August 12, 2024 August 1"&amp;"3, 2024 August 14, 2024 August 16, 2024 August 17 August 17, 2024 August 18, 2024 August 19, 2024 20 August 2024 August 21, 2024 August 22, 2024 August 23, 2024 August 24, 2024 August 25, 2024 26 August 2024 27 August 2024 28 August 29 August 29, 2024 Aug"&amp;"ust 30, 2024 August 1, 2024 September 2, 2024 September 3, 2024 4 September, 2024 September 5, 2024 September 6, 2024 September 7, 2024 on September 8, 2024 September 10, 2024 September 11, 2024 September 12, 2024 September 13, 2024 September 14, 2024 Sep"&amp;"tember 15, 2024 September 17, 2024 September 18, 2024 19 September 19, 2024 September 20, 2024 September 21, 2024 22 September 22 22 2024 September 23, 2024 September 24, 2024 September 25, 2024 on September 26, 2024 on September, 2024 28 September, 2024 "&amp;"29 September 2024 September 30, 2024 1 October 2024 October 2, 2024 October 4, 2024 5 October 2024 October 6, 2024 October 7, 2024 On October 8, 2024 9 October 2024 October 10, 2024 October 11, 2024 October 12, 2024 October 13, 2024 October 14, 2024 Octob"&amp;"er 15, 2024 October 16, 2024 October 17, 2024 October 18, 2024 October 19, 2024 October 2024, 2024 October 22, 2024 23, 2024 October 24, 2024 25 October 25 October 26, 2024 October 27, 2024 October 28, 2024 October 29, 2024 October 30, 2024 on October 202"&amp;"4 November 1, 2024 November 2, 2024 November 3, 2024 November 4, 2024 November 6, 2024 November 7, 2024 November 8, 2024 November 924 November 10 November 11 2024 November December January February March April May June July August September October today "&amp;"Tomorrow Tomorrow Week Weeks of the Months of Children")</f>
        <v>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2023 - январь 2024 МДМОт 900 ₽концертВивальди. The times of the year -Yabr 2023 - April 2024 House of Kinoot 1400 ₽6.1 Filmicatriye will be in 96 cinemas to buy a ticket -portable event of Khorkin. Show Duel November 19 at 18:00 Palace of gymnastics Irina Viner-Usmanova 1 1,500 ₽8 Epavkatinkoff City: Andy Warhol and Russian art on February 18 Jewish museum to buy a ticketfilmsindromid in 136 cinemas to the Ticketscription “Griff removed” November Bunker 450 ₽ Makers Moldhilms. Shie Mirrakkatalogi Film -expected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animation-30%discord-diskidota Christmas trees25 and 27 The Meridian Cultural Center 400 ₽ Dinagome M-Torpedhockei on November 23 at 19:30 SKRK VTB Arena Arena - The Central Stadium Dynamo named after Yashin from 400 ₽ Dinomo M - Skykhokkey on December 25 at 19:30 SKRK VTB Arena - the Central Stadium Dynamo named after Yashin from 400 ₽ Dinomasm M - CSKAHOKKYAI on December 19 at 19:30 SKRK " VTB Arena - the Central Stadium Dynamo named after Yashin from 200 ₽ ROPRODINA - Chernomoretorefutbol November 19 at 19:00 Sapsan Arenaafis Restaurantov10 The best restaurants in Moscow according to the version of Whereteat Moscow 202310 “Nature are 150 years old”: Evgeny Reimer about the future of the future and about the future of the future and The new restaurant "NE" in the atom pavilion on November 8 is in full swing: where to go to Sochi in November 7 November for a week: Khinkali festival Kazakh delicacies and ethnic firewalls on November7 The best restaurants of the Central Region of Russia according to the Whereteat 20234 Awards will be called the best restaurants of the capital of Krasnodar on November3 Sochi Rostov-on-Don and Gelendzhik will be held the festival of southern kitchen-eve-elays of a Syndromrill9.3ot 1100 ₽ Mayakovsky premieres 2023 January 2024 Lenkom Zakharovaboris Sveshnikov. Dreams of Eternity -Writers on January 14 Our artists of the Khatastastophantentesis of Afishavese7.7 Tylepyntlmenyboyevik8.8ot 1000 ₽ Rruxi -tank 2023 - January 2024 Muscovite Musical Theater KDKSKORO in Kinovsovsabiletychacamediyatyabileybiletikhchik and poultry farmletfilombilets to the dream: once and for all, and for all the time-mercy-hungry, terrible sister-2ocedium collections Afishas are the most convenient way to choose how to conduct a free posting post: the main events of the week - you have to sign up the company editorial campaign Contactkitat CardiAfisha Dailypiknik Afishede. Rufisha Close -moving veteranstat. Bilet -picnovicular in terms of questioned issues, 1999–2023 LLC Afisha LLC. All rights reserved. For persons over 18 years old. User Agreement Policy of Confidentiality Rules for the Application of Technologies Azov Almetyevsk Anapa Angarsk Arzamas Armavir Arkhangelsk Astrakhan Achinsk Balashikha Balashikh Bataysk Beloregor Belorechensk Berdsk Bereznishk Blaguruslan Bugulm Bugulma Buzulm Buzuluk Veliki Velik Verkhnyaya Pyshma Vidden Vladivostok Vladikavkaz Vladimir Volgograd Volgogonsk Volzhsky Vologda Volda Volk Vsevolozhsk Vyborg Gatchina Gornzhik Gorno-Altaysk Grozny Gubkin Gudermes Dzerzhinsk Dimitrovgrad Dmitrov Dolgoprudny Dubomodedovo Dubna Evpatoria Yekaterinburg Yelets Esentuki Zheleznogorsk (Krasnoyarsk) Zhukovsky Zareysk Zarenogorsk Zelenogradsky Zelenogostosvost Ivanovo Ivanovo and Ivanovo Ivanovo Zhevsk Irkutsk Istrim Istra Yoshkar-Ola Kazan Kaliningrad Kaluga Kamensk-Uralsky Kamyshin Kaspiysk Kemerovo Kingisepp Kirishi Kirov Kirovsk Klin Klintsov Kollets Kolpino Kolpino Komsomolsk-on-Amur Kopeysk Korolev Koryazhm Kostroma Krasnodarsk Krasnoyarsk Krasnoyarsk Kubinka Kubinka Kuznetsk Kurgan Kurgan Kursk Lifetsk Lomonosov Lomonosovsi Luhmoi Luhmovitsa Ysuva Lytkarino Lyubertsy Magadan Magnitogorsk Maykop Makhachkala Miass Mozhaisk Moscow Murmansk Murmansk Mtsevshchi Naberezhnye Chelnye Nalran Nalchik Naro-Fominsk Nevinnomyssk Nevninome Neftekhugansk Nizhnekamsk Nizhny Novgorod Novolattysk Novomoskovsk Novorossiysk Novosibirsk Novocheboksarsk Novoshakhkhinsk New Urengsk November November SK Nyagan Obninsk Odintsovo Ozersk Oktyabrsky Omsk Orenburg Orekhovo-Zuevo Orsus Orsus Pavlovo Pavlovsky Posad Penza Pervouralsk Perm Peterhof Petrozavodsk Petropavlovsk-Kamchatsk Podolsk Poskopyevsk Pushkin Pushkin Pushkino Ramenskoye Reutov Rustov Rostov-Don Ruzan Ryazan Salavat Salevat Saransk Sevastopol Sevastopol Seversk Seversk Sergiev Sergiyev Sergiyev Sergukhov Sergukhov Servor Simferopol Smolensk Sokol Solnechnogorsk Sosnovy Bor Sochi Spassk- Far Stavropol Stary Oskol Sterlitamak Stupino Surgut Syzran Taganrog Tagan Tikhvin Togvin Togliatti Tula Tula Tyumen Ulan-Uda Ulyanovsk Ust-Ilymsk Ufa Fryazino Khabarovsk Khaboksiysk Chelabinsk Chelyabinsk Cherkessk Chekhovsky Chi Chikhi Chi Chikha Chita Chita Chita Chita Chita. Elkovo Elestostal Elista Engels Yuzhno-Sakhalinsk Yakutsk Yalta Yaroslavl Selection Afishas Afishikalendar November 13, 2023 November 13, 2023 November 14, 2023 November 15, 2023 November 16, 2023 November 17, 2023 November 18, 2023 November 19, 2023 November 21, 2023 22, 2023 November 23, 2023 November 25, 2023 27 2023 November 27 November 27 November 27 2023 November 28, 2023 November 29, 2023 November 30, 2023 December 1, 2023 December 2, 2023 December 3, 2023 4 December 2023 5 December 2023 December 6, 2023 December 7, 2023 December 9, 2023 December 10, 2023 December 11, 2023 December 12, 2023 13 December 2023 14 December 2023 December 15, 2023 December 16, 2023 December 17, 2023 December 18, 2023 December 19, 2023 December 20, 2023 December 21, 2023 December 22, 2023 December 23, 2023 December 25, 2023 December 25, 2023 27 2023 27 December 28, 2023 December 29, 2023 December 30, 2023 December 31, 2023 January 1 January 2, 2024 January 3, 2024 January 4, 2024 January 5, 2024 January 6, 2024 January 7, 2024 January 8, 2024 January 924 January 10, 2024 January 11, 2024 January 12, 2024 January 14, 2024 January 15, 2024 January 16 January, January 16, January 16 2024 January 17, 2024 January 2024 January 19, 2024 January 2024 January 21, 2024 January 22, 2024 January 23, 2024 January 24, 2024 January 25, 2024 January 26, 2024 January 28, 2024 January 29, 2024 January 30, 2024 January 2024 1 February, 2024 2 February 2024 February 3, 2024 February 4, 2024 February 5, 2024 February 6, 2024 February 7, 2024 February 8, 2024 February 9, 2024 February 10, 2024 February 11, 2024 February 13, 2024 February 14, 2024 February 15, 2024 February 16, 2024 17 February 17, 2024 February 18, 2024 February 19, 2024 February 20, 2024 February 2024 February 22, 2024 February 23, 2024 2424 February 25, 2024 26 February 2024 27 2024 28 February 2024 29, 2024 March 2, 2024 March 3 March 3, 2024 4 March 2024 March 6 March March 6 March, March 6 March 2024 March 7, 2024 March 8, 2024 March 10 March 2024 March 11, 2024 March 12, 2024 March 13, 2024 March 14, 2024 March 15, 2024 March 16 March 17, 2024 March 18, 2024 March 19 March 2024 March 21, 2024 22 March 2024 23 23 March 2024 March 24, 2024 March 25, 2024 March 26, 2024 March 27, 2024 March 28, 2024 March 29, 2024 March 30, 2024 March 31, 2024 April 2 April 2, 2024 3 April, 2024 April 5, 2024 April 6, 2024 April 7, 2024 April 8, 2024 April 9, 2024 April 11 April 11, 2024 April 12, 2024 April 13, 2024 April 14, 2024 April 15, 2024 April 16, 2024 17 April 18, 2024 19 April 1924 April 2024 April 22, 2024 23 23, 2024 24 April 25 April April 25 April 25 2024 April 26 April 27 April 2024 April 28, 2024 April 29, 2024 April 30, 2024 May 1, 2024 May 2 May 2024 May 3, 2024 May 5 May 2024 May 6 May 2024 May 8, 2024 May 9, 2024 May 10 May 2024 11 May 2024 124 124 12 May 2024 May 13, 2024 May 14 May 15, 2024 May 16 May 2024 May 17, 2024 May 18 May 2024 May 19, 2024 May 2024 May 21, 2024 May 22 May 23, 2024 24 May 2024 May 25, 2024 May 27, 2024 28 May 28 May 2024 May 29, May 30, 2024 May 31, 2024 June 1, 2024 June 2, 2024 June 3, 2024 June 4, 2024 June 5, 2024 June 6 June 7, 2024 June 8, 2024 June 924 June 10 June 2024 June 12 June 13, 2024 June 14 June June 14 June 14 2024 June 15, 2024 June 16 June 17, 2024 June 18, 2024 June 19 June 2024 June 20, 2024 June 21, 2024 June 22 June 23, 2024 June 24, 2024 June 25, 2024 June 27, 2024 28 28 June 2024 29 June 2024 June 30, 2024 1 July 2024 July 2 July 3, 2024 July 4 July 5 July 2024 July 6 July 7, 2024 July 8 July 924 July 10 July 2024 July 12 July 13, 2024 July 14, 2024 July 15 July 16 July 17 July 17, 2024 July 18, 2024 July 19 July 2024 July 21, 2024 July 22 July 23, 2024 July 24, 2024 July 25, 2024 July 26 July 27, 2024 July 29, 2024 July 30, 2024 31 July, 2024 August 2, 2024 August 3 August 3 2024 August 4, 2024 August 5 August 6, 2024 August 7, 2024 August 8, 2024 August 9, 2024 August 10, 2024 August 11, 2024 August 12, 2024 August 13, 2024 August 14, 2024 August 16, 2024 August 17 August 17, 2024 August 18, 2024 August 19, 2024 20 August 2024 August 21, 2024 August 22, 2024 August 23, 2024 August 24, 2024 August 25, 2024 26 August 2024 27 August 2024 28 August 29 August 29, 2024 August 30, 2024 August 1, 2024 September 2, 2024 September 3, 2024 4 September, 2024 September 5, 2024 September 6, 2024 September 7, 2024 on September 8, 2024 September 10, 2024 September 11, 2024 September 12, 2024 September 13, 2024 September 14, 2024 September 15, 2024 September 17, 2024 September 18, 2024 19 September 19, 2024 September 20, 2024 September 21, 2024 22 September 22 22 2024 September 23, 2024 September 24, 2024 September 25, 2024 on September 26, 2024 on September, 2024 28 September, 2024 29 September 2024 September 30, 2024 1 October 2024 October 2, 2024 October 4, 2024 5 October 2024 October 6, 2024 October 7, 2024 On October 8, 2024 9 October 2024 October 10, 2024 October 11, 2024 October 12, 2024 October 13, 2024 October 14, 2024 October 15, 2024 October 16, 2024 October 17, 2024 October 18, 2024 October 19, 2024 October 2024, 2024 October 22, 2024 23, 2024 October 24, 2024 25 October 25 October 26, 2024 October 27, 2024 October 28, 2024 October 29, 2024 October 30, 2024 on October 2024 November 1, 2024 November 2, 2024 November 3, 2024 November 4, 2024 November 6, 2024 November 7, 2024 November 8, 2024 November 924 November 10 November 11 2024 November December January February March April May June July August September October today Tomorrow Tomorrow Week Weeks of the Months of Children</v>
      </c>
    </row>
    <row r="426">
      <c r="A426" s="1" t="s">
        <v>1397</v>
      </c>
      <c r="B426" s="1" t="s">
        <v>1398</v>
      </c>
      <c r="C426" s="1" t="s">
        <v>1399</v>
      </c>
      <c r="D426" s="1">
        <v>1.0</v>
      </c>
      <c r="E426" s="4" t="s">
        <v>1400</v>
      </c>
      <c r="F426" s="1" t="s">
        <v>16</v>
      </c>
      <c r="G426" s="1" t="s">
        <v>1401</v>
      </c>
      <c r="H426" s="4" t="s">
        <v>1402</v>
      </c>
      <c r="I426" s="2"/>
      <c r="J426" s="5" t="str">
        <f>IFERROR(__xludf.DUMMYFUNCTION("GOOGLETRANSLATE(A426)"),"calculator")</f>
        <v>calculator</v>
      </c>
      <c r="K426" s="6" t="str">
        <f>IFERROR(__xludf.DUMMYFUNCTION("GOOGLETRANSLATE(B426)"),"Calculator online")</f>
        <v>Calculator online</v>
      </c>
      <c r="L426" s="5" t="str">
        <f>IFERROR(__xludf.DUMMYFUNCTION("GOOGLETRANSLATE(C426)"),"Simple, fast and convenient to use online calculator.")</f>
        <v>Simple, fast and convenient to use online calculator.</v>
      </c>
      <c r="M426" s="5" t="str">
        <f>IFERROR(__xludf.DUMMYFUNCTION("GOOGLETRANSLATE(G426)"),"OK CalculatorOK CalculatorSimple fast and easy to use online calculations.Simple Calculator- Fractions- Percentages- Exponentiation- Root of a number- LogarithmsScientific Calculator- Derivatives- Integrals- Equations- Matrices- TrigonometryUse the calcul"&amp;"ator in your own languageEnglishAzərbaycancaБългарскиBahasa IndonesiaBahasa MelayuČeštinaDanskDeutschEspañolFrançaisItalianoKiswahiliMagyarMalagasyNederlandsOʻzbekchaPolskiPortuguêsRomânăРусскийSlovenčinaСрпскиSuomiSvenskaTagalogTiếng ViệtTürkçe          "&amp;"© 2023 OK Calcmail@okcalc.comPrivacy Policy2022-07-22")</f>
        <v>OK CalculatorOK CalculatorSimple fast and easy to use online calculations.Simple Calculator- Fractions- Percentages- Exponentiation- Root of a number- LogarithmsScientific Calculator- Derivatives- Integrals- Equations- Matrices- TrigonometryUse the calculator in your own languageEnglishAzərbaycancaБългарскиBahasa IndonesiaBahasa MelayuČeštinaDanskDeutschEspañolFrançaisItalianoKiswahiliMagyarMalagasyNederlandsOʻzbekchaPolskiPortuguêsRomânăРусскийSlovenčinaСрпскиSuomiSvenskaTagalogTiếng ViệtTürkçe          © 2023 OK Calcmail@okcalc.comPrivacy Policy2022-07-22</v>
      </c>
    </row>
    <row r="427">
      <c r="A427" s="1" t="s">
        <v>1397</v>
      </c>
      <c r="B427" s="1" t="s">
        <v>1403</v>
      </c>
      <c r="C427" s="1" t="s">
        <v>1404</v>
      </c>
      <c r="D427" s="1">
        <v>2.0</v>
      </c>
      <c r="E427" s="4" t="s">
        <v>1405</v>
      </c>
      <c r="F427" s="1" t="s">
        <v>16</v>
      </c>
      <c r="G427" s="1" t="s">
        <v>1406</v>
      </c>
      <c r="H427" s="4" t="s">
        <v>1407</v>
      </c>
      <c r="I427" s="2"/>
      <c r="J427" s="5" t="str">
        <f>IFERROR(__xludf.DUMMYFUNCTION("GOOGLETRANSLATE(A427)"),"calculator")</f>
        <v>calculator</v>
      </c>
      <c r="K427" s="6" t="str">
        <f>IFERROR(__xludf.DUMMYFUNCTION("GOOGLETRANSLATE(B427)"),"Algebraic calculator - Math Solver - Microsoft")</f>
        <v>Algebraic calculator - Math Solver - Microsoft</v>
      </c>
      <c r="L427" s="5" t="str">
        <f>IFERROR(__xludf.DUMMYFUNCTION("GOOGLETRANSLATE(C427)"),"Calculator calculator.")</f>
        <v>Calculator calculator.</v>
      </c>
      <c r="M427" s="5" t="str">
        <f>IFERROR(__xludf.DUMMYFUNCTION("GOOGLETRANSLATE(G427)"),"Microsoft Math Solver - Math Problem Solver &amp; CalculatorSkip to main contentMicrosoft|Math SolverSolvePlayPracticeDownloadSolvePracticePlayTopicsPre-AlgebraMeanModeGreatest Common FactorLeast Common MultipleOrder of OperationsFractionsMixed FractionsPrim"&amp;"e FactorizationExponentsRadicalsAlgebraCombine Like TermsSolve for a VariableFactorExpandEvaluate FractionsLinear EquationsQuadratic EquationsInequalitiesSystems of EquationsMatricesTrigonometrySimplifyEvaluateGraphsSolve EquationsCalculusDerivativesIn"&amp;"tegralsLimitsAlgebra CalculatorTrigonometry CalculatorCalculus CalculatorMatrix CalculatorDownloadTopicsPre-AlgebraMeanModeGreatest Common FactorLeast Common MultipleOrder of OperationsFractionsMixed FractionsPrime FactorizationExponentsRadicalsAlgebraC"&amp;"ombine Like TermsSolve for a VariableFactorExpandEvaluate FractionsLinear EquationsQuadratic EquationsInequalitiesSystems of EquationsMatricesTrigonometrySimplifyEvaluateGraphsSolve EquationsCalculusDerivativesIntegralsLimitsAlgebra CalculatorTrigonomet"&amp;"ry CalculatorCalculus CalculatorMatrix CalculatorType a math problemType a math problemSolve algebra trigonometry statistics calculus matrices variables listGet step-by-step explanationsSee how to solve problems and show your work—plus get definitions for"&amp;" mathematical conceptsGraph your math problemsInstantly graph any equation to visualize your function and understand the relationship between variablesPractice practice practiceSearch for additional learning materials such as related worksheets and video "&amp;"tutorialsGet math help in your languageWorks in Spanish Hindi German and moreBack to topEnglishEnglishDeutschEspañolFrançaisItalianoPortuguêsРусский简体中文繁體中文Bahasa MelayuBahasa Indonesiaالعربية日本語TürkçePolskiעבריתČeštinaNederlandsMagyar Nyelv한국어Slovenčinaไ"&amp;"ทยελληνικάRomânăTiếng Việtहिन्दीঅসমীয়াবাংলাગુજરાતીಕನ್ನಡकोंकणीമലയാളംमराठीଓଡ଼ିଆਪੰਜਾਬੀதமிழ்తెలుగుAboutPopular ProblemsPrivacy PolicyTerms of serviceTrademarks©Microsoft 2023")</f>
        <v>Microsoft Math Solver - Math Problem Solver &amp; CalculatorSkip to main contentMicrosoft|Math SolverSolvePlayPracticeDownloadSolvePracticePlayTopicsPre-AlgebraMeanModeGreatest Common FactorLeast Common MultipleOrder of OperationsFractionsMixed FractionsPrime FactorizationExponentsRadicalsAlgebraCombine Like TermsSolve for a VariableFactorExpandEvaluate FractionsLinear EquationsQuadratic EquationsInequalitiesSystems of EquationsMatricesTrigonometrySimplifyEvaluateGraphsSolve EquationsCalculusDerivativesIntegralsLimitsAlgebra CalculatorTrigonometry CalculatorCalculus CalculatorMatrix CalculatorDownloadTopicsPre-AlgebraMeanModeGreatest Common FactorLeast Common MultipleOrder of OperationsFractionsMixed FractionsPrime FactorizationExponentsRadicalsAlgebraCombine Like TermsSolve for a VariableFactorExpandEvaluate FractionsLinear EquationsQuadratic EquationsInequalitiesSystems of EquationsMatricesTrigonometrySimplifyEvaluateGraphsSolve EquationsCalculusDerivativesIntegralsLimitsAlgebra CalculatorTrigonometry CalculatorCalculus CalculatorMatrix CalculatorType a math problemType a math problemSolve algebra trigonometry statistics calculus matrices variables listGet step-by-step explanationsSee how to solve problems and show your work—plus get definitions for mathematical conceptsGraph your math problemsInstantly graph any equation to visualize your function and understand the relationship between variablesPractice practice practiceSearch for additional learning materials such as related worksheets and video tutorialsGet math help in your languageWorks in Spanish Hindi German and moreBack to topEnglishEnglishDeutschEspañolFrançaisItalianoPortuguêsРусский简体中文繁體中文Bahasa MelayuBahasa Indonesiaالعربية日本語TürkçePolskiעבריתČeštinaNederlandsMagyar Nyelv한국어SlovenčinaไทยελληνικάRomânăTiếng Việtहिन्दीঅসমীয়াবাংলাગુજરાતીಕನ್ನಡकोंकणीമലയാളംमराठीଓଡ଼ିଆਪੰਜਾਬੀதமிழ்తెలుగుAboutPopular ProblemsPrivacy PolicyTerms of serviceTrademarks©Microsoft 2023</v>
      </c>
    </row>
    <row r="428">
      <c r="A428" s="1" t="s">
        <v>1397</v>
      </c>
      <c r="B428" s="1" t="s">
        <v>1408</v>
      </c>
      <c r="C428" s="1" t="s">
        <v>1409</v>
      </c>
      <c r="D428" s="1">
        <v>3.0</v>
      </c>
      <c r="E428" s="4" t="s">
        <v>1410</v>
      </c>
      <c r="F428" s="1" t="s">
        <v>16</v>
      </c>
      <c r="G428" s="1" t="s">
        <v>1411</v>
      </c>
      <c r="H428" s="4" t="s">
        <v>1412</v>
      </c>
      <c r="I428" s="2"/>
      <c r="J428" s="5" t="str">
        <f>IFERROR(__xludf.DUMMYFUNCTION("GOOGLETRANSLATE(A428)"),"calculator")</f>
        <v>calculator</v>
      </c>
      <c r="K428" s="6" t="str">
        <f>IFERROR(__xludf.DUMMYFUNCTION("GOOGLETRANSLATE(B428)"),"Calculator interest")</f>
        <v>Calculator interest</v>
      </c>
      <c r="L428" s="5" t="str">
        <f>IFERROR(__xludf.DUMMYFUNCTION("GOOGLETRANSLATE(C428)"),"The calculator is designed specifically for calculating interest. Allows you to perform a variety of calculations when working with interest. Functionally consists of 4 different ...")</f>
        <v>The calculator is designed specifically for calculating interest. Allows you to perform a variety of calculations when working with interest. Functionally consists of 4 different ...</v>
      </c>
      <c r="M428" s="5" t="str">
        <f>IFERROR(__xludf.DUMMYFUNCTION("GOOGLETRANSLATE(G428)"),"Online calculator - best and free | Calculator888 Calculators: Online simple engineering VAT interest currency days credit generators: passwords random numbers calculator. Calcalculator online is a large -large size +90%normal size +70%normal size +60%nor"&amp;"mal size +50%normal size +normal size + 30%normal size +20%normal size +10%normal size -rate -10%normal size -20%normal size -30%normal size -40%normal size -50%normal size -60%normal size -70%normal size normal -80%normal size -90%is very small very smal"&amp;"l Smobokokokobokkkalkator online for free instructions for examplefaqs of history of the calculator sectional sectional calculator online for learning or at home. The calculator performs both simple arithmetic operations and the calculation of percentage "&amp;"of the calculation of the square root solves online complex expressions with brackets. The calculator works on computers of tablets and smartphones quickly loads, counts online has a built -in memory and an additional display of current actions. The resul"&amp;"ts of the calculations can be copied. The operating modes of the calculator with a 2-modes supports work: with or without brackets. The main difference is the use of brackets in calculations and as a result of calculating more complex tasks. To switch mod"&amp;"es, use the drop -down menu under the calculator. Variants of the default housing case load the case for a PC or tablets. For more comfortable work on smartphones, it is possible to use the option of mobile layout. PC/mobile switch on the calculator case "&amp;"to select a version of a convenient version to you. Function of buttons [x] - multiplication [÷] - division [ -] - subtraction; [ %] - interest calculation; [Mu] - work with the margin; [00] - input of 2 zeros; [0] [1] ... [9] - the key of numbers; [→] - "&amp;"removal of the last sign; [+/-] - change the mathematical sign of the number to the opposite; [√] - calculation of the square root; [M +] - preserve the result in memory with a sign [ +]; [M-] - preserve the result in memory with a sign [ -]; [Mr] - showi"&amp;"ng memory on the display; [Mc] - reset the contents of the memory; [AC] - drop the calculator and memory; [C] - throw off the calculator without cleaning memory. Work using a computer keyboard to working with a calculator use any digital keyboard keys - t"&amp;"he upper row keys or separate in the right unit (if any). The “equal” - the key [Enter]. Introduction ""plus"" - key [ +] in the upper row or right block. Input ""Minus"" - the key [ -] in the upper row or the right block. Introduction ""Multiplication"" "&amp;"- the key [ *] in the block on the right or in the upper row. Entry ""division"" - key [ /] in the block on the right or in the upper row. Removing the last sign - the key [Backspace] in the digital row. You can discard the calculator using [del] or [ESC]"&amp;" - at the top [end] - on the right. Examples for calculations on the calculator online calculate the percentage of the number: 420 [x] 20 [ %]. The result is 84. Add interest to the number: 420 [ +] 20 [ %]. The result is 504. Substibly interest from: 420"&amp;" [ -] 20 [ %]. The result is 336. Calculate the square root of 2704: 2704 [√]. The result is 52. Frequent questions I will try to calculate a simple example of 2+2 × 2 on the calculator online in the answer I get 8. Maybe the calculator counts the calcula"&amp;"tor? The calculator counts correctly! Just when each mathematical action is introduced, the calculator performs an intermediate calculation (summary). Look at the display of current actions. We read: 2 + 2 = 4 4 × 2 = 8. Correct answer 8. Draw in answer 6"&amp;" you can use the mathematical regime of the calculator. This mode maintains work with expressions and does not make an summary. Set up the mathematical mode using the menu under the calculator case. The historical factory of modern calculators was an arit"&amp;"hmometer. An arithmometer is a mechanical desktop that could perform only simple arithmetic operations: addition to subtract multiplication and division. The first mechanical counting machines appeared in the 15th century, but it was arithmometers that ap"&amp;"peared in the middle of the 19th century and then their active use began. The calcar of the Calculator Calculatory Calculatory Calculator began Cornover loan calculator Mortgage calculator sums in words in the VAT calculator and datkalculator of days how "&amp;"many days before ... how many days before the birthday how many days before the summer until the spring, how many days before the winter, how many days before the date before the date before the date of how many days before the date before the date On Mar"&amp;"ch 8, how many days until February 23, the Circle Circle Circuspot Mifter Password generator generator random numbers calculator interest is equal to the number of PI squares of squares Online-Calculator Leopecks for how many months a year how many days a"&amp;" year how many hours a year how many minutes per day as many seconds In an hour, how many milliseconds per second are the current time 03: 45: 08, Sunday November 12, 2023 (configure) © 2010-2023 Calculator888.ru conditions of use | Contacts")</f>
        <v>Online calculator - best and free | Calculator888 Calculators: Online simple engineering VAT interest currency days credit generators: passwords random numbers calculator. Calcalculator online is a large -large size +90%normal size +70%normal size +60%normal size +50%normal size +normal size + 30%normal size +20%normal size +10%normal size -rate -10%normal size -20%normal size -30%normal size -40%normal size -50%normal size -60%normal size -70%normal size normal -80%normal size -90%is very small very small Smobokokokobokkkalkator online for free instructions for examplefaqs of history of the calculator sectional sectional calculator online for learning or at home. The calculator performs both simple arithmetic operations and the calculation of percentage of the calculation of the square root solves online complex expressions with brackets. The calculator works on computers of tablets and smartphones quickly loads, counts online has a built -in memory and an additional display of current actions. The results of the calculations can be copied. The operating modes of the calculator with a 2-modes supports work: with or without brackets. The main difference is the use of brackets in calculations and as a result of calculating more complex tasks. To switch modes, use the drop -down menu under the calculator. Variants of the default housing case load the case for a PC or tablets. For more comfortable work on smartphones, it is possible to use the option of mobile layout. PC/mobile switch on the calculator case to select a version of a convenient version to you. Function of buttons [x] - multiplication [÷] - division [ -] - subtraction; [ %] - interest calculation; [Mu] - work with the margin; [00] - input of 2 zeros; [0] [1] ... [9] - the key of numbers; [→] - removal of the last sign; [+/-] - change the mathematical sign of the number to the opposite; [√] - calculation of the square root; [M +] - preserve the result in memory with a sign [ +]; [M-] - preserve the result in memory with a sign [ -]; [Mr] - showing memory on the display; [Mc] - reset the contents of the memory; [AC] - drop the calculator and memory; [C] - throw off the calculator without cleaning memory. Work using a computer keyboard to working with a calculator use any digital keyboard keys - the upper row keys or separate in the right unit (if any). The “equal” - the key [Enter]. Introduction "plus" - key [ +] in the upper row or right block. Input "Minus" - the key [ -] in the upper row or the right block. Introduction "Multiplication" - the key [ *] in the block on the right or in the upper row. Entry "division" - key [ /] in the block on the right or in the upper row. Removing the last sign - the key [Backspace] in the digital row. You can discard the calculator using [del] or [ESC] - at the top [end] - on the right. Examples for calculations on the calculator online calculate the percentage of the number: 420 [x] 20 [ %]. The result is 84. Add interest to the number: 420 [ +] 20 [ %]. The result is 504. Substibly interest from: 420 [ -] 20 [ %]. The result is 336. Calculate the square root of 2704: 2704 [√]. The result is 52. Frequent questions I will try to calculate a simple example of 2+2 × 2 on the calculator online in the answer I get 8. Maybe the calculator counts the calculator? The calculator counts correctly! Just when each mathematical action is introduced, the calculator performs an intermediate calculation (summary). Look at the display of current actions. We read: 2 + 2 = 4 4 × 2 = 8. Correct answer 8. Draw in answer 6 you can use the mathematical regime of the calculator. This mode maintains work with expressions and does not make an summary. Set up the mathematical mode using the menu under the calculator case. The historical factory of modern calculators was an arithmometer. An arithmometer is a mechanical desktop that could perform only simple arithmetic operations: addition to subtract multiplication and division. The first mechanical counting machines appeared in the 15th century, but it was arithmometers that appeared in the middle of the 19th century and then their active use began. The calcar of the Calculator Calculatory Calculatory Calculator began Cornover loan calculator Mortgage calculator sums in words in the VAT calculator and datkalculator of days how many days before ... how many days before the birthday how many days before the summer until the spring, how many days before the winter, how many days before the date before the date before the date of how many days before the date before the date On March 8, how many days until February 23, the Circle Circle Circuspot Mifter Password generator generator random numbers calculator interest is equal to the number of PI squares of squares Online-Calculator Leopecks for how many months a year how many days a year how many hours a year how many minutes per day as many seconds In an hour, how many milliseconds per second are the current time 03: 45: 08, Sunday November 12, 2023 (configure) © 2010-2023 Calculator888.ru conditions of use | Contacts</v>
      </c>
    </row>
    <row r="429">
      <c r="A429" s="1" t="s">
        <v>1397</v>
      </c>
      <c r="B429" s="1" t="s">
        <v>1413</v>
      </c>
      <c r="C429" s="1" t="s">
        <v>1414</v>
      </c>
      <c r="D429" s="1">
        <v>4.0</v>
      </c>
      <c r="E429" s="4" t="s">
        <v>1415</v>
      </c>
      <c r="F429" s="1" t="s">
        <v>16</v>
      </c>
      <c r="G429" s="1" t="s">
        <v>1416</v>
      </c>
      <c r="H429" s="4" t="s">
        <v>1417</v>
      </c>
      <c r="I429" s="2"/>
      <c r="J429" s="5" t="str">
        <f>IFERROR(__xludf.DUMMYFUNCTION("GOOGLETRANSLATE(A429)"),"calculator")</f>
        <v>calculator</v>
      </c>
      <c r="K429" s="6" t="str">
        <f>IFERROR(__xludf.DUMMYFUNCTION("GOOGLETRANSLATE(B429)"),"Scientific calculator")</f>
        <v>Scientific calculator</v>
      </c>
      <c r="L429" s="5" t="str">
        <f>IFERROR(__xludf.DUMMYFUNCTION("GOOGLETRANSLATE(C429)"),"Beautiful and free scientific online calculator with advanced opportunities for calculating interest, fractions, exponential functions, logarithms, ...")</f>
        <v>Beautiful and free scientific online calculator with advanced opportunities for calculating interest, fractions, exponential functions, logarithms, ...</v>
      </c>
      <c r="M429" s="5" t="str">
        <f>IFERROR(__xludf.DUMMYFUNCTION("GOOGLETRANSLATE(G429)"),"Desmos | Let's learn together.Loading...")</f>
        <v>Desmos | Let's learn together.Loading...</v>
      </c>
    </row>
    <row r="430">
      <c r="A430" s="1" t="s">
        <v>1397</v>
      </c>
      <c r="B430" s="1" t="s">
        <v>1418</v>
      </c>
      <c r="C430" s="1" t="s">
        <v>1419</v>
      </c>
      <c r="D430" s="1">
        <v>5.0</v>
      </c>
      <c r="E430" s="4" t="s">
        <v>1420</v>
      </c>
      <c r="F430" s="1" t="s">
        <v>16</v>
      </c>
      <c r="G430" s="1" t="s">
        <v>1411</v>
      </c>
      <c r="H430" s="4" t="s">
        <v>1412</v>
      </c>
      <c r="I430" s="2"/>
      <c r="J430" s="5" t="str">
        <f>IFERROR(__xludf.DUMMYFUNCTION("GOOGLETRANSLATE(A430)"),"calculator")</f>
        <v>calculator</v>
      </c>
      <c r="K430" s="6" t="str">
        <f>IFERROR(__xludf.DUMMYFUNCTION("GOOGLETRANSLATE(B430)"),"Online calculator - best and free | Calculator888")</f>
        <v>Online calculator - best and free | Calculator888</v>
      </c>
      <c r="L430" s="5" t="str">
        <f>IFERROR(__xludf.DUMMYFUNCTION("GOOGLETRANSLATE(C430)"),"Free calculator online with brackets for calculations at work, study or at home. The calculator works on computers, tablets and smartphones.")</f>
        <v>Free calculator online with brackets for calculations at work, study or at home. The calculator works on computers, tablets and smartphones.</v>
      </c>
      <c r="M430" s="5" t="str">
        <f>IFERROR(__xludf.DUMMYFUNCTION("GOOGLETRANSLATE(G430)"),"Online calculator - best and free | Calculator888 Calculators: Online simple engineering VAT interest currency days credit generators: passwords random numbers calculator. Calcalculator online is a large -large size +90%normal size +70%normal size +60%nor"&amp;"mal size +50%normal size +normal size + 30%normal size +20%normal size +10%normal size -rate -10%normal size -20%normal size -30%normal size -40%normal size -50%normal size -60%normal size -70%normal size normal -80%normal size -90%is very small very smal"&amp;"l Smobokokokobokkkalkator online for free instructions for examplefaqs of history of the calculator sectional sectional calculator online for learning or at home. The calculator performs both simple arithmetic operations and the calculation of percentage "&amp;"of the calculation of the square root solves online complex expressions with brackets. The calculator works on computers of tablets and smartphones quickly loads, counts online has a built -in memory and an additional display of current actions. The resul"&amp;"ts of the calculations can be copied. The operating modes of the calculator with a 2-modes supports work: with or without brackets. The main difference is the use of brackets in calculations and as a result of calculating more complex tasks. To switch mod"&amp;"es, use the drop -down menu under the calculator. Variants of the default housing case load the case for a PC or tablets. For more comfortable work on smartphones, it is possible to use the option of mobile layout. PC/mobile switch on the calculator case "&amp;"to select a version of a convenient version to you. Function of buttons [x] - multiplication [÷] - division [ -] - subtraction; [ %] - interest calculation; [Mu] - work with the margin; [00] - input of 2 zeros; [0] [1] ... [9] - the key of numbers; [→] - "&amp;"removal of the last sign; [+/-] - change the mathematical sign of the number to the opposite; [√] - calculation of the square root; [M +] - preserve the result in memory with a sign [ +]; [M-] - preserve the result in memory with a sign [ -]; [Mr] - showi"&amp;"ng memory on the display; [Mc] - reset the contents of the memory; [AC] - drop the calculator and memory; [C] - throw off the calculator without cleaning memory. Work using a computer keyboard to working with a calculator use any digital keyboard keys - t"&amp;"he upper row keys or separate in the right unit (if any). The “equal” - the key [Enter]. Introduction ""plus"" - key [ +] in the upper row or right block. Input ""Minus"" - the key [ -] in the upper row or the right block. Introduction ""Multiplication"" "&amp;"- the key [ *] in the block on the right or in the upper row. Entry ""division"" - key [ /] in the block on the right or in the upper row. Removing the last sign - the key [Backspace] in the digital row. You can discard the calculator using [del] or [ESC]"&amp;" - at the top [end] - on the right. Examples for calculations on the calculator online calculate the percentage of the number: 420 [x] 20 [ %]. The result is 84. Add interest to the number: 420 [ +] 20 [ %]. The result is 504. Substibly interest from: 420"&amp;" [ -] 20 [ %]. The result is 336. Calculate the square root of 2704: 2704 [√]. The result is 52. Frequent questions I will try to calculate a simple example of 2+2 × 2 on the calculator online in the answer I get 8. Maybe the calculator counts the calcula"&amp;"tor? The calculator counts correctly! Just when each mathematical action is introduced, the calculator performs an intermediate calculation (summary). Look at the display of current actions. We read: 2 + 2 = 4 4 × 2 = 8. Correct answer 8. Draw in answer 6"&amp;" you can use the mathematical regime of the calculator. This mode maintains work with expressions and does not make an summary. Set up the mathematical mode using the menu under the calculator case. The historical factory of modern calculators was an arit"&amp;"hmometer. An arithmometer is a mechanical desktop that could perform only simple arithmetic operations: addition to subtract multiplication and division. The first mechanical counting machines appeared in the 15th century, but it was arithmometers that ap"&amp;"peared in the middle of the 19th century and then their active use began. The calcar of the Calculator Calculatory Calculatory Calculator began Cornover loan calculator Mortgage calculator sums in words in the VAT calculator and datkalculator of days how "&amp;"many days before ... how many days before the birthday how many days before the summer until the spring, how many days before the winter, how many days before the date before the date before the date of how many days before the date before the date On Mar"&amp;"ch 8, how many days until February 23, the Circle Circle Circuspot Mifter Password generator generator random numbers calculator interest is equal to the number of PI squares of squares Online-Calculator Leopecks for how many months a year how many days a"&amp;" year how many hours a year how many minutes per day as many seconds In an hour, how many milliseconds per second are the current time 03: 45: 08, Sunday November 12, 2023 (configure) © 2010-2023 Calculator888.ru conditions of use | Contacts")</f>
        <v>Online calculator - best and free | Calculator888 Calculators: Online simple engineering VAT interest currency days credit generators: passwords random numbers calculator. Calcalculator online is a large -large size +90%normal size +70%normal size +60%normal size +50%normal size +normal size + 30%normal size +20%normal size +10%normal size -rate -10%normal size -20%normal size -30%normal size -40%normal size -50%normal size -60%normal size -70%normal size normal -80%normal size -90%is very small very small Smobokokokobokkkalkator online for free instructions for examplefaqs of history of the calculator sectional sectional calculator online for learning or at home. The calculator performs both simple arithmetic operations and the calculation of percentage of the calculation of the square root solves online complex expressions with brackets. The calculator works on computers of tablets and smartphones quickly loads, counts online has a built -in memory and an additional display of current actions. The results of the calculations can be copied. The operating modes of the calculator with a 2-modes supports work: with or without brackets. The main difference is the use of brackets in calculations and as a result of calculating more complex tasks. To switch modes, use the drop -down menu under the calculator. Variants of the default housing case load the case for a PC or tablets. For more comfortable work on smartphones, it is possible to use the option of mobile layout. PC/mobile switch on the calculator case to select a version of a convenient version to you. Function of buttons [x] - multiplication [÷] - division [ -] - subtraction; [ %] - interest calculation; [Mu] - work with the margin; [00] - input of 2 zeros; [0] [1] ... [9] - the key of numbers; [→] - removal of the last sign; [+/-] - change the mathematical sign of the number to the opposite; [√] - calculation of the square root; [M +] - preserve the result in memory with a sign [ +]; [M-] - preserve the result in memory with a sign [ -]; [Mr] - showing memory on the display; [Mc] - reset the contents of the memory; [AC] - drop the calculator and memory; [C] - throw off the calculator without cleaning memory. Work using a computer keyboard to working with a calculator use any digital keyboard keys - the upper row keys or separate in the right unit (if any). The “equal” - the key [Enter]. Introduction "plus" - key [ +] in the upper row or right block. Input "Minus" - the key [ -] in the upper row or the right block. Introduction "Multiplication" - the key [ *] in the block on the right or in the upper row. Entry "division" - key [ /] in the block on the right or in the upper row. Removing the last sign - the key [Backspace] in the digital row. You can discard the calculator using [del] or [ESC] - at the top [end] - on the right. Examples for calculations on the calculator online calculate the percentage of the number: 420 [x] 20 [ %]. The result is 84. Add interest to the number: 420 [ +] 20 [ %]. The result is 504. Substibly interest from: 420 [ -] 20 [ %]. The result is 336. Calculate the square root of 2704: 2704 [√]. The result is 52. Frequent questions I will try to calculate a simple example of 2+2 × 2 on the calculator online in the answer I get 8. Maybe the calculator counts the calculator? The calculator counts correctly! Just when each mathematical action is introduced, the calculator performs an intermediate calculation (summary). Look at the display of current actions. We read: 2 + 2 = 4 4 × 2 = 8. Correct answer 8. Draw in answer 6 you can use the mathematical regime of the calculator. This mode maintains work with expressions and does not make an summary. Set up the mathematical mode using the menu under the calculator case. The historical factory of modern calculators was an arithmometer. An arithmometer is a mechanical desktop that could perform only simple arithmetic operations: addition to subtract multiplication and division. The first mechanical counting machines appeared in the 15th century, but it was arithmometers that appeared in the middle of the 19th century and then their active use began. The calcar of the Calculator Calculatory Calculatory Calculator began Cornover loan calculator Mortgage calculator sums in words in the VAT calculator and datkalculator of days how many days before ... how many days before the birthday how many days before the summer until the spring, how many days before the winter, how many days before the date before the date before the date of how many days before the date before the date On March 8, how many days until February 23, the Circle Circle Circuspot Mifter Password generator generator random numbers calculator interest is equal to the number of PI squares of squares Online-Calculator Leopecks for how many months a year how many days a year how many hours a year how many minutes per day as many seconds In an hour, how many milliseconds per second are the current time 03: 45: 08, Sunday November 12, 2023 (configure) © 2010-2023 Calculator888.ru conditions of use | Contacts</v>
      </c>
    </row>
    <row r="431">
      <c r="A431" s="1" t="s">
        <v>1397</v>
      </c>
      <c r="B431" s="1" t="s">
        <v>1421</v>
      </c>
      <c r="C431" s="1" t="s">
        <v>1422</v>
      </c>
      <c r="D431" s="1">
        <v>6.0</v>
      </c>
      <c r="E431" s="4" t="s">
        <v>1423</v>
      </c>
      <c r="F431" s="1" t="s">
        <v>16</v>
      </c>
      <c r="G431" s="1" t="s">
        <v>1424</v>
      </c>
      <c r="H431" s="4" t="s">
        <v>1425</v>
      </c>
      <c r="I431" s="2"/>
      <c r="J431" s="5" t="str">
        <f>IFERROR(__xludf.DUMMYFUNCTION("GOOGLETRANSLATE(A431)"),"calculator")</f>
        <v>calculator</v>
      </c>
      <c r="K431" s="6" t="str">
        <f>IFERROR(__xludf.DUMMYFUNCTION("GOOGLETRANSLATE(B431)"),"Web 2.0 Scientific calculator")</f>
        <v>Web 2.0 Scientific calculator</v>
      </c>
      <c r="L431" s="5" t="str">
        <f>IFERROR(__xludf.DUMMYFUNCTION("GOOGLETRANSLATE(C431)"),"Web2.0Calc.ru online calculator provides basic and additional mathematical functions useful for school or college. You can manage ...")</f>
        <v>Web2.0Calc.ru online calculator provides basic and additional mathematical functions useful for school or college. You can manage ...</v>
      </c>
      <c r="M431" s="5" t="str">
        <f>IFERROR(__xludf.DUMMYFUNCTION("GOOGLETRANSLATE(G431)"),"Web 2.0 Scientific calculator register to log in to the user's name password logging in the password? Home Forum+0 Formula Mathematics Help complex numberenticential calculus compilation You Google+ Facebook Mail for communication 2ndπconsteii [∷] [∷] x ="&amp;" = ([[[)] sin-1ASINSINH-1ASINHCOTY ÷ MODCCOSS-1COCOSH-1COCOSHSEC-1ASHSEC-1ASEC3ASEC3QUAC3456 ×#== HeXTANH-1ATANHCSCSCSCAX2123- = BINNCRNPR%LOG10X0x ±.+= Decx = ylnexlg22xorandxorlnexabc0b = hexlshrolrrrrrorlg22xdef0x = bin deg 360º Rad 2π- History- × Pure"&amp;" story × clipboard Production: Limit: Pimit: NOTATION: CON Dispute: Scientific calculatorWeb2.0Calc.ru online calculator provides basic and additional mathematical functions useful For school or college. You can control the calculator directly from the ke"&amp;"yboard as well as using buttons with a mouse. Become a fan! Https: //www.facebook.com/web-20-scentific-calculator-204577902909300/ Math formula display Solver Solver Calculator Widget Instructions for work, Guide, Give you informative instructions on how "&amp;"to effectively use this calculator. Chapter 1: Entering the mouse on the buttons to enter a mathematical formula or equation as a pocket calculator. The head 2: Entering from the keyboard, you prefer entering from the keyboard mathematical formulas can be"&amp;" introduced directly in the input line. Pressing ↵ triggers the calculation. 3: functions of calculating the function as a ""sinus"" with an argument as 90 enter the corresponding name of the function with the subsequent argument 90 in brackets. Example: "&amp;"sin (90) complex numbers (2+2i)*(3+3I) differential calculus (x^2) differential calculus (x^2) equations^2+2x-1 = 9 functioning graphics (sin (x) x = x = x = iv (x) x = =) x = =) x = =) x = 0..360) linear algebra (1 2 3)#(4 5 6) Theory of numbers (xx = 1 "&amp;"CM Mathematical Estabulumlamatomathemathemathematimatematimatimatimetametotatotatokatokykorn √ Geometry Cuprohigigra in the bone ❒ Cylinders ❒SHAR ▭SHAR ❍ Direct line ⁄CARICALLYALLY PRICECHINATIONAL PROCTRocentrigonometry ◿android App ATH Formula Inputbet"&amp;"an programmate Assistance to the Extractions of vehicles / Matrix Converter Create graphicExpand simplify Differentiate Integrate Factorize Limit Solve Auto 12 digits 18 digits 24 digits 30 digits 48 digits 60 digits Standard (000011) Scientific (1.1*10-4"&amp;") We discovered that JavaScript is disabled, but our site requires JavaScript .. Continuity output data from the confidentiality of the use of use of "" Report about the problems of the Google+ Facebook post office for communicationwritHDRAW COOKIE CONSEN"&amp;"TWEB2.0CALC.CHNER.de Web2.0CalC.FR Web2.IN Web2.0CALC.ruc.rucopyright 2006-2023 Dre Massow Your System Successfully Blocked Advertisements on This WebSite! All the Major Web Browsers are Starting to Block Tracking-Software and Advertisements by Default to"&amp;" Imvacy.i Do not Ask You To Dizable Youur Ad Bl OCker BecAuse there Many Good Reasons to Use ONE.LASE GIVE ME SOME TIME to REMOVE this dialog from this website sorry.i am just Waiting to Win The Lottery So Can Afford Offering this Website to Users Who Wan"&amp;"t to Webis Webisite Withaut Ads.wish Me L uck! Andre Recload Member Login")</f>
        <v>Web 2.0 Scientific calculator register to log in to the user's name password logging in the password? Home Forum+0 Formula Mathematics Help complex numberenticential calculus compilation You Google+ Facebook Mail for communication 2ndπconsteii [∷] [∷] x = = ([[[)] sin-1ASINSINH-1ASINHCOTY ÷ MODCCOSS-1COCOSH-1COCOSHSEC-1ASHSEC-1ASEC3ASEC3QUAC3456 ×#== HeXTANH-1ATANHCSCSCSCAX2123- = BINNCRNPR%LOG10X0x ±.+= Decx = ylnexlg22xorandxorlnexabc0b = hexlshrolrrrrrorlg22xdef0x = bin deg 360º Rad 2π- History- × Pure story × clipboard Production: Limit: Pimit: NOTATION: CON Dispute: Scientific calculatorWeb2.0Calc.ru online calculator provides basic and additional mathematical functions useful For school or college. You can control the calculator directly from the keyboard as well as using buttons with a mouse. Become a fan! Https: //www.facebook.com/web-20-scentific-calculator-204577902909300/ Math formula display Solver Solver Calculator Widget Instructions for work, Guide, Give you informative instructions on how to effectively use this calculator. Chapter 1: Entering the mouse on the buttons to enter a mathematical formula or equation as a pocket calculator. The head 2: Entering from the keyboard, you prefer entering from the keyboard mathematical formulas can be introduced directly in the input line. Pressing ↵ triggers the calculation. 3: functions of calculating the function as a "sinus" with an argument as 90 enter the corresponding name of the function with the subsequent argument 90 in brackets. Example: sin (90) complex numbers (2+2i)*(3+3I) differential calculus (x^2) differential calculus (x^2) equations^2+2x-1 = 9 functioning graphics (sin (x) x = x = x = iv (x) x = =) x = =) x = =) x = 0..360) linear algebra (1 2 3)#(4 5 6) Theory of numbers (xx = 1 CM Mathematical Estabulumlamatomathemathemathematimatematimatimatimetametotatotatokatokykorn √ Geometry Cuprohigigra in the bone ❒ Cylinders ❒SHAR ▭SHAR ❍ Direct line ⁄CARICALLYALLY PRICECHINATIONAL PROCTRocentrigonometry ◿android App ATH Formula Inputbetan programmate Assistance to the Extractions of vehicles / Matrix Converter Create graphicExpand simplify Differentiate Integrate Factorize Limit Solve Auto 12 digits 18 digits 24 digits 30 digits 48 digits 60 digits Standard (000011) Scientific (1.1*10-4) We discovered that JavaScript is disabled, but our site requires JavaScript .. Continuity output data from the confidentiality of the use of use of " Report about the problems of the Google+ Facebook post office for communicationwritHDRAW COOKIE CONSENTWEB2.0CALC.CHNER.de Web2.0CalC.FR Web2.IN Web2.0CALC.ruc.rucopyright 2006-2023 Dre Massow Your System Successfully Blocked Advertisements on This WebSite! All the Major Web Browsers are Starting to Block Tracking-Software and Advertisements by Default to Imvacy.i Do not Ask You To Dizable Youur Ad Bl OCker BecAuse there Many Good Reasons to Use ONE.LASE GIVE ME SOME TIME to REMOVE this dialog from this website sorry.i am just Waiting to Win The Lottery So Can Afford Offering this Website to Users Who Want to Webis Webisite Withaut Ads.wish Me L uck! Andre Recload Member Login</v>
      </c>
    </row>
    <row r="432">
      <c r="A432" s="1" t="s">
        <v>1397</v>
      </c>
      <c r="B432" s="1" t="s">
        <v>1426</v>
      </c>
      <c r="C432" s="1" t="s">
        <v>1427</v>
      </c>
      <c r="D432" s="1">
        <v>7.0</v>
      </c>
      <c r="E432" s="4" t="s">
        <v>1428</v>
      </c>
      <c r="F432" s="1" t="s">
        <v>16</v>
      </c>
      <c r="I432" s="2"/>
      <c r="J432" s="5" t="str">
        <f>IFERROR(__xludf.DUMMYFUNCTION("GOOGLETRANSLATE(A432)"),"calculator")</f>
        <v>calculator</v>
      </c>
      <c r="K432" s="6" t="str">
        <f>IFERROR(__xludf.DUMMYFUNCTION("GOOGLETRANSLATE(B432)"),"Mortgage calculator - calculate the mortgage online ...")</f>
        <v>Mortgage calculator - calculate the mortgage online ...</v>
      </c>
      <c r="L432" s="5" t="str">
        <f>IFERROR(__xludf.DUMMYFUNCTION("GOOGLETRANSLATE(C432)"),"Online mortgage calculator in 2023 from Sberbank. ✓ Calculate the monthly payment, the amount and rate on a mortgage loan for real estate.")</f>
        <v>Online mortgage calculator in 2023 from Sberbank. ✓ Calculate the monthly payment, the amount and rate on a mortgage loan for real estate.</v>
      </c>
      <c r="M432" s="5" t="str">
        <f>IFERROR(__xludf.DUMMYFUNCTION("GOOGLETRANSLATE(G432)"),"#VALUE!")</f>
        <v>#VALUE!</v>
      </c>
    </row>
    <row r="433">
      <c r="A433" s="1" t="s">
        <v>1397</v>
      </c>
      <c r="B433" s="1" t="s">
        <v>1429</v>
      </c>
      <c r="C433" s="1" t="s">
        <v>1430</v>
      </c>
      <c r="D433" s="1">
        <v>8.0</v>
      </c>
      <c r="E433" s="4" t="s">
        <v>1431</v>
      </c>
      <c r="F433" s="1" t="s">
        <v>16</v>
      </c>
      <c r="G433" s="1" t="s">
        <v>1432</v>
      </c>
      <c r="H433" s="4" t="s">
        <v>1433</v>
      </c>
      <c r="I433" s="2"/>
      <c r="J433" s="5" t="str">
        <f>IFERROR(__xludf.DUMMYFUNCTION("GOOGLETRANSLATE(A433)"),"calculator")</f>
        <v>calculator</v>
      </c>
      <c r="K433" s="6" t="str">
        <f>IFERROR(__xludf.DUMMYFUNCTION("GOOGLETRANSLATE(B433)"),"Credit calculator")</f>
        <v>Credit calculator</v>
      </c>
      <c r="L433" s="5" t="str">
        <f>IFERROR(__xludf.DUMMYFUNCTION("GOOGLETRANSLATE(C433)"),"Convenient online credit calculator. Quick calculation of loan payments.")</f>
        <v>Convenient online credit calculator. Quick calculation of loan payments.</v>
      </c>
      <c r="M433" s="5" t="str">
        <f>IFERROR(__xludf.DUMMYFUNCTION("GOOGLETRANSLATE(G433)"),"The financial culture of You Need to Enable JavaScript to Run this App.")</f>
        <v>The financial culture of You Need to Enable JavaScript to Run this App.</v>
      </c>
    </row>
    <row r="434">
      <c r="A434" s="1" t="s">
        <v>1397</v>
      </c>
      <c r="B434" s="1" t="s">
        <v>1434</v>
      </c>
      <c r="C434" s="1" t="s">
        <v>1435</v>
      </c>
      <c r="D434" s="1">
        <v>9.0</v>
      </c>
      <c r="E434" s="4" t="s">
        <v>1436</v>
      </c>
      <c r="F434" s="1" t="s">
        <v>16</v>
      </c>
      <c r="G434" s="1" t="s">
        <v>1437</v>
      </c>
      <c r="H434" s="4" t="s">
        <v>1438</v>
      </c>
      <c r="I434" s="2"/>
      <c r="J434" s="5" t="str">
        <f>IFERROR(__xludf.DUMMYFUNCTION("GOOGLETRANSLATE(A434)"),"calculator")</f>
        <v>calculator</v>
      </c>
      <c r="K434" s="6" t="str">
        <f>IFERROR(__xludf.DUMMYFUNCTION("GOOGLETRANSLATE(B434)"),"Calculator of days")</f>
        <v>Calculator of days</v>
      </c>
      <c r="L434" s="5" t="str">
        <f>IFERROR(__xludf.DUMMYFUNCTION("GOOGLETRANSLATE(C434)"),"The calculator of days will determine the difference between the dates, calculate the number of working days or what date will come through the given time.")</f>
        <v>The calculator of days will determine the difference between the dates, calculate the number of working days or what date will come through the given time.</v>
      </c>
      <c r="M434" s="5" t="str">
        <f>IFERROR(__xludf.DUMMYFUNCTION("GOOGLETRANSLATE(G434)"),"The Portal of Financial Calculatorsfincalculator.ru Portal Financial Calcules for the Credite -Keluridaridically Delicitan Fires of the Rights of the Financial Credit Credit calculator will calculate the full cost of the loan, taking into account the comm"&amp;"issions and other additional costs for credit. It will take into account inflation and will allow you to choose the most comfortable loan terms. Cross! Calculator of deposits will calculate the actual profitability of the contribution, taking into account"&amp;" the fertilized tax frequency of the percentage of the capitalized to their contribution. Go! We calculate how much time it costs? Is it profitable to make purchases in a more expensive store but save 15 minutes of your time? Or maybe you should go to wor"&amp;"k by taxi? Cross! The mortgage calculator will take into account the most common commissions in banks of the insurance requirements and other additional fees that are characteristic of loans issued on security of real estate. Go! Calculator of the car loa"&amp;"n will take into account the most typical additional payments that are characteristic of loans issued for the purchase of a car. Cross! Consumer loan calculator will take into account the commission fees related to loans issued for urgent needs. Go! Calcu"&amp;"lator online calculator with support for currencies calculating interest and calculating complex expressions. Go! Calculator of days Calculator calculating the number of days between two dates and determining the date through the specified number of days."&amp;" Go! Previousnextusd: 9192666 Course of the Central Bank at 10.11EUR: 984076 CURSE OF 10.11 Rubusdeur deposits deposit calculator Calculation of the balance loans credit calculator Consumer loan calculator Calendar Calculator of Days Production Calendar f"&amp;"or 2023 Production calendar for 2024 all calendars different calculator courses online region by phone number how much time costs? Directory of banks transliteration © 2010-2023 Sergey Chepurnov | Feedback | Privacy Policy | User agreement | 18+ For compl"&amp;"ete functional work of this site, it is necessary to enable the performance of JavaScript scenarios. Unfortunately, the site is not optimized for working with this version of the browser. Please try updating the version to the most relevant or using anoth"&amp;"er browser. Hide a notification")</f>
        <v>The Portal of Financial Calculatorsfincalculator.ru Portal Financial Calcules for the Credite -Keluridaridically Delicitan Fires of the Rights of the Financial Credit Credit calculator will calculate the full cost of the loan, taking into account the commissions and other additional costs for credit. It will take into account inflation and will allow you to choose the most comfortable loan terms. Cross! Calculator of deposits will calculate the actual profitability of the contribution, taking into account the fertilized tax frequency of the percentage of the capitalized to their contribution. Go! We calculate how much time it costs? Is it profitable to make purchases in a more expensive store but save 15 minutes of your time? Or maybe you should go to work by taxi? Cross! The mortgage calculator will take into account the most common commissions in banks of the insurance requirements and other additional fees that are characteristic of loans issued on security of real estate. Go! Calculator of the car loan will take into account the most typical additional payments that are characteristic of loans issued for the purchase of a car. Cross! Consumer loan calculator will take into account the commission fees related to loans issued for urgent needs. Go! Calculator online calculator with support for currencies calculating interest and calculating complex expressions. Go! Calculator of days Calculator calculating the number of days between two dates and determining the date through the specified number of days. Go! Previousnextusd: 9192666 Course of the Central Bank at 10.11EUR: 984076 CURSE OF 10.11 Rubusdeur deposits deposit calculator Calculation of the balance loans credit calculator Consumer loan calculator Calendar Calculator of Days Production Calendar for 2023 Production calendar for 2024 all calendars different calculator courses online region by phone number how much time costs? Directory of banks transliteration © 2010-2023 Sergey Chepurnov | Feedback | Privacy Policy | User agreement | 18+ For complete functional work of this site, it is necessary to enable the performance of JavaScript scenarios. Unfortunately, the site is not optimized for working with this version of the browser. Please try updating the version to the most relevant or using another browser. Hide a notification</v>
      </c>
    </row>
    <row r="435">
      <c r="A435" s="1" t="s">
        <v>1397</v>
      </c>
      <c r="B435" s="1" t="s">
        <v>1439</v>
      </c>
      <c r="D435" s="1">
        <v>10.0</v>
      </c>
      <c r="E435" s="4" t="s">
        <v>1440</v>
      </c>
      <c r="F435" s="1" t="s">
        <v>16</v>
      </c>
      <c r="I435" s="2"/>
      <c r="J435" s="5" t="str">
        <f>IFERROR(__xludf.DUMMYFUNCTION("GOOGLETRANSLATE(A435)"),"calculator")</f>
        <v>calculator</v>
      </c>
      <c r="K435" s="6" t="str">
        <f>IFERROR(__xludf.DUMMYFUNCTION("GOOGLETRANSLATE(B435)"),"Mortgage calculator of bets - calculate the mortgage ...")</f>
        <v>Mortgage calculator of bets - calculate the mortgage ...</v>
      </c>
      <c r="L435" s="5" t="str">
        <f>IFERROR(__xludf.DUMMYFUNCTION("GOOGLETRANSLATE(C435)"),"#VALUE!")</f>
        <v>#VALUE!</v>
      </c>
      <c r="M435" s="5" t="str">
        <f>IFERROR(__xludf.DUMMYFUNCTION("GOOGLETRANSLATE(G435)"),"#VALUE!")</f>
        <v>#VALUE!</v>
      </c>
    </row>
    <row r="436">
      <c r="A436" s="1" t="s">
        <v>1397</v>
      </c>
      <c r="B436" s="1" t="s">
        <v>1441</v>
      </c>
      <c r="C436" s="1" t="s">
        <v>1442</v>
      </c>
      <c r="D436" s="1">
        <v>11.0</v>
      </c>
      <c r="E436" s="4" t="s">
        <v>1443</v>
      </c>
      <c r="F436" s="1" t="s">
        <v>16</v>
      </c>
      <c r="G436" s="1" t="s">
        <v>31</v>
      </c>
      <c r="H436" s="4" t="s">
        <v>32</v>
      </c>
      <c r="I436" s="2"/>
      <c r="J436" s="5" t="str">
        <f>IFERROR(__xludf.DUMMYFUNCTION("GOOGLETRANSLATE(A436)"),"calculator")</f>
        <v>calculator</v>
      </c>
      <c r="K436" s="6" t="str">
        <f>IFERROR(__xludf.DUMMYFUNCTION("GOOGLETRANSLATE(B436)"),"Calculator")</f>
        <v>Calculator</v>
      </c>
      <c r="L436" s="5" t="str">
        <f>IFERROR(__xludf.DUMMYFUNCTION("GOOGLETRANSLATE(C436)"),"Calculator (lat. Calculātor ""counter"") - electronic computing device or software (for example, built into a mobile phone, ...")</f>
        <v>Calculator (lat. Calculātor "counter") - electronic computing device or software (for example, built into a mobile phone, ...</v>
      </c>
      <c r="M436" s="5" t="str">
        <f>IFERROR(__xludf.DUMMYFUNCTION("GOOGLETRANSLATE(G436)"),"Wikipedia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437">
      <c r="A437" s="1" t="s">
        <v>1397</v>
      </c>
      <c r="B437" s="1" t="s">
        <v>1444</v>
      </c>
      <c r="C437" s="1" t="s">
        <v>1445</v>
      </c>
      <c r="D437" s="1">
        <v>12.0</v>
      </c>
      <c r="E437" s="4" t="s">
        <v>1446</v>
      </c>
      <c r="F437" s="1" t="s">
        <v>16</v>
      </c>
      <c r="I437" s="2"/>
      <c r="J437" s="5" t="str">
        <f>IFERROR(__xludf.DUMMYFUNCTION("GOOGLETRANSLATE(A437)"),"calculator")</f>
        <v>calculator</v>
      </c>
      <c r="K437" s="6" t="str">
        <f>IFERROR(__xludf.DUMMYFUNCTION("GOOGLETRANSLATE(B437)"),"Ozon calculator")</f>
        <v>Ozon calculator</v>
      </c>
      <c r="L437" s="5" t="str">
        <f>IFERROR(__xludf.DUMMYFUNCTION("GOOGLETRANSLATE(C437)"),"This calculator will help you calculate the costs and profit from the sale of goods on Ozon MarketPlace. The calculator shows approximate calculations.")</f>
        <v>This calculator will help you calculate the costs and profit from the sale of goods on Ozon MarketPlace. The calculator shows approximate calculations.</v>
      </c>
      <c r="M437" s="5" t="str">
        <f>IFERROR(__xludf.DUMMYFUNCTION("GOOGLETRANSLATE(G437)"),"#VALUE!")</f>
        <v>#VALUE!</v>
      </c>
    </row>
    <row r="438">
      <c r="A438" s="1" t="s">
        <v>1397</v>
      </c>
      <c r="B438" s="1" t="s">
        <v>1447</v>
      </c>
      <c r="C438" s="1" t="s">
        <v>1448</v>
      </c>
      <c r="D438" s="1">
        <v>13.0</v>
      </c>
      <c r="E438" s="4" t="s">
        <v>1449</v>
      </c>
      <c r="F438" s="1" t="s">
        <v>16</v>
      </c>
      <c r="G438" s="1" t="s">
        <v>1450</v>
      </c>
      <c r="H438" s="4" t="s">
        <v>1451</v>
      </c>
      <c r="I438" s="2"/>
      <c r="J438" s="5" t="str">
        <f>IFERROR(__xludf.DUMMYFUNCTION("GOOGLETRANSLATE(A438)"),"calculator")</f>
        <v>calculator</v>
      </c>
      <c r="K438" s="6" t="str">
        <f>IFERROR(__xludf.DUMMYFUNCTION("GOOGLETRANSLATE(B438)"),"How to choose a calculator for working in the office? ...")</f>
        <v>How to choose a calculator for working in the office? ...</v>
      </c>
      <c r="L438" s="5" t="str">
        <f>IFERROR(__xludf.DUMMYFUNCTION("GOOGLETRANSLATE(C438)"),"What is the discharge of the calculator and what does it affect? The computing device displays is limited by the number of characters that it can show. If you ...")</f>
        <v>What is the discharge of the calculator and what does it affect? The computing device displays is limited by the number of characters that it can show. If you ...</v>
      </c>
      <c r="M438" s="5" t="str">
        <f>IFERROR(__xludf.DUMMYFUNCTION("GOOGLETRANSLATE(G438)"),"��������-������� �������: ���������� ������ ��� ����� � ���������. �� ���������� ����� cookies    ��� ������ �������� ����������� ������ � ���������. ��������� ������������ ����� ������ �� ����� �������� �� ��������� ������������� ������ � �����    ������"&amp;"�� � ��������� ��������� � ������ ������������ ������� ��������� ����� �������� �������� JavaScript. �������� ��� � ���������� ������ �������� � ������������� ��������.                        ��� ������������� ������� ��������� ��� �� ������ +7 (910) 744-"&amp;"44-04         ������                ��� ����� ������?�����  �������� �����                    ����������������������������������������                        ���                     �������. ��� ����� ������ �������������������. ��� ����� ������ ���������"&amp;"����������                                ��������������������������������� �������. ������ (���)������ ��� ������������������������������ ���������� ��������� �������������� ������������������������������������������� � ����. �����                    ���"&amp;"��                ������� ������������ ������ ����������� ������ � ��������!���� ������                    ������� ������                                    ����������� 24                ��������������������������                    ������ ����           "&amp;"     ����� ������� ������������� � ���������������� ������ ����������������������*�������� �������**                    ����/���                                    �����������                                    ������ ����������                           "&amp;"         �����������������                ������� ����������� � �������                        ��������: ���������                        ������� ��������:                        �������� ��������������������������������������������������                 "&amp;"           �������                                    �������                            �������            ������� ��� ���������������������� ������������ ����� ��������� ����� ������� ��� ����� ������� �������.���� � ��� ��� ������� ������ �������� ����"&amp;"����� �����������. ��� �� ������ �����                            �������.����������������������������������� ������ ������������������������������������������������ � ��������������������� ����������� ��������                 ����� ������                "&amp;"            ������� � �����������            �������� ���������� �� ���������� ���������������� ��������������� ����������                 ���������� ����������            �������� �������� ������������������� ����� ���������������� ������ ������������ ��"&amp;"����                 � ��������            ������ � ������������ �������������������� ������������� ������������������������� ����������������������������� � ������                 ������ ������ ������            ������ ���������������� ��������� ��������"&amp;"������ �������������������������� ��������� ����������� ������� �� ������ �������! ������� � �������! ������� �� �������! ���������� ������ �� �������! ���������� ���������� ������ ������! ����� ������. ����� ����������� LAIMA ULTRA - �������� ����� ��� �"&amp;"����� �����! ��������� �� ������ ��� �����! ����������� 2024! ������ ���� ���� � ������ ����! ����� ������ �������! ������� �� ������� ������� �� ERICH KRAUSE! ��� ��� ������ �� ������ � ���������! ������� � �������! ������ �� 40%! ���������� ������� � ��"&amp;"��������� �������! ������ �� -44% �� ������ ��� ������! ������ �� ����� � ���������� ��������� ���� � ������� ������! ������� ��� ������ �����! ������ �� ������ ��� �������� ����������!                      ���� ������!��������������100 ��������������� ��"&amp;"������ ����������������� ������� ��������!������ �4������ �4���� ������ � 11 �� 17 ������. �� ����� ����� �������� �� ����� ����� ��������05�.10�.14���.�������� �����������! ���������� ������ ����������� � ����� ����� ������ ��� ���������� ������ ����� ��"&amp;"������-�������.-9%���� ������ � 11 �� 17 ������.					����� ������! �� ����� ����� ���������� ����� ����� ��������05�.10�.14���. �������� ��� ����� ������ � ������ 750 �� LAIMA PROFESSIONAL «�����» ����������� 6046539602 ���. 8738 ���.������������ � ������"&amp;"� -25%���� ������ � 11 �� 17 ������.					����� ������! �� ����� ����� ���������� ����� ����� ��������05�.10�.14���. ������� ������������� ����� 19 �� � 35 � �� ���������� ������ 1 �� ������� BRAUBERG 22832626510 ���. 19883 ���.������������ � ������� -25%�"&amp;"��� ������ � 11 �� 17 ������.					����� ������! �� ����� ����� ���������� ����� ����� ��������05�.10�.14���. �������� �4 (229×324 ��) �������� ����� 100 �/�2 �������� 25 ��. BRAUBERG 12185226768 ���. 20076 ���.������������ � ������� -22%���� ������ � 11 �"&amp;"� 17 ������.					����� ������! �� ����� ����� ���������� ����� ����� ��������05�.10�.14���.������ ����  �������� �5 (162×229 ��) �������� ����� ����-���� ���������� ��������� 80 �/�2 �������� 100 ��. BRAUBERG 11218842152 ���. 32879 ���.������������ � ����"&amp;"��� -25%���� ������ � 11 �� 17 ������.					����� ������! �� ����� ����� ���������� ����� ����� ��������05�.10�.14���. ����� ��������� 200 �� ������� «�������» �� ����� ���������� ����������� � ���������26716 ���. 20037 ���.������������ � ������� -25%���� "&amp;"������ � 11 �� 17 ������.					����� ������! �� ����� ����� ���������� ����� ����� ��������05�.10�.14���.��� ������  ����� ����������� STAFF «����� �����» ������ 38×14 �� «Printer 9011T» 23742034421 ���. 25816 ���.������������ � ������� -25%���� ������ � 1"&amp;"1 �� 17 ������.					����� ������! �� ����� ����� ���������� ����� ����� ��������05�.10�.14���. ����� ��� ������ + ����� ������� ��������� ������ ������-����� ������ 60361542921 ���. 32191 ���.������������ � ������� -25%���� ������ � 11 �� 17 ������.					�"&amp;"���� ������! �� ����� ����� ���������� ����� ����� ��������05�.10�.14���. ��������� DURACELL MN27 Alkaline � �������� 12 �40746 ���. 30560 ���.������������ � ������� -25%���� ������ � 11 �� 17 ������.					����� ������! �� ����� ����� ���������� ����� ����"&amp;"� ��������05�.10�.14���.����� �2119812. ������� �� ������� ���������� ������������� �� BRAUBERG!- �� 1 000 ���. - �������� ��� ����� ������ � �������! - �� 1 500 ���. - �������� �������� � �������!- �� 3 000 ���. - �������� ��� ������ � �������!��������� "&amp;"��: 31.12.2023��������! ����� ���������                            ������ ��� ���������� ������� � ��������� � ����.                             ����������� ���������� BRAUBERG ULTRA PASTEL-12-LG (192×143 ��) 12 �������� ������� ������� ������ 25050485475"&amp;" ���. 64106 ���.������������ � ������� -7%���� ������ � 11 �� 17 ������.					����� ������! �� ����� ����� ���������� ����� ����� ��������05�.10�.14���. ������� ���������� GOLDEN DESSERT «����� �������� ����������» 200 � ��������� �������40506 ���. 37671 �"&amp;"��.������������ � ������� -7%���� ������ � 11 �� 17 ������.					����� ������! �� ����� ����� ���������� ����� ����� ��������05�.10�.14���. �����-������ � ������ 720 �� x 150 � ��������� 78 �/�2 ����� � (��������) BRAUBERG 4401851 31118 ���. 1 21940 ���.��"&amp;"���������� � ������� -25%���� ������ � 11 �� 17 ������.					����� ������! �� ����� ����� ���������� ����� ����� ��������05�.10�.14���. �������� �������������� BRAUBERG 1 ��. «Touch line» 2� ������ ������ ���������� 180623860 ���. 645 ���.������������ � ��"&amp;"����� -25%���� ������ � 11 �� 17 ������.					����� ������! �� ����� ����� ���������� ����� ����� ��������05�.10�.14���. �������� ��������-����� BRAUBERG ��� ������� ���� ����� � ������ ������������� 250 �� 51011716044 ���. 12033 ���.������������ � �������"&amp;" -15%���� ������ � 11 �� 17 ������.					����� ������! �� ����� ����� ���������� ����� ����� ��������05�.10�.14���. ���������� ��� ��� � ������������ ���������������� (64%) � ������������ 100�� ���������-����� ��������������� ��������9100 ���. 7735 ���.���"&amp;"��������� � ������� -9%���� ������ � 11 �� 17 ������.					����� ������! �� ����� ����� ���������� ����� ����� ��������05�.10�.14���. ��������� �������������� Ni-Mh ����������� / ������������ ����� 8 ��. (AA+���) 2700/1000 mAh SONNEN 4556121 24596 ���. 1 1"&amp;"3382 ���.������������ � �������  ������� ������������ 2024�������� ���������� ������������ 2024                            �������� �������                        �������� ����������� ��� ���� �����������! ��� ������� �����������! ���������� �����! ������"&amp;"� � �������� ������� � ������������ ���������� � �������� ������� � ���������������������������! ���������� ������ ������ ��� ����� ������������������� ������������! ���������� ������ ������ ��� ����� �����������                            ������ � ������"&amp;" ����                        ������ ��� ������������������� ��� ����������������� � �������������� ��� ���������                            ������ � �������������                        ����� ��������� ������������������� ��������� ��������������������� �"&amp;"����������� ������-������                            ���� ��� �������                        ������������ � �������������� ������� ������ �������! ������ ���� �� �����-�������������������� ���������� ������ �������! ������ ���� �� �����-������������      "&amp;"              ���������� �������                �������� ������������� ��������������������������� ������� ��������� ������������� ������������������ ���� �� �������� ����!�������� ���������� ���� �� �������� ����!                            ��� ������� �"&amp;" ���������� ����                        ����� ��� �������������-������������� ��������������������� �������������                            ����������� ��������������                        ������ ������������� ����������������������� ������������� �����"&amp;"������ �������������                            ����������� ������                         ������� � ����� ������������������� ������������������ �������� �������������� ����������������� ������! - 34% �� ���������� ��� ������ ������������� ��������� ����"&amp;"��! - 34% �� ���������� ��� ������ ������������ ��� ���������� ��� �������� ������! - 49% �� ����������� ������ ��� ������������� �������� ������! - 49% �� ����������� ������ ��� �����                            ��� ����� ������������                     "&amp;"   ����� ����������� �������� ��������������������������                            ������ ��� ������������                         �������� �������������� �������������� ������ ������������������ ��� �������������-������ �������                          "&amp;"  ������ ��� ��������                        ������ ��� �������� ����������������� � ������������� ��� �������������������� ������� ��������������� �� 37% �� ��� ��� ������ ����!�������� ��������� �� 37% �� ��� ��� ������ ����!Piazza Del Caffe � ���������"&amp;"�� ���� �������� �������� �� ������ �� ������������� ���Piazza Del Caffe � ����������� ���� �������� �������� �� ������ �� �������������� � ������� ��������� ������� ������ � VEIRO!�������� ������������ � ������� ��������� ������� ������ � VEIRO!         "&amp;"                   ��� �������� ������ �������                        ��� �������� ������ ������������������ �������������                             ������� ������� ��� ���                        ��������� �������� �� ���������������� ������� ����������"&amp;"��� ������� � ���� ����������������� �� ������ � ������ ���������                            ����� ������� ��� ���                        �������� ��������������� �������������� � ����������� ������������ ������ ��� ����������� �� 34% �� ��������� ������ "&amp;"� �������� ����������������� ��������� �� 34% �� ��������� ������ � �������� ����������� ������� ����������������������� ���������								����������� ���� � ��� ����� 20 �����������							����� ����������������������������� �������������������� ����������"&amp;"�� �������������������������������� �������������� �� �������������� �� ������������������ ������������������������ � ������������������� ������������������� �� ��������� �������������� ���������������� ���������������������������������� ��������� �������"&amp;"��������������� � �������� ������������������������� ������������� �������100 �������� ������� �������� ������ ����������� ������ � ������������� ������ ������ �� ����� ������ �����!������ ������-����������� ��������������������������������������� �������"&amp;"���������� �������� ������������������������������� ������������� ����������� ����� ��������������� ������ ������������ ��� ����������� ������������������ ������ �������������� ������ ������������ ������� ���������� ��������������������� � �������������� "&amp;"������ � ����������� �������������������� ������������� ������������������������� ���������������������� � ������+7 (495) 645-15-55 moscow@officemag.ru��� �������� ������� � ������������� ��������premium@officemag.ru���������� ���. ���������� ��. ������� "&amp;"2-� ���. 10���������� �� �������������������������� ��������������������������������� ������������� ����������� ����� �������������� ��� ����������� ������������������ ������������� ������ ������© 2004–2023 ������������� �����������                       "&amp;" ����� ��������� ������                        �������� �����                        ���������������")</f>
        <v>��������-������� �������: ���������� ������ ��� ����� � ���������. �� ���������� ����� cookies    ��� ������ �������� ����������� ������ � ���������. ��������� ������������ ����� ������ �� ����� �������� �� ��������� ������������� ������ � �����    �������� � ��������� ��������� � ������ ������������ ������� ��������� ����� �������� �������� JavaScript. �������� ��� � ���������� ������ �������� � ������������� ��������.                        ��� ������������� ������� ��������� ��� �� ������ +7 (910) 744-44-04         ������                ��� ����� ������?�����  �������� �����                    ����������������������������������������                        ���                     �������. ��� ����� ������ �������������������. ��� ����� ������ �������������������                                ��������������������������������� �������. ������ (���)������ ��� ������������������������������ ���������� ��������� �������������� ������������������������������������������� � ����. �����                    �����                ������� ������������ ������ ����������� ������ � ��������!���� ������                    ������� ������                                    ����������� 24                ��������������������������                    ������ ����                ����� ������� ������������� � ���������������� ������ ����������������������*�������� �������**                    ����/���                                    �����������                                    ������ ����������                                    �����������������                ������� ����������� � �������                        ��������: ���������                        ������� ��������:                        �������� ��������������������������������������������������                            �������                                    �������                            �������            ������� ��� ���������������������� ������������ ����� ��������� ����� ������� ��� ����� ������� �������.���� � ��� ��� ������� ������ �������� ��������� �����������. ��� �� ������ �����                            �������.����������������������������������� ������ ������������������������������������������������ � ��������������������� ����������� ��������                 ����� ������                            ������� � �����������            �������� ���������� �� ���������� ���������������� ��������������� ����������                 ���������� ����������            �������� �������� ������������������� ����� ���������������� ������ ������������ ������                 � ��������            ������ � ������������ �������������������� ������������� ������������������������� ����������������������������� � ������                 ������ ������ ������            ������ ���������������� ��������� �������������� �������������������������� ��������� ����������� ������� �� ������ �������! ������� � �������! ������� �� �������! ���������� ������ �� �������! ���������� ���������� ������ ������! ����� ������. ����� ����������� LAIMA ULTRA - �������� ����� ��� ������ �����! ��������� �� ������ ��� �����! ����������� 2024! ������ ���� ���� � ������ ����! ����� ������ �������! ������� �� ������� ������� �� ERICH KRAUSE! ��� ��� ������ �� ������ � ���������! ������� � �������! ������ �� 40%! ���������� ������� � ����������� �������! ������ �� -44% �� ������ ��� ������! ������ �� ����� � ���������� ��������� ���� � ������� ������! ������� ��� ������ �����! ������ �� ������ ��� �������� ����������!                      ���� ������!��������������100 ��������������� �������� ����������������� ������� ��������!������ �4������ �4���� ������ � 11 �� 17 ������. �� ����� ����� �������� �� ����� ����� ��������05�.10�.14���.�������� �����������! ���������� ������ ����������� � ����� ����� ������ ��� ���������� ������ ����� ��������-�������.-9%���� ������ � 11 �� 17 ������.					����� ������! �� ����� ����� ���������� ����� ����� ��������05�.10�.14���. �������� ��� ����� ������ � ������ 750 �� LAIMA PROFESSIONAL «�����» ����������� 6046539602 ���. 8738 ���.������������ � ������� -25%���� ������ � 11 �� 17 ������.					����� ������! �� ����� ����� ���������� ����� ����� ��������05�.10�.14���. ������� ������������� ����� 19 �� � 35 � �� ���������� ������ 1 �� ������� BRAUBERG 22832626510 ���. 19883 ���.������������ � ������� -25%���� ������ � 11 �� 17 ������.					����� ������! �� ����� ����� ���������� ����� ����� ��������05�.10�.14���. �������� �4 (229×324 ��) �������� ����� 100 �/�2 �������� 25 ��. BRAUBERG 12185226768 ���. 20076 ���.������������ � ������� -22%���� ������ � 11 �� 17 ������.					����� ������! �� ����� ����� ���������� ����� ����� ��������05�.10�.14���.������ ����  �������� �5 (162×229 ��) �������� ����� ����-���� ���������� ��������� 80 �/�2 �������� 100 ��. BRAUBERG 11218842152 ���. 32879 ���.������������ � ������� -25%���� ������ � 11 �� 17 ������.					����� ������! �� ����� ����� ���������� ����� ����� ��������05�.10�.14���. ����� ��������� 200 �� ������� «�������» �� ����� ���������� ����������� � ���������26716 ���. 20037 ���.������������ � ������� -25%���� ������ � 11 �� 17 ������.					����� ������! �� ����� ����� ���������� ����� ����� ��������05�.10�.14���.��� ������  ����� ����������� STAFF «����� �����» ������ 38×14 �� «Printer 9011T» 23742034421 ���. 25816 ���.������������ � ������� -25%���� ������ � 11 �� 17 ������.					����� ������! �� ����� ����� ���������� ����� ����� ��������05�.10�.14���. ����� ��� ������ + ����� ������� ��������� ������ ������-����� ������ 60361542921 ���. 32191 ���.������������ � ������� -25%���� ������ � 11 �� 17 ������.					����� ������! �� ����� ����� ���������� ����� ����� ��������05�.10�.14���. ��������� DURACELL MN27 Alkaline � �������� 12 �40746 ���. 30560 ���.������������ � ������� -25%���� ������ � 11 �� 17 ������.					����� ������! �� ����� ����� ���������� ����� ����� ��������05�.10�.14���.����� �2119812. ������� �� ������� ���������� ������������� �� BRAUBERG!- �� 1 000 ���. - �������� ��� ����� ������ � �������! - �� 1 500 ���. - �������� �������� � �������!- �� 3 000 ���. - �������� ��� ������ � �������!��������� ��: 31.12.2023��������! ����� ���������                            ������ ��� ���������� ������� � ��������� � ����.                             ����������� ���������� BRAUBERG ULTRA PASTEL-12-LG (192×143 ��) 12 �������� ������� ������� ������ 25050485475 ���. 64106 ���.������������ � ������� -7%���� ������ � 11 �� 17 ������.					����� ������! �� ����� ����� ���������� ����� ����� ��������05�.10�.14���. ������� ���������� GOLDEN DESSERT «����� �������� ����������» 200 � ��������� �������40506 ���. 37671 ���.������������ � ������� -7%���� ������ � 11 �� 17 ������.					����� ������! �� ����� ����� ���������� ����� ����� ��������05�.10�.14���. �����-������ � ������ 720 �� x 150 � ��������� 78 �/�2 ����� � (��������) BRAUBERG 4401851 31118 ���. 1 21940 ���.������������ � ������� -25%���� ������ � 11 �� 17 ������.					����� ������! �� ����� ����� ���������� ����� ����� ��������05�.10�.14���. �������� �������������� BRAUBERG 1 ��. «Touch line» 2� ������ ������ ���������� 180623860 ���. 645 ���.������������ � ������� -25%���� ������ � 11 �� 17 ������.					����� ������! �� ����� ����� ���������� ����� ����� ��������05�.10�.14���. �������� ��������-����� BRAUBERG ��� ������� ���� ����� � ������ ������������� 250 �� 51011716044 ���. 12033 ���.������������ � ������� -15%���� ������ � 11 �� 17 ������.					����� ������! �� ����� ����� ���������� ����� ����� ��������05�.10�.14���. ���������� ��� ��� � ������������ ���������������� (64%) � ������������ 100�� ���������-����� ��������������� ��������9100 ���. 7735 ���.������������ � ������� -9%���� ������ � 11 �� 17 ������.					����� ������! �� ����� ����� ���������� ����� ����� ��������05�.10�.14���. ��������� �������������� Ni-Mh ����������� / ������������ ����� 8 ��. (AA+���) 2700/1000 mAh SONNEN 4556121 24596 ���. 1 13382 ���.������������ � �������  ������� ������������ 2024�������� ���������� ������������ 2024                            �������� �������                        �������� ����������� ��� ���� �����������! ��� ������� �����������! ���������� �����! ������� � �������� ������� � ������������ ���������� � �������� ������� � ���������������������������! ���������� ������ ������ ��� ����� ������������������� ������������! ���������� ������ ������ ��� ����� �����������                            ������ � ������ ����                        ������ ��� ������������������� ��� ����������������� � �������������� ��� ���������                            ������ � �������������                        ����� ��������� ������������������� ��������� ��������������������� ������������ ������-������                            ���� ��� �������                        ������������ � �������������� ������� ������ �������! ������ ���� �� �����-�������������������� ���������� ������ �������! ������ ���� �� �����-������������                    ���������� �������                �������� ������������� ��������������������������� ������� ��������� ������������� ������������������ ���� �� �������� ����!�������� ���������� ���� �� �������� ����!                            ��� ������� � ���������� ����                        ����� ��� �������������-������������� ��������������������� �������������                            ����������� ��������������                        ������ ������������� ����������������������� ������������� ����������� �������������                            ����������� ������                         ������� � ����� ������������������� ������������������ �������� �������������� ����������������� ������! - 34% �� ���������� ��� ������ ������������� ��������� ������! - 34% �� ���������� ��� ������ ������������ ��� ���������� ��� �������� ������! - 49% �� ����������� ������ ��� ������������� �������� ������! - 49% �� ����������� ������ ��� �����                            ��� ����� ������������                        ����� ����������� �������� ��������������������������                            ������ ��� ������������                         �������� �������������� �������������� ������ ������������������ ��� �������������-������ �������                            ������ ��� ��������                        ������ ��� �������� ����������������� � ������������� ��� �������������������� ������� ��������������� �� 37% �� ��� ��� ������ ����!�������� ��������� �� 37% �� ��� ��� ������ ����!Piazza Del Caffe � ����������� ���� �������� �������� �� ������ �� ������������� ���Piazza Del Caffe � ����������� ���� �������� �������� �� ������ �� �������������� � ������� ��������� ������� ������ � VEIRO!�������� ������������ � ������� ��������� ������� ������ � VEIRO!                            ��� �������� ������ �������                        ��� �������� ������ ������������������ �������������                             ������� ������� ��� ���                        ��������� �������� �� ���������������� ������� ������������� ������� � ���� ����������������� �� ������ � ������ ���������                            ����� ������� ��� ���                        �������� ��������������� �������������� � ����������� ������������ ������ ��� ����������� �� 34% �� ��������� ������ � �������� ����������������� ��������� �� 34% �� ��������� ������ � �������� ����������� ������� ����������������������� ���������								����������� ���� � ��� ����� 20 �����������							����� ����������������������������� �������������������� ������������ �������������������������������� �������������� �� �������������� �� ������������������ ������������������������ � ������������������� ������������������� �� ��������� �������������� ���������������� ���������������������������������� ��������� ���������������������� � �������� ������������������������� ������������� �������100 �������� ������� �������� ������ ����������� ������ � ������������� ������ ������ �� ����� ������ �����!������ ������-����������� ��������������������������������������� ����������������� �������� ������������������������������� ������������� ����������� ����� ��������������� ������ ������������ ��� ����������� ������������������ ������ �������������� ������ ������������ ������� ���������� ��������������������� � �������������� ������ � ����������� �������������������� ������������� ������������������������� ���������������������� � ������+7 (495) 645-15-55 moscow@officemag.ru��� �������� ������� � ������������� ��������premium@officemag.ru���������� ���. ���������� ��. ������� 2-� ���. 10���������� �� �������������������������� ��������������������������������� ������������� ����������� ����� �������������� ��� ����������� ������������������ ������������� ������ ������© 2004–2023 ������������� �����������                        ����� ��������� ������                        �������� �����                        ���������������</v>
      </c>
    </row>
    <row r="439">
      <c r="A439" s="1" t="s">
        <v>1397</v>
      </c>
      <c r="B439" s="1" t="s">
        <v>1452</v>
      </c>
      <c r="C439" s="1" t="s">
        <v>1453</v>
      </c>
      <c r="D439" s="1">
        <v>14.0</v>
      </c>
      <c r="E439" s="4" t="s">
        <v>1454</v>
      </c>
      <c r="F439" s="1" t="s">
        <v>16</v>
      </c>
      <c r="G439" s="1" t="s">
        <v>1455</v>
      </c>
      <c r="H439" s="4" t="s">
        <v>1456</v>
      </c>
      <c r="I439" s="2"/>
      <c r="J439" s="5" t="str">
        <f>IFERROR(__xludf.DUMMYFUNCTION("GOOGLETRANSLATE(A439)"),"calculator")</f>
        <v>calculator</v>
      </c>
      <c r="K439" s="6" t="str">
        <f>IFERROR(__xludf.DUMMYFUNCTION("GOOGLETRANSLATE(B439)"),"Buy a calculator price and reviews, sale ...")</f>
        <v>Buy a calculator price and reviews, sale ...</v>
      </c>
      <c r="L439" s="5" t="str">
        <f>IFERROR(__xludf.DUMMYFUNCTION("GOOGLETRANSLATE(C439)"),"Buy a calculator in the Citylink online store. Favorable prices, cashback and bonuses. Reviews and reviews from buyers. Characteristics. Warranty, buying on credit ...")</f>
        <v>Buy a calculator in the Citylink online store. Favorable prices, cashback and bonuses. Reviews and reviews from buyers. Characteristics. Warranty, buying on credit ...</v>
      </c>
      <c r="M439" s="5" t="str">
        <f>IFERROR(__xludf.DUMMYFUNCTION("GOOGLETRANSLATE(G439)"),"Citylink is an online store of electronics for households and repairs and Remurmansk+7 (812) 332-84-84, like a jur. The face of the Journallac Configurator Supreme Processing Service of the goods of commodity is used by the erabsilersinakategoria: Popular"&amp;"/business science categories/Business Issemartphonery -Mono -Mono -Mono -Monitoring Machine -Climatic Machine -Climatic Complex Contracts Complete Complex Complex Office, design! Create your assembly orders in the office for a business, regional Brendism."&amp;" Vsevsa Brends → Other services. VSEVS Services → Installation of equipment using our services you can count on high -quality installation and connect any household appliances of air conditioners in your house an apartment or office. Digital services qual"&amp;"ified specialists will set digital equipment in your presence in Citylink stores! Installation of programs Treatment of UPGRADE COMPLESS viruses Settling smartphones and much more. Protection of the purchase will be honest: the technique sometimes breaks "&amp;"down and much more often than I would like. Protect your purchase with insurance: you will receive a free diagnostics repair and in the event of a breakdown - a quick replacement or monetary compensation. Protecting property Fire Bay theft of a natural di"&amp;"saster - they cannot be avoided 100% but can be compensated for the consequences. Protect your house: it is 250 times cheaper than repairs. I want to be responsible to the neighbors, I want to keep abreast of the shares and the novelties subscribe to the "&amp;"contacts of stores+7 (812) 332-84-84Murmansk to the question of the commission of the Communion-formation of the Davkavaraniyakredit and the installmentary centers of the service of the premises of the premises of the premises of the Citylink Configurator"&amp;"s of the Conscript of the Conscription Clinking -resistant documents © Citylink 2008 - 2023 Politics of processing personal diverse recommended technologies use Cookie files. We use Cookie files in detail for your convenience of using the site and improvi"&amp;"ng the quality of recommendations. More details agree to the head of the Corzino -Eseneveneveneration")</f>
        <v>Citylink is an online store of electronics for households and repairs and Remurmansk+7 (812) 332-84-84, like a jur. The face of the Journallac Configurator Supreme Processing Service of the goods of commodity is used by the erabsilersinakategoria: Popular/business science categories/Business Issemartphonery -Mono -Mono -Mono -Monitoring Machine -Climatic Machine -Climatic Complex Contracts Complete Complex Complex Office, design! Create your assembly orders in the office for a business, regional Brendism. Vsevsa Brends → Other services. VSEVS Services → Installation of equipment using our services you can count on high -quality installation and connect any household appliances of air conditioners in your house an apartment or office. Digital services qualified specialists will set digital equipment in your presence in Citylink stores! Installation of programs Treatment of UPGRADE COMPLESS viruses Settling smartphones and much more. Protection of the purchase will be honest: the technique sometimes breaks down and much more often than I would like. Protect your purchase with insurance: you will receive a free diagnostics repair and in the event of a breakdown - a quick replacement or monetary compensation. Protecting property Fire Bay theft of a natural disaster - they cannot be avoided 100% but can be compensated for the consequences. Protect your house: it is 250 times cheaper than repairs. I want to be responsible to the neighbors, I want to keep abreast of the shares and the novelties subscribe to the contacts of stores+7 (812) 332-84-84Murmansk to the question of the commission of the Communion-formation of the Davkavaraniyakredit and the installmentary centers of the service of the premises of the premises of the premises of the Citylink Configurators of the Conscript of the Conscription Clinking -resistant documents © Citylink 2008 - 2023 Politics of processing personal diverse recommended technologies use Cookie files. We use Cookie files in detail for your convenience of using the site and improving the quality of recommendations. More details agree to the head of the Corzino -Eseneveneveneration</v>
      </c>
    </row>
    <row r="440">
      <c r="A440" s="1" t="s">
        <v>1397</v>
      </c>
      <c r="B440" s="1" t="s">
        <v>1457</v>
      </c>
      <c r="C440" s="1" t="s">
        <v>1458</v>
      </c>
      <c r="D440" s="1">
        <v>15.0</v>
      </c>
      <c r="E440" s="4" t="s">
        <v>1459</v>
      </c>
      <c r="F440" s="1" t="s">
        <v>16</v>
      </c>
      <c r="I440" s="2"/>
      <c r="J440" s="5" t="str">
        <f>IFERROR(__xludf.DUMMYFUNCTION("GOOGLETRANSLATE(A440)"),"calculator")</f>
        <v>calculator</v>
      </c>
      <c r="K440" s="6" t="str">
        <f>IFERROR(__xludf.DUMMYFUNCTION("GOOGLETRANSLATE(B440)"),"Calculator")</f>
        <v>Calculator</v>
      </c>
      <c r="L440" s="5" t="str">
        <f>IFERROR(__xludf.DUMMYFUNCTION("GOOGLETRANSLATE(C440)"),"Buy calculators at prices from 49 rubles in Eldorado. When buying calculators, discounts, promotions and a bonus program apply. Buy in an online store ...")</f>
        <v>Buy calculators at prices from 49 rubles in Eldorado. When buying calculators, discounts, promotions and a bonus program apply. Buy in an online store ...</v>
      </c>
      <c r="M440" s="5" t="str">
        <f>IFERROR(__xludf.DUMMYFUNCTION("GOOGLETRANSLATE(G440)"),"#VALUE!")</f>
        <v>#VALUE!</v>
      </c>
    </row>
    <row r="441">
      <c r="A441" s="1" t="s">
        <v>1397</v>
      </c>
      <c r="B441" s="1" t="s">
        <v>1460</v>
      </c>
      <c r="C441" s="1" t="s">
        <v>1461</v>
      </c>
      <c r="D441" s="1">
        <v>16.0</v>
      </c>
      <c r="E441" s="4" t="s">
        <v>1462</v>
      </c>
      <c r="F441" s="1" t="s">
        <v>16</v>
      </c>
      <c r="G441" s="1" t="s">
        <v>120</v>
      </c>
      <c r="H441" s="4" t="s">
        <v>121</v>
      </c>
      <c r="I441" s="2"/>
      <c r="J441" s="5" t="str">
        <f>IFERROR(__xludf.DUMMYFUNCTION("GOOGLETRANSLATE(A441)"),"calculator")</f>
        <v>calculator</v>
      </c>
      <c r="K441" s="6" t="str">
        <f>IFERROR(__xludf.DUMMYFUNCTION("GOOGLETRANSLATE(B441)"),"Applications in Google Play - calculator")</f>
        <v>Applications in Google Play - calculator</v>
      </c>
      <c r="L441" s="5" t="str">
        <f>IFERROR(__xludf.DUMMYFUNCTION("GOOGLETRANSLATE(C441)"),"Jun 28. 2023. -")</f>
        <v>Jun 28. 2023. -</v>
      </c>
      <c r="M441" s="5" t="str">
        <f>IFERROR(__xludf.DUMMYFUNCTION("GOOGLETRANSLATE(G441)"),"Android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442">
      <c r="A442" s="1" t="s">
        <v>1397</v>
      </c>
      <c r="B442" s="1" t="s">
        <v>1463</v>
      </c>
      <c r="C442" s="1" t="s">
        <v>1464</v>
      </c>
      <c r="D442" s="1">
        <v>17.0</v>
      </c>
      <c r="E442" s="4" t="s">
        <v>1465</v>
      </c>
      <c r="F442" s="1" t="s">
        <v>16</v>
      </c>
      <c r="G442" s="1" t="s">
        <v>120</v>
      </c>
      <c r="H442" s="4" t="s">
        <v>121</v>
      </c>
      <c r="I442" s="2"/>
      <c r="J442" s="5" t="str">
        <f>IFERROR(__xludf.DUMMYFUNCTION("GOOGLETRANSLATE(A442)"),"calculator")</f>
        <v>calculator</v>
      </c>
      <c r="K442" s="6" t="str">
        <f>IFERROR(__xludf.DUMMYFUNCTION("GOOGLETRANSLATE(B442)"),"Appendix Calculator")</f>
        <v>Appendix Calculator</v>
      </c>
      <c r="L442" s="5" t="str">
        <f>IFERROR(__xludf.DUMMYFUNCTION("GOOGLETRANSLATE(C442)"),"Free calculator with interest key, memory keys and scientific functions. Scientific calculator * Calculation of interest. * Memory keys.")</f>
        <v>Free calculator with interest key, memory keys and scientific functions. Scientific calculator * Calculation of interest. * Memory keys.</v>
      </c>
      <c r="M442" s="5" t="str">
        <f>IFERROR(__xludf.DUMMYFUNCTION("GOOGLETRANSLATE(G442)"),"Android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443">
      <c r="A443" s="1" t="s">
        <v>1397</v>
      </c>
      <c r="B443" s="1" t="s">
        <v>1466</v>
      </c>
      <c r="D443" s="1">
        <v>18.0</v>
      </c>
      <c r="E443" s="4" t="s">
        <v>1467</v>
      </c>
      <c r="F443" s="1" t="s">
        <v>16</v>
      </c>
      <c r="G443" s="1" t="s">
        <v>1468</v>
      </c>
      <c r="H443" s="4" t="s">
        <v>1469</v>
      </c>
      <c r="I443" s="2"/>
      <c r="J443" s="5" t="str">
        <f>IFERROR(__xludf.DUMMYFUNCTION("GOOGLETRANSLATE(A443)"),"calculator")</f>
        <v>calculator</v>
      </c>
      <c r="K443" s="6" t="str">
        <f>IFERROR(__xludf.DUMMYFUNCTION("GOOGLETRANSLATE(B443)"),"Power calculator - Find the best silent BP ...")</f>
        <v>Power calculator - Find the best silent BP ...</v>
      </c>
      <c r="L443" s="5" t="str">
        <f>IFERROR(__xludf.DUMMYFUNCTION("GOOGLETRANSLATE(C443)"),"#VALUE!")</f>
        <v>#VALUE!</v>
      </c>
      <c r="M443" s="5" t="str">
        <f>IFERROR(__xludf.DUMMYFUNCTION("GOOGLETRANSLATE(G443)"),"be quiet! - Silent PSUs cases and PC cooling products. PSU calculator and cooler check for your PCCookies on bequiet.com.bequiet.com uses cookies (including from 3rd parties) to collect information about the use of the website by users. These cookies help"&amp;" us provide you with the best online experience to continually improve our website and present you with offers that are tailored for you. By clicking on the „Accept all cookies“ button you agree to the use of all cookies. By clicking on the „Accept only t"&amp;"echnical necessary cookies “ button you agree to the use of only technical necessary cookies. For more information about the use of cookies or to change your settings please click on „Information about the use of cookies.Accept only technical necessary co"&amp;"okiesInformation about the use of cookiesAccept all cookiesImprintPrivacyGeneral termsLocalisation of the websiteCountry / RegionLanguageČeštinaDeutschEnglishEspañolFrançaisMagyarPolskiРусскийУкраїнська简体中文繁體中文SaveProductsPower SuppliesDark Power 13Straig"&amp;"ht Power 12Straight Power 11Pure Power 12 Pure Power 11System Power 10SFX PowerTFX Power 3PC CasesDark Base 901Dark Base 900Dark Base 701Silent Base 802Silent Base 601Shadow Base 800Pure Base 600Pure Base 500Water CoolersPure Loop 2Air CoolersDark RockSha"&amp;"dow RockPure RockFansSilent Wings 4Light WingsShadow Wings 2Pure Wings 3Pure Wings 2AccessoriesPower CableM.2 SSD CoolerThermal GreasesTRX4 / TR4 Mounting KitRiser CableHDD AccessoriesWindow Side PanelAirflow Front PanelPSU ShroudC19 / C20 CoverService to"&amp;"olsPSU calculatorMotherboard checkProduct comparisonWhere to buyServiceContactFAQWarrantyProcessing of complaintsDownloadsAbout usAbout be quiet!BlogPress releasesPress reviewsVolume &amp; NoiseContact SearchUnited Statesus  United StatesPERFORMANCECOOLING   "&amp;"                         OUTSTANDING RELIABILITY AND QUIET OPERATION!                        LEGENDARYCOOLING                            JOIN THE WORLD OF ELITE GAMING                        SUPERIORCOOLING                            IMMENSE COOLING PERFO"&amp;"RMANCE                        REMARKABLECOOLING                            HIGH COOLING POWER FOR DEMANDING APPLICATIONS                        EXCEPTIONALAIRFLOW                            FOR BEST GAMING PERFORMANCE                        OUTSTANDING PE"&amp;"RFORMANCE                             THE NEW FLAGSHIP CASE                        HIGH-GRADE EFFICIENCY                            FUTURE PROOF WITH ATX 3.0                        DIGITAL POWER                            EXTREME ATX 3.0 PERFORMANCE      "&amp;"                  Color Frenzy                            Light Wings fans offer impressive illumination that combine a vibrant unique look strong performance and quiet operation with efficient cooling.                        NEW POWER                    "&amp;"        ENTER THE ATX 3.0 ERA                                                    Life is noisy enough: Everything you need to know about the importance of a quiet PC.                        Learn more!Power suppliesOverviewComparePSU calculatorPC casesOve"&amp;"rviewCompareSize comparisonWater coolersOverviewCompareAir coolersOverviewCompareMotherboard checkFansOverviewCompareService tools									PSU calculator																	Find out the recommended power of your system.																		Calculate now!							"&amp;"											Motherboard check																	Find the most suitable be quiet! CPU cooler for your motherboard.																		Check now!																		Product comparison																	Compare up to three be quiet! products.																		Select "&amp;"now!																		Shop Search																	Find the perfect store in your region.																		Search now!									Enter the world of silent computingDiscover everything about the German silence expertsbe quiet! is a German premium brand of pow"&amp;"er supplies PC cases water and air cooling and fans for desktop PCs. With more than 20 years experience in the field of noise reduction of computers be quiet! offers nearly inaudible products with quality on a world-class level. The unbeaten market leader"&amp;"ship in power supplies in Germany since 2007* is solid proof of the confidence users have in these products. Regardless of whether you want to become a part of the high-end enthusiasts’ community search for the perfect power supply with the PSU calculator"&amp;" find out which silent cooler suits your motherboard compare the silence to performance ratio of PWM fans or find retailers and online shops: be quiet! offers one-stop full support.Exceptionally quiet operation be quiet! lives up to its name: 20 years exp"&amp;"erience in the field of noise reduction and silence make be quiet! products probably the most silent on the market. Undoubtedly the fans are an integral factor in minimizing the noise levels of the products in the be quiet! portfolio. Specially developed "&amp;"Silent Wings and other be quiet! fans are used throughout all product ranges. They are equipped with a variety of noise-reducing features such as special bearings smooth motors optimized airflow and vibration decoupling. Thanks to these fans be quiet! pro"&amp;"ducts attain a perfect balance of ideal cooling performance and virtually inaudible operation. Whoever decides to buy be quiet! products buys proven premium quality and the silent operation typical of be quiet!. Developed in Germany High-end gaming system"&amp;"s overclocking rigs or virtually inaudible HTPCs: with a wide range of products available be quiet! has the solution for every individual demand. No matter whether you want all-in-one water cooling or air cooling single-rail or multi-rail PSUs midi or ful"&amp;"l tower. Customers don’t have to accept anything less than the best performance while hearing nothing but their movies or in-game sounds. The headquarters are located in Glinde near Hamburg. Since 2002 here is where all products have been conceived and de"&amp;"signed and quality inspections and controls have been carried out. This is how be quiet! ensures that all products meet the high standards. Regular awards in categories such as ""Best Fan"" ""Best Power Supply"" ""Best Cooler"" and ""Best PC Case"" from s"&amp;"pecialized media as well as a high level of customer satisfaction ensure healthy and steady growth. Outstanding manufacturer service and support Regular news exciting articles about current hardware topics competitions and press releases keep the be quiet"&amp;"! community up to date at all times. All technical data is available online including material for B2B customers with downloads of manuals high resolution pictures and videos. As well as products with world-class quality and up to 10-year warranty be quie"&amp;"t! is also famous for its great customer support. contact forms email and telephone offer direct connection to the after-sales team. Social media platforms provide even more opportunities to inform discuss with and help the community. be quiet! is a trade"&amp;"mark of Listan GmbH | www.listan.comPress releasesRead more02.11.2023be quiet! introduces Dark Base 701: high-airflow case with outstanding usabilityIdeal case for modern high-end systems thanks to focus on airflow and easy ...Read more24.10.2023be quiet!"&amp;" introduces Pure Wings 3 fan series: Performant progressive quietIncreased airflow and static pressure at a low price ...All press releasesPress reviewRead more11.10.2023Club386 reviews Pure Loop 2 280mm[...] we can say with absolute certainty that Pure L"&amp;"oop 2 280mm is the quietest and ...Read more11.10.2023Datormagazin reviews Dark Power Pro 13 1600WIf you want to build a system with extreme OC multiple GPUs and lots of extra ...Press overviewContactGeneral termsPrivacyCookiesImprintGeneral terms for sho"&amp;"p customersCancellation policyPayment optionsShipping optionsbe quiet! Social media						United States - en					© be quiet! 2023All rights reservedFunctionality cookies are not set.×        You cannot proceed without functionality cookies. Please activate"&amp;" them. More information")</f>
        <v>be quiet! - Silent PSUs cases and PC cooling products. PSU calculator and cooler check for your PCCookies on bequiet.com.bequiet.com uses cookies (including from 3rd parties) to collect information about the use of the website by users. These cookies help us provide you with the best online experience to continually improve our website and present you with offers that are tailored for you. By clicking on the „Accept all cookies“ button you agree to the use of all cookies. By clicking on the „Accept only technical necessary cookies “ button you agree to the use of only technical necessary cookies. For more information about the use of cookies or to change your settings please click on „Information about the use of cookies.Accept only technical necessary cookiesInformation about the use of cookiesAccept all cookiesImprintPrivacyGeneral termsLocalisation of the websiteCountry / RegionLanguageČeštinaDeutschEnglishEspañolFrançaisMagyarPolskiРусскийУкраїнська简体中文繁體中文SaveProductsPower SuppliesDark Power 13Straight Power 12Straight Power 11Pure Power 12 Pure Power 11System Power 10SFX PowerTFX Power 3PC CasesDark Base 901Dark Base 900Dark Base 701Silent Base 802Silent Base 601Shadow Base 800Pure Base 600Pure Base 500Water CoolersPure Loop 2Air CoolersDark RockShadow RockPure RockFansSilent Wings 4Light WingsShadow Wings 2Pure Wings 3Pure Wings 2AccessoriesPower CableM.2 SSD CoolerThermal GreasesTRX4 / TR4 Mounting KitRiser CableHDD AccessoriesWindow Side PanelAirflow Front PanelPSU ShroudC19 / C20 CoverService toolsPSU calculatorMotherboard checkProduct comparisonWhere to buyServiceContactFAQWarrantyProcessing of complaintsDownloadsAbout usAbout be quiet!BlogPress releasesPress reviewsVolume &amp; NoiseContact SearchUnited Statesus  United StatesPERFORMANCECOOLING                            OUTSTANDING RELIABILITY AND QUIET OPERATION!                        LEGENDARYCOOLING                            JOIN THE WORLD OF ELITE GAMING                        SUPERIORCOOLING                            IMMENSE COOLING PERFORMANCE                        REMARKABLECOOLING                            HIGH COOLING POWER FOR DEMANDING APPLICATIONS                        EXCEPTIONALAIRFLOW                            FOR BEST GAMING PERFORMANCE                        OUTSTANDING PERFORMANCE                             THE NEW FLAGSHIP CASE                        HIGH-GRADE EFFICIENCY                            FUTURE PROOF WITH ATX 3.0                        DIGITAL POWER                            EXTREME ATX 3.0 PERFORMANCE                        Color Frenzy                            Light Wings fans offer impressive illumination that combine a vibrant unique look strong performance and quiet operation with efficient cooling.                        NEW POWER                            ENTER THE ATX 3.0 ERA                                                    Life is noisy enough: Everything you need to know about the importance of a quiet PC.                        Learn more!Power suppliesOverviewComparePSU calculatorPC casesOverviewCompareSize comparisonWater coolersOverviewCompareAir coolersOverviewCompareMotherboard checkFansOverviewCompareService tools									PSU calculator																	Find out the recommended power of your system.																		Calculate now!																		Motherboard check																	Find the most suitable be quiet! CPU cooler for your motherboard.																		Check now!																		Product comparison																	Compare up to three be quiet! products.																		Select now!																		Shop Search																	Find the perfect store in your region.																		Search now!									Enter the world of silent computingDiscover everything about the German silence expertsbe quiet! is a German premium brand of power supplies PC cases water and air cooling and fans for desktop PCs. With more than 20 years experience in the field of noise reduction of computers be quiet! offers nearly inaudible products with quality on a world-class level. The unbeaten market leadership in power supplies in Germany since 2007* is solid proof of the confidence users have in these products. Regardless of whether you want to become a part of the high-end enthusiasts’ community search for the perfect power supply with the PSU calculator find out which silent cooler suits your motherboard compare the silence to performance ratio of PWM fans or find retailers and online shops: be quiet! offers one-stop full support.Exceptionally quiet operation be quiet! lives up to its name: 20 years experience in the field of noise reduction and silence make be quiet! products probably the most silent on the market. Undoubtedly the fans are an integral factor in minimizing the noise levels of the products in the be quiet! portfolio. Specially developed Silent Wings and other be quiet! fans are used throughout all product ranges. They are equipped with a variety of noise-reducing features such as special bearings smooth motors optimized airflow and vibration decoupling. Thanks to these fans be quiet! products attain a perfect balance of ideal cooling performance and virtually inaudible operation. Whoever decides to buy be quiet! products buys proven premium quality and the silent operation typical of be quiet!. Developed in Germany High-end gaming systems overclocking rigs or virtually inaudible HTPCs: with a wide range of products available be quiet! has the solution for every individual demand. No matter whether you want all-in-one water cooling or air cooling single-rail or multi-rail PSUs midi or full tower. Customers don’t have to accept anything less than the best performance while hearing nothing but their movies or in-game sounds. The headquarters are located in Glinde near Hamburg. Since 2002 here is where all products have been conceived and designed and quality inspections and controls have been carried out. This is how be quiet! ensures that all products meet the high standards. Regular awards in categories such as "Best Fan" "Best Power Supply" "Best Cooler" and "Best PC Case" from specialized media as well as a high level of customer satisfaction ensure healthy and steady growth. Outstanding manufacturer service and support Regular news exciting articles about current hardware topics competitions and press releases keep the be quiet! community up to date at all times. All technical data is available online including material for B2B customers with downloads of manuals high resolution pictures and videos. As well as products with world-class quality and up to 10-year warranty be quiet! is also famous for its great customer support. contact forms email and telephone offer direct connection to the after-sales team. Social media platforms provide even more opportunities to inform discuss with and help the community. be quiet! is a trademark of Listan GmbH | www.listan.comPress releasesRead more02.11.2023be quiet! introduces Dark Base 701: high-airflow case with outstanding usabilityIdeal case for modern high-end systems thanks to focus on airflow and easy ...Read more24.10.2023be quiet! introduces Pure Wings 3 fan series: Performant progressive quietIncreased airflow and static pressure at a low price ...All press releasesPress reviewRead more11.10.2023Club386 reviews Pure Loop 2 280mm[...] we can say with absolute certainty that Pure Loop 2 280mm is the quietest and ...Read more11.10.2023Datormagazin reviews Dark Power Pro 13 1600WIf you want to build a system with extreme OC multiple GPUs and lots of extra ...Press overviewContactGeneral termsPrivacyCookiesImprintGeneral terms for shop customersCancellation policyPayment optionsShipping optionsbe quiet! Social media						United States - en					© be quiet! 2023All rights reservedFunctionality cookies are not set.×        You cannot proceed without functionality cookies. Please activate them. More information</v>
      </c>
    </row>
    <row r="444">
      <c r="A444" s="1" t="s">
        <v>1397</v>
      </c>
      <c r="B444" s="1" t="s">
        <v>1470</v>
      </c>
      <c r="C444" s="1" t="s">
        <v>1471</v>
      </c>
      <c r="D444" s="1">
        <v>19.0</v>
      </c>
      <c r="E444" s="4" t="s">
        <v>1472</v>
      </c>
      <c r="F444" s="1" t="s">
        <v>16</v>
      </c>
      <c r="G444" s="1" t="s">
        <v>1473</v>
      </c>
      <c r="H444" s="4" t="s">
        <v>1474</v>
      </c>
      <c r="I444" s="2"/>
      <c r="J444" s="5" t="str">
        <f>IFERROR(__xludf.DUMMYFUNCTION("GOOGLETRANSLATE(A444)"),"calculator")</f>
        <v>calculator</v>
      </c>
      <c r="K444" s="6" t="str">
        <f>IFERROR(__xludf.DUMMYFUNCTION("GOOGLETRANSLATE(B444)"),"Buy a calculator with delivery in Moscow and Russia in ...")</f>
        <v>Buy a calculator with delivery in Moscow and Russia in ...</v>
      </c>
      <c r="L444" s="5" t="str">
        <f>IFERROR(__xludf.DUMMYFUNCTION("GOOGLETRANSLATE(C444)"),"He is light, reliable and practical! CASIO MS-20UC-LBNASTOL CASIO MS-20UC-LB CASIO calculator is oriented towards a wide range of specialists who ...")</f>
        <v>He is light, reliable and practical! CASIO MS-20UC-LBNASTOL CASIO MS-20UC-LB CASIO calculator is oriented towards a wide range of specialists who ...</v>
      </c>
      <c r="M444" s="5" t="str">
        <f>IFERROR(__xludf.DUMMYFUNCTION("GOOGLETRANSLATE(G444)"),"Buy a calculator with delivery in Moscow and Russia to Calculators-online.ru-specialized calculators store (495) 240-8280PN-SB from 12:00 to 20:00 [email Protexted] Knowledge catalog base! Delivery/Payment for the Addressed Discontacts Contain-Fundal deal"&amp;"ercasio HP HP. Canon Texas CIBS-Paul Delceles 3 years of luxury payment to pay goods (0) by name parameters Scientific calculator Scientific Casio FXo FX-82S Plus 2nd Edition Casio FXo FX-82S Plus 2nd Edition-an improved version of one of the most popular"&amp;" casio models intended for old Sheklassnikov students of specialists. Allowed on the exam in physics of chemistry and geography. Engineering Casio FX-991ES Plus 2nd Edition Engineering Casio FX-991ES Plus 2nd Edition calculator with 417 functions is suita"&amp;"ble for work and study. Now the model has an even more perfect design and new useful options. Engineering Calculator Texas Instruments Ti-30X Pro MathPrintinter Calculator TI-30X Pro Mathprint-a new model from Texas Instrument with a rich functionality an"&amp;"d a Mathprint system allowing you to introduce mathematical expressions in the same form given in the textbook. Scientific calculator Casio FX-220 Plus 2nd EditionCasio FX-220 Plus-2 is a practical and convenient calculator for schoolchildren and students"&amp;" with 181 function. Allowed on the exam/ige in chemistry of physics and geography. Stylish design will cheer up! Calculator Engineering Brauberg SC-880-N Calculator Engineering Texas Instruments Ti-30XS Multiviewcapalcalcal TI-30XS Multiview will help in "&amp;"the lessons of algebra of the geometry of chemistry biology physics. It is practical and functional by a stylish design and affordable price. Scientific calculator BRAUBERG SC-850 Calculator Scientific Staff STF-310 Calculator Scientific Staff StF-810 Cal"&amp;"culator Scientific STAFF STF-165 Cluculator STAFF STF-245 CASIO FXo FX-991Ex Classwizcasioo FX 991Ex 1EX Classwiz has a productive processor and instantly performs even complex calculations . 552 functions of the calculator will be enough for schoolchildr"&amp;"en and specialists. Scientific Casio FX-85S Plus 2nd Edition Casio FXO FX-85S Plus 2nd Edition Calculator is allowed on the USE in chemistry and geography physics. It is an ergonomic simple use and has an optimal set of functions for study. Technical cons"&amp;"truction and specialized calculators measuring instruments are construction calculators for quick and accurate calculations. The lines of professional calculators are not only for economists of accountants of mathematicians and physicists, but also for pe"&amp;"ople involved in the construction and reconstruction of premises. Calculators of Conversion Courvimeters LASTER METTERS LASTER MECHIC CLAMIC CALCARITER Texas Instruments Ti-84 Plus CE-T PYTHON EDITHON TEXAS SITRUTRUENTS INSTRURENTS TI-84 PLUS CE-T for sch"&amp;"oolchildren and scientists are the perfect tool for solving mathematical problems and scientists work including For statistical and financial calculations. GPU CHEWLETT-PACKARD HP Prime (G2) of more than 2300 built-in functions. Modern full -fledged progr"&amp;"amming language. Applications Dynamic Geometry Cas Advanced Graphing Electronic tables. International school + university + work. SAT AP. Texas Instruments Ti-SSPire CX II-T Casti-SSPire CX II-T CAS-the last development of Texas Instruments and one of the"&amp;" most functional convenient and stylish graphic calculators in the market Graphic instrument TI-SNSPire CX III-Tessa Graph. Texas calculator Instruments Ti-SPire CX II-T will become an indispensable assistant in the lessons of algebra of the geometry of p"&amp;"hysics of the chemistry technology programming starting from the 7th grade. Casio FX-CG50 graphic programmable CASIO FX-CG50 CASIO CASIO CHARCHERTION OF THE SUSCOUNTING WITH SUITIONAL PROTECTION will make any mathematical calculations easier and more clea"&amp;"rly. Financial calculator Financial Texas Instruments Ti Ba II Plusfinance Calculator Texas Instruments Ti Ba II Plus is a powerful computing tool for students and specialists in the field of finance. PURCHNOUR PURCHNARY TEXAS Instruments Ti Ba II Plus Pr"&amp;"ofessional Professional Financial Financial Calculator Texas Instruments Ti Ba II Plus Professional Corned CoWlett-Packard HP10BII CHREMICA Just get important answers. Calculator Financial Hewlett-Packard HP 12C Platinum for the HP12C Platinum CFAFINE CAL"&amp;"CULAM was created specifically for the most demanding finance professionals. Coalculator financial Hewlett-Packard HP 17BII+ Business Professional financial calculator HP17BII+ from Hewlett-Packard Children's Calculator Children's Instrument Ti Little Pro"&amp;"fessors Children's Cultivator Child will quickly master arithmetic: Tasks are given in the form of game a The complexity gradually increases. Children's Citizen LC-110nbl Calculator Sines with the help of the Citizen LC-110NBL calculator will learn how to"&amp;" quickly and correctly solve examples correctly. It is light and comfortable - ideal for children. Children's Citizen LC-110npk Calculator Pinkcitizen LC-110NPK is designed for students of grades 1-4. This children's calculator will help easily master the"&amp;" basic arithmetic operations. CASIO LC-401LV-Bu Calculator Bulf Casio LC-401LV-Bu has a bright and durable case and a large display therefore solving examples conveniently and pleasant. Designed for primary school students. CASIO LC-401LV-PK Children's Ca"&amp;"lculator Pink-Deta Calculator for girls Casio LC-401LV-PK is a great option for teaching arithmetic. Solving examples will be simple and pleasant and a bright design will cheer up! Citizen SDC-450Nrdcalculator Citizen SDC-450NRD-a find for teachers and pa"&amp;"rents who want to captivate children with mathematics. Schoolchildren will love him for a bright design and convenience! Citizen SDC-450NYARY and positive CITIZEN SDC-450NYL will like the Citizen SDC-450NYAL CHARTER! It is convenient to work with it and t"&amp;"he functions are enough to the middle classes of the school. Children's Citizen FC-100npkcitizen FC-100npk Calculator is perfect for schoolchildren: stylish design two-line display of the functions of checking and correction will make it indispensable in "&amp;"mathematics lessons! Citizen LC-110NARMAN CALCEN CITIZEN LC-110N pocket calculator-a model that is perfect for simple calculations. It is convenient to carry it with you in a bag: the weight of the device is only 31 grams. Casio HL-4A Casio HL-4A calculat"&amp;"or is one of the most affordable pocket calculators. It has all the basic functions at the same time very compact and light - the weight of the model is only 31 grams. Citizen LC-310NRIENT CLECTION COURE CLOSE AND REAL PART CALCAL COLE? Citizen LC-310NR w"&amp;"ill be a great choice! It has a strong case and all the functions necessary for simple calculations. Citizen SLD-100NRARMAN CALCEN CITIZEN SLD-100NR will never let the CITZEN SLD-100NRARMAL CARNITURE: it has double power (battery + sunny element) so it wi"&amp;"ll not sit at the most inopportune moment. Citizen SLD-200NRARMAN CALCEN CITIZEN SLD-200NR calculator will delight with practicality: it has two power sources (battery and sunny element) large buttons and a soft cover with a pocket. Canon X-Mark-I-Pointer"&amp;"canon X-Mark-I-Pointer calculator is simultaneously a pocket calculator and laser pointer. Stylish design and abundance of functions will make it indispensable for professionals. CAFPENT CAFF STF-883 CASIO SL-300NC-PK carmane calculator calculator with a "&amp;"bright design with a large display and comfortable buttons-Casio SL-300NC-PK will definitely like the fair sex! CASIO SL-300NC-GNARMAN CALCAL CALCAL COPE with a bright design with a large display and convenient buttons-CASIO SL-300NC-GN will definitely li"&amp;"ke it! CASIO SL-310UC-PLVS CASIO CASIO-Casio Pocket Calculator SL-310UC-PL! You will be happy to carry this light ergonomic and functional model with you in a bag. Citizen CPC-110VPU12 CITIZEN COPPORTURE CARANCE CITIZEN CITZEN CPC-110VPU looks excellent a"&amp;"nd has the functions of converting currencies of tax change taxes. Citizen CPC-110VBL12 CITIZEN calculator CITIZEN CITZEN CPC-110VBL is excellent and has excellent enveloping functions of calculating the sign of a sign of sign. CASIO SL-300NC-RD carmane c"&amp;"alculator with a bright design with a large display and convenient buttons-CASIO SL-300NC-RD will definitely like the fair sex! The Citizen CPC-110WBModel Calculator combines the laconic design ease of use and functionality. Unlike many other pocket calcu"&amp;"lators, the Citizen CPC-110WB list of options is expanded due to the ability to quickly perform simple financial calculations. Canon LS-103T-accessible and attractive 10-partial desktop calculator Canon LS-103TC has functions to calculate taxes and curren"&amp;"cy converting. A large LCD display provides exceptional ease of use. Citizen Correct SD-208 NEW CITIZEN Correct SD-208 calculator is one of the most compact desktop models. It is ideal for students and students. CITIZEN CDB1201-BKKNASTOL CITIZEN CORRRECT "&amp;"CDB1201-BK CLACT CLECTION CLACK in the classical design building supports financial transactions and is suitable for sellers of warehouse employees to compiles estimates. CASIO GR-12C-Gnnkalculator CASIO GR-12C-GN-a bright model that will look great on th"&amp;"e desktop. It will help functional and practical with basic financial calculations. CASIO GR-12C-RGN generation of table calculators CASIO CASIO CASIO CASIO COMPOSS A bright design and an abundance of useful functions. The GR-12C-RG model will look great "&amp;"on any desktop! Citizen SDC-4444444444s Citizen Calculator is designed to perform basic arithmetic operations of the square root of interest count. Citizen Citizen Citizen Citizen Citizen SDC-577III calculator is perfect for accountants and financial work"&amp;"ers. This model supports tax calculation and other functions. Citizen SDC-8688LLASTEL CITIZEN SDC-868L calculator with an adjustable display is designed to solve financial problems. Citizen SDC-554s-Nastol Citizen SDC-554s calculator is convenient for acc"&amp;"ounting. This model has an increased 14-bit display. Citizen SDC-395NASTO CITIZEN SDC-395N CITZEN calculator combined traditional Japanese quality and optimal set of functions of goods for economists to accountants. CITIZEN CDB1601-BKNASTOL CITIZEN CDB160"&amp;"1-BK calculator with a large 16-digit screen is the perfect choice for frequent work with numbers and prices. CITIZEN SDC-444XRNVE CITIZEN CITZEN DAR-SIDE CITIZEN SDC-44444XRPke Pink Citizen SDC-4444XRGNE CITIZEN SDC-888888888888TII is convenient for simp"&amp;"le calculations simple monetary operations. It supports the calculation of percent discounts and rounding of the results. Citizen SDC-888XRDNASTNAL CITIZEN SDC-888XRD calculator in a bright burgundy housing has a catchy design. It supports all basic funct"&amp;"ions and also allows you to calculate the margin of a discount and other values. Citizen SDC-8888TIIGE COMMUNICATION PRIMENTOL CITZEN CITZEN SDC-8888888888888TIIGE PRIMIME is a series of the most popular model of the Japanese manufacturer released by limi"&amp;"ted circulation in honor of the fiftieth anniversary. Citizen SDC-888XBKNASTOL CITIZEN SDC-888XBK calculator is designed for basic calculations. It is also suitable for performing simple financial calculations. Citizen SDC-888XBLLASTE CITIZEN SDC-888xbl C"&amp;"itizen Calculator has a restrained design and supports the most popular functions. Thanks to a large display, working with it is convenient and comfortable. CITIZEN SDC-760NSHIC CITZEN CHALCHERNAL PRODUCTION CLASS CITIZEN SDC-760N is suitable for speciali"&amp;"sts in the field of finance and analytics. CASIO MS-20NC-PK-PK-PK CASIO MS-20NC-PK compact size CASIO CASIO. CASIO MS-20UC-BUSTEN Practical and Inexpensive Casio MS-20UC-Bu Casio-Bu Calculator is useful at any workplace. CASIO MS-20UC-YGNASTO CASIO MS-20U"&amp;"C-Yg Casio Casio Calculator will enjoy people who are looking for a model for work and schoolchildren. Its main differences are a bright case and a large display. CASIO MS-20UC-rhior and positive orange desktop calculator Casio MS-20UC-RG will cheer up at"&amp;" work and impress you with convenience. Casio MS-20UC-GN CASIO Calculator-CASIO MS-20UC-GN! This desktop calculator with a stylish design will delight the practicality of ease of use and an affordable price! Casio MS-20UC-pink-pink-pink Casio MS-20UC-PK C"&amp;"ASIO-pink calculator is suitable for a desktop or handbag of any representative of the fair sex. He is light reliable and practical! CASIO MS-20UC-LBNASTOL CASIO MS-20UC-LB CASIO calculator is aimed at a wide range of specialists who need to produce simpl"&amp;"e calculations. CASIO MS-20UC-RODAL Pink CASIO Casio MS-20UC-RD pink CASIO is not lost among papers! Functional and convenient he will become a good assistant at work. CASIO JW-200SC-We Premium Calculator You will attach great importance to the style, mak"&amp;"e sure that you have chosen the right calculator for your style: with a colored metal case, the Casio JW-200SC-WE desktop calculator. Casio JW-200SC-GD desktop Premium-Premium Casio JW-200SC-GD-GD-GD-GD-GD-GD-GD-GD-GD-GD-GD-GD-GDU will delight you with it"&amp;"s design and ease of use. CITIZEN WR-3000 CITZEN Waterproof CITIZEN WR-3000 waterproof calculator in a compact case protected from water or dust hit. Citizen SDC-805BNASTO CITIZEN SDC-805BN CITZEN COPENTER-a classic model that has a basic arithmetic funct"&amp;"ions for simple calculations. The calculator has honed ergonomics and minimizes the number of errors when entering data. Canon LS-88L-Bliniature 8-bit 88L-BL-BL-BL desktop calculator with a large inclined LCD display. Canon LS-88L-LGRMMINATION OF CANON 8-"&amp;"URIENT CASTE CANON LS-88L-LGR with a large inclined LCD display. Canon LS-88L-PKMiniator 8-bit 88L-PK desktop calculator with a large inclined LCD display. CITIZEN CT-666666N CITIZEN CT-66N CITZEN calculator will simplify the calculations for the accounta"&amp;"nt of an economist manager, including the calculation of taxes of profit of the final amount. A unique option is the verification and correction of up to 120 of the last actions. Citizen ECC-310 ECCOLD CITIZEN ECC-310 calculator calculator is one of the l"&amp;"atest developments of the company. Despite the large size of this calculator, it works only on solar panels and does not use other power sources. Citizen Correct D-314 Bolshoi Citizen Citizen Correct D-314 Correct Correct with support for financial functi"&amp;"ons will be convenient for frequent calculations. CITIZEN CMB1201-BKNASTOL CITIZEN CMB1201-BK calculator is a simple student model that is suitable for primary and middle classes. CITIZEN CDC-80RD-WBNASTOL CITIZEN CDC-80RD-WB CDC-80RD-WB calculator in a b"&amp;"right raspberry case attracts attention and facilitates the work related to calculations. CITIZEN CDC-80WBNASTO CITIZEN CDC-80WB calculator is available in a compact housing, it is suitable for people who are often working outside the office. CITIZEN CDC-"&amp;"80BL-WBL CITIZEN CDC-80BL-WB CDC-80BL-WB calculator in a stylish blue case will be convenient when working in the office and during trips to the object. STEM. Robotics. STEM Electronics STEM Projects from TII Reviews on Yandex.Marketthe STARTS OF SUPPOSIT"&amp;"Y OF SUPPOSITION OF SOULD SETTER 02.10.2023 Physics for 100 points with non -programmable Texas Instruments calculators! 09/02/2023 Drive list of permitted unexpramed CHEs for the EGE of chemistry and geography in 202402.002.0 8.2023 Technology Ti- NSPire"&amp;" CAS. The solution of systems of equations and inequalities, including with the parameter. Lublinskaya I.E. Kalculator-technical ● Novelty ● Hit Saleshot Engineering Texas Instruments Ti-30X Pro MathPrint4300 ₽ Engineering Texas Instruments Ti-30XS Multiv"&amp;"iew3780 Chny Brauberg SC-8501290 ₽ Cart ● Novyki Accumaster digital angler4070 ₽ In the basket ● Novyki Accumaster XT digital moisture meter 4120 ₽ Bart ● The novelty of the CI Laser Dimension Master II3610 ₽ CASIO CASIO FXo-220 Plus 2nd Edition1880 ₽ CAL"&amp;" CAI CST Ruction Master 56890 ₽ VOURCINECALCAL COMPETENT Engineer Brauberg SC-880 -N2510 ₽ CARCINEFINING COMPORTANCE Financial Texas Instruments Ti Ba II Plus7680 ₽ Capalcalculator financial Hewlett-Packard HP 17BII+ Business12270 ₽ CHRIT CARZINE TOXASAS "&amp;"Instruments Ti II P Lus Professional10320 ₽ Cart ● Hit Salescap Galculator Financial Hewlett-Packard HP Platinum for CFA10520 ₽ Capsinukalcal financial financial Hewlett-Packard HP 10BII+6250 ₽ CARZINUCHICAL ₽ ● Heath Hewlett-Packard HP Prime (G2) 29730 ₽"&amp;" CARZINURAL COLCAPLE TEXASS Instruments TII-SPENS CX II-T28850 ₽ Cart ● Novice Texas calculator Instruments Ti-SPire CX II-T CAS30880 ₽ CASIO Casio FX-CG50 CASINOUKALCAL CARSICAL ₽ CARZINA ● GPULICAL TEXAS Instruments TI-84 PLUS CE-T PYTHONA26960 ₽ CALSIN"&amp;"OOOO ""Treanna"" / Calc "" / Calc"" / Calc "" / Calc"" / Calc ulators-online.ru © 2009-2023 Copyright is protected. All Rights Reserved. Politics of Promotional Office (495) 240-8280 [Email Protexted] Mobile version of the purchase - simply and convenienc"&amp;"e of the application will be obtained within 2 minutes of Russian citizens aged 18 to 70 Lettsums of Lending - from 3,000 rubles to 200 000 rub. The first fee - 0%lending term - from 3 to 24 months of percent rate is calculated by the individual to buy on"&amp;" credit? Fill the Basket of the goods form the order and select the payment method ""on credit"" Fill out a short application, sign a loan agreement for a meeting with a representative of the bank or SMS codes receive the goods the chosen way to be more i"&amp;"n more detail ... To find out the state of your order, indicate the email address and order number: e-mail No. order.")</f>
        <v>Buy a calculator with delivery in Moscow and Russia to Calculators-online.ru-specialized calculators store (495) 240-8280PN-SB from 12:00 to 20:00 [email Protexted] Knowledge catalog base! Delivery/Payment for the Addressed Discontacts Contain-Fundal dealercasio HP HP. Canon Texas CIBS-Paul Delceles 3 years of luxury payment to pay goods (0) by name parameters Scientific calculator Scientific Casio FXo FX-82S Plus 2nd Edition Casio FXo FX-82S Plus 2nd Edition-an improved version of one of the most popular casio models intended for old Sheklassnikov students of specialists. Allowed on the exam in physics of chemistry and geography. Engineering Casio FX-991ES Plus 2nd Edition Engineering Casio FX-991ES Plus 2nd Edition calculator with 417 functions is suitable for work and study. Now the model has an even more perfect design and new useful options. Engineering Calculator Texas Instruments Ti-30X Pro MathPrintinter Calculator TI-30X Pro Mathprint-a new model from Texas Instrument with a rich functionality and a Mathprint system allowing you to introduce mathematical expressions in the same form given in the textbook. Scientific calculator Casio FX-220 Plus 2nd EditionCasio FX-220 Plus-2 is a practical and convenient calculator for schoolchildren and students with 181 function. Allowed on the exam/ige in chemistry of physics and geography. Stylish design will cheer up! Calculator Engineering Brauberg SC-880-N Calculator Engineering Texas Instruments Ti-30XS Multiviewcapalcalcal TI-30XS Multiview will help in the lessons of algebra of the geometry of chemistry biology physics. It is practical and functional by a stylish design and affordable price. Scientific calculator BRAUBERG SC-850 Calculator Scientific Staff STF-310 Calculator Scientific Staff StF-810 Calculator Scientific STAFF STF-165 Cluculator STAFF STF-245 CASIO FXo FX-991Ex Classwizcasioo FX 991Ex 1EX Classwiz has a productive processor and instantly performs even complex calculations . 552 functions of the calculator will be enough for schoolchildren and specialists. Scientific Casio FX-85S Plus 2nd Edition Casio FXO FX-85S Plus 2nd Edition Calculator is allowed on the USE in chemistry and geography physics. It is an ergonomic simple use and has an optimal set of functions for study. Technical construction and specialized calculators measuring instruments are construction calculators for quick and accurate calculations. The lines of professional calculators are not only for economists of accountants of mathematicians and physicists, but also for people involved in the construction and reconstruction of premises. Calculators of Conversion Courvimeters LASTER METTERS LASTER MECHIC CLAMIC CALCARITER Texas Instruments Ti-84 Plus CE-T PYTHON EDITHON TEXAS SITRUTRUENTS INSTRURENTS TI-84 PLUS CE-T for schoolchildren and scientists are the perfect tool for solving mathematical problems and scientists work including For statistical and financial calculations. GPU CHEWLETT-PACKARD HP Prime (G2) of more than 2300 built-in functions. Modern full -fledged programming language. Applications Dynamic Geometry Cas Advanced Graphing Electronic tables. International school + university + work. SAT AP. Texas Instruments Ti-SSPire CX II-T Casti-SSPire CX II-T CAS-the last development of Texas Instruments and one of the most functional convenient and stylish graphic calculators in the market Graphic instrument TI-SNSPire CX III-Tessa Graph. Texas calculator Instruments Ti-SPire CX II-T will become an indispensable assistant in the lessons of algebra of the geometry of physics of the chemistry technology programming starting from the 7th grade. Casio FX-CG50 graphic programmable CASIO FX-CG50 CASIO CASIO CHARCHERTION OF THE SUSCOUNTING WITH SUITIONAL PROTECTION will make any mathematical calculations easier and more clearly. Financial calculator Financial Texas Instruments Ti Ba II Plusfinance Calculator Texas Instruments Ti Ba II Plus is a powerful computing tool for students and specialists in the field of finance. PURCHNOUR PURCHNARY TEXAS Instruments Ti Ba II Plus Professional Professional Financial Financial Calculator Texas Instruments Ti Ba II Plus Professional Corned CoWlett-Packard HP10BII CHREMICA Just get important answers. Calculator Financial Hewlett-Packard HP 12C Platinum for the HP12C Platinum CFAFINE CALCULAM was created specifically for the most demanding finance professionals. Coalculator financial Hewlett-Packard HP 17BII+ Business Professional financial calculator HP17BII+ from Hewlett-Packard Children's Calculator Children's Instrument Ti Little Professors Children's Cultivator Child will quickly master arithmetic: Tasks are given in the form of game a The complexity gradually increases. Children's Citizen LC-110nbl Calculator Sines with the help of the Citizen LC-110NBL calculator will learn how to quickly and correctly solve examples correctly. It is light and comfortable - ideal for children. Children's Citizen LC-110npk Calculator Pinkcitizen LC-110NPK is designed for students of grades 1-4. This children's calculator will help easily master the basic arithmetic operations. CASIO LC-401LV-Bu Calculator Bulf Casio LC-401LV-Bu has a bright and durable case and a large display therefore solving examples conveniently and pleasant. Designed for primary school students. CASIO LC-401LV-PK Children's Calculator Pink-Deta Calculator for girls Casio LC-401LV-PK is a great option for teaching arithmetic. Solving examples will be simple and pleasant and a bright design will cheer up! Citizen SDC-450Nrdcalculator Citizen SDC-450NRD-a find for teachers and parents who want to captivate children with mathematics. Schoolchildren will love him for a bright design and convenience! Citizen SDC-450NYARY and positive CITIZEN SDC-450NYL will like the Citizen SDC-450NYAL CHARTER! It is convenient to work with it and the functions are enough to the middle classes of the school. Children's Citizen FC-100npkcitizen FC-100npk Calculator is perfect for schoolchildren: stylish design two-line display of the functions of checking and correction will make it indispensable in mathematics lessons! Citizen LC-110NARMAN CALCEN CITIZEN LC-110N pocket calculator-a model that is perfect for simple calculations. It is convenient to carry it with you in a bag: the weight of the device is only 31 grams. Casio HL-4A Casio HL-4A calculator is one of the most affordable pocket calculators. It has all the basic functions at the same time very compact and light - the weight of the model is only 31 grams. Citizen LC-310NRIENT CLECTION COURE CLOSE AND REAL PART CALCAL COLE? Citizen LC-310NR will be a great choice! It has a strong case and all the functions necessary for simple calculations. Citizen SLD-100NRARMAN CALCEN CITIZEN SLD-100NR will never let the CITZEN SLD-100NRARMAL CARNITURE: it has double power (battery + sunny element) so it will not sit at the most inopportune moment. Citizen SLD-200NRARMAN CALCEN CITIZEN SLD-200NR calculator will delight with practicality: it has two power sources (battery and sunny element) large buttons and a soft cover with a pocket. Canon X-Mark-I-Pointercanon X-Mark-I-Pointer calculator is simultaneously a pocket calculator and laser pointer. Stylish design and abundance of functions will make it indispensable for professionals. CAFPENT CAFF STF-883 CASIO SL-300NC-PK carmane calculator calculator with a bright design with a large display and comfortable buttons-Casio SL-300NC-PK will definitely like the fair sex! CASIO SL-300NC-GNARMAN CALCAL CALCAL COPE with a bright design with a large display and convenient buttons-CASIO SL-300NC-GN will definitely like it! CASIO SL-310UC-PLVS CASIO CASIO-Casio Pocket Calculator SL-310UC-PL! You will be happy to carry this light ergonomic and functional model with you in a bag. Citizen CPC-110VPU12 CITIZEN COPPORTURE CARANCE CITIZEN CITZEN CPC-110VPU looks excellent and has the functions of converting currencies of tax change taxes. Citizen CPC-110VBL12 CITIZEN calculator CITIZEN CITZEN CPC-110VBL is excellent and has excellent enveloping functions of calculating the sign of a sign of sign. CASIO SL-300NC-RD carmane calculator with a bright design with a large display and convenient buttons-CASIO SL-300NC-RD will definitely like the fair sex! The Citizen CPC-110WBModel Calculator combines the laconic design ease of use and functionality. Unlike many other pocket calculators, the Citizen CPC-110WB list of options is expanded due to the ability to quickly perform simple financial calculations. Canon LS-103T-accessible and attractive 10-partial desktop calculator Canon LS-103TC has functions to calculate taxes and currency converting. A large LCD display provides exceptional ease of use. Citizen Correct SD-208 NEW CITIZEN Correct SD-208 calculator is one of the most compact desktop models. It is ideal for students and students. CITIZEN CDB1201-BKKNASTOL CITIZEN CORRRECT CDB1201-BK CLACT CLECTION CLACK in the classical design building supports financial transactions and is suitable for sellers of warehouse employees to compiles estimates. CASIO GR-12C-Gnnkalculator CASIO GR-12C-GN-a bright model that will look great on the desktop. It will help functional and practical with basic financial calculations. CASIO GR-12C-RGN generation of table calculators CASIO CASIO CASIO CASIO COMPOSS A bright design and an abundance of useful functions. The GR-12C-RG model will look great on any desktop! Citizen SDC-4444444444s Citizen Calculator is designed to perform basic arithmetic operations of the square root of interest count. Citizen Citizen Citizen Citizen Citizen SDC-577III calculator is perfect for accountants and financial workers. This model supports tax calculation and other functions. Citizen SDC-8688LLASTEL CITIZEN SDC-868L calculator with an adjustable display is designed to solve financial problems. Citizen SDC-554s-Nastol Citizen SDC-554s calculator is convenient for accounting. This model has an increased 14-bit display. Citizen SDC-395NASTO CITIZEN SDC-395N CITZEN calculator combined traditional Japanese quality and optimal set of functions of goods for economists to accountants. CITIZEN CDB1601-BKNASTOL CITIZEN CDB1601-BK calculator with a large 16-digit screen is the perfect choice for frequent work with numbers and prices. CITIZEN SDC-444XRNVE CITIZEN CITZEN DAR-SIDE CITIZEN SDC-44444XRPke Pink Citizen SDC-4444XRGNE CITIZEN SDC-888888888888TII is convenient for simple calculations simple monetary operations. It supports the calculation of percent discounts and rounding of the results. Citizen SDC-888XRDNASTNAL CITIZEN SDC-888XRD calculator in a bright burgundy housing has a catchy design. It supports all basic functions and also allows you to calculate the margin of a discount and other values. Citizen SDC-8888TIIGE COMMUNICATION PRIMENTOL CITZEN CITZEN SDC-8888888888888TIIGE PRIMIME is a series of the most popular model of the Japanese manufacturer released by limited circulation in honor of the fiftieth anniversary. Citizen SDC-888XBKNASTOL CITIZEN SDC-888XBK calculator is designed for basic calculations. It is also suitable for performing simple financial calculations. Citizen SDC-888XBLLASTE CITIZEN SDC-888xbl Citizen Calculator has a restrained design and supports the most popular functions. Thanks to a large display, working with it is convenient and comfortable. CITIZEN SDC-760NSHIC CITZEN CHALCHERNAL PRODUCTION CLASS CITIZEN SDC-760N is suitable for specialists in the field of finance and analytics. CASIO MS-20NC-PK-PK-PK CASIO MS-20NC-PK compact size CASIO CASIO. CASIO MS-20UC-BUSTEN Practical and Inexpensive Casio MS-20UC-Bu Casio-Bu Calculator is useful at any workplace. CASIO MS-20UC-YGNASTO CASIO MS-20UC-Yg Casio Casio Calculator will enjoy people who are looking for a model for work and schoolchildren. Its main differences are a bright case and a large display. CASIO MS-20UC-rhior and positive orange desktop calculator Casio MS-20UC-RG will cheer up at work and impress you with convenience. Casio MS-20UC-GN CASIO Calculator-CASIO MS-20UC-GN! This desktop calculator with a stylish design will delight the practicality of ease of use and an affordable price! Casio MS-20UC-pink-pink-pink Casio MS-20UC-PK CASIO-pink calculator is suitable for a desktop or handbag of any representative of the fair sex. He is light reliable and practical! CASIO MS-20UC-LBNASTOL CASIO MS-20UC-LB CASIO calculator is aimed at a wide range of specialists who need to produce simple calculations. CASIO MS-20UC-RODAL Pink CASIO Casio MS-20UC-RD pink CASIO is not lost among papers! Functional and convenient he will become a good assistant at work. CASIO JW-200SC-We Premium Calculator You will attach great importance to the style, make sure that you have chosen the right calculator for your style: with a colored metal case, the Casio JW-200SC-WE desktop calculator. Casio JW-200SC-GD desktop Premium-Premium Casio JW-200SC-GD-GD-GD-GD-GD-GD-GD-GD-GD-GD-GD-GD-GDU will delight you with its design and ease of use. CITIZEN WR-3000 CITZEN Waterproof CITIZEN WR-3000 waterproof calculator in a compact case protected from water or dust hit. Citizen SDC-805BNASTO CITIZEN SDC-805BN CITZEN COPENTER-a classic model that has a basic arithmetic functions for simple calculations. The calculator has honed ergonomics and minimizes the number of errors when entering data. Canon LS-88L-Bliniature 8-bit 88L-BL-BL-BL desktop calculator with a large inclined LCD display. Canon LS-88L-LGRMMINATION OF CANON 8-URIENT CASTE CANON LS-88L-LGR with a large inclined LCD display. Canon LS-88L-PKMiniator 8-bit 88L-PK desktop calculator with a large inclined LCD display. CITIZEN CT-666666N CITIZEN CT-66N CITZEN calculator will simplify the calculations for the accountant of an economist manager, including the calculation of taxes of profit of the final amount. A unique option is the verification and correction of up to 120 of the last actions. Citizen ECC-310 ECCOLD CITIZEN ECC-310 calculator calculator is one of the latest developments of the company. Despite the large size of this calculator, it works only on solar panels and does not use other power sources. Citizen Correct D-314 Bolshoi Citizen Citizen Correct D-314 Correct Correct with support for financial functions will be convenient for frequent calculations. CITIZEN CMB1201-BKNASTOL CITIZEN CMB1201-BK calculator is a simple student model that is suitable for primary and middle classes. CITIZEN CDC-80RD-WBNASTOL CITIZEN CDC-80RD-WB CDC-80RD-WB calculator in a bright raspberry case attracts attention and facilitates the work related to calculations. CITIZEN CDC-80WBNASTO CITIZEN CDC-80WB calculator is available in a compact housing, it is suitable for people who are often working outside the office. CITIZEN CDC-80BL-WBL CITIZEN CDC-80BL-WB CDC-80BL-WB calculator in a stylish blue case will be convenient when working in the office and during trips to the object. STEM. Robotics. STEM Electronics STEM Projects from TII Reviews on Yandex.Marketthe STARTS OF SUPPOSITY OF SUPPOSITION OF SOULD SETTER 02.10.2023 Physics for 100 points with non -programmable Texas Instruments calculators! 09/02/2023 Drive list of permitted unexpramed CHEs for the EGE of chemistry and geography in 202402.002.0 8.2023 Technology Ti- NSPire CAS. The solution of systems of equations and inequalities, including with the parameter. Lublinskaya I.E. Kalculator-technical ● Novelty ● Hit Saleshot Engineering Texas Instruments Ti-30X Pro MathPrint4300 ₽ Engineering Texas Instruments Ti-30XS Multiview3780 Chny Brauberg SC-8501290 ₽ Cart ● Novyki Accumaster digital angler4070 ₽ In the basket ● Novyki Accumaster XT digital moisture meter 4120 ₽ Bart ● The novelty of the CI Laser Dimension Master II3610 ₽ CASIO CASIO FXo-220 Plus 2nd Edition1880 ₽ CAL CAI CST Ruction Master 56890 ₽ VOURCINECALCAL COMPETENT Engineer Brauberg SC-880 -N2510 ₽ CARCINEFINING COMPORTANCE Financial Texas Instruments Ti Ba II Plus7680 ₽ Capalcalculator financial Hewlett-Packard HP 17BII+ Business12270 ₽ CHRIT CARZINE TOXASAS Instruments Ti II P Lus Professional10320 ₽ Cart ● Hit Salescap Galculator Financial Hewlett-Packard HP Platinum for CFA10520 ₽ Capsinukalcal financial financial Hewlett-Packard HP 10BII+6250 ₽ CARZINUCHICAL ₽ ● Heath Hewlett-Packard HP Prime (G2) 29730 ₽ CARZINURAL COLCAPLE TEXASS Instruments TII-SPENS CX II-T28850 ₽ Cart ● Novice Texas calculator Instruments Ti-SPire CX II-T CAS30880 ₽ CASIO Casio FX-CG50 CASINOUKALCAL CARSICAL ₽ CARZINA ● GPULICAL TEXAS Instruments TI-84 PLUS CE-T PYTHONA26960 ₽ CALSINOOOO "Treanna" / Calc " / Calc" / Calc " / Calc" / Calc ulators-online.ru © 2009-2023 Copyright is protected. All Rights Reserved. Politics of Promotional Office (495) 240-8280 [Email Protexted] Mobile version of the purchase - simply and convenience of the application will be obtained within 2 minutes of Russian citizens aged 18 to 70 Lettsums of Lending - from 3,000 rubles to 200 000 rub. The first fee - 0%lending term - from 3 to 24 months of percent rate is calculated by the individual to buy on credit? Fill the Basket of the goods form the order and select the payment method "on credit" Fill out a short application, sign a loan agreement for a meeting with a representative of the bank or SMS codes receive the goods the chosen way to be more in more detail ... To find out the state of your order, indicate the email address and order number: e-mail No. order.</v>
      </c>
    </row>
    <row r="445">
      <c r="A445" s="1" t="s">
        <v>1397</v>
      </c>
      <c r="B445" s="1" t="s">
        <v>1475</v>
      </c>
      <c r="D445" s="1">
        <v>34.0</v>
      </c>
      <c r="E445" s="4" t="s">
        <v>1476</v>
      </c>
      <c r="F445" s="1" t="s">
        <v>16</v>
      </c>
      <c r="G445" s="1" t="s">
        <v>1009</v>
      </c>
      <c r="H445" s="4" t="s">
        <v>1010</v>
      </c>
      <c r="I445" s="2"/>
      <c r="J445" s="5" t="str">
        <f>IFERROR(__xludf.DUMMYFUNCTION("GOOGLETRANSLATE(A445)"),"calculator")</f>
        <v>calculator</v>
      </c>
      <c r="K445" s="6" t="str">
        <f>IFERROR(__xludf.DUMMYFUNCTION("GOOGLETRANSLATE(B445)"),"Pension calculator")</f>
        <v>Pension calculator</v>
      </c>
      <c r="L445" s="5" t="str">
        <f>IFERROR(__xludf.DUMMYFUNCTION("GOOGLETRANSLATE(C445)"),"#VALUE!")</f>
        <v>#VALUE!</v>
      </c>
      <c r="M445" s="5" t="str">
        <f>IFERROR(__xludf.DUMMYFUNCTION("GOOGLETRANSLATE(G445)"),"The portal of public services of the Russian Federation of the Russian Federation will open now the portal works in the same mode. Wait a couple of seconds")</f>
        <v>The portal of public services of the Russian Federation of the Russian Federation will open now the portal works in the same mode. Wait a couple of seconds</v>
      </c>
    </row>
    <row r="446">
      <c r="A446" s="1" t="s">
        <v>1397</v>
      </c>
      <c r="B446" s="1" t="s">
        <v>1477</v>
      </c>
      <c r="C446" s="1" t="s">
        <v>1478</v>
      </c>
      <c r="D446" s="1">
        <v>36.0</v>
      </c>
      <c r="E446" s="4" t="s">
        <v>1479</v>
      </c>
      <c r="F446" s="1" t="s">
        <v>16</v>
      </c>
      <c r="G446" s="1" t="s">
        <v>1480</v>
      </c>
      <c r="H446" s="4" t="s">
        <v>1481</v>
      </c>
      <c r="I446" s="2"/>
      <c r="J446" s="5" t="str">
        <f>IFERROR(__xludf.DUMMYFUNCTION("GOOGLETRANSLATE(A446)"),"calculator")</f>
        <v>calculator</v>
      </c>
      <c r="K446" s="6" t="str">
        <f>IFERROR(__xludf.DUMMYFUNCTION("GOOGLETRANSLATE(B446)"),"Online calculator")</f>
        <v>Online calculator</v>
      </c>
      <c r="L446" s="5" t="str">
        <f>IFERROR(__xludf.DUMMYFUNCTION("GOOGLETRANSLATE(C446)"),"Online calculator allows you to evaluate the budget without a call to the company. It allows you to calculate almost any products, except for options ...")</f>
        <v>Online calculator allows you to evaluate the budget without a call to the company. It allows you to calculate almost any products, except for options ...</v>
      </c>
      <c r="M446" s="5" t="str">
        <f>IFERROR(__xludf.DUMMYFUNCTION("GOOGLETRANSLATE(G446)"),"Exprint - printing house in Khabarovsk - excellent quality at the best prices! Products of menu for restaurants and cafes multi -page brochures stickers labels packaging Photobes Cards invitation wedding invitations folders Birki Birdkels calendars Bookle"&amp;"ts Certificates City orphanages Vobes Flyeries Hengera Cutmons Service Services Services Service Ivent Polygraphy Polygraphs Polygraphy for restaurants CHET High printing digital Printing white color foil with foil plotter cutting Carriageing Square to cl"&amp;"ients of technical tightening packaging templates Payment Contacts SUPPLE CALLECTIONS OF THE DEMENT Office +7 (4212) 747-999 Order callsakaz@Exprint.infocontacts Facebook Instagram +7 (4212) 747 (4212) 747 (4212) 747 (4212) 747 (4212) 747 (4212) 747 (4212"&amp;") -999 order a dilation-confrontation for restaurants and cafe multi -page brochures stickers labels packaging photo books Cards invitations wedding invitations folders Birki Bideckel calendars Booklets Country Countes Blabes Vobes Listen Flyeries Hengeer"&amp;"s Cutmons Cuts Tablets Service Service Service Service Printing Printing Printing Pultigraphy for restaurants of UV Talle chewed with white stamping foil plotter cutting cutting Square Class Clients Technical Technical Technical University packaging templ"&amp;"ates Delivery Contacts+7 (4212) 747-9999999ONLINALING products back products for restaurants and cafemine stringing stampleskiypakovopakopotokotokotoks Tifsiyzitvyvyvki -Kovykvystylistvystylistyflairynereyenyeengenyeengar -bolly -plastic vehicles, back of"&amp;" the service design and disastrous business, polygraph -printing polygraphyside polygraphy polygraphy polygraphy for restaurantovuf printing seal printed seal printing. today Packaging-Plata-Steakkontaktyonline Calculator+7 (4212) 747-9999999zakaz@exprint"&amp;".infocontacts of VKontakte Facebook Instagram Find the operational digitaltypography of the EXPRICT for more than 10 years our printing house has been offering you an excellent service and product quality. During this time, a vast experience has been gain"&amp;"ed that helps to solve printing problems as efficiently as possible. All products of the online recording Printing house provides services for the manufacture of printing products for various areas of the activities of our customers: from the simplest to "&amp;"premium. We are in the constant search for new technologies and materials to expand the services provided. Modern equipment allows us to combine various types of printing with a variety of finishes to offer you more than ordinary printing. And our designe"&amp;"rs are always happy to help you in developing design and layout of any complexity. Design and layout of the polygraph -amphydric polygraphy polygraphy for restaurants for restaurants Printing Printing Cyphic stamp with white flowering, foil -cutting -cutt"&amp;"ing, Koreshkans have found the desired service or products? This does not mean that we cannot offer it or make it. Write or call us and we will consider options for its implementation. Set a question champion @exprint Technical Technical Teaching for prin"&amp;"ting will significantly reduce production time and will avoid unforeseen situations payment options for you are convenient: non-cash payment payment by cash with a bank card or online transfer. We carry out operational delivery of your order at a convenie"&amp;"nt time for you. Operational polygography of the exprintonine-layer. Operational printing is a non -alternative option if you need to urgently make a small circulation of printing products. Our printing house is as automated as possible and has all the ne"&amp;"cessary modern equipment so that all your orders are performed as quickly as possible and with the best quality. For a very long time we have introduced the online calculation system on the site. It will allow you to calculate the business cards of the le"&amp;"aflets booklets brochures calendars envelopes of postcards and other products immediately on the site and estimate the budget permissible for you. Our managers use this calculator therefore, you can be sure of the relevance of the calculation of value. Th"&amp;"ey have a calculator with additional calculation options so that they can make any calculation for you in a matter of minutes or even seconds. Our prices for digital printing are one of the lowest in Khabarovsk. But this does not affect the quality of man"&amp;"ufactured products. In production, we use only high -quality and best consumables. Multiple calibration of equipment and visual control of the production process allows you to make only high -quality printing products for you. The optimization of producti"&amp;"on and organizational processes enables us to quickly make printing products for you exactly observing the terms of their implementation. Simple orders that do not require a difficult post -print finish, we try to execute during the day or even an hour. I"&amp;"t all depends on the current workload and the volume of your order. Turning to our printing house - you will receive services from the first person! Kontkhabarovsk st. Volochaevskaya 8-ruler of work9-18 / Mon-Fri / without interruption-mailzakaz@exprint.i"&amp;"nfolephone+7 (4212) 747-999 Telephone+7 (4212) 69-00-59whatsApp+7 (962) 587-00-59 . Turn it on in the settings of your browser. Write to us © 2023 All rights are protected. +7 (4212) 747-999 order the callzakaz@exprint.info9-18 / Mon-PTG. Khabarovsk st. V"&amp;"olochaevskaya 8E VKontakte Facebook Policy of Privacy © 2023 All rights are protected. Form of sending orders: Price for 1 copy: Price for circulation: “By clicking on the Send button I give consent to process personal data” Order a call “Pressing the SPI"&amp;"RITAL button I give consent to process personal data” × “clicking on the SPIRITE OF THE CONSULY On the processing of personal data »× Authorization Lag Parol to remember me to enter the login? Forgot your password? × conce.")</f>
        <v>Exprint - printing house in Khabarovsk - excellent quality at the best prices! Products of menu for restaurants and cafes multi -page brochures stickers labels packaging Photobes Cards invitation wedding invitations folders Birki Birdkels calendars Booklets Certificates City orphanages Vobes Flyeries Hengera Cutmons Service Services Services Service Ivent Polygraphy Polygraphs Polygraphy for restaurants CHET High printing digital Printing white color foil with foil plotter cutting Carriageing Square to clients of technical tightening packaging templates Payment Contacts SUPPLE CALLECTIONS OF THE DEMENT Office +7 (4212) 747-999 Order callsakaz@Exprint.infocontacts Facebook Instagram +7 (4212) 747 (4212) 747 (4212) 747 (4212) 747 (4212) 747 (4212) 747 (4212) -999 order a dilation-confrontation for restaurants and cafe multi -page brochures stickers labels packaging photo books Cards invitations wedding invitations folders Birki Bideckel calendars Booklets Country Countes Blabes Vobes Listen Flyeries Hengeers Cutmons Cuts Tablets Service Service Service Service Printing Printing Printing Pultigraphy for restaurants of UV Talle chewed with white stamping foil plotter cutting cutting Square Class Clients Technical Technical Technical University packaging templates Delivery Contacts+7 (4212) 747-9999999ONLINALING products back products for restaurants and cafemine stringing stampleskiypakovopakopotokotokotoks Tifsiyzitvyvyvki -Kovykvystylistvystylistyflairynereyenyeengenyeengar -bolly -plastic vehicles, back of the service design and disastrous business, polygraph -printing polygraphyside polygraphy polygraphy polygraphy for restaurantovuf printing seal printed seal printing. today Packaging-Plata-Steakkontaktyonline Calculator+7 (4212) 747-9999999zakaz@exprint.infocontacts of VKontakte Facebook Instagram Find the operational digitaltypography of the EXPRICT for more than 10 years our printing house has been offering you an excellent service and product quality. During this time, a vast experience has been gained that helps to solve printing problems as efficiently as possible. All products of the online recording Printing house provides services for the manufacture of printing products for various areas of the activities of our customers: from the simplest to premium. We are in the constant search for new technologies and materials to expand the services provided. Modern equipment allows us to combine various types of printing with a variety of finishes to offer you more than ordinary printing. And our designers are always happy to help you in developing design and layout of any complexity. Design and layout of the polygraph -amphydric polygraphy polygraphy for restaurants for restaurants Printing Printing Cyphic stamp with white flowering, foil -cutting -cutting, Koreshkans have found the desired service or products? This does not mean that we cannot offer it or make it. Write or call us and we will consider options for its implementation. Set a question champion @exprint Technical Technical Teaching for printing will significantly reduce production time and will avoid unforeseen situations payment options for you are convenient: non-cash payment payment by cash with a bank card or online transfer. We carry out operational delivery of your order at a convenient time for you. Operational polygography of the exprintonine-layer. Operational printing is a non -alternative option if you need to urgently make a small circulation of printing products. Our printing house is as automated as possible and has all the necessary modern equipment so that all your orders are performed as quickly as possible and with the best quality. For a very long time we have introduced the online calculation system on the site. It will allow you to calculate the business cards of the leaflets booklets brochures calendars envelopes of postcards and other products immediately on the site and estimate the budget permissible for you. Our managers use this calculator therefore, you can be sure of the relevance of the calculation of value. They have a calculator with additional calculation options so that they can make any calculation for you in a matter of minutes or even seconds. Our prices for digital printing are one of the lowest in Khabarovsk. But this does not affect the quality of manufactured products. In production, we use only high -quality and best consumables. Multiple calibration of equipment and visual control of the production process allows you to make only high -quality printing products for you. The optimization of production and organizational processes enables us to quickly make printing products for you exactly observing the terms of their implementation. Simple orders that do not require a difficult post -print finish, we try to execute during the day or even an hour. It all depends on the current workload and the volume of your order. Turning to our printing house - you will receive services from the first person! Kontkhabarovsk st. Volochaevskaya 8-ruler of work9-18 / Mon-Fri / without interruption-mailzakaz@exprint.infolephone+7 (4212) 747-999 Telephone+7 (4212) 69-00-59whatsApp+7 (962) 587-00-59 . Turn it on in the settings of your browser. Write to us © 2023 All rights are protected. +7 (4212) 747-999 order the callzakaz@exprint.info9-18 / Mon-PTG. Khabarovsk st. Volochaevskaya 8E VKontakte Facebook Policy of Privacy © 2023 All rights are protected. Form of sending orders: Price for 1 copy: Price for circulation: “By clicking on the Send button I give consent to process personal data” Order a call “Pressing the SPIRITAL button I give consent to process personal data” × “clicking on the SPIRITE OF THE CONSULY On the processing of personal data »× Authorization Lag Parol to remember me to enter the login? Forgot your password? × conce.</v>
      </c>
    </row>
    <row r="447">
      <c r="A447" s="1" t="s">
        <v>1397</v>
      </c>
      <c r="B447" s="1" t="s">
        <v>1482</v>
      </c>
      <c r="C447" s="1" t="s">
        <v>1483</v>
      </c>
      <c r="D447" s="1">
        <v>37.0</v>
      </c>
      <c r="E447" s="4" t="s">
        <v>1484</v>
      </c>
      <c r="F447" s="1" t="s">
        <v>16</v>
      </c>
      <c r="I447" s="2"/>
      <c r="J447" s="5" t="str">
        <f>IFERROR(__xludf.DUMMYFUNCTION("GOOGLETRANSLATE(A447)"),"calculator")</f>
        <v>calculator</v>
      </c>
      <c r="K447" s="6" t="str">
        <f>IFERROR(__xludf.DUMMYFUNCTION("GOOGLETRANSLATE(B447)"),"Calculators - buy at a bargain price from 156 rubles ...")</f>
        <v>Calculators - buy at a bargain price from 156 rubles ...</v>
      </c>
      <c r="L447" s="5" t="str">
        <f>IFERROR(__xludf.DUMMYFUNCTION("GOOGLETRANSLATE(C447)"),"Buy calculators - over 391 goods at a price of 156 rubles with fast and free delivery of 690+ stores and a guarantee throughout Russia: reviews, ...")</f>
        <v>Buy calculators - over 391 goods at a price of 156 rubles with fast and free delivery of 690+ stores and a guarantee throughout Russia: reviews, ...</v>
      </c>
      <c r="M447" s="5" t="str">
        <f>IFERROR(__xludf.DUMMYFUNCTION("GOOGLETRANSLATE(G447)"),"#VALUE!")</f>
        <v>#VALUE!</v>
      </c>
    </row>
    <row r="448">
      <c r="A448" s="1" t="s">
        <v>1397</v>
      </c>
      <c r="B448" s="1" t="s">
        <v>1485</v>
      </c>
      <c r="C448" s="1" t="s">
        <v>1486</v>
      </c>
      <c r="D448" s="1">
        <v>38.0</v>
      </c>
      <c r="E448" s="4" t="s">
        <v>1487</v>
      </c>
      <c r="F448" s="1" t="s">
        <v>16</v>
      </c>
      <c r="H448" s="4" t="s">
        <v>1488</v>
      </c>
      <c r="I448" s="2"/>
      <c r="J448" s="5" t="str">
        <f>IFERROR(__xludf.DUMMYFUNCTION("GOOGLETRANSLATE(A448)"),"calculator")</f>
        <v>calculator</v>
      </c>
      <c r="K448" s="6" t="str">
        <f>IFERROR(__xludf.DUMMYFUNCTION("GOOGLETRANSLATE(B448)"),"Calculators online, directory-encyclopedia")</f>
        <v>Calculators online, directory-encyclopedia</v>
      </c>
      <c r="L448" s="5" t="str">
        <f>IFERROR(__xludf.DUMMYFUNCTION("GOOGLETRANSLATE(C448)"),"Online calculators, encyclopedia guide. Free online calculators of calculation, translation, tracking courses and quotations. Hundreds of calculators, thousands ...")</f>
        <v>Online calculators, encyclopedia guide. Free online calculators of calculation, translation, tracking courses and quotations. Hundreds of calculators, thousands ...</v>
      </c>
      <c r="M448" s="5" t="str">
        <f>IFERROR(__xludf.DUMMYFUNCTION("GOOGLETRANSLATE(G448)"),"#VALUE!")</f>
        <v>#VALUE!</v>
      </c>
    </row>
    <row r="449">
      <c r="A449" s="1" t="s">
        <v>1397</v>
      </c>
      <c r="B449" s="1" t="s">
        <v>1489</v>
      </c>
      <c r="D449" s="1">
        <v>6.0</v>
      </c>
      <c r="E449" s="4" t="s">
        <v>1490</v>
      </c>
      <c r="F449" s="1" t="s">
        <v>43</v>
      </c>
      <c r="G449" s="1" t="s">
        <v>1491</v>
      </c>
      <c r="H449" s="4" t="s">
        <v>1492</v>
      </c>
      <c r="I449" s="2"/>
      <c r="J449" s="5" t="str">
        <f>IFERROR(__xludf.DUMMYFUNCTION("GOOGLETRANSLATE(A449)"),"calculator")</f>
        <v>calculator</v>
      </c>
      <c r="K449" s="6" t="str">
        <f>IFERROR(__xludf.DUMMYFUNCTION("GOOGLETRANSLATE(B449)"),"Online Calculator")</f>
        <v>Online Calculator</v>
      </c>
      <c r="L449" s="5" t="str">
        <f>IFERROR(__xludf.DUMMYFUNCTION("GOOGLETRANSLATE(C449)"),"#VALUE!")</f>
        <v>#VALUE!</v>
      </c>
      <c r="M449" s="5" t="str">
        <f>IFERROR(__xludf.DUMMYFUNCTION("GOOGLETRANSLATE(G449)"),"Online CalculatorOnline-CalculatorGoChange LanguageMenuFull Screen Calculator - The Online Calculator that can be used free and full screenScientific Calculator - A great Scientific Calculator. Clear and Free!Simple Calculator - A nice Simple Free Online "&amp;"Calculator. Easy to use and read.Online Abacus - An Online Abacus! Teach numbers from 1 to 50 :-)Darts Calculator - Forget the maths and play Darts!Maths Calculator - This Online Maths Calculator show the history of your sums. Very helpful!BMI Calculator "&amp;"- Work out your BMI / Body Mass IndexPatio Calculator - How many slabs for that patio?Ring Size Converter - What size ring do you need? Know the differencesLength Converter - Convert Lengths! CM Feet and more!Percentage Calculator - Work out all the perce"&amp;"ntages you need!Volume Converter - Find the Volume of a cube!Weight Converter - Convert between weightsLength Conversions - A collection of Length conversion toolsSpeed Conversions - A collection of Speed conversion toolsTemperature Conversions - A collec"&amp;"tion of Temperature conversion toolsTime Conversions - A collection of Time conversion toolsWeight Conversions - A collection of Weight conversion toolsWelcome to Online Calculator! We have a range of free easy to use calculators conversion tools and much"&amp;" more!Our tools are designed to help you perform a wide range of calculations and conversions quickly and accurately whether you're at home at work or on the go.{embed-link}Use the Online Calculator Full Screen Site MenuHome Page - Go Back to the Home Pag"&amp;"e... :-)Full Screen Calculator - The Online Calculator that can be used free and full screenScientific Calculator - A great Scientific Calculator. Clear and Free!Simple Calculator - A nice Simple Free Online Calculator. Easy to use and read.Online Abacus "&amp;"- An Online Abacus! Teach numbers from 1 to 50 :-)Darts Calculator - Forget the maths and play Darts!Maths Calculator - This Online Maths Calculator show the history of your sums. Very helpful!BMI Calculator - Work out your BMI / Body Mass IndexPatio Calc"&amp;"ulator - How many slabs for that patio?Ring Size Converter - What size ring do you need? Know the differencesLength Converter - Convert Lengths! CM Feet and more!Percentage Calculator - Work out all the percentages you need!Volume Converter - Find the Vol"&amp;"ume of a cube!Weight Converter - Convert between weightsLength Conversions - A collection of Length conversion toolsSpeed Conversions - A collection of Speed conversion toolsTemperature Conversions - A collection of Temperature conversion toolsTime Conver"&amp;"sions - A collection of Time conversion toolsWeight Conversions - A collection of Weight conversion toolsStopwatch - Online Stopwatch FULL SCREEN Stopwatch. Great for meetings classrooms conferences schools anywhere really... :-)Random Name Pickers - Rand"&amp;"om Name Picker Wheel and More Random Generators!Distance Converter - Convert Distances! Miles KM and more!Temperature Converter - Too Hot/ Too Cold? / Just Right!Circle Tools - Circle Radius Circle Diameter or Circle CircumferenceFeatured Tools:These are "&amp;"some of the most popular calculators and tools on the site! Darts CalculatorOur Darts Calculator helps players calculate scores and checkouts quickly and accurately making the game more enjoyable and competitive!Darts Calculator  BMI CalculatorOur BMI Cal"&amp;"culator quickly calculates Body Mass Index to help users understand their weight status and make informed health decisions.BMI Calculator  Online AbacusOur Online Abacus is a virtual version of the traditional counting tool designed to help children learn"&amp;" and practice basic math skills.Online Abacus  Scientific CalculatorOur Scientific Calculator is a powerful tool that performs complex mathematical calculations and functions.Scientific Calculator Conversions CalculatorsEffortlessly convert units currenci"&amp;"es and more with our comprehensive range of simple to use conversion calculators! Here are just a few make sure you check our all the others we have to offer!Our weight conversion tools are accurate easy to use and offer a wide range of units.Weight Conve"&amp;"rsionsGet precise and hassle-free length conversions with our user-friendly and comprehensive length conversion calculators.Length ConversionsOur temperature conversion calculators are accurate simple to use and covers various temperature units.Temperatur"&amp;"e ConversionsLoads of other easy to use conversion tools!More Conversions...KG to PoundsStones to KGOunces to PoundsDays to HoursMinutes to DaysHours to SecondsFeet to CMMiles to KMFeet to InchesCelsius to FahrenheitMM to MetersYards to InchesThe History "&amp;"of the Calculator!Online-Calculator.com has been around since 2007! That's a long time!The original calculator was invented in the 17th century by a Frenchman called Blaise Pascal! He was just 18 years old and wanted to help his father do his tax calculat"&amp;"ions. Join us on the fascinating history of the calculator!The History of the Calculator!About UsContact usLanguagesTerms &amp; FAQPrivacy PolicyStopwatch")</f>
        <v>Online CalculatorOnline-CalculatorGoChange LanguageMenuFull Screen Calculator - The Online Calculator that can be used free and full screenScientific Calculator - A great Scientific Calculator. Clear and Free!Simple Calculator - A nice Simple Free Online Calculator. Easy to use and read.Online Abacus - An Online Abacus! Teach numbers from 1 to 50 :-)Darts Calculator - Forget the maths and play Darts!Maths Calculator - This Online Maths Calculator show the history of your sums. Very helpful!BMI Calculator - Work out your BMI / Body Mass IndexPatio Calculator - How many slabs for that patio?Ring Size Converter - What size ring do you need? Know the differencesLength Converter - Convert Lengths! CM Feet and more!Percentage Calculator - Work out all the percentages you need!Volume Converter - Find the Volume of a cube!Weight Converter - Convert between weightsLength Conversions - A collection of Length conversion toolsSpeed Conversions - A collection of Speed conversion toolsTemperature Conversions - A collection of Temperature conversion toolsTime Conversions - A collection of Time conversion toolsWeight Conversions - A collection of Weight conversion toolsWelcome to Online Calculator! We have a range of free easy to use calculators conversion tools and much more!Our tools are designed to help you perform a wide range of calculations and conversions quickly and accurately whether you're at home at work or on the go.{embed-link}Use the Online Calculator Full Screen Site MenuHome Page - Go Back to the Home Page... :-)Full Screen Calculator - The Online Calculator that can be used free and full screenScientific Calculator - A great Scientific Calculator. Clear and Free!Simple Calculator - A nice Simple Free Online Calculator. Easy to use and read.Online Abacus - An Online Abacus! Teach numbers from 1 to 50 :-)Darts Calculator - Forget the maths and play Darts!Maths Calculator - This Online Maths Calculator show the history of your sums. Very helpful!BMI Calculator - Work out your BMI / Body Mass IndexPatio Calculator - How many slabs for that patio?Ring Size Converter - What size ring do you need? Know the differencesLength Converter - Convert Lengths! CM Feet and more!Percentage Calculator - Work out all the percentages you need!Volume Converter - Find the Volume of a cube!Weight Converter - Convert between weightsLength Conversions - A collection of Length conversion toolsSpeed Conversions - A collection of Speed conversion toolsTemperature Conversions - A collection of Temperature conversion toolsTime Conversions - A collection of Time conversion toolsWeight Conversions - A collection of Weight conversion toolsStopwatch - Online Stopwatch FULL SCREEN Stopwatch. Great for meetings classrooms conferences schools anywhere really... :-)Random Name Pickers - Random Name Picker Wheel and More Random Generators!Distance Converter - Convert Distances! Miles KM and more!Temperature Converter - Too Hot/ Too Cold? / Just Right!Circle Tools - Circle Radius Circle Diameter or Circle CircumferenceFeatured Tools:These are some of the most popular calculators and tools on the site! Darts CalculatorOur Darts Calculator helps players calculate scores and checkouts quickly and accurately making the game more enjoyable and competitive!Darts Calculator  BMI CalculatorOur BMI Calculator quickly calculates Body Mass Index to help users understand their weight status and make informed health decisions.BMI Calculator  Online AbacusOur Online Abacus is a virtual version of the traditional counting tool designed to help children learn and practice basic math skills.Online Abacus  Scientific CalculatorOur Scientific Calculator is a powerful tool that performs complex mathematical calculations and functions.Scientific Calculator Conversions CalculatorsEffortlessly convert units currencies and more with our comprehensive range of simple to use conversion calculators! Here are just a few make sure you check our all the others we have to offer!Our weight conversion tools are accurate easy to use and offer a wide range of units.Weight ConversionsGet precise and hassle-free length conversions with our user-friendly and comprehensive length conversion calculators.Length ConversionsOur temperature conversion calculators are accurate simple to use and covers various temperature units.Temperature ConversionsLoads of other easy to use conversion tools!More Conversions...KG to PoundsStones to KGOunces to PoundsDays to HoursMinutes to DaysHours to SecondsFeet to CMMiles to KMFeet to InchesCelsius to FahrenheitMM to MetersYards to InchesThe History of the Calculator!Online-Calculator.com has been around since 2007! That's a long time!The original calculator was invented in the 17th century by a Frenchman called Blaise Pascal! He was just 18 years old and wanted to help his father do his tax calculations. Join us on the fascinating history of the calculator!The History of the Calculator!About UsContact usLanguagesTerms &amp; FAQPrivacy PolicyStopwatch</v>
      </c>
    </row>
    <row r="450">
      <c r="A450" s="1" t="s">
        <v>1397</v>
      </c>
      <c r="B450" s="1" t="s">
        <v>1493</v>
      </c>
      <c r="D450" s="1">
        <v>10.0</v>
      </c>
      <c r="E450" s="4" t="s">
        <v>1494</v>
      </c>
      <c r="F450" s="1" t="s">
        <v>43</v>
      </c>
      <c r="G450" s="1" t="s">
        <v>97</v>
      </c>
      <c r="H450" s="4" t="s">
        <v>98</v>
      </c>
      <c r="I450" s="2"/>
      <c r="J450" s="5" t="str">
        <f>IFERROR(__xludf.DUMMYFUNCTION("GOOGLETRANSLATE(A450)"),"calculator")</f>
        <v>calculator</v>
      </c>
      <c r="K450" s="6" t="str">
        <f>IFERROR(__xludf.DUMMYFUNCTION("GOOGLETRANSLATE(B450)"),"Calculator - App Store")</f>
        <v>Calculator - App Store</v>
      </c>
      <c r="L450" s="5" t="str">
        <f>IFERROR(__xludf.DUMMYFUNCTION("GOOGLETRANSLATE(C450)"),"#VALUE!")</f>
        <v>#VALUE!</v>
      </c>
      <c r="M450" s="5" t="str">
        <f>IFERROR(__xludf.DUMMYFUNCTION("GOOGLETRANSLATE(G450)"),"App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451">
      <c r="A451" s="1" t="s">
        <v>1397</v>
      </c>
      <c r="B451" s="1" t="s">
        <v>1495</v>
      </c>
      <c r="C451" s="1" t="s">
        <v>1496</v>
      </c>
      <c r="D451" s="1">
        <v>11.0</v>
      </c>
      <c r="E451" s="4" t="s">
        <v>1497</v>
      </c>
      <c r="F451" s="1" t="s">
        <v>43</v>
      </c>
      <c r="G451" s="1" t="s">
        <v>97</v>
      </c>
      <c r="H451" s="4" t="s">
        <v>98</v>
      </c>
      <c r="I451" s="2"/>
      <c r="J451" s="5" t="str">
        <f>IFERROR(__xludf.DUMMYFUNCTION("GOOGLETRANSLATE(A451)"),"calculator")</f>
        <v>calculator</v>
      </c>
      <c r="K451" s="6" t="str">
        <f>IFERROR(__xludf.DUMMYFUNCTION("GOOGLETRANSLATE(B451)"),"App Store: Calculator - Apple")</f>
        <v>App Store: Calculator - Apple</v>
      </c>
      <c r="L451" s="5" t="str">
        <f>IFERROR(__xludf.DUMMYFUNCTION("GOOGLETRANSLATE(C451)"),"Read reviews, compare customer grades, view screen pictures and get additional information about this content (calculator).")</f>
        <v>Read reviews, compare customer grades, view screen pictures and get additional information about this content (calculator).</v>
      </c>
      <c r="M451" s="5" t="str">
        <f>IFERROR(__xludf.DUMMYFUNCTION("GOOGLETRANSLATE(G451)"),"App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452">
      <c r="A452" s="1" t="s">
        <v>1397</v>
      </c>
      <c r="B452" s="1" t="s">
        <v>1475</v>
      </c>
      <c r="C452" s="1" t="s">
        <v>1498</v>
      </c>
      <c r="D452" s="1">
        <v>14.0</v>
      </c>
      <c r="E452" s="4" t="s">
        <v>1499</v>
      </c>
      <c r="F452" s="1" t="s">
        <v>43</v>
      </c>
      <c r="I452" s="2"/>
      <c r="J452" s="5" t="str">
        <f>IFERROR(__xludf.DUMMYFUNCTION("GOOGLETRANSLATE(A452)"),"calculator")</f>
        <v>calculator</v>
      </c>
      <c r="K452" s="6" t="str">
        <f>IFERROR(__xludf.DUMMYFUNCTION("GOOGLETRANSLATE(B452)"),"Pension calculator")</f>
        <v>Pension calculator</v>
      </c>
      <c r="L452" s="5" t="str">
        <f>IFERROR(__xludf.DUMMYFUNCTION("GOOGLETRANSLATE(C452)"),"Pension calculator. Pension and Social Insurance Fund of the Russian Federation.")</f>
        <v>Pension calculator. Pension and Social Insurance Fund of the Russian Federation.</v>
      </c>
      <c r="M452" s="5" t="str">
        <f>IFERROR(__xludf.DUMMYFUNCTION("GOOGLETRANSLATE(G452)"),"#VALUE!")</f>
        <v>#VALUE!</v>
      </c>
    </row>
    <row r="453">
      <c r="A453" s="1" t="s">
        <v>1397</v>
      </c>
      <c r="B453" s="1" t="s">
        <v>1500</v>
      </c>
      <c r="D453" s="1">
        <v>15.0</v>
      </c>
      <c r="E453" s="4" t="s">
        <v>1501</v>
      </c>
      <c r="F453" s="1" t="s">
        <v>43</v>
      </c>
      <c r="G453" s="1" t="s">
        <v>1432</v>
      </c>
      <c r="H453" s="4" t="s">
        <v>1433</v>
      </c>
      <c r="I453" s="2"/>
      <c r="J453" s="5" t="str">
        <f>IFERROR(__xludf.DUMMYFUNCTION("GOOGLETRANSLATE(A453)"),"calculator")</f>
        <v>calculator</v>
      </c>
      <c r="K453" s="6" t="str">
        <f>IFERROR(__xludf.DUMMYFUNCTION("GOOGLETRANSLATE(B453)"),"Deposit calculator")</f>
        <v>Deposit calculator</v>
      </c>
      <c r="L453" s="5" t="str">
        <f>IFERROR(__xludf.DUMMYFUNCTION("GOOGLETRANSLATE(C453)"),"#VALUE!")</f>
        <v>#VALUE!</v>
      </c>
      <c r="M453" s="5" t="str">
        <f>IFERROR(__xludf.DUMMYFUNCTION("GOOGLETRANSLATE(G453)"),"The financial culture of You Need to Enable JavaScript to Run this App.")</f>
        <v>The financial culture of You Need to Enable JavaScript to Run this App.</v>
      </c>
    </row>
    <row r="454">
      <c r="A454" s="1" t="s">
        <v>1397</v>
      </c>
      <c r="B454" s="1" t="s">
        <v>1502</v>
      </c>
      <c r="D454" s="1">
        <v>16.0</v>
      </c>
      <c r="E454" s="4" t="s">
        <v>1503</v>
      </c>
      <c r="F454" s="1" t="s">
        <v>43</v>
      </c>
      <c r="I454" s="2"/>
      <c r="J454" s="5" t="str">
        <f>IFERROR(__xludf.DUMMYFUNCTION("GOOGLETRANSLATE(A454)"),"calculator")</f>
        <v>calculator</v>
      </c>
      <c r="K454" s="6" t="str">
        <f>IFERROR(__xludf.DUMMYFUNCTION("GOOGLETRANSLATE(B454)"),"Order cargo transportation: cost calculator")</f>
        <v>Order cargo transportation: cost calculator</v>
      </c>
      <c r="L454" s="5" t="str">
        <f>IFERROR(__xludf.DUMMYFUNCTION("GOOGLETRANSLATE(C454)"),"#VALUE!")</f>
        <v>#VALUE!</v>
      </c>
      <c r="M454" s="5" t="str">
        <f>IFERROR(__xludf.DUMMYFUNCTION("GOOGLETRANSLATE(G454)"),"#VALUE!")</f>
        <v>#VALUE!</v>
      </c>
    </row>
    <row r="455">
      <c r="A455" s="1" t="s">
        <v>1397</v>
      </c>
      <c r="B455" s="1" t="s">
        <v>1504</v>
      </c>
      <c r="C455" s="1" t="s">
        <v>1505</v>
      </c>
      <c r="D455" s="1">
        <v>17.0</v>
      </c>
      <c r="E455" s="4" t="s">
        <v>1506</v>
      </c>
      <c r="F455" s="1" t="s">
        <v>43</v>
      </c>
      <c r="G455" s="1" t="s">
        <v>1507</v>
      </c>
      <c r="H455" s="4" t="s">
        <v>1508</v>
      </c>
      <c r="I455" s="2"/>
      <c r="J455" s="5" t="str">
        <f>IFERROR(__xludf.DUMMYFUNCTION("GOOGLETRANSLATE(A455)"),"calculator")</f>
        <v>calculator</v>
      </c>
      <c r="K455" s="6" t="str">
        <f>IFERROR(__xludf.DUMMYFUNCTION("GOOGLETRANSLATE(B455)"),"Online calculator for calculating vacation pay in 2023")</f>
        <v>Online calculator for calculating vacation pay in 2023</v>
      </c>
      <c r="L455" s="5" t="str">
        <f>IFERROR(__xludf.DUMMYFUNCTION("GOOGLETRANSLATE(C455)"),"... Ordering documents · Accountant calendar · Expert methods · Webinars. normativ.kontur.ru. Restored calculator. Since 1988.")</f>
        <v>... Ordering documents · Accountant calendar · Expert methods · Webinars. normativ.kontur.ru. Restored calculator. Since 1988.</v>
      </c>
      <c r="M455" s="5" t="str">
        <f>IFERROR(__xludf.DUMMYFUNCTION("GOOGLETRANSLATE(G455)"),"Reference and legal system. Always relevant tax civil legislation of the Russian Federation: Codes and laws regulatory acts of government decisions. -circuit. Normivormativ.kontur.ru.ru..ru-heading for a week list for an accountant for 2023 Sudgetary prac"&amp;"tice: Review and comments of the expert production calendar for 2024 Year-production calendar for 2023 Godographic: payments notifications reporting tax payments: notifications of payment instructions contributions on federal taxes on regional taxes on lo"&amp;"cal taxes on taxes on special regulations for special regionalization mobematic navigatorskBK for 2023 GOODOKZ (for EFS-1) tariffs of insurance premium-defetters: regional rates-2023MROTA in regional courses of the Central Bank of the Russian Federation o"&amp;"f the Russian Federation for alcohol, OKVEDSIKOGROKY OKVEDSK Reference book of the reserve of the Kosgustervis -designer designer of the contract of the contract designer of the labor contracts for the accounting policy of the member of the penaliator Pen"&amp;"calculator Intercession Squader Silk The sick leave of the vacation pay for maternity core of the legislation of the legislation of amendments for months by the year was by force in 2023 by the year in 2022 was re -surveyed by force in 2021 changes in the"&amp;" changes in the changes in part 1 (Art. 1-142) NK Part 2 (Article 143-432) The Labor Code of the Code of Part 1 (Article 1-453) of the Civil Code of Part 2 (Art. 454-1109) of the Civil Code of Part 3 (Article 1110-1224) of the Civil Code of Part 4 (Art .1"&amp;"225-1551) CoapBust Code of Cod Code of Laws 402-ФЗ “On Accounting” 44-ФЗ “On State and Municipal Purchases” 223-ФЗ “On the Purchases of Products of Services by Certain Types of the YUL” 54-ФЗ “On the Application of CCPs” 2300-I “On the Protection of Consu"&amp;"mer Rights” 273-ФЗ “On Education in the Russian Federation” 152-ФЗ “On Personal Data” 123-ФЗ “On Fire Safety Requirements” 115-ФЗ “On Combating the Legalization (Washing) of Revenues” of the FSBU (PBU ) 1/2008 “Accounting Policy” 27/2021 “Documents and do"&amp;"cument management in accounting” 4/99 “Accounting reporting of the organization” 6/2020 “Fixed assets” 5/2019 “Reserves” 26/2020 “Capital investments” 9/99 “Organization income” 10/99 “Organization expenses” 25/2018 “Accounting for lease” 15/2008 “Account"&amp;"ing for loans and loans” 18/02 “Accounting for accounts for income of organizations” 23/2011 “Report on the movement of monetary Means ”22/2010“ Correction of errors in accounting and reporting ”2/2008“ Accounting for construction contracts ”3/2006“ Accou"&amp;"nting for assets and obligations of which is expressed in foreign currency ”7/98“ Events after reporting date ”8/2010 “Appraisal obligations Conditional obligations and conditional assets” 11/2008 “Information on the Related Parties” 12/2010 “Information "&amp;"on segments” 14/2007 “Accounting for intangible assets” 13/2000 “Accounting for state assistance” 16/02 “Information on the termination of the discontinued activity 19/02 “Accounting for financial investments” 21/2008 “Changes in assessment values” Counts"&amp;" of accounts94n “Plan of accounts of an economic and financial organization” for organizations of agro-industrial complex of credit organizations of the form of forms Popular forms for insurance premiums (recommended form) Calculation of insurance contrib"&amp;"utions (approved form) Personified information about individuals for income tax on indirect tax on indirect tax (simplified) tax return of the EFS-1 declaration for VAT6-NDFL (for 2022) 6-NDFL (for 2023) Application for amendments to the Unified State Est"&amp;"ablishment of Agricultural Agricultural Supervision of the Percentine Exceptions without interest goods of non -residential premises (general Form) Giving of a car support car for the yur. persons for physical. Cossacks of services Jur. Person -casting se"&amp;"rvices physical. Person -Businessman of the KosguTablitsa compliance of the KVR and the CoGuplan of the Accounts of the Institutions157n “Unified Plan of the Accounts of the Budget Institution” 162n “Plan of accounting accounts” 183n “Set of Accounts of A"&amp;"utonomous Institutions” 174n “Plan of accounts of budgetary institutions”  upstairs")</f>
        <v>Reference and legal system. Always relevant tax civil legislation of the Russian Federation: Codes and laws regulatory acts of government decisions. -circuit. Normivormativ.kontur.ru.ru..ru-heading for a week list for an accountant for 2023 Sudgetary practice: Review and comments of the expert production calendar for 2024 Year-production calendar for 2023 Godographic: payments notifications reporting tax payments: notifications of payment instructions contributions on federal taxes on regional taxes on local taxes on taxes on special regulations for special regionalization mobematic navigatorskBK for 2023 GOODOKZ (for EFS-1) tariffs of insurance premium-defetters: regional rates-2023MROTA in regional courses of the Central Bank of the Russian Federation of the Russian Federation for alcohol, OKVEDSIKOGROKY OKVEDSK Reference book of the reserve of the Kosgustervis -designer designer of the contract of the contract designer of the labor contracts for the accounting policy of the member of the penaliator Pencalculator Intercession Squader Silk The sick leave of the vacation pay for maternity core of the legislation of the legislation of amendments for months by the year was by force in 2023 by the year in 2022 was re -surveyed by force in 2021 changes in the changes in the changes in part 1 (Art. 1-142) NK Part 2 (Article 143-432) The Labor Code of the Code of Part 1 (Article 1-453) of the Civil Code of Part 2 (Art. 454-1109) of the Civil Code of Part 3 (Article 1110-1224) of the Civil Code of Part 4 (Art .1225-1551) CoapBust Code of Cod Code of Laws 402-ФЗ “On Accounting” 44-ФЗ “On State and Municipal Purchases” 223-ФЗ “On the Purchases of Products of Services by Certain Types of the YUL” 54-ФЗ “On the Application of CCPs” 2300-I “On the Protection of Consumer Rights” 273-ФЗ “On Education in the Russian Federation” 152-ФЗ “On Personal Data” 123-ФЗ “On Fire Safety Requirements” 115-ФЗ “On Combating the Legalization (Washing) of Revenues” of the FSBU (PBU ) 1/2008 “Accounting Policy” 27/2021 “Documents and document management in accounting” 4/99 “Accounting reporting of the organization” 6/2020 “Fixed assets” 5/2019 “Reserves” 26/2020 “Capital investments” 9/99 “Organization income” 10/99 “Organization expenses” 25/2018 “Accounting for lease” 15/2008 “Accounting for loans and loans” 18/02 “Accounting for accounts for income of organizations” 23/2011 “Report on the movement of monetary Means ”22/2010“ Correction of errors in accounting and reporting ”2/2008“ Accounting for construction contracts ”3/2006“ Accounting for assets and obligations of which is expressed in foreign currency ”7/98“ Events after reporting date ”8/2010 “Appraisal obligations Conditional obligations and conditional assets” 11/2008 “Information on the Related Parties” 12/2010 “Information on segments” 14/2007 “Accounting for intangible assets” 13/2000 “Accounting for state assistance” 16/02 “Information on the termination of the discontinued activity 19/02 “Accounting for financial investments” 21/2008 “Changes in assessment values” Counts of accounts94n “Plan of accounts of an economic and financial organization” for organizations of agro-industrial complex of credit organizations of the form of forms Popular forms for insurance premiums (recommended form) Calculation of insurance contributions (approved form) Personified information about individuals for income tax on indirect tax on indirect tax (simplified) tax return of the EFS-1 declaration for VAT6-NDFL (for 2022) 6-NDFL (for 2023) Application for amendments to the Unified State Establishment of Agricultural Agricultural Supervision of the Percentine Exceptions without interest goods of non -residential premises (general Form) Giving of a car support car for the yur. persons for physical. Cossacks of services Jur. Person -casting services physical. Person -Businessman of the KosguTablitsa compliance of the KVR and the CoGuplan of the Accounts of the Institutions157n “Unified Plan of the Accounts of the Budget Institution” 162n “Plan of accounting accounts” 183n “Set of Accounts of Autonomous Institutions” 174n “Plan of accounts of budgetary institutions”  upstairs</v>
      </c>
    </row>
    <row r="456">
      <c r="A456" s="1" t="s">
        <v>1397</v>
      </c>
      <c r="B456" s="1" t="s">
        <v>1509</v>
      </c>
      <c r="D456" s="1">
        <v>18.0</v>
      </c>
      <c r="E456" s="4" t="s">
        <v>1510</v>
      </c>
      <c r="F456" s="1" t="s">
        <v>43</v>
      </c>
      <c r="G456" s="1" t="s">
        <v>302</v>
      </c>
      <c r="H456" s="4" t="s">
        <v>303</v>
      </c>
      <c r="I456" s="2"/>
      <c r="J456" s="5" t="str">
        <f>IFERROR(__xludf.DUMMYFUNCTION("GOOGLETRANSLATE(A456)"),"calculator")</f>
        <v>calculator</v>
      </c>
      <c r="K456" s="6" t="str">
        <f>IFERROR(__xludf.DUMMYFUNCTION("GOOGLETRANSLATE(B456)"),"Superpa. Calculator of relations of men and women")</f>
        <v>Superpa. Calculator of relations of men and women</v>
      </c>
      <c r="L456" s="5" t="str">
        <f>IFERROR(__xludf.DUMMYFUNCTION("GOOGLETRANSLATE(C456)"),"#VALUE!")</f>
        <v>#VALUE!</v>
      </c>
      <c r="M456" s="5" t="str">
        <f>IFERROR(__xludf.DUMMYFUNCTION("GOOGLETRANSLATE(G456)"),"Google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457">
      <c r="A457" s="1" t="s">
        <v>1397</v>
      </c>
      <c r="B457" s="1" t="s">
        <v>1511</v>
      </c>
      <c r="D457" s="1">
        <v>19.0</v>
      </c>
      <c r="E457" s="4" t="s">
        <v>1512</v>
      </c>
      <c r="F457" s="1" t="s">
        <v>43</v>
      </c>
      <c r="G457" s="1" t="s">
        <v>302</v>
      </c>
      <c r="H457" s="4" t="s">
        <v>303</v>
      </c>
      <c r="I457" s="2"/>
      <c r="J457" s="5" t="str">
        <f>IFERROR(__xludf.DUMMYFUNCTION("GOOGLETRANSLATE(A457)"),"calculator")</f>
        <v>calculator</v>
      </c>
      <c r="K457" s="6" t="str">
        <f>IFERROR(__xludf.DUMMYFUNCTION("GOOGLETRANSLATE(B457)"),"Calculator for a young mother. How much money is needed to ...")</f>
        <v>Calculator for a young mother. How much money is needed to ...</v>
      </c>
      <c r="L457" s="5" t="str">
        <f>IFERROR(__xludf.DUMMYFUNCTION("GOOGLETRANSLATE(C457)"),"#VALUE!")</f>
        <v>#VALUE!</v>
      </c>
      <c r="M457" s="5" t="str">
        <f>IFERROR(__xludf.DUMMYFUNCTION("GOOGLETRANSLATE(G457)"),"Google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458">
      <c r="A458" s="1" t="s">
        <v>1397</v>
      </c>
      <c r="B458" s="1" t="s">
        <v>1457</v>
      </c>
      <c r="C458" s="1" t="s">
        <v>1513</v>
      </c>
      <c r="D458" s="1">
        <v>20.0</v>
      </c>
      <c r="E458" s="4" t="s">
        <v>1514</v>
      </c>
      <c r="F458" s="1" t="s">
        <v>43</v>
      </c>
      <c r="I458" s="2"/>
      <c r="J458" s="5" t="str">
        <f>IFERROR(__xludf.DUMMYFUNCTION("GOOGLETRANSLATE(A458)"),"calculator")</f>
        <v>calculator</v>
      </c>
      <c r="K458" s="6" t="str">
        <f>IFERROR(__xludf.DUMMYFUNCTION("GOOGLETRANSLATE(B458)"),"Calculator")</f>
        <v>Calculator</v>
      </c>
      <c r="L458" s="5" t="str">
        <f>IFERROR(__xludf.DUMMYFUNCTION("GOOGLETRANSLATE(C458)"),"Calculators ... The calculator is designed to determine the exact size of the pension annuity for each type of pension annuity. ... calculate the size ...")</f>
        <v>Calculators ... The calculator is designed to determine the exact size of the pension annuity for each type of pension annuity. ... calculate the size ...</v>
      </c>
      <c r="M458" s="5" t="str">
        <f>IFERROR(__xludf.DUMMYFUNCTION("GOOGLETRANSLATE(G458)"),"#VALUE!")</f>
        <v>#VALUE!</v>
      </c>
    </row>
    <row r="459">
      <c r="A459" s="1" t="s">
        <v>1397</v>
      </c>
      <c r="B459" s="1" t="s">
        <v>1515</v>
      </c>
      <c r="C459" s="1" t="s">
        <v>1516</v>
      </c>
      <c r="D459" s="1">
        <v>31.0</v>
      </c>
      <c r="E459" s="4" t="s">
        <v>1517</v>
      </c>
      <c r="F459" s="1" t="s">
        <v>43</v>
      </c>
      <c r="G459" s="1" t="s">
        <v>1437</v>
      </c>
      <c r="H459" s="4" t="s">
        <v>1438</v>
      </c>
      <c r="I459" s="2"/>
      <c r="J459" s="5" t="str">
        <f>IFERROR(__xludf.DUMMYFUNCTION("GOOGLETRANSLATE(A459)"),"calculator")</f>
        <v>calculator</v>
      </c>
      <c r="K459" s="6" t="str">
        <f>IFERROR(__xludf.DUMMYFUNCTION("GOOGLETRANSLATE(B459)"),"Portal of financial calculators")</f>
        <v>Portal of financial calculators</v>
      </c>
      <c r="L459" s="5" t="str">
        <f>IFERROR(__xludf.DUMMYFUNCTION("GOOGLETRANSLATE(C459)"),"The calculator of the contribution, the loan, the mortgage with early repayment, the variable rate and various commissions.")</f>
        <v>The calculator of the contribution, the loan, the mortgage with early repayment, the variable rate and various commissions.</v>
      </c>
      <c r="M459" s="5" t="str">
        <f>IFERROR(__xludf.DUMMYFUNCTION("GOOGLETRANSLATE(G459)"),"The Portal of Financial Calculatorsfincalculator.ru Portal Financial Calcules for the Credite -Keluridaridically Delicitan Fires of the Rights of the Financial Credit Credit calculator will calculate the full cost of the loan, taking into account the comm"&amp;"issions and other additional costs for credit. It will take into account inflation and will allow you to choose the most comfortable loan terms. Cross! Calculator of deposits will calculate the actual profitability of the contribution, taking into account"&amp;" the fertilized tax frequency of the percentage of the capitalized to their contribution. Go! We calculate how much time it costs? Is it profitable to make purchases in a more expensive store but save 15 minutes of your time? Or maybe you should go to wor"&amp;"k by taxi? Cross! The mortgage calculator will take into account the most common commissions in banks of the insurance requirements and other additional fees that are characteristic of loans issued on security of real estate. Go! Calculator of the car loa"&amp;"n will take into account the most typical additional payments that are characteristic of loans issued for the purchase of a car. Cross! Consumer loan calculator will take into account the commission fees related to loans issued for urgent needs. Go! Calcu"&amp;"lator online calculator with support for currencies calculating interest and calculating complex expressions. Go! Calculator of days Calculator calculating the number of days between two dates and determining the date through the specified number of days."&amp;" Go! Previousnextusd: 9192666 Course of the Central Bank at 10.11EUR: 984076 CURSE OF 10.11 Rubusdeur deposits deposit calculator Calculation of the balance loans credit calculator Consumer loan calculator Calendar Calculator of Days Production Calendar f"&amp;"or 2023 Production calendar for 2024 all calendars different calculator courses online region by phone number how much time costs? Directory of banks transliteration © 2010-2023 Sergey Chepurnov | Feedback | Privacy Policy | User agreement | 18+ For compl"&amp;"ete functional work of this site, it is necessary to enable the performance of JavaScript scenarios. Unfortunately, the site is not optimized for working with this version of the browser. Please try updating the version to the most relevant or using anoth"&amp;"er browser. Hide a notification")</f>
        <v>The Portal of Financial Calculatorsfincalculator.ru Portal Financial Calcules for the Credite -Keluridaridically Delicitan Fires of the Rights of the Financial Credit Credit calculator will calculate the full cost of the loan, taking into account the commissions and other additional costs for credit. It will take into account inflation and will allow you to choose the most comfortable loan terms. Cross! Calculator of deposits will calculate the actual profitability of the contribution, taking into account the fertilized tax frequency of the percentage of the capitalized to their contribution. Go! We calculate how much time it costs? Is it profitable to make purchases in a more expensive store but save 15 minutes of your time? Or maybe you should go to work by taxi? Cross! The mortgage calculator will take into account the most common commissions in banks of the insurance requirements and other additional fees that are characteristic of loans issued on security of real estate. Go! Calculator of the car loan will take into account the most typical additional payments that are characteristic of loans issued for the purchase of a car. Cross! Consumer loan calculator will take into account the commission fees related to loans issued for urgent needs. Go! Calculator online calculator with support for currencies calculating interest and calculating complex expressions. Go! Calculator of days Calculator calculating the number of days between two dates and determining the date through the specified number of days. Go! Previousnextusd: 9192666 Course of the Central Bank at 10.11EUR: 984076 CURSE OF 10.11 Rubusdeur deposits deposit calculator Calculation of the balance loans credit calculator Consumer loan calculator Calendar Calculator of Days Production Calendar for 2023 Production calendar for 2024 all calendars different calculator courses online region by phone number how much time costs? Directory of banks transliteration © 2010-2023 Sergey Chepurnov | Feedback | Privacy Policy | User agreement | 18+ For complete functional work of this site, it is necessary to enable the performance of JavaScript scenarios. Unfortunately, the site is not optimized for working with this version of the browser. Please try updating the version to the most relevant or using another browser. Hide a notification</v>
      </c>
    </row>
    <row r="460">
      <c r="A460" s="1" t="s">
        <v>1397</v>
      </c>
      <c r="B460" s="1" t="s">
        <v>1518</v>
      </c>
      <c r="D460" s="1">
        <v>34.0</v>
      </c>
      <c r="E460" s="4" t="s">
        <v>1519</v>
      </c>
      <c r="F460" s="1" t="s">
        <v>43</v>
      </c>
      <c r="G460" s="1" t="s">
        <v>1520</v>
      </c>
      <c r="H460" s="4" t="s">
        <v>1521</v>
      </c>
      <c r="I460" s="2"/>
      <c r="J460" s="5" t="str">
        <f>IFERROR(__xludf.DUMMYFUNCTION("GOOGLETRANSLATE(A460)"),"calculator")</f>
        <v>calculator</v>
      </c>
      <c r="K460" s="6" t="str">
        <f>IFERROR(__xludf.DUMMYFUNCTION("GOOGLETRANSLATE(B460)"),"Calculator.net: Free Online Calculators - Math, Fitness ...")</f>
        <v>Calculator.net: Free Online Calculators - Math, Fitness ...</v>
      </c>
      <c r="L460" s="5" t="str">
        <f>IFERROR(__xludf.DUMMYFUNCTION("GOOGLETRANSLATE(C460)"),"#VALUE!")</f>
        <v>#VALUE!</v>
      </c>
      <c r="M460" s="5" t="str">
        <f>IFERROR(__xludf.DUMMYFUNCTION("GOOGLETRANSLATE(G460)"),"Calculator.net: Free Online Calculators - Math Fitness Finance Science   0sincostanDegRadsin-1cos-1tan-1πexyx3x2ex10xy√x3√x√xlnlog()1/x%n!789+Back456–Ans123×M+0.EXP/M-±RNDAC=MRFree Online CalculatorsSearchFinancial CalculatorsMortgage CalculatorLoan Calcu"&amp;"latorAuto Loan CalculatorInterest CalculatorPayment CalculatorRetirement CalculatorAmortization CalculatorInvestment CalculatorInflation CalculatorFinance CalculatorIncome Tax CalculatorCompound Interest CalculatorSalary CalculatorInterest Rate Calculator"&amp;"Sales Tax CalculatorFitness &amp; Health CalculatorsBMI CalculatorCalorie CalculatorBody Fat CalculatorBMR CalculatorIdeal Weight CalculatorPace CalculatorPregnancy CalculatorPregnancy Conception CalculatorDue Date CalculatorMath CalculatorsScientific Calcula"&amp;"torFraction CalculatorPercentage CalculatorRandom Number GeneratorTriangle CalculatorStandard Deviation CalculatorOther CalculatorsAge CalculatorDate CalculatorTime CalculatorHours CalculatorGPA CalculatorGrade CalculatorConcrete CalculatorSubnet Calculat"&amp;"orPassword GeneratorConversion CalculatorCalculator.net's sole focus is to provide fast comprehensive convenient free online calculators in a plethora of areas. Currently we have around 200 calculators to help you ""do the math"" quickly in areas such as "&amp;"finance fitness health math and others and we are still developing more. Our goal is to become the one-stop go-to site for people who need to make quick calculations. Additionally we believe the internet should be a source of free information. Therefore a"&amp;"ll of our tools and services are completely free with no registration required.We coded and developed each calculator individually and put each one through strict comprehensive testing. However please inform us if you notice even the slightest error – you"&amp;"r input is extremely valuable to us. While most calculators on Calculator.net are designed to be universally applicable for worldwide usage some are for specific countries only. For example the Income Tax Calculator is for United States residents only.abo"&amp;"ut us | sitemap | terms of use | privacy policy    © 2008 - 2023 calculator.net")</f>
        <v>Calculator.net: Free Online Calculators - Math Fitness Finance Science   0sincostanDegRadsin-1cos-1tan-1πexyx3x2ex10xy√x3√x√xlnlog()1/x%n!789+Back456–Ans123×M+0.EXP/M-±RNDAC=MRFree Online CalculatorsSearchFinancial CalculatorsMortgage CalculatorLoan CalculatorAuto Loan CalculatorInterest CalculatorPayment CalculatorRetirement CalculatorAmortization CalculatorInvestment CalculatorInflation CalculatorFinance CalculatorIncome Tax CalculatorCompound Interest CalculatorSalary CalculatorInterest Rate CalculatorSales Tax CalculatorFitness &amp; Health CalculatorsBMI CalculatorCalorie CalculatorBody Fat CalculatorBMR CalculatorIdeal Weight CalculatorPace CalculatorPregnancy CalculatorPregnancy Conception CalculatorDue Date CalculatorMath CalculatorsScientific CalculatorFraction CalculatorPercentage CalculatorRandom Number GeneratorTriangle CalculatorStandard Deviation CalculatorOther CalculatorsAge CalculatorDate CalculatorTime CalculatorHours CalculatorGPA CalculatorGrade CalculatorConcrete CalculatorSubnet CalculatorPassword GeneratorConversion CalculatorCalculator.net's sole focus is to provide fast comprehensive convenient free online calculators in a plethora of areas. Currently we have around 200 calculators to help you "do the math" quickly in areas such as finance fitness health math and others and we are still developing more. Our goal is to become the one-stop go-to site for people who need to make quick calculations. Additionally we believe the internet should be a source of free information. Therefore all of our tools and services are completely free with no registration required.We coded and developed each calculator individually and put each one through strict comprehensive testing. However please inform us if you notice even the slightest error – your input is extremely valuable to us. While most calculators on Calculator.net are designed to be universally applicable for worldwide usage some are for specific countries only. For example the Income Tax Calculator is for United States residents only.about us | sitemap | terms of use | privacy policy    © 2008 - 2023 calculator.net</v>
      </c>
    </row>
    <row r="461">
      <c r="A461" s="1" t="s">
        <v>1397</v>
      </c>
      <c r="B461" s="1" t="s">
        <v>1522</v>
      </c>
      <c r="D461" s="1">
        <v>38.0</v>
      </c>
      <c r="E461" s="4" t="s">
        <v>1523</v>
      </c>
      <c r="F461" s="1" t="s">
        <v>43</v>
      </c>
      <c r="G461" s="1" t="s">
        <v>1524</v>
      </c>
      <c r="H461" s="4" t="s">
        <v>1525</v>
      </c>
      <c r="I461" s="2"/>
      <c r="J461" s="5" t="str">
        <f>IFERROR(__xludf.DUMMYFUNCTION("GOOGLETRANSLATE(A461)"),"calculator")</f>
        <v>calculator</v>
      </c>
      <c r="K461" s="6" t="str">
        <f>IFERROR(__xludf.DUMMYFUNCTION("GOOGLETRANSLATE(B461)"),"Mortgage calculator online - 🏠 mortgage")</f>
        <v>Mortgage calculator online - 🏠 mortgage</v>
      </c>
      <c r="L461" s="5" t="str">
        <f>IFERROR(__xludf.DUMMYFUNCTION("GOOGLETRANSLATE(C461)"),"#VALUE!")</f>
        <v>#VALUE!</v>
      </c>
      <c r="M461" s="5" t="str">
        <f>IFERROR(__xludf.DUMMYFUNCTION("GOOGLETRANSLATE(G461)"),"Bank VTB (PJSC) - debit and credit cards mortgages Metro Corredites Cash loans and other services for individuals and legal entities throughout Russia ONLACTITYTITETITITITIT Cash for any healing auto -core for cars or technology with a motorcycle reformat"&amp;"ion, we will reduce your monthly payment for the security of real estate to 20 million ₽ ₽ Terms Up to 30 years in vain, I will submit my bet with a discount of up to 8%to submit an application for families for families with children online for 3 minutes "&amp;"without confirmation of income readers for all the solution online for 3 minutes without confirmation of income for a secondary housing, the decision online for 3 minutes without confirmation of income in more details for the new building. In 3 minutes wi"&amp;"thout confirmation of income, the mortgage card of the Cardybettic card with a cashbekom -form -like VTB card up to 200 days without a % for the all -deprecation card of VTB for the whole family VTB retires and use all the advantages of the banking bankin"&amp;"g bankruptcy account “ f ""Details"" Stable ""reliable contribution to 3 years with simple conditions of retrospects in the yuan with a high fixed income of the indigenous income in rubles, choose when to receive the payment of a %deposits and accounts of"&amp;" the organizations of the organizamarily bankemauli and the average large transfer to the section “credits” codes. Credit Refinance The guarantee of real estate information for the borrower of the loan of the loan to the section “Cards” debit card -loop c"&amp;"ard card card cards cards residents of residents of the residential card -plate card -pay card for life for the life of the possibility of per capita cartremium card Privorge MIR SUPREMEMENCE for the Family Smartfonomation for Carder Holders and Documents"&amp;" Loyalty program ""Multibonus"" Map with an installment post Refinancing Credit Part to Part to Expect "" Mortgage ”for families with a children's hiptele for all-hip-oriented housing for new buildings for new buildings for mortgage calculators Mortgage p"&amp;"rograms for a finished housekeeper on the basis of the existing real estate on a commercial real estate vehicle and a pantry with maternal capital-terterer Line-idol and forms personal offices of the program ""Corporate VTB client ”of car loans to the“ Au"&amp;"to Credits ”section of the state program 2023AVTOKredit in cash in cash in the car dealership in the car carrier to subscription autonomous car recovery with mileage -based information carbon incidents and accounts to the section“ Bittering and accounts ”"&amp;"Corpusive score“ Self -aim TB deposits to the ruble ""New Time ""The contribution"" Favorable beginning ""of the VTB-deposit in the Yuanakhnagnagogagogagogamy payment of the ACBephsiferous cells of the depersonal metallic accounts from precious metallic i"&amp;"ssuing an archings of deposits and the accounting of the"" Investment ""score in the pluszbligations of my investment-bonds ORY PROURECTIONAL DAYPECUMENCES OF SUMPLEMENCENCENCENT TAKENTSIGHING INFORMATIONAL CASTECTUS KALS. инвестораОбучение и частые вопро"&amp;"сыТерминалы QUIKФорексОнлайн-сервисыПерейти в раздел «Онлайн-сервисы»Приложение ВТБ ОнлайнВТБ Онлайн для не клиентовБанк VKИнтернет-банк ВТБ ОнлайнПомощник ВТБ в АлисеВТБ IDПриложение «Парковки России»Все приложения банкаПриложение «Мой умный город»Голосо"&amp;"вой ассистентПереводы по номеру телефона через СБПОплата по QR Codes through VTB online payments via SBPPROPRES around the world from a card to the carding of limits to VTB online issuing from banksavtB.chayvs by QR CODUSBOUT Money through the VTB client "&amp;"using biometrics and transfers to the “Payments and Translations” section of utilities. Trafenshratorsport are props Service of taxes online forces the supplier Service training and exchange of currency converter currency transdersbepsbor Monattery Contra"&amp;"ctorous services to the section “Other services” public service for the family and service products of safe -reproduction pension of individuals of the VTBBSS »Pensioners and corporate clients with disabilities with disabilities of pledges Special account"&amp;" of the Participant Providious lottery -Upersiacs and extractoric registration of the employment of citizenship of citizenship to the “privilege” section of debit in the exposure of the Crediticeline Restoravds and count -icatic bonded metallic accounting"&amp;" and investment life insurance services. Private services Service MIR PASSPREMENTIONS Creditations and discounts Banking to the section “Private Banking” Banking Product Investigation of the Field Office of Loyalty Office to the “Self -employed” self -emp"&amp;"loyed individuals to translate into the “Self -employed individuals ”to become self -employed with VTB, a simple -minded person becomes self -employed sentences for self -employed self -assembled hippies to the“ self -employed IP ”section to become self -"&amp;"employed individual entrepreneurs with the VTB of Self -Enlightenment can interest the calculations with self -employed in the section“ Calculations with self -employed ”, as working as it is working as a work, the convenience of service is the convenienc"&amp;"e of service, the convenience of the service of service in the section ""Ends of activity »Taxicuriryre Parikarikamyryltovylotovarita to the section"" Help ""Self-employment of individuals and praise deposits with self-employment capacity of the online ba"&amp;"nking of the online bank to translate into the section"" Small and medium-sized businesses ""Calculation account to the Settlement Account section for the IPROMENT OF IPROMENT OF A LLC PACK COMPOSITIONA Linopx to be plasting LLC for business and business "&amp;"platforms plates And the transforming program of the loyalty tariff collection of the portal “Closer to the case” What is a billing account? What is a RKO? Registration of businesses to “Registration of business” Registration of IPRUSTRATION OF LLC Regist"&amp;"ration as a self -employed man to register a business man Open an IPKAK Open the Open Cover for an OOORKO without a visit to the bank Ruporfixture of the Tariffs of the Rkopopolitovnoye service to the section “Loans” Express Credit Online -borous Credit f"&amp;"inancing of capital cost-refinancing on state procuretitis on the guarantee of the acquired real estate of the housing construction of subsoil users for the laying lending of the soft lending of the soft lending of the soft lending the Russian Federation "&amp;"No. 1764 of the preferential lending of agricultural producers of loans according to 106-FZOSTURTURITURITURICIONS of loans for 377-ФЗ and 106-ФЗ to borrowers to the participants of the special military operation to stimulate lending to lending a mpram of "&amp;"preferential lending to the Government of the Russian Federation No. 2221 Business-Card to the Business Card section virtual cardiac cardiac cartridges and a transformation collection of the Project Equirting Project to the EkVIRININGST section Trade equi"&amp;"tural actual act RingtB-cassavtb-softpos acceptance of QR Internet payments -covering to use the equipment to make an “deposits” section to choose the “universal” deposit with the period of attracting up to a year / over a year “fixed” with the possibilit"&amp;"y of early termination “flexible” with the possibility of replenishment and partial removal of the vein -verte -densit “Plar” deposit of the “advanced” uninhabited residue of a business medium -month The balance to the account of the ECOE Ecosystem Ecosys"&amp;"tem VTBVALUTE CONTRULE CONTRUCTIONAL COMPETIONS / SALE OF VADAMICAL Service Service Tariffs Vedganiy Vedbarandia in favor of the customs authorities of the Cultural Authority of the Business Service Information Information Information Information Personal"&amp;" Service Personsonal Service Personal Service Guarantees and letters of credit ""Express Garantirandia Participants 44-ФЗ 223-ФЗ 615-per-nationwide guarantees of guarantee guarantees in favor of customs authorities in favor of the tax authorities of the a"&amp;"ccreditive accreditive accreditive accreditive accreditation for calculations in the Russian Federation for uncovered accreditive equipment and consulting material exploration accounts of the procurement participant 44-ФЗ 223-ФЗ 223-ФЗ 223-ФЗ 223-ФЗ 223-Ф"&amp;"З 223-FZ Business services to the section ""Services for Business"" Electronic signature amending the USRIP/EGRULBUHBUHGALITIONALY on Outsources for individual entrepreneurs and payments with self-assignment-Medicin-designer documentary portal “Closer to "&amp;"business” Virtual infrastructure for business services Lawyer 24NALINALY NAGINE for AUSNEDS Service Products to the “Other Products” Electronic signature signature Direct the score 44-Fzekspress -toptivotvitv IDPAPARTERINGGENGENGENGENGENGENGENSENSE COMPAR"&amp;"ES of Loyalty Companies with self-employed subsurbed to the section “Self-employed” self-employed individuals with self-employed and self-employing portaling in the “Educational Portal” section of courses and webinars in the recording of useful articles a"&amp;"nd business-layer news. RE interviews and business cases of foreign economic activity in new realities Support for business non -working. How to start useful business digits to start selling expensive banking banking into the online Bank section Internet "&amp;"bank Mobile Bank1C: Direct Bank-Menitable to the Service of the Service Cardes about business cards about business cards on business cards of the Tariff's Rco Selection of Products and Service Service Physolitz Samozamosyannia Ipraccheste with selflessnes"&amp;"s to the “Big Business” section to calculate the “Calculations” section Open or reserve an onlaincartic decisions of liquidity management and cash service remote maintenance of the Banking Client Support for the Client Controllery Operations for the Extra"&amp;"ctions and Subances Pass the Acquiring and SBP section Acquiringsist of quick payments - SBPPDOCEAL OPERATION OF OPERATIONS In the “Documentary Operations” section, bank guarantees of the incidental and clean collection to the transfer to the “Lending” se"&amp;"ction of a creditcredite line with the limit of issuing and/or debts of CDURDERDENTS for corporate clients of the construction of residential real estate projects for subsoil use by the PReds of the PRESSIONS LAH to mining enterprises / industrial consume"&amp;"rs of the collateral Project to the section “Cash placement” Standard term deposits of funds to the account of the perceptual resettlement of the bill of exchange of the bill of costs to the “Depository“ Depository section Description of the depository In"&amp;"vestment Investment Investment Investment Investment Investment Bank Services for Global Market-Tramping Investigations perirations on The market of shares of the analyticaelectronic trade FX to the section “Electronic trade FX” Trade and export financing"&amp;" to transfer to the “Trade and Export Financing” section tariffs and interest rates in the “Tariffs and Exchange rates” section Salary Project Transfer to the “Salary Project” section to “Credit Organizations” Calculate in the ""Settlements"" section Paym"&amp;"ent System VTBOTTLOTROTHING OF THE CASE for special. Settlement of the standard account Loror posesitarian services to go to the “Depository services” section Achievements of VT BBSKILISTICAL SPECROY SERVICE SERVICE OF BROKER SERVICES Advantages of VTBU -"&amp;"BUSINESS SELECTIONS in financial and raw material markets to translate into the “Services in financial and raw materials” services, General Agreement Service Service Service Shares and Dividend to the section “Promotions and Dividends” Registration of sha"&amp;"res of VTBTIPS of shares and ListingivT in indexes of mandiles and debt instrumentation in the “ratings and debt instruments” expert RAKARARNCRIC DOTSIONALLY TOMPRENINATION OF THE COMPORTANCE OF “Financial Reporting” financial results in terms Emitantagod"&amp;"e reports reporting corporate management in Section “Corporate Management” System of the Corporate Administrative Council Commercial Council of Internal Auditformation for shareholders to the section “Information for shareholders” General collection of sh"&amp;"areholderovinovino -information ballots for the shareholder of the investor for the shareholder Council of shareholders of the shareholder of the shareholder -provision Relative information to the ""Sustainable Development"" section of the Sustainable Pol"&amp;"icy section Development -free information safety of the information of information to the information “Disclosure of Information” reports on the essential facts and the disclosure of insider information indicators and reports of VTB 24 (PJSC) to professio"&amp;"nal participants in the securities of the securities of information for regulatory purposes and internal proceedings of corruptions of banks Risk of risk of risk in the section ""On the bank »Bank VTBB to the Bank of VTB Bank Relating and information for "&amp;"the parties to the insurance companies of the group Group into the Group of VTB Group Mamaimi Provisions of the Value Strategodia Prevent to the Press Service section Pressure-release of the shareholders for shareholders of the Contacts of the Contacts Ba"&amp;"sic Contacts Basic Contacts Basic Contacts. Fitial channels Troops and chat-boths in the VTBBR to the “Career in VTB” section to graduates and students on the network of bankprofessionals and cards of cards of the card Menus of the Credit Cardi-Circuit-Cr"&amp;"oss-Circuit Procedes and Investigation Services Payments and Transfigurated Service Provilegiasprivate Banking Praise in the section in the section ""Loans"" credit products of cash with cash express credit-refinancing The guarantee of real estate can be "&amp;"interesting for the borrower of the borrowed creditatisredit in cash in cash in the section “Cards” Types Cartderative card Credit card cards cards of residents of residents of the residential card of the folk -plate sticker -sales card of the possibility"&amp;" of per capita cartremia card. It may be interesting for the Open family Smartfonomination Formation for Carteriffe Holders and Loyalty Documents ""Documents"" Multobonus »Special conditions for installing an installment card Refinancing Credit Cartdebit "&amp;"Card with a cashback up to 30% for the purchase to be transferred to the"" Mortgage ""Popular programs for families from children's a mortgage mortgage for a secondary housing for new building rejection of a mortgage -alert and calculate the mortgage prog"&amp;"rammamy programs Mortgage for a finished housekeeper on a dummy under construction on the security of available Real Estate Commercial Real Estate of REAL ESTASITURE on machine-space and pantry with a maternal capital-mare borrower of borrowed idols and f"&amp;"orms personal offices of the VTB Corporate Customer VTB program Discount from partners when buying housing and authenticated to the “Motive Automobiles” section of the “Motive Committee”. 2023Aw cash in cash in Car dealerships may be interesting to subscr"&amp;"ibe to the car an autonomic auto-Avto with a mileage of mileage of borrowed information, a car loan of the car loan of the car loan of creditacredite in cash in the “deposits and accounts” section Popular products “Safe” Corporative account of VTB-Rails t"&amp;"o the Rules “New Time” “New Time” Follow »VTB-deposit In Yuanhuhvam, there may be an interesting to the navigation of the deposit payment of ACBsaphic cells of depersonal metallic accounts from precious metallic issuing an archings of deposits and account"&amp;"ing a safe account “SEFA” with a profitability of up to 15%more details in the “Investment” section Popular Products in plus -Zobligation. Broker's service to invest with consultant-adviser-advisoryAdvisory proceeds Professional Benerative Department of I"&amp;"nformation Information Documents Service -resistance to information on the information can be an interesting cabinettate of the qual. Investor teaching and frequent questions of QuikformaXvt my investments to open a brokerage score in the “Online Services"&amp;"” section of the online VTB online service online for non-customers VKPITNET-Bank VTB VTB VTB in the Alisevtb ID Parking Russian Parking All Applications Banking “My Smart City” Voice Association Glavoyanny Association Asseting Association Stenws can be И"&amp;"НТЕРЕСНОПереводы по номеру телефона через СБПОплата по QR кодуПлатежи через ВТБ ОнлайнПлатежи через СБППереводы по миру с карты на картуНастройка лимитов в ВТБ ОнлайнОповещения от банкаВТБ.Чаевые по QR кодуСбор денег через приложениеСтать клиентом ВТБ Онл"&amp;"айн с помощью биометрииМобильное приложение ВТБ ОнлайнПодробнееПерейти в раздел « Платежи и переводы» Payments of the Automobile Plates Housing Assistance Services Twnoglologists Streatytransport -Divine Service Services of taxes online for paying the sup"&amp;"plier Service for the transportation activities and exchange of the currency controller of the Currency Businessbepsbor Monattery Controllers for Translations of the Translations Offer for the family insurance and service foods of sauce of siphred -filing"&amp;" pensions for the individual LISTORY FROM THE VTBS account ESKROUSTEN ""Salary"" to you It may be interesting to Peninio -Popular and Corporate Customers with disabilities with disabilities. Special account of the participant of the procurational lottery "&amp;"-line and extractive registration of 16% of the per annum of the deposit when transferring a pension to the “privilege” of the “privilege” of the card of the Debeity Programs of the loan program. Losers of consoles and investment and investments and concr"&amp;"ete assigned submitted metal counting and investment life -breeding products of the services of services Privilege of the MIR PASSPREMIAL Credit Products Service Credit can be interesting and discounts of the privilege of the privilege of 355% per annum i"&amp;"n the yuanch more in more detail to the Private Banking section Private Banking Bank Semagogram of the Semey Commercial Complex program of the loyalty submarine -sized phyzli fitness. Tsamsamoznaya IPRACTS WITH Self -Until Tamyvids to be able to divide in"&amp;"to the section “Self -employed individuals” self -employed individuals to be self -employed with VTB nagging становится самозанятымСпециальные предложения для самозанятыхПерейти в раздел «Самозанятым ИП»САМОЗАНЯТЫМ ИПСтать самозанятым ИП с ВТБ простоПреим"&amp;"ущества ИП на самозанятостиВас может заинтересоватьПерейти в раздел «Расчеты с самозанятыми»РАСЧЁТЫ С САМОЗАНЯТЫМИКак это работаетОцените удобство услугиПерейти в раздел «Виды деятельности»ВИДЫ ДЕЯТЕЛЬНОСТИТаксиКурьерыПарикмахерыРиелторыПерейти в раздел «"&amp;"Помощь» Help of Help of physical education and Pravtsya with self-employed capacity of the online bank vTBBBYUSUMALY and medium large calculated counting business acredity business-card-ecreing deriva-derivatives and accrediting products for businessar-ad"&amp;"olescence of portaline-Banking. Wearing and SBP -coded operations of the construction of funds of the receiving funds of the Depository Electronic Trade Fx Trade and Export Financing Tariffs and interest rates of the project in the section “Settlement acc"&amp;"ount” Opening an account Calist account for an individual account for an LLC to take a packet Rapsocial accounts to open an online account began to open a business and service cards and services for a business -paying project and a transfer of a loyalty t"&amp;"ariff collection portal “Closer to the case” may be interesting for you what is the calculated account? Services for business-just the right vampress to the transference in the Business Registration section, for starters, IPRUSTRATION OF IPRUSTRATION OF L"&amp;"LC, it will be interesting to be interesting to register a business man Open the Opflake Opline Option Cover for an OOOORKO without a visit to the RKOPO-PACKENT PACKENT RECOME OF TARIPHES OF TARIFS Root account for your business to open an invoice to the "&amp;"“Loans” section Development for business sequences online-bearing loan financing of capital-vertrafandcreditis for state orders for the security for the acquired real estate of housing construction, undercutships for collapse property of the brilliant len"&amp;"ding of the Government of the Russian Federation No. 17 4 programs of preferential lending agricultural producers of loans according to 106-FZESTURITURITURICIONS of loans according to 377-FZ and 106-ФЗ to borrowers to the participants of the special milit"&amp;"ary operation to stimulate lending to the lending of preferential lending to the Government of the Russian Federation No. 2221Ekspress Credit, the online form to the “Business Card” Types Cardauniversal Cartapremic Cartadopolitable Plates and the Transfer"&amp;"plant Project Card of the Card-Purchase Card for the business. Issue to go to the ""acquiring"" section receiving payment in Trading Purchases Purchases Acadricum Acassyvline-Cassedb-Cassavtb-Softposist of Fast Payments of Payments for QRElectron Commeril"&amp;"ation of the Interpretation of the Equipment Partnership Makes the Equipment MASSEMENT PAYMING COMPORTATION COMPARATIONS FOR CODELE CODELLENT TO NEMPLESS OF DETACATIONS INSTALL with a period of attracting up to a year / over a year “fixed” with the possib"&amp;"ility of early Disorder of the “flexible” with the possibility of replenishment and partial removal of the venetdosetosite “collateral” deposit “advance” storage product of the balance to the account for a business centenary residue to the bill of busines"&amp;"s for 0 ₽ Open the score to the “foreign economic activity” section of the foreign economic system of ETAs of the VTBLUAL CONTROLMISE OF THE CONTRODUM Kupka / Sale Vacation Consulting Service Services Vedopius of Vedgania in favor of the customs authoriti"&amp;"es of international warranties of the Authority of the business-confrontation information service for the Vedoprofellag Broadcasting to the “Warranty and Accredit” section of the Warranty of Procurement Participants 44-ФЗ 615-PPMBOSISTIONAL TOPICIALY TRAN"&amp;"SFICATIONS OF WARRAMARTIONALIARY TRITES customs authorities in favor of tax authorities And incessed accreditations for external trade accreditations for settlements in the Russian Federation for uncovered accreditative-renovative product control and obat"&amp;"h-permanent expert account of the procurement participant 44-ФЗ 223-Fekspress, the visit of the Banking Perevita to the Banking Part a »Services to help the businessworm signature of amendments to the USRIP /Egryulbukhglatteria on outsourcing for individu"&amp;"al entrepreneurs and payments with self-employment medicin-designer Documents for helping the business person who is a “Closer to the case” Virtual infrastructure for business services Lawyer 24 Onhinline Nologa for AUSNEDSS Service-EXCLUSIONAL PROSENTS A"&amp;"ND BONASS Details Need to section "" Other products »Other banking products electronic signature cassation, open account 44-Fzekspress Creditb Id-Bank Program Form Faces Faces of Lourers with self-employment accounts and get access to the bonus-winging in"&amp;" the“ self-employed ”self-employed body of self-employed physical MSAMOSENT IPRACTS with self -employed manage to the section ""Educational Portal"" for the start and development BusinessCatalog of business ideas courses and webinars in the records of use"&amp;"ful articles and news business word interviews and business cases announcements of foreign economic activity in the new realities of business support for non-playing. How to start useful business leanions to sell expensive to the business portal for the d"&amp;"evelopment of business and more in more detail in the online banking section Internet banking Bank Mobile Bank1C: Direct Bank Truck the score for 0 ₽ Refuse the Counter Counter Counter and Business Cardie Accounts On packages of the service on tariffs abo"&amp;"ut business cards services for a business office about business services for business services for requests for business selection of rates of products and service-sabotage, and individuals and service with self-employed set of products and services for t"&amp;"he development of your business is more detailed in the section “Calculations” of products and services Open or reserve online solutions Liquidity and cash register management District services Removable Service Bank Entrankeeping Client Support may be an"&amp;" interest-line-line controlled operational operations in the Acquiring and SBP section products and SBP-Equivistance Sbp Transport Products and Service Bank Guarantee Guarantee Guarantee Guarantee Guarantee Guarantees pure and pure collection to the secti"&amp;"on ""lending"" credit products of the loancore with the limit of issuance and / or debt of credit operations using SDBOVERDRODRAFT for corporate customers, VTBFININATION OF PROCESSION OF Construction of residential real estate financing of subsoil users o"&amp;"f loan products in precious metals by mining enterprises / industrial consumers of collateral property to the “Monetary funds” section of Products of Products Urgent deposits of funds to the account of the incidental depository of a bill of exchange. In t"&amp;"he Depository Depository section, the depository of depository of the Contact information depository to the “Investment Business” section Investment Service-Bank services in global markets for instruments with fixed returns in the promotion market can be "&amp;"interesting to the “Electronic trade FX” section to go to the “Trade Trading section” and export financing ”Go to the“ Tariffs and Interest rates ”section to the“ Salary Project ”section to credit organizations in the payment of usage services Broker serv"&amp;"ices in financial and raw materials market in the section“ Calculations ”of the calculation system of the VTBOTTLOT -Cover for special. Calculation of the standard account of Loro Robes to the “Depository Services” section depository service of the VT BBS"&amp;"KISTICIAL SEFULLY DISCOUNSIVE to Brokerary Services Brokerary Services of VT BBSKENSTY SECULATION OF “Services in financial and raw materials” services to financial and raw material markets Vidend -Radiorals and debt instrumentation of corporate informati"&amp;"on management for The share -resistant development of the destruction of information to divide into the section “Promotions and dividends” tools for the shares of VTBVAs may be interesting for shares and ListingivT in indexes of shares in the section “Rat"&amp;"ings and debt instruments” Ratingsperte -experts can be interesting long -term tools »Reporting financial results on the process results For RSB reports, emitter -bearing reports to the “Corporate Management” section of the Corporate Corporate Corporate C"&amp;"orporate Council of the Corporate Council of the Internal Auditing in the section “Information for shareholders” Important information collection of shareholderovinovinovino -forming a shareholder for the shareholder of the investor can be a shareholder f"&amp;"or an actuality can To be interesting consultation council of the shareholder of shareholders for working with shareholding information to the section “Sustainable Development ""Promoting the sustainable development of the Politician Society in the field "&amp;"of sustainable developmental information security security for the"" Disclosure of Information ""Reports and disclosure of information communication on essential facts and the disclosure of insider information indicators and reports of VTB 24 (PJSC) Discl"&amp;"osure of the Information for the Professional Participants of the Information for Regulatory Purpose of the Military internal Documentation of corruption of engines of banksavnnnoe controls and audit of the risk of the Bankubank VTBBRUP VTBPROSSHKASSHKASK"&amp;"AROSK Contact CARE COMPLENT INTRACTION in the Bank VTB section Information about banking-resistant development can be interesting for the partnership companies in the VTB group. Information about the grouping gangbang vision vision of values ​​Strategiyav"&amp;"s can be interesting to transceums in the section "" Press Service ”Press Service-released press-releases for shareholders to the“ Contacts ”section Contact information contacting channels of the Democrators and Chat Boat to the“ Career in VTB ”Vacancies "&amp;"Rules and Students for 15% of the per annum of the cumulative account” Safe ”up to 15% per annum of the storage account“ safe ”to open a lifetime from VTB for each day from VTB for every day: cashback up to 30% free transfers and pay a 16% per annum of th"&amp;"e deposit when transferring a pension to the VTBDO card 16% per annum in the deposit Transferring a pension to a VTB card on promotional codes to the depreciation with the vehicle with car loans to run your transport with a car looter more than 4% of cash"&amp;"back to supermarkets when transferring salaries to VTB4% cashback card in your favorite supermarkets and delivery services when transferring salaries in VTBR to use the service VTB itself online through the bank in Vknish use VTB services online through a"&amp;" bank in VK in consolidation of the bank up to 15% per annum to the income account “safe” Details Card up to 200 days without a% payment of cash from 1900 ₽ more ₽ more ₽ Out -and -payer customer -paying, a pensioner -assignment of the Pension and Extraor"&amp;"dinary Medical Art. Bores of the fact of financial security recommendations on working with the Internet the bank and mobile application more than the financial security of the recommendation for working with the Internet bank and the mobile application o"&amp;"f the credit vacation of those who are in a difficult life situation for the entire family-like products and services for each day are more detrimental to cashbacks of popular categories for new salary customers more and more subtracting. Rihs for new sal"&amp;"ary customers in cash conditions for salary Salary more than simply salary card-to-wage cards of tools on the VTB placement platform, my investments in real business promotions and bonds of Russian companies, the Bolshoi of tools on the VTB placement, my "&amp;"investments in real business promotions and bonds of Russian companies -Consultations of professional managers know more and more and the individual investment account in the VTB appendix of my investment and receive the annual tax deduction up to 52,000 "&amp;"₽ more election-welfare, the free service that will select the securities you suit you and tell me when you need to sell assets or buy new VTB retirees for the VTB free card and get it and get it 7% on the residual cant of VTB for a retirement cension -sh"&amp;"all form a free VTB card and get 7% on the residual coseprower 16% per annum when transferring a pension to the card more than ₽ for payment of the Housing and Science online or ATMs VTB BBLE SEARE ALREADY ONLY ONLY ONLY ONLY ONLY ONLY PROTECTIONS Legia o"&amp;"pen access to everyone privileges of one card more and more detachable service on roads on roads in travel insurance for the whole family of concierge service Personal manager and much more in more details and accounts with premium bonuses to a betting pr"&amp;"ogram of insurance protection of your interests of insurance protection for your interests GOOD COMPORTAL CONDITIONS AND SETS OF OSAGO online in more detrimental protection from scammers protection and accounts and Maps of any banks from fraudulents more "&amp;"and more-electrical-elected and more economical more electrical-mobility and economically more details Forest Project to restore forests in Russia with a SEFA STASHIP with a rate of up to 15%-replenishment of the account at any time, withdrawal of interes"&amp;"t for previous periods for the previous periods for the account of a free lifting account “Sephs” with stava. before 15%-replenishment of the account at any time-withdrawal without loss of interest for previous periods-maintenance of the account for free "&amp;"of retrofits in rubles up to 15%collect the conditions for your deposit more than choose-contribution or accumulative account Buy precious metal, buy with a discount of up to 48% more small coins from precious metal to buy with a discount of up to 48% in "&amp;"detail the detailed marsonmarketplais of non -core assets. Details the personal meeting to the consultant Bank -Banking Personal recommendations and apply for a product for your convenience and the next department Bank curses currencies about the current "&amp;"changes in the exchange rate of the currency card Double cashback in the popular categories of loyalty, copy multibotes, making purchases with a VTRESCE accounting card account account for business trees transfers the money quickly and without a commissio"&amp;"n of VTBBank VTBBPRUPKAPROPKUS Service, the possibility of your VTSISTOMENTALITY OF VTSISTICTIONALSTARICA 4 -salary call in Russia+7 ( 495) 785-53-05 Figures outside of Russia Departure and ATMs of currency contacts Dark Topic Bankeo Ground-Convisions and"&amp;" Discounts and Discountry of Information Partnemkravtovkredityvotokreditovsatovyditvo-Discovery literacy of the yanglish, dark theme English VTB online Bank where you are conveniently application Bank -Motor VTB in the WHATSAPPOLIK VTB in the telegram pro"&amp;"gram VTB in VTB VTB in Alice © VTB 2023 General License to the Bank of Russia No. 000191144 St. Petersburg Deep-lane Lane 11 lit. Information Aracles with a professional participant in the securities of information on the website of the Interfax agency In"&amp;"formation on interest rates under bank deposit agreements with individuals of consumer protection of consumers of financial services Rules for the Rules for the Rules of Information Rules for the Control Relations for the Organization of Personal Data Pro"&amp;"cessing (PJSC) (extract) to increase the convenience of working with the site VTB uses Cookie files. Continuing to use our site, you accept the terms of the agreement on the use of user data. If you do not want user data processed, disconnect cookies in t"&amp;"he settings Brothers Brought up with VTBIBLE FLASE OF THE CONSIVALLY METHODOVATASTASAPPTELEGRAMViber")</f>
        <v>Bank VTB (PJSC) - debit and credit cards mortgages Metro Corredites Cash loans and other services for individuals and legal entities throughout Russia ONLACTITYTITETITITITIT Cash for any healing auto -core for cars or technology with a motorcycle reformation, we will reduce your monthly payment for the security of real estate to 20 million ₽ ₽ Terms Up to 30 years in vain, I will submit my bet with a discount of up to 8%to submit an application for families for families with children online for 3 minutes without confirmation of income readers for all the solution online for 3 minutes without confirmation of income for a secondary housing, the decision online for 3 minutes without confirmation of income in more details for the new building. In 3 minutes without confirmation of income, the mortgage card of the Cardybettic card with a cashbekom -form -like VTB card up to 200 days without a % for the all -deprecation card of VTB for the whole family VTB retires and use all the advantages of the banking banking bankruptcy account “ f "Details" Stable "reliable contribution to 3 years with simple conditions of retrospects in the yuan with a high fixed income of the indigenous income in rubles, choose when to receive the payment of a %deposits and accounts of the organizations of the organizamarily bankemauli and the average large transfer to the section “credits” codes. Credit Refinance The guarantee of real estate information for the borrower of the loan of the loan to the section “Cards” debit card -loop card card card cards cards residents of residents of the residential card -plate card -pay card for life for the life of the possibility of per capita cartremium card Privorge MIR SUPREMEMENCE for the Family Smartfonomation for Carder Holders and Documents Loyalty program "Multibonus" Map with an installment post Refinancing Credit Part to Part to Expect " Mortgage ”for families with a children's hiptele for all-hip-oriented housing for new buildings for new buildings for mortgage calculators Mortgage programs for a finished housekeeper on the basis of the existing real estate on a commercial real estate vehicle and a pantry with maternal capital-terterer Line-idol and forms personal offices of the program "Corporate VTB client ”of car loans to the“ Auto Credits ”section of the state program 2023AVTOKredit in cash in cash in the car dealership in the car carrier to subscription autonomous car recovery with mileage -based information carbon incidents and accounts to the section“ Bittering and accounts ”Corpusive score“ Self -aim TB deposits to the ruble "New Time "The contribution" Favorable beginning "of the VTB-deposit in the Yuanakhnagnagogagogagogamy payment of the ACBephsiferous cells of the depersonal metallic accounts from precious metallic issuing an archings of deposits and the accounting of the" Investment "score in the pluszbligations of my investment-bonds ORY PROURECTIONAL DAYPECUMENCES OF SUMPLEMENCENCENCENT TAKENTSIGHING INFORMATIONAL CASTECTUS KALS. инвестораОбучение и частые вопросыТерминалы QUIKФорексОнлайн-сервисыПерейти в раздел «Онлайн-сервисы»Приложение ВТБ ОнлайнВТБ Онлайн для не клиентовБанк VKИнтернет-банк ВТБ ОнлайнПомощник ВТБ в АлисеВТБ IDПриложение «Парковки России»Все приложения банкаПриложение «Мой умный город»Голосовой ассистентПереводы по номеру телефона через СБПОплата по QR Codes through VTB online payments via SBPPROPRES around the world from a card to the carding of limits to VTB online issuing from banksavtB.chayvs by QR CODUSBOUT Money through the VTB client using biometrics and transfers to the “Payments and Translations” section of utilities. Trafenshratorsport are props Service of taxes online forces the supplier Service training and exchange of currency converter currency transdersbepsbor Monattery Contractorous services to the section “Other services” public service for the family and service products of safe -reproduction pension of individuals of the VTBBSS »Pensioners and corporate clients with disabilities with disabilities of pledges Special account of the Participant Providious lottery -Upersiacs and extractoric registration of the employment of citizenship of citizenship to the “privilege” section of debit in the exposure of the Crediticeline Restoravds and count -icatic bonded metallic accounting and investment life insurance services. Private services Service MIR PASSPREMENTIONS Creditations and discounts Banking to the section “Private Banking” Banking Product Investigation of the Field Office of Loyalty Office to the “Self -employed” self -employed individuals to translate into the “Self -employed individuals ”to become self -employed with VTB, a simple -minded person becomes self -employed sentences for self -employed self -assembled hippies to the“ self -employed IP ”section to become self -employed individual entrepreneurs with the VTB of Self -Enlightenment can interest the calculations with self -employed in the section“ Calculations with self -employed ”, as working as it is working as a work, the convenience of service is the convenience of service, the convenience of the service of service in the section "Ends of activity »Taxicuriryre Parikarikamyryltovylotovarita to the section" Help "Self-employment of individuals and praise deposits with self-employment capacity of the online banking of the online bank to translate into the section" Small and medium-sized businesses "Calculation account to the Settlement Account section for the IPROMENT OF IPROMENT OF A LLC PACK COMPOSITIONA Linopx to be plasting LLC for business and business platforms plates And the transforming program of the loyalty tariff collection of the portal “Closer to the case” What is a billing account? What is a RKO? Registration of businesses to “Registration of business” Registration of IPRUSTRATION OF LLC Registration as a self -employed man to register a business man Open an IPKAK Open the Open Cover for an OOORKO without a visit to the bank Ruporfixture of the Tariffs of the Rkopopolitovnoye service to the section “Loans” Express Credit Online -borous Credit financing of capital cost-refinancing on state procuretitis on the guarantee of the acquired real estate of the housing construction of subsoil users for the laying lending of the soft lending of the soft lending of the soft lending the Russian Federation No. 1764 of the preferential lending of agricultural producers of loans according to 106-FZOSTURTURITURITURICIONS of loans for 377-ФЗ and 106-ФЗ to borrowers to the participants of the special military operation to stimulate lending to lending a mpram of preferential lending to the Government of the Russian Federation No. 2221 Business-Card to the Business Card section virtual cardiac cardiac cartridges and a transformation collection of the Project Equirting Project to the EkVIRININGST section Trade equitural actual act RingtB-cassavtb-softpos acceptance of QR Internet payments -covering to use the equipment to make an “deposits” section to choose the “universal” deposit with the period of attracting up to a year / over a year “fixed” with the possibility of early termination “flexible” with the possibility of replenishment and partial removal of the vein -verte -densit “Plar” deposit of the “advanced” uninhabited residue of a business medium -month The balance to the account of the ECOE Ecosystem Ecosystem VTBVALUTE CONTRULE CONTRUCTIONAL COMPETIONS / SALE OF VADAMICAL Service Service Tariffs Vedganiy Vedbarandia in favor of the customs authorities of the Cultural Authority of the Business Service Information Information Information Information Personal Service Personsonal Service Personal Service Guarantees and letters of credit "Express Garantirandia Participants 44-ФЗ 223-ФЗ 615-per-nationwide guarantees of guarantee guarantees in favor of customs authorities in favor of the tax authorities of the accreditive accreditive accreditive accreditive accreditation for calculations in the Russian Federation for uncovered accreditive equipment and consulting material exploration accounts of the procurement participant 44-ФЗ 223-ФЗ 223-ФЗ 223-ФЗ 223-ФЗ 223-ФЗ 223-FZ Business services to the section "Services for Business" Electronic signature amending the USRIP/EGRULBUHBUHGALITIONALY on Outsources for individual entrepreneurs and payments with self-assignment-Medicin-designer documentary portal “Closer to business” Virtual infrastructure for business services Lawyer 24NALINALY NAGINE for AUSNEDS Service Products to the “Other Products” Electronic signature signature Direct the score 44-Fzekspress -toptivotvitv IDPAPARTERINGGENGENGENGENGENGENGENSENSE COMPARES of Loyalty Companies with self-employed subsurbed to the section “Self-employed” self-employed individuals with self-employed and self-employing portaling in the “Educational Portal” section of courses and webinars in the recording of useful articles and business-layer news. RE interviews and business cases of foreign economic activity in new realities Support for business non -working. How to start useful business digits to start selling expensive banking banking into the online Bank section Internet bank Mobile Bank1C: Direct Bank-Menitable to the Service of the Service Cardes about business cards about business cards on business cards of the Tariff's Rco Selection of Products and Service Service Physolitz Samozamosyannia Ipraccheste with selflessness to the “Big Business” section to calculate the “Calculations” section Open or reserve an onlaincartic decisions of liquidity management and cash service remote maintenance of the Banking Client Support for the Client Controllery Operations for the Extractions and Subances Pass the Acquiring and SBP section Acquiringsist of quick payments - SBPPDOCEAL OPERATION OF OPERATIONS In the “Documentary Operations” section, bank guarantees of the incidental and clean collection to the transfer to the “Lending” section of a creditcredite line with the limit of issuing and/or debts of CDURDERDENTS for corporate clients of the construction of residential real estate projects for subsoil use by the PReds of the PRESSIONS LAH to mining enterprises / industrial consumers of the collateral Project to the section “Cash placement” Standard term deposits of funds to the account of the perceptual resettlement of the bill of exchange of the bill of costs to the “Depository“ Depository section Description of the depository Investment Investment Investment Investment Investment Investment Bank Services for Global Market-Tramping Investigations perirations on The market of shares of the analyticaelectronic trade FX to the section “Electronic trade FX” Trade and export financing to transfer to the “Trade and Export Financing” section tariffs and interest rates in the “Tariffs and Exchange rates” section Salary Project Transfer to the “Salary Project” section to “Credit Organizations” Calculate in the "Settlements" section Payment System VTBOTTLOTROTHING OF THE CASE for special. Settlement of the standard account Loror posesitarian services to go to the “Depository services” section Achievements of VT BBSKILISTICAL SPECROY SERVICE SERVICE OF BROKER SERVICES Advantages of VTBU -BUSINESS SELECTIONS in financial and raw material markets to translate into the “Services in financial and raw materials” services, General Agreement Service Service Service Shares and Dividend to the section “Promotions and Dividends” Registration of shares of VTBTIPS of shares and ListingivT in indexes of mandiles and debt instrumentation in the “ratings and debt instruments” expert RAKARARNCRIC DOTSIONALLY TOMPRENINATION OF THE COMPORTANCE OF “Financial Reporting” financial results in terms Emitantagode reports reporting corporate management in Section “Corporate Management” System of the Corporate Administrative Council Commercial Council of Internal Auditformation for shareholders to the section “Information for shareholders” General collection of shareholderovinovino -information ballots for the shareholder of the investor for the shareholder Council of shareholders of the shareholder of the shareholder -provision Relative information to the "Sustainable Development" section of the Sustainable Policy section Development -free information safety of the information of information to the information “Disclosure of Information” reports on the essential facts and the disclosure of insider information indicators and reports of VTB 24 (PJSC) to professional participants in the securities of the securities of information for regulatory purposes and internal proceedings of corruptions of banks Risk of risk of risk in the section "On the bank »Bank VTBB to the Bank of VTB Bank Relating and information for the parties to the insurance companies of the group Group into the Group of VTB Group Mamaimi Provisions of the Value Strategodia Prevent to the Press Service section Pressure-release of the shareholders for shareholders of the Contacts of the Contacts Basic Contacts Basic Contacts Basic Contacts. Fitial channels Troops and chat-boths in the VTBBR to the “Career in VTB” section to graduates and students on the network of bankprofessionals and cards of cards of the card Menus of the Credit Cardi-Circuit-Cross-Circuit Procedes and Investigation Services Payments and Transfigurated Service Provilegiasprivate Banking Praise in the section in the section "Loans" credit products of cash with cash express credit-refinancing The guarantee of real estate can be interesting for the borrower of the borrowed creditatisredit in cash in cash in the section “Cards” Types Cartderative card Credit card cards cards of residents of residents of the residential card of the folk -plate sticker -sales card of the possibility of per capita cartremia card. It may be interesting for the Open family Smartfonomination Formation for Carteriffe Holders and Loyalty Documents "Documents" Multobonus »Special conditions for installing an installment card Refinancing Credit Cartdebit Card with a cashback up to 30% for the purchase to be transferred to the" Mortgage "Popular programs for families from children's a mortgage mortgage for a secondary housing for new building rejection of a mortgage -alert and calculate the mortgage programmamy programs Mortgage for a finished housekeeper on a dummy under construction on the security of available Real Estate Commercial Real Estate of REAL ESTASITURE on machine-space and pantry with a maternal capital-mare borrower of borrowed idols and forms personal offices of the VTB Corporate Customer VTB program Discount from partners when buying housing and authenticated to the “Motive Automobiles” section of the “Motive Committee”. 2023Aw cash in cash in Car dealerships may be interesting to subscribe to the car an autonomic auto-Avto with a mileage of mileage of borrowed information, a car loan of the car loan of the car loan of creditacredite in cash in the “deposits and accounts” section Popular products “Safe” Corporative account of VTB-Rails to the Rules “New Time” “New Time” Follow »VTB-deposit In Yuanhuhvam, there may be an interesting to the navigation of the deposit payment of ACBsaphic cells of depersonal metallic accounts from precious metallic issuing an archings of deposits and accounting a safe account “SEFA” with a profitability of up to 15%more details in the “Investment” section Popular Products in plus -Zobligation. Broker's service to invest with consultant-adviser-advisoryAdvisory proceeds Professional Benerative Department of Information Information Documents Service -resistance to information on the information can be an interesting cabinettate of the qual. Investor teaching and frequent questions of QuikformaXvt my investments to open a brokerage score in the “Online Services” section of the online VTB online service online for non-customers VKPITNET-Bank VTB VTB VTB in the Alisevtb ID Parking Russian Parking All Applications Banking “My Smart City” Voice Association Glavoyanny Association Asseting Association Stenws can be ИНТЕРЕСНОПереводы по номеру телефона через СБПОплата по QR кодуПлатежи через ВТБ ОнлайнПлатежи через СБППереводы по миру с карты на картуНастройка лимитов в ВТБ ОнлайнОповещения от банкаВТБ.Чаевые по QR кодуСбор денег через приложениеСтать клиентом ВТБ Онлайн с помощью биометрииМобильное приложение ВТБ ОнлайнПодробнееПерейти в раздел « Платежи и переводы» Payments of the Automobile Plates Housing Assistance Services Twnoglologists Streatytransport -Divine Service Services of taxes online for paying the supplier Service for the transportation activities and exchange of the currency controller of the Currency Businessbepsbor Monattery Controllers for Translations of the Translations Offer for the family insurance and service foods of sauce of siphred -filing pensions for the individual LISTORY FROM THE VTBS account ESKROUSTEN "Salary" to you It may be interesting to Peninio -Popular and Corporate Customers with disabilities with disabilities. Special account of the participant of the procurational lottery -line and extractive registration of 16% of the per annum of the deposit when transferring a pension to the “privilege” of the “privilege” of the card of the Debeity Programs of the loan program. Losers of consoles and investment and investments and concrete assigned submitted metal counting and investment life -breeding products of the services of services Privilege of the MIR PASSPREMIAL Credit Products Service Credit can be interesting and discounts of the privilege of the privilege of 355% per annum in the yuanch more in more detail to the Private Banking section Private Banking Bank Semagogram of the Semey Commercial Complex program of the loyalty submarine -sized phyzli fitness. Tsamsamoznaya IPRACTS WITH Self -Until Tamyvids to be able to divide into the section “Self -employed individuals” self -employed individuals to be self -employed with VTB nagging становится самозанятымСпециальные предложения для самозанятыхПерейти в раздел «Самозанятым ИП»САМОЗАНЯТЫМ ИПСтать самозанятым ИП с ВТБ простоПреимущества ИП на самозанятостиВас может заинтересоватьПерейти в раздел «Расчеты с самозанятыми»РАСЧЁТЫ С САМОЗАНЯТЫМИКак это работаетОцените удобство услугиПерейти в раздел «Виды деятельности»ВИДЫ ДЕЯТЕЛЬНОСТИТаксиКурьерыПарикмахерыРиелторыПерейти в раздел «Помощь» Help of Help of physical education and Pravtsya with self-employed capacity of the online bank vTBBBYUSUMALY and medium large calculated counting business acredity business-card-ecreing deriva-derivatives and accrediting products for businessar-adolescence of portaline-Banking. Wearing and SBP -coded operations of the construction of funds of the receiving funds of the Depository Electronic Trade Fx Trade and Export Financing Tariffs and interest rates of the project in the section “Settlement account” Opening an account Calist account for an individual account for an LLC to take a packet Rapsocial accounts to open an online account began to open a business and service cards and services for a business -paying project and a transfer of a loyalty tariff collection portal “Closer to the case” may be interesting for you what is the calculated account? Services for business-just the right vampress to the transference in the Business Registration section, for starters, IPRUSTRATION OF IPRUSTRATION OF LLC, it will be interesting to be interesting to register a business man Open the Opflake Opline Option Cover for an OOOORKO without a visit to the RKOPO-PACKENT PACKENT RECOME OF TARIPHES OF TARIFS Root account for your business to open an invoice to the “Loans” section Development for business sequences online-bearing loan financing of capital-vertrafandcreditis for state orders for the security for the acquired real estate of housing construction, undercutships for collapse property of the brilliant lending of the Government of the Russian Federation No. 17 4 programs of preferential lending agricultural producers of loans according to 106-FZESTURITURITURICIONS of loans according to 377-FZ and 106-ФЗ to borrowers to the participants of the special military operation to stimulate lending to the lending of preferential lending to the Government of the Russian Federation No. 2221Ekspress Credit, the online form to the “Business Card” Types Cardauniversal Cartapremic Cartadopolitable Plates and the Transferplant Project Card of the Card-Purchase Card for the business. Issue to go to the "acquiring" section receiving payment in Trading Purchases Purchases Acadricum Acassyvline-Cassedb-Cassavtb-Softposist of Fast Payments of Payments for QRElectron Commerilation of the Interpretation of the Equipment Partnership Makes the Equipment MASSEMENT PAYMING COMPORTATION COMPARATIONS FOR CODELE CODELLENT TO NEMPLESS OF DETACATIONS INSTALL with a period of attracting up to a year / over a year “fixed” with the possibility of early Disorder of the “flexible” with the possibility of replenishment and partial removal of the venetdosetosite “collateral” deposit “advance” storage product of the balance to the account for a business centenary residue to the bill of business for 0 ₽ Open the score to the “foreign economic activity” section of the foreign economic system of ETAs of the VTBLUAL CONTROLMISE OF THE CONTRODUM Kupka / Sale Vacation Consulting Service Services Vedopius of Vedgania in favor of the customs authorities of international warranties of the Authority of the business-confrontation information service for the Vedoprofellag Broadcasting to the “Warranty and Accredit” section of the Warranty of Procurement Participants 44-ФЗ 615-PPMBOSISTIONAL TOPICIALY TRANSFICATIONS OF WARRAMARTIONALIARY TRITES customs authorities in favor of tax authorities And incessed accreditations for external trade accreditations for settlements in the Russian Federation for uncovered accreditative-renovative product control and obath-permanent expert account of the procurement participant 44-ФЗ 223-Fekspress, the visit of the Banking Perevita to the Banking Part a »Services to help the businessworm signature of amendments to the USRIP /Egryulbukhglatteria on outsourcing for individual entrepreneurs and payments with self-employment medicin-designer Documents for helping the business person who is a “Closer to the case” Virtual infrastructure for business services Lawyer 24 Onhinline Nologa for AUSNEDSS Service-EXCLUSIONAL PROSENTS AND BONASS Details Need to section " Other products »Other banking products electronic signature cassation, open account 44-Fzekspress Creditb Id-Bank Program Form Faces Faces of Lourers with self-employment accounts and get access to the bonus-winging in the“ self-employed ”self-employed body of self-employed physical MSAMOSENT IPRACTS with self -employed manage to the section "Educational Portal" for the start and development BusinessCatalog of business ideas courses and webinars in the records of useful articles and news business word interviews and business cases announcements of foreign economic activity in the new realities of business support for non-playing. How to start useful business leanions to sell expensive to the business portal for the development of business and more in more detail in the online banking section Internet banking Bank Mobile Bank1C: Direct Bank Truck the score for 0 ₽ Refuse the Counter Counter Counter and Business Cardie Accounts On packages of the service on tariffs about business cards services for a business office about business services for business services for requests for business selection of rates of products and service-sabotage, and individuals and service with self-employed set of products and services for the development of your business is more detailed in the section “Calculations” of products and services Open or reserve online solutions Liquidity and cash register management District services Removable Service Bank Entrankeeping Client Support may be an interest-line-line controlled operational operations in the Acquiring and SBP section products and SBP-Equivistance Sbp Transport Products and Service Bank Guarantee Guarantee Guarantee Guarantee Guarantee Guarantees pure and pure collection to the section "lending" credit products of the loancore with the limit of issuance and / or debt of credit operations using SDBOVERDRODRAFT for corporate customers, VTBFININATION OF PROCESSION OF Construction of residential real estate financing of subsoil users of loan products in precious metals by mining enterprises / industrial consumers of collateral property to the “Monetary funds” section of Products of Products Urgent deposits of funds to the account of the incidental depository of a bill of exchange. In the Depository Depository section, the depository of depository of the Contact information depository to the “Investment Business” section Investment Service-Bank services in global markets for instruments with fixed returns in the promotion market can be interesting to the “Electronic trade FX” section to go to the “Trade Trading section” and export financing ”Go to the“ Tariffs and Interest rates ”section to the“ Salary Project ”section to credit organizations in the payment of usage services Broker services in financial and raw materials market in the section“ Calculations ”of the calculation system of the VTBOTTLOT -Cover for special. Calculation of the standard account of Loro Robes to the “Depository Services” section depository service of the VT BBSKISTICIAL SEFULLY DISCOUNSIVE to Brokerary Services Brokerary Services of VT BBSKENSTY SECULATION OF “Services in financial and raw materials” services to financial and raw material markets Vidend -Radiorals and debt instrumentation of corporate information management for The share -resistant development of the destruction of information to divide into the section “Promotions and dividends” tools for the shares of VTBVAs may be interesting for shares and ListingivT in indexes of shares in the section “Ratings and debt instruments” Ratingsperte -experts can be interesting long -term tools »Reporting financial results on the process results For RSB reports, emitter -bearing reports to the “Corporate Management” section of the Corporate Corporate Corporate Corporate Council of the Corporate Council of the Internal Auditing in the section “Information for shareholders” Important information collection of shareholderovinovinovino -forming a shareholder for the shareholder of the investor can be a shareholder for an actuality can To be interesting consultation council of the shareholder of shareholders for working with shareholding information to the section “Sustainable Development "Promoting the sustainable development of the Politician Society in the field of sustainable developmental information security security for the" Disclosure of Information "Reports and disclosure of information communication on essential facts and the disclosure of insider information indicators and reports of VTB 24 (PJSC) Disclosure of the Information for the Professional Participants of the Information for Regulatory Purpose of the Military internal Documentation of corruption of engines of banksavnnnoe controls and audit of the risk of the Bankubank VTBBRUP VTBPROSSHKASSHKASKAROSK Contact CARE COMPLENT INTRACTION in the Bank VTB section Information about banking-resistant development can be interesting for the partnership companies in the VTB group. Information about the grouping gangbang vision vision of values ​​Strategiyavs can be interesting to transceums in the section " Press Service ”Press Service-released press-releases for shareholders to the“ Contacts ”section Contact information contacting channels of the Democrators and Chat Boat to the“ Career in VTB ”Vacancies Rules and Students for 15% of the per annum of the cumulative account” Safe ”up to 15% per annum of the storage account“ safe ”to open a lifetime from VTB for each day from VTB for every day: cashback up to 30% free transfers and pay a 16% per annum of the deposit when transferring a pension to the VTBDO card 16% per annum in the deposit Transferring a pension to a VTB card on promotional codes to the depreciation with the vehicle with car loans to run your transport with a car looter more than 4% of cashback to supermarkets when transferring salaries to VTB4% cashback card in your favorite supermarkets and delivery services when transferring salaries in VTBR to use the service VTB itself online through the bank in Vknish use VTB services online through a bank in VK in consolidation of the bank up to 15% per annum to the income account “safe” Details Card up to 200 days without a% payment of cash from 1900 ₽ more ₽ more ₽ Out -and -payer customer -paying, a pensioner -assignment of the Pension and Extraordinary Medical Art. Bores of the fact of financial security recommendations on working with the Internet the bank and mobile application more than the financial security of the recommendation for working with the Internet bank and the mobile application of the credit vacation of those who are in a difficult life situation for the entire family-like products and services for each day are more detrimental to cashbacks of popular categories for new salary customers more and more subtracting. Rihs for new salary customers in cash conditions for salary Salary more than simply salary card-to-wage cards of tools on the VTB placement platform, my investments in real business promotions and bonds of Russian companies, the Bolshoi of tools on the VTB placement, my investments in real business promotions and bonds of Russian companies -Consultations of professional managers know more and more and the individual investment account in the VTB appendix of my investment and receive the annual tax deduction up to 52,000 ₽ more election-welfare, the free service that will select the securities you suit you and tell me when you need to sell assets or buy new VTB retirees for the VTB free card and get it and get it 7% on the residual cant of VTB for a retirement cension -shall form a free VTB card and get 7% on the residual coseprower 16% per annum when transferring a pension to the card more than ₽ for payment of the Housing and Science online or ATMs VTB BBLE SEARE ALREADY ONLY ONLY ONLY ONLY ONLY ONLY PROTECTIONS Legia open access to everyone privileges of one card more and more detachable service on roads on roads in travel insurance for the whole family of concierge service Personal manager and much more in more details and accounts with premium bonuses to a betting program of insurance protection of your interests of insurance protection for your interests GOOD COMPORTAL CONDITIONS AND SETS OF OSAGO online in more detrimental protection from scammers protection and accounts and Maps of any banks from fraudulents more and more-electrical-elected and more economical more electrical-mobility and economically more details Forest Project to restore forests in Russia with a SEFA STASHIP with a rate of up to 15%-replenishment of the account at any time, withdrawal of interest for previous periods for the previous periods for the account of a free lifting account “Sephs” with stava. before 15%-replenishment of the account at any time-withdrawal without loss of interest for previous periods-maintenance of the account for free of retrofits in rubles up to 15%collect the conditions for your deposit more than choose-contribution or accumulative account Buy precious metal, buy with a discount of up to 48% more small coins from precious metal to buy with a discount of up to 48% in detail the detailed marsonmarketplais of non -core assets. Details the personal meeting to the consultant Bank -Banking Personal recommendations and apply for a product for your convenience and the next department Bank curses currencies about the current changes in the exchange rate of the currency card Double cashback in the popular categories of loyalty, copy multibotes, making purchases with a VTRESCE accounting card account account for business trees transfers the money quickly and without a commission of VTBBank VTBBPRUPKAPROPKUS Service, the possibility of your VTSISTOMENTALITY OF VTSISTICTIONALSTARICA 4 -salary call in Russia+7 ( 495) 785-53-05 Figures outside of Russia Departure and ATMs of currency contacts Dark Topic Bankeo Ground-Convisions and Discounts and Discountry of Information Partnemkravtovkredityvotokreditovsatovyditvo-Discovery literacy of the yanglish, dark theme English VTB online Bank where you are conveniently application Bank -Motor VTB in the WHATSAPPOLIK VTB in the telegram program VTB in VTB VTB in Alice © VTB 2023 General License to the Bank of Russia No. 000191144 St. Petersburg Deep-lane Lane 11 lit. Information Aracles with a professional participant in the securities of information on the website of the Interfax agency Information on interest rates under bank deposit agreements with individuals of consumer protection of consumers of financial services Rules for the Rules for the Rules of Information Rules for the Control Relations for the Organization of Personal Data Processing (PJSC) (extract) to increase the convenience of working with the site VTB uses Cookie files. Continuing to use our site, you accept the terms of the agreement on the use of user data. If you do not want user data processed, disconnect cookies in the settings Brothers Brought up with VTBIBLE FLASE OF THE CONSIVALLY METHODOVATASTASAPPTELEGRAMViber</v>
      </c>
    </row>
    <row r="462">
      <c r="A462" s="1" t="s">
        <v>1397</v>
      </c>
      <c r="B462" s="1" t="s">
        <v>1441</v>
      </c>
      <c r="C462" s="1" t="s">
        <v>1526</v>
      </c>
      <c r="D462" s="1">
        <v>39.0</v>
      </c>
      <c r="E462" s="4" t="s">
        <v>1527</v>
      </c>
      <c r="F462" s="1" t="s">
        <v>43</v>
      </c>
      <c r="G462" s="1" t="s">
        <v>309</v>
      </c>
      <c r="H462" s="4" t="s">
        <v>310</v>
      </c>
      <c r="I462" s="2"/>
      <c r="J462" s="5" t="str">
        <f>IFERROR(__xludf.DUMMYFUNCTION("GOOGLETRANSLATE(A462)"),"calculator")</f>
        <v>calculator</v>
      </c>
      <c r="K462" s="6" t="str">
        <f>IFERROR(__xludf.DUMMYFUNCTION("GOOGLETRANSLATE(B462)"),"Calculator")</f>
        <v>Calculator</v>
      </c>
      <c r="L462" s="5" t="str">
        <f>IFERROR(__xludf.DUMMYFUNCTION("GOOGLETRANSLATE(C462)"),"9 Dec. 2022 -")</f>
        <v>9 Dec. 2022 -</v>
      </c>
      <c r="M462" s="5" t="str">
        <f>IFERROR(__xludf.DUMMYFUNCTION("GOOGLETRANSLATE(G462)"),"Google Chrome - The Fast &amp; Secure Web Browser Built to be Yours         Google uses cookies to deliver its services to personalize ads and to analyze traffic. You can adjust your privacy controls anytime in your  Google settings or read our cookie policy."&amp;"Ok got itMenuMenuicon chrome logoJump to contentHomeThe Browser by GoogleFeatures              icon-expand-featuresOverviewGoogle address barPassword checkSyncDark modeTabsArticles for youExtensionsSafety              icon-expand-featuresPrivacy on the we"&amp;"bSupport              icon-expand-featuresHelpful tips for ChromeSupport              Get ChromeDownload Chromeclose drawericon chrome logoHomeThe Browser by GoogleFeatures              icon-expand-featuresOverviewGoogle address barPassword checkSyncDark "&amp;"modeTabsArticles for youExtensionsSafety              icon-expand-featuresPrivacy on the webSupport              icon-expand-featuresHelpful tips for ChromeSupport              Get ChromeDownload ChromeFastSafeYoursBy GoogleDownload                    The"&amp;" browser  built to be                   f                  a                  s                  t                  s                  a                  f                  e                  y                  o                  u                  r     "&amp;"             sPause animationPlay animationGet ChromeDownload ChromeFor Windows 10 32-bit.I want to update ChromeFor Windows 11/10 64-bit.I want to update ChromeFor Windows XP/VistaThis device won’t receive updates because Google Chrome no longer supports"&amp;" your operating system.For Windows 8.1/8/7 32-bitThis device won’t receive updates because Google Chrome no longer supports your operating system.For Windows 8.1/8/7 64-bitThis device won’t receive updates because Google Chrome no longer supports your ope"&amp;"rating system.For macOS 10.15 or later.I want to update ChromeThis computer will no longer receive Google Chrome updates because macOS 10.6 - 10.12 are no longer supported.This computer will no longer receive Google Chrome updates because macOS 10.6 - 10."&amp;"12 are no longer supported.This computer will no longer receive Google Chrome updates because macOS 10.6 - 10.12 are no longer supported.This computer will no longer receive Google Chrome updates because macOS 10.6 - 10.12 are no longer supported.For macO"&amp;"S 10.13/10.14This device won’t receive updates because Google Chrome no longer supports your operating system.Debian/Ubuntu/Fedora/openSUSE.I want to update                 Chrome              I want to update ChromeLearn how to                 update    "&amp;"          I want to update ChromeSet Google Chrome as my default browserHelp make Google Chrome better by automatically sending usage statistics and crash reports to Google.                What are crash reports?Help make Google Chrome better by automatic"&amp;"ally sending usage statistics and crash reports to Google.                What are crash reports?Help make Google Chrome better by automatically sending usage statistics and crash reports to Google.                What are crash reports?Help make Google C"&amp;"hrome better by automatically sending usage statistics and crash reports to Google.                What are crash reports?Set Google Chrome as my default browserHelp make Google Chrome better by automatically sending usage statistics and crash reports to "&amp;"Google.                What are crash reports?Help make Google Chrome better by automatically sending usage statistics and crash reports to Google.                What are crash reports?Help make Google Chrome better by automatically sending usage statist"&amp;"ics and crash reports to Google.                What are crash reports?Help make Google Chrome better by automatically sending usage statistics and crash reports to Google.                What are crash reports?Set Google Chrome as my default browserHelp "&amp;"make Google Chrome better by automatically sending usage statistics and crash reports to Google.                What are crash reports?Set Google Chrome as my default browserHelp make Google Chrome better by automatically sending usage statistics and cras"&amp;"h reports to Google.                What are crash reports?Set Google Chrome as my default browserHelp make Google Chrome better by automatically sending usage statistics and crash reports to Google.                What are crash reports?By downloading Ch"&amp;"rome you agree to the Google Terms of Service and Chrome and ChromeOS Additional Terms of ServiceBy downloading Chrome you agree to the Google Terms of Service and Chrome and ChromeOS Additional Terms of ServiceBy downloading Chrome you agree to the Googl"&amp;"e Terms of Service and Chrome and ChromeOS Additional Terms of ServiceBy downloading Chrome you agree to the Google Terms of Service and Chrome and ChromeOS Additional Terms of ServiceBy downloading Chrome you agree to the Google Terms of Service and Chro"&amp;"me and ChromeOS Additional Terms of ServiceBy downloading Chrome you agree to the Google Terms of Service and Chrome and ChromeOS Additional Terms of ServiceBy downloading Chrome you agree to the Google Terms of Service and Chrome and ChromeOS Additional "&amp;"Terms of ServiceBy downloading Chrome you agree to the Google Terms of Service and Chrome and ChromeOS Additional Terms of ServiceBy downloading Chrome you agree to the Google Terms of Service and Chrome and ChromeOS Additional Terms of ServiceBy download"&amp;"ing Chrome you agree to the Google Terms of Service and Chrome and ChromeOS Additional Terms of ServiceBy downloading Chrome you agree to the Google Terms of Service and Chrome and ChromeOS Additional Terms of ServiceBy downloading Chrome you agree to the"&amp;" Google Terms of Service and Chrome and ChromeOS Additional Terms of ServiceBy downloading Chrome you agree to the Google Terms of Service and Chrome and ChromeOS Additional Terms of ServiceBy downloading Chrome you agree to the Google Terms of Service an"&amp;"d Chrome and ChromeOS Additional Terms of ServiceBy downloading Chrome you agree to the Google Terms of Service and Chrome and ChromeOS Additional Terms of ServiceBy downloading Chrome you agree to the Google Terms of Service and Chrome and ChromeOS Addit"&amp;"ional Terms of ServiceBy downloading Chrome you agree to the Google Terms of Service and Chrome and ChromeOS Additional Terms of ServiceBy downloading Chrome you agree to the Google Terms of Service and Chrome and ChromeOS Additional Terms of ServiceBy do"&amp;"wnloading Chrome you agree to the Google Terms of Service and Chrome and ChromeOS Additional Terms of ServiceBy downloading Chrome you agree to the Google Terms of Service and Chrome and ChromeOS Additional Terms of ServiceScroll for                 more "&amp;"                   The             f            a            s            t   way to do things online          Prioritize performance              Chrome is built for performance. Optimize your experience with features like Energy Saver and Memory Saver. "&amp;"     Stay on top of tabs              Chrome has tools to help you manage the tabs you’re not quite ready to close. Group label and color code your tabs to stay organized and work faster.      Optimized for your device              Chrome is built to work"&amp;" with your device across platforms. That means a smooth experience on whatever you’re working with.      Scan for the  Chrome app          Automatic updates              There’s a new Chrome update every four weeks making it easy to have the newest featur"&amp;"es and a faster safer browser.      Prioritize performance              Chrome is built for performance. Optimize your experience with features like Energy Saver and Memory Saver.      Stay on top of tabs              Chrome has tools to help you manage t"&amp;"he tabs you’re not quite ready to close. Group label and color code your tabs to stay organized and work faster.      Optimized for your device              Chrome is built to work with your device across platforms. That means a smooth experience on whate"&amp;"ver you’re working with.      Scan for the  Chrome app          Automatic updates              There’s a new Chrome update every four weeks making it easy to have the newest features and a faster safer browser.       Stay             s            a       "&amp;"     f            e   while you browse          Stay             s            a            f            ewhile you browse          PASSWORD MANAGER          Use strong passwords on every site.              Chrome has Google Password Manager built in which"&amp;" makes it simple to save manage and protect your passwords online. It also helps you create stronger passwords for every account you use.      ENHANCED SAFE BROWSING          Browse with the confidence that you're staying safer online.              Chrome"&amp;"'s Safe Browsing warns you about malware or phishing attacks. Turn on Enhanced Safe Browsing for even more safety protections.      SAFETY CHECK          Check your safety level in real time with just one click.              Chrome's Safety Check confirms"&amp;" the overall security and privacy of your browsing experience including your saved passwords extensions and settings. If something needs attention Chrome will help you fix it.      PRIVACY GUIDE          Keep your privacy under your control with easy-to-u"&amp;"se settings.              Chrome makes it easy to understand exactly what you’re sharing online and who you’re sharing it with. Simply use the Privacy Guide a step-by-step tour of your privacy settings.       Make it             y            o            "&amp;"u            r            s   and take it with you          Make it             y            o            u            r            s   and take it with you          Customize your Chrome    Personalize your web browser with themes dark mode and other opt"&amp;"ions built just for you.      Browse across devices    Sign in to Chrome on any device to access your bookmarks saved passwords and more.      Save time with autofill    Use Chrome to save addresses passwords and more to quickly autofill your details.    "&amp;"  Customize your Chrome    Personalize your web browser with themes dark mode and other options built just for you.      Browse across devices    Sign in to Chrome on any device to access your bookmarks saved passwords and more.      Save time with autofi"&amp;"ll    Use Chrome to save addresses passwords and more to quickly autofill your details.      Extend your experience              From shopping and entertainment to productivity find extensions to improve your experience in the Chrome Web Store.       The "&amp;"browser             b            u            i            l            tby Google      GOOGLE AI          Access AI superpowers while you browse.                  Google is integrating artificial intelligence to make our products more useful. We use AI f"&amp;"or features like Search Google Translate and more and we’re innovating new technologies responsibly.      Google Search          The search bar you love built right in.              Access a world of knowledge at your fingertips. Check the weather solve m"&amp;"ath equations and get instant search results all contained inside your browser’s address bar.      GOOGLE WORKSPACE          Get things done with or without Wi-Fi.          Get things done in Gmail Google Docs Google Slides Google Sheets Google Translate "&amp;"and Google Drive even without an internet connection.Frequently asked questionsHow do I install Chrome?To install Chrome simply download the installation file then look for it in your downloads folder. Open the file and follow the instructions. Once Chrom"&amp;"e is installed you can delete the install file. Learn more about downloading Chrome here.Does Chrome work on my operating system?Chrome is compatible with devices that run Windows and Mac operating systems provided they meet the minimum system requirement"&amp;"s. In order to install Chrome and receive adequate support you must meet the system requirements. Learn more about using Chrome on your device.How do I make Chrome my default browser?You can set Chrome as your default browser on Windows or Mac operating s"&amp;"ystems as well as your iPhone iPad or Android device. When you set Chrome as your default browser any link you click will automatically open in Chrome. Find specific instructions for your device here.What are Chrome's safety settings?Chrome uses cutting-e"&amp;"dge safety and security features to help you manage your safety. Use Safety Check to instantly audit for compromised passwords safe browsing status and any available Chrome updates. Learn more about safety and security on Chrome.      Take your browser wi"&amp;"th you    Download Chrome on your mobile device or tablet and sign into your account for the same browser experience everywhere.Get ChromeDownload Chrome      Scan for the  Chrome app     Follow usYoutubeTwitterFacebook              Chrome FamilyOther Pla"&amp;"tformsChromebooks              Chromecast                            EnterpriseDownload Chrome                 Browser              Chrome Browser for                 Enterprise              Chrome                 Devices              ChromeOS            "&amp;"  Google                 Cloud              Google                 Workspace                            EducationGoogle Chrome                 Browser              Devices              Web                 Store                            Dev and PartnersC"&amp;"hromium              ChromeOS              Chrome Web                 Store              Chrome                 Experiments              Chrome BetaChrome DevChrome Canary              Stay ConnectedGoogle Chrome                 Blog              Update C"&amp;"hromeChrome                 Help              Chrome TipsGooglePrivacy and TermsAbout GoogleGoogle ProductsHelpHelpChange language or regionCatalà - EspanyaDansk - DanmarkDeutsch - DeutschlandEesti - EestiEnglish - AustraliaEnglish - CanadaEnglish - Unite"&amp;"d KingdomEnglish - Hong Kong SAR ChinaEnglish - IrelandEnglish - IndiaEnglish - PhilippinesEnglish - PakistanEnglish - SingaporeEnglish - United StatesEspañol - LatinoaméricaEspañol - EspañaEspañol - Estados UnidosFilipino - PilipinasFrançais - CanadaFran"&amp;"çais - FranceHrvatski - HrvatskaIndonesia - IndonesiaItaliano - ItaliaLatviešu - LatvijaLietuvių - LietuvaMagyar - MagyarországMelayu - MalaysiaNederlands - NederlandNorsk Bokmål - NorgePolski - PolskaPortuguês - PortugalPortuguês - BrasilRomână - România"&amp;"Slovenčina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السعوديةف"&amp;"ارسیहिन्दी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syst"&amp;"em.For Windows 8.1/8/7 32-bitThis device won’t receive updates because Google Chrome no longer supports your operating system.For Windows 8.1/8/7 64-bitThis device won’t receive updates because Google Chrome no longer supports your operating system.Get Ch"&amp;"rome for MacFor macOS 10.15 or later.This computer will no longer receive Google Chrome updates because macOS 10.6 - 10.12 are no longer supported.This computer will no longer receive Google Chrome updates because macOS 10.6 - 10.12 are no longer supporte"&amp;"d.This computer will no longer receive Google Chrome updates because macOS 10.6 - 10.12 are no longer supported.This computer will no longer receive Google Chrome updates because macOS 10.6 - 10.12 are no longer supported.For macOS 10.13/10.14This device "&amp;"won’t receive updates because Google Chrome no longer supports your operating system.Get Chrome for LinuxDebian/Ubuntu/Fedora/openSUSE.Please select your download package:64 bit .deb (For Debian/Ubuntu)64 bit .rpm (For Fedora/openSUSE)Not Debian/Ubuntu or"&amp;" Fedora/openSUSE? There may be a community-supported version for your distribution. See Linux Chromium packagesGet Chrome for iOSGet Chrome for chromeOSGet Chrome for androidSet Google Chrome as my default browserHelp make Google Chrome better by automati"&amp;"cally sending usage statistics and crash reports to Google.                What are crash reports?Note: Installing Google Chrome will add the Google repository so your system will automatically keep Google Chrome up to date. If you don’t want Google's rep"&amp;"ository do “sudo touch /etc/default/google-chrome” before installing the package.By downloading Chrome you agree to the Google Terms of Service and Chrome and ChromeOS Additional Terms of ServiceAccept and installAccept and installAccept and installGet Ch"&amp;"romeDownload for phone or tabletAndroidiOSDownload for another desktop OSWindows 11/10 64-bitWindows 10 32-bitmacOS 10.15 or laterLinuxFrozen versionsWindows XPWindows VistaWindows 8.1/8/7 32-bitWindows 8.1/8/7 64-bitMac 10.6 - 10.8Mac 10.9Mac 10.10Mac 10"&amp;".11 - 10.12Mac 10.13 - 10.14Looks like you’re already using Chrome browser. Nice!The device you have runs on ChromeOS which already has Chrome browser built-in. No need to manually install or update it — with automatic updates you’ll always get the latest"&amp;" version. Learn more about automatic updates.Looking for Chrome for a different operating system?See the full list of supported operating systems.")</f>
        <v>Google Chrome - The Fast &amp; Secure Web Browser Built to be Yours         Google uses cookies to deliver its services to personalize ads and to analyze traffic. You can adjust your privacy controls anytime in your  Google settings or read our cookie policy.Ok got itMenuMenuicon chrome logoJump to contentHomeThe Browser by GoogleFeatures              icon-expand-featuresOverviewGoogle address barPassword checkSyncDark modeTabsArticles for youExtensionsSafety              icon-expand-featuresPrivacy on the webSupport              icon-expand-featuresHelpful tips for ChromeSupport              Get ChromeDownload Chromeclose drawericon chrome logoHomeThe Browser by GoogleFeatures              icon-expand-featuresOverviewGoogle address barPassword checkSyncDark modeTabsArticles for youExtensionsSafety              icon-expand-featuresPrivacy on the webSupport              icon-expand-featuresHelpful tips for ChromeSupport              Get ChromeDownload ChromeFastSafeYoursBy GoogleDownload                    The browser  built to be                   f                  a                  s                  t                  s                  a                  f                  e                  y                  o                  u                  r                  sPause animationPlay animationGet ChromeDownload ChromeFor Windows 10 32-bit.I want to update ChromeFor Windows 11/10 64-bit.I want to update ChromeFor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system.For macOS 10.15 or later.I want to update ChromeThis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system.Debian/Ubuntu/Fedora/openSUSE.I want to update                 Chrome              I want to update ChromeLearn how to                 update              I want to update ChromeSet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ServiceScroll for                 more                    The             f            a            s            t   way to do things online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Stay             s            a            f            e   while you browse          Stay             s            a            f            ewhile you browse          PASSWORD MANAGER          Use strong passwords on every site.              Chrome has Google Password Manager built in which makes it simple to save manage and protect your passwords online. It also helps you create stronger passwords for every account you use.      ENHANCED SAFE BROWSING          Browse with the confidence that you're staying safer online.              Chrome's Safe Browsing warns you about malware or phishing attacks. Turn on Enhanced Safe Browsing for even more safety protections.      SAFETY CHECK          Check your safety level in real time with just one click.              Chrome's Safety Check confirms the overall security and privacy of your browsing experience including your saved passwords extensions and settings. If something needs attention Chrome will help you fix it.      PRIVACY GUIDE          Keep your privacy under your control with easy-to-use settings.              Chrome makes it easy to understand exactly what you’re sharing online and who you’re sharing it with. Simply use the Privacy Guide a step-by-step tour of your privacy settings.       Make it             y            o            u            r            s   and take it with you          Make it             y            o            u            r            s   and take it with you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Extend your experience              From shopping and entertainment to productivity find extensions to improve your experience in the Chrome Web Store.       The browser             b            u            i            l            tby Google      GOOGLE AI          Access AI superpowers while you browse.                  Google is integrating artificial intelligence to make our products more useful. We use AI for features like Search Google Translate and more and we’re innovating new technologies responsibly.      Google Search          The search bar you love built right in.              Access a world of knowledge at your fingertips. Check the weather solve math equations and get instant search results all contained inside your browser’s address bar.      GOOGLE WORKSPACE          Get things done with or without Wi-Fi.          Get things done in Gmail Google Docs Google Slides Google Sheets Google Translate and Google Drive even without an internet connection.Frequently asked questionsHow do I install Chrome?To install Chrome simply download the installation file then look for it in your downloads folder. Open the file and follow the instructions. Once Chrome is installed you can delete the install file. Learn more about downloading Chrome here.Does Chrome work on my operating system?Chrome is compatible with devices that run Windows and Mac operating systems provided they meet the minimum system requirements. In order to install Chrome and receive adequate support you must meet the system requirements. Learn more about using Chrome on your device.How do I make Chrome my default browser?You can set Chrome as your default browser on Windows or Mac operating systems as well as your iPhone iPad or Android device. When you set Chrome as your default browser any link you click will automatically open in Chrome. Find specific instructions for your device here.What are Chrome's safety settings?Chrome uses cutting-edge safety and security features to help you manage your safety. Use Safety Check to instantly audit for compromised passwords safe browsing status and any available Chrome updates. Learn more about safety and security on Chrome.      Take your browser with you    Download Chrome on your mobile device or tablet and sign into your account for the same browser experience everywhere.Get ChromeDownload Chrome      Scan for the  Chrome app     Follow usYoutubeTwitterFacebook              Chrome FamilyOther PlatformsChromebooks              Chromecast                            EnterpriseDownload Chrome                 Browser              Chrome Browser for                 Enterprise              Chrome                 Devices              ChromeOS              Google                 Cloud              Google                 Workspace                            EducationGoogle Chrome                 Browser              Devices              Web                 Store                            Dev and PartnersChromium              ChromeOS              Chrome Web                 Store              Chrome                 Experiments              Chrome BetaChrome DevChrome Canary              Stay ConnectedGoogle Chrome                 Blog              Update ChromeChrome                 Help              Chrome TipsGooglePrivacy and TermsAbout GoogleGoogle ProductsHelpHelpChange language or regionCatalà - EspanyaDansk - DanmarkDeutsch - DeutschlandEesti - EestiEnglish - AustraliaEnglish - CanadaEnglish - United KingdomEnglish - Hong Kong SAR ChinaEnglish - IrelandEnglish - IndiaEnglish - PhilippinesEnglish - PakistanEnglish - SingaporeEnglish - United StatesEspañol - LatinoaméricaEspañol - EspañaEspañol - Estados UnidosFilipino - PilipinasFrançais - CanadaFrançais - FranceHrvatski - HrvatskaIndonesia - IndonesiaItaliano - ItaliaLatviešu - LatvijaLietuvių - LietuvaMagyar - MagyarországMelayu - MalaysiaNederlands - NederlandNorsk Bokmål - NorgePolski - PolskaPortuguês - PortugalPortuguês - BrasilRomână - RomâniaSlovenčina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system.Get Chrome for MacFor macOS 10.15 or later.This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system.Get Chrome for LinuxDebian/Ubuntu/Fedora/openSUSE.Please select your download package:64 bit .deb (For Debian/Ubuntu)64 bit .rpm (For Fedora/openSUSE)Not Debian/Ubuntu or Fedora/openSUSE? There may be a community-supported version for your distribution. See Linux Chromium packagesGet Chrome for iOSGet Chrome for chromeOSGet Chrome for androidSet Google Chrome as my default browserHelp make Google Chrome better by automatically sending usage statistics and crash reports to Google.                What are crash reports?Note: Installing Google Chrome will add the Google repository so your system will automatically keep Google Chrome up to date. If you don’t want Google's repository do “sudo touch /etc/default/google-chrome” before installing the package.By downloading Chrome you agree to the Google Terms of Service and Chrome and ChromeOS Additional Terms of ServiceAccept and installAccept and installAccept and installGet ChromeDownload for phone or tabletAndroidiOSDownload for another desktop OSWindows 11/10 64-bitWindows 10 32-bitmacOS 10.15 or laterLinuxFrozen versionsWindows XPWindows VistaWindows 8.1/8/7 32-bitWindows 8.1/8/7 64-bitMac 10.6 - 10.8Mac 10.9Mac 10.10Mac 10.11 - 10.12Mac 10.13 - 10.14Looks like you’re already using Chrome browser. Nice!The device you have runs on ChromeOS which already has Chrome browser built-in. No need to manually install or update it — with automatic updates you’ll always get the latest version. Learn more about automatic updates.Looking for Chrome for a different operating system?See the full list of supported operating systems.</v>
      </c>
    </row>
    <row r="463">
      <c r="A463" s="1" t="s">
        <v>1397</v>
      </c>
      <c r="B463" s="1" t="s">
        <v>1509</v>
      </c>
      <c r="D463" s="1">
        <v>40.0</v>
      </c>
      <c r="E463" s="4" t="s">
        <v>1528</v>
      </c>
      <c r="F463" s="1" t="s">
        <v>43</v>
      </c>
      <c r="G463" s="1" t="s">
        <v>302</v>
      </c>
      <c r="H463" s="4" t="s">
        <v>303</v>
      </c>
      <c r="I463" s="2"/>
      <c r="J463" s="5" t="str">
        <f>IFERROR(__xludf.DUMMYFUNCTION("GOOGLETRANSLATE(A463)"),"calculator")</f>
        <v>calculator</v>
      </c>
      <c r="K463" s="6" t="str">
        <f>IFERROR(__xludf.DUMMYFUNCTION("GOOGLETRANSLATE(B463)"),"Superpa. Calculator of relations of men and women")</f>
        <v>Superpa. Calculator of relations of men and women</v>
      </c>
      <c r="L463" s="5" t="str">
        <f>IFERROR(__xludf.DUMMYFUNCTION("GOOGLETRANSLATE(C463)"),"#VALUE!")</f>
        <v>#VALUE!</v>
      </c>
      <c r="M463" s="5" t="str">
        <f>IFERROR(__xludf.DUMMYFUNCTION("GOOGLETRANSLATE(G463)"),"Google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464">
      <c r="A464" s="1" t="s">
        <v>1529</v>
      </c>
      <c r="B464" s="1" t="s">
        <v>1530</v>
      </c>
      <c r="C464" s="1" t="s">
        <v>1531</v>
      </c>
      <c r="D464" s="1">
        <v>1.0</v>
      </c>
      <c r="E464" s="4" t="s">
        <v>1532</v>
      </c>
      <c r="F464" s="1" t="s">
        <v>43</v>
      </c>
      <c r="I464" s="2"/>
      <c r="J464" s="5" t="str">
        <f>IFERROR(__xludf.DUMMYFUNCTION("GOOGLETRANSLATE(A464)"),"dollar")</f>
        <v>dollar</v>
      </c>
      <c r="K464" s="6" t="str">
        <f>IFERROR(__xludf.DUMMYFUNCTION("GOOGLETRANSLATE(B464)"),"Dynamics of US dollar")</f>
        <v>Dynamics of US dollar</v>
      </c>
      <c r="L464" s="5" t="str">
        <f>IFERROR(__xludf.DUMMYFUNCTION("GOOGLETRANSLATE(C464)"),"Information about the US dollar. On this page of the Banka.ru portal, the values ​​of the official US dollar exchange rate to the Russian ruble set by the Bank of Russia are placed.")</f>
        <v>Information about the US dollar. On this page of the Banka.ru portal, the values ​​of the official US dollar exchange rate to the Russian ruble set by the Bank of Russia are placed.</v>
      </c>
      <c r="M464" s="5" t="str">
        <f>IFERROR(__xludf.DUMMYFUNCTION("GOOGLETRANSLATE(G464)"),"#VALUE!")</f>
        <v>#VALUE!</v>
      </c>
    </row>
    <row r="465">
      <c r="A465" s="1" t="s">
        <v>1529</v>
      </c>
      <c r="B465" s="1" t="s">
        <v>1533</v>
      </c>
      <c r="C465" s="1" t="s">
        <v>1534</v>
      </c>
      <c r="D465" s="1">
        <v>2.0</v>
      </c>
      <c r="E465" s="4" t="s">
        <v>1535</v>
      </c>
      <c r="F465" s="1" t="s">
        <v>43</v>
      </c>
      <c r="I465" s="2"/>
      <c r="J465" s="5" t="str">
        <f>IFERROR(__xludf.DUMMYFUNCTION("GOOGLETRANSLATE(A465)"),"dollar")</f>
        <v>dollar</v>
      </c>
      <c r="K465" s="6" t="str">
        <f>IFERROR(__xludf.DUMMYFUNCTION("GOOGLETRANSLATE(B465)"),"Dollari SSH (USD) CB, Forex and MMVB on ...")</f>
        <v>Dollari SSH (USD) CB, Forex and MMVB on ...</v>
      </c>
      <c r="L465" s="5" t="str">
        <f>IFERROR(__xludf.DUMMYFUNCTION("GOOGLETRANSLATE(C465)"),"Dollara SSE (USD). 1 USD. CB at 10.11. 91.9266. -0.2707. CB on today. 92.0535. +0.1269. Dinamika Course Course Course Course. CB. MMVB. Forex. Nedel.")</f>
        <v>Dollara SSE (USD). 1 USD. CB at 10.11. 91.9266. -0.2707. CB on today. 92.0535. +0.1269. Dinamika Course Course Course Course. CB. MMVB. Forex. Nedel.</v>
      </c>
      <c r="M465" s="5" t="str">
        <f>IFERROR(__xludf.DUMMYFUNCTION("GOOGLETRANSLATE(G465)"),"#VALUE!")</f>
        <v>#VALUE!</v>
      </c>
    </row>
    <row r="466">
      <c r="A466" s="1" t="s">
        <v>1529</v>
      </c>
      <c r="B466" s="1" t="s">
        <v>1536</v>
      </c>
      <c r="C466" s="1" t="s">
        <v>1537</v>
      </c>
      <c r="D466" s="1">
        <v>3.0</v>
      </c>
      <c r="E466" s="4" t="s">
        <v>1538</v>
      </c>
      <c r="F466" s="1" t="s">
        <v>43</v>
      </c>
      <c r="G466" s="1" t="s">
        <v>1539</v>
      </c>
      <c r="H466" s="4" t="s">
        <v>1540</v>
      </c>
      <c r="I466" s="2"/>
      <c r="J466" s="5" t="str">
        <f>IFERROR(__xludf.DUMMYFUNCTION("GOOGLETRANSLATE(A466)"),"dollar")</f>
        <v>dollar</v>
      </c>
      <c r="K466" s="6" t="str">
        <f>IFERROR(__xludf.DUMMYFUNCTION("GOOGLETRANSLATE(B466)"),"The dollar exchange rate to the ruble Exchange | The Central Bank course for today, for ...")</f>
        <v>The dollar exchange rate to the ruble Exchange | The Central Bank course for today, for ...</v>
      </c>
      <c r="L466" s="5" t="str">
        <f>IFERROR(__xludf.DUMMYFUNCTION("GOOGLETRANSLATE(C466)"),"Archive of Currents of the Central Bank of the Russian Federation for the selected date; USD, 1, US dollar, 92.0535; EUR, 1, Euro, 98.3155; Inr, 10, Indian rupees, 11.0552.")</f>
        <v>Archive of Currents of the Central Bank of the Russian Federation for the selected date; USD, 1, US dollar, 92.0535; EUR, 1, Euro, 98.3155; Inr, 10, Indian rupees, 11.0552.</v>
      </c>
      <c r="M466" s="5" t="str">
        <f>IFERROR(__xludf.DUMMYFUNCTION("GOOGLETRANSLATE(G466)"),"Forex on Profinance.ru. Currency courses. Forecasts of the foreign exchange market. 18+Cabinet -Bonbonline schedules of the ForemTelegram -welded and stock market market Forex 11:34 China hopes to restart the economy with the help of humanoid robots photo"&amp;"s from open sources, plans to start the production of human -like robots in the coming years. This should help the country become a world leader in robotics and restart their economy is said in the Directive of published / further / ... 20:40 Export of en"&amp;"ergy coal from Indonesia reached a record maximum 13:36 The market of American treasury bonds suffered due to an attack on ICBC 13: 19 Goldman Sachs predicts the “obvious shortage” of iron ore before the end of the year 12:15 Fire on the Russian mine exac"&amp;"erbated the situation with zinc supply 11:44 Gold mining and the production of vodka will contribute to the isolated restoration of the Moscow market after IPO 11:34 Gold is cheaper for the second week in a row. -What comments of the head of the Fed 11:16"&amp;" p.m. will limit the export of key goods to Russia by the EU. Turkey can take similar measures 11:09 Growth in oil prices to $ 100 did not take place due to a deterioration in the prospects of the economy 10:14 The Minister of Energy of Saudi Arabia accus"&amp;"es speculators of falling oil prices 09:41 Yet jumped up and the shares fell because Powell promised to raise the rates again 22:53 Beef prices are hit by records due to drought in the USA 22:15 Central Bank are wondering: will energy prices lead to raisi"&amp;"ng rates of 16:25 US shares fell to a record low level with respect to S&amp;P 500 since the collapse of bonds weakened Balances 10:33 GOLDMAN: The US economy will support the dollar in 2024 by the Euro/dollar schedule on the 1st day of Goldman Sachs Group St"&amp;"rategists in the dollar in 2024, but the strong economy of the United States and high profitability will probably support the American currency. The index of the dollar in 2023 / Further / ... 22:27 Chinese yuan cheaper, but at the same time strengthens t"&amp;"he positions 19:46 Bank of Russia listed the factors thanks to which the ruble was able to strengthen 16:36 Currency Currents of the Central Bank of the Russian Federation: the ruble exchange rate to the euro euro gryvne tenge Yuan Rupia 15: 13 JPMorgan c"&amp;"alled the cryptocurrency rally exaggerated 10:49 Sberbank gave a forecast for the ruble exchange rate 10:27 Russia adds to its budget more than 3 trillion rubles of expenses 10:11 dollar triumphs after a cold shower from Powell and company 16:38 Currency "&amp;"Currencies of the Central Bank of the Russian Federation: Course Run to the euro hryvnia lirea tenge Rupia 14:30 Lack of labor in Russia threatens the central bank 13:02 Alfa-Bank is waiting for another increase in the Central Bank rate in December 12:23 "&amp;"Bitcoin rose above $ 36,800 against the backdrop of the possible approval of investments At ETF 09:44, the ruble has the chances of strengthening up to 90 rubles ./ $ 1 - ""Alor Broker"" 09:38 Japanese funds bought most of the US debt for six months exert"&amp;"ing pressure on the yen search for the Datears :: Economic News and Statistics of the Promotions and Monad Forex market / Forex 13:30 Russia. Key rate of the Bank of Russia: 15.00% Forecast: 14.00% earlier: 13.00% 14:00 Turkey. The rate of the weekly repo"&amp;" Central Bank: 35.00% Forecast 35.00% earlier: 30.00% 15:30 USA. The basic consumer price index (CPI Core) September: +0.3% m/m +4.1% g/g Forecast: +0.3% m/m +4.1 g/g August: +0.3% m +4.3% g 15 : 30 USA. Consumer price index (CPI) September: +0.4% m/m +3."&amp;"7% g/g Forecast: +0.3% m +3.6% g/g August: +0.6% m/m +3.7% g 15: 32 USA. The average working week in the September watch: 34.4 hours Forecast: 34.4 hours August: 34.4 hours 15:32 US. The unemployment rate U-6 September: 7.0% August: 7.1% 15:32 USA. The le"&amp;"vel of participation of the population as part of the total labor force September: 62.8% Forecast: 62.8% August: 62.8% 15:32 US. Average time wage September: +0.2% m/m +4.2% g/g Forecast: +0.3% m +4.3% g/g August: +0.2% m/m +4.3% g 15:31 US . The unemploy"&amp;"ment rate September: 3.8% forecast: 3.7% August: 3.8% 15:30 USA. Employment outside the agricultural sector September: +336 000 Forecast: +170 000 August: +227 000 (revised by +187 000). Further ... 14:03 Great Britain. The decision on the Bank of England"&amp;": 5.25% Forecast: 5.50% earlier: 5.25% 14:00 Turkey. DEPIREMENT DEPPOTE DEPO Central Bank: 30.00% Forecast 30.00% earlier: 25 Daed -timeusd/rub92.26792.27718: 59EUR/rub98 .54898.56818: 57cny/RUB12.609412.613218: 59 currencies Forex purchase a sales eagleu"&amp;"r/USD1.068401.0685500: 00GBP/USD1.222551.2227523: 59USD/ChF0.902300.902 5023: 59USD/JPY151.530151.54523: 59 world markets about the company - editors · advertising · Contacts of graphics and quotes Forex / Forex - quotes · Quotes online · Graphics · Graph"&amp;"ics online Urals analytics and forecasts Forex / Forex - archive of the news and stock market news · Archive of economic news and events of the Forex - Traders - Forex Forum News and Analysting Forest and Forex markets for Profinance.ru - Copyright © 1995"&amp;" - 2023 Constance . Ru. Executive · Advertising on the site ·")</f>
        <v>Forex on Profinance.ru. Currency courses. Forecasts of the foreign exchange market. 18+Cabinet -Bonbonline schedules of the ForemTelegram -welded and stock market market Forex 11:34 China hopes to restart the economy with the help of humanoid robots photos from open sources, plans to start the production of human -like robots in the coming years. This should help the country become a world leader in robotics and restart their economy is said in the Directive of published / further / ... 20:40 Export of energy coal from Indonesia reached a record maximum 13:36 The market of American treasury bonds suffered due to an attack on ICBC 13: 19 Goldman Sachs predicts the “obvious shortage” of iron ore before the end of the year 12:15 Fire on the Russian mine exacerbated the situation with zinc supply 11:44 Gold mining and the production of vodka will contribute to the isolated restoration of the Moscow market after IPO 11:34 Gold is cheaper for the second week in a row. -What comments of the head of the Fed 11:16 p.m. will limit the export of key goods to Russia by the EU. Turkey can take similar measures 11:09 Growth in oil prices to $ 100 did not take place due to a deterioration in the prospects of the economy 10:14 The Minister of Energy of Saudi Arabia accuses speculators of falling oil prices 09:41 Yet jumped up and the shares fell because Powell promised to raise the rates again 22:53 Beef prices are hit by records due to drought in the USA 22:15 Central Bank are wondering: will energy prices lead to raising rates of 16:25 US shares fell to a record low level with respect to S&amp;P 500 since the collapse of bonds weakened Balances 10:33 GOLDMAN: The US economy will support the dollar in 2024 by the Euro/dollar schedule on the 1st day of Goldman Sachs Group Strategists in the dollar in 2024, but the strong economy of the United States and high profitability will probably support the American currency. The index of the dollar in 2023 / Further / ... 22:27 Chinese yuan cheaper, but at the same time strengthens the positions 19:46 Bank of Russia listed the factors thanks to which the ruble was able to strengthen 16:36 Currency Currents of the Central Bank of the Russian Federation: the ruble exchange rate to the euro euro gryvne tenge Yuan Rupia 15: 13 JPMorgan called the cryptocurrency rally exaggerated 10:49 Sberbank gave a forecast for the ruble exchange rate 10:27 Russia adds to its budget more than 3 trillion rubles of expenses 10:11 dollar triumphs after a cold shower from Powell and company 16:38 Currency Currencies of the Central Bank of the Russian Federation: Course Run to the euro hryvnia lirea tenge Rupia 14:30 Lack of labor in Russia threatens the central bank 13:02 Alfa-Bank is waiting for another increase in the Central Bank rate in December 12:23 Bitcoin rose above $ 36,800 against the backdrop of the possible approval of investments At ETF 09:44, the ruble has the chances of strengthening up to 90 rubles ./ $ 1 - "Alor Broker" 09:38 Japanese funds bought most of the US debt for six months exerting pressure on the yen search for the Datears :: Economic News and Statistics of the Promotions and Monad Forex market / Forex 13:30 Russia. Key rate of the Bank of Russia: 15.00% Forecast: 14.00% earlier: 13.00% 14:00 Turkey. The rate of the weekly repo Central Bank: 35.00% Forecast 35.00% earlier: 30.00% 15:30 USA. The basic consumer price index (CPI Core) September: +0.3% m/m +4.1% g/g Forecast: +0.3% m/m +4.1 g/g August: +0.3% m +4.3% g 15 : 30 USA. Consumer price index (CPI) September: +0.4% m/m +3.7% g/g Forecast: +0.3% m +3.6% g/g August: +0.6% m/m +3.7% g 15: 32 USA. The average working week in the September watch: 34.4 hours Forecast: 34.4 hours August: 34.4 hours 15:32 US. The unemployment rate U-6 September: 7.0% August: 7.1% 15:32 USA. The level of participation of the population as part of the total labor force September: 62.8% Forecast: 62.8% August: 62.8% 15:32 US. Average time wage September: +0.2% m/m +4.2% g/g Forecast: +0.3% m +4.3% g/g August: +0.2% m/m +4.3% g 15:31 US . The unemployment rate September: 3.8% forecast: 3.7% August: 3.8% 15:30 USA. Employment outside the agricultural sector September: +336 000 Forecast: +170 000 August: +227 000 (revised by +187 000). Further ... 14:03 Great Britain. The decision on the Bank of England: 5.25% Forecast: 5.50% earlier: 5.25% 14:00 Turkey. DEPIREMENT DEPPOTE DEPO Central Bank: 30.00% Forecast 30.00% earlier: 25 Daed -timeusd/rub92.26792.27718: 59EUR/rub98 .54898.56818: 57cny/RUB12.609412.613218: 59 currencies Forex purchase a sales eagleur/USD1.068401.0685500: 00GBP/USD1.222551.2227523: 59USD/ChF0.902300.902 5023: 59USD/JPY151.530151.54523: 59 world markets about the company - editors · advertising · Contacts of graphics and quotes Forex / Forex - quotes · Quotes online · Graphics · Graphics online Urals analytics and forecasts Forex / Forex - archive of the news and stock market news · Archive of economic news and events of the Forex - Traders - Forex Forum News and Analysting Forest and Forex markets for Profinance.ru - Copyright © 1995 - 2023 Constance . Ru. Executive · Advertising on the site ·</v>
      </c>
    </row>
    <row r="467">
      <c r="A467" s="1" t="s">
        <v>1529</v>
      </c>
      <c r="B467" s="1" t="s">
        <v>1541</v>
      </c>
      <c r="C467" s="1" t="s">
        <v>1542</v>
      </c>
      <c r="D467" s="1">
        <v>4.0</v>
      </c>
      <c r="E467" s="4" t="s">
        <v>1543</v>
      </c>
      <c r="F467" s="1" t="s">
        <v>43</v>
      </c>
      <c r="I467" s="2"/>
      <c r="J467" s="5" t="str">
        <f>IFERROR(__xludf.DUMMYFUNCTION("GOOGLETRANSLATE(A467)"),"dollar")</f>
        <v>dollar</v>
      </c>
      <c r="K467" s="6" t="str">
        <f>IFERROR(__xludf.DUMMYFUNCTION("GOOGLETRANSLATE(B467)"),"The dollar exchange rate to the ruble for today")</f>
        <v>The dollar exchange rate to the ruble for today</v>
      </c>
      <c r="L467" s="5" t="str">
        <f>IFERROR(__xludf.DUMMYFUNCTION("GOOGLETRANSLATE(C467)"),"The official course of the tsb in the rubles for 1 dollar. 91.9266-4,4078 (-4,58%) 10 / ...")</f>
        <v>The official course of the tsb in the rubles for 1 dollar. 91.9266-4,4078 (-4,58%) 10 / ...</v>
      </c>
      <c r="M467" s="5" t="str">
        <f>IFERROR(__xludf.DUMMYFUNCTION("GOOGLETRANSLATE(G467)"),"#VALUE!")</f>
        <v>#VALUE!</v>
      </c>
    </row>
    <row r="468">
      <c r="A468" s="1" t="s">
        <v>1529</v>
      </c>
      <c r="B468" s="1" t="s">
        <v>1544</v>
      </c>
      <c r="C468" s="1" t="s">
        <v>1545</v>
      </c>
      <c r="D468" s="1">
        <v>5.0</v>
      </c>
      <c r="E468" s="4" t="s">
        <v>1546</v>
      </c>
      <c r="F468" s="1" t="s">
        <v>43</v>
      </c>
      <c r="I468" s="2"/>
      <c r="J468" s="5" t="str">
        <f>IFERROR(__xludf.DUMMYFUNCTION("GOOGLETRANSLATE(A468)"),"dollar")</f>
        <v>dollar</v>
      </c>
      <c r="K468" s="6" t="str">
        <f>IFERROR(__xludf.DUMMYFUNCTION("GOOGLETRANSLATE(B468)"),"Dollar exchange rate to ruble, USD RUB quotes")</f>
        <v>Dollar exchange rate to ruble, USD RUB quotes</v>
      </c>
      <c r="L468" s="5" t="str">
        <f>IFERROR(__xludf.DUMMYFUNCTION("GOOGLETRANSLATE(C468)"),"The dollar ended the week at 92.29 rubles. This is evidenced by the data of the Moscow Exchange. The ruble exchange rate based on the results of the auction of Friday decreased to the dollar and ...")</f>
        <v>The dollar ended the week at 92.29 rubles. This is evidenced by the data of the Moscow Exchange. The ruble exchange rate based on the results of the auction of Friday decreased to the dollar and ...</v>
      </c>
      <c r="M468" s="5" t="str">
        <f>IFERROR(__xludf.DUMMYFUNCTION("GOOGLETRANSLATE(G468)"),"#VALUE!")</f>
        <v>#VALUE!</v>
      </c>
    </row>
    <row r="469">
      <c r="A469" s="1" t="s">
        <v>1529</v>
      </c>
      <c r="B469" s="1" t="s">
        <v>1547</v>
      </c>
      <c r="C469" s="1" t="s">
        <v>1548</v>
      </c>
      <c r="D469" s="1">
        <v>6.0</v>
      </c>
      <c r="E469" s="4" t="s">
        <v>1549</v>
      </c>
      <c r="F469" s="1" t="s">
        <v>43</v>
      </c>
      <c r="G469" s="1" t="s">
        <v>1550</v>
      </c>
      <c r="H469" s="4" t="s">
        <v>1551</v>
      </c>
      <c r="I469" s="2"/>
      <c r="J469" s="5" t="str">
        <f>IFERROR(__xludf.DUMMYFUNCTION("GOOGLETRANSLATE(A469)"),"dollar")</f>
        <v>dollar</v>
      </c>
      <c r="K469" s="6" t="str">
        <f>IFERROR(__xludf.DUMMYFUNCTION("GOOGLETRANSLATE(B469)"),"The US dollar (USD) for today is the Central Bank of the Russian Federation, dynamics ...")</f>
        <v>The US dollar (USD) for today is the Central Bank of the Russian Federation, dynamics ...</v>
      </c>
      <c r="L469" s="5" t="str">
        <f>IFERROR(__xludf.DUMMYFUNCTION("GOOGLETRANSLATE(C469)"),"The US dollar exchange rate according to the Central Bank for today, the dynamics of the US dollar (USD) to the ruble is a exchange rate of currencies online.")</f>
        <v>The US dollar exchange rate according to the Central Bank for today, the dynamics of the US dollar (USD) to the ruble is a exchange rate of currencies online.</v>
      </c>
      <c r="M469" s="5" t="str">
        <f>IFERROR(__xludf.DUMMYFUNCTION("GOOGLETRANSLATE(G469)")," News of Russia and the world recent events today-news Mail.ru Mail.ru Mirodniklassnikovkontaktegryznakottaktegryno-Knoblokoblakovkovk Combones Projects of Project Ru-Medication Main Palace-Israeli Conflictspecetics in Ukraine of the Russian Federation on"&amp;" Ukrainian Armed Forces of the Russian Federation destroyed four mineral expanses In total, the enemy lost up to 50 troops per day on This direction was stated by the head of the Press Center of the West group Sergey Zybinsky Sosamlet, the United States c"&amp;"rashed in the Mediterranean Moresmi: in 2020, the WAGNE PMC “Wagner” in Belarus Tokyo curled the most serious threat from the time of the Second World Wide-Russian paratrooper will fought for the UFC title in heavy Vesev Tokyo curled the most serious thre"&amp;"at from the time of the Second World War II will fight for the UFC title in the heavy Wesecurs of the dollar. The forecast for November 13-17, you need to sit to properly measure the pressure of Vnukovo, introduced restrictions on the reception and depart"&amp;"ure of airplane. Air conductors for militants in Syriazrail stroked air strikes in Syriachacyupion Bellator Nurmagomedov disqualified due to doping, popularly a day of McGregor: Conflict in Ukraine: Conflict in Ukraine is actually finalized by the conflic"&amp;"t in Ukraine Weather forecaster He revealed what winter will be in the Russian President this year: the conflict with the Russian Federation will lead to the disappearance of the USAMACRON did not exclude the “honest” negotiations of Ukraine and the Russi"&amp;"an Ukrainian proposed to accept in the new border, one country announced plans to join BRICSPOLITIC03: 01 (Moscow time) © The US Congress Congress News presented a plan to prevent Shatdaunavashington on November 12 - RIA Novosti. The new speaker of the Ho"&amp;"use of US representatives Mike Johnson less than a week before a possible shutdown submitted a bill on two -stage financing of government programs in which there is no financing of Kiev should be from the document. Nenyahu announced the demilitarization o"&amp;"f the Gas sector at the end of conflictagramania will increase military assistance to Ukraine by 2024 to € 8 billion San Francisco took homeless and drug addicts before the visit of Xi Jinpin economy on November11 © RIA Novosti said that Russia needed for"&amp;" economic eccentrician November 11-RIA Novosti. Russian financiers today celebrate one of their professional holidays - the Economist Day. Almost 260 years ago on this day, by decree of Catherine II, the Imperial Free Economic Society was created. In hono"&amp;"r of this holiday, RIA Novosti asked experts to draw up a recipe for an “economic miracle” for our country. The unemployment in Russia in comparison with other countries of the world. The infographic government additionally allocated 95 billion rubles for"&amp;" a preferential mortgage of Russia from April 1, 2024 can expand the labeling of the beer: 27 (Moscow time) (MSC) Lenta.ru Gigante 90-kilogram python was caught in the USA swamps of the USA hunters caught a giant dark tiger python. Four men and young man "&amp;"were in the reserve when they found a 90-kilogram snake. They grabbed Python and tried to immobilize him. The reptile began to break out and raise the body above the ground trying to wrap the bodies of the hunters. The doctors found a way to save people w"&amp;"ith anemia under the heart, a new useful property of vitamin dio revealed the secret of the 16th century picture of the German Holbeanasye artist: 39 (Moscow time) Izvesteuzema, magnitude 54, occurred Fixed In Indonesia. This was reported on November 12 i"&amp;"n the European-Mediterranean Seismological Center. Russian pilots and artillerymen hit the assault groups of the Armed Forces of Ukraine in the LNDs of police officers wounded during the rally in support of Palestine in Londonop on the shelling of Donetsk"&amp;" by the Armed Forces of the Armed Forces, a peaceful resident of the media on social networks on social networks on social networks06: 35 (35 (35 ( MSC) An elderly dachshund was stuck in the sewer and sat there for two days. In the suburbs, the 12-year-ol"&amp;"d dog Savva fell into the hatch and stuck between the pipes ... Moscow Komsomolets06: 32 (MSC) Farmers of the European countries are afraid of Ukraine’s entry into the EU because of fears not to maintain competition in the agricultural product ... Gazeta."&amp;"ru06: 32 (Moscow time) In Novosibirsk, they created an application for voicing the Russian language of gestures. The system recognizes the movements of the hand using the camera in the smartphone. At ... TASS06: 30 (Moscow time), US Secretary of Defense L"&amp;"loyd Austin discussed with the Ukrainian colleague Rustema Umarov the needs of Kiev and plans for the upcoming meeting ... Izvestia06: 30 (Moscow time) L'Apinion: Farmers of Europe began to experience concerns due to competition in the agricultural produc"&amp;"ts market From Ukraine, if ... Moscow Komsomolets06: 22 (Moscow time) Thailand can become a new buyer of the Russian-Indian missiles ""Brammos"" by purchasing them from India in 2024 by Indian Defense News ... Moscow Komsomolets 06: 16 (MSC) in the Irkuts"&amp;"k region, a train collided and The truck on preliminary information killed 3 people reports RIA Novosti with reference to ... TASS06: 05 (Moscow time), Jordan threw humanitarian aid for the air -guided hospital hospital in the gas sector controlled by the"&amp;" air. This is written by The Times ... Moscow Komsomolets06: 03 (MSC), from the point of view of law, Russian and Chinese oil and gas companies adapted to cooperation in the conditions of sanctions pressure ... Arguments and facts06: 00 (MSC) How to pay l"&amp;"ess taxes legally? Laws allow many Russians to significantly reduce their tax payments. What are the possibilities for ... a certificate of comprehensive prohibition of nuclear tests. The history and main provisions of the 5 cards of the conflict of Israe"&amp;"l and Palestine: brief essence of the chronology 4 Carder register of military accounting and electronic summons: what you need to know 5 cards -posed but non -hazardous: what you need to know about the coronavirus of Pyrole 5 cards signed a decree on a d"&amp;"igital passport. What is it and how to get4 CVTs BRICS agreed to accept six new members. What countries will be included in the association? 6 Luna-25 cards died. What you need to know about the crash of the mission5 of Russian cards will be blocked by mi"&amp;"llions of SIM cards. Who will affect and is it possible to avoid blocking? 5 cards are known about the new rules for calling for military service5 cardscifre ruble in simple words: why is it needed and how to use 7 cards on Tinkoff and Unistim. How they w"&amp;"ill affect banks and transfers4 cards, it is known about the termination of grain transaction 6 cards photo reports15 Waiters of the MangRove PhotoGraphy Awards13 British environmental society announced the winners of their photo contest of 19th -class ph"&amp;"otos with the best color combinations. Of the years 202341 The most funny photos of wild animals24 laureates of the Nobel Prize from Russia24 published the best conceptual pictures are ordered year 26 Siena International Photo Awards 202318 Winners of the"&amp;" NATURE TTL PhotoGrapher of the Year, the worst attitude of the world tests for the festivities of festival of festival or fruit: what do you know about various type, are ordered. X nutrition (test) Test: How many traditions of Halloween Do you know? Kamo"&amp;"rmband and Corruption: Are you understanding the men's wardrobe items? Help Yourself: Guess the correct translation of the phrase: Was there really such a love is liner? A third -grader coped with this mathematical task in 10 seconds and you can? Test: ho"&amp;"w is it good You are familiar with the biography of Leo Tolstogotest: guess how to celebrate Knowledge Day in different countries: amazing facts about the Russian Knito -Room: Guess the quote from the film ""Seventeen Moments of Spring"" Test: What do you"&amp;" know about champagne? Navigator of enterprise: What is the purpose and function of psychology: what is it. The history of the task is to see what is an insurance company and how it works what phraseological and economic economics: definition of the conce"&amp;"pt of type of society: how functions and signs have originated what is a technology what is an organization: definition and characteristics that the word “analysis” politician: who does this and how its activity affects the world what the law is the law. "&amp;": Determining and their varieties: the difference and definition of &lt;div class = ""JS-Module"" Data-Mole = ""Slotmodel"" Data-View = ""SlotView.345798"" Data -id = ""345798"" Data-Brandsafuty = ""0""&gt; &lt; /DIV&gt; Subscribe to the us.mail.ru company advertisin"&amp;"g to cancel the projects of technologies of recommendations for the use of the material -based relationship of the site")</f>
        <v> News of Russia and the world recent events today-news Mail.ru Mail.ru Mirodniklassnikovkontaktegryznakottaktegryno-Knoblokoblakovkovk Combones Projects of Project Ru-Medication Main Palace-Israeli Conflictspecetics in Ukraine of the Russian Federation on Ukrainian Armed Forces of the Russian Federation destroyed four mineral expanses In total, the enemy lost up to 50 troops per day on This direction was stated by the head of the Press Center of the West group Sergey Zybinsky Sosamlet, the United States crashed in the Mediterranean Moresmi: in 2020, the WAGNE PMC “Wagner” in Belarus Tokyo curled the most serious threat from the time of the Second World Wide-Russian paratrooper will fought for the UFC title in heavy Vesev Tokyo curled the most serious threat from the time of the Second World War II will fight for the UFC title in the heavy Wesecurs of the dollar. The forecast for November 13-17, you need to sit to properly measure the pressure of Vnukovo, introduced restrictions on the reception and departure of airplane. Air conductors for militants in Syriazrail stroked air strikes in Syriachacyupion Bellator Nurmagomedov disqualified due to doping, popularly a day of McGregor: Conflict in Ukraine: Conflict in Ukraine is actually finalized by the conflict in Ukraine Weather forecaster He revealed what winter will be in the Russian President this year: the conflict with the Russian Federation will lead to the disappearance of the USAMACRON did not exclude the “honest” negotiations of Ukraine and the Russian Ukrainian proposed to accept in the new border, one country announced plans to join BRICSPOLITIC03: 01 (Moscow time) © The US Congress Congress News presented a plan to prevent Shatdaunavashington on November 12 - RIA Novosti. The new speaker of the House of US representatives Mike Johnson less than a week before a possible shutdown submitted a bill on two -stage financing of government programs in which there is no financing of Kiev should be from the document. Nenyahu announced the demilitarization of the Gas sector at the end of conflictagramania will increase military assistance to Ukraine by 2024 to € 8 billion San Francisco took homeless and drug addicts before the visit of Xi Jinpin economy on November11 © RIA Novosti said that Russia needed for economic eccentrician November 11-RIA Novosti. Russian financiers today celebrate one of their professional holidays - the Economist Day. Almost 260 years ago on this day, by decree of Catherine II, the Imperial Free Economic Society was created. In honor of this holiday, RIA Novosti asked experts to draw up a recipe for an “economic miracle” for our country. The unemployment in Russia in comparison with other countries of the world. The infographic government additionally allocated 95 billion rubles for a preferential mortgage of Russia from April 1, 2024 can expand the labeling of the beer: 27 (Moscow time) (MSC) Lenta.ru Gigante 90-kilogram python was caught in the USA swamps of the USA hunters caught a giant dark tiger python. Four men and young man were in the reserve when they found a 90-kilogram snake. They grabbed Python and tried to immobilize him. The reptile began to break out and raise the body above the ground trying to wrap the bodies of the hunters. The doctors found a way to save people with anemia under the heart, a new useful property of vitamin dio revealed the secret of the 16th century picture of the German Holbeanasye artist: 39 (Moscow time) Izvesteuzema, magnitude 54, occurred Fixed In Indonesia. This was reported on November 12 in the European-Mediterranean Seismological Center. Russian pilots and artillerymen hit the assault groups of the Armed Forces of Ukraine in the LNDs of police officers wounded during the rally in support of Palestine in Londonop on the shelling of Donetsk by the Armed Forces of the Armed Forces, a peaceful resident of the media on social networks on social networks on social networks06: 35 (35 (35 ( MSC) An elderly dachshund was stuck in the sewer and sat there for two days. In the suburbs, the 12-year-old dog Savva fell into the hatch and stuck between the pipes ... Moscow Komsomolets06: 32 (MSC) Farmers of the European countries are afraid of Ukraine’s entry into the EU because of fears not to maintain competition in the agricultural product ... Gazeta.ru06: 32 (Moscow time) In Novosibirsk, they created an application for voicing the Russian language of gestures. The system recognizes the movements of the hand using the camera in the smartphone. At ... TASS06: 30 (Moscow time), US Secretary of Defense Lloyd Austin discussed with the Ukrainian colleague Rustema Umarov the needs of Kiev and plans for the upcoming meeting ... Izvestia06: 30 (Moscow time) L'Apinion: Farmers of Europe began to experience concerns due to competition in the agricultural products market From Ukraine, if ... Moscow Komsomolets06: 22 (Moscow time) Thailand can become a new buyer of the Russian-Indian missiles "Brammos" by purchasing them from India in 2024 by Indian Defense News ... Moscow Komsomolets 06: 16 (MSC) in the Irkutsk region, a train collided and The truck on preliminary information killed 3 people reports RIA Novosti with reference to ... TASS06: 05 (Moscow time), Jordan threw humanitarian aid for the air -guided hospital hospital in the gas sector controlled by the air. This is written by The Times ... Moscow Komsomolets06: 03 (MSC), from the point of view of law, Russian and Chinese oil and gas companies adapted to cooperation in the conditions of sanctions pressure ... Arguments and facts06: 00 (MSC) How to pay less taxes legally? Laws allow many Russians to significantly reduce their tax payments. What are the possibilities for ... a certificate of comprehensive prohibition of nuclear tests. The history and main provisions of the 5 cards of the conflict of Israel and Palestine: brief essence of the chronology 4 Carder register of military accounting and electronic summons: what you need to know 5 cards -posed but non -hazardous: what you need to know about the coronavirus of Pyrole 5 cards signed a decree on a digital passport. What is it and how to get4 CVTs BRICS agreed to accept six new members. What countries will be included in the association? 6 Luna-25 cards died. What you need to know about the crash of the mission5 of Russian cards will be blocked by millions of SIM cards. Who will affect and is it possible to avoid blocking? 5 cards are known about the new rules for calling for military service5 cardscifre ruble in simple words: why is it needed and how to use 7 cards on Tinkoff and Unistim. How they will affect banks and transfers4 cards, it is known about the termination of grain transaction 6 cards photo reports15 Waiters of the MangRove PhotoGraphy Awards13 British environmental society announced the winners of their photo contest of 19th -class photos with the best color combinations. Of the years 202341 The most funny photos of wild animals24 laureates of the Nobel Prize from Russia24 published the best conceptual pictures are ordered year 26 Siena International Photo Awards 202318 Winners of the NATURE TTL PhotoGrapher of the Year, the worst attitude of the world tests for the festivities of festival of festival or fruit: what do you know about various type, are ordered. X nutrition (test) Test: How many traditions of Halloween Do you know? Kamormband and Corruption: Are you understanding the men's wardrobe items? Help Yourself: Guess the correct translation of the phrase: Was there really such a love is liner? A third -grader coped with this mathematical task in 10 seconds and you can? Test: how is it good You are familiar with the biography of Leo Tolstogotest: guess how to celebrate Knowledge Day in different countries: amazing facts about the Russian Knito -Room: Guess the quote from the film "Seventeen Moments of Spring" Test: What do you know about champagne? Navigator of enterprise: What is the purpose and function of psychology: what is it. The history of the task is to see what is an insurance company and how it works what phraseological and economic economics: definition of the concept of type of society: how functions and signs have originated what is a technology what is an organization: definition and characteristics that the word “analysis” politician: who does this and how its activity affects the world what the law is the law. : Determining and their varieties: the difference and definition of &lt;div class = "JS-Module" Data-Mole = "Slotmodel" Data-View = "SlotView.345798" Data -id = "345798" Data-Brandsafuty = "0"&gt; &lt; /DIV&gt; Subscribe to the us.mail.ru company advertising to cancel the projects of technologies of recommendations for the use of the material -based relationship of the site</v>
      </c>
    </row>
    <row r="470">
      <c r="A470" s="1" t="s">
        <v>1529</v>
      </c>
      <c r="B470" s="1" t="s">
        <v>1552</v>
      </c>
      <c r="C470" s="1" t="s">
        <v>1553</v>
      </c>
      <c r="D470" s="1">
        <v>7.0</v>
      </c>
      <c r="E470" s="4" t="s">
        <v>1554</v>
      </c>
      <c r="F470" s="1" t="s">
        <v>43</v>
      </c>
      <c r="G470" s="1" t="s">
        <v>1555</v>
      </c>
      <c r="H470" s="4" t="s">
        <v>1556</v>
      </c>
      <c r="I470" s="2"/>
      <c r="J470" s="5" t="str">
        <f>IFERROR(__xludf.DUMMYFUNCTION("GOOGLETRANSLATE(A470)"),"dollar")</f>
        <v>dollar</v>
      </c>
      <c r="K470" s="6" t="str">
        <f>IFERROR(__xludf.DUMMYFUNCTION("GOOGLETRANSLATE(B470)"),"Dollar of the Central Bank (USD)")</f>
        <v>Dollar of the Central Bank (USD)</v>
      </c>
      <c r="L470" s="5" t="str">
        <f>IFERROR(__xludf.DUMMYFUNCTION("GOOGLETRANSLATE(C470)"),"The dollar of the Central Bank. Profile. The dollar rate of the Central Bank USD. ₽92,054 (+0.14%). 1d. 1n. 1m. 3m. 1g. All the time. Creed with HighCharts 7.2.2 85 90 95 100 105 10 Oct 17 Oct 24 ...")</f>
        <v>The dollar of the Central Bank. Profile. The dollar rate of the Central Bank USD. ₽92,054 (+0.14%). 1d. 1n. 1m. 3m. 1g. All the time. Creed with HighCharts 7.2.2 85 90 95 100 105 10 Oct 17 Oct 24 ...</v>
      </c>
      <c r="M470" s="5" t="str">
        <f>IFERROR(__xludf.DUMMYFUNCTION("GOOGLETRANSLATE(G470)"),"COTTIONS COMPLESS COMPLESS COMPLESS COMPLESS COMPLESS Company News :: RBC investment d.rbc.ru adv.rbc.ru adv.rbc.ru Investments PRO CENTRAL INTRODUCTION OF EMERATIS INTRODRENT AUTONEWS SPORT TREEMS City Crypto RBC+ Discussion Club Radings Franchise Gazeta"&amp;" Special Projects SPb Conferences of St. Petersburg special projects Verification of counterparties RBC Library ESG-index policy Economics business technology and media finance RBC LIFE ... Hide Bannervostation-Primediasatogatogovar+7 (800) 333-24-24+7 (4"&amp;"95) 797-93-48BROKER@VTB.ru Registration Registration Registration Entrance Hide Banners Main Menaadv.rbc.ru Investing the Individual Essay for Reproduction of Video. Please update your browser. News of difficulties in the electric car market: is it worth "&amp;"it to invest in the sector shares how to transfer money from a card to a card: 6 methods and detailed instructions on November 11 10:00 · 0 Bidding on St. Petersburg Exchange on a pause. Experts on the chances of investors to sell paper on November 11 09:"&amp;"00 · 0Adv.rbc.ru Palladium fell to the levels of 2018 against the background of the transition to electric cars on November 10 19:26 · 0 Rusal shares in the dividend for 9 months on 10 November on November 10 19:08 · 0 Central Bank set the euros and yuan "&amp;"dollar rates on the weekend and Monday November 10 16:39 · 0 Gazprom Neft overtook the capitalization of the Gazprom maternal company on November 10:32 · 0 SPb Exchange to conduct dependent calculations of transactions November 13 November 10, 15:45 p.m. "&amp;"Reporting and news about dividends on November 10 13:35 · 0 Mosbirzh will be traded with eternal futures on the Mosbirzhi index from November 14, November 10 11:57 · 0 Sberbank shares went up after the reporting of 10 months on November 10 11:21 · 0 Why w"&amp;"ere the United States disappointed in the United States. In the profitable green funds ESG ADV.RBC.ru adv.rbc.ru registration of a vehicle is a vehicle of trading at St. Petersburg Exchange at a pause. Experts about the chances of investors to sell paper,"&amp;" the main topic is November 11 09:00 that this is the expansion against the St. Petersburg exchange created a risk of new blocking of assets that were taken into account in the American depository. Investors cannot get rid of assets. In addition, they hav"&amp;"e to pay for margin positions of St. Petersburg Exchange SPBE +224% Index SPB100 SPB100 - Pro investment How to transfer money from a card to a card: 6 methods and detailed instructions on November 11 10:00 RBC Banning of money transfers from Maps on the "&amp;"card is fast and convenient. How to save on the commission - we will analyze with the expert. RBC Investments collected six different ways to send money using the Sberbank bank card SBER -012% VTB VTBR -04% Moscow Credit Bank CBOM +115% Rosbank ROSB -119%"&amp;" TCS Group (Tinkoff Bank) TCS -ADV.RBC.ru Palladium Failed to the levels of 2018 against the background of the transition to electric cars on November 10, 19:26 News of the News -Palladium is used in cars with an internal combustion engine of which the po"&amp;"pularity of which is reduced due to the transition to electric cars Norilskel GMKN -039% Platinum -silver Silver -gold Gold -Rusal shares -shares Feeled against the backdrop of refusal of dividends for 9 months on November 10, 19:08 The Rusal News Managem"&amp;"ent recommended not to announce and not to pay dividends based on the results of nine months of 2023. The company's shares reacted with a decrease in RUAL -079% Chinese yuan/ruble CNY/RUB +009% Code of the Central Bank CNY -002% of the Central Bank set th"&amp;"e euros and the yuan for the weekend and Monday on November 10, 16:39 Courses Valyut Central Bank of Russia established the official dollar exchange rate USA on November 11–13 in the amount of ₽920535 euros - ₽983155 Yuan - ₽125979. This was reported on t"&amp;"he regulator’s website. According to ... the dollar/ruble USD/RUB +028% euro/dollar EUR/USD -046% Chinese yuan/ruble CNY/RUB +009% Gazprom Neft overtook the maternal company by capitalization “Gazprom” on November 10 16:32 News Neftyanaya company Gazprom "&amp;"Neft has become more expensive than its maternal company Gazprom. Support for the papers of the subsidiary was provided by news on dividend payments to Gazprom oil SIBN +431% Gazprom GAZP +005% Lkoh +039% Rosneft +261% Brent Brent -056% SPb Exchange SPB t"&amp;"ransactions on November 13 on November 13 November 10 15:45 The newsletter fell under the sanctions on November 2. Since then, trading with foreign assets suspended St. Petersburg Exchange SPBE +224% Moscow Exchange MOEX +292% in Sinar called the factor i"&amp;"n favor of weakening the ruble in mid -November 10:25 PM Investbank News warned that the repayment of Eurobonds for a total of more than ₽2 billion will increase the volatility of the ruble in the second half of November the dollar/ruble USD/RUB +028% Chi"&amp;"nese yuan/ruble CNY/RUB +009% euro/ruble EUR/RUB -011% Kazakhstan tenge/ruble KZT/RUB +132% of the Central Bank announced the right of investors It is clear to trade with unfriendly non -residents 10:11 PM that it is a significant presidential of the Pres"&amp;"ident to be clarified by Russian investors to trade foreign papers with unfriendly non -residents through foreign brokers. The permission of the right -hand request for such transactions does not require the IMOEX +007% index of the SPB100 SPB100 index - "&amp;"NOVABEV shares have risen in price against the background of reporting and news about dividends on November 10, 13:35 News News, I published financial results in nine months. In addition, the company said that the board of directors at a meeting on Novemb"&amp;"er 13 will discuss the issue of dividends for nine months novabev Group Belu -073% Abrau -Durso ABRD -213% Mosbirzhi ImoEx +007% RTSI -013% index of Mosbirzh will begin trademan in eternal futures on the eternal futures The Mosbirzhi index from November 1"&amp;"4, November 10 11:57 Future Futures on the Mosbirzhi index will have an amount of about ₽30 thousand. The calculated price of a new tool will be determined by the values ​​of the Mosbirzhi index (IMOEX). Contract Trading Code -IMOEXF Mosbirzhi IMOEX +007%"&amp;" Moscow Exchange MOEX +292% RTSI RTSI -013% Lukoil Lkoh +039% Gazprom Gazp +005% Rosneft +261% of Sberbank Extracted in terms of reporting for 10 About 10 months on November 11:21 Message to Sberbank opened the financial results of January - October 2023."&amp;" The bank’s net profit in 10 months reached ₽126 trillion. Sberbank shares to the report of the report reacted to Sberbank Sberbank Sberbank -012% Sberbank SBERP +118% Gazprom Neft 8 shares at the evening session Index Mosbirzhi: Digest on November 10 08:"&amp;"52 Events of the day of the day of the day of the merchants traded at the evening session. Gazprom Neft sd recommended dividends with a yield of 10%. The Mosbirzhi index bounced upwards after oil prices. Events that affect the SPB markets SPBE +224% Gazpr"&amp;"om oil SIBN +431% Brent Brent -056% Magnt -105% Mosbirzhi IMOEX +007% Gazprom Neft have announced dividends about 10% 09 November 21: 07 News Neftyanaya company Gazprom Neft announced intermediate dividends for nine months of 2023 in the amount of ₽8294 p"&amp;"er share. The dividend yield of such a payment will be about 10% Lkoh -048% “Rosneft” Rosn +025% Bane +127% “Nizhnekamskneftekhim” NKNC -004% RNFT -031% GAZPROM Oil Sibn +431% Tatneft +01% Surgutneftegaz SNGS +065% Fix Price shareholders voted for the com"&amp;"pany's redimization in Kazakhstan on November 09, 20:33, the news will receive registration on the site of the Kazakhstan International Financial Center “Astana”. The move process will not end earlier than the second half of 2024 was reported in the compa"&amp;"ny Fix Price Fixp -165% Ozon Ozon +009% Polymetal Poly -037% of the Central Bank and St. Petersburg Exchange yet can reach foreign papers 09 November 199:23 News of Russia and St. Petersburg The exchange will use all the actual and legal opportunities to "&amp;"ensure the possibility of resuming foreign paper trading on the site of St. Petersburg Exchange SPBE +224% Adv.rbc.ru adv.rbc.ru Leaders of growth Leaders of the Currency Dalua Cource Cource Currents of the Central Bank of the Russian Federation +1236% ₽ "&amp;"16 Buyersheararsa +979% ₽1985 Buyruss -investrusi +764% ₽2 283 Buybashneftbane +485% ₽33215 Buy swordsmith +431% ₽84905 Buygazprom Nefsibn -1358% ₽63 BuynPK ""United Logical Company"" UWWGN -UWHN 1352% ₽ 787 Buyyakovlevirkt -986% ₽1 992 Buynnes energy nnn"&amp;"nsbp -922% ₽1 300 buy energy yaroslavlyrsb -901% ₽0879 Buy Kamchatkenergo +132% ₽19828 Buykzt/rub +028% ₽92293 Buyusd/rub 022% ₽ 12069 buyhkd/rub +014% ₽92054 Buyusd +009% ₽12611 Buycny/RUB -002% ₽12598 Buycny -056% $ 8406 Brent - -Silver - -Platinum +016"&amp;"% 86525IFX -CBONDS +007% 3 242066 IMOEX - 013% 1 10744RTSI -–SPB100 +014% ₽92054 USD -002% ₽12598 CNY -009% ₽98316 EURKATALADV.RBC.ru Adv.rbc.ru ADV.RBC.ru Company Contact information Contraculation of advertisements contact the finacttact. Nikioutubetele"&amp;"gram Subscribes RBC Comfort RBC PRO RBC news news and hostingmediapois and analysis of cognitive information on restrictions on the restrictions on the compliance of copyright information on restrictions on the restrictions on the compliance of copyright "&amp;"© JSC JSC JSC JSC 1995–2023. Messages and materials of the RBC network edition (registered by the Federal Service for Supervision of the Communications of Information Technologies and Mass Communications (Roskomnadzor) 12/03/2021 behind EL No. FS77-82385)"&amp;" are accompanied by a note ""RBC"". 18+quote@rbc.ru Data are provided: Mosbirzha Thomson Reuters St. Petersburg Exchange of World Financial Instruments Provided Reuters to send the editorial offices, Issue part of the text in the article and click Ctrl+En"&amp;"ter, the chief of the mains")</f>
        <v>COTTIONS COMPLESS COMPLESS COMPLESS COMPLESS COMPLESS Company News :: RBC investment d.rbc.ru adv.rbc.ru adv.rbc.ru Investments PRO CENTRAL INTRODUCTION OF EMERATIS INTRODRENT AUTONEWS SPORT TREEMS City Crypto RBC+ Discussion Club Radings Franchise Gazeta Special Projects SPb Conferences of St. Petersburg special projects Verification of counterparties RBC Library ESG-index policy Economics business technology and media finance RBC LIFE ... Hide Bannervostation-Primediasatogatogovar+7 (800) 333-24-24+7 (495) 797-93-48BROKER@VTB.ru Registration Registration Registration Entrance Hide Banners Main Menaadv.rbc.ru Investing the Individual Essay for Reproduction of Video. Please update your browser. News of difficulties in the electric car market: is it worth it to invest in the sector shares how to transfer money from a card to a card: 6 methods and detailed instructions on November 11 10:00 · 0 Bidding on St. Petersburg Exchange on a pause. Experts on the chances of investors to sell paper on November 11 09:00 · 0Adv.rbc.ru Palladium fell to the levels of 2018 against the background of the transition to electric cars on November 10 19:26 · 0 Rusal shares in the dividend for 9 months on 10 November on November 10 19:08 · 0 Central Bank set the euros and yuan dollar rates on the weekend and Monday November 10 16:39 · 0 Gazprom Neft overtook the capitalization of the Gazprom maternal company on November 10:32 · 0 SPb Exchange to conduct dependent calculations of transactions November 13 November 10, 15:45 p.m. Reporting and news about dividends on November 10 13:35 · 0 Mosbirzh will be traded with eternal futures on the Mosbirzhi index from November 14, November 10 11:57 · 0 Sberbank shares went up after the reporting of 10 months on November 10 11:21 · 0 Why were the United States disappointed in the United States. In the profitable green funds ESG ADV.RBC.ru adv.rbc.ru registration of a vehicle is a vehicle of trading at St. Petersburg Exchange at a pause. Experts about the chances of investors to sell paper, the main topic is November 11 09:00 that this is the expansion against the St. Petersburg exchange created a risk of new blocking of assets that were taken into account in the American depository. Investors cannot get rid of assets. In addition, they have to pay for margin positions of St. Petersburg Exchange SPBE +224% Index SPB100 SPB100 - Pro investment How to transfer money from a card to a card: 6 methods and detailed instructions on November 11 10:00 RBC Banning of money transfers from Maps on the card is fast and convenient. How to save on the commission - we will analyze with the expert. RBC Investments collected six different ways to send money using the Sberbank bank card SBER -012% VTB VTBR -04% Moscow Credit Bank CBOM +115% Rosbank ROSB -119% TCS Group (Tinkoff Bank) TCS -ADV.RBC.ru Palladium Failed to the levels of 2018 against the background of the transition to electric cars on November 10, 19:26 News of the News -Palladium is used in cars with an internal combustion engine of which the popularity of which is reduced due to the transition to electric cars Norilskel GMKN -039% Platinum -silver Silver -gold Gold -Rusal shares -shares Feeled against the backdrop of refusal of dividends for 9 months on November 10, 19:08 The Rusal News Management recommended not to announce and not to pay dividends based on the results of nine months of 2023. The company's shares reacted with a decrease in RUAL -079% Chinese yuan/ruble CNY/RUB +009% Code of the Central Bank CNY -002% of the Central Bank set the euros and the yuan for the weekend and Monday on November 10, 16:39 Courses Valyut Central Bank of Russia established the official dollar exchange rate USA on November 11–13 in the amount of ₽920535 euros - ₽983155 Yuan - ₽125979. This was reported on the regulator’s website. According to ... the dollar/ruble USD/RUB +028% euro/dollar EUR/USD -046% Chinese yuan/ruble CNY/RUB +009% Gazprom Neft overtook the maternal company by capitalization “Gazprom” on November 10 16:32 News Neftyanaya company Gazprom Neft has become more expensive than its maternal company Gazprom. Support for the papers of the subsidiary was provided by news on dividend payments to Gazprom oil SIBN +431% Gazprom GAZP +005% Lkoh +039% Rosneft +261% Brent Brent -056% SPb Exchange SPB transactions on November 13 on November 13 November 10 15:45 The newsletter fell under the sanctions on November 2. Since then, trading with foreign assets suspended St. Petersburg Exchange SPBE +224% Moscow Exchange MOEX +292% in Sinar called the factor in favor of weakening the ruble in mid -November 10:25 PM Investbank News warned that the repayment of Eurobonds for a total of more than ₽2 billion will increase the volatility of the ruble in the second half of November the dollar/ruble USD/RUB +028% Chinese yuan/ruble CNY/RUB +009% euro/ruble EUR/RUB -011% Kazakhstan tenge/ruble KZT/RUB +132% of the Central Bank announced the right of investors It is clear to trade with unfriendly non -residents 10:11 PM that it is a significant presidential of the President to be clarified by Russian investors to trade foreign papers with unfriendly non -residents through foreign brokers. The permission of the right -hand request for such transactions does not require the IMOEX +007% index of the SPB100 SPB100 index - NOVABEV shares have risen in price against the background of reporting and news about dividends on November 10, 13:35 News News, I published financial results in nine months. In addition, the company said that the board of directors at a meeting on November 13 will discuss the issue of dividends for nine months novabev Group Belu -073% Abrau -Durso ABRD -213% Mosbirzhi ImoEx +007% RTSI -013% index of Mosbirzh will begin trademan in eternal futures on the eternal futures The Mosbirzhi index from November 14, November 10 11:57 Future Futures on the Mosbirzhi index will have an amount of about ₽30 thousand. The calculated price of a new tool will be determined by the values ​​of the Mosbirzhi index (IMOEX). Contract Trading Code -IMOEXF Mosbirzhi IMOEX +007% Moscow Exchange MOEX +292% RTSI RTSI -013% Lukoil Lkoh +039% Gazprom Gazp +005% Rosneft +261% of Sberbank Extracted in terms of reporting for 10 About 10 months on November 11:21 Message to Sberbank opened the financial results of January - October 2023. The bank’s net profit in 10 months reached ₽126 trillion. Sberbank shares to the report of the report reacted to Sberbank Sberbank Sberbank -012% Sberbank SBERP +118% Gazprom Neft 8 shares at the evening session Index Mosbirzhi: Digest on November 10 08:52 Events of the day of the day of the day of the merchants traded at the evening session. Gazprom Neft sd recommended dividends with a yield of 10%. The Mosbirzhi index bounced upwards after oil prices. Events that affect the SPB markets SPBE +224% Gazprom oil SIBN +431% Brent Brent -056% Magnt -105% Mosbirzhi IMOEX +007% Gazprom Neft have announced dividends about 10% 09 November 21: 07 News Neftyanaya company Gazprom Neft announced intermediate dividends for nine months of 2023 in the amount of ₽8294 per share. The dividend yield of such a payment will be about 10% Lkoh -048% “Rosneft” Rosn +025% Bane +127% “Nizhnekamskneftekhim” NKNC -004% RNFT -031% GAZPROM Oil Sibn +431% Tatneft +01% Surgutneftegaz SNGS +065% Fix Price shareholders voted for the company's redimization in Kazakhstan on November 09, 20:33, the news will receive registration on the site of the Kazakhstan International Financial Center “Astana”. The move process will not end earlier than the second half of 2024 was reported in the company Fix Price Fixp -165% Ozon Ozon +009% Polymetal Poly -037% of the Central Bank and St. Petersburg Exchange yet can reach foreign papers 09 November 199:23 News of Russia and St. Petersburg The exchange will use all the actual and legal opportunities to ensure the possibility of resuming foreign paper trading on the site of St. Petersburg Exchange SPBE +224% Adv.rbc.ru adv.rbc.ru Leaders of growth Leaders of the Currency Dalua Cource Cource Currents of the Central Bank of the Russian Federation +1236% ₽ 16 Buyersheararsa +979% ₽1985 Buyruss -investrusi +764% ₽2 283 Buybashneftbane +485% ₽33215 Buy swordsmith +431% ₽84905 Buygazprom Nefsibn -1358% ₽63 BuynPK "United Logical Company" UWWGN -UWHN 1352% ₽ 787 Buyyakovlevirkt -986% ₽1 992 Buynnes energy nnnnsbp -922% ₽1 300 buy energy yaroslavlyrsb -901% ₽0879 Buy Kamchatkenergo +132% ₽19828 Buykzt/rub +028% ₽92293 Buyusd/rub 022% ₽ 12069 buyhkd/rub +014% ₽92054 Buyusd +009% ₽12611 Buycny/RUB -002% ₽12598 Buycny -056% $ 8406 Brent - -Silver - -Platinum +016% 86525IFX -CBONDS +007% 3 242066 IMOEX - 013% 1 10744RTSI -–SPB100 +014% ₽92054 USD -002% ₽12598 CNY -009% ₽98316 EURKATALADV.RBC.ru Adv.rbc.ru ADV.RBC.ru Company Contact information Contraculation of advertisements contact the finacttact. Nikioutubetelegram Subscribes RBC Comfort RBC PRO RBC news news and hostingmediapois and analysis of cognitive information on restrictions on the restrictions on the compliance of copyright information on restrictions on the restrictions on the compliance of copyright © JSC JSC JSC JSC 1995–2023. Messages and materials of the RBC network edition (registered by the Federal Service for Supervision of the Communications of Information Technologies and Mass Communications (Roskomnadzor) 12/03/2021 behind EL No. FS77-82385) are accompanied by a note "RBC". 18+quote@rbc.ru Data are provided: Mosbirzha Thomson Reuters St. Petersburg Exchange of World Financial Instruments Provided Reuters to send the editorial offices, Issue part of the text in the article and click Ctrl+Enter, the chief of the mains</v>
      </c>
    </row>
    <row r="471">
      <c r="A471" s="1" t="s">
        <v>1529</v>
      </c>
      <c r="B471" s="1" t="s">
        <v>1557</v>
      </c>
      <c r="C471" s="1" t="s">
        <v>1558</v>
      </c>
      <c r="D471" s="1">
        <v>8.0</v>
      </c>
      <c r="E471" s="4" t="s">
        <v>1559</v>
      </c>
      <c r="F471" s="1" t="s">
        <v>43</v>
      </c>
      <c r="G471" s="1" t="s">
        <v>1560</v>
      </c>
      <c r="H471" s="4" t="s">
        <v>1561</v>
      </c>
      <c r="I471" s="2"/>
      <c r="J471" s="5" t="str">
        <f>IFERROR(__xludf.DUMMYFUNCTION("GOOGLETRANSLATE(A471)"),"dollar")</f>
        <v>dollar</v>
      </c>
      <c r="K471" s="6" t="str">
        <f>IFERROR(__xludf.DUMMYFUNCTION("GOOGLETRANSLATE(B471)"),"Official exchange rates on a given date ...")</f>
        <v>Official exchange rates on a given date ...</v>
      </c>
      <c r="L471" s="5" t="str">
        <f>IFERROR(__xludf.DUMMYFUNCTION("GOOGLETRANSLATE(C471)"),"7 hours ago -")</f>
        <v>7 hours ago -</v>
      </c>
      <c r="M471" s="5" t="str">
        <f>IFERROR(__xludf.DUMMYFUNCTION("GOOGLETRANSLATE(G471)"),"Central Bank of the Russian Federation | The Bank of the Russian Bank for the Protection of the Financial Market on the Internet of the Interpretation-acceptance of the Seturoen Central Bank of the Russian Federation on the Monetary and Credit Policy of 2"&amp;"023 The Safety of Financial Services 7-30 On November November Fintrect How are the economic success and culture related? 15: 00-11: 00vsai online -the on financial literacy on November 1-21 Online No. 70 (2466) Bank of the Bank of Russiaot on November 92"&amp;"3, 2023 Central Bank of the Russian Federation, to find accounts on the monetary policy of 2023, the security of financial services on November 7-30, Online Perebinarov “Fintrek” how economic success and culture are related ? November 15 10: 00-11: 00 Per"&amp;"evetsers Russian online literacy in financial literacy on November 1-21 online Revelet No. 70 (2466) Bank of the Bank of Russia on November 9, 2023, Bank of Russia, Interpretation-acceptance and response to the financial organization of the participant of"&amp;" the information metabolism of the Bank of Russia that you want Find? Search for the activity of the financial markets and data to the Bank of Russia Servic-Sishes of the Financial Market Protection+7 499 300-30-008 800 300-30-00300 FOR CARNSIONS FROM CAL"&amp;"LICALS of the Bank of the Russian Contact Contact Cardao Cardao Settish Punishment of the Financial Organization of the Interview of the Interview on the Inflationary School 40% Inflation October 202367% key rate with 30.10.20231500% rate RUONIA09.1 5 ₽ O"&amp;"fficial Course of the Bank of the Russian Russian Signature Signature and Updates Site for the educational portal linear-analytical portal journal “Money and Credit” of the Central Bank Online Museum of the Bank of Russia Kontakta for the mercy of the Ban"&amp;"k of Russia for publications of publications-alelial documents of the Bank of Russia 2022. The main directions of the development of the financial market of the Russian Federation for 2023 and the period 2024 and 2025 annual directions of the unified stat"&amp;"e monetary policy For 2023 and period 2024 and 2025 02.11.2022, the results of the Bank of Russia: Briefly about the main 2022. Strategy for the development of the national payment system for 2021 - 2023, the main directions of the development of cash cir"&amp;"culation for 2021–2025 Suptech and regtech technology development period 2021-2023 The anniversary of the monetary policy of politics No. 4 (40) • October Review of financial stability of 2022-I quarter of 2023. Promising directions of development of bank"&amp;"ing regulation and superpowers-male tossist of rapid payments of the regulatory loading enterprise. Opked reports of the reports of quick payments of quick payments Timization of the regulatory loading of enterprises opened standard Reporting up107016 Mos"&amp;"cow st. Neglinnaya d. 12 K. in Bankruptia Personal cabinet of market participants with investors of insider information of the Bank of Russia of Russia -offering of regulatory acts of the Bank of Russia Projects of the Bank of Russia is listening to non -"&amp;"working holidays and weekends of the website of the website of the website of corruption -free resource version Russia used Cookie. on www.cbr.ru you accept the user agreement to confirm")</f>
        <v>Central Bank of the Russian Federation | The Bank of the Russian Bank for the Protection of the Financial Market on the Internet of the Interpretation-acceptance of the Seturoen Central Bank of the Russian Federation on the Monetary and Credit Policy of 2023 The Safety of Financial Services 7-30 On November November Fintrect How are the economic success and culture related? 15: 00-11: 00vsai online -the on financial literacy on November 1-21 Online No. 70 (2466) Bank of the Bank of Russiaot on November 923, 2023 Central Bank of the Russian Federation, to find accounts on the monetary policy of 2023, the security of financial services on November 7-30, Online Perebinarov “Fintrek” how economic success and culture are related ? November 15 10: 00-11: 00 Perevetsers Russian online literacy in financial literacy on November 1-21 online Revelet No. 70 (2466) Bank of the Bank of Russia on November 9, 2023, Bank of Russia, Interpretation-acceptance and response to the financial organization of the participant of the information metabolism of the Bank of Russia that you want Find? Search for the activity of the financial markets and data to the Bank of Russia Servic-Sishes of the Financial Market Protection+7 499 300-30-008 800 300-30-00300 FOR CARNSIONS FROM CALLICALS of the Bank of the Russian Contact Contact Cardao Cardao Settish Punishment of the Financial Organization of the Interview of the Interview on the Inflationary School 40% Inflation October 202367% key rate with 30.10.20231500% rate RUONIA09.1 5 ₽ Official Course of the Bank of the Russian Russian Signature Signature and Updates Site for the educational portal linear-analytical portal journal “Money and Credit” of the Central Bank Online Museum of the Bank of Russia Kontakta for the mercy of the Bank of Russia for publications of publications-alelial documents of the Bank of Russia 2022. The main directions of the development of the financial market of the Russian Federation for 2023 and the period 2024 and 2025 annual directions of the unified state monetary policy For 2023 and period 2024 and 2025 02.11.2022, the results of the Bank of Russia: Briefly about the main 2022. Strategy for the development of the national payment system for 2021 - 2023, the main directions of the development of cash circulation for 2021–2025 Suptech and regtech technology development period 2021-2023 The anniversary of the monetary policy of politics No. 4 (40) • October Review of financial stability of 2022-I quarter of 2023. Promising directions of development of banking regulation and superpowers-male tossist of rapid payments of the regulatory loading enterprise. Opked reports of the reports of quick payments of quick payments Timization of the regulatory loading of enterprises opened standard Reporting up107016 Moscow st. Neglinnaya d. 12 K. in Bankruptia Personal cabinet of market participants with investors of insider information of the Bank of Russia of Russia -offering of regulatory acts of the Bank of Russia Projects of the Bank of Russia is listening to non -working holidays and weekends of the website of the website of the website of corruption -free resource version Russia used Cookie. on www.cbr.ru you accept the user agreement to confirm</v>
      </c>
    </row>
    <row r="472">
      <c r="A472" s="1" t="s">
        <v>1529</v>
      </c>
      <c r="B472" s="1" t="s">
        <v>1562</v>
      </c>
      <c r="C472" s="1" t="s">
        <v>1563</v>
      </c>
      <c r="D472" s="1">
        <v>9.0</v>
      </c>
      <c r="E472" s="4" t="s">
        <v>1564</v>
      </c>
      <c r="F472" s="1" t="s">
        <v>43</v>
      </c>
      <c r="I472" s="2"/>
      <c r="J472" s="5" t="str">
        <f>IFERROR(__xludf.DUMMYFUNCTION("GOOGLETRANSLATE(A472)"),"dollar")</f>
        <v>dollar</v>
      </c>
      <c r="K472" s="6" t="str">
        <f>IFERROR(__xludf.DUMMYFUNCTION("GOOGLETRANSLATE(B472)"),"US dollar rate Central Bank of the Russian Federation")</f>
        <v>US dollar rate Central Bank of the Russian Federation</v>
      </c>
      <c r="L472" s="5" t="str">
        <f>IFERROR(__xludf.DUMMYFUNCTION("GOOGLETRANSLATE(C472)"),"US dollar in the Central Bank of the Russian Federation. Current course. View all currency courses. 11.11.2023. For 1 USD. 92,0535. +0,1269. Samples of bills. U.S. dollar. A bill with a face value of 1 USD ...")</f>
        <v>US dollar in the Central Bank of the Russian Federation. Current course. View all currency courses. 11.11.2023. For 1 USD. 92,0535. +0,1269. Samples of bills. U.S. dollar. A bill with a face value of 1 USD ...</v>
      </c>
      <c r="M472" s="5" t="str">
        <f>IFERROR(__xludf.DUMMYFUNCTION("GOOGLETRANSLATE(G472)"),"#VALUE!")</f>
        <v>#VALUE!</v>
      </c>
    </row>
    <row r="473">
      <c r="A473" s="1" t="s">
        <v>1529</v>
      </c>
      <c r="B473" s="1" t="s">
        <v>1565</v>
      </c>
      <c r="C473" s="1" t="s">
        <v>1566</v>
      </c>
      <c r="D473" s="1">
        <v>10.0</v>
      </c>
      <c r="E473" s="4" t="s">
        <v>1567</v>
      </c>
      <c r="F473" s="1" t="s">
        <v>43</v>
      </c>
      <c r="G473" s="1" t="s">
        <v>1568</v>
      </c>
      <c r="H473" s="4" t="s">
        <v>1569</v>
      </c>
      <c r="I473" s="2"/>
      <c r="J473" s="5" t="str">
        <f>IFERROR(__xludf.DUMMYFUNCTION("GOOGLETRANSLATE(A473)"),"dollar")</f>
        <v>dollar</v>
      </c>
      <c r="K473" s="6" t="str">
        <f>IFERROR(__xludf.DUMMYFUNCTION("GOOGLETRANSLATE(B473)"),"Dollar course / Ruble (USD vote / RUB) - Quote.ru")</f>
        <v>Dollar course / Ruble (USD vote / RUB) - Quote.ru</v>
      </c>
      <c r="L473" s="5" t="str">
        <f>IFERROR(__xludf.DUMMYFUNCTION("GOOGLETRANSLATE(C473)"),"The Central Bank of Russia established the official US dollar exchange rate on November 10 in the amount of ₽91,9266, euro - ₽98,4076, Yuan - ₽12,5998. This was reported on the site ...")</f>
        <v>The Central Bank of Russia established the official US dollar exchange rate on November 10 in the amount of ₽91,9266, euro - ₽98,4076, Yuan - ₽12,5998. This was reported on the site ...</v>
      </c>
      <c r="M473" s="5" t="str">
        <f>IFERROR(__xludf.DUMMYFUNCTION("GOOGLETRANSLATE(G473)"),"RBC investments - News of investments of promotions and currency courses - RBC investment Investments of my investment of my investment Bank VTB (PJSC) 0+investment menu of RBC investments of the maintenance of a tag -barn -leggation ... The main quotes o"&amp;"f the Ousd Business Council. 10.11922925+0255EURIBIRZH. 10.11985525-011cnybirzh. 10.1112611+0011brent10.11 8406-0556%USDCB 11.11920535+0127EURTSB 11.11983155-0092CNYCB 11.11125979-0002SDNAL. 06: 4391509356eurnal. 06: 4395001008789EUR/USD10.11 10673-0005BT"&amp;"C/USDBIRZH. 06: 4336 95000-19100IMOEX10.11 3 24206+0066%RTSI10.11 1 10744-0129%SPB1000.11 75124+2046%menu with the key sections of the Sailorbko company Contact information. Placement advertisements CONCLUSEDENTEDENDENTEDDEN RBC ComFortRBK PRORBK NewsIosa"&amp;"ndroid -Rod RBCDOMENTS and KhostingMediapois and analysis Compliance with copyright © Rosbusinessconsulting JSC 1995–2022. Messages and materials of the RBC network edition (registered by the Federal Service for Supervision of the Communications of Inform"&amp;"ation Technologies and Mass Communications (Roskomnadzor) 12/03/2021 behind EL No. FS77-82385) are accompanied by a note ""RBC"". Separate publications may contain information not intended for users under 18 years of age. quote@rbc.ruds are provided: Mosb"&amp;"irzhathomson Reuterskterskt-Petersburg exchange of world financial instruments provided Reuters-based news for the investor directly on the SPb Exchange at a break. Experts about the chances of investors to sell paper that it is a significant transfer to "&amp;"transfer money from a card to a card: 6 ways and detailed instructions of bankerpalladium fell to the levels of 2018 against the backdrop of the transition to the Rusal electricity -resistance against the backdrop of dividends for 9 months of the currency"&amp;" of the currency of the euros And the yuan for the weekend and Monday Central Bank of Russia established the official US dollar exchange rate on November 11–13 in the amount of ₽920535 euros - ₽983155 Yuan - ₽125979. This was reported on the website of th"&amp;"e regulator. According to ... News · Gazprom Neft overturned to the capitalization of the Gazprom maternal company, Gazprom Neft, Gazprom, more expensive than its maternal company. Support for the papers of the subsidiary was provided by the dividend paym"&amp;"ents by shareholding · St. Petersburg Exchange planned to conduct dependent calculations on transactions on November 13, on November 2, on November 2. Since then, trading in foreign assets has been suspended in Sinar, in favor of weakening the ruble in th"&amp;"e middle of November Investbank warned that the repayment of Eurobligations totaling more than ₽2 billion will increase the volatility of the ruble in the second half of November, which means · the Central Bank declared the right of investors from trading"&amp;" from The president’s non -divine non -residential vehicles have made clarity whether Russian investors can trade foreign papers with unfriendly non -residents through foreign brokers. The permission of the right -hand request for such transactions does n"&amp;"ot require the IVTB of my investment capabilities with the investment platform No. VTB Bank (PJSC) 0+News In addition, the company said that the board of directors at a meeting on November 13 will discuss the issue of dividends for nine months of the nine"&amp;" of the Mosbirzha will begin trading with the eternal futures on the Mosbirzhi index from the 14th Mosbirzhi index will have an amount of about ₽30 thousand. The estimated price of the new tool will be determined by the values ​​of the Mosbirzhi index (IM"&amp;"OEX). The contract code of the contract - IMOEXFNOSTS · Sberbank shares rose after reporting for 10 months of Sberbank disclosed the financial results of January - October 2023. The bank’s net profit in 10 months reached ₽126 trillion. Sberbank shares to "&amp;"the report of the report were reacted by RostVTB my investments of tools on the placement platform of VTB Bank (PJSC) 0+Events of the day · Gazprom Neft 8 shares at the evening session Mosbirzhi Index: DigestMosbyrzh will expand the list of papers for the"&amp;" traded at the evening session. Gazprom Neft sd recommended dividends with a yield of 10%. The Mosbirzhi index bounced upwards after oil prices. Events that affect markets · Gazprom Neft declared dividends with a profitability of about 10%to Gazprom Neft "&amp;"oil company announced intermediate dividends for nine months of 2023 in the amount of ₽8294 per share. The dividend yield of such a payment will be about 10%of the news The move process will not end earlier than the second half of 2024 was reported in the"&amp;" company's company Central Bank and St. Petersburg Exchange yet can not reach foreign papers of Russia and St. Petersburg Exchange will use all the actual and legal opportunities to ensure the possibility of resuming foreign papers on the local place · Mo"&amp;"sbirzh allowed to As a bidding of the Yuzhuralzolot shares since November 22, Yuzhuralzoloto plans to hold an IPO on the Mosbirzh until the end of November. From November 22, shares of the gold mining company will be included in the “second level” section"&amp;" of the list of securities admitted to the auction. Trading code - UGLDNOSTE · Central Bank called the viability of St. Petersburg Exchange for its challenge for its management of Russia and St. Petersburg Exchange will use all the actual and legal opport"&amp;"unities to ensure the resumption of trading of foreign papers on the local, the Board of Directors “Fosagro” recommended dividends of ₽291 for September September The shareholders of the Fosagro fertilizer manufacturer did not approved the dividends recom"&amp;"mended by the Board of Directors for the first half of ₽126 for the action · Senator suggested that banks and brokers for long -term savings Nikolai Zhuravlev proposed to allow the PDS in addition to the NPF and other professional participants in the fina"&amp;"ncial market.")</f>
        <v>RBC investments - News of investments of promotions and currency courses - RBC investment Investments of my investment of my investment Bank VTB (PJSC) 0+investment menu of RBC investments of the maintenance of a tag -barn -leggation ... The main quotes of the Ousd Business Council. 10.11922925+0255EURIBIRZH. 10.11985525-011cnybirzh. 10.1112611+0011brent10.11 8406-0556%USDCB 11.11920535+0127EURTSB 11.11983155-0092CNYCB 11.11125979-0002SDNAL. 06: 4391509356eurnal. 06: 4395001008789EUR/USD10.11 10673-0005BTC/USDBIRZH. 06: 4336 95000-19100IMOEX10.11 3 24206+0066%RTSI10.11 1 10744-0129%SPB1000.11 75124+2046%menu with the key sections of the Sailorbko company Contact information. Placement advertisements CONCLUSEDENTEDENDENTEDDEN RBC ComFortRBK PRORBK NewsIosandroid -Rod RBCDOMENTS and KhostingMediapois and analysis Compliance with copyright © Rosbusinessconsulting JSC 1995–2022. Messages and materials of the RBC network edition (registered by the Federal Service for Supervision of the Communications of Information Technologies and Mass Communications (Roskomnadzor) 12/03/2021 behind EL No. FS77-82385) are accompanied by a note "RBC". Separate publications may contain information not intended for users under 18 years of age. quote@rbc.ruds are provided: Mosbirzhathomson Reuterskterskt-Petersburg exchange of world financial instruments provided Reuters-based news for the investor directly on the SPb Exchange at a break. Experts about the chances of investors to sell paper that it is a significant transfer to transfer money from a card to a card: 6 ways and detailed instructions of bankerpalladium fell to the levels of 2018 against the backdrop of the transition to the Rusal electricity -resistance against the backdrop of dividends for 9 months of the currency of the currency of the euros And the yuan for the weekend and Monday Central Bank of Russia established the official US dollar exchange rate on November 11–13 in the amount of ₽920535 euros - ₽983155 Yuan - ₽125979. This was reported on the website of the regulator. According to ... News · Gazprom Neft overturned to the capitalization of the Gazprom maternal company, Gazprom Neft, Gazprom, more expensive than its maternal company. Support for the papers of the subsidiary was provided by the dividend payments by shareholding · St. Petersburg Exchange planned to conduct dependent calculations on transactions on November 13, on November 2, on November 2. Since then, trading in foreign assets has been suspended in Sinar, in favor of weakening the ruble in the middle of November Investbank warned that the repayment of Eurobligations totaling more than ₽2 billion will increase the volatility of the ruble in the second half of November, which means · the Central Bank declared the right of investors from trading from The president’s non -divine non -residential vehicles have made clarity whether Russian investors can trade foreign papers with unfriendly non -residents through foreign brokers. The permission of the right -hand request for such transactions does not require the IVTB of my investment capabilities with the investment platform No. VTB Bank (PJSC) 0+News In addition, the company said that the board of directors at a meeting on November 13 will discuss the issue of dividends for nine months of the nine of the Mosbirzha will begin trading with the eternal futures on the Mosbirzhi index from the 14th Mosbirzhi index will have an amount of about ₽30 thousand. The estimated price of the new tool will be determined by the values ​​of the Mosbirzhi index (IMOEX). The contract code of the contract - IMOEXFNOSTS · Sberbank shares rose after reporting for 10 months of Sberbank disclosed the financial results of January - October 2023. The bank’s net profit in 10 months reached ₽126 trillion. Sberbank shares to the report of the report were reacted by RostVTB my investments of tools on the placement platform of VTB Bank (PJSC) 0+Events of the day · Gazprom Neft 8 shares at the evening session Mosbirzhi Index: DigestMosbyrzh will expand the list of papers for the traded at the evening session. Gazprom Neft sd recommended dividends with a yield of 10%. The Mosbirzhi index bounced upwards after oil prices. Events that affect markets · Gazprom Neft declared dividends with a profitability of about 10%to Gazprom Neft oil company announced intermediate dividends for nine months of 2023 in the amount of ₽8294 per share. The dividend yield of such a payment will be about 10%of the news The move process will not end earlier than the second half of 2024 was reported in the company's company Central Bank and St. Petersburg Exchange yet can not reach foreign papers of Russia and St. Petersburg Exchange will use all the actual and legal opportunities to ensure the possibility of resuming foreign papers on the local place · Mosbirzh allowed to As a bidding of the Yuzhuralzolot shares since November 22, Yuzhuralzoloto plans to hold an IPO on the Mosbirzh until the end of November. From November 22, shares of the gold mining company will be included in the “second level” section of the list of securities admitted to the auction. Trading code - UGLDNOSTE · Central Bank called the viability of St. Petersburg Exchange for its challenge for its management of Russia and St. Petersburg Exchange will use all the actual and legal opportunities to ensure the resumption of trading of foreign papers on the local, the Board of Directors “Fosagro” recommended dividends of ₽291 for September September The shareholders of the Fosagro fertilizer manufacturer did not approved the dividends recommended by the Board of Directors for the first half of ₽126 for the action · Senator suggested that banks and brokers for long -term savings Nikolai Zhuravlev proposed to allow the PDS in addition to the NPF and other professional participants in the financial market.</v>
      </c>
    </row>
    <row r="474">
      <c r="A474" s="1" t="s">
        <v>1529</v>
      </c>
      <c r="B474" s="1" t="s">
        <v>1570</v>
      </c>
      <c r="C474" s="1" t="s">
        <v>1571</v>
      </c>
      <c r="D474" s="1">
        <v>11.0</v>
      </c>
      <c r="E474" s="4" t="s">
        <v>1572</v>
      </c>
      <c r="F474" s="1" t="s">
        <v>43</v>
      </c>
      <c r="G474" s="1" t="s">
        <v>1573</v>
      </c>
      <c r="H474" s="4" t="s">
        <v>1574</v>
      </c>
      <c r="I474" s="2"/>
      <c r="J474" s="5" t="str">
        <f>IFERROR(__xludf.DUMMYFUNCTION("GOOGLETRANSLATE(A474)"),"dollar")</f>
        <v>dollar</v>
      </c>
      <c r="K474" s="6" t="str">
        <f>IFERROR(__xludf.DUMMYFUNCTION("GOOGLETRANSLATE(B474)"),"US dollar exchange rate for today in Russian banks")</f>
        <v>US dollar exchange rate for today in Russian banks</v>
      </c>
      <c r="L474" s="5" t="str">
        <f>IFERROR(__xludf.DUMMYFUNCTION("GOOGLETRANSLATE(C474)"),"The dollar exchange rate for today in Russian banks and all exchangers. A favorable exchange rate and sale of the dollar in Russia, the forecast and dynamics of the exchange rate for tomorrow.")</f>
        <v>The dollar exchange rate for today in Russian banks and all exchangers. A favorable exchange rate and sale of the dollar in Russia, the forecast and dynamics of the exchange rate for tomorrow.</v>
      </c>
      <c r="M474" s="5" t="str">
        <f>IFERROR(__xludf.DUMMYFUNCTION("GOOGLETRANSLATE(G474)"),"Myfin.by | Banks of Belarus. Loans. Deposits. Courses with a currency of payments through a smartphone stroke of the bankship criticism to the best courses to enter cataloging courses currency courses to currencies Kursk -affairs NBRBKUSS Tsbrftorgi BVFBC"&amp;"ACES for large amounts of currencies in the Moscow Current dollarcount RUBRILALAR/RUBLIRECE/DOOD Brumpytebskgomelgodnomogilevpinskour Cryptocurrencies Bitcoin course Ethereumnosynosolokoshelkoshelkoshelkoshelkoshelkaybankiyasias of businessabologists: com"&amp;"panies and experts of Belarus will grow from January 1, the base rate will grow. Who awaits the changes? 11.11.2023 21: 1430159th rise in deposits in national currency - a review of banking changes 08.11.2023 15: 2919826 Is it possible to earn on old thin"&amp;"gs? See what is sold for crazy money 07.11.2023 12: 0019115 What to do if there is not enough salary? Belarusians talked about their additional income 09.11.2023 09: 0015007 ""At the peak it turned out 1100 BYN."" How is a 14-year-old programmer earns at "&amp;"the Smartphone Games 08.11.2023 10: 101454444444444444 Creditors to know his credit ratingkalculinaline application for credit refinancing of the certificate of pensioner-building-Creditycreditis in 5 minutes on myfin is a housing for the purchase 10 letn"&amp;" -codetyteskalculates of the initial contribution to the new autonom -in -law car off the Business Administration of a small business house Legal front businesses with zero ipzayavka for a return and cash register servicemaster of the recruitment of Belar"&amp;"usian Rabbath Rabberevniy Rabbaths in Belarusian rubles irrevocable in Belarusian rubles in Belarusian rubles under high percentage of foreign currency in foreign currency in foreign currency in foreign currency in foreign currency in dollars-highs in for"&amp;"eign currency in foreign currency Those in Russian rubles of cardcredit cards profitable cards with Overdraftatcarts without certificates of card income with the preferential period debit cards master of debit cards, online design card map 2.0 Card Card C"&amp;"ard 100 days Translations from card to card business cataloging Business School Real Estate Investment Companies Credit Brokes Logistics companies Offline casinos Advertising Agencies Insurance Supervision Companies of a small businessman of a small busin"&amp;"essan business with zero iplischny-cash services for Rkomaster Rkotarifi Rkorko Rkorgko for Iptorgovaya Acquiring EkVering in a mobile acquiring MPOS-Terminalposalarendabish-paying equipment of additional equipment of the Internet acquiring platform cash "&amp;"and terminal equipment for stores online Services of the operation with currency to bind the kurnsinline creditership Belwab -red map 2.0 Card 100 days of the transmission of halvetbank: from card to cardbelave: from card to card Foreign currency bonds fo"&amp;"r Godbankovski Orphanage Contractor -Eshadrogen -Essential Soreblabotinaripecarpecaripocrixes Bitcoinakalcalcal Cryptocurrencies Cryptocur Ethere of the Participation and ATM Bank Bank Bank Bank Credit calculator Auto Creditaculator of loans for housing u"&amp;"niversal vehicle currency mobility bookmakers of the Republic of Belarusian -building Opening -Building Forex Forex brokers stay with Myfin.by USDNBRB 3.1775 +0.00.0011 EURNB RB 3.3951 +0.004 100 RUBNBRB 3.4478 -0.0044 10 PLNNNBRB 7.6666 -0.0082 10 CNYNNB"&amp;"RB 4.3545 +0.0053 bitcoin 36 919.6 $ -145.337 Ethereum 2 046.38 $ -1.39413 BNB 248.17 $ --0.15362 Ripple 0.66 $ +0.0091827 Solana $ +0.383857 Torgs on BVFBUSDEURRUB100CNY10 Best courses to shut the Rail ESTVITTVITEBSGOGOGROGROVOMOGEV ONB RB course at 13.1"&amp;"1.2023 BYNUSDEURRRUBUAHPLNBYNUNUSDURRRUBUAHPLN Banks Business Markets. Opinions Life Sports Main Today, the Ministry of Health has raised the maximum vacation prices for the popular anti -allergic drug, the Ministry of Health of Belarus with its resolutio"&amp;"n No. 168 of November 1 increased ... yesterday 08:59 3512 Reading: 1 min. The most popular professions in Minsk are named. Who is on the list? Yesterday 18:08 5633 Reading: 2 min. Betions on deposits in Belarusian and Russian rubles are growing again - a"&amp;"n overview of banking changes yesterday 15:54 5850 Reading: 4 min. Cryptocurrencies in 2023: what affects their future yesterday 16:30 Reading: 4 min. From January 1, a purse in Belarus will grow from January 1. Who is waiting for the changes? The governm"&amp;"ent of our country decided on the next stage of increasing the base ... 11.11.2023 21:14 30159 Reading: 1 min. Place the advertisement for Myfincosterplaces and benefits how to get child care allowance? They explained to the Ministry of Labor in the Minis"&amp;"try of Labor and Social Protection of Belarus reminded when and where necessary ... Yesterday 19:44 1648 Reading: 2 min. Payments and benefits up to 36 thousand rubles - the top of the highest salaries of Minsk in 2023 this year for some employees of Mins"&amp;"k, the nominal accrued average salary ... yesterday 19:31 2315 Reading: 2 min. The Economics of Belarus became the leader in the EAEU on the growth of industrial production, the Eurasian Economic Commission appreciated the dynamics of industrial productio"&amp;"n ... Yesterday 18:37 892 Reading: 1 min. Review of prices in Belarus changed the prices of vegetables in the offseason? They told in March in March claim that in domestic stores the prices of peppers and cucumbers at the beginning ... yesterday 12:31 834"&amp;" Reading: 1 min. Blogitop Tsarovalekander Pankovkaleksandr Mudrikaleksander Vysotskynikit Korneev Yuri Likhutavs Author and hobbies. We looked at how much garages in Minsk cost and what options are available in Minsk many garage cooperatives and individua"&amp;"l boxes where you can leave ... 6341 Reading: 3 min. Companies Domovita4VKFACEBOOKVIBOOKTWITTERDEL COLLECTIONS COMPARE LIST OF APARTMENTS and at what price they are ready to buy? We look at these transactions by the National Cadastral Agency published dat"&amp;"a on residential real estate transactions ... 14665 Reading: 3 min. Companies Domovita7VKFACEBOOKVIBOOKVIBERETERDELLECENTS Copy the link how much it costs to rent a cottage for the New Year - looked at the prices and interiors of the New Year and Christma"&amp;"s - the holidays of which are accepted to celebrate in Circle of close families ... 8684 Reading: 4 min. Companies Domovita10VKFACEBOOKVIBOOKVIBERTWITTERBALSARS COMPARATION OF THE SNAKIT-COVERY SPECIALS DECHIENTS BELIRUS BEARS-BELSTAT told Belstat for a n"&amp;"umber of food products, you are satisfied mainly ... Yesterday 20:10 538 Reading: 1 min. The Belarusian company fell under the reinforced control of Rosselkhoznadzor yesterday 19:55 1139 Reading: 1 min. Italy increases the export of coffee. Are there any "&amp;"supply to Belarus? Yesterday 16:48 1466 Reading: 1 min. Currency courses for November 12, 2023: currencies went to growth yesterday 13:10 1320 Reading: 2 min. How much did bitcoin and other cryptocurrencies grow? We look at the courses yesterday 09:00 827"&amp;" Reading: 1 min. How much Belarus earns on the export of butter 10.11.2023 17:55 4625 Reading: 2 min. Currencies for November 11, 2023 - the dollar again rose on 11.11.2023 13:10 14107 Reading: 2 min. More from the column-free-producing creampread paperig"&amp;"etallyalitics, free currency exchange rates and converter in the mobile application Myfin, Pull your phone on the QR code and install our mobile application banks, which banks are selected by Belarusians. 10.11 .2023 19:33 5286 Reading: 1 min. Reviews are"&amp;" a new package of RKO and instant payments to Russia by phone number - a review of banking changes this time in the traditional review did not find a place for the usual redesigning domestic ... 11.11.2023 16:51 2245 Reading: 3 min. Loans and deposits The"&amp;" share of ruble deposits continues to grow but more than less investors in the country - the National Bank statistics National Bank of Belarus have submitted data on the attraction of urgent banking ... 10.11.2023 12:05 5070 Reading: 1 min. MyFin-consumer"&amp;" loans-user-core-codium-credit cards of the Card-West Cardeuvods for Halveonline Services of Ilon Mask will remove the film-in the Oscar’s chair, the Bayopic about the richest man of modernity will work well ... yesterday 11:21 707 Reading: 1 min. Weather"&amp;" in Belarus for 3 days: moderately cool up to +11 ° C windy 10.11.2023 11:20 3316 Reading: 1 min. The new Belavia charters will begin to fly from two regional centers for the resorts of Egypt and Turkey 10.11.2023 11:15 10131 Reading: 1 min. What will cha"&amp;"nge when using family capital to receive medical care? 09.11.2023 18:38 1812 Reading: 1 min. Hollywood actors will stop the strike - the studios made concessions. What was managed to achieve? 09.11.2023 11:58 1920 Reading: 2 min. The Picasso's canvas that"&amp;" has gone from the hammer became the second in cost among the artist’s works 09.11.2023 09:18 1834 Reading: 1 min. The sale of tickets for trains to Russia is opened by departure from January 1 - we watch possible discounts 08.11.2023 10:18 5216 Reading: "&amp;"1 min. More from the Rubrication of the Cracant of the Success Success Success Succarms Gistory Free MYFIN application, currencies and converter in the mobile application Myfin, Enter the camera on the QR code and install our mobile application of partner"&amp;"s' news The best prices for apartments in the Karibian house. The start of sales in the quarter ""Australia and Oceania"" Hurry up: price from 1040 euros per square meter! The proposal is limited. Legal regime ... 11/09/2023 09:31 Reading: 6 min. House """&amp;"Caribian"" at Minsk World. The start of sales on the holiday! The Minsk World-builder company congratulates its clients of the present and future ... 07.11.2023 09:00 Reading: 6 min. Only 4 days! Special prices in Minsk World from November 3 to 6 inclusiv"&amp;"e the developer of the Adriatic complex and 2 for a number of apartments ... 02.11.2023 09:37 Reading: 9 min. The largest event in the digital assets market is the ICO of Freto investment tokens on the FinStore.by online platform Russian investment holdin"&amp;"g Atalaya announced on November 1 ICO new ... 11.11.2023 15:29 Reading: 2 minutes. Belarusireti sports bookmakers how much should be paid to athletes for prizes - the Government of Belarus has been identified in the Council of People's Commissars of Decre"&amp;"e No. 711 of October 23, which is established ... 10.24.2023 09:33 8197 Reading: 1 min. Special Project Return of Gancharenko to Borisov. Our view of the match Betera Fair Play of the team of the Major League of Belarus with the Urals Viktor Gancharenko r"&amp;"eturned to Borisov. But unfortunately for many Belarusian football ... 10/18/2023 19:27 8943 Reading: 5 min. The ratings of the highest paid football players of 2023 - Forbes list of Forbes Magazine presented its annual rating of the highest paid football"&amp;" players ... 10/13/2023 10:54 10746 Reading: 2 min. The championships of the football Barcelona turned out to be an impressive debt for transfers. There may be problems? The Spanish club who has been left for more than a year for the tens of millions of e"&amp;"uros ... 10.10.2023 15:15 5012 Reading: 1 min. Technology Soft &amp; Hardware Leica released the world's first camera with technology for protecting the authenticity of pictures by the German brand of photographic equipment Leica released a new M11-P camera t"&amp;"hat was the first in ... 11/01/2023 14:44 4093 Reading: 1 min. It is interesting to know Yandex will begin to delete inactive accounts. What does it mean? Yandex ID updated the policy of the expression of inactive accounts. The service will delete ... 10/"&amp;"25/2023 21:20 5118 Reading: 1 min. Soft &amp; Hardware Technique of Xiaomi techniques in Belarus and Russia faced a large -scale failure. What's the matter? In various regions of Russia and Belarus, the owners of the Chinese brand devices at the same time ..."&amp;" 05.10.2023 09:32 8216 Reading: 1 min. ChatGPT innovations have learned to talk and answer messages with pictures of artificial intelligence platform Chatgpt can now “see hearing and speaking” ... 09/27/2023 11:11 5854 Reading: 2 min. News of internationa"&amp;"l companies in the world market of online foods have grown to $ 1 trillion. How will it develop in the coming years? The analytical platform Ecommercedb in its review demonstrates the main trends ... 11.11.2023 14:43 1173 Reading: 3 min. The net profit of"&amp;" Eurotorg exceeds last year. How much? 08.11.2023 12:17 6050 Reading: 1 min. In the afternoon - an accountant in the evening - a puppet fairy. As a large mother founded a brand of unusual toys 03.11.2023 07:00 6485 Reading: 6 min. The trademark of the Bel"&amp;"arusian manufacturer of tobacco products was confiscated in Finland. How is that? 02.11.2023 11:18 10738 Reading: 1 min. Delivery and part of the Island of Cleanliness and Taste stores does not work: what is happening with the largest household chemical n"&amp;"etwork 02.11.2023 07:00 18663 Reading: 3 min. How much does a lie detector check and what it leads to: the experience of the Belarusian 01.11.2023 13:35 15232 Reading: 5 minutes. The core of the packaging for 13 years: in Belarus “changed” the famous bran"&amp;"d 01.11.2023 11:48 10423 Reading: 1 min. Read to those legram vehicles of Belarus and St. Petersburg exceeded $ 22 billion 04/20/2023 20:48 The new resident of the Great Stone will produce computers and components on 03/29/2023 20:59 In Belarus, the growt"&amp;"h of electricity consumption 03/23/2023 19:16 Promotive production in Belarus decreased At 18% in January - February 17.03.2023 20:29 Opinions are an interdependent expert what will be the dollar and euros after a long weekend. The forecast for currencies"&amp;", as we suggested in the previous forecast, the US dollar exchange rate on the Belarusian currency ... Mikhail Grachev expert of the stock market financial consultant dollar and euro cheaper for a reason: why it was possible to restrain the growth of Vadi"&amp;"m Issubfinance analyst the dollar try to restrain the euro remains under pressure. Forecast for currencies Mikhail Grachev expert of the stock market financial consultant Results of the currency market: the dollar and the euro are decreasing. How long wil"&amp;"l the cheap currency be available? Vadim Josubfinance Analyst the currency forecast: are we waiting for a cheap dollar at the end of October? Mikhail Grachev expert of the stock market financial consultant forecast for currencies: the ruble rate was order"&amp;"ed to ""stand still."" Will it work? Mikhail Grachev expert of the stock market financial consultant, the dollar set the record and retreated - is this for a long time? Results of the currency market Vadim Iosubfinance analyst, take a career on the YouTub"&amp;"erakh of the Messi Ronaldo: the brightest moments of the most expensive sports event of 2022 years are barely enough before the salary? Here are 3 steps to financial freedom of the Belarusian McDonald’s will work under the Russian brand “Tasty - and Point"&amp;"”. The details of Enterprise Agile Russiav Moscow on November 17 will host an annual conference on acceleration of large companies using the Framws of Enterprise Agility. What will happen at the event and who will be interested in? VIII All-Russian HR ana"&amp;"lytics forum on November17 in Moscow MK Group holds an annual forum that collects the most interesting developments from the market in both large and small companies. The conference program will collect a successful practice in the field of HR analytics f"&amp;"rom companies that, by analyzing data, have been able to invest on the efficiency of business processes of the organization. Conference “Digital Learning 2023: Results of the year” will take place in Moscow on November 16. Experts in the field of online l"&amp;"earning from leading companies will discuss key training trends of the best cases in training and instruments for evaluating training effectiveness. Conference “Improving the efficiency of corporate business processes” November 14-15, 2023 will host the 1"&amp;"6th conference “Improving the efficiency of corporate business processes” in Moskvek. This was the eighth exhibition “Commonwealth” in Minsk: inspiration training and new business communications in the Belarusian capital On October 5, the eighth exhibitio"&amp;"n-presentation of marketing ... 10.2023 15:50 7836 Reading: 1 min. About the aromas of neuromarketing and successful business. How the annual AMDG CLUB meeting went on Wednesday September 13, an annual closed AMDG Club event for the largest ... 09/18/2023"&amp;" 14:43 8517 Reading: 1 min. Revera Law Group lawyers have successfully accompanied the SEED investment round in Made on Earth Games Made on Earth Games - this is founded by Yuri Krasilnikov and Alexei Ilyin Young Game ... 02/02/2023 15:31 9200 Reading: 1 "&amp;"min. The first beach volleyball tournament for Sportup organizations recently on August 13 in Minsk with the support of Sportmaster ""Exponenta"" ""Darida"" and others. Has ... 09/01/2023 08:30 3892 Reading: 1 min. Reviews about the banksws reviews 08.11."&amp;"2023 18:16 Andrei G. Minsk, when ordering a certificate through the personal account, it was required to enter the delivery address. Despite this, they sent to the registration address. For some reason, the address of the address was introduced in ... all"&amp;" the reviews of Priorbank 02.10.2023 16:26 Nadezhda G. Minsk was in the RCC 60 on the street. Svislochskaya 9. I want to express my gratitude to the employee Janusz Daria. For competent communication for quick and clear maintenance. From such workers ... "&amp;"All reviews of “MTBANK” 07/07/2023 6:24 Natalya Tereshchenko G. Minsk Department 510/522, Minskovye, I am a great gratitude to the employee of the Bank Zazhkova Natalia for full and exhaustive information on all the issues of assistance ... All reviews “B"&amp;"elarusbank” 08/15/2023 20:52 Elena G. Orsha I want to express gratitude to the employees of Belgazprombank OJSC TsBU 202. Orshiv, particular Vashchinnikova D. For a professionalism -contact approach to visitors. Available ... All the reviews of Belgazprom"&amp;"bank 07/27/2023 21:28 Sergey Grodno everything was fine in the personal account of the Internet banking recently: informatively conveniently quickly. Why were changes needed? I don’t want to criticize but objectively ... All the reviews of “Cbering Bank” "&amp;"05/22/2023 15:55 Ivanna G. Stolin I want to leave a positive review about the bank’s employees. Always polite and competent serve quickly and efficiently. Thank you! It is always nice to be your customers. ... All reviews of ""Belagroprombank"" 07/07/2023"&amp;" 14:48 Oksana G. Molodechno good afternoon! 04.04.2023 signed a loan agreement with Belinvestbank by decree 240. I want to express my gratitude from our large family to the economist of the Central Bank 932. Molodny ... All reviews of Belinvestbank Mobile"&amp;" application Corrector Loans and Bank Addresses Course Courses and Corpses Country B Mobile application Myfin, Pull your phone on the QR code and install our mobile application Currency and converter courses in the Myfin mobile application, Put your phone"&amp;" camera on the QR code and install our mobile application currencies and converter in the mobile application Myfin on the Mobile Appendix QR code and install our mobile application open in Appgallery popular banking products of credit card loans without c"&amp;"ertificates for construction-proceeding of loans in foreign currency benefits in Bel. Rabbits in the dollarspupular bankerbelarusbankbankbankbankpronbankbankbankbankbankalf Bankbank Belwebbelgazprombankprombankbankbankbank VTB (Belarus) Bank Babytbnbnbnbn"&amp;"bnparitbanktkanbankbankbskovania Bankalcalcocaculate Credit Creditite Credit Credit of Credit Credit of Credit for Zhilkios. Ekalculator Auto Credit Credit Cryptocurrencycapon of the Linery -Pacific Ligat Academy of Sciences Banking Terminating from a car"&amp;"d to a card -card of selection of the selection of the selection of credit fluid exchange rates remain with Myfin.by about the project of the company's confidentiality agreements of the confidentiality agreements. PTMYFIN. FRMYFIN.UKMYFIN.ESRU.MYFIN.BYMYF"&amp;"IN.OOOO ""MIFIN"" UNP 192711843. The maintenance of the site is not a recommendation or offer and is information and reference in nature. © 2012-2023 Myfin.by, the application unfortunately, at the moment, an online application for a package is not availa"&amp;"ble, you can leave an application for RKO in “To refinancing without guarantors” submit an application to send an application to the bank. A bank employee will contact you in the near future. Submit an application or registration or create your personal a"&amp;"ccount in Myfin television name Continue by clicking the “Continue” button you consent to the processing of personal data, Continue ""You agree to the processing of personal data are registered! Phone number: Continue")</f>
        <v>Myfin.by | Banks of Belarus. Loans. Deposits. Courses with a currency of payments through a smartphone stroke of the bankship criticism to the best courses to enter cataloging courses currency courses to currencies Kursk -affairs NBRBKUSS Tsbrftorgi BVFBCACES for large amounts of currencies in the Moscow Current dollarcount RUBRILALAR/RUBLIRECE/DOOD Brumpytebskgomelgodnomogilevpinskour Cryptocurrencies Bitcoin course Ethereumnosynosolokoshelkoshelkoshelkoshelkoshelkaybankiyasias of businessabologists: companies and experts of Belarus will grow from January 1, the base rate will grow. Who awaits the changes? 11.11.2023 21: 1430159th rise in deposits in national currency - a review of banking changes 08.11.2023 15: 2919826 Is it possible to earn on old things? See what is sold for crazy money 07.11.2023 12: 0019115 What to do if there is not enough salary? Belarusians talked about their additional income 09.11.2023 09: 0015007 "At the peak it turned out 1100 BYN." How is a 14-year-old programmer earns at the Smartphone Games 08.11.2023 10: 101454444444444444 Creditors to know his credit ratingkalculinaline application for credit refinancing of the certificate of pensioner-building-Creditycreditis in 5 minutes on myfin is a housing for the purchase 10 letn -codetyteskalculates of the initial contribution to the new autonom -in -law car off the Business Administration of a small business house Legal front businesses with zero ipzayavka for a return and cash register servicemaster of the recruitment of Belarusian Rabbath Rabberevniy Rabbaths in Belarusian rubles irrevocable in Belarusian rubles in Belarusian rubles under high percentage of foreign currency in foreign currency in foreign currency in foreign currency in foreign currency in dollars-highs in foreign currency in foreign currency Those in Russian rubles of cardcredit cards profitable cards with Overdraftatcarts without certificates of card income with the preferential period debit cards master of debit cards, online design card map 2.0 Card Card Card 100 days Translations from card to card business cataloging Business School Real Estate Investment Companies Credit Brokes Logistics companies Offline casinos Advertising Agencies Insurance Supervision Companies of a small businessman of a small businessan business with zero iplischny-cash services for Rkomaster Rkotarifi Rkorko Rkorgko for Iptorgovaya Acquiring EkVering in a mobile acquiring MPOS-Terminalposalarendabish-paying equipment of additional equipment of the Internet acquiring platform cash and terminal equipment for stores online Services of the operation with currency to bind the kurnsinline creditership Belwab -red map 2.0 Card 100 days of the transmission of halvetbank: from card to cardbelave: from card to card Foreign currency bonds for Godbankovski Orphanage Contractor -Eshadrogen -Essential Soreblabotinaripecarpecaripocrixes Bitcoinakalcalcal Cryptocurrencies Cryptocur Ethere of the Participation and ATM Bank Bank Bank Bank Credit calculator Auto Creditaculator of loans for housing universal vehicle currency mobility bookmakers of the Republic of Belarusian -building Opening -Building Forex Forex brokers stay with Myfin.by USDNBRB 3.1775 +0.00.0011 EURNB RB 3.3951 +0.004 100 RUBNBRB 3.4478 -0.0044 10 PLNNNBRB 7.6666 -0.0082 10 CNYNNBRB 4.3545 +0.0053 bitcoin 36 919.6 $ -145.337 Ethereum 2 046.38 $ -1.39413 BNB 248.17 $ --0.15362 Ripple 0.66 $ +0.0091827 Solana $ +0.383857 Torgs on BVFBUSDEURRUB100CNY10 Best courses to shut the Rail ESTVITTVITEBSGOGOGROGROVOMOGEV ONB RB course at 13.11.2023 BYNUSDEURRRUBUAHPLNBYNUNUSDURRRUBUAHPLN Banks Business Markets. Opinions Life Sports Main Today, the Ministry of Health has raised the maximum vacation prices for the popular anti -allergic drug, the Ministry of Health of Belarus with its resolution No. 168 of November 1 increased ... yesterday 08:59 3512 Reading: 1 min. The most popular professions in Minsk are named. Who is on the list? Yesterday 18:08 5633 Reading: 2 min. Betions on deposits in Belarusian and Russian rubles are growing again - an overview of banking changes yesterday 15:54 5850 Reading: 4 min. Cryptocurrencies in 2023: what affects their future yesterday 16:30 Reading: 4 min. From January 1, a purse in Belarus will grow from January 1. Who is waiting for the changes? The government of our country decided on the next stage of increasing the base ... 11.11.2023 21:14 30159 Reading: 1 min. Place the advertisement for Myfincosterplaces and benefits how to get child care allowance? They explained to the Ministry of Labor in the Ministry of Labor and Social Protection of Belarus reminded when and where necessary ... Yesterday 19:44 1648 Reading: 2 min. Payments and benefits up to 36 thousand rubles - the top of the highest salaries of Minsk in 2023 this year for some employees of Minsk, the nominal accrued average salary ... yesterday 19:31 2315 Reading: 2 min. The Economics of Belarus became the leader in the EAEU on the growth of industrial production, the Eurasian Economic Commission appreciated the dynamics of industrial production ... Yesterday 18:37 892 Reading: 1 min. Review of prices in Belarus changed the prices of vegetables in the offseason? They told in March in March claim that in domestic stores the prices of peppers and cucumbers at the beginning ... yesterday 12:31 834 Reading: 1 min. Blogitop Tsarovalekander Pankovkaleksandr Mudrikaleksander Vysotskynikit Korneev Yuri Likhutavs Author and hobbies. We looked at how much garages in Minsk cost and what options are available in Minsk many garage cooperatives and individual boxes where you can leave ... 6341 Reading: 3 min. Companies Domovita4VKFACEBOOKVIBOOKTWITTERDEL COLLECTIONS COMPARE LIST OF APARTMENTS and at what price they are ready to buy? We look at these transactions by the National Cadastral Agency published data on residential real estate transactions ... 14665 Reading: 3 min. Companies Domovita7VKFACEBOOKVIBOOKVIBERETERDELLECENTS Copy the link how much it costs to rent a cottage for the New Year - looked at the prices and interiors of the New Year and Christmas - the holidays of which are accepted to celebrate in Circle of close families ... 8684 Reading: 4 min. Companies Domovita10VKFACEBOOKVIBOOKVIBERTWITTERBALSARS COMPARATION OF THE SNAKIT-COVERY SPECIALS DECHIENTS BELIRUS BEARS-BELSTAT told Belstat for a number of food products, you are satisfied mainly ... Yesterday 20:10 538 Reading: 1 min. The Belarusian company fell under the reinforced control of Rosselkhoznadzor yesterday 19:55 1139 Reading: 1 min. Italy increases the export of coffee. Are there any supply to Belarus? Yesterday 16:48 1466 Reading: 1 min. Currency courses for November 12, 2023: currencies went to growth yesterday 13:10 1320 Reading: 2 min. How much did bitcoin and other cryptocurrencies grow? We look at the courses yesterday 09:00 827 Reading: 1 min. How much Belarus earns on the export of butter 10.11.2023 17:55 4625 Reading: 2 min. Currencies for November 11, 2023 - the dollar again rose on 11.11.2023 13:10 14107 Reading: 2 min. More from the column-free-producing creampread paperigetallyalitics, free currency exchange rates and converter in the mobile application Myfin, Pull your phone on the QR code and install our mobile application banks, which banks are selected by Belarusians. 10.11 .2023 19:33 5286 Reading: 1 min. Reviews are a new package of RKO and instant payments to Russia by phone number - a review of banking changes this time in the traditional review did not find a place for the usual redesigning domestic ... 11.11.2023 16:51 2245 Reading: 3 min. Loans and deposits The share of ruble deposits continues to grow but more than less investors in the country - the National Bank statistics National Bank of Belarus have submitted data on the attraction of urgent banking ... 10.11.2023 12:05 5070 Reading: 1 min. MyFin-consumer loans-user-core-codium-credit cards of the Card-West Cardeuvods for Halveonline Services of Ilon Mask will remove the film-in the Oscar’s chair, the Bayopic about the richest man of modernity will work well ... yesterday 11:21 707 Reading: 1 min. Weather in Belarus for 3 days: moderately cool up to +11 ° C windy 10.11.2023 11:20 3316 Reading: 1 min. The new Belavia charters will begin to fly from two regional centers for the resorts of Egypt and Turkey 10.11.2023 11:15 10131 Reading: 1 min. What will change when using family capital to receive medical care? 09.11.2023 18:38 1812 Reading: 1 min. Hollywood actors will stop the strike - the studios made concessions. What was managed to achieve? 09.11.2023 11:58 1920 Reading: 2 min. The Picasso's canvas that has gone from the hammer became the second in cost among the artist’s works 09.11.2023 09:18 1834 Reading: 1 min. The sale of tickets for trains to Russia is opened by departure from January 1 - we watch possible discounts 08.11.2023 10:18 5216 Reading: 1 min. More from the Rubrication of the Cracant of the Success Success Success Succarms Gistory Free MYFIN application, currencies and converter in the mobile application Myfin, Enter the camera on the QR code and install our mobile application of partners' news The best prices for apartments in the Karibian house. The start of sales in the quarter "Australia and Oceania" Hurry up: price from 1040 euros per square meter! The proposal is limited. Legal regime ... 11/09/2023 09:31 Reading: 6 min. House "Caribian" at Minsk World. The start of sales on the holiday! The Minsk World-builder company congratulates its clients of the present and future ... 07.11.2023 09:00 Reading: 6 min. Only 4 days! Special prices in Minsk World from November 3 to 6 inclusive the developer of the Adriatic complex and 2 for a number of apartments ... 02.11.2023 09:37 Reading: 9 min. The largest event in the digital assets market is the ICO of Freto investment tokens on the FinStore.by online platform Russian investment holding Atalaya announced on November 1 ICO new ... 11.11.2023 15:29 Reading: 2 minutes. Belarusireti sports bookmakers how much should be paid to athletes for prizes - the Government of Belarus has been identified in the Council of People's Commissars of Decree No. 711 of October 23, which is established ... 10.24.2023 09:33 8197 Reading: 1 min. Special Project Return of Gancharenko to Borisov. Our view of the match Betera Fair Play of the team of the Major League of Belarus with the Urals Viktor Gancharenko returned to Borisov. But unfortunately for many Belarusian football ... 10/18/2023 19:27 8943 Reading: 5 min. The ratings of the highest paid football players of 2023 - Forbes list of Forbes Magazine presented its annual rating of the highest paid football players ... 10/13/2023 10:54 10746 Reading: 2 min. The championships of the football Barcelona turned out to be an impressive debt for transfers. There may be problems? The Spanish club who has been left for more than a year for the tens of millions of euros ... 10.10.2023 15:15 5012 Reading: 1 min. Technology Soft &amp; Hardware Leica released the world's first camera with technology for protecting the authenticity of pictures by the German brand of photographic equipment Leica released a new M11-P camera that was the first in ... 11/01/2023 14:44 4093 Reading: 1 min. It is interesting to know Yandex will begin to delete inactive accounts. What does it mean? Yandex ID updated the policy of the expression of inactive accounts. The service will delete ... 10/25/2023 21:20 5118 Reading: 1 min. Soft &amp; Hardware Technique of Xiaomi techniques in Belarus and Russia faced a large -scale failure. What's the matter? In various regions of Russia and Belarus, the owners of the Chinese brand devices at the same time ... 05.10.2023 09:32 8216 Reading: 1 min. ChatGPT innovations have learned to talk and answer messages with pictures of artificial intelligence platform Chatgpt can now “see hearing and speaking” ... 09/27/2023 11:11 5854 Reading: 2 min. News of international companies in the world market of online foods have grown to $ 1 trillion. How will it develop in the coming years? The analytical platform Ecommercedb in its review demonstrates the main trends ... 11.11.2023 14:43 1173 Reading: 3 min. The net profit of Eurotorg exceeds last year. How much? 08.11.2023 12:17 6050 Reading: 1 min. In the afternoon - an accountant in the evening - a puppet fairy. As a large mother founded a brand of unusual toys 03.11.2023 07:00 6485 Reading: 6 min. The trademark of the Belarusian manufacturer of tobacco products was confiscated in Finland. How is that? 02.11.2023 11:18 10738 Reading: 1 min. Delivery and part of the Island of Cleanliness and Taste stores does not work: what is happening with the largest household chemical network 02.11.2023 07:00 18663 Reading: 3 min. How much does a lie detector check and what it leads to: the experience of the Belarusian 01.11.2023 13:35 15232 Reading: 5 minutes. The core of the packaging for 13 years: in Belarus “changed” the famous brand 01.11.2023 11:48 10423 Reading: 1 min. Read to those legram vehicles of Belarus and St. Petersburg exceeded $ 22 billion 04/20/2023 20:48 The new resident of the Great Stone will produce computers and components on 03/29/2023 20:59 In Belarus, the growth of electricity consumption 03/23/2023 19:16 Promotive production in Belarus decreased At 18% in January - February 17.03.2023 20:29 Opinions are an interdependent expert what will be the dollar and euros after a long weekend. The forecast for currencies, as we suggested in the previous forecast, the US dollar exchange rate on the Belarusian currency ... Mikhail Grachev expert of the stock market financial consultant dollar and euro cheaper for a reason: why it was possible to restrain the growth of Vadim Issubfinance analyst the dollar try to restrain the euro remains under pressure. Forecast for currencies Mikhail Grachev expert of the stock market financial consultant Results of the currency market: the dollar and the euro are decreasing. How long will the cheap currency be available? Vadim Josubfinance Analyst the currency forecast: are we waiting for a cheap dollar at the end of October? Mikhail Grachev expert of the stock market financial consultant forecast for currencies: the ruble rate was ordered to "stand still." Will it work? Mikhail Grachev expert of the stock market financial consultant, the dollar set the record and retreated - is this for a long time? Results of the currency market Vadim Iosubfinance analyst, take a career on the YouTuberakh of the Messi Ronaldo: the brightest moments of the most expensive sports event of 2022 years are barely enough before the salary? Here are 3 steps to financial freedom of the Belarusian McDonald’s will work under the Russian brand “Tasty - and Point”. The details of Enterprise Agile Russiav Moscow on November 17 will host an annual conference on acceleration of large companies using the Framws of Enterprise Agility. What will happen at the event and who will be interested in? VIII All-Russian HR analytics forum on November17 in Moscow MK Group holds an annual forum that collects the most interesting developments from the market in both large and small companies. The conference program will collect a successful practice in the field of HR analytics from companies that, by analyzing data, have been able to invest on the efficiency of business processes of the organization. Conference “Digital Learning 2023: Results of the year” will take place in Moscow on November 16. Experts in the field of online learning from leading companies will discuss key training trends of the best cases in training and instruments for evaluating training effectiveness. Conference “Improving the efficiency of corporate business processes” November 14-15, 2023 will host the 16th conference “Improving the efficiency of corporate business processes” in Moskvek. This was the eighth exhibition “Commonwealth” in Minsk: inspiration training and new business communications in the Belarusian capital On October 5, the eighth exhibition-presentation of marketing ... 10.2023 15:50 7836 Reading: 1 min. About the aromas of neuromarketing and successful business. How the annual AMDG CLUB meeting went on Wednesday September 13, an annual closed AMDG Club event for the largest ... 09/18/2023 14:43 8517 Reading: 1 min. Revera Law Group lawyers have successfully accompanied the SEED investment round in Made on Earth Games Made on Earth Games - this is founded by Yuri Krasilnikov and Alexei Ilyin Young Game ... 02/02/2023 15:31 9200 Reading: 1 min. The first beach volleyball tournament for Sportup organizations recently on August 13 in Minsk with the support of Sportmaster "Exponenta" "Darida" and others. Has ... 09/01/2023 08:30 3892 Reading: 1 min. Reviews about the banksws reviews 08.11.2023 18:16 Andrei G. Minsk, when ordering a certificate through the personal account, it was required to enter the delivery address. Despite this, they sent to the registration address. For some reason, the address of the address was introduced in ... all the reviews of Priorbank 02.10.2023 16:26 Nadezhda G. Minsk was in the RCC 60 on the street. Svislochskaya 9. I want to express my gratitude to the employee Janusz Daria. For competent communication for quick and clear maintenance. From such workers ... All reviews of “MTBANK” 07/07/2023 6:24 Natalya Tereshchenko G. Minsk Department 510/522, Minskovye, I am a great gratitude to the employee of the Bank Zazhkova Natalia for full and exhaustive information on all the issues of assistance ... All reviews “Belarusbank” 08/15/2023 20:52 Elena G. Orsha I want to express gratitude to the employees of Belgazprombank OJSC TsBU 202. Orshiv, particular Vashchinnikova D. For a professionalism -contact approach to visitors. Available ... All the reviews of Belgazprombank 07/27/2023 21:28 Sergey Grodno everything was fine in the personal account of the Internet banking recently: informatively conveniently quickly. Why were changes needed? I don’t want to criticize but objectively ... All the reviews of “Cbering Bank” 05/22/2023 15:55 Ivanna G. Stolin I want to leave a positive review about the bank’s employees. Always polite and competent serve quickly and efficiently. Thank you! It is always nice to be your customers. ... All reviews of "Belagroprombank" 07/07/2023 14:48 Oksana G. Molodechno good afternoon! 04.04.2023 signed a loan agreement with Belinvestbank by decree 240. I want to express my gratitude from our large family to the economist of the Central Bank 932. Molodny ... All reviews of Belinvestbank Mobile application Corrector Loans and Bank Addresses Course Courses and Corpses Country B Mobile application Myfin, Pull your phone on the QR code and install our mobile application Currency and converter courses in the Myfin mobile application, Put your phone camera on the QR code and install our mobile application currencies and converter in the mobile application Myfin on the Mobile Appendix QR code and install our mobile application open in Appgallery popular banking products of credit card loans without certificates for construction-proceeding of loans in foreign currency benefits in Bel. Rabbits in the dollarspupular bankerbelarusbankbankbankbankpronbankbankbankbankbankalf Bankbank Belwebbelgazprombankprombankbankbankbank VTB (Belarus) Bank Babytbnbnbnbnbnparitbanktkanbankbankbskovania Bankalcalcocaculate Credit Creditite Credit Credit of Credit Credit of Credit for Zhilkios. Ekalculator Auto Credit Credit Cryptocurrencycapon of the Linery -Pacific Ligat Academy of Sciences Banking Terminating from a card to a card -card of selection of the selection of the selection of credit fluid exchange rates remain with Myfin.by about the project of the company's confidentiality agreements of the confidentiality agreements. PTMYFIN. FRMYFIN.UKMYFIN.ESRU.MYFIN.BYMYFIN.OOOO "MIFIN" UNP 192711843. The maintenance of the site is not a recommendation or offer and is information and reference in nature. © 2012-2023 Myfin.by, the application unfortunately, at the moment, an online application for a package is not available, you can leave an application for RKO in “To refinancing without guarantors” submit an application to send an application to the bank. A bank employee will contact you in the near future. Submit an application or registration or create your personal account in Myfin television name Continue by clicking the “Continue” button you consent to the processing of personal data, Continue "You agree to the processing of personal data are registered! Phone number: Continue</v>
      </c>
    </row>
    <row r="475">
      <c r="A475" s="1" t="s">
        <v>1529</v>
      </c>
      <c r="B475" s="1" t="s">
        <v>1575</v>
      </c>
      <c r="C475" s="1" t="s">
        <v>1576</v>
      </c>
      <c r="D475" s="1">
        <v>12.0</v>
      </c>
      <c r="E475" s="4" t="s">
        <v>1577</v>
      </c>
      <c r="F475" s="1" t="s">
        <v>43</v>
      </c>
      <c r="G475" s="1" t="s">
        <v>1578</v>
      </c>
      <c r="H475" s="4" t="s">
        <v>1579</v>
      </c>
      <c r="I475" s="2"/>
      <c r="J475" s="5" t="str">
        <f>IFERROR(__xludf.DUMMYFUNCTION("GOOGLETRANSLATE(A475)"),"dollar")</f>
        <v>dollar</v>
      </c>
      <c r="K475" s="6" t="str">
        <f>IFERROR(__xludf.DUMMYFUNCTION("GOOGLETRANSLATE(B475)"),"Sberometer - dollar and euro for tomorrow")</f>
        <v>Sberometer - dollar and euro for tomorrow</v>
      </c>
      <c r="L475" s="5" t="str">
        <f>IFERROR(__xludf.DUMMYFUNCTION("GOOGLETRANSLATE(C475)"),"Sberometer is a tool for measuring and preserving savings: tips, current currency rates, dollar and euros for tomorrow, official exchange rates of the Central Bank of the Russian Federation.")</f>
        <v>Sberometer is a tool for measuring and preserving savings: tips, current currency rates, dollar and euros for tomorrow, official exchange rates of the Central Bank of the Russian Federation.</v>
      </c>
      <c r="M475" s="5" t="str">
        <f>IFERROR(__xludf.DUMMYFUNCTION("GOOGLETRANSLATE(G475)"),"Sberometer - dollar and euro for tomorrow, the dollar and euro now and tomorrow at USD: EUR: Yuan: Oil (Brent): BTC: Currency Currency Currencies Banking -Banking Investigation in gold conservation in gold and conservation of aquartiralyonline: USDEura TO"&amp;": Find out the course earlier than the exchanger unofficial exchange rate on USD dollaruuan -yuan -ears / dollardollar / yuanmobirzhartzarzhartesolotobitcoinethereumeur dollaria -yuan -eagleuro / dollardollar / yuanmobirzhartesolotcoinethereumuyuinetherev"&amp;"roe / dollardsno / Yuanmobirzhartetsno Ptesolotobitcoinethereumeur / USD dollaruuan -eagle -eagle / dollardollar / yuanmobirzhartzartsolotobitcoinethereum -core: dollar oil gold shares of cryptocurrency cryptocurrency Cryptation, a pan on a pan. The Russi"&amp;"ans were explained when to pay personal income tax 12 experts: it is better to refuse to transfer money from a card to the card from a card to the end of his lawyer who called simple operations that would cause a suspicion of the bank and the Federal Tax "&amp;"Service of the USA USECHRUBRUBLE OFFICE OFFICAL COMPETITIONAL COMPORTANT FOR THE REASE OF THE REASONAL OFFICAL CENTION ON THE OFFICIAL CENTION ON THE OFFICIAL COPPEN The last month of the time of your last visit to this page is the dollar -yuan -eagleur /"&amp;" dollardollar / Yuanmobirzhartzartzolotobitcoinethereum2 year -long -haired * course on the graphics is given in bivalyut units for 1000 rubles. (i.e. 1000/bead. Basket). The ruble is getting more expensive - the schedule up; The ruble falls - the graph d"&amp;"own. * The course on the schedule is the official CB RF CEUMENT OF THE CONDAREMENT IN THE TOMENTED TO TIRARURARYUNEVRO / YUANNENNENNEFTCONETCOINETHEREUM will come out of the range - $ we will inform you when: see also notifications about the exchange rate"&amp;" and news in the browsers in the browserezhnaya newsletter participants of the exchange for exchangranization of the sales salescupopupukupkupkupkupupupupopkupkupopkupokupokokokokopkukokokokokokoks on the end of the day 11/10/2023 Monopalutrag. Metalcen. "&amp;"Bumagkibankredityneftwyzhizhzhda and inventory political science! ZhKAZ/P and the price of the Political Polishness! Cryptocurrency Popular chronology-Kommentable-Open update through adding news of the dollar today and tomorrow, according to foreign curre"&amp;"ncy oracle, view all news-prognoses from the leading oracles of Russia and peace. Orakulomuzhatu, the official US dollar will increase or decrease (see. Oracle). Dollar now: 92.27 r -/$ since you have not indicated email yet, we will not be able to notify"&amp;" you of the result. Please add your email to send alerts. Octobernosis at the dollar rate-get a gathering of deposits and banking: the deposit use of the (ruble)% per annum of the Moscow credit bankposts of 12.5% ​​FC Opening the first (for new customers)"&amp;" 11.5% of VTBVTB-Office (online) 11.5% Optimum percentage of St. Petersburg Autumn 11.3 % Tinkoff Banksmartvoka 11% All-Russian regional development Bank online 10% Maximum income Transcapitalbankbank Prosstoyo 12.5% ​​Asia-Pacific Bank of 11.5% Alef-Bank"&amp;"ocean Dreams online 11.5% Rating of deposits of detailed population deposits of the population of the Range Rais NK of Russia2WTB3 GAGAZPROSPELSPELOSHZBANK5ALFAK-BANCE to score everything to banques and comment on we discuss everything As for the currency"&amp;" of banks of financial savings. We do not post: curses (all the more obscene) policy in isolation from the economy of offtopes in excess of measure (see all the rules of the forum). See ready -made answers to the two most popular questions: is it worth bu"&amp;"ying currency now and what exactly dollars or euros. Add the news of the currency in VKontakte (see also the VK group) that is a currency course in the general and a favorable course in particular in the ruble: what is it and where to look at the yuan (CN"&amp;"Y) answer to the question to keep the savings in the currency or the ruble of the dollar and the current forecast According to the dollar and the euro and the current forecast for the Euro -Russian ruble vs. The Belarusian ruble and Ukrainian hryvnia. Off"&amp;"ice courses of the Central Bank of the Russian Federation for all daily quoted foreign currencies of the dollar in Moscow banks and St. Petersburg, what point to buy currency: now or wait? And which is better: dollars or euros? Is it worth selling currenc"&amp;"y now or still wait? What will happen to the dollar: the answers to the most relevant questions, the ruble to the dollar should now be based on the cost of oil? Which bank to trust the savings: advice will be with the prices of real estate ? Loans in fore"&amp;"ign currency: Is this the best choice for a private borrower of currency through a broker what to choose? Personal broker What is it? On leisure: How to win a roulette for free transfer money from one card to another yurussian (RUB) to USD: Current Rate a"&amp;"nd Forecastrussian Ruble (RUB) to EUR: Current and Official Rates, what to store savings? What currency and when is it better to buy: dollars or euros? We are often asked by friends friends friends. To answer everyone and everyone, we created this site. A"&amp;" sberometer is a tool for measuring and preserving savings. Information about the currency courses for the purchase and sale of currency and optimization of savings presented on the site are reference in nature. The authors of the ""currency"" councils ar"&amp;"e trying to help the Russians understand complex financial issues but are not responsible for decisions that users make on the basis of the presented data. At the same time, these data regularly use the authors themselves, so they try to make them operati"&amp;"onal and reliable. Our tips will not help you get rich, but will allow you to save savings! Disable the mobile version of the site © Audit-it.ru 2013 - 2023 Advertising on the site or leave your reviews and proposals for using and confidentiality in socia"&amp;"l networks: Google PlayApp StoreAppGalleryRustore")</f>
        <v>Sberometer - dollar and euro for tomorrow, the dollar and euro now and tomorrow at USD: EUR: Yuan: Oil (Brent): BTC: Currency Currency Currencies Banking -Banking Investigation in gold conservation in gold and conservation of aquartiralyonline: USDEura TO: Find out the course earlier than the exchanger unofficial exchange rate on USD dollaruuan -yuan -ears / dollardollar / yuanmobirzhartzarzhartesolotobitcoinethereumeur dollaria -yuan -eagleuro / dollardollar / yuanmobirzhartesolotcoinethereumuyuinetherevroe / dollardsno / Yuanmobirzhartetsno Ptesolotobitcoinethereumeur / USD dollaruuan -eagle -eagle / dollardollar / yuanmobirzhartzartsolotobitcoinethereum -core: dollar oil gold shares of cryptocurrency cryptocurrency Cryptation, a pan on a pan. The Russians were explained when to pay personal income tax 12 experts: it is better to refuse to transfer money from a card to the card from a card to the end of his lawyer who called simple operations that would cause a suspicion of the bank and the Federal Tax Service of the USA USECHRUBRUBLE OFFICE OFFICAL COMPETITIONAL COMPORTANT FOR THE REASE OF THE REASONAL OFFICAL CENTION ON THE OFFICIAL CENTION ON THE OFFICIAL COPPEN The last month of the time of your last visit to this page is the dollar -yuan -eagleur / dollardollar / Yuanmobirzhartzartzolotobitcoinethereum2 year -long -haired * course on the graphics is given in bivalyut units for 1000 rubles. (i.e. 1000/bead. Basket). The ruble is getting more expensive - the schedule up; The ruble falls - the graph down. * The course on the schedule is the official CB RF CEUMENT OF THE CONDAREMENT IN THE TOMENTED TO TIRARURARYUNEVRO / YUANNENNENNEFTCONETCOINETHEREUM will come out of the range - $ we will inform you when: see also notifications about the exchange rate and news in the browsers in the browserezhnaya newsletter participants of the exchange for exchangranization of the sales salescupopupukupkupkupkupupupupopkupkupopkupokupokokokokopkukokokokokokoks on the end of the day 11/10/2023 Monopalutrag. Metalcen. Bumagkibankredityneftwyzhizhzhda and inventory political science! ZhKAZ/P and the price of the Political Polishness! Cryptocurrency Popular chronology-Kommentable-Open update through adding news of the dollar today and tomorrow, according to foreign currency oracle, view all news-prognoses from the leading oracles of Russia and peace. Orakulomuzhatu, the official US dollar will increase or decrease (see. Oracle). Dollar now: 92.27 r -/$ since you have not indicated email yet, we will not be able to notify you of the result. Please add your email to send alerts. Octobernosis at the dollar rate-get a gathering of deposits and banking: the deposit use of the (ruble)% per annum of the Moscow credit bankposts of 12.5% ​​FC Opening the first (for new customers) 11.5% of VTBVTB-Office (online) 11.5% Optimum percentage of St. Petersburg Autumn 11.3 % Tinkoff Banksmartvoka 11% All-Russian regional development Bank online 10% Maximum income Transcapitalbankbank Prosstoyo 12.5% ​​Asia-Pacific Bank of 11.5% Alef-Bankocean Dreams online 11.5% Rating of deposits of detailed population deposits of the population of the Range Rais NK of Russia2WTB3 GAGAZPROSPELSPELOSHZBANK5ALFAK-BANCE to score everything to banques and comment on we discuss everything As for the currency of banks of financial savings. We do not post: curses (all the more obscene) policy in isolation from the economy of offtopes in excess of measure (see all the rules of the forum). See ready -made answers to the two most popular questions: is it worth buying currency now and what exactly dollars or euros. Add the news of the currency in VKontakte (see also the VK group) that is a currency course in the general and a favorable course in particular in the ruble: what is it and where to look at the yuan (CNY) answer to the question to keep the savings in the currency or the ruble of the dollar and the current forecast According to the dollar and the euro and the current forecast for the Euro -Russian ruble vs. The Belarusian ruble and Ukrainian hryvnia. Office courses of the Central Bank of the Russian Federation for all daily quoted foreign currencies of the dollar in Moscow banks and St. Petersburg, what point to buy currency: now or wait? And which is better: dollars or euros? Is it worth selling currency now or still wait? What will happen to the dollar: the answers to the most relevant questions, the ruble to the dollar should now be based on the cost of oil? Which bank to trust the savings: advice will be with the prices of real estate ? Loans in foreign currency: Is this the best choice for a private borrower of currency through a broker what to choose? Personal broker What is it? On leisure: How to win a roulette for free transfer money from one card to another yurussian (RUB) to USD: Current Rate and Forecastrussian Ruble (RUB) to EUR: Current and Official Rates, what to store savings? What currency and when is it better to buy: dollars or euros? We are often asked by friends friends friends. To answer everyone and everyone, we created this site. A sberometer is a tool for measuring and preserving savings. Information about the currency courses for the purchase and sale of currency and optimization of savings presented on the site are reference in nature. The authors of the "currency" councils are trying to help the Russians understand complex financial issues but are not responsible for decisions that users make on the basis of the presented data. At the same time, these data regularly use the authors themselves, so they try to make them operational and reliable. Our tips will not help you get rich, but will allow you to save savings! Disable the mobile version of the site © Audit-it.ru 2013 - 2023 Advertising on the site or leave your reviews and proposals for using and confidentiality in social networks: Google PlayApp StoreAppGalleryRustore</v>
      </c>
    </row>
    <row r="476">
      <c r="A476" s="1" t="s">
        <v>1529</v>
      </c>
      <c r="B476" s="1" t="s">
        <v>1580</v>
      </c>
      <c r="C476" s="1" t="s">
        <v>1581</v>
      </c>
      <c r="D476" s="1">
        <v>13.0</v>
      </c>
      <c r="E476" s="4" t="s">
        <v>1582</v>
      </c>
      <c r="F476" s="1" t="s">
        <v>43</v>
      </c>
      <c r="I476" s="2"/>
      <c r="J476" s="5" t="str">
        <f>IFERROR(__xludf.DUMMYFUNCTION("GOOGLETRANSLATE(A476)"),"dollar")</f>
        <v>dollar</v>
      </c>
      <c r="K476" s="6" t="str">
        <f>IFERROR(__xludf.DUMMYFUNCTION("GOOGLETRANSLATE(B476)"),"Currency USD / RUB")</f>
        <v>Currency USD / RUB</v>
      </c>
      <c r="L476" s="5" t="str">
        <f>IFERROR(__xludf.DUMMYFUNCTION("GOOGLETRANSLATE(C476)"),"The USD/RUB (USDREB: Forex) rate in the Forex market, exchange rate online, real -time prices.")</f>
        <v>The USD/RUB (USDREB: Forex) rate in the Forex market, exchange rate online, real -time prices.</v>
      </c>
      <c r="M476" s="5" t="str">
        <f>IFERROR(__xludf.DUMMYFUNCTION("GOOGLETRANSLATE(G476)"),"#VALUE!")</f>
        <v>#VALUE!</v>
      </c>
    </row>
    <row r="477">
      <c r="A477" s="1" t="s">
        <v>1529</v>
      </c>
      <c r="B477" s="1" t="s">
        <v>1583</v>
      </c>
      <c r="C477" s="1" t="s">
        <v>1584</v>
      </c>
      <c r="D477" s="1">
        <v>14.0</v>
      </c>
      <c r="E477" s="4" t="s">
        <v>1585</v>
      </c>
      <c r="F477" s="1" t="s">
        <v>43</v>
      </c>
      <c r="G477" s="1" t="s">
        <v>614</v>
      </c>
      <c r="H477" s="4" t="s">
        <v>615</v>
      </c>
      <c r="I477" s="2"/>
      <c r="J477" s="5" t="str">
        <f>IFERROR(__xludf.DUMMYFUNCTION("GOOGLETRANSLATE(A477)"),"dollar")</f>
        <v>dollar</v>
      </c>
      <c r="K477" s="6" t="str">
        <f>IFERROR(__xludf.DUMMYFUNCTION("GOOGLETRANSLATE(B477)"),"Buy US dollar (USDRUB) 💵 at the exchange rate")</f>
        <v>Buy US dollar (USDRUB) 💵 at the exchange rate</v>
      </c>
      <c r="L477" s="5" t="str">
        <f>IFERROR(__xludf.DUMMYFUNCTION("GOOGLETRANSLATE(C477)"),"Buying and selling US dollar to individuals online. Real -time dollar rate, schedules for quotation dynamics, news and discussion of currencies in ...")</f>
        <v>Buying and selling US dollar to individuals online. Real -time dollar rate, schedules for quotation dynamics, news and discussion of currencies in ...</v>
      </c>
      <c r="M477" s="5" t="str">
        <f>IFERROR(__xludf.DUMMYFUNCTION("GOOGLETRANSLATE(G477)"),"Tinkoff - credit and debit cards loans for business and individuals for the correct operation of the bank’s services, it is necessary to enable support to JavaScript persons for life to miss the cardcredit cards of the Card Card Card Signature Procedure O"&amp;"rphanage Simcoelectronic Simcatararifferavity Iat the money to any purpose on the collateral of real estate machine Real Estate Refine the credit under the key to the key to the auto -tank -raising accountant to investing score -core -scatalog Market teac"&amp;"hing for investors in terms of Terminaline Cooppyl Culpcrapel Pauls of therass Rousscadolicadolmark is to install insurance cascaps of the Keep -coat -alerture producers for the Roads of the Products of the Khvakinotyatryasalons of the Beauty Bliblogdliyb"&amp;"ildliybildliybildiytatelnatorskii/D Tylets for Travelers of the Stuffing Part Kavtovtsymokhoplivoykhovykhovo-Sobeskoye under DTKART for automotivelistovatokreditovanovanimi business BUSINESS BUSINESS BUSINESSE for the Small Business Account IPROMENTARY AN"&amp;"DPORT OF LLCTIRARIBYBUSTALUTALITARY OF CARTALUTALITARY BUSTSITS AND OVERNAITION OF BUSINESS PROGRASTION OF SUPPLISTION OF THE CROP For OOO, turn-the-road crediterderdraftate-reception lines of the payment of the Paying Acquiringinternet-AC Payments on Qro"&amp;"nline Casserosrossymochdolyamitinkoff Paybonuses for BUSINESS BUSINESS PARTERICIAL STORMARICARTSISTRICARTYSELLERSELLERALLERALLERARETER OF SAITS-ZAKUPEKIKELECTRONAL signature of counterparties for a large business accounting-card of cardiacs according to 1"&amp;"15-fostering reinforcements and Ecommercezerzelznitsa-Credituitual Project vehicle payments for self-employees with self-employees of individuals payments of taxi parking of a pawnshopposure of Mfogogoskupkupkipper account of the payroll ecviringinterinet"&amp;"-ACCOVIRINGPOS-TRADING PAYOFF PAYFF PAYABLIA Resolve Koruskoff will be responding to a partner density and overnights for business verification of counterparty premium-dimensor-premium to miss the card-to-the-service investment for life for life, the help"&amp;" of the help of the investment on taxprivate services for life consumption for Private Talksheposhepo Leznoecurs Valyutbankomata Tinkoffinkoff Pay Payage Continuations Tinkofoff is correctly entrusted by the current situations for product workings for Tin"&amp;"koff work to ITBUSTRISS AND Processing with client -Tink -dealerships of the Options of the Ovoltable Verozhot. What is the newcomer all the construction of customers Cabinetinernet-Bankinvestincoff Mobilltinkoff businessform to Tinkoff with a profitabili"&amp;"ty of up to 15% of the per annum of the annual sub-terminal card recommended by your friends of the ruble up to 30% to 5% per annum of the annual translations without commissioning cardcredit cards of the Credit of the Credit. the attachment of the recomm"&amp;"ended product card with free maintenance of Tinkoff Platinum until November 30 and do not pay for Serving the CartoTinkoff investment of the investment tariffs and the convenient attach to the investor card Tinkoff-patch for free: the telephone secretary "&amp;"Oleg 600 minutes 20 GB vocabulary, start a contribution with replenishment and partial withdrawal. Each month, receive interest on a card or deposit insemination of an inspections with an online calculator and discounts (KBM) for trouble-free, the cost of"&amp;" the products is trusted by more than 38 million customers of the Bank of the Year Bank Bank. Rutinkoff was recognized as the best in the following categories: “Care of Client ""Digital Bank of the Year"" ""Investment Company of the Year"" ""Investment Pr"&amp;"oduct of the Year"" ""Folk rating of insurance companies"" Details and Currency Curries between their accounts Payment for services and the removal of cash services Tinkoff examination of cash with Tinkoff ATss without a commission. И без карты если у вас"&amp;"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кэшб"&amp;"экаПопробоватьМобильное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Decem"&amp;"ber 31 and participate in the rally in details of deposits in rubles up to 141% how to get the maximum headquarters of cashback of the day, Tinkyfr »IPhone and returned to 100% expenditure1 000 000 ₽ for a trip to the trip, form a tourist insurance in Tin"&amp;"koff and participate in the drawing of priestly articles and news - on the blog Tinkoff work and developing your or other city, to take a vacancies, the formation of educational courses and paid development programs for the development F magazine Secret U"&amp;"nions of how to conduct business in Russia to be more fully fulfilled by the filling of full-wrapping in all products on all products in the product in the product of Tinkoff products Restaurants Services and Brands based on real reviews of retrieval holi"&amp;"days in 2023 year-Great Line for providing vacation for participants in their families: 8,800 555-89-77 more in more and more Correct. SK answers to questions of the Po-UskiSkakak write to the chatenstac to download the appendix to enter the personal tran"&amp;"smission of the transmission of the transfer of the transfer to write off the certificate or extract8 800 333-33-33-33 days of calls on the Russian-loop card-densium cards-refuketing, the Automobile Credit of the Authority of the Pro Tinkoff Private -Over"&amp;"puts of Opeling Oo -Sochasco on subscription to the border of Russia -Keep -Classure Predructions Apri -Bi -Vevybiytytytychitotnaturezh/D ticketsTinkoff Software, speech -making, business -consumer counter -regional Skupkupkupkuphkuphightihgaliyabovnia -C"&amp;"artadesityrassprochochkrochkroke of counterparties for businesscaedal-building products of food and orienteatrateatrateratechystavsalones of Beautiful-fuel-Avtopoiliblogloglogloglogs collection collection Pulcollectic collection Juniorfino T-monopolis Tin"&amp;"koffcoforo Tinkoff Gorodbol Shoy Business accountservices for paymentcore ecrings-editions-eedgosykupovusiness-regulations-regions-tinkoff datatinkoff Idtinkoff Casseter-Acquirital cassation, re-investment grab dulls for card-free-grade solutions for QR-c"&amp;"odes-inspection transpondumure KOFF PAIT COMPORTANT TINKOFF IDDENTIONS with Tinkoff Id Paypery Card-Cardioblog Polar-West Carrier-Brinder accounting auspremacy of the vocal-vileagstiligo-pupil of therapils Strategramminolcademia of investment-cardsimtarif"&amp;"ymarifystyumenos. Number-painting Number-sabotage number of Olegtktktkom Zhelnizhnizhnizhnizhchikatimi or refusal money-wrapping in the ITS Entamio Bankenovostiglobrabotatchki replenishment of the Bank of the Currency Counsers of the Contact Serving of th"&amp;"e Investors Centers Center of Corporate Information Information on interest rates under bank deposit agreements from the physical personnel of information by a professional participant in the market, the securities of a large online bank in the world Chan"&amp;"ging the conditions of products and services of the bankcartics of the Remote service of the remote service for the Distilled Democularation of compliance of working conditions by state regulatory requirements of labor protection of Tinkoff Bank JSC Infor"&amp;"mation on the duration of operating rooms of the Haval Automobile Automobile Automobile Automobile Automobile Automobile Automobile Automobile Automobile Automobile Automobile Automobile Automobile Autonom Credit card "" Based on the results of the online"&amp;" voting of the ""Compare"" service of the Service, INNITY.RU in 2023. Among 3 credit organizations in parameters: a) a large grace period for users of card b) Operational service and communication with a client B) Convenient receipt of the card. Tinkoff B"&amp;"ank uses Cookie files to personalize services and improving the convenience of using a website. ""Cookie"" are small files containing information about previous visits to the website. If you do not want to use the Cookie files change the browser settings."&amp;" © 2006–2023 Tinkoff Bank JSC Official Universal License Central Bank of the Russian Federation No. 2673english")</f>
        <v>Tinkoff - credit and debit cards loans for business and individuals for the correct operation of the bank’s services, it is necessary to enable support to JavaScript persons for life to miss the cardcredit cards of the Card Card Card Signature Procedure Orphanage Simcoelectronic Simcatararifferavity Iat the money to any purpose on the collateral of real estate machine Real Estate Refine the credit under the key to the key to the auto -tank -raising accountant to investing score -core -scatalog Market teaching for investors in terms of Terminaline Cooppyl Culpcrapel Pauls of therass Rousscadolicadolmark is to install insurance cascaps of the Keep -coat -alerture producers for the Roads of the Products of the Khvakinotyatryasalons of the Beauty Bliblogdliybildliybildliybildiytatelnatorskii/D Tylets for Travelers of the Stuffing Part Kavtovtsymokhoplivoykhovykhovo-Sobeskoye under DTKART for automotivelistovatokreditovanovanimi business BUSINESS BUSINESS BUSINESSE for the Small Business Account IPROMENTARY ANDPORT OF LLCTIRARIBYBUSTALUTALITARY OF CARTALUTALITARY BUSTSITS AND OVERNAITION OF BUSINESS PROGRASTION OF SUPPLISTION OF THE CROP For OOO, turn-the-road crediterderdraftate-reception lines of the payment of the Paying Acquiringinternet-AC Payments on Qronline Casserosrossymochdolyamitinkoff Paybonuses for BUSINESS BUSINESS PARTERICIAL STORMARICARTSISTRICARTYSELLERSELLERALLERALLERARETER OF SAITS-ZAKUPEKIKELECTRONAL signature of counterparties for a large business accounting-card of cardiacs according to 115-fostering reinforcements and Ecommercezerzelznitsa-Credituitual Project vehicle payments for self-employees with self-employees of individuals payments of taxi parking of a pawnshopposure of Mfogogoskupkupkipper account of the payroll ecviringinterinet-ACCOVIRINGPOS-TRADING PAYOFF PAYFF PAYABLIA Resolve Koruskoff will be responding to a partner density and overnights for business verification of counterparty premium-dimensor-premium to miss the card-to-the-service investment for life for life, the help of the help of the investment on taxprivate services for life consumption for Private Talksheposhepo Leznoecurs Valyutbankomata Tinkoffinkoff Pay Payage Continuations Tinkofoff is correctly entrusted by the current situations for product workings for Tinkoff work to ITBUSTRISS AND Processing with client -Tink -dealerships of the Options of the Ovoltable Verozhot. What is the newcomer all the construction of customers Cabinetinernet-Bankinvestincoff Mobilltinkoff businessform to Tinkoff with a profitability of up to 15% of the per annum of the annual sub-terminal card recommended by your friends of the ruble up to 30% to 5% per annum of the annual translations without commissioning cardcredit cards of the Credit of the Credit. the attachment of the recommended product card with free maintenance of Tinkoff Platinum until November 30 and do not pay for Serving the CartoTinkoff investment of the investment tariffs and the convenient attach to the investor card Tinkoff-patch for free: the telephone secretary Oleg 600 minutes 20 GB vocabulary, start a contribution with replenishment and partial withdrawal. Each month, receive interest on a card or deposit insemination of an inspections with an online calculator and discounts (KBM) for trouble-free, the cost of the products is trusted by more than 38 million customers of the Bank of the Year Bank Bank. Rutinkoff was recognized as the best in the following categories: “Care of Client "Digital Bank of the Year" "Investment Company of the Year" "Investment Product of the Year" "Folk rating of insurance companies" Details and Currency Curries between their accounts Payment for services and the removal of cash services Tinkoff examination of cash with Tinkoff ATss without a commission. И без карты если у вас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December 31 and participate in the rally in details of deposits in rubles up to 141% how to get the maximum headquarters of cashback of the day, Tinkyfr »IPhone and returned to 100% expenditure1 000 000 ₽ for a trip to the trip, form a tourist insurance in Tinkoff and participate in the drawing of priestly articles and news - on the blog Tinkoff work and developing your or other city, to take a vacancies, the formation of educational courses and paid development programs for the development F magazine Secret Unions of how to conduct business in Russia to be more fully fulfilled by the filling of full-wrapping in all products on all products in the product in the product of Tinkoff products Restaurants Services and Brands based on real reviews of retrieval holidays in 2023 year-Great Line for providing vacation for participants in their families: 8,800 555-89-77 more in more and more Correct. SK answers to questions of the Po-UskiSkakak write to the chatenstac to download the appendix to enter the personal transmission of the transmission of the transfer of the transfer to write off the certificate or extract8 800 333-33-33-33 days of calls on the Russian-loop card-densium cards-refuketing, the Automobile Credit of the Authority of the Pro Tinkoff Private -Overputs of Opeling Oo -Sochasco on subscription to the border of Russia -Keep -Classure Predructions Apri -Bi -Vevybiytytytychitotnaturezh/D ticketsTinkoff Software, speech -making, business -consumer counter -regional Skupkupkupkuphkuphightihgaliyabovnia -Cartadesityrassprochochkrochkroke of counterparties for businesscaedal-building products of food and orienteatrateatrateratechystavsalones of Beautiful-fuel-Avtopoiliblogloglogloglogs collection collection Pulcollectic collection Juniorfino T-monopolis Tinkoffcoforo Tinkoff Gorodbol Shoy Business accountservices for paymentcore ecrings-editions-eedgosykupovusiness-regulations-regions-tinkoff datatinkoff Idtinkoff Casseter-Acquirital cassation, re-investment grab dulls for card-free-grade solutions for QR-codes-inspection transpondumure KOFF PAIT COMPORTANT TINKOFF IDDENTIONS with Tinkoff Id Paypery Card-Cardioblog Polar-West Carrier-Brinder accounting auspremacy of the vocal-vileagstiligo-pupil of therapils Strategramminolcademia of investment-cardsimtarifymarifystyumenos. Number-painting Number-sabotage number of Olegtktktkom Zhelnizhnizhnizhnizhchikatimi or refusal money-wrapping in the ITS Entamio Bankenovostiglobrabotatchki replenishment of the Bank of the Currency Counsers of the Contact Serving of the Investors Centers Center of Corporate Information Information on interest rates under bank deposit agreements from the physical personnel of information by a professional participant in the market, the securities of a large online bank in the world Changing the conditions of products and services of the bankcartics of the Remote service of the remote service for the Distilled Democularation of compliance of working conditions by state regulatory requirements of labor protection of Tinkoff Bank JSC Information on the duration of operating rooms of the Haval Automobile Automobile Automobile Automobile Automobile Automobile Automobile Automobile Automobile Automobile Automobile Automobile Automobile Autonom Credit card " Based on the results of the online voting of the "Compare" service of the Service, INNITY.RU in 2023. Among 3 credit organizations in parameters: a) a large grace period for users of card b) Operational service and communication with a client B) Convenient receipt of the card. Tinkoff Bank uses Cookie files to personalize services and improving the convenience of using a website. "Cookie" are small files containing information about previous visits to the website. If you do not want to use the Cookie files change the browser settings. © 2006–2023 Tinkoff Bank JSC Official Universal License Central Bank of the Russian Federation No. 2673english</v>
      </c>
    </row>
    <row r="478">
      <c r="A478" s="1" t="s">
        <v>1529</v>
      </c>
      <c r="B478" s="1" t="s">
        <v>1586</v>
      </c>
      <c r="C478" s="1" t="s">
        <v>1587</v>
      </c>
      <c r="D478" s="1">
        <v>15.0</v>
      </c>
      <c r="E478" s="4" t="s">
        <v>1588</v>
      </c>
      <c r="F478" s="1" t="s">
        <v>43</v>
      </c>
      <c r="G478" s="1" t="s">
        <v>246</v>
      </c>
      <c r="H478" s="4" t="s">
        <v>247</v>
      </c>
      <c r="I478" s="2"/>
      <c r="J478" s="5" t="str">
        <f>IFERROR(__xludf.DUMMYFUNCTION("GOOGLETRANSLATE(A478)"),"dollar")</f>
        <v>dollar</v>
      </c>
      <c r="K478" s="6" t="str">
        <f>IFERROR(__xludf.DUMMYFUNCTION("GOOGLETRANSLATE(B478)"),"The Central Bank raised the dollar on November 11-13 to 92.05 rubles")</f>
        <v>The Central Bank raised the dollar on November 11-13 to 92.05 rubles</v>
      </c>
      <c r="L478" s="5" t="str">
        <f>IFERROR(__xludf.DUMMYFUNCTION("GOOGLETRANSLATE(C478)"),"15 hours ago -")</f>
        <v>15 hours ago -</v>
      </c>
      <c r="M478" s="5" t="str">
        <f>IFERROR(__xludf.DUMMYFUNCTION("GOOGLETRANSLATE(G478)"),"News in Russia and the world - Taspom, you use an outdated browser to work correctly, download the fresh version of the TASS.ru website, you agree using the cookies files that are indicated in the Personal Data House processing policy, rejected the financ"&amp;"ing project of the US government without the help of Kievites of Russia can make free travel to free travel The place of rest for children from large families of the US Armed Forces crashed in the eastern part of the Mediterranean Sea of ​​Mediterranean e"&amp;"xhibition-forum ""Russia"" of the Palestinian-Israeli conflict of Gaza entered over 850 trucks with humanitarian aid of Israel, announced the destruction of more than 150 tunnels and underground objects of Hamasarmia of Israel In Syriavo, she reported a l"&amp;"oss of communications with her employees in the Ashfa hospital in the Gazaisspaker of Congress proposed financing the government without the help of Kyivauarmia Israeli hit the cell of the Hzbollah missiles and threw humanitarian aid from the air for the "&amp;"field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человекаИндик"&amp;"аторырынкаНефть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NAT"&amp;"O Secretary General proposed to accept Ukraine into an alliance without the territories of the Ryazan region lost the case of 19 wagons from the rails expert stated that in Russia the mortality from pneumonia was located on a pre -ovate day of the day of "&amp;"the day of the day of the day. And they hid Russian films of the 20th century on the regiment where scientists are looking for a new house for all mankind Partner special projects on the way: about life about travel and about themselves. Four interviews f"&amp;"or the 20th anniversary of the Range Gonk of Ikonk, the 150th anniversary of Sergei Rachmaninovakak, chose the sovereign in Russia and chose Mikhail Romanovo, Li Vulcans to destroy their lives on the planetary. The study of the ice of ice saved people dur"&amp;"ing the blockade of the Leningradistory of the Complement of the Imperial train in 1888 in 1888 in 1888, they find and returned home the remains of the remains Heroes of the Stalingrad Battle of the Women's Movement in the Russian Holy of Construction of "&amp;"the famous Stalin Skolotok, which caused a rare eclipse on Yamal? How did houses on the bottom of the Black Sea of ​​Early Soviet Architecture examine all special projects of the Central Centernsk-Spectornsk prophylaxes in the Novosibirsk Region of Sverdl"&amp;"ovsk region. : Results work and Plansko incidence of diabetes mellitus in the Novosibirsk Region MSCOSTICIAL-BROGED PUSHRASTIC PROPECTION OF PUSHKINSKAYA Winter in social networks criticized Biden for the use of hints after laying Italy's wreath of the ci"&amp;"rcus and for several hours walked around the city of the Pskov Region in the DTP, three people of the Brazil championship were killed Due to the mass fight of the fans at the box, the game almost killed the game. “Krasnodar” and “Zenit” divided glasses in"&amp;" the RPL leaders match to see the material shutdown the adblock launch of the PNIPE created an accurate model of the influence of industrial dust on the health of Indonesia people for the first time in 60 years, the rare animal plastics from 13 countries "&amp;"discovered hundreds of harmful subsidiary, capable of making a fertile soil lunctural computer Helped to physicists to accelerate the algorithms of combinatorial optimization by the algorithm, American physicists have developed scientists who reported the"&amp;" causes of mass death of rare seals in the Caspian in 2022 in 2022 to treat the renal complications of the lupus Wolf passed the second phase of St. Petersburg tests created an analogue of glass -shaped rocks for medicine -scientists revealed the differen"&amp;"ces in the speed of aging cells from different parts Rnauki They said that over the year, the number of young scientists in Russia of the MES of the MIS rebukes has developed a charger for electric cars in domestic Pakpneumonia. What you need to know Nori"&amp;"lnikel intends to restore nature around the Novosibirsk factories, they have received a promising for the treatment of neuroblastyu Adygea project to manage a group of drones based on the other materials to the rest of the materials © Information Agency o"&amp;"f the TASS -Media Registration No. 03247 was issued by the State Committee on April 02, 1999. Russian Federation in Press. Sing-handed publications may contain information intended for users under 16 years old. In the information resource, recommending te"&amp;"chnologies are applied.")</f>
        <v>News in Russia and the world - Taspom, you use an outdated browser to work correctly, download the fresh version of the TASS.ru website, you agree using the cookies files that are indicated in the Personal Data House processing policy, rejected the financing project of the US government without the help of Kievites of Russia can make free travel to free travel The place of rest for children from large families of the US Armed Forces crashed in the eastern part of the Mediterranean Sea of ​​Mediterranean exhibition-forum "Russia" of the Palestinian-Israeli conflict of Gaza entered over 850 trucks with humanitarian aid of Israel, announced the destruction of more than 150 tunnels and underground objects of Hamasarmia of Israel In Syriavo, she reported a loss of communications with her employees in the Ashfa hospital in the Gazaisspaker of Congress proposed financing the government without the help of Kyivauarmia Israeli hit the cell of the Hzbollah missiles and threw humanitarian aid from the air for the 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NATO Secretary General proposed to accept Ukraine into an alliance without the territories of the Ryazan region lost the case of 19 wagons from the rails expert stated that in Russia the mortality from pneumonia was located on a pre -ovate day of the day of the day of the day of the day. And they hid Russian films of the 20th century on the regiment where scientists are looking for a new house for all mankind Partner special projects on the way: about life about travel and about themselves. Four interviews for the 20th anniversary of the Range Gonk of Ikonk, the 150th anniversary of Sergei Rachmaninovakak, chose the sovereign in Russia and chose Mikhail Romanovo, Li Vulcans to destroy their lives on the planetary. The study of the ice of ice saved people during the blockade of the Leningradistory of the Complement of the Imperial train in 1888 in 1888 in 1888, they find and returned home the remains of the remains Heroes of the Stalingrad Battle of the Women's Movement in the Russian Holy of Construction of the famous Stalin Skolotok, which caused a rare eclipse on Yamal? How did houses on the bottom of the Black Sea of ​​Early Soviet Architecture examine all special projects of the Central Centernsk-Spectornsk prophylaxes in the Novosibirsk Region of Sverdlovsk region. : Results work and Plansko incidence of diabetes mellitus in the Novosibirsk Region MSCOSTICIAL-BROGED PUSHRASTIC PROPECTION OF PUSHKINSKAYA Winter in social networks criticized Biden for the use of hints after laying Italy's wreath of the circus and for several hours walked around the city of the Pskov Region in the DTP, three people of the Brazil championship were killed Due to the mass fight of the fans at the box, the game almost killed the game. “Krasnodar” and “Zenit” divided glasses in the RPL leaders match to see the material shutdown the adblock launch of the PNIPE created an accurate model of the influence of industrial dust on the health of Indonesia people for the first time in 60 years, the rare animal plastics from 13 countries discovered hundreds of harmful subsidiary, capable of making a fertile soil lunctural computer Helped to physicists to accelerate the algorithms of combinatorial optimization by the algorithm, American physicists have developed scientists who reported the causes of mass death of rare seals in the Caspian in 2022 in 2022 to treat the renal complications of the lupus Wolf passed the second phase of St. Petersburg tests created an analogue of glass -shaped rocks for medicine -scientists revealed the differences in the speed of aging cells from different parts Rnauki They said that over the year, the number of young scientists in Russia of the MES of the MIS rebukes has developed a charger for electric cars in domestic Pakpneumonia. What you need to know Norilnikel intends to restore nature around the Novosibirsk factories, they have received a promising for the treatment of neuroblastyu Adygea project to manage a group of drones based on the other materials to the rest of the materials © Information Agency of the TASS -Media Registration No. 03247 was issued by the State Committee on April 02, 1999. Russian Federation in Press. Sing-handed publications may contain information intended for users under 16 years old. In the information resource, recommending technologies are applied.</v>
      </c>
    </row>
    <row r="479">
      <c r="A479" s="1" t="s">
        <v>1529</v>
      </c>
      <c r="B479" s="1" t="s">
        <v>1589</v>
      </c>
      <c r="C479" s="1" t="s">
        <v>1590</v>
      </c>
      <c r="D479" s="1">
        <v>16.0</v>
      </c>
      <c r="E479" s="4" t="s">
        <v>1591</v>
      </c>
      <c r="F479" s="1" t="s">
        <v>43</v>
      </c>
      <c r="I479" s="2"/>
      <c r="J479" s="5" t="str">
        <f>IFERROR(__xludf.DUMMYFUNCTION("GOOGLETRANSLATE(A479)"),"dollar")</f>
        <v>dollar</v>
      </c>
      <c r="K479" s="6" t="str">
        <f>IFERROR(__xludf.DUMMYFUNCTION("GOOGLETRANSLATE(B479)"),"Dollar/ruble")</f>
        <v>Dollar/ruble</v>
      </c>
      <c r="L479" s="5" t="str">
        <f>IFERROR(__xludf.DUMMYFUNCTION("GOOGLETRANSLATE(C479)"),"... Foreign currency courses of one country expressed in the monetary unit of another country, as defined in the ""Methodology for calculating fixing the Moscow Exchange ...")</f>
        <v>... Foreign currency courses of one country expressed in the monetary unit of another country, as defined in the "Methodology for calculating fixing the Moscow Exchange ...</v>
      </c>
      <c r="M479" s="5" t="str">
        <f>IFERROR(__xludf.DUMMYFUNCTION("GOOGLETRANSLATE(G479)"),"#VALUE!")</f>
        <v>#VALUE!</v>
      </c>
    </row>
    <row r="480">
      <c r="A480" s="1" t="s">
        <v>1529</v>
      </c>
      <c r="B480" s="1" t="s">
        <v>1592</v>
      </c>
      <c r="C480" s="1" t="s">
        <v>1593</v>
      </c>
      <c r="D480" s="1">
        <v>17.0</v>
      </c>
      <c r="E480" s="4" t="s">
        <v>1594</v>
      </c>
      <c r="F480" s="1" t="s">
        <v>43</v>
      </c>
      <c r="G480" s="1" t="s">
        <v>1595</v>
      </c>
      <c r="H480" s="4" t="s">
        <v>1596</v>
      </c>
      <c r="I480" s="2"/>
      <c r="J480" s="5" t="str">
        <f>IFERROR(__xludf.DUMMYFUNCTION("GOOGLETRANSLATE(A480)"),"dollar")</f>
        <v>dollar</v>
      </c>
      <c r="K480" s="6" t="str">
        <f>IFERROR(__xludf.DUMMYFUNCTION("GOOGLETRANSLATE(B480)"),"The dollar exchange rate on 11/11/2023 in Ukraine - the Ministry of Finance")</f>
        <v>The dollar exchange rate on 11/11/2023 in Ukraine - the Ministry of Finance</v>
      </c>
      <c r="L480" s="5" t="str">
        <f>IFERROR(__xludf.DUMMYFUNCTION("GOOGLETRANSLATE(C480)"),"Here you can find out the average cash of the dollar to the hryvnia, the commercial exchange rate of the dollar in all large banks of the country, the exchange rate of the National Bank of Ukraine, and also ...")</f>
        <v>Here you can find out the average cash of the dollar to the hryvnia, the commercial exchange rate of the dollar in all large banks of the country, the exchange rate of the National Bank of Ukraine, and also ...</v>
      </c>
      <c r="M480" s="5" t="str">
        <f>IFERROR(__xludf.DUMMYFUNCTION("GOOGLETRANSLATE(G480)"),"The Ministry of Finance is all about finance: Currency Banquinfinfinfinfinfinflows - Currency Course of Ukraine Establish%of the Ministry of Financing Bonus of the Ministry of Finishing Questions and answers ACTIVITIES PROVIDENCE OF ARRIVES ARRESTIONS Cre"&amp;"dit Credit online card and poipocaryalating mfomicrofinanation organizationsbankinternet-banking international rating rating stance-streaming of NBuvidguki Cascoscospvrating OSPSPVMeditinaturism Distribution Companies Investment Investment Broker -Investm"&amp;"ent Proposals Academic Cryptocurrency Alumatalist Crypto -Burning Indexesis for Azsindex Inflation Taigal Auction Booze Appendix APPROVERFRMUSSSIONS UNDER APDACRACKSASA/MASTERCARDFORFORSCURSS FOR SITULOZEZEZOPOZOPITISTOPITYBONS TO DEPOSITATION CARTAPORATI"&amp;"ON CAREMATION CAREMATION CAREMATION SUPPLATIONS Rafinancan organizationsbankinternet-bank-Banking rating rating rating Starning Nbuvidhuzhuzhukias for Business Contact Bancoperation Classification Casting Casting Cascoscospvrating OSCSPVMEDIZHINATIONSHIRS"&amp;"MODYSHIPSRAPHYUMSHIRS. Developers of suburban immovable facilities of developers Telecomotlecommunication of Kyevstarmtsvodafonelifelifellobzra telephone investment investment investment The salary of Ukraine's minimum minimum pre -phocominus from the Min"&amp;"istry of Finance from the Ministry of Finance -Prospecific Project -Pro -projectory longitudival -alumnavlutamumbank courses in banks of auction auction auction courses. Epoitalideositibonus to deposit confirmation of depository and answers ACCEPTIONS ACT"&amp;"IVITIES AREMEMENTS OF ARRIVAL OF TRAVELY PRODUCTIVES CREDITTILITTS CREDIT CARTACK NBuvidhukiyaCaCCCACKS FOR BUSINESS CONTAKES OF BANKING CONSIDERATION CASCORITING CASCO OSCROBROING OF OSCSPVMeditinatrism SPECIALLYACRAPHYACRAPHIZNACKAPRAPRAINDEXIINDEXIINDE"&amp;"XIZEXIZEXIZEXAZATIACRAPHYAPHATEXIPATIACKRAINDYDEXIZATIADYDEXIZAKINDEXIZAKINDEXIINDEXIINDEXIINDEXIINDEXIINDEXINDEXINDEXINDEXINDEXINDEXIINDEXIINDEXIINDEXIINDEXINIAGAGE Salary minimum MMVP of Ukraine PDOcommunal Tariffing Registration Search on Sitzukusdmizd"&amp;"mizdhbank USD361250+005 Buy 3.00 UAH-1468.31Novy Main Financial News8 : 00 Ukraine and the IMF reached an agreement at the experts on the package of $ 156 billion15: 34 In part 2023, the number of people's complaints about Finmon banks increased by 128% c"&amp;"ompared to last year - NBUNOVY16: 29 Poloniex 29 Due Inflation fell to 53%. As prices have changed14: 22 profits of US companies will reach the highest quarterly growth per year - Reuters13: 14 Bank of Council of Europe Development can be joined in mortga"&amp;"ge lending in Ukraine12: 06 banks continue to reduce deposits for deposits 11: 21 Kanada has introduced sanctions against Russian: : 10NBU reduced the time of return of currency for agro-exporters20: 02 Main a week: State Budget-2024 Card blocking and fin"&amp;"ancial monitoring19: 14 deficiency of foreign trade in goods has twice exceeded last year's news on November 101 Market market is justified in the hryvnia in the present -day, the Baby Customs and Tax Service will be fuel in Ukraine after blocking the Pol"&amp;"ish border on November 1023. As financial institutions, they have been solved how much can be earned on legal hemp in Ukrainianner's reit apartments: how much you can earn on real estate and where to buy a auction auction3765/ 3775 UAH. 5%Piraeus Banking:"&amp;" Up to + 175%from myinfinado 17%Credit certificate Banksia: up to + 1%of the myinfinado 17%Creditiva bankkrediti by the landslides32.99% Back up to 500%to 200 000 UAH Back up to 10%up to 30 000 UAH and security : What you need to know the color of the lan"&amp;"d in Ukraine: stability despite the war-barsh and fast war. As the war is quenched Investors and investor-5 cryptocurrencies for withdrawing USDT in 2024 on November 924 Investments, so much money is needed to feel comfortable on retirement and where thei"&amp;"r encroached investment options allow them to retire to people of different VIFFAC. Companies working in the Russian Federation and investing in Ukraine - what to do with this to regulate for the subsistence minimum it will be possible to live and how it "&amp;"will change social payments on November 8 The full course pumps gas to Ukraine: why Europe wants to store fuel in the water -holding in 165 Ukrainian economies: to whom the US is guilty of the US and who buy their debt -land or real estate: where to inves"&amp;"t Ukrainians on November 839 Representatives of the service sector to move to a new special regime of taxation of the non -existence of Odessa and Kharkiv are catching up with Kiev: in which cities of Ukraine they buy the most giving birthday savings the "&amp;"mostly ""available mortgage 7%"" but does not close it by the USA ""Nabelya Nabelya Laurel. Growth: As this forecast, the Ministry of Finance continues to form our aggressive stock portfolio and tell how its cost has changed in the last few weeks to make "&amp;"money on the ATVD on the ATS market: TOP-5 of the most popular issues in private investories. in which November 7 will go on on November 716 Finnancedonomnation became more rigid: for which banks actually block the bills and what to do with it to do an al"&amp;"gorithm of actions that will increase the chance to get access to their money by the money member of Ukraine. Katsuba: Do Naftogaz Naftogaz needed 6 November Markets The Markets played a party: why this week there will be cheerful and worst companies last"&amp;" week in the stock market with Sesagopolitics we should be ready to reduce or even stop US assistance: what replace it with a contractor and more than 5 ways Countries Actually nine signs of what you have chosen the right cryptograph to read more news to "&amp;"the error to report about the error in the text not working as a wish. The error message has been successfully sent. We will read and correct everything. networks: TrustPilot -app ""Ministry of Finance currency"" is available in the funds of the currency "&amp;"of the dollarkurs Eurocourgers NBUBANKS CARDS INVONTIVATION BROKERIMIZHERIMZKDOPITITATIFS ON GASCORTER Currency Private Private International Rating Privatbanking privatbanking Privatbankusbursbanbank information about Ukrsibbank Currency in UkrSibbankuvi"&amp;"dgu about UkrSibbankCreditis UkrSibbankudoposis Ukrsibbankokvbanc. Currency in Savings Bankuvidgu on Savings BankCredates of Oschadbancudoposites of Savings Banking Oschadbankense Bank Information on the Sens-Bank Currency of Currency in the Sens-Bankuvid"&amp;"gu on the Sens-BankCrediti Bugguki about Pumbraditi Pumbideposites of Pumbusbukrugazban Information on Ukrgasbank Currency in Ukrgasbankuvidgu about Ukrgasbank Draft UKRGASBANCBANCHFAFAZEN BCCULED ABOUT RAFFAFISEN BUSINESS Currency in Raiffeisen Banuvidgu"&amp;"ki on Raiffeisen Banking Raiffeisen Bankudesen Banking Banking Banking Raiffeisen Banking Bank Bank ONBANKED INFORMATION ABOUT MONOBANKES ABOUT MONOBANKDposits Monobank Drafting Monobanka Language Auctioning Currency Currency Dolark European Plot-Currency"&amp;" Currency Currency Currency Currency In Kharkiv Currency In Odessa Currency In Lviv Currency Currency in Ivano-Frankivsk Currency Currency in Lutsk currency currency currency currency currency Tyne forumDex Inflation Ringing developers Densely Calculator "&amp;"Credit Cash and Monomical Salary Gives registration? API currency cursor minfin.com.uaro CONTACTORTAPRACTION CARERIRERAPRIPRIPTED USE OF USE THE CLIMENT these on insurance of the Article © 2008-2023 LLC ""MinFinmedia"". Egrapo code: 35506859 Copying and p"&amp;"lacement of materials on other sites is allowed only with a hyperlink of a species: www.minfin.com.ua Information on this page is not advertising of banking services. Berified bank information on products and services can be viewed on the official website"&amp;" of the respective bank. Phone: (044) 392-47-40 Call within the territory of Ukraine from all numbers of mobile and city communication operators under the tariffs of operators work schedule: Monday-Friday from 09:00 to 18:00 Legal address: Ukraine Kiev Va"&amp;"dima Vadima Hetman 1-B 3")</f>
        <v>The Ministry of Finance is all about finance: Currency Banquinfinfinfinfinfinflows - Currency Course of Ukraine Establish%of the Ministry of Financing Bonus of the Ministry of Finishing Questions and answers ACTIVITIES PROVIDENCE OF ARRIVES ARRESTIONS Credit Credit online card and poipocaryalating mfomicrofinanation organizationsbankinternet-banking international rating rating stance-streaming of NBuvidguki Cascoscospvrating OSPSPVMeditinaturism Distribution Companies Investment Investment Broker -Investment Proposals Academic Cryptocurrency Alumatalist Crypto -Burning Indexesis for Azsindex Inflation Taigal Auction Booze Appendix APPROVERFRMUSSSIONS UNDER APDACRACKSASA/MASTERCARDFORFORSCURSS FOR SITULOZEZEZOPOZOPITISTOPITYBONS TO DEPOSITATION CARTAPORATION CAREMATION CAREMATION CAREMATION SUPPLATIONS Rafinancan organizationsbankinternet-bank-Banking rating rating rating Starning Nbuvidhuzhuzhukias for Business Contact Bancoperation Classification Casting Casting Cascoscospvrating OSCSPVMEDIZHINATIONSHIRSMODYSHIPSRAPHYUMSHIRS. Developers of suburban immovable facilities of developers Telecomotlecommunication of Kyevstarmtsvodafonelifelifellobzra telephone investment investment investment The salary of Ukraine's minimum minimum pre -phocominus from the Ministry of Finance from the Ministry of Finance -Prospecific Project -Pro -projectory longitudival -alumnavlutamumbank courses in banks of auction auction auction courses. Epoitalideositibonus to deposit confirmation of depository and answers ACCEPTIONS ACTIVITIES AREMEMENTS OF ARRIVAL OF TRAVELY PRODUCTIVES CREDITTILITTS CREDIT CARTACK NBuvidhukiyaCaCCCACKS FOR BUSINESS CONTAKES OF BANKING CONSIDERATION CASCORITING CASCO OSCROBROING OF OSCSPVMeditinatrism SPECIALLYACRAPHYACRAPHIZNACKAPRAPRAINDEXIINDEXIINDEXIZEXIZEXIZEXAZATIACRAPHYAPHATEXIPATIACKRAINDYDEXIZATIADYDEXIZAKINDEXIZAKINDEXIINDEXIINDEXIINDEXIINDEXIINDEXINDEXINDEXINDEXINDEXINDEXIINDEXIINDEXIINDEXIINDEXINIAGAGE Salary minimum MMVP of Ukraine PDOcommunal Tariffing Registration Search on Sitzukusdmizdmizdhbank USD361250+005 Buy 3.00 UAH-1468.31Novy Main Financial News8 : 00 Ukraine and the IMF reached an agreement at the experts on the package of $ 156 billion15: 34 In part 2023, the number of people's complaints about Finmon banks increased by 128% compared to last year - NBUNOVY16: 29 Poloniex 29 Due Inflation fell to 53%. As prices have changed14: 22 profits of US companies will reach the highest quarterly growth per year - Reuters13: 14 Bank of Council of Europe Development can be joined in mortgage lending in Ukraine12: 06 banks continue to reduce deposits for deposits 11: 21 Kanada has introduced sanctions against Russian: : 10NBU reduced the time of return of currency for agro-exporters20: 02 Main a week: State Budget-2024 Card blocking and financial monitoring19: 14 deficiency of foreign trade in goods has twice exceeded last year's news on November 101 Market market is justified in the hryvnia in the present -day, the Baby Customs and Tax Service will be fuel in Ukraine after blocking the Polish border on November 1023. As financial institutions, they have been solved how much can be earned on legal hemp in Ukrainianner's reit apartments: how much you can earn on real estate and where to buy a auction auction3765/ 3775 UAH. 5%Piraeus Banking: Up to + 175%from myinfinado 17%Credit certificate Banksia: up to + 1%of the myinfinado 17%Creditiva bankkrediti by the landslides32.99% Back up to 500%to 200 000 UAH Back up to 10%up to 30 000 UAH and security : What you need to know the color of the land in Ukraine: stability despite the war-barsh and fast war. As the war is quenched Investors and investor-5 cryptocurrencies for withdrawing USDT in 2024 on November 924 Investments, so much money is needed to feel comfortable on retirement and where their encroached investment options allow them to retire to people of different VIFFAC. Companies working in the Russian Federation and investing in Ukraine - what to do with this to regulate for the subsistence minimum it will be possible to live and how it will change social payments on November 8 The full course pumps gas to Ukraine: why Europe wants to store fuel in the water -holding in 165 Ukrainian economies: to whom the US is guilty of the US and who buy their debt -land or real estate: where to invest Ukrainians on November 839 Representatives of the service sector to move to a new special regime of taxation of the non -existence of Odessa and Kharkiv are catching up with Kiev: in which cities of Ukraine they buy the most giving birthday savings the mostly "available mortgage 7%" but does not close it by the USA "Nabelya Nabelya Laurel. Growth: As this forecast, the Ministry of Finance continues to form our aggressive stock portfolio and tell how its cost has changed in the last few weeks to make money on the ATVD on the ATS market: TOP-5 of the most popular issues in private investories. in which November 7 will go on on November 716 Finnancedonomnation became more rigid: for which banks actually block the bills and what to do with it to do an algorithm of actions that will increase the chance to get access to their money by the money member of Ukraine. Katsuba: Do Naftogaz Naftogaz needed 6 November Markets The Markets played a party: why this week there will be cheerful and worst companies last week in the stock market with Sesagopolitics we should be ready to reduce or even stop US assistance: what replace it with a contractor and more than 5 ways Countries Actually nine signs of what you have chosen the right cryptograph to read more news to the error to report about the error in the text not working as a wish. The error message has been successfully sent. We will read and correct everything. networks: TrustPilot -app "Ministry of Finance currency" is available in the funds of the currency of the dollarkurs Eurocourgers NBUBANKS CARDS INVONTIVATION BROKERIMIZHERIMZKDOPITITATIFS ON GASCORTER Currency Private Private International Rating Privatbanking privatbanking Privatbankusbursbanbank information about Ukrsibbank Currency in UkrSibbankuvidgu about UkrSibbankCreditis UkrSibbankudoposis Ukrsibbankokvbanc. Currency in Savings Bankuvidgu on Savings BankCredates of Oschadbancudoposites of Savings Banking Oschadbankense Bank Information on the Sens-Bank Currency of Currency in the Sens-Bankuvidgu on the Sens-BankCrediti Bugguki about Pumbraditi Pumbideposites of Pumbusbukrugazban Information on Ukrgasbank Currency in Ukrgasbankuvidgu about Ukrgasbank Draft UKRGASBANCBANCHFAFAZEN BCCULED ABOUT RAFFAFISEN BUSINESS Currency in Raiffeisen Banuvidguki on Raiffeisen Banking Raiffeisen Bankudesen Banking Banking Banking Raiffeisen Banking Bank Bank ONBANKED INFORMATION ABOUT MONOBANKES ABOUT MONOBANKDposits Monobank Drafting Monobanka Language Auctioning Currency Currency Dolark European Plot-Currency Currency Currency Currency Currency In Kharkiv Currency In Odessa Currency In Lviv Currency Currency in Ivano-Frankivsk Currency Currency in Lutsk currency currency currency currency currency Tyne forumDex Inflation Ringing developers Densely Calculator Credit Cash and Monomical Salary Gives registration? API currency cursor minfin.com.uaro CONTACTORTAPRACTION CARERIRERAPRIPRIPTED USE OF USE THE CLIMENT these on insurance of the Article © 2008-2023 LLC "MinFinmedia". Egrapo code: 35506859 Copying and placement of materials on other sites is allowed only with a hyperlink of a species: www.minfin.com.ua Information on this page is not advertising of banking services. Berified bank information on products and services can be viewed on the official website of the respective bank. Phone: (044) 392-47-40 Call within the territory of Ukraine from all numbers of mobile and city communication operators under the tariffs of operators work schedule: Monday-Friday from 09:00 to 18:00 Legal address: Ukraine Kiev Vadima Vadima Hetman 1-B 3</v>
      </c>
    </row>
    <row r="481">
      <c r="A481" s="1" t="s">
        <v>1529</v>
      </c>
      <c r="B481" s="1" t="s">
        <v>1597</v>
      </c>
      <c r="C481" s="1" t="s">
        <v>1598</v>
      </c>
      <c r="D481" s="1">
        <v>18.0</v>
      </c>
      <c r="E481" s="4" t="s">
        <v>1599</v>
      </c>
      <c r="F481" s="1" t="s">
        <v>43</v>
      </c>
      <c r="I481" s="2"/>
      <c r="J481" s="5" t="str">
        <f>IFERROR(__xludf.DUMMYFUNCTION("GOOGLETRANSLATE(A481)"),"dollar")</f>
        <v>dollar</v>
      </c>
      <c r="K481" s="6" t="str">
        <f>IFERROR(__xludf.DUMMYFUNCTION("GOOGLETRANSLATE(B481)"),"US dollars and euros installed by the Bank of Russia")</f>
        <v>US dollars and euros installed by the Bank of Russia</v>
      </c>
      <c r="L481" s="5" t="str">
        <f>IFERROR(__xludf.DUMMYFUNCTION("GOOGLETRANSLATE(C481)"),"US and euros dollar rates established by the Bank of Russia. * The official US dollar exchange rate is given according to the information posted on the Central Bank server on the Internet (by ...")</f>
        <v>US and euros dollar rates established by the Bank of Russia. * The official US dollar exchange rate is given according to the information posted on the Central Bank server on the Internet (by ...</v>
      </c>
      <c r="M481" s="5" t="str">
        <f>IFERROR(__xludf.DUMMYFUNCTION("GOOGLETRANSLATE(G481)"),"#VALUE!")</f>
        <v>#VALUE!</v>
      </c>
    </row>
    <row r="482">
      <c r="A482" s="1" t="s">
        <v>1529</v>
      </c>
      <c r="B482" s="1" t="s">
        <v>1600</v>
      </c>
      <c r="C482" s="1" t="s">
        <v>1601</v>
      </c>
      <c r="D482" s="1">
        <v>19.0</v>
      </c>
      <c r="E482" s="4" t="s">
        <v>1602</v>
      </c>
      <c r="F482" s="1" t="s">
        <v>43</v>
      </c>
      <c r="G482" s="1" t="s">
        <v>1603</v>
      </c>
      <c r="H482" s="4" t="s">
        <v>1604</v>
      </c>
      <c r="I482" s="2"/>
      <c r="J482" s="5" t="str">
        <f>IFERROR(__xludf.DUMMYFUNCTION("GOOGLETRANSLATE(A482)"),"dollar")</f>
        <v>dollar</v>
      </c>
      <c r="K482" s="6" t="str">
        <f>IFERROR(__xludf.DUMMYFUNCTION("GOOGLETRANSLATE(B482)"),"Average annual exchange rates")</f>
        <v>Average annual exchange rates</v>
      </c>
      <c r="L482" s="5" t="str">
        <f>IFERROR(__xludf.DUMMYFUNCTION("GOOGLETRANSLATE(C482)"),"Transfer of foreign currency to US dollars. You must indicate the amounts that you report in your US tax return, in US dollars.")</f>
        <v>Transfer of foreign currency to US dollars. You must indicate the amounts that you report in your US tax return, in US dollars.</v>
      </c>
      <c r="M482" s="5" t="str">
        <f>IFERROR(__xludf.DUMMYFUNCTION("GOOGLETRANSLATE(G482)"),"Internal Revenue Service | An official website of the United States government      Skip to main content    Home PageAn official website of the United States Government      English      Español中文 (简体)中文 (繁體)한국어РусскийTiếng ViệtKreyòl ayisyenInformation M"&amp;"enuHelpNewsCharities &amp; NonprofitsTax Pros                    Search                    Toggle searchSearchInclude Historical Content- Any -NoInclude Historical Content- Any -NoSearch Help Menu MobileHelp                    Menu                    Toggle m"&amp;"enu Main navigation mobileFileOverviewINFORMATION FOR…IndividualsBusiness &amp; Self EmployedCharities and NonprofitsInternational TaxpayersFederal State and Local GovernmentsIndian Tribal GovernmentsTax Exempt BondsFILING FOR INDIVIDUALSWho Should FileHow to"&amp;" FileWhen to FileWhere to FileUpdate My InformationPOPULARGet Your Tax RecordApply for an Employer ID Number (EIN)Check Your Amended Return StatusGet an Identity Protection PIN (IP PIN)File Your Taxes for FreePayOverviewPAY BYBank Account (Direct Pay)Debi"&amp;"t or Credit CardPayment Plan (Installment Agreement)Electronic Federal Tax Payment System (EFTPS)POPULARYour Online AccountTax Withholding EstimatorEstimated TaxesPenaltiesRefundsOverviewWhere's My RefundWhat to ExpectDirect DepositReduced RefundsFix/Corr"&amp;"ect a ReturnCredits &amp; DeductionsOverviewINFORMATION FOR...Individuals            For you and your family          Businesses &amp; Self-Employed            Standard mileage and other information          POPULAREarned Income Credit (EITC)Advance Child Tax Cre"&amp;"ditStandard DeductionHealth CoverageRetirement PlansForms &amp; InstructionsOverviewPOPULAR FORMS &amp; INSTRUCTIONSForm 1040            Individual Tax Return          Form 1040 Instructions            Instructions for Form 1040           Form W-9            Requ"&amp;"est for Taxpayer Identification Number (TIN) and Certification          Form 4506-T            Request for Transcript of Tax Return          Form W-4            Employee's Withholding Certificate          Form 941            Employer's Quarterly Federal T"&amp;"ax Return          Form W-2            Employers engaged in a trade or business who pay compensation          Form 9465            Installment Agreement Request          POPULAR FOR TAX PROSForm 1040-X            Amend/Fix Return          Form 2848       "&amp;"     Apply for Power of Attorney          Form W-7            Apply for an ITIN          Circular 230            Rules Governing Practice before IRS          SearchInclude Historical Content- Any -NoInclude Historical Content- Any -NoSearchInformation Men"&amp;"uHelpNewsCharities &amp; NonprofitsTax ProsFileOverviewINFORMATION FOR…IndividualsBusiness &amp; Self EmployedCharities and NonprofitsInternational TaxpayersFederal State and Local GovernmentsIndian Tribal GovernmentsTax Exempt BondsFILING FOR INDIVIDUALSWho Shou"&amp;"ld FileHow to FileWhen to FileWhere to FileUpdate My InformationPOPULARGet Your Tax RecordApply for an Employer ID Number (EIN)Check Your Amended Return StatusGet an Identity Protection PIN (IP PIN)File Your Taxes for FreePayOverviewPAY BYBank Account (Di"&amp;"rect Pay)Debit or Credit CardPayment Plan (Installment Agreement)Electronic Federal Tax Payment System (EFTPS)POPULARYour Online AccountTax Withholding EstimatorEstimated TaxesPenaltiesRefundsOverviewWhere's My RefundWhat to ExpectDirect DepositReduced Re"&amp;"fundsFix/Correct a ReturnCredits &amp; DeductionsOverviewINFORMATION FOR...IndividualsBusinesses &amp; Self-EmployedPOPULAREarned Income Credit (EITC)Advance Child Tax CreditStandard DeductionHealth CoverageRetirement PlansForms &amp; InstructionsOverviewPOPULAR FORM"&amp;"S &amp; INSTRUCTIONSForm 1040Form 1040 InstructionsForm W-9Form 4506-TForm W-4Form 941Form W-2Form 9465POPULAR FOR TAX PROSForm 1040-XForm 2848Form W-7Circular 230Main navigation mobileFileOverviewINFORMATION FOR…IndividualsBusiness &amp; Self EmployedCharities a"&amp;"nd NonprofitsInternational TaxpayersFederal State and Local GovernmentsIndian Tribal GovernmentsTax Exempt BondsFILING FOR INDIVIDUALSWho Should FileHow to FileWhen to FileWhere to FileUpdate My InformationPOPULARGet Your Tax RecordApply for an Employer I"&amp;"D Number (EIN)Check Your Amended Return StatusGet an Identity Protection PIN (IP PIN)File Your Taxes for FreePayOverviewPAY BYBank Account (Direct Pay)Debit or Credit CardPayment Plan (Installment Agreement)Electronic Federal Tax Payment System (EFTPS)POP"&amp;"ULARYour Online AccountTax Withholding EstimatorEstimated TaxesPenaltiesRefundsOverviewWhere's My RefundWhat to ExpectDirect DepositReduced RefundsFix/Correct a ReturnCredits &amp; DeductionsOverviewINFORMATION FOR...Individuals            For you and your fa"&amp;"mily          Businesses &amp; Self-Employed            Standard mileage and other information          POPULAREarned Income Credit (EITC)Advance Child Tax CreditStandard DeductionHealth CoverageRetirement PlansForms &amp; InstructionsOverviewPOPULAR FORMS &amp; INST"&amp;"RUCTIONSForm 1040            Individual Tax Return          Form 1040 Instructions            Instructions for Form 1040           Form W-9            Request for Taxpayer Identification Number (TIN) and Certification          Form 4506-T            Reque"&amp;"st for Transcript of Tax Return          Form W-4            Employee's Withholding Certificate          Form 941            Employer's Quarterly Federal Tax Return          Form W-2            Employers engaged in a trade or business who pay compensation"&amp;"          Form 9465            Installment Agreement Request          POPULAR FOR TAX PROSForm 1040-X            Amend/Fix Return          Form 2848            Apply for Power of Attorney          Form W-7            Apply for an ITIN          Circular 23"&amp;"0            Rules Governing Practice before IRS          Main navigationFilePayRefundsCredits &amp; DeductionsForms &amp; InstructionsInfo Menu MobileHelpNewsCharities &amp; NonprofitsTax Pros            Helping people understand and meet their tax responsibilities "&amp;"          How can we help you? Get your tax record       Sign in to your Account       Get your refund status       Make a payment       Check your federal tax withholding       Apply for an Employer ID Number (EIN)       Get answers to your tax questions"&amp;"       Check your amended return status       Find forms &amp; instructions      Tools &amp; ApplicationsYour Online AccountView your tax records adjusted gross income and estimated tax payments.Go to your accountDocument Upload ToolUpload documents in response t"&amp;"o an IRS notice or letter.Submit requested filesWhere's My Refund?Find the status of your last return and check on your refund.Check your refund statusPay Directly From Your Bank AccountUse Direct Pay to securely pay your taxes from your checking or savin"&amp;"gs account.Pay your taxesGet Your Tax RecordsRequest your transcripts online or by mail.Get your transcriptIdentity Protection PIN (IP PIN)Protect yourself from tax-related identity theft.Register for your IP PINTax Withholding EstimatorMake sure you have"&amp;" the right amount of tax withheld from your paycheck.Check your withholdingInformation Returns Intake System (IRIS)Free electronic filing online portal to file Form 1099 series information returns.Submit your formsIRS2Go Mobile AppCheck your refund status"&amp;" make a payment get free tax help and more.Download the IRS2Go appTaxpayer Assistance Center LocatorFind your local office and see what services are available.Contact your local IRS OfficeNews &amp; AnnouncementsInflation Reduction Act Strategic Operating Pla"&amp;"nSee how the IRS will deliver transformational changeRead the PlanClean energy credits and deductionsUpdates on credits and deductions under the Inflation Reduction ActFind out moreA Closer LookNew: IRS is improving the taxpayer experienceFind out howEmpl"&amp;"oyee Retention CreditIRS is working on solutions for scam victimsGet the latest updatesIRS ends most unannounced home visitsIRS ends most unscheduled visits to taxpayers to end confusion and increase safetyLearn moreTax Updates and NewsSpecial updates and"&amp;" news for 2023Read the latest developmentsIRS operations statusCheck our current processing times for returns refunds and other services.Get the latest updatesPreparing for DisastersWhen disaster strikes you want to be prepared. Safeguard important docume"&amp;"nts in case of an emergency.IRS on TwitterFollow @IRSnews on Twitter for the latest news and announcements.Read the latest IRS tweetsFooter NavigationOur Agency About IRSCareersOperations and BudgetTax StatisticsHelpFind a Local OfficeKnow Your Rights Tax"&amp;"payer Bill of RightsTaxpayer Advocate ServiceIndependent Office of AppealsCivil Rights FOIANo FEAR Act DataResolve an Issue IRS Notices and LettersIdentity TheftPhishingTax FraudCriminal InvestigationWhistleblower OfficeLanguages Español中文 (简体)中文 (繁體)한국어P"&amp;"усскийTiếng ViệtKreyòl ayisyenEnglishOther LanguagesRelated Sites U.S. TreasuryTreasury Inspector General for Tax AdministrationUSA.govUSAspending.gov     SubfooterPrivacy PolicyAccessibility")</f>
        <v>Internal Revenue Service | An official website of the United States government      Skip to main content    Home PageAn official website of the United States Government      English      Español中文 (简体)中文 (繁體)한국어РусскийTiếng ViệtKreyòl ayisyenInformation MenuHelpNewsCharities &amp; NonprofitsTax Pros                    Search                    Toggle searchSearchInclude Historical Content- Any -NoInclude Historical Content- Any -NoSearch Help Menu MobileHelp                    Menu                    Toggle menu Main navigation mobileFileOverviewINFORMATION FOR…IndividualsBusiness &amp; Self EmployedCharities and NonprofitsInternational TaxpayersFederal State and Local GovernmentsIndian Tribal GovernmentsTax Exempt BondsFILING FOR INDIVIDUALSWho Should FileHow to FileWhen to FileWhere to FileUpdate My InformationPOPULARGet Your Tax RecordApply for an Employer ID Number (EIN)Check Your Amended Return StatusGet an Identity Protection PIN (IP PIN)File Your Taxes for FreePayOverviewPAY BYBank Account (Direct Pay)Debit or Credit CardPayment Plan (Installment Agreement)Electronic Federal Tax Payment System (EFTPS)POPULARYour Online AccountTax Withholding EstimatorEstimated TaxesPenaltiesRefundsOverviewWhere's My RefundWhat to ExpectDirect DepositReduced RefundsFix/Correct a ReturnCredits &amp; DeductionsOverviewINFORMATION FOR...Individuals            For you and your family          Businesses &amp; Self-Employed            Standard mileage and other information          POPULAREarned Income Credit (EITC)Advance Child Tax CreditStandard DeductionHealth CoverageRetirement PlansForms &amp; InstructionsOverviewPOPULAR FORMS &amp; INSTRUCTIONSForm 1040            Individual Tax Return          Form 1040 Instructions            Instructions for Form 1040           Form W-9            Request for Taxpayer Identification Number (TIN) and Certification          Form 4506-T            Request for Transcript of Tax Return          Form W-4            Employee's Withholding Certificate          Form 941            Employer's Quarterly Federal Tax Return          Form W-2            Employers engaged in a trade or business who pay compensation          Form 9465            Installment Agreement Request          POPULAR FOR TAX PROSForm 1040-X            Amend/Fix Return          Form 2848            Apply for Power of Attorney          Form W-7            Apply for an ITIN          Circular 230            Rules Governing Practice before IRS          SearchInclude Historical Content- Any -NoInclude Historical Content- Any -NoSearchInformation MenuHelpNewsCharities &amp; NonprofitsTax ProsFileOverviewINFORMATION FOR…IndividualsBusiness &amp; Self EmployedCharities and NonprofitsInternational TaxpayersFederal State and Local GovernmentsIndian Tribal GovernmentsTax Exempt BondsFILING FOR INDIVIDUALSWho Should FileHow to FileWhen to FileWhere to FileUpdate My InformationPOPULARGet Your Tax RecordApply for an Employer ID Number (EIN)Check Your Amended Return StatusGet an Identity Protection PIN (IP PIN)File Your Taxes for FreePayOverviewPAY BYBank Account (Direct Pay)Debit or Credit CardPayment Plan (Installment Agreement)Electronic Federal Tax Payment System (EFTPS)POPULARYour Online AccountTax Withholding EstimatorEstimated TaxesPenaltiesRefundsOverviewWhere's My RefundWhat to ExpectDirect DepositReduced RefundsFix/Correct a ReturnCredits &amp; DeductionsOverviewINFORMATION FOR...IndividualsBusinesses &amp; Self-EmployedPOPULAREarned Income Credit (EITC)Advance Child Tax CreditStandard DeductionHealth CoverageRetirement PlansForms &amp; InstructionsOverviewPOPULAR FORMS &amp; INSTRUCTIONSForm 1040Form 1040 InstructionsForm W-9Form 4506-TForm W-4Form 941Form W-2Form 9465POPULAR FOR TAX PROSForm 1040-XForm 2848Form W-7Circular 230Main navigation mobileFileOverviewINFORMATION FOR…IndividualsBusiness &amp; Self EmployedCharities and NonprofitsInternational TaxpayersFederal State and Local GovernmentsIndian Tribal GovernmentsTax Exempt BondsFILING FOR INDIVIDUALSWho Should FileHow to FileWhen to FileWhere to FileUpdate My InformationPOPULARGet Your Tax RecordApply for an Employer ID Number (EIN)Check Your Amended Return StatusGet an Identity Protection PIN (IP PIN)File Your Taxes for FreePayOverviewPAY BYBank Account (Direct Pay)Debit or Credit CardPayment Plan (Installment Agreement)Electronic Federal Tax Payment System (EFTPS)POPULARYour Online AccountTax Withholding EstimatorEstimated TaxesPenaltiesRefundsOverviewWhere's My RefundWhat to ExpectDirect DepositReduced RefundsFix/Correct a ReturnCredits &amp; DeductionsOverviewINFORMATION FOR...Individuals            For you and your family          Businesses &amp; Self-Employed            Standard mileage and other information          POPULAREarned Income Credit (EITC)Advance Child Tax CreditStandard DeductionHealth CoverageRetirement PlansForms &amp; InstructionsOverviewPOPULAR FORMS &amp; INSTRUCTIONSForm 1040            Individual Tax Return          Form 1040 Instructions            Instructions for Form 1040           Form W-9            Request for Taxpayer Identification Number (TIN) and Certification          Form 4506-T            Request for Transcript of Tax Return          Form W-4            Employee's Withholding Certificate          Form 941            Employer's Quarterly Federal Tax Return          Form W-2            Employers engaged in a trade or business who pay compensation          Form 9465            Installment Agreement Request          POPULAR FOR TAX PROSForm 1040-X            Amend/Fix Return          Form 2848            Apply for Power of Attorney          Form W-7            Apply for an ITIN          Circular 230            Rules Governing Practice before IRS          Main navigationFilePayRefundsCredits &amp; DeductionsForms &amp; InstructionsInfo Menu MobileHelpNewsCharities &amp; NonprofitsTax Pros            Helping people understand and meet their tax responsibilities           How can we help you? Get your tax record       Sign in to your Account       Get your refund status       Make a payment       Check your federal tax withholding       Apply for an Employer ID Number (EIN)       Get answers to your tax questions       Check your amended return status       Find forms &amp; instructions      Tools &amp; ApplicationsYour Online AccountView your tax records adjusted gross income and estimated tax payments.Go to your accountDocument Upload ToolUpload documents in response to an IRS notice or letter.Submit requested filesWhere's My Refund?Find the status of your last return and check on your refund.Check your refund statusPay Directly From Your Bank AccountUse Direct Pay to securely pay your taxes from your checking or savings account.Pay your taxesGet Your Tax RecordsRequest your transcripts online or by mail.Get your transcriptIdentity Protection PIN (IP PIN)Protect yourself from tax-related identity theft.Register for your IP PINTax Withholding EstimatorMake sure you have the right amount of tax withheld from your paycheck.Check your withholdingInformation Returns Intake System (IRIS)Free electronic filing online portal to file Form 1099 series information returns.Submit your formsIRS2Go Mobile AppCheck your refund status make a payment get free tax help and more.Download the IRS2Go appTaxpayer Assistance Center LocatorFind your local office and see what services are available.Contact your local IRS OfficeNews &amp; AnnouncementsInflation Reduction Act Strategic Operating PlanSee how the IRS will deliver transformational changeRead the PlanClean energy credits and deductionsUpdates on credits and deductions under the Inflation Reduction ActFind out moreA Closer LookNew: IRS is improving the taxpayer experienceFind out howEmployee Retention CreditIRS is working on solutions for scam victimsGet the latest updatesIRS ends most unannounced home visitsIRS ends most unscheduled visits to taxpayers to end confusion and increase safetyLearn moreTax Updates and NewsSpecial updates and news for 2023Read the latest developmentsIRS operations statusCheck our current processing times for returns refunds and other services.Get the latest updatesPreparing for DisastersWhen disaster strikes you want to be prepared. Safeguard important documents in case of an emergency.IRS on TwitterFollow @IRSnews on Twitter for the latest news and announcements.Read the latest IRS tweetsFooter NavigationOur Agency About IRSCareersOperations and BudgetTax StatisticsHelpFind a Local OfficeKnow Your Rights Taxpayer Bill of RightsTaxpayer Advocate ServiceIndependent Office of AppealsCivil Rights FOIANo FEAR Act DataResolve an Issue IRS Notices and LettersIdentity TheftPhishingTax FraudCriminal InvestigationWhistleblower OfficeLanguages Español中文 (简体)中文 (繁體)한국어PусскийTiếng ViệtKreyòl ayisyenEnglishOther LanguagesRelated Sites U.S. TreasuryTreasury Inspector General for Tax AdministrationUSA.govUSAspending.gov     SubfooterPrivacy PolicyAccessibility</v>
      </c>
    </row>
    <row r="483">
      <c r="A483" s="1" t="s">
        <v>1529</v>
      </c>
      <c r="B483" s="1" t="s">
        <v>1605</v>
      </c>
      <c r="C483" s="1" t="s">
        <v>1606</v>
      </c>
      <c r="D483" s="1">
        <v>28.0</v>
      </c>
      <c r="E483" s="4" t="s">
        <v>1607</v>
      </c>
      <c r="F483" s="1" t="s">
        <v>43</v>
      </c>
      <c r="G483" s="1" t="s">
        <v>1560</v>
      </c>
      <c r="H483" s="4" t="s">
        <v>1561</v>
      </c>
      <c r="I483" s="2"/>
      <c r="J483" s="5" t="str">
        <f>IFERROR(__xludf.DUMMYFUNCTION("GOOGLETRANSLATE(A483)"),"dollar")</f>
        <v>dollar</v>
      </c>
      <c r="K483" s="6" t="str">
        <f>IFERROR(__xludf.DUMMYFUNCTION("GOOGLETRANSLATE(B483)"),"Bank of Russia: Central Bank of the Russian Federation")</f>
        <v>Bank of Russia: Central Bank of the Russian Federation</v>
      </c>
      <c r="L483" s="5" t="str">
        <f>IFERROR(__xludf.DUMMYFUNCTION("GOOGLETRANSLATE(C483)"),"08.11.2023 - 09.11.2023. Wed, 08.11, 98,7863 ₽, -0,2248 ₽. Th, 09.11, 98,4403 ₽, -0.3460 ₽. Official Course of the Bank of Russia. All indicators. Subscription. News ...")</f>
        <v>08.11.2023 - 09.11.2023. Wed, 08.11, 98,7863 ₽, -0,2248 ₽. Th, 09.11, 98,4403 ₽, -0.3460 ₽. Official Course of the Bank of Russia. All indicators. Subscription. News ...</v>
      </c>
      <c r="M483" s="5" t="str">
        <f>IFERROR(__xludf.DUMMYFUNCTION("GOOGLETRANSLATE(G483)"),"Central Bank of the Russian Federation | The Bank of the Russian Bank for the Protection of the Financial Market on the Internet of the Interpretation-acceptance of the Seturoen Central Bank of the Russian Federation on the Monetary and Credit Policy of 2"&amp;"023 The Safety of Financial Services 7-30 On November November Fintrect How are the economic success and culture related? 15: 00-11: 00vsai online -the on financial literacy on November 1-21 Online No. 70 (2466) Bank of the Bank of Russiaot on November 92"&amp;"3, 2023 Central Bank of the Russian Federation, to find accounts on the monetary policy of 2023, the security of financial services on November 7-30, Online Perebinarov “Fintrek” how economic success and culture are related ? November 15 10: 00-11: 00 Per"&amp;"evetsers Russian online literacy in financial literacy on November 1-21 online Revelet No. 70 (2466) Bank of the Bank of Russia on November 9, 2023, Bank of Russia, Interpretation-acceptance and response to the financial organization of the participant of"&amp;" the information metabolism of the Bank of Russia that you want Find? Search for the activity of the financial markets and data to the Bank of Russia Servic-Sishes of the Financial Market Protection+7 499 300-30-008 800 300-30-00300 FOR CARNSIONS FROM CAL"&amp;"LICALS of the Bank of the Russian Contact Contact Cardao Cardao Settish Punishment of the Financial Organization of the Interview of the Interview on the Inflationary School 40% Inflation October 202367% key rate with 30.10.20231500% rate RUONIA09.1 5 ₽ O"&amp;"fficial Course of the Bank of the Russian Russian Signature Signature and Updates Site for the educational portal linear-analytical portal journal “Money and Credit” of the Central Bank Online Museum of the Bank of Russia Kontakta for the mercy of the Ban"&amp;"k of Russia for publications of publications-alelial documents of the Bank of Russia 2022. The main directions of the development of the financial market of the Russian Federation for 2023 and the period 2024 and 2025 annual directions of the unified stat"&amp;"e monetary policy For 2023 and period 2024 and 2025 02.11.2022, the results of the Bank of Russia: Briefly about the main 2022. Strategy for the development of the national payment system for 2021 - 2023, the main directions of the development of cash cir"&amp;"culation for 2021–2025 Suptech and regtech technology development period 2021-2023 The anniversary of the monetary policy of politics No. 4 (40) • October Review of financial stability of 2022-I quarter of 2023. Promising directions of development of bank"&amp;"ing regulation and superpowers-male tossist of rapid payments of the regulatory loading enterprise. Opked reports of the reports of quick payments of quick payments Timization of the regulatory loading of enterprises opened standard Reporting up107016 Mos"&amp;"cow st. Neglinnaya d. 12 K. in Bankruptia Personal cabinet of market participants with investors of insider information of the Bank of Russia of Russia -offering of regulatory acts of the Bank of Russia Projects of the Bank of Russia is listening to non -"&amp;"working holidays and weekends of the website of the website of the website of corruption -free resource version Russia used Cookie. on www.cbr.ru you accept the user agreement to confirm")</f>
        <v>Central Bank of the Russian Federation | The Bank of the Russian Bank for the Protection of the Financial Market on the Internet of the Interpretation-acceptance of the Seturoen Central Bank of the Russian Federation on the Monetary and Credit Policy of 2023 The Safety of Financial Services 7-30 On November November Fintrect How are the economic success and culture related? 15: 00-11: 00vsai online -the on financial literacy on November 1-21 Online No. 70 (2466) Bank of the Bank of Russiaot on November 923, 2023 Central Bank of the Russian Federation, to find accounts on the monetary policy of 2023, the security of financial services on November 7-30, Online Perebinarov “Fintrek” how economic success and culture are related ? November 15 10: 00-11: 00 Perevetsers Russian online literacy in financial literacy on November 1-21 online Revelet No. 70 (2466) Bank of the Bank of Russia on November 9, 2023, Bank of Russia, Interpretation-acceptance and response to the financial organization of the participant of the information metabolism of the Bank of Russia that you want Find? Search for the activity of the financial markets and data to the Bank of Russia Servic-Sishes of the Financial Market Protection+7 499 300-30-008 800 300-30-00300 FOR CARNSIONS FROM CALLICALS of the Bank of the Russian Contact Contact Cardao Cardao Settish Punishment of the Financial Organization of the Interview of the Interview on the Inflationary School 40% Inflation October 202367% key rate with 30.10.20231500% rate RUONIA09.1 5 ₽ Official Course of the Bank of the Russian Russian Signature Signature and Updates Site for the educational portal linear-analytical portal journal “Money and Credit” of the Central Bank Online Museum of the Bank of Russia Kontakta for the mercy of the Bank of Russia for publications of publications-alelial documents of the Bank of Russia 2022. The main directions of the development of the financial market of the Russian Federation for 2023 and the period 2024 and 2025 annual directions of the unified state monetary policy For 2023 and period 2024 and 2025 02.11.2022, the results of the Bank of Russia: Briefly about the main 2022. Strategy for the development of the national payment system for 2021 - 2023, the main directions of the development of cash circulation for 2021–2025 Suptech and regtech technology development period 2021-2023 The anniversary of the monetary policy of politics No. 4 (40) • October Review of financial stability of 2022-I quarter of 2023. Promising directions of development of banking regulation and superpowers-male tossist of rapid payments of the regulatory loading enterprise. Opked reports of the reports of quick payments of quick payments Timization of the regulatory loading of enterprises opened standard Reporting up107016 Moscow st. Neglinnaya d. 12 K. in Bankruptia Personal cabinet of market participants with investors of insider information of the Bank of Russia of Russia -offering of regulatory acts of the Bank of Russia Projects of the Bank of Russia is listening to non -working holidays and weekends of the website of the website of the website of corruption -free resource version Russia used Cookie. on www.cbr.ru you accept the user agreement to confirm</v>
      </c>
    </row>
    <row r="484">
      <c r="A484" s="1" t="s">
        <v>1608</v>
      </c>
      <c r="B484" s="1" t="s">
        <v>1609</v>
      </c>
      <c r="D484" s="1">
        <v>1.0</v>
      </c>
      <c r="E484" s="4" t="s">
        <v>1610</v>
      </c>
      <c r="F484" s="1" t="s">
        <v>43</v>
      </c>
      <c r="G484" s="1" t="s">
        <v>1611</v>
      </c>
      <c r="H484" s="4" t="s">
        <v>1612</v>
      </c>
      <c r="I484" s="2"/>
      <c r="J484" s="5" t="str">
        <f>IFERROR(__xludf.DUMMYFUNCTION("GOOGLETRANSLATE(A484)"),"tendency")</f>
        <v>tendency</v>
      </c>
      <c r="K484" s="6" t="str">
        <f>IFERROR(__xludf.DUMMYFUNCTION("GOOGLETRANSLATE(B484)"),"Mail.Ru: mail, search, news, weather forecast, horoscope ...")</f>
        <v>Mail.Ru: mail, search, news, weather forecast, horoscope ...</v>
      </c>
      <c r="L484" s="5" t="str">
        <f>IFERROR(__xludf.DUMMYFUNCTION("GOOGLETRANSLATE(C484)"),"#VALUE!")</f>
        <v>#VALUE!</v>
      </c>
      <c r="M484" s="5" t="str">
        <f>IFERROR(__xludf.DUMMYFUNCTION("GOOGLETRANSLATE(G484)"),"Mail Search on the Internet Game Mails Academy of Mails MiRorodnoklassnikvkavkontaktegryznakottaktegravakosti -namilogolkoblakovk Combones projects for a project of a project of a detachment of the detection of the new cosepaeal name or password@mail.ru@l"&amp;"ist.ru@bk.ru@@xbailern Ternet.ru The name of the drawer is remembered Password? Registration in the venue by modern calendar-resistant-Kinotokinoi-ladershi-Techs of the Russian Federation destroyed four mortar calculations of the APU near Kupyansky of a t"&amp;"otal of a total of up to 50 military personnel per day in this direction were announced by the head of the USAS group, Sergei Zybinsky Ssmotlet, crashed in the Mediterranean Mediternery: Regulations of the Mediterranean Mores. 2020 lured the Wagner PMC to"&amp;" Belarus Tokyo about the most serious threat since the Second World War II will fight for the UFC title in the heavy Vesecurs of the dollar. The forecast for November 13-17, you need to sit to properly measure the pressure of Vnukovo, introduced restricti"&amp;"ons on the reception and departure of airplane. Passed airstrikes on militants in Syriazrail. Objects for objects in Syriandorsyan-in the ""Death Group"": the final fines for violation of the Department of Highlights for violation Everywhere Anschlag expl"&amp;"ained why she was not leaving from Russia, the weather 10 at night +2 tomorrow +10 CB COUR COURS from 11.11 $ 92.05 +0.13 € 98.32-0.09.09.09.THOM-The day will be good but to avoid minor misunderstandings. With difficulties, they can ... TV programnft 82.7"&amp;"1+0.95 Land do good deeds! Mail.ru of the company advertising mobile applications, the Krasnodar-Krasnodar finished the first RPL circle to the first Mestesankt-Petersburg on November 11. /TASS/. “Krasnodar” and Petersburg “Zenit” tied with a score of 1: "&amp;"1 in the match of the 15th round of the world-the Russian Premier League (RPL). The meeting was held at Gazprom-Arena in St. Petersburg in the presence of 46,701 spectators. The Ak Barca failure and the other results of the Saturday at the Bellator KHLCHC"&amp;"HOPION Nurmagomedov disqualified Zakharyan went out at the start of the LAG LIGA match and made the result of the Spartak match and the result Rostov will complete the first round of the RPLROSIAN- in the “Death Group”: three Russians are starting the fin"&amp;"al tournament at one match of the NHL “Best Match of the Chechen Republic”: Vasily Utkin- about the game “Zenit”- “Krasnodar” the match of the championship of Brazil. -Ah fan -hutshabib Nurmagomedov, a mass fight was criticized by the United States for su"&amp;"pporting Israeli Rangers, the wife and son of Artemy Panarin came: Photosyn Kokorina scored five goals in the first match for the Arisa Academy Alina Zagitova published a video from the university for violation of the traffic rules in Belarusiani Ratigate"&amp;"d the agreement on the agreement Cooperation with the Republic of Belarus: Russian drivers will answer for violation of traffic rules according to the laws of the Republic of Belarus but at the Russian course.nissan gt-r R35 for drift: Washington’s evil a"&amp;"nd very steep police asks to find a car that the penalty for warming up the engine experts told what countries to Russia to Russia. The tourist -wide of the most common ways to cheat in car service in car service not to run into a penalty to the rawfish t"&amp;"o check the air conditioner before buying a machine of the car, I published another photo of the new generation Camry 20 -evidence of the genius of the creators of the Oldsmobile -Eagle -Gulf: how does the insurance of the CASTO will be distinguished if i"&amp;"t will not change the oil in motor drivers. To act in the Russian Federation in 2024, Pitt was published with the new lover -usople: the actor was noticed at the event with the new lover Ines de Ramonsmi found out the fee and Ryder Valery Meladzeserghe Be"&amp;"zrukov believes that children should be educated with the help of artistamilokhin, he appreciated his decision to leave the rossy sukachev admitted to the longing for the longing for Mikhail Efremova “Eths” is returned by actors stopping the way: Nedikris"&amp;"tina Asmus's news told about difficult shooting after a fracture of the Foga Mufas: King Leo King was postponed to the December of 2024 to hot pursuit: 10 new intriguing Russian detective seronophinists about Ilona Masafinalist “Factories of Star Fabrics "&amp;"""He spoke about the"" blat ""on the project of the Russian stars fees for performances on New Year's Eve AARTURTURT:"" They said to me: ""You are a cadet."" It’s also good but I am also an actor ”manicure chrombra: what does this mean and how he became p"&amp;"opular with the connection of two significant trends in 2023, showed an honest photo of Alla Pugacheva on Cyprosyrina Shayk described life in Russia with the words“ I hated to be a girl ”Timur Rodriguez was released with a star The series ""Club"" Ekateri"&amp;"na Kabakredny Exit: Ivan Yankovsky and Diana Pozharskaya shone at the secular evening, Matveyev Pegova and other stars at the 125th anniversary of the Moscow Art Theater of Stylish Manicure's Stylish ideas from the master Adele Kalyli Jenner and Haley Bib"&amp;"erpolina Gagarin stopped hiding her lover Barnabas for the first time in a long time. About the personal life of 3 stylish receptions of the 10s that again in the fashion of Call of Duty: Warzone 2.0 will appear a new Ashika island map Ashika Location wil"&amp;"l be released with the start of the second season of Overwatch 2 season, a mythical custom-made image for Kirikosony has shipped 32 million PS5 Less than PS4 for the same period of the same period of theatomic Heart Hogwarts Legacy and Returnal: what to p"&amp;"lay in February the new Gameplay trailer WANTED: Dead-it was dedicated to the enemies of the Cyberpunk 2077 Provation and after Patcharockstar released the “Anti-Charker” references Cosplay with Bubble Comics Con 2023 GEMEMENT showed Fallout: New VEGAS on"&amp;" the Far Cry 5Sony engine announced the fast closure of PS Plus Colleement: EA canceled the unhanged single game on Titanfall February in PS Plus will be distributed to Destiny 2: Beoney AFIALARDARY NAVI player in Dota 2 told how to cope With the defeat o"&amp;"f the Miracles, the secret of the British “jumping bombs” in the Second World Wheel to what this is the most popular password of 2023: do not use the Import cheap Apple Watch still threw it off in price: where the lunar eclipse will take place from differ"&amp;"ent worlds to buy models of different worlds: how to see Redmi Note - A smartphone with a flagship screen and an affordable pricing -storey and wheels: on the Web showed the houses of the future, the Russians after leaving the “Tinder” in Russia released "&amp;"microphones the size of a pea (photo) Xiaomi smart bracelet for 3 thousand rubles surprised the journalistic examination at the world's only office on rails ( Photo) The lunar eclipse will take place in Steam Gopnik simulator for 25 rubles. Here's what yo"&amp;"u need to know, the connection error is made up, you can switch between several mailboxes. Know more → Choose your city from the list is in the city? Danet")</f>
        <v>Mail Search on the Internet Game Mails Academy of Mails MiRorodnoklassnikvkavkontaktegryznakottaktegravakosti -namilogolkoblakovk Combones projects for a project of a project of a detachment of the detection of the new cosepaeal name or password@mail.ru@list.ru@bk.ru@@xbailern Ternet.ru The name of the drawer is remembered Password? Registration in the venue by modern calendar-resistant-Kinotokinoi-ladershi-Techs of the Russian Federation destroyed four mortar calculations of the APU near Kupyansky of a total of a total of up to 50 military personnel per day in this direction were announced by the head of the USAS group, Sergei Zybinsky Ssmotlet, crashed in the Mediterranean Mediternery: Regulations of the Mediterranean Mores. 2020 lured the Wagner PMC to Belarus Tokyo about the most serious threat since the Second World War II will fight for the UFC title in the heavy Vesecurs of the dollar. The forecast for November 13-17, you need to sit to properly measure the pressure of Vnukovo, introduced restrictions on the reception and departure of airplane. Passed airstrikes on militants in Syriazrail. Objects for objects in Syriandorsyan-in the "Death Group": the final fines for violation of the Department of Highlights for violation Everywhere Anschlag explained why she was not leaving from Russia, the weather 10 at night +2 tomorrow +10 CB COUR COURS from 11.11 $ 92.05 +0.13 € 98.32-0.09.09.09.THOM-The day will be good but to avoid minor misunderstandings. With difficulties, they can ... TV programnft 82.71+0.95 Land do good deeds! Mail.ru of the company advertising mobile applications, the Krasnodar-Krasnodar finished the first RPL circle to the first Mestesankt-Petersburg on November 11. /TASS/. “Krasnodar” and Petersburg “Zenit” tied with a score of 1: 1 in the match of the 15th round of the world-the Russian Premier League (RPL). The meeting was held at Gazprom-Arena in St. Petersburg in the presence of 46,701 spectators. The Ak Barca failure and the other results of the Saturday at the Bellator KHLCHCHOPION Nurmagomedov disqualified Zakharyan went out at the start of the LAG LIGA match and made the result of the Spartak match and the result Rostov will complete the first round of the RPLROSIAN- in the “Death Group”: three Russians are starting the final tournament at one match of the NHL “Best Match of the Chechen Republic”: Vasily Utkin- about the game “Zenit”- “Krasnodar” the match of the championship of Brazil. -Ah fan -hutshabib Nurmagomedov, a mass fight was criticized by the United States for supporting Israeli Rangers, the wife and son of Artemy Panarin came: Photosyn Kokorina scored five goals in the first match for the Arisa Academy Alina Zagitova published a video from the university for violation of the traffic rules in Belarusiani Ratigated the agreement on the agreement Cooperation with the Republic of Belarus: Russian drivers will answer for violation of traffic rules according to the laws of the Republic of Belarus but at the Russian course.nissan gt-r R35 for drift: Washington’s evil and very steep police asks to find a car that the penalty for warming up the engine experts told what countries to Russia to Russia. The tourist -wide of the most common ways to cheat in car service in car service not to run into a penalty to the rawfish to check the air conditioner before buying a machine of the car, I published another photo of the new generation Camry 20 -evidence of the genius of the creators of the Oldsmobile -Eagle -Gulf: how does the insurance of the CASTO will be distinguished if it will not change the oil in motor drivers. To act in the Russian Federation in 2024, Pitt was published with the new lover -usople: the actor was noticed at the event with the new lover Ines de Ramonsmi found out the fee and Ryder Valery Meladzeserghe Bezrukov believes that children should be educated with the help of artistamilokhin, he appreciated his decision to leave the rossy sukachev admitted to the longing for the longing for Mikhail Efremova “Eths” is returned by actors stopping the way: Nedikristina Asmus's news told about difficult shooting after a fracture of the Foga Mufas: King Leo King was postponed to the December of 2024 to hot pursuit: 10 new intriguing Russian detective seronophinists about Ilona Masafinalist “Factories of Star Fabrics "He spoke about the" blat "on the project of the Russian stars fees for performances on New Year's Eve AARTURTURT:" They said to me: "You are a cadet." It’s also good but I am also an actor ”manicure chrombra: what does this mean and how he became popular with the connection of two significant trends in 2023, showed an honest photo of Alla Pugacheva on Cyprosyrina Shayk described life in Russia with the words“ I hated to be a girl ”Timur Rodriguez was released with a star The series "Club" Ekaterina Kabakredny Exit: Ivan Yankovsky and Diana Pozharskaya shone at the secular evening, Matveyev Pegova and other stars at the 125th anniversary of the Moscow Art Theater of Stylish Manicure's Stylish ideas from the master Adele Kalyli Jenner and Haley Biberpolina Gagarin stopped hiding her lover Barnabas for the first time in a long time. About the personal life of 3 stylish receptions of the 10s that again in the fashion of Call of Duty: Warzone 2.0 will appear a new Ashika island map Ashika Location will be released with the start of the second season of Overwatch 2 season, a mythical custom-made image for Kirikosony has shipped 32 million PS5 Less than PS4 for the same period of the same period of theatomic Heart Hogwarts Legacy and Returnal: what to play in February the new Gameplay trailer WANTED: Dead-it was dedicated to the enemies of the Cyberpunk 2077 Provation and after Patcharockstar released the “Anti-Charker” references Cosplay with Bubble Comics Con 2023 GEMEMENT showed Fallout: New VEGAS on the Far Cry 5Sony engine announced the fast closure of PS Plus Colleement: EA canceled the unhanged single game on Titanfall February in PS Plus will be distributed to Destiny 2: Beoney AFIALARDARY NAVI player in Dota 2 told how to cope With the defeat of the Miracles, the secret of the British “jumping bombs” in the Second World Wheel to what this is the most popular password of 2023: do not use the Import cheap Apple Watch still threw it off in price: where the lunar eclipse will take place from different worlds to buy models of different worlds: how to see Redmi Note - A smartphone with a flagship screen and an affordable pricing -storey and wheels: on the Web showed the houses of the future, the Russians after leaving the “Tinder” in Russia released microphones the size of a pea (photo) Xiaomi smart bracelet for 3 thousand rubles surprised the journalistic examination at the world's only office on rails ( Photo) The lunar eclipse will take place in Steam Gopnik simulator for 25 rubles. Here's what you need to know, the connection error is made up, you can switch between several mailboxes. Know more → Choose your city from the list is in the city? Danet</v>
      </c>
    </row>
    <row r="485">
      <c r="A485" s="1" t="s">
        <v>1608</v>
      </c>
      <c r="B485" s="1" t="s">
        <v>1613</v>
      </c>
      <c r="D485" s="1">
        <v>2.0</v>
      </c>
      <c r="E485" s="4" t="s">
        <v>1614</v>
      </c>
      <c r="F485" s="1" t="s">
        <v>43</v>
      </c>
      <c r="G485" s="1" t="s">
        <v>1615</v>
      </c>
      <c r="H485" s="4" t="s">
        <v>1616</v>
      </c>
      <c r="I485" s="2"/>
      <c r="J485" s="5" t="str">
        <f>IFERROR(__xludf.DUMMYFUNCTION("GOOGLETRANSLATE(A485)"),"tendency")</f>
        <v>tendency</v>
      </c>
      <c r="K485" s="6" t="str">
        <f>IFERROR(__xludf.DUMMYFUNCTION("GOOGLETRANSLATE(B485)"),"Email - Gmail - Google")</f>
        <v>Email - Gmail - Google</v>
      </c>
      <c r="L485" s="5" t="str">
        <f>IFERROR(__xludf.DUMMYFUNCTION("GOOGLETRANSLATE(C485)"),"#VALUE!")</f>
        <v>#VALUE!</v>
      </c>
      <c r="M485" s="5" t="str">
        <f>IFERROR(__xludf.DUMMYFUNCTION("GOOGLETRANSLATE(G485)"),"galm into continue to gmailemail or phoneforgot email?not your computer? Use a private browsing window to sign in. Learn Morenextcreate AccountAfrikaansazərBaycanbosanskitalskitalàtinanymraegdanskdeutskeestienglish (United Kingdom)EnglishEnglish (United S"&amp;"tates)Español (Spaña)Franágasí)Eusrafilica). Gegalegohrvatsiaisuluíslenslenskaniswahilaswahilaswahilitwahililatvietuvišmagyarmelayaderlandsnorskporturguês (Brasilsilsiluguguês (portugal)romentonsklovenárpslovenven ng ViệttttttoελλληικάбеллууууConаябъгарск"&amp;"икыргыачаікссаі.і.і.і.і.і.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f>
        <v>galm into continue to gmailemail or phoneforgot email?not your computer? Use a private browsing window to sign in. Learn Morenextcreate AccountAfrikaansazərBaycanbosanskitalskitalàtinanymraegdanskdeutskeestienglish (United Kingdom)EnglishEnglish (United States)Español (Spaña)Franágasí)Eusrafilica). Gegalegohrvatsiaisuluíslenslenskaniswahilaswahilaswahilitwahililatvietuvišmagyarmelayaderlandsnorskporturguês (Brasilsilsiluguguês (portugal)romentonsklovenárpslovenven ng ViệttttttoελλληικάбеллууууConаябъгарскикыргыачаікссаі.і.і.і.і.і.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v>
      </c>
    </row>
    <row r="486">
      <c r="A486" s="1" t="s">
        <v>1608</v>
      </c>
      <c r="B486" s="1" t="s">
        <v>1617</v>
      </c>
      <c r="D486" s="1">
        <v>3.0</v>
      </c>
      <c r="E486" s="4" t="s">
        <v>1618</v>
      </c>
      <c r="F486" s="1" t="s">
        <v>43</v>
      </c>
      <c r="G486" s="1" t="s">
        <v>1619</v>
      </c>
      <c r="H486" s="4" t="s">
        <v>1620</v>
      </c>
      <c r="I486" s="2"/>
      <c r="J486" s="5" t="str">
        <f>IFERROR(__xludf.DUMMYFUNCTION("GOOGLETRANSLATE(A486)"),"tendency")</f>
        <v>tendency</v>
      </c>
      <c r="K486" s="6" t="str">
        <f>IFERROR(__xludf.DUMMYFUNCTION("GOOGLETRANSLATE(B486)"),"Free email accounts with mail.com | Log in here or register today")</f>
        <v>Free email accounts with mail.com | Log in here or register today</v>
      </c>
      <c r="L486" s="5" t="str">
        <f>IFERROR(__xludf.DUMMYFUNCTION("GOOGLETRANSLATE(C486)"),"#VALUE!")</f>
        <v>#VALUE!</v>
      </c>
      <c r="M486" s="5" t="str">
        <f>IFERROR(__xludf.DUMMYFUNCTION("GOOGLETRANSLATE(G486)"),"Free email accounts with mail.com | Log in here or register today  Please enable JavaScript to experience the full functionality of mail.com.Login SSLEmail addressPasswordLog inForgot password?Keep me logged in!Premium LoginSign upSearchSearchSign upSign "&amp;"upLog inEmailEmailCreate email accountDomainsMail appEmail address ideas Business emailMail CollectorMailCheckPremiumFeaturesOrganizerContactsOnline OfficeSearchFirefox + mail.comCloudCloudCloud backupFile sharingCloud upgradeCloud for Windows &amp; macOS Sec"&amp;"uritySecuritySpam filterAntivirusPasswordTwo-factor authenticationSupportMigration serviceFirst steps webmailFirst steps AndroidFirst steps iOSHelp &amp; Contact CenterBlogSign up SPONSORED NEWS        MAIL.COM EMAILmail.com - the right email address for you "&amp;"Free email &amp; cloud storage Secure business email High domain name availabilityChoose usernameChoose domain@mail.com@email.com@usa.com@myself.com@consultant.com@post.com@europe.com@asia.com@iname.com@writeme.com@dr.com@cheerful.com@accountant.com@techie.co"&amp;"m@engineer.com@linuxmail.org@musician.org@contractor.net@workmail.com@financier.comEmail tools &amp; features        DomainsChoose from 100+ email domains        Email Create a free email account at mail.com         featuresPractical mail features – from apps"&amp;" to virus protectionMail.com Blog              CybersecurityWhat is typosquatting? Types and examplesTyposquatting and website hijacking can open the door to phishing and other cybersecurity risks. Learn how to steer clear of ...              SpamEmail sp"&amp;"am: Why do I get spam messages &amp; how do I get rid of them?Spam is one of the things people like least about email. You can help stop spam by learning to identify spam &amp; scams and ...              EmailJob search: Why follow-up after an interview?Writing f"&amp;"ollow-up email after a job interview can be a bit tricky. Learn how to compose an effective and professional ...More from mail.com        EMAILProfessional &amp; free business email        SECURITYKeep your email password secure        JOB SEARCHApplying by e"&amp;"mail: Samples for your successful job application  MoreGamesDomainsMail Collector30 MB Attachmentsmail.com 25th anniversaryToolsMail appMailCheckHelpRecover your passwordHelp CenterContact Premium Supportmail.com blog About mail.comTerms &amp; ConditionsPriva"&amp;"cy SettingsPrivacy PolicyData CollectionCA Do Not Sell My InfoEnvironmentJobsHelp CenterNewsletter Press RoomCopyright © 2023 1&amp;1 Mail &amp; Media Inc. All rights reserved.")</f>
        <v>Free email accounts with mail.com | Log in here or register today  Please enable JavaScript to experience the full functionality of mail.com.Login SSLEmail addressPasswordLog inForgot password?Keep me logged in!Premium LoginSign upSearchSearchSign upSign upLog inEmailEmailCreate email accountDomainsMail appEmail address ideas Business emailMail CollectorMailCheckPremiumFeaturesOrganizerContactsOnline OfficeSearchFirefox + mail.comCloudCloudCloud backupFile sharingCloud upgradeCloud for Windows &amp; macOS SecuritySecuritySpam filterAntivirusPasswordTwo-factor authenticationSupportMigration serviceFirst steps webmailFirst steps AndroidFirst steps iOSHelp &amp; Contact CenterBlogSign up SPONSORED NEWS        MAIL.COM EMAILmail.com - the right email address for you Free email &amp; cloud storage Secure business email High domain name availabilityChoose usernameChoose domain@mail.com@email.com@usa.com@myself.com@consultant.com@post.com@europe.com@asia.com@iname.com@writeme.com@dr.com@cheerful.com@accountant.com@techie.com@engineer.com@linuxmail.org@musician.org@contractor.net@workmail.com@financier.comEmail tools &amp; features        DomainsChoose from 100+ email domains        Email Create a free email account at mail.com         featuresPractical mail features – from apps to virus protectionMail.com Blog              CybersecurityWhat is typosquatting? Types and examplesTyposquatting and website hijacking can open the door to phishing and other cybersecurity risks. Learn how to steer clear of ...              SpamEmail spam: Why do I get spam messages &amp; how do I get rid of them?Spam is one of the things people like least about email. You can help stop spam by learning to identify spam &amp; scams and ...              EmailJob search: Why follow-up after an interview?Writing follow-up email after a job interview can be a bit tricky. Learn how to compose an effective and professional ...More from mail.com        EMAILProfessional &amp; free business email        SECURITYKeep your email password secure        JOB SEARCHApplying by email: Samples for your successful job application  MoreGamesDomainsMail Collector30 MB Attachmentsmail.com 25th anniversaryToolsMail appMailCheckHelpRecover your passwordHelp CenterContact Premium Supportmail.com blog About mail.comTerms &amp; ConditionsPrivacy SettingsPrivacy PolicyData CollectionCA Do Not Sell My InfoEnvironmentJobsHelp CenterNewsletter Press RoomCopyright © 2023 1&amp;1 Mail &amp; Media Inc. All rights reserved.</v>
      </c>
    </row>
    <row r="487">
      <c r="A487" s="1" t="s">
        <v>1608</v>
      </c>
      <c r="B487" s="1" t="s">
        <v>1621</v>
      </c>
      <c r="D487" s="1">
        <v>4.0</v>
      </c>
      <c r="E487" s="4" t="s">
        <v>1622</v>
      </c>
      <c r="F487" s="1" t="s">
        <v>43</v>
      </c>
      <c r="G487" s="1" t="s">
        <v>1623</v>
      </c>
      <c r="H487" s="4" t="s">
        <v>1624</v>
      </c>
      <c r="I487" s="2"/>
      <c r="J487" s="5" t="str">
        <f>IFERROR(__xludf.DUMMYFUNCTION("GOOGLETRANSLATE(A487)"),"tendency")</f>
        <v>tendency</v>
      </c>
      <c r="K487" s="6" t="str">
        <f>IFERROR(__xludf.DUMMYFUNCTION("GOOGLETRANSLATE(B487)"),"Yahoo Mail")</f>
        <v>Yahoo Mail</v>
      </c>
      <c r="L487" s="5" t="str">
        <f>IFERROR(__xludf.DUMMYFUNCTION("GOOGLETRANSLATE(C487)"),"#VALUE!")</f>
        <v>#VALUE!</v>
      </c>
      <c r="M487" s="5" t="str">
        <f>IFERROR(__xludf.DUMMYFUNCTION("GOOGLETRANSLATE(G487)"),"Yahoo MailSign inAbout Yahoo MailUpgrade to Mail PlusSupportSign upGet StuffDoneSave time? Save money?Done and done with Yahoo Mail.Let's goGet the appAbout our AdsTermsPrivacyPrivacy Dashboard")</f>
        <v>Yahoo MailSign inAbout Yahoo MailUpgrade to Mail PlusSupportSign upGet StuffDoneSave time? Save money?Done and done with Yahoo Mail.Let's goGet the appAbout our AdsTermsPrivacyPrivacy Dashboard</v>
      </c>
    </row>
    <row r="488">
      <c r="A488" s="1" t="s">
        <v>1608</v>
      </c>
      <c r="B488" s="1" t="s">
        <v>1625</v>
      </c>
      <c r="D488" s="1">
        <v>5.0</v>
      </c>
      <c r="E488" s="4" t="s">
        <v>1626</v>
      </c>
      <c r="F488" s="1" t="s">
        <v>43</v>
      </c>
      <c r="G488" s="1" t="s">
        <v>97</v>
      </c>
      <c r="H488" s="4" t="s">
        <v>98</v>
      </c>
      <c r="I488" s="2"/>
      <c r="J488" s="5" t="str">
        <f>IFERROR(__xludf.DUMMYFUNCTION("GOOGLETRANSLATE(A488)"),"tendency")</f>
        <v>tendency</v>
      </c>
      <c r="K488" s="6" t="str">
        <f>IFERROR(__xludf.DUMMYFUNCTION("GOOGLETRANSLATE(B488)"),"Mail on the App Store - Apple")</f>
        <v>Mail on the App Store - Apple</v>
      </c>
      <c r="L488" s="5" t="str">
        <f>IFERROR(__xludf.DUMMYFUNCTION("GOOGLETRANSLATE(C488)"),"#VALUE!")</f>
        <v>#VALUE!</v>
      </c>
      <c r="M488" s="5" t="str">
        <f>IFERROR(__xludf.DUMMYFUNCTION("GOOGLETRANSLATE(G488)"),"App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489">
      <c r="A489" s="1" t="s">
        <v>1608</v>
      </c>
      <c r="B489" s="1" t="s">
        <v>1627</v>
      </c>
      <c r="D489" s="1">
        <v>6.0</v>
      </c>
      <c r="E489" s="4" t="s">
        <v>1628</v>
      </c>
      <c r="F489" s="1" t="s">
        <v>43</v>
      </c>
      <c r="G489" s="1" t="s">
        <v>1629</v>
      </c>
      <c r="H489" s="4" t="s">
        <v>1630</v>
      </c>
      <c r="I489" s="2"/>
      <c r="J489" s="5" t="str">
        <f>IFERROR(__xludf.DUMMYFUNCTION("GOOGLETRANSLATE(A489)"),"tendency")</f>
        <v>tendency</v>
      </c>
      <c r="K489" s="6" t="str">
        <f>IFERROR(__xludf.DUMMYFUNCTION("GOOGLETRANSLATE(B489)"),"Proton Mail")</f>
        <v>Proton Mail</v>
      </c>
      <c r="L489" s="5" t="str">
        <f>IFERROR(__xludf.DUMMYFUNCTION("GOOGLETRANSLATE(C489)"),"#VALUE!")</f>
        <v>#VALUE!</v>
      </c>
      <c r="M489" s="5" t="str">
        <f>IFERROR(__xludf.DUMMYFUNCTION("GOOGLETRANSLATE(G489)"),"Proton MailProton Mail requires Javascript. Enable Javascript and reload this page to continue.")</f>
        <v>Proton MailProton Mail requires Javascript. Enable Javascript and reload this page to continue.</v>
      </c>
    </row>
    <row r="490">
      <c r="A490" s="1" t="s">
        <v>1608</v>
      </c>
      <c r="B490" s="1" t="s">
        <v>1631</v>
      </c>
      <c r="D490" s="1">
        <v>7.0</v>
      </c>
      <c r="E490" s="4" t="s">
        <v>1632</v>
      </c>
      <c r="F490" s="1" t="s">
        <v>43</v>
      </c>
      <c r="G490" s="1" t="s">
        <v>120</v>
      </c>
      <c r="H490" s="4" t="s">
        <v>121</v>
      </c>
      <c r="I490" s="2"/>
      <c r="J490" s="5" t="str">
        <f>IFERROR(__xludf.DUMMYFUNCTION("GOOGLETRANSLATE(A490)"),"tendency")</f>
        <v>tendency</v>
      </c>
      <c r="K490" s="6" t="str">
        <f>IFERROR(__xludf.DUMMYFUNCTION("GOOGLETRANSLATE(B490)"),"Mail.ru - Email App")</f>
        <v>Mail.ru - Email App</v>
      </c>
      <c r="L490" s="5" t="str">
        <f>IFERROR(__xludf.DUMMYFUNCTION("GOOGLETRANSLATE(C490)"),"#VALUE!")</f>
        <v>#VALUE!</v>
      </c>
      <c r="M490" s="5" t="str">
        <f>IFERROR(__xludf.DUMMYFUNCTION("GOOGLETRANSLATE(G490)"),"Android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491">
      <c r="A491" s="1" t="s">
        <v>1608</v>
      </c>
      <c r="B491" s="1" t="s">
        <v>1633</v>
      </c>
      <c r="D491" s="1">
        <v>8.0</v>
      </c>
      <c r="E491" s="4" t="s">
        <v>1634</v>
      </c>
      <c r="F491" s="1" t="s">
        <v>43</v>
      </c>
      <c r="G491" s="1" t="s">
        <v>1635</v>
      </c>
      <c r="H491" s="4" t="s">
        <v>1636</v>
      </c>
      <c r="I491" s="2"/>
      <c r="J491" s="5" t="str">
        <f>IFERROR(__xludf.DUMMYFUNCTION("GOOGLETRANSLATE(A491)"),"tendency")</f>
        <v>tendency</v>
      </c>
      <c r="K491" s="6" t="str">
        <f>IFERROR(__xludf.DUMMYFUNCTION("GOOGLETRANSLATE(B491)"),"AOL Mail")</f>
        <v>AOL Mail</v>
      </c>
      <c r="L491" s="5" t="str">
        <f>IFERROR(__xludf.DUMMYFUNCTION("GOOGLETRANSLATE(C491)"),"#VALUE!")</f>
        <v>#VALUE!</v>
      </c>
      <c r="M491" s="5" t="str">
        <f>IFERROR(__xludf.DUMMYFUNCTION("GOOGLETRANSLATE(G491)"),"AOL MailLoginAOL Mail is free and helps keep you safe.From security to personalization AOL Mail helps manage your digital lifeStart for freeAOL Mail FAQIs AOL Mail free?Absolutely!  It's quick and easy to sign up for a free AOL account.  With your AOL acc"&amp;"ount you get features like AOL Mail news and weather for free!Is AOL Mail secure?AOL uses the latest in security and spam-blocking technology.Does AOL Mail have an app?Yes! You can take your email on the go with an iOS &amp; Android app.What languages does AO"&amp;"L Mail support?We support over 70+ languages.Start for free© 2023 Yahoo Inc. All rights reserved.TermsPrivacyPrivacy DashboardContact Us")</f>
        <v>AOL MailLoginAOL Mail is free and helps keep you safe.From security to personalization AOL Mail helps manage your digital lifeStart for freeAOL Mail FAQIs AOL Mail free?Absolutely!  It's quick and easy to sign up for a free AOL account.  With your AOL account you get features like AOL Mail news and weather for free!Is AOL Mail secure?AOL uses the latest in security and spam-blocking technology.Does AOL Mail have an app?Yes! You can take your email on the go with an iOS &amp; Android app.What languages does AOL Mail support?We support over 70+ languages.Start for free© 2023 Yahoo Inc. All rights reserved.TermsPrivacyPrivacy DashboardContact Us</v>
      </c>
    </row>
    <row r="492">
      <c r="A492" s="1" t="s">
        <v>1608</v>
      </c>
      <c r="B492" s="1" t="s">
        <v>1637</v>
      </c>
      <c r="D492" s="1">
        <v>9.0</v>
      </c>
      <c r="E492" s="4" t="s">
        <v>1638</v>
      </c>
      <c r="F492" s="1" t="s">
        <v>43</v>
      </c>
      <c r="G492" s="1" t="s">
        <v>120</v>
      </c>
      <c r="H492" s="4" t="s">
        <v>121</v>
      </c>
      <c r="I492" s="2"/>
      <c r="J492" s="5" t="str">
        <f>IFERROR(__xludf.DUMMYFUNCTION("GOOGLETRANSLATE(A492)"),"tendency")</f>
        <v>tendency</v>
      </c>
      <c r="K492" s="6" t="str">
        <f>IFERROR(__xludf.DUMMYFUNCTION("GOOGLETRANSLATE(B492)"),"Mail Mail.ru: Postal Client")</f>
        <v>Mail Mail.ru: Postal Client</v>
      </c>
      <c r="L492" s="5" t="str">
        <f>IFERROR(__xludf.DUMMYFUNCTION("GOOGLETRANSLATE(C492)"),"#VALUE!")</f>
        <v>#VALUE!</v>
      </c>
      <c r="M492" s="5" t="str">
        <f>IFERROR(__xludf.DUMMYFUNCTION("GOOGLETRANSLATE(G492)"),"Android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493">
      <c r="A493" s="1" t="s">
        <v>1608</v>
      </c>
      <c r="B493" s="1" t="s">
        <v>1639</v>
      </c>
      <c r="D493" s="1">
        <v>10.0</v>
      </c>
      <c r="E493" s="4" t="s">
        <v>1640</v>
      </c>
      <c r="F493" s="1" t="s">
        <v>43</v>
      </c>
      <c r="G493" s="1" t="s">
        <v>1641</v>
      </c>
      <c r="H493" s="4" t="s">
        <v>1642</v>
      </c>
      <c r="I493" s="2"/>
      <c r="J493" s="5" t="str">
        <f>IFERROR(__xludf.DUMMYFUNCTION("GOOGLETRANSLATE(A493)"),"tendency")</f>
        <v>tendency</v>
      </c>
      <c r="K493" s="6" t="str">
        <f>IFERROR(__xludf.DUMMYFUNCTION("GOOGLETRANSLATE(B493)"),"Mailchimp: Marketing, Automation &amp; Email Platform")</f>
        <v>Mailchimp: Marketing, Automation &amp; Email Platform</v>
      </c>
      <c r="L493" s="5" t="str">
        <f>IFERROR(__xludf.DUMMYFUNCTION("GOOGLETRANSLATE(C493)"),"#VALUE!")</f>
        <v>#VALUE!</v>
      </c>
      <c r="M493" s="5" t="str">
        <f>IFERROR(__xludf.DUMMYFUNCTION("GOOGLETRANSLATE(G493)"),"Marketing Automation &amp; Email Platform | MailchimpSkip to main contentHey there! Free trials are available for Standard and Essentials plans. Start for free today.Solutions and ServicesSolutions and Services                See what’s new                   "&amp;"      Email marketing                                            Send personalized emails that convert                              SMS marketing                  New!                 Reach your customers on every device                              Socia"&amp;"l media marketing                                            Amplify the conversation across multiple channels                              Websites                                            Create your branded web presence                              A"&amp;"udience management                                            Target and segment customers                              Marketing automation                                            Deliver the right message at the right time                            "&amp;"  Templates                                            Customize pre-designed layouts                              Reporting &amp; analytics                                            Track sales &amp; campaign performance                              Content cre"&amp;"ation                                            Develop your unique brand with optimized content                              See all features                                            See all our product offerings in one place                          "&amp;"INTEGRATE YOUR APPS                        See 300+ integrations            Shopify    Wix    Salesforce    Canva    BigCommerce For your industry        E-commerce and retail            Mobile and web apps            Start-ups            Agencies and fre"&amp;"elancers            Developers    Professional Services        Hire an Expert            Personalized onboarding            Customer success      ResourcesResources                See all resources        Learn with Mailchimp         AI marketing tools   "&amp;"         E-commerce            Digital content            Marketing automations            Audience management            Websites            Email marketing            Social media    Mailchimp Presents         Podcasts            Series            Films"&amp;"    For Developers         Marketing API            Transactional API            Release notes            Transactional email                      Help Center                                             Case Studies                                        "&amp;"     Events                            Professional Services        Hire an Expert            Personalized onboarding            Customer success      Pricing							Search						PricingThis page is now available in other languages.ENEN                     "&amp;"       English                         ES                            Español                        FR                            Français                        BR                            Português                        DE                            "&amp;"Deutsch                        IT                            Italiano                        Sales:+1 (800) 315-5939Log In                                    Start Free Trial                                    Hi %s        Account                    Audie"&amp;"nce                                    Campaigns                                    Account                                Mailchimp Home            								Log In						  								Main Menu						Close Main MenuMain MenuSolutions and ServicesBackClose Main "&amp;"MenuSolutions and Services                 Email marketing                                            Send personalized emails that convert                              SMS marketing                  New!                 Reach your customers on every devi"&amp;"ce                              Social media marketing                                            Amplify the conversation across multiple channels                              Websites                                            Create your branded web pr"&amp;"esence                              Audience management                                            Target and segment customers                              Marketing automation                                            Deliver the right message at the r"&amp;"ight time                              Templates                                            Customize pre-designed layouts                              Reporting &amp; analytics                                            Track sales &amp; campaign performance    "&amp;"                          Content creation                                            Develop your unique brand with optimized content                              See all features                                            See all our product offerings i"&amp;"n one place                             See what’s new             For your industryBackClose Main MenuFor your industry         E-commerce and retail            Mobile and web apps            Start-ups            Agencies and freelancers            Devel"&amp;"opers    Professional ServicesBackClose Main MenuProfessional Services         Hire an Expert            Personalized onboarding            Customer success         Integrate your appsBackClose Main MenuIntegrate your apps                         Shopify "&amp;"                                            Wix                                             Salesforce                                             Canva                                             BigCommerce                                         See 30"&amp;"0+ integrations                  ResourcesBackClose Main MenuResourcesLearn with MailchimpBackClose Main MenuLearn with Mailchimp         AI marketing tools            E-commerce            Digital content            Marketing automations            Audie"&amp;"nce management            Websites            Email marketing            Social media    Mailchimp PresentsBackClose Main MenuMailchimp Presents         Podcasts            Series            Films    For DevelopersBackClose Main MenuFor Developers        "&amp;" Marketing API            Transactional API            Release notes            Transactional email                    See all resources                              Help Center                                             Case Studies                     "&amp;"                        Events                            Professional ServicesBackClose Main MenuProfessional Services         Hire an Expert            Personalized onboarding            Customer success     PricingSearchThis page is now available in ot"&amp;"her languages.English EN                            English                         ES                            Español                        FR                            Français                        BR                            Português         "&amp;"               DE                            Deutsch                        IT                            Italiano                        Contact Sales:+1 (800) 315-5939                Hi %s            BackClose Main MenuAccount                           "&amp;" Audience                                                    Campaigns                                                    Account                                            Mailchimp Home                Log In                                    Start Free"&amp;" Trial                        Log InLog In																			Start Free Trial																Turn Emails into RevenueWin new customers with the #1 email marketing and automations brand* that recommends ways to get more opens clicks and sales.             "&amp;"               Start Free Trial                Convert with email &amp; SMS automations                        Boost orders and customer lifetime value by personalizing emails and SMS based on behavioral data*.                                 Explore marketin"&amp;"g automation          Create faster with generative AI                        Effortlessly create on-brand content with generative AI tools and choose from expertly designed templates.                                 Explore AI tools         Refine with s"&amp;"egmentation                        Target customers with advanced logic like spend amounts buying behavior and predicted attributes.                                 Explore audience management         Optimize with analytics &amp; reporting                   "&amp;"     Analyze performance with custom reports funnel visualizations and industry benchmarking.                                 Explore analytics &amp; reporting           Get started easily with a personalized product tour An onboarding specialist is here to h"&amp;"elp you get started with confidence—it’s included with a paid plan.*                  Learn more about onboarding                              Start your free trial today                            Mailchimp Recommends                Premium        Scale "&amp;"fast with dedicated onboarding unlimited contacts and priority support; built for teams.                Starts at                                                 /month based on 10000 contacts*                                            Starts at $350    "&amp;"            per month for {contacts} contacts                        Phone &amp; Priority Support                    Custom-Coded and Pre-built Email Templates                    SMS &amp; MMS Add-on                    Multivariate and A/B Testing                "&amp;"    Enhanced Automated Customer Journeys                    Dedicated Personalized Onboarding                    Predictive Segmentation                    Campaign Manager                                    Get started                            Mailchim"&amp;"p Recommends                Standard        Sell even more with personalization optimization tools and enhanced automations.                Starts at            Free for 1 monthThen starts at                                     /month*                    "&amp;"                                            /month based on 500 contacts*                                            Starts at $20                per month for {contacts} contacts                        24/7 Email &amp; Chat Support                    Custom-"&amp;"Coded and Pre-built Email Templates                    SMS &amp; MMS Add-on                    Multivariate and A/B Testing                    Enhanced Automated Customer Journeys                    Personalized Onboarding                    Predictive Segmen"&amp;"tation                    Campaign Manager                                    Get started                            Mailchimp Recommends                Essentials        Send the right content at the right time with testing and scheduling features.      "&amp;"          Starts at            Free for 1 monthThen starts at                                     /month*                                                                /month based on 500 contacts*                                            Starts at $13"&amp;"                per month for {contacts} contacts                        24/7 Email &amp; Chat Support                    Pre-built Email Templates                    SMS Add-on                    A/B Testing                    Basic Automated Customer Journe"&amp;"ys        Personalized OnboardingPredictive SegmentationCampaign Manager                            Get started                            Mailchimp Recommends                Free        Easily create email campaigns and learn more about your customers.  "&amp;"              Starts at                                                 /month based on 500 contacts*                                            Starts at $0                per month for {contacts} contacts                        Email support for first 3"&amp;"0 days                    Pre-built Email Templates        SMS Add-onA/B TestingBasic Automated Customer JourneysOnboardingPredictive SegmentationCampaign Manager                            Get started                            Mailchimp Recommends      "&amp;"          Free        Easily create email campaigns and learn more about your customers.                Starts at                                                 /month based on 500 contacts*                                            Starts at $0        "&amp;"        per month for {contacts} contacts                        Email support for first 30 days                    Pre-built Email Templates        SMS Add-onA/B TestingBasic Automated Customer JourneysOnboardingPredictive SegmentationCampaign Manager   "&amp;"                         Get started                            Mailchimp Recommends                Essentials        Send the right content at the right time with testing and scheduling features.                Starts at            Free for 1 monthThen s"&amp;"tarts at                                     /month*                                                                /month based on 500 contacts*                                            Starts at $13                per month for {contacts} contacts    "&amp;"                    24/7 Email &amp; Chat Support                    Pre-built Email Templates                    SMS Add-on                    A/B Testing                    Basic Automated Customer Journeys        Personalized OnboardingPredictive Segmentat"&amp;"ionCampaign Manager                            Get started                            Mailchimp Recommends                Standard        Sell even more with personalization optimization tools and enhanced automations.                Starts at            "&amp;"Free for 1 monthThen starts at                                     /month*                                                                /month based on 500 contacts*                                            Starts at $20                per month for {"&amp;"contacts} contacts                        24/7 Email &amp; Chat Support                    Custom-Coded and Pre-built Email Templates                    SMS &amp; MMS Add-on                    Multivariate and A/B Testing                    Enhanced Automated Cus"&amp;"tomer Journeys                    Personalized Onboarding                    Predictive Segmentation                    Campaign Manager                                    Get started                            Mailchimp Recommends                Premium "&amp;"       Scale fast with dedicated onboarding unlimited contacts and priority support; built for teams.                Starts at                                                 /month based on 10000 contacts*                                            Start"&amp;"s at $350                per month for {contacts} contacts                        Phone &amp; Priority Support                    Custom-Coded and Pre-built Email Templates                    SMS &amp; MMS Add-on                    Multivariate and A/B Testing   "&amp;"                 Enhanced Automated Customer Journeys                    Dedicated Personalized Onboarding                    Predictive Segmentation                    Campaign Manager                                    Get started                *See   "&amp;"         Free Trial Terms        *Overages apply if contact or email send limit is exceeded. Free plan sending  will be paused if contact or email send limit is exceeded.            Learn more                                    Get started                "&amp;"Generate up to 4x more orders* with Customer Journey Builder automations                             Web browser shows Customer Journey Builder automations with recommended actions for an abandoned cart.                                                    "&amp;"  Web browser shows Customer Journey Builder automations with recommended actions for an abandoned cart.                         Convert more customers at scale Drive more traffic and sales by setting up automations that trigger emails based on customer b"&amp;"ehavior with our Customer Journey Builder.                 Learn more                                     Example of pre-built automation to engage customers: customer makes purchase wait 1 week send Feedback Request.                                      "&amp;"               Example of pre-built automation to engage customers: customer makes purchase wait 1 week send Feedback Request.                        Discover new ways to automate Get a head start with pre-built journeys that help you cross-sell your prod"&amp;"ucts recover abandoned carts re-engage existing customers and win new ones.                 Learn more                                     Example of automated email for maximum engagement: send to abandoned cart customer with the subject line Forgot some"&amp;"thing?                                                     Example of automated email for maximum engagement: send to abandoned cart customer with the subject line Forgot something?                        Keep your emails relevant and your brand growing D"&amp;"eliver personalized emails based on their buying behavior survey responses chat interactions and support tickets to promote loyalty and growth.                     Keep customers ready to buy with engaging content                             Content Optim"&amp;"izer        Learn how your emails compare to the top-performing campaigns in your industry and get data-driven suggestions for improving your copy imagery and layout.                Learn more                         getLottieComponent()}&gt;                "&amp;"            Creative Assistant        Our Creative Assistant will help you stand out by using AI to create custom designs for your brand.                Learn more                         getLottieComponent()}&gt;                            GDPR ready tools "&amp;"       Mailchimp helps you achieve data security and privacy standards for your customers.                Learn more           Get up to 88% more revenue* with our Customer Lifetime Value and Likelihood to Purchase segments                             Exa"&amp;"mple customer profile rated 4/5 stars and tagged Local Customer New Customer and Opens Emails.                                                     Example customer profile rated 4/5 stars and tagged Local Customer New Customer and Opens Emails.           "&amp;"             Mailchimp will help you focus on your most loyal and valuable customers.                             Example of variety of customer tags for segmenting customers targeting specific groups and optimizing engagement.                            "&amp;"                         Example of variety of customer tags for segmenting customers targeting specific groups and optimizing engagement.                        Predict who’s likely to buy again Create segments of customers based on their lifetime value "&amp;"and likelihood to purchase.                 Learn more                                     2 side-by-side sales emails offering the same 10% discount but with customized messaging to target specific segments.                                               "&amp;"      2 side-by-side sales emails offering the same 10% discount but with customized messaging to target specific segments.                        Build customers for life Use our intelligent predictions to tighten your targeting strategy strengthen custo"&amp;"mer relationships and drive repeat sales.                 Learn more                     Bring in more data drive more growth with our integrations                Canva            Create compelling visuals for your marketing.            Mailchimp for Sale"&amp;"sforce            Sync your Mailchimp subscribers and Salesforce® leads across platforms.            Instagram            Promote and share your Instagram posts in email campaigns.            Shopify            Sync Shopify customers products and purchase"&amp;" data to Mailchimp.            Google Analytics            Unlock powerful insights with campaign website or landing page data.            WooCommerce            Power your ecommerce store with smart marketing features.            QuickBooks Online       "&amp;"     Bring together your marketing tools and invoice data.            Squarespace Commerce            Market your ecommerce business and drive sales.            Zapier            Automatically pass data between web services without a single line of code. "&amp;"                   View all 300+ integrations        *DisclaimersAvailability of features and functionality varies by plan type. For details view plans and pricing.Intuit Assist functionality (beta) is available to certain users with Premium Standard and "&amp;"Legacy plans in select countries in English only. Access to Intuit Assist is available at no additional cost at this time. Pricing terms conditions special features and service options are subject to change without notice.  Availability of features and fu"&amp;"nctionality varies by plan type. Features may be broadly available soon but represents no obligation and should not be relied on in making a purchasing decision. For details please view Mailchimp’s various plans and pricing. Generate up to 4X more orders "&amp;"with Customer Journey Builder automations based on orders generated through user's connected stores with automations versus when they used bulk emails. Get up to 88% more revenue based on emails sent with predicted segments against non-predictive segmente"&amp;"d emails for users with connected stores only. Standard or Premium Plans only.This information contains forward-looking statements including our expectations regarding the functionality and availability of current or future features. Because these forward"&amp;"-looking statements involve risks and uncertainties there are important factors that could cause our actual results to differ materially from these expectations as described in our SEC filings. This represents no obligation to deliver future features and "&amp;"should not be relied on in making a purchasing decision. Additional terms conditions and fees may apply.Email Content Generator available to select US Standard and Premium plan users. Related Links:What is SEO?How to Buy a Domain Name: Domain Registration"&amp;" GuideChatGPT: What to Know About This AI Content Writing Tool Products                 Why Mailchimp?                        Product Updates                        Email Marketing                        Websites                        Transactional Email"&amp;"                        How We Compare                        GDPR Compliance                        Security                        Status                        Mobile App        Resources                 Marketing Library                        Free Ma"&amp;"rketing Tools                        Marketing Glossary                        Integrations Directory        Community                 Agencies &amp; Freelancers                        Developers                        Events        Company                 Ou"&amp;"r Story                        Newsroom                        Give Where You Live                        Careers                        Accessibility        Help                 Contact Us                        Hire an Expert                        Help"&amp;" Center                        Talk to Sales                 Films podcasts and original series that celebrate the entrepreneurial spirit.                    Check it out                This page is now available in other languages.                    Eng"&amp;"lish                                    Español                                    Français                                    Português                                    Deutsch                                    Italiano                ©2001-2023 All R"&amp;"ights Reserved. Mailchimp® is a registered trademark of The Rocket Science Group. Apple and the Apple logo are trademarks of Apple Inc. Mac App Store is a service mark of Apple Inc. Google Play and the Google Play logo are trademarks of Google Inc. Privac"&amp;"y | Terms | Legal | Cookie Preferences")</f>
        <v>Marketing Automation &amp; Email Platform | MailchimpSkip to main contentHey there! Free trials are available for Standard and Essentials plans. Start for free today.Solutions and ServicesSolutions and Services                See what’s new                         Email marketing                                            Send personalized emails that convert                              SMS marketing                  New!                 Reach your customers on every device                              Social media marketing                                            Amplify the conversation across multiple channels                              Websites                                            Create your branded web presence                              Audience management                                            Target and segment customers                              Marketing automation                                            Deliver the right message at the right time                              Templates                                            Customize pre-designed layouts                              Reporting &amp; analytics                                            Track sales &amp; campaign performance                              Content creation                                            Develop your unique brand with optimized content                              See all features                                            See all our product offerings in one place                          INTEGRATE YOUR APPS                        See 300+ integrations            Shopify    Wix    Salesforce    Canva    BigCommerce For your industry        E-commerce and retail            Mobile and web apps            Start-ups            Agencies and freelancers            Developers    Professional Services        Hire an Expert            Personalized onboarding            Customer success      ResourcesResources                See all resources        Learn with Mailchimp         AI marketing tools            E-commerce            Digital content            Marketing automations            Audience management            Websites            Email marketing            Social media    Mailchimp Presents         Podcasts            Series            Films    For Developers         Marketing API            Transactional API            Release notes            Transactional email                      Help Center                                             Case Studies                                             Events                            Professional Services        Hire an Expert            Personalized onboarding            Customer success      Pricing							Search						PricingThis page is now available in other languages.ENEN                            English                         ES                            Español                        FR                            Français                        BR                            Português                        DE                            Deutsch                        IT                            Italiano                        Sales:+1 (800) 315-5939Log In                                    Start Free Trial                                    Hi %s        Account                    Audience                                    Campaigns                                    Account                                Mailchimp Home            								Log In						  								Main Menu						Close Main MenuMain MenuSolutions and ServicesBackClose Main MenuSolutions and Services                 Email marketing                                            Send personalized emails that convert                              SMS marketing                  New!                 Reach your customers on every device                              Social media marketing                                            Amplify the conversation across multiple channels                              Websites                                            Create your branded web presence                              Audience management                                            Target and segment customers                              Marketing automation                                            Deliver the right message at the right time                              Templates                                            Customize pre-designed layouts                              Reporting &amp; analytics                                            Track sales &amp; campaign performance                              Content creation                                            Develop your unique brand with optimized content                              See all features                                            See all our product offerings in one place                             See what’s new             For your industryBackClose Main MenuFor your industry         E-commerce and retail            Mobile and web apps            Start-ups            Agencies and freelancers            Developers    Professional ServicesBackClose Main MenuProfessional Services         Hire an Expert            Personalized onboarding            Customer success         Integrate your appsBackClose Main MenuIntegrate your apps                         Shopify                                             Wix                                             Salesforce                                             Canva                                             BigCommerce                                         See 300+ integrations                  ResourcesBackClose Main MenuResourcesLearn with MailchimpBackClose Main MenuLearn with Mailchimp         AI marketing tools            E-commerce            Digital content            Marketing automations            Audience management            Websites            Email marketing            Social media    Mailchimp PresentsBackClose Main MenuMailchimp Presents         Podcasts            Series            Films    For DevelopersBackClose Main MenuFor Developers         Marketing API            Transactional API            Release notes            Transactional email                    See all resources                              Help Center                                             Case Studies                                             Events                            Professional ServicesBackClose Main MenuProfessional Services         Hire an Expert            Personalized onboarding            Customer success     PricingSearchThis page is now available in other languages.English EN                            English                         ES                            Español                        FR                            Français                        BR                            Português                        DE                            Deutsch                        IT                            Italiano                        Contact Sales:+1 (800) 315-5939                Hi %s            BackClose Main MenuAccount                            Audience                                                    Campaigns                                                    Account                                            Mailchimp Home                Log In                                    Start Free Trial                        Log InLog In																			Start Free Trial																Turn Emails into RevenueWin new customers with the #1 email marketing and automations brand* that recommends ways to get more opens clicks and sales.                            Start Free Trial                Convert with email &amp; SMS automations                        Boost orders and customer lifetime value by personalizing emails and SMS based on behavioral data*.                                 Explore marketing automation          Create faster with generative AI                        Effortlessly create on-brand content with generative AI tools and choose from expertly designed templates.                                 Explore AI tools         Refine with segmentation                        Target customers with advanced logic like spend amounts buying behavior and predicted attributes.                                 Explore audience management         Optimize with analytics &amp; reporting                        Analyze performance with custom reports funnel visualizations and industry benchmarking.                                 Explore analytics &amp; reporting           Get started easily with a personalized product tour An onboarding specialist is here to help you get started with confidence—it’s included with a paid plan.*                  Learn more about onboarding                              Start your free trial today                            Mailchimp Recommends                Premium        Scale fast with dedicated onboarding unlimited contacts and priority support; built for teams.                Starts at                                                 /month based on 10000 contacts*                                            Starts at $350                per month for {contacts} contacts                        Phone &amp; Priority Support                    Custom-Coded and Pre-built Email Templates                    SMS &amp; MMS Add-on                    Multivariate and A/B Testing                    Enhanced Automated Customer Journeys                    Dedicated Personalized Onboarding                    Predictive Segmentation                    Campaign Manager                                    Get started                            Mailchimp Recommends                Standard        Sell even more with personalization optimization tools and enhanced automations.                Starts at            Free for 1 monthThen starts at                                     /month*                                                                /month based on 500 contacts*                                            Starts at $20                per month for {contacts} contacts                        24/7 Email &amp; Chat Support                    Custom-Coded and Pre-built Email Templates                    SMS &amp; MMS Add-on                    Multivariate and A/B Testing                    Enhanced Automated Customer Journeys                    Personalized Onboarding                    Predictive Segmentation                    Campaign Manager                                    Get started                            Mailchimp Recommends                Essentials        Send the right content at the right time with testing and scheduling features.                Starts at            Free for 1 monthThen starts at                                     /month*                                                                /month based on 500 contacts*                                            Starts at $13                per month for {contacts} contacts                        24/7 Email &amp; Chat Support                    Pre-built Email Templates                    SMS Add-on                    A/B Testing                    Basic Automated Customer Journeys        Personalized OnboardingPredictive SegmentationCampaign Manager                            Get started                            Mailchimp Recommends                Free        Easily create email campaigns and learn more about your customers.                Starts at                                                 /month based on 500 contacts*                                            Starts at $0                per month for {contacts} contacts                        Email support for first 30 days                    Pre-built Email Templates        SMS Add-onA/B TestingBasic Automated Customer JourneysOnboardingPredictive SegmentationCampaign Manager                            Get started                            Mailchimp Recommends                Free        Easily create email campaigns and learn more about your customers.                Starts at                                                 /month based on 500 contacts*                                            Starts at $0                per month for {contacts} contacts                        Email support for first 30 days                    Pre-built Email Templates        SMS Add-onA/B TestingBasic Automated Customer JourneysOnboardingPredictive SegmentationCampaign Manager                            Get started                            Mailchimp Recommends                Essentials        Send the right content at the right time with testing and scheduling features.                Starts at            Free for 1 monthThen starts at                                     /month*                                                                /month based on 500 contacts*                                            Starts at $13                per month for {contacts} contacts                        24/7 Email &amp; Chat Support                    Pre-built Email Templates                    SMS Add-on                    A/B Testing                    Basic Automated Customer Journeys        Personalized OnboardingPredictive SegmentationCampaign Manager                            Get started                            Mailchimp Recommends                Standard        Sell even more with personalization optimization tools and enhanced automations.                Starts at            Free for 1 monthThen starts at                                     /month*                                                                /month based on 500 contacts*                                            Starts at $20                per month for {contacts} contacts                        24/7 Email &amp; Chat Support                    Custom-Coded and Pre-built Email Templates                    SMS &amp; MMS Add-on                    Multivariate and A/B Testing                    Enhanced Automated Customer Journeys                    Personalized Onboarding                    Predictive Segmentation                    Campaign Manager                                    Get started                            Mailchimp Recommends                Premium        Scale fast with dedicated onboarding unlimited contacts and priority support; built for teams.                Starts at                                                 /month based on 10000 contacts*                                            Starts at $350                per month for {contacts} contacts                        Phone &amp; Priority Support                    Custom-Coded and Pre-built Email Templates                    SMS &amp; MMS Add-on                    Multivariate and A/B Testing                    Enhanced Automated Customer Journeys                    Dedicated Personalized Onboarding                    Predictive Segmentation                    Campaign Manager                                    Get started                *See            Free Trial Terms        *Overages apply if contact or email send limit is exceeded. Free plan sending  will be paused if contact or email send limit is exceeded.            Learn more                                    Get started                Generate up to 4x more orders* with Customer Journey Builder automations                             Web browser shows Customer Journey Builder automations with recommended actions for an abandoned cart.                                                      Web browser shows Customer Journey Builder automations with recommended actions for an abandoned cart.                         Convert more customers at scale Drive more traffic and sales by setting up automations that trigger emails based on customer behavior with our Customer Journey Builder.                 Learn more                                     Example of pre-built automation to engage customers: customer makes purchase wait 1 week send Feedback Request.                                                     Example of pre-built automation to engage customers: customer makes purchase wait 1 week send Feedback Request.                        Discover new ways to automate Get a head start with pre-built journeys that help you cross-sell your products recover abandoned carts re-engage existing customers and win new ones.                 Learn more                                     Example of automated email for maximum engagement: send to abandoned cart customer with the subject line Forgot something?                                                     Example of automated email for maximum engagement: send to abandoned cart customer with the subject line Forgot something?                        Keep your emails relevant and your brand growing Deliver personalized emails based on their buying behavior survey responses chat interactions and support tickets to promote loyalty and growth.                     Keep customers ready to buy with engaging content                             Content Optimizer        Learn how your emails compare to the top-performing campaigns in your industry and get data-driven suggestions for improving your copy imagery and layout.                Learn more                         getLottieComponent()}&gt;                            Creative Assistant        Our Creative Assistant will help you stand out by using AI to create custom designs for your brand.                Learn more                         getLottieComponent()}&gt;                            GDPR ready tools        Mailchimp helps you achieve data security and privacy standards for your customers.                Learn more           Get up to 88% more revenue* with our Customer Lifetime Value and Likelihood to Purchase segments                             Example customer profile rated 4/5 stars and tagged Local Customer New Customer and Opens Emails.                                                     Example customer profile rated 4/5 stars and tagged Local Customer New Customer and Opens Emails.                        Mailchimp will help you focus on your most loyal and valuable customers.                             Example of variety of customer tags for segmenting customers targeting specific groups and optimizing engagement.                                                     Example of variety of customer tags for segmenting customers targeting specific groups and optimizing engagement.                        Predict who’s likely to buy again Create segments of customers based on their lifetime value and likelihood to purchase.                 Learn more                                     2 side-by-side sales emails offering the same 10% discount but with customized messaging to target specific segments.                                                     2 side-by-side sales emails offering the same 10% discount but with customized messaging to target specific segments.                        Build customers for life Use our intelligent predictions to tighten your targeting strategy strengthen customer relationships and drive repeat sales.                 Learn more                     Bring in more data drive more growth with our integrations                Canva            Create compelling visuals for your marketing.            Mailchimp for Salesforce            Sync your Mailchimp subscribers and Salesforce® leads across platforms.            Instagram            Promote and share your Instagram posts in email campaigns.            Shopify            Sync Shopify customers products and purchase data to Mailchimp.            Google Analytics            Unlock powerful insights with campaign website or landing page data.            WooCommerce            Power your ecommerce store with smart marketing features.            QuickBooks Online            Bring together your marketing tools and invoice data.            Squarespace Commerce            Market your ecommerce business and drive sales.            Zapier            Automatically pass data between web services without a single line of code.                    View all 300+ integrations        *DisclaimersAvailability of features and functionality varies by plan type. For details view plans and pricing.Intuit Assist functionality (beta) is available to certain users with Premium Standard and Legacy plans in select countries in English only. Access to Intuit Assist is available at no additional cost at this time. Pricing terms conditions special features and service options are subject to change without notice.  Availability of features and functionality varies by plan type. Features may be broadly available soon but represents no obligation and should not be relied on in making a purchasing decision. For details please view Mailchimp’s various plans and pricing. Generate up to 4X more orders with Customer Journey Builder automations based on orders generated through user's connected stores with automations versus when they used bulk emails. Get up to 88% more revenue based on emails sent with predicted segments against non-predictive segmented emails for users with connected stores only. Standard or Premium Plans only.This information contains forward-looking statements including our expectations regarding the functionality and availability of current or future features. Because these forward-looking statements involve risks and uncertainties there are important factors that could cause our actual results to differ materially from these expectations as described in our SEC filings. This represents no obligation to deliver future features and should not be relied on in making a purchasing decision. Additional terms conditions and fees may apply.Email Content Generator available to select US Standard and Premium plan users. Related Links:What is SEO?How to Buy a Domain Name: Domain Registration GuideChatGPT: What to Know About This AI Content Writing Tool Products                 Why Mailchimp?                        Product Updates                        Email Marketing                        Websites                        Transactional Email                        How We Compare                        GDPR Compliance                        Security                        Status                        Mobile App        Resources                 Marketing Library                        Free Marketing Tools                        Marketing Glossary                        Integrations Directory        Community                 Agencies &amp; Freelancers                        Developers                        Events        Company                 Our Story                        Newsroom                        Give Where You Live                        Careers                        Accessibility        Help                 Contact Us                        Hire an Expert                        Help Center                        Talk to Sales                 Films podcasts and original series that celebrate the entrepreneurial spirit.                    Check it out                This page is now available in other languages.                    English                                    Español                                    Français                                    Português                                    Deutsch                                    Italiano                ©2001-2023 All Rights Reserved. Mailchimp® is a registered trademark of The Rocket Science Group. Apple and the Apple logo are trademarks of Apple Inc. Mac App Store is a service mark of Apple Inc. Google Play and the Google Play logo are trademarks of Google Inc. Privacy | Terms | Legal | Cookie Preferences</v>
      </c>
    </row>
    <row r="494">
      <c r="A494" s="1" t="s">
        <v>1608</v>
      </c>
      <c r="B494" s="1" t="s">
        <v>1643</v>
      </c>
      <c r="D494" s="1">
        <v>11.0</v>
      </c>
      <c r="E494" s="4" t="s">
        <v>1644</v>
      </c>
      <c r="F494" s="1" t="s">
        <v>43</v>
      </c>
      <c r="G494" s="1" t="s">
        <v>1645</v>
      </c>
      <c r="H494" s="4" t="s">
        <v>1646</v>
      </c>
      <c r="I494" s="2"/>
      <c r="J494" s="5" t="str">
        <f>IFERROR(__xludf.DUMMYFUNCTION("GOOGLETRANSLATE(A494)"),"tendency")</f>
        <v>tendency</v>
      </c>
      <c r="K494" s="6" t="str">
        <f>IFERROR(__xludf.DUMMYFUNCTION("GOOGLETRANSLATE(B494)"),"Convenient Yandex Post with spam protection")</f>
        <v>Convenient Yandex Post with spam protection</v>
      </c>
      <c r="L494" s="5" t="str">
        <f>IFERROR(__xludf.DUMMYFUNCTION("GOOGLETRANSLATE(C494)"),"#VALUE!")</f>
        <v>#VALUE!</v>
      </c>
      <c r="M494" s="5" t="str">
        <f>IFERROR(__xludf.DUMMYFUNCTION("GOOGLETRANSLATE(G494)"),"Authorization is notable to enable JavaScript for the correct operation of this site, turn on JavaScript. Take the Yandex ID to go to the postage of the post-alphabet to create IDVITSITITIONS IDVITS INCOUT WITHOWTERDERAX ID-Keep the key to all services. F"&amp;"ind out more and most of the control Someone else's computer-certificate and support © 2001-2023 Yandex")</f>
        <v>Authorization is notable to enable JavaScript for the correct operation of this site, turn on JavaScript. Take the Yandex ID to go to the postage of the post-alphabet to create IDVITSITITIONS IDVITS INCOUT WITHOWTERDERAX ID-Keep the key to all services. Find out more and most of the control Someone else's computer-certificate and support © 2001-2023 Yandex</v>
      </c>
    </row>
    <row r="495">
      <c r="A495" s="1" t="s">
        <v>1608</v>
      </c>
      <c r="B495" s="1" t="s">
        <v>1647</v>
      </c>
      <c r="D495" s="1">
        <v>12.0</v>
      </c>
      <c r="E495" s="4" t="s">
        <v>1648</v>
      </c>
      <c r="F495" s="1" t="s">
        <v>43</v>
      </c>
      <c r="G495" s="1" t="s">
        <v>1649</v>
      </c>
      <c r="H495" s="4" t="s">
        <v>1650</v>
      </c>
      <c r="I495" s="2"/>
      <c r="J495" s="5" t="str">
        <f>IFERROR(__xludf.DUMMYFUNCTION("GOOGLETRANSLATE(A495)"),"tendency")</f>
        <v>tendency</v>
      </c>
      <c r="K495" s="6" t="str">
        <f>IFERROR(__xludf.DUMMYFUNCTION("GOOGLETRANSLATE(B495)"),"Apple iCloud Mail")</f>
        <v>Apple iCloud Mail</v>
      </c>
      <c r="L495" s="5" t="str">
        <f>IFERROR(__xludf.DUMMYFUNCTION("GOOGLETRANSLATE(C495)"),"#VALUE!")</f>
        <v>#VALUE!</v>
      </c>
      <c r="M495" s="5" t="str">
        <f>IFERROR(__xludf.DUMMYFUNCTION("GOOGLETRANSLATE(G495)"),"iCloud")</f>
        <v>iCloud</v>
      </c>
    </row>
    <row r="496">
      <c r="A496" s="1" t="s">
        <v>1608</v>
      </c>
      <c r="B496" s="1" t="s">
        <v>1651</v>
      </c>
      <c r="D496" s="1">
        <v>13.0</v>
      </c>
      <c r="E496" s="4" t="s">
        <v>1652</v>
      </c>
      <c r="F496" s="1" t="s">
        <v>43</v>
      </c>
      <c r="G496" s="1" t="s">
        <v>1653</v>
      </c>
      <c r="H496" s="4" t="s">
        <v>1654</v>
      </c>
      <c r="I496" s="2"/>
      <c r="J496" s="5" t="str">
        <f>IFERROR(__xludf.DUMMYFUNCTION("GOOGLETRANSLATE(A496)"),"tendency")</f>
        <v>tendency</v>
      </c>
      <c r="K496" s="6" t="str">
        <f>IFERROR(__xludf.DUMMYFUNCTION("GOOGLETRANSLATE(B496)"),"Secure Business Email Hosting for your Organization")</f>
        <v>Secure Business Email Hosting for your Organization</v>
      </c>
      <c r="L496" s="5" t="str">
        <f>IFERROR(__xludf.DUMMYFUNCTION("GOOGLETRANSLATE(C496)"),"#VALUE!")</f>
        <v>#VALUE!</v>
      </c>
      <c r="M496" s="5" t="str">
        <f>IFERROR(__xludf.DUMMYFUNCTION("GOOGLETRANSLATE(G496)"),"Zoho | Cloud Software Suite for Businesses        Your life's work powered by our life's work     A unique and powerful software suite to transform the way you work. Designed for businesses of all sizes built by a company that values your privacy. Get Sta"&amp;"rted For Free Access your apps            Featured apps   CRMConvert leads and close sales deals faster. Try now    MailSecure email service for your business. Try now    BooksPowerful financial platform for growing businesses. Try now    PeopleOrganize a"&amp;"utomate and simplify your HR processes. Try now    DeskHelpdesk software to deliver great customer support. Try now    ProjectsManage track collaborate on projects with teams. Try now    BackstageEnd-to-end event management software. Try now    WorkDriveO"&amp;"nline file management for teams. Try now    AssistRemote support and unattended remote access software. Try now    CliqStay in touch with teams no matter where you are. Try now    CreatorBuild custom apps for your business needs. Try now    Sign Digital s"&amp;"ignature app for businesses. Try now    SocialThe all-in-one social media management software.  Try now    CampaignsCreate send and track targeted email campaigns that drive sales.  Try now    RecruitIntuitive recruiting platform built to provide hiring s"&amp;"olutions.  Try now     ConnectTeam collaboration software that brings people together. Try now    AnalyticsCreate custom reports and dashboards from any data set. Try now    FlowAutomate business workflows by creating smart integrations. Try now    FormsB"&amp;"uild online forms for every business need. Try now    VaultOnline password manager for teams. Try now    SurveyDesign surveys to reach and interact with your audience. Try now    SitesOnline website builder with extensive customisation options. Try now   "&amp;"Explore all products     Spotlight  A complete solution for every billing requirement.  Try now   Spotlight        All-in-one suiteZoho OneThe operating system for businessRun your entire business on Zoho with our unified cloud software designed to help y"&amp;"ou break down silos between departments and increase organizational efficiency. Try zoho one  ""You can be a startup mid-sized company or an enterprise—Zoho One is a boon for all.""  Prakarsh GagdaniCEO 5paisa.com (an IIFL subsidiary)  ""Zoho continues to"&amp;" modify adapt grow and add things to the platform that our business sees value in.""  Paul GrimesChief Operating Officer Lubrication Engineers  ""I highly recommend Zoho One for all your business management sales marketing and invoicing requirements.""  D"&amp;"iksha Vohra Founder &amp; CEO Digital by DV Dubai UAE.  ""Zoho serves as an ‘enterprise bucket to assess new software’ - if we need something new we’ll always look to see if Zoho One has something available.""  Andy TrimmerHead of Technology Simply  Brands th"&amp;"at trust us              Customer Stories     ""Zoho had a tremendous impact on all of our processes. It helped us unite all the data into one platform."" Eisa Bin Ahmad Alserkal General Manager Blue LLC UAE.   Watch video   ""We can't imagine not using Z"&amp;"oho. We track our sales and investments our clients' potential and actual investors."" Birgit Rainbird Co-founder and Office Manager Funding Strategies   Read the story   ""With our complete business under control our productivity is up by 80% in the last"&amp;" year that we have been using Zoho."" Thomas John Managing Director Agappe Diagnostics   Read the story   ""Zoho's operating system is very robust and contains the collective memory of Selectra's entire business."" Aurian De Maupeou Co-Founder Selectra   "&amp;"Watch video     Zoho for Enterprises Experience the breadth and depth of the Zoho ecosystem with the professional services infrastructure support and security that a large business needs. Streamline complex business processes build strong relationships wi"&amp;"th your customers and drive growth at scale. Get in touch Learn more           Made in India.Made for the World. Business Software.Our Craft. Our Passion.  Swadeshi-Sanklap 0M+Users Globally0+Countries Served0K+Employees Worldwide0+Years in Business0+Prod"&amp;"uctsMore about zoho   Your privacy is our responsibility We believe that trust is paramount in a relationship. We do not own or sell your data and we most certainly do not bank on advertising-based business models. The only way we make money is from the s"&amp;"oftware license fees you pay us.  watch video         The core values and principles that drive us Long-term commitment 25 years of running a profitable organization gives us a good sense of challenges that a growing business faces. We take pride in runni"&amp;"ng a sustainable business that’s powered by you our customer. Focus on research &amp; developmentSoftware is our craft and we back it up with our relentless investments in R&amp;D. So much so that we prefer to own the entire technology stack including running our"&amp;" data centers globally. Customer-first philosophyIn all these years it's our customers' trust and goodwill that has helped us establish a strong position in the market. No matter the size of your business we're here to help you grow.Read our story    Visi"&amp;"on from a village ""Why Zoho's CEO moved from California to a hamlet in Tamil Nadu: The lessons this holds for an economy that wants to be self-reliant; for corporations headquartered in big cities; and a country with a high density of urban and migrant w"&amp;"orkers coming to grips with a pandemic.""  More on Forbes   Transnational Localism ""Zoho follows a long-term approach and therefore our growth will be rooted in closely working with and serving the local communities while staying connected through shared"&amp;" knowledge and culture. A strong local presence will help us in effectively addressing the needs of local businesses and add a personal touch to our services.""Read More    Hyther Nizam President Zoho Middle East &amp; Africa       ")</f>
        <v>Zoho | Cloud Software Suite for Businesses        Your life's work powered by our life's work     A unique and powerful software suite to transform the way you work. Designed for businesses of all sizes built by a company that values your privacy. Get Started For Free Access your apps            Featured apps   CRMConvert leads and close sales deals faster. Try now    MailSecure email service for your business. Try now    BooksPowerful financial platform for growing businesses. Try now    PeopleOrganize automate and simplify your HR processes. Try now    DeskHelpdesk software to deliver great customer support. Try now    ProjectsManage track collaborate on projects with teams. Try now    BackstageEnd-to-end event management software. Try now    WorkDriveOnline file management for teams. Try now    AssistRemote support and unattended remote access software. Try now    CliqStay in touch with teams no matter where you are. Try now    CreatorBuild custom apps for your business needs. Try now    Sign Digital signature app for businesses. Try now    SocialThe all-in-one social media management software.  Try now    CampaignsCreate send and track targeted email campaigns that drive sales.  Try now    RecruitIntuitive recruiting platform built to provide hiring solutions.  Try now     ConnectTeam collaboration software that brings people together. Try now    AnalyticsCreate custom reports and dashboards from any data set. Try now    FlowAutomate business workflows by creating smart integrations. Try now    FormsBuild online forms for every business need. Try now    VaultOnline password manager for teams. Try now    SurveyDesign surveys to reach and interact with your audience. Try now    SitesOnline website builder with extensive customisation options. Try now   Explore all products     Spotlight  A complete solution for every billing requirement.  Try now   Spotlight        All-in-one suiteZoho OneThe operating system for businessRun your entire business on Zoho with our unified cloud software designed to help you break down silos between departments and increase organizational efficiency. Try zoho one  "You can be a startup mid-sized company or an enterprise—Zoho One is a boon for all."  Prakarsh GagdaniCEO 5paisa.com (an IIFL subsidiary)  "Zoho continues to modify adapt grow and add things to the platform that our business sees value in."  Paul GrimesChief Operating Officer Lubrication Engineers  "I highly recommend Zoho One for all your business management sales marketing and invoicing requirements."  Diksha Vohra Founder &amp; CEO Digital by DV Dubai UAE.  "Zoho serves as an ‘enterprise bucket to assess new software’ - if we need something new we’ll always look to see if Zoho One has something available."  Andy TrimmerHead of Technology Simply  Brands that trust us              Customer Stories     "Zoho had a tremendous impact on all of our processes. It helped us unite all the data into one platform." Eisa Bin Ahmad Alserkal General Manager Blue LLC UAE.   Watch video   "We can't imagine not using Zoho. We track our sales and investments our clients' potential and actual investors." Birgit Rainbird Co-founder and Office Manager Funding Strategies   Read the story   "With our complete business under control our productivity is up by 80% in the last year that we have been using Zoho." Thomas John Managing Director Agappe Diagnostics   Read the story   "Zoho's operating system is very robust and contains the collective memory of Selectra's entire business." Aurian De Maupeou Co-Founder Selectra   Watch video     Zoho for Enterprises Experience the breadth and depth of the Zoho ecosystem with the professional services infrastructure support and security that a large business needs. Streamline complex business processes build strong relationships with your customers and drive growth at scale. Get in touch Learn more           Made in India.Made for the World. Business Software.Our Craft. Our Passion.  Swadeshi-Sanklap 0M+Users Globally0+Countries Served0K+Employees Worldwide0+Years in Business0+ProductsMore about zoho   Your privacy is our responsibility We believe that trust is paramount in a relationship. We do not own or sell your data and we most certainly do not bank on advertising-based business models. The only way we make money is from the software license fees you pay us.  watch video         The core values and principles that drive us Long-term commitment 25 years of running a profitable organization gives us a good sense of challenges that a growing business faces. We take pride in running a sustainable business that’s powered by you our customer. Focus on research &amp; developmentSoftware is our craft and we back it up with our relentless investments in R&amp;D. So much so that we prefer to own the entire technology stack including running our data centers globally. Customer-first philosophyIn all these years it's our customers' trust and goodwill that has helped us establish a strong position in the market. No matter the size of your business we're here to help you grow.Read our story    Vision from a village "Why Zoho's CEO moved from California to a hamlet in Tamil Nadu: The lessons this holds for an economy that wants to be self-reliant; for corporations headquartered in big cities; and a country with a high density of urban and migrant workers coming to grips with a pandemic."  More on Forbes   Transnational Localism "Zoho follows a long-term approach and therefore our growth will be rooted in closely working with and serving the local communities while staying connected through shared knowledge and culture. A strong local presence will help us in effectively addressing the needs of local businesses and add a personal touch to our services."Read More    Hyther Nizam President Zoho Middle East &amp; Africa       </v>
      </c>
    </row>
    <row r="497">
      <c r="A497" s="1" t="s">
        <v>1608</v>
      </c>
      <c r="B497" s="1" t="s">
        <v>1655</v>
      </c>
      <c r="D497" s="1">
        <v>14.0</v>
      </c>
      <c r="E497" s="4" t="s">
        <v>1656</v>
      </c>
      <c r="F497" s="1" t="s">
        <v>43</v>
      </c>
      <c r="G497" s="1" t="s">
        <v>31</v>
      </c>
      <c r="H497" s="4" t="s">
        <v>32</v>
      </c>
      <c r="I497" s="2"/>
      <c r="J497" s="5" t="str">
        <f>IFERROR(__xludf.DUMMYFUNCTION("GOOGLETRANSLATE(A497)"),"tendency")</f>
        <v>tendency</v>
      </c>
      <c r="K497" s="6" t="str">
        <f>IFERROR(__xludf.DUMMYFUNCTION("GOOGLETRANSLATE(B497)"),"Mail.ru - Wikipedia")</f>
        <v>Mail.ru - Wikipedia</v>
      </c>
      <c r="L497" s="5" t="str">
        <f>IFERROR(__xludf.DUMMYFUNCTION("GOOGLETRANSLATE(C497)"),"#VALUE!")</f>
        <v>#VALUE!</v>
      </c>
      <c r="M497" s="5" t="str">
        <f>IFERROR(__xludf.DUMMYFUNCTION("GOOGLETRANSLATE(G497)"),"Wikipedia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498">
      <c r="A498" s="1" t="s">
        <v>1608</v>
      </c>
      <c r="B498" s="1" t="s">
        <v>1657</v>
      </c>
      <c r="D498" s="1">
        <v>15.0</v>
      </c>
      <c r="E498" s="4" t="s">
        <v>1658</v>
      </c>
      <c r="F498" s="1" t="s">
        <v>43</v>
      </c>
      <c r="G498" s="1" t="s">
        <v>1659</v>
      </c>
      <c r="H498" s="4" t="s">
        <v>1660</v>
      </c>
      <c r="I498" s="2"/>
      <c r="J498" s="5" t="str">
        <f>IFERROR(__xludf.DUMMYFUNCTION("GOOGLETRANSLATE(A498)"),"tendency")</f>
        <v>tendency</v>
      </c>
      <c r="K498" s="6" t="str">
        <f>IFERROR(__xludf.DUMMYFUNCTION("GOOGLETRANSLATE(B498)"),"Newsletters spam test by mail-tester.com")</f>
        <v>Newsletters spam test by mail-tester.com</v>
      </c>
      <c r="L498" s="5" t="str">
        <f>IFERROR(__xludf.DUMMYFUNCTION("GOOGLETRANSLATE(C498)"),"#VALUE!")</f>
        <v>#VALUE!</v>
      </c>
      <c r="M498" s="5" t="str">
        <f>IFERROR(__xludf.DUMMYFUNCTION("GOOGLETRANSLATE(G498)"),"Newsletters spam test by mail-tester.comTest the Spammyness of your EmailsFirst send your email to:FAQGive FeedbackSPF GuidesSPF &amp; DKIM checkAPILog inBulgarianChineseCroatianCzechDutchEnglishEstonianFrenchGermanGreekHebrewHungarianItalianNorwegianPolishPo"&amp;"rtugueseRomanianRussianSpanishSwedishTurkishUkrainian")</f>
        <v>Newsletters spam test by mail-tester.comTest the Spammyness of your EmailsFirst send your email to:FAQGive FeedbackSPF GuidesSPF &amp; DKIM checkAPILog inBulgarianChineseCroatianCzechDutchEnglishEstonianFrenchGermanGreekHebrewHungarianItalianNorwegianPolishPortugueseRomanianRussianSpanishSwedishTurkishUkrainian</v>
      </c>
    </row>
    <row r="499">
      <c r="A499" s="1" t="s">
        <v>1608</v>
      </c>
      <c r="B499" s="1" t="s">
        <v>1661</v>
      </c>
      <c r="D499" s="1">
        <v>16.0</v>
      </c>
      <c r="E499" s="4" t="s">
        <v>1662</v>
      </c>
      <c r="F499" s="1" t="s">
        <v>43</v>
      </c>
      <c r="H499" s="4" t="s">
        <v>1663</v>
      </c>
      <c r="I499" s="2"/>
      <c r="J499" s="5" t="str">
        <f>IFERROR(__xludf.DUMMYFUNCTION("GOOGLETRANSLATE(A499)"),"tendency")</f>
        <v>tendency</v>
      </c>
      <c r="K499" s="6" t="str">
        <f>IFERROR(__xludf.DUMMYFUNCTION("GOOGLETRANSLATE(B499)"),"UK Home | Daily Mail Online")</f>
        <v>UK Home | Daily Mail Online</v>
      </c>
      <c r="L499" s="5" t="str">
        <f>IFERROR(__xludf.DUMMYFUNCTION("GOOGLETRANSLATE(C499)"),"#VALUE!")</f>
        <v>#VALUE!</v>
      </c>
      <c r="M499" s="5" t="str">
        <f>IFERROR(__xludf.DUMMYFUNCTION("GOOGLETRANSLATE(G499)"),"#VALUE!")</f>
        <v>#VALUE!</v>
      </c>
    </row>
    <row r="500">
      <c r="A500" s="1" t="s">
        <v>1608</v>
      </c>
      <c r="B500" s="1" t="s">
        <v>1664</v>
      </c>
      <c r="D500" s="1">
        <v>17.0</v>
      </c>
      <c r="E500" s="4" t="s">
        <v>1665</v>
      </c>
      <c r="F500" s="1" t="s">
        <v>43</v>
      </c>
      <c r="G500" s="1" t="s">
        <v>34</v>
      </c>
      <c r="H500" s="4" t="s">
        <v>35</v>
      </c>
      <c r="I500" s="2"/>
      <c r="J500" s="5" t="str">
        <f>IFERROR(__xludf.DUMMYFUNCTION("GOOGLETRANSLATE(A500)"),"tendency")</f>
        <v>tendency</v>
      </c>
      <c r="K500" s="7" t="str">
        <f>IFERROR(__xludf.DUMMYFUNCTION("GOOGLETRANSLATE(B500)"),"Mail.ru")</f>
        <v>Mail.ru</v>
      </c>
      <c r="L500" s="5" t="str">
        <f>IFERROR(__xludf.DUMMYFUNCTION("GOOGLETRANSLATE(C500)"),"#VALUE!")</f>
        <v>#VALUE!</v>
      </c>
      <c r="M500" s="5" t="str">
        <f>IFERROR(__xludf.DUMMYFUNCTION("GOOGLETRANSLATE(G500)"),"VK.com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501">
      <c r="A501" s="1" t="s">
        <v>1608</v>
      </c>
      <c r="B501" s="1" t="s">
        <v>1666</v>
      </c>
      <c r="D501" s="1">
        <v>18.0</v>
      </c>
      <c r="E501" s="4" t="s">
        <v>1667</v>
      </c>
      <c r="F501" s="1" t="s">
        <v>43</v>
      </c>
      <c r="I501" s="2"/>
      <c r="J501" s="5" t="str">
        <f>IFERROR(__xludf.DUMMYFUNCTION("GOOGLETRANSLATE(A501)"),"tendency")</f>
        <v>tendency</v>
      </c>
      <c r="K501" s="6" t="str">
        <f>IFERROR(__xludf.DUMMYFUNCTION("GOOGLETRANSLATE(B501)"),"Fastmail | We Respect Your Privacy &amp; Put You in Control")</f>
        <v>Fastmail | We Respect Your Privacy &amp; Put You in Control</v>
      </c>
      <c r="L501" s="5" t="str">
        <f>IFERROR(__xludf.DUMMYFUNCTION("GOOGLETRANSLATE(C501)"),"#VALUE!")</f>
        <v>#VALUE!</v>
      </c>
      <c r="M501" s="5" t="str">
        <f>IFERROR(__xludf.DUMMYFUNCTION("GOOGLETRANSLATE(G501)"),"#VALUE!")</f>
        <v>#VALUE!</v>
      </c>
    </row>
    <row r="502">
      <c r="A502" s="1" t="s">
        <v>1668</v>
      </c>
      <c r="B502" s="1" t="s">
        <v>1669</v>
      </c>
      <c r="C502" s="1" t="s">
        <v>1670</v>
      </c>
      <c r="D502" s="1">
        <v>1.0</v>
      </c>
      <c r="E502" s="4" t="s">
        <v>1671</v>
      </c>
      <c r="F502" s="1" t="s">
        <v>43</v>
      </c>
      <c r="I502" s="2"/>
      <c r="J502" s="5" t="str">
        <f>IFERROR(__xludf.DUMMYFUNCTION("GOOGLETRANSLATE(A502)"),"May holidays 2023")</f>
        <v>May holidays 2023</v>
      </c>
      <c r="K502" s="6" t="str">
        <f>IFERROR(__xludf.DUMMYFUNCTION("GOOGLETRANSLATE(B502)"),"May holidays 2023: how do we rest and how many days")</f>
        <v>May holidays 2023: how do we rest and how many days</v>
      </c>
      <c r="L502" s="5" t="str">
        <f>IFERROR(__xludf.DUMMYFUNCTION("GOOGLETRANSLATE(C502)"),"2 Mar. 2023. -")</f>
        <v>2 Mar. 2023. -</v>
      </c>
      <c r="M502" s="5" t="str">
        <f>IFERROR(__xludf.DUMMYFUNCTION("GOOGLETRANSLATE(G502)"),"#VALUE!")</f>
        <v>#VALUE!</v>
      </c>
    </row>
    <row r="503">
      <c r="A503" s="1" t="s">
        <v>1668</v>
      </c>
      <c r="B503" s="1" t="s">
        <v>1672</v>
      </c>
      <c r="C503" s="1" t="s">
        <v>1673</v>
      </c>
      <c r="D503" s="1">
        <v>2.0</v>
      </c>
      <c r="E503" s="4" t="s">
        <v>1674</v>
      </c>
      <c r="F503" s="1" t="s">
        <v>43</v>
      </c>
      <c r="I503" s="2"/>
      <c r="J503" s="5" t="str">
        <f>IFERROR(__xludf.DUMMYFUNCTION("GOOGLETRANSLATE(A503)"),"May holidays 2023")</f>
        <v>May holidays 2023</v>
      </c>
      <c r="K503" s="6" t="str">
        <f>IFERROR(__xludf.DUMMYFUNCTION("GOOGLETRANSLATE(B503)"),"How we relax in May 2023: holidays and transfer ...")</f>
        <v>How we relax in May 2023: holidays and transfer ...</v>
      </c>
      <c r="L503" s="5" t="str">
        <f>IFERROR(__xludf.DUMMYFUNCTION("GOOGLETRANSLATE(C503)"),"13 Apr. 2023. -")</f>
        <v>13 Apr. 2023. -</v>
      </c>
      <c r="M503" s="5" t="str">
        <f>IFERROR(__xludf.DUMMYFUNCTION("GOOGLETRANSLATE(G503)"),"#VALUE!")</f>
        <v>#VALUE!</v>
      </c>
    </row>
    <row r="504">
      <c r="A504" s="1" t="s">
        <v>1668</v>
      </c>
      <c r="B504" s="1" t="s">
        <v>1675</v>
      </c>
      <c r="C504" s="1" t="s">
        <v>1676</v>
      </c>
      <c r="D504" s="1">
        <v>3.0</v>
      </c>
      <c r="E504" s="4" t="s">
        <v>1677</v>
      </c>
      <c r="F504" s="1" t="s">
        <v>43</v>
      </c>
      <c r="G504" s="1" t="s">
        <v>1678</v>
      </c>
      <c r="H504" s="1" t="s">
        <v>1679</v>
      </c>
      <c r="I504" s="2"/>
      <c r="J504" s="5" t="str">
        <f>IFERROR(__xludf.DUMMYFUNCTION("GOOGLETRANSLATE(A504)"),"May holidays 2023")</f>
        <v>May holidays 2023</v>
      </c>
      <c r="K504" s="6" t="str">
        <f>IFERROR(__xludf.DUMMYFUNCTION("GOOGLETRANSLATE(B504)"),"How we relax in 2023: May holidays and others ...")</f>
        <v>How we relax in 2023: May holidays and others ...</v>
      </c>
      <c r="L504" s="5" t="str">
        <f>IFERROR(__xludf.DUMMYFUNCTION("GOOGLETRANSLATE(C504)"),"20 Apr. 2023. -")</f>
        <v>20 Apr. 2023. -</v>
      </c>
      <c r="M504" s="5" t="str">
        <f>IFERROR(__xludf.DUMMYFUNCTION("GOOGLETRANSLATE(G504)")," Card.D.RF-Consulting Center Dom.rf Dom.rf Financial Institute for Development in the Housing Sphere Ask Dom.rf Center for Information Support Dom.rf Bank Dom.rf Universal Mortgage Mortgage Building Building Building Development of the Reddy Housing and R"&amp;"eal Estate Investment Market. Dom.rf Digital Ecosystem of Real Estate Market Lift Building Shcherbinsky Lifnounship Plant Building. Dom.rf New approach to the individual housing construction market development of infrastructure of bond infrastructure for "&amp;"financing Dom.rf Development Full Cycle Earth and real estate auction and urban preparation of urban environment. Mastering planning and development cities of the operator of mortgage programs for the regions of citizens and developers Digital Academy Act"&amp;"ual Knowledge from leading experts in demanded directions mortgage bonds Development of the securityization market Sustainable development “Green” Construction and standardization 800 775-11-22 Instructions all about IZHI mortgages Purchase Purchase of Pr"&amp;"operty Measures Sale General questions Operation Services Catalog of Housing Programs with state support find out how much your mortgage calculation is worth the status of an application for participation in “Program 450” Calculants for real estate checkp"&amp;"oint service for housing and builder housing cooperatives Find the IT company Activation and verification of certificates deductions to sign up for viewing rental houses Step -by -step service in the preparation of documents measures to support developers"&amp;". Learning courses Videos News Mortgage benefits purchase of ownership measures for Support Support Support Support Support General issues Program for Assisting Programs to Major Family Banking Stavka Operations on the Project Results Instructions All Abo"&amp;"ut IZHSIPOTECHELGOTYSPUPAMARAS Supporting Property Services Emergency Services Catalog of Housing Programs with state support Applications for participation in "" Program 450 »Calculators for real estate service of housing checking and developing construc"&amp;"tion and construction cooperative cooperatives AT and checking the certification of tax deduction to view the rental home-stepped service in the designers of support for developers Type Documents Purifications Purifications Purifications Property Property"&amp;" Property issues Typokupka -forming of ownership of support for a program for helping large families of familiarized issues of federal programs for supporting Arandbank Stavkiekalization of news mortgages of the ownership of the ownership of support for t"&amp;"he provision of salescapederal programs for supporting general issues of assistance to large families of the Family of Family Formation Stavkiekias on the project results 800 775-11-22 Consultant@domrf.ru will answer all questions about housing #IZHS #pro"&amp;"gram 450 # IT-idol #benefits #Sale of instructions detailed instructions on housing for all occasions Services Useful online services questions and answers all answers to your questions about housing video cognitive videos about real estate and state prog"&amp;"rams, Support measures to learn about all available measures of state support and benefits tests check your knowledge about mortgages and real estate mortgage Marathon Psychology Mortgage of Mortgage of Rational Supply for the purchase of housing to parti"&amp;"cipate individual housing specifications: from the purchase of land of the finished private house IZHS Free -relishing course “How to build an on -board and before me” Calculate the benefits, check the status of an application for participation in “Progra"&amp;"m 450” check the status of digital rubbing Digital ruble - in simple words, a mortgage mortgage up to 8% on new buildings and IZHS state support for credit holidays for mobilized to find out more than a housing assessment, find out how much your apartment"&amp;" costs ZHSK ZHSK. Enter the Create and Choose the object Popular Instructions for Instructions federal regional and local taxes: what are the differences? 0 0 0 property tax of individuals: what you need to know 0 0 0 Conditions of the program of preferen"&amp;"tial mortgage for IT specialists 0 0 0 How to take a preferential mortgage with state support in 2023? 0 0 How to use a ""family mortgage""? 0 0 Assistance to large families in repayment of a mortgage 0 0 0 Rural mortgage: questions and answers 0 0 0 Cond"&amp;"itions of the program Far Eastern mortgage 0 0 0 How to get a free housing advice? 0 0 0 instructions your question is questions 0 0 0 to what date are the readings of water meters transmitted? 0 0 0 how to call plumbing at the place of residence? 0 0 0 H"&amp;"ow to contact a single dispatch service? 0 0 0 when the heating will turn off? 0 0 0 can you get a tax deduction when buying or when selling a car? 0 0 0 when the tax lists a tax deduction? 0 0 0 What is a house kit? 0 0 0 What is the urban planning plan "&amp;"of the land? 0 0 0 Do you need to pay contributions to gardening if you do not use the site? 0 0 on what conditions can you get a rural mortgage in the border territories? 0 0 0 What mortgage benefits can get families with children with disabilities 0 0 0"&amp;" What is a mortgage agreement? 0 0 0 Can I abandon the share in the apartment? 0 0 0 How to inherit an apartment with unsettled redevelopment? 0 0 0 How to inherit the apartment that is in a mortgage? 0 0 0 can military personnel claim the Far Eastern mor"&amp;"tgage at 2%? 0 0 0 if the health worker works in a private hospital, can he participate in the Far Eastern mortgage program? 0 0 0 can the school principal or the head of the kindergarten issue a Far Eastern mortgage? 0 0 0 can you re -participate in the "&amp;"program ""Far Eastern Mortgage""? 0 0 0 What is a house of blocked development? 0 0 0 What is an apartment building? 0 0 0 What is the cadastral value of the land? 0 0 0 under what conditions can a soldier get a housing subsidy? 0 0 0 will the apartment b"&amp;"e purchased in military mortgage during a divorce to share between the spouses (one of the military spouses)? 0 0 I am mobilized. How to submit a declaration for 2022 for the sale of real estate? 0 0 0 will the bank forgive the mortgage due to partial mob"&amp;"ilization? 0 0 0 How to pay a mobile for housing and communal services? 0 0 0 are there tax benefits for transport and land taxes for military? 0 0 0 The owner of the apartment is a mobilized citizen of the Federal Tax Service of the Federal Tax Service o"&amp;"f the FTS notification of payment of the tax for the apartment. How to pay? 0 0 How to dispose of real estate if you are called up for military service for partial mobilization? 0 0 0 What will happen with the collection of debts on loans and loans of mob"&amp;"ilized citizens? 0 0 0 List of Russian millionaire cities 0 0 0 can relatives apply for a credit vacation or restructuring the debt of a mobilized citizen? 0 0 0 What are the restrictions for obtaining credit holidays for military personnel and mobilized?"&amp;" 0 0 0 should mobilized pay fines for debts for housing and communal services? 0 0 0 What will happen to mobilized loans? 0 0 0 What payments can not be paid if you were mobilized? 0 0 0 can a mobilized wife get a credit vacation or arrange a restructurin"&amp;"g if it is a co -borrower or guarantor? 0 0 0 can I get a credit vacation or restructure my debt if I take a mortgage now and mobilize me? 0 0 mobilized my husband can I get a delay on a loan? 0 0 0 How to take an apartment if a new building is rented and"&amp;" the shareholder is mobilized? 0 0 can I pay for a mortgage loan while abroad? 0 0 0 What banks offer credit holidays to conscripts? 0 0 0 Can I sell a mortgage apartment by proxy? 0 0 are the credit holidays for mobilized citizens? 0 0 0 How to refuse pr"&amp;"operty ownership? 0 0 0 when they turn on the heating in houses? 0 0 0 Where to see the main indicators of the national project “Housing and the urban environment”? 0 0 0 can you purchase an apartment under an IT Moderate program under a concession agreem"&amp;"ent from a DDU from an individual? 0 0 0 how to find out who requested information about my credit history? 0 0 0 Cadastral Engineer: Who does he do how to choose? 0 0 0 How to demolish the property and remove it from the cadastral registration? 0 0 0 Why"&amp;", after the sale of the apartment, the bankrupt citizens remains utility debts? 0 0 0 how to find out the cadastral value of real estate and how does it differ from the market? 0 0 Find out who requested information about your real estate? 0 0 0 What is t"&amp;"he maximum age for the borrower under the IT Moderate program? 0 0 0 Learn the history of the property? 0 0 0 can you change the type of permitted use in the garden? 0 0 0 is it necessary to register real estate in Rosreestr if the ownership is recognized"&amp;" by the court? 0 0 0 What to do to the owner when renaming the street? 0 0 to what age give a mortgage? 0 0 0 How to submit lease and hiring contracts to Rosreestr? 0 0 0 What is a hostel? 0 0 0 Why do hot water turn off? 0 0 Popular questions about the A"&amp;"ssistance Program for large families 0 0 Popular questions about the design of a gift for apartment 0 0 0 Popular questions about the program “Far Eastern mortgage” 0 0 Popular questions about the inheritance 0 0 Popular issues about maternal capital 0 0 "&amp;"Popular Popular Questions about preferential mortgage programs 0 0 Popular questions about taxes when selling an apartment 0 0 0 Popular questions about tax deduction 0 0 Popular questions about mortgage 8% 0 0 0 How to get a temporary registration? 0 0 0"&amp;" Can I use maternity capital in a family mortgage? 0 0 0 How to sell an apartment burdened with a mortgage? 0 0 0 I have no temporary registration in the city. What is the fine for this? 0 0 0 I do not remember whether my apartment is privatized. How to f"&amp;"ind out? 0 0 0 can a mortgage loan be transferred to one borrower after a divorce? 0 0 0 can you clarify the capital and current repairs in the contract with the landlord? 0 0 0 How to get an extract from the register of creditors' claims? 0 0 0 If we hav"&amp;"e an apartment 31 square meters. m on 4 people can we improve our living conditions? 0 0 0 can a preliminary purchase and sale agreement instead of DDU for a mortgage loan? 0 0 0 can you take a regular mortgage and then refinance on a family mortgage? 0 0"&amp;" 0 do I have the right to register someone in the apartment without privatizing the apartment? 0 0 Is the developer legally acted if he asks to pay for the apartment on DDU and pay for the conclusion of the contract itself? 0 0 0 can I refinance a mortgag"&amp;"e in the case of the birth of a first child? 0 0 0, whether the insurance contract must be concluded with the same bank that issues a mortgage loan? 0 0 0 Can I count on installments on a mortgage payment in case of bankruptcy of a construction company? 0"&amp;" 0 0 can I refinance under the Family Mortgage program loan designed for apartments? 0 0 0 How can I conclude a gift agreement if the apartment is burdened with a mortgage in the pledge near Dom.rf? 0 0 0 What is an apartment building management agreement"&amp;"? 0 0. What documents should the developer provide at the time of delivery of the shared construction object? 0 0 0 If I have housing under a social rental agreement can I buy a house or apartment? 0 0 0 how to find out the rest of the capital? 0 0 0 What"&amp;" kind of greenhouses should be put on cadastral registration? 0 0 0 How to take an apartment with a developer in 2022? 0 0 How are payments for children from 8 to 17 years old? 0 0 0 What is the integrated development of territories? 0 0 Lecture “Psycholo"&amp;"gy of the mortgage” Experts will tell you how to rationally approach the purchase of housing to find out more and more questions all the news all the news is open dialogue: the psychology of the mortgage 10.11.2023 Moscow Prosecutor's Office told about th"&amp;"e 10 most common methods of fraud 08.11.2023 on public services a new authentication verification service appeared Passport 07.11.2023 Rosreestr experts told how to safely buy an apartment 02.11.2023 All news remained questions? Ask! We received your appe"&amp;"al and try to answer it within 24 hours! Meanwhile, look at our instructions, select the category General questions program 450 Mortgage with state support Maternity Capital tax deductions, select the category enter the correct e-mail maximum number of ch"&amp;"aracters-300 I give consent to the processing of personal Data, agree with the conditions to send on the site uses cookies, remaining on the site you express your consent to the processing of personal data in accordance with the policy of JSC ""Dom.rf"" c"&amp;"onfirm 8 800 775-11-22 Consultant@domrf.ru Winner 2021 2022 Best Social Projects Russia Politics of Personal Data Processing User Agreement © 2023 Ask.D.D.rf This site is protected using Recaptcha and corresponds to the Privacy Policy and Google use condi"&amp;"tions. We received your appeal and try to answer it within 24 hours! Meanwhile, see our instructions remained questions? Ask! Select the category General questions program 450 Mortgage with state support maternal capital tax deductions, select the categor"&amp;"y enter the correct e-mail maximum number of characters-300 I give consent to processing personal data, agree to send the conditions we received your appeal and try to answer it within 24 hours! Meanwhile, look our instructions call by phone 8 800 775-11-"&amp;"22 I, order a return call, choose category General questions program 450 Mortgage Maternity Maternity Capital Tax deductions, Select this field Mandatory this field is mandatory for filling out I give consent to process personal data processing Agree with"&amp;" the conditions to order a call")</f>
        <v> Card.D.RF-Consulting Center Dom.rf Dom.rf Financial Institute for Development in the Housing Sphere Ask Dom.rf Center for Information Support Dom.rf Bank Dom.rf Universal Mortgage Mortgage Building Building Building Development of the Reddy Housing and Real Estate Investment Market. Dom.rf Digital Ecosystem of Real Estate Market Lift Building Shcherbinsky Lifnounship Plant Building. Dom.rf New approach to the individual housing construction market development of infrastructure of bond infrastructure for financing Dom.rf Development Full Cycle Earth and real estate auction and urban preparation of urban environment. Mastering planning and development cities of the operator of mortgage programs for the regions of citizens and developers Digital Academy Actual Knowledge from leading experts in demanded directions mortgage bonds Development of the securityization market Sustainable development “Green” Construction and standardization 800 775-11-22 Instructions all about IZHI mortgages Purchase Purchase of Property Measures Sale General questions Operation Services Catalog of Housing Programs with state support find out how much your mortgage calculation is worth the status of an application for participation in “Program 450” Calculants for real estate checkpoint service for housing and builder housing cooperatives Find the IT company Activation and verification of certificates deductions to sign up for viewing rental houses Step -by -step service in the preparation of documents measures to support developers. Learning courses Videos News Mortgage benefits purchase of ownership measures for Support Support Support Support Support General issues Program for Assisting Programs to Major Family Banking Stavka Operations on the Project Results Instructions All About IZHSIPOTECHELGOTYSPUPAMARAS Supporting Property Services Emergency Services Catalog of Housing Programs with state support Applications for participation in " Program 450 »Calculators for real estate service of housing checking and developing construction and construction cooperative cooperatives AT and checking the certification of tax deduction to view the rental home-stepped service in the designers of support for developers Type Documents Purifications Purifications Purifications Property Property Property issues Typokupka -forming of ownership of support for a program for helping large families of familiarized issues of federal programs for supporting Arandbank Stavkiekalization of news mortgages of the ownership of the ownership of support for the provision of salescapederal programs for supporting general issues of assistance to large families of the Family of Family Formation Stavkiekias on the project results 800 775-11-22 Consultant@domrf.ru will answer all questions about housing #IZHS #program 450 # IT-idol #benefits #Sale of instructions detailed instructions on housing for all occasions Services Useful online services questions and answers all answers to your questions about housing video cognitive videos about real estate and state programs, Support measures to learn about all available measures of state support and benefits tests check your knowledge about mortgages and real estate mortgage Marathon Psychology Mortgage of Mortgage of Rational Supply for the purchase of housing to participate individual housing specifications: from the purchase of land of the finished private house IZHS Free -relishing course “How to build an on -board and before me” Calculate the benefits, check the status of an application for participation in “Program 450” check the status of digital rubbing Digital ruble - in simple words, a mortgage mortgage up to 8% on new buildings and IZHS state support for credit holidays for mobilized to find out more than a housing assessment, find out how much your apartment costs ZHSK ZHSK. Enter the Create and Choose the object Popular Instructions for Instructions federal regional and local taxes: what are the differences? 0 0 0 property tax of individuals: what you need to know 0 0 0 Conditions of the program of preferential mortgage for IT specialists 0 0 0 How to take a preferential mortgage with state support in 2023? 0 0 How to use a "family mortgage"? 0 0 Assistance to large families in repayment of a mortgage 0 0 0 Rural mortgage: questions and answers 0 0 0 Conditions of the program Far Eastern mortgage 0 0 0 How to get a free housing advice? 0 0 0 instructions your question is questions 0 0 0 to what date are the readings of water meters transmitted? 0 0 0 how to call plumbing at the place of residence? 0 0 0 How to contact a single dispatch service? 0 0 0 when the heating will turn off? 0 0 0 can you get a tax deduction when buying or when selling a car? 0 0 0 when the tax lists a tax deduction? 0 0 0 What is a house kit? 0 0 0 What is the urban planning plan of the land? 0 0 0 Do you need to pay contributions to gardening if you do not use the site? 0 0 on what conditions can you get a rural mortgage in the border territories? 0 0 0 What mortgage benefits can get families with children with disabilities 0 0 0 What is a mortgage agreement? 0 0 0 Can I abandon the share in the apartment? 0 0 0 How to inherit an apartment with unsettled redevelopment? 0 0 0 How to inherit the apartment that is in a mortgage? 0 0 0 can military personnel claim the Far Eastern mortgage at 2%? 0 0 0 if the health worker works in a private hospital, can he participate in the Far Eastern mortgage program? 0 0 0 can the school principal or the head of the kindergarten issue a Far Eastern mortgage? 0 0 0 can you re -participate in the program "Far Eastern Mortgage"? 0 0 0 What is a house of blocked development? 0 0 0 What is an apartment building? 0 0 0 What is the cadastral value of the land? 0 0 0 under what conditions can a soldier get a housing subsidy? 0 0 0 will the apartment be purchased in military mortgage during a divorce to share between the spouses (one of the military spouses)? 0 0 I am mobilized. How to submit a declaration for 2022 for the sale of real estate? 0 0 0 will the bank forgive the mortgage due to partial mobilization? 0 0 0 How to pay a mobile for housing and communal services? 0 0 0 are there tax benefits for transport and land taxes for military? 0 0 0 The owner of the apartment is a mobilized citizen of the Federal Tax Service of the Federal Tax Service of the FTS notification of payment of the tax for the apartment. How to pay? 0 0 How to dispose of real estate if you are called up for military service for partial mobilization? 0 0 0 What will happen with the collection of debts on loans and loans of mobilized citizens? 0 0 0 List of Russian millionaire cities 0 0 0 can relatives apply for a credit vacation or restructuring the debt of a mobilized citizen? 0 0 0 What are the restrictions for obtaining credit holidays for military personnel and mobilized? 0 0 0 should mobilized pay fines for debts for housing and communal services? 0 0 0 What will happen to mobilized loans? 0 0 0 What payments can not be paid if you were mobilized? 0 0 0 can a mobilized wife get a credit vacation or arrange a restructuring if it is a co -borrower or guarantor? 0 0 0 can I get a credit vacation or restructure my debt if I take a mortgage now and mobilize me? 0 0 mobilized my husband can I get a delay on a loan? 0 0 0 How to take an apartment if a new building is rented and the shareholder is mobilized? 0 0 can I pay for a mortgage loan while abroad? 0 0 0 What banks offer credit holidays to conscripts? 0 0 0 Can I sell a mortgage apartment by proxy? 0 0 are the credit holidays for mobilized citizens? 0 0 0 How to refuse property ownership? 0 0 0 when they turn on the heating in houses? 0 0 0 Where to see the main indicators of the national project “Housing and the urban environment”? 0 0 0 can you purchase an apartment under an IT Moderate program under a concession agreement from a DDU from an individual? 0 0 0 how to find out who requested information about my credit history? 0 0 0 Cadastral Engineer: Who does he do how to choose? 0 0 0 How to demolish the property and remove it from the cadastral registration? 0 0 0 Why, after the sale of the apartment, the bankrupt citizens remains utility debts? 0 0 0 how to find out the cadastral value of real estate and how does it differ from the market? 0 0 Find out who requested information about your real estate? 0 0 0 What is the maximum age for the borrower under the IT Moderate program? 0 0 0 Learn the history of the property? 0 0 0 can you change the type of permitted use in the garden? 0 0 0 is it necessary to register real estate in Rosreestr if the ownership is recognized by the court? 0 0 0 What to do to the owner when renaming the street? 0 0 to what age give a mortgage? 0 0 0 How to submit lease and hiring contracts to Rosreestr? 0 0 0 What is a hostel? 0 0 0 Why do hot water turn off? 0 0 Popular questions about the Assistance Program for large families 0 0 Popular questions about the design of a gift for apartment 0 0 0 Popular questions about the program “Far Eastern mortgage” 0 0 Popular questions about the inheritance 0 0 Popular issues about maternal capital 0 0 Popular Popular Questions about preferential mortgage programs 0 0 Popular questions about taxes when selling an apartment 0 0 0 Popular questions about tax deduction 0 0 Popular questions about mortgage 8% 0 0 0 How to get a temporary registration? 0 0 0 Can I use maternity capital in a family mortgage? 0 0 0 How to sell an apartment burdened with a mortgage? 0 0 0 I have no temporary registration in the city. What is the fine for this? 0 0 0 I do not remember whether my apartment is privatized. How to find out? 0 0 0 can a mortgage loan be transferred to one borrower after a divorce? 0 0 0 can you clarify the capital and current repairs in the contract with the landlord? 0 0 0 How to get an extract from the register of creditors' claims? 0 0 0 If we have an apartment 31 square meters. m on 4 people can we improve our living conditions? 0 0 0 can a preliminary purchase and sale agreement instead of DDU for a mortgage loan? 0 0 0 can you take a regular mortgage and then refinance on a family mortgage? 0 0 0 do I have the right to register someone in the apartment without privatizing the apartment? 0 0 Is the developer legally acted if he asks to pay for the apartment on DDU and pay for the conclusion of the contract itself? 0 0 0 can I refinance a mortgage in the case of the birth of a first child? 0 0 0, whether the insurance contract must be concluded with the same bank that issues a mortgage loan? 0 0 0 Can I count on installments on a mortgage payment in case of bankruptcy of a construction company? 0 0 0 can I refinance under the Family Mortgage program loan designed for apartments? 0 0 0 How can I conclude a gift agreement if the apartment is burdened with a mortgage in the pledge near Dom.rf? 0 0 0 What is an apartment building management agreement? 0 0. What documents should the developer provide at the time of delivery of the shared construction object? 0 0 0 If I have housing under a social rental agreement can I buy a house or apartment? 0 0 0 how to find out the rest of the capital? 0 0 0 What kind of greenhouses should be put on cadastral registration? 0 0 0 How to take an apartment with a developer in 2022? 0 0 How are payments for children from 8 to 17 years old? 0 0 0 What is the integrated development of territories? 0 0 Lecture “Psychology of the mortgage” Experts will tell you how to rationally approach the purchase of housing to find out more and more questions all the news all the news is open dialogue: the psychology of the mortgage 10.11.2023 Moscow Prosecutor's Office told about the 10 most common methods of fraud 08.11.2023 on public services a new authentication verification service appeared Passport 07.11.2023 Rosreestr experts told how to safely buy an apartment 02.11.2023 All news remained questions? Ask! We received your appeal and try to answer it within 24 hours! Meanwhile, look at our instructions, select the category General questions program 450 Mortgage with state support Maternity Capital tax deductions, select the category enter the correct e-mail maximum number of characters-300 I give consent to the processing of personal Data, agree with the conditions to send on the site uses cookies, remaining on the site you express your consent to the processing of personal data in accordance with the policy of JSC "Dom.rf" confirm 8 800 775-11-22 Consultant@domrf.ru Winner 2021 2022 Best Social Projects Russia Politics of Personal Data Processing User Agreement © 2023 Ask.D.D.rf This site is protected using Recaptcha and corresponds to the Privacy Policy and Google use conditions. We received your appeal and try to answer it within 24 hours! Meanwhile, see our instructions remained questions? Ask! Select the category General questions program 450 Mortgage with state support maternal capital tax deductions, select the category enter the correct e-mail maximum number of characters-300 I give consent to processing personal data, agree to send the conditions we received your appeal and try to answer it within 24 hours! Meanwhile, look our instructions call by phone 8 800 775-11-22 I, order a return call, choose category General questions program 450 Mortgage Maternity Maternity Capital Tax deductions, Select this field Mandatory this field is mandatory for filling out I give consent to process personal data processing Agree with the conditions to order a call</v>
      </c>
    </row>
    <row r="505">
      <c r="A505" s="1" t="s">
        <v>1668</v>
      </c>
      <c r="B505" s="1" t="s">
        <v>1680</v>
      </c>
      <c r="C505" s="1" t="s">
        <v>1681</v>
      </c>
      <c r="D505" s="1">
        <v>4.0</v>
      </c>
      <c r="E505" s="4" t="s">
        <v>1682</v>
      </c>
      <c r="F505" s="1" t="s">
        <v>43</v>
      </c>
      <c r="I505" s="2"/>
      <c r="J505" s="5" t="str">
        <f>IFERROR(__xludf.DUMMYFUNCTION("GOOGLETRANSLATE(A505)"),"May holidays 2023")</f>
        <v>May holidays 2023</v>
      </c>
      <c r="K505" s="6" t="str">
        <f>IFERROR(__xludf.DUMMYFUNCTION("GOOGLETRANSLATE(B505)"),"What days in 2023 non -working")</f>
        <v>What days in 2023 non -working</v>
      </c>
      <c r="L505" s="5" t="str">
        <f>IFERROR(__xludf.DUMMYFUNCTION("GOOGLETRANSLATE(C505)"),"The approved production calendar for 2023 in Russia. Holidays, weekends and working days in 2023. Feast and weekend schedule: March, ...")</f>
        <v>The approved production calendar for 2023 in Russia. Holidays, weekends and working days in 2023. Feast and weekend schedule: March, ...</v>
      </c>
      <c r="M505" s="5" t="str">
        <f>IFERROR(__xludf.DUMMYFUNCTION("GOOGLETRANSLATE(G505)"),"#VALUE!")</f>
        <v>#VALUE!</v>
      </c>
    </row>
    <row r="506">
      <c r="A506" s="1" t="s">
        <v>1668</v>
      </c>
      <c r="B506" s="1" t="s">
        <v>1683</v>
      </c>
      <c r="C506" s="1" t="s">
        <v>1684</v>
      </c>
      <c r="D506" s="1">
        <v>5.0</v>
      </c>
      <c r="E506" s="4" t="s">
        <v>1685</v>
      </c>
      <c r="F506" s="1" t="s">
        <v>43</v>
      </c>
      <c r="G506" s="1" t="s">
        <v>1686</v>
      </c>
      <c r="H506" s="4" t="s">
        <v>1687</v>
      </c>
      <c r="I506" s="2"/>
      <c r="J506" s="5" t="str">
        <f>IFERROR(__xludf.DUMMYFUNCTION("GOOGLETRANSLATE(A506)"),"May holidays 2023")</f>
        <v>May holidays 2023</v>
      </c>
      <c r="K506" s="6" t="str">
        <f>IFERROR(__xludf.DUMMYFUNCTION("GOOGLETRANSLATE(B506)"),"Official May weekend in 2023")</f>
        <v>Official May weekend in 2023</v>
      </c>
      <c r="L506" s="5" t="str">
        <f>IFERROR(__xludf.DUMMYFUNCTION("GOOGLETRANSLATE(C506)"),"19 Apr. 2023. -")</f>
        <v>19 Apr. 2023. -</v>
      </c>
      <c r="M506" s="5" t="str">
        <f>IFERROR(__xludf.DUMMYFUNCTION("GOOGLETRANSLATE(G506)"),"Skillbox-Educational platform with online courses. Black Friday Course as a gift select the course all courses Open menu: About Skillbox About us Career Center Contacts Vacancies School of Curators Discount Skillbox Community On the Platform Open menu: We"&amp;"binars all we webinars Playlist Media Schedule to Enter Become a demanded specialist programming design analytics marketing management of the Game Cinema and music marketplaces Engineering Psychology All courses Alina have succeeded in business organized "&amp;"an amateur basketball club and sponsor the children's team. The novel for six months became a developer and came to a stable income. Vasily learned on a targetologist and got a job at the digital agency. Dmitry decided to change his profession and went to"&amp;" study as a designer. Igor threw office work and began to shoot festival cinema. Programming design analytics marketing management of films of cinema and music marketplaces Engineering Psychology All courses profession or skill to find why they choose the"&amp;" educational platform Skillbox No. 1 Skillbox No. 1 in the rating of the organization of training of EdTech companies in the DPO segment (according to the Smart Ranking) The quality of training according to the version of the Smart Ranking 787 courses: pr"&amp;"ofession skills higher education and MBA 24/7 learn with any schedule from anywhere in the world 93% of those who graduated that you have achieved your goals will not miss the neural networks will be fired? We understand a large conference-with practice a"&amp;"nd gifts watch free IT professional with high salaries profession Python-developer 10 months profession graphic designer 10 months profession 3D jezenracytte 13 months profession 6 months profession profession engineer 7 months A profession web developer "&amp;"9 months profession Java-developer 8 months profession UX/UI designer 12 months Profession C ++ Developer from zero 7 months Profession Data Scientist 12 months profession BI-analyst 6 months Professor 12 months Profession Motion designer 12 months to wat"&amp;"ch all courses For any goals, master the profession from scratch and find a job of 161 Profession to get new skills and speed up a career of 356 courses, we will help you find a profession in your soul to start academic programs secondary vocational educa"&amp;"tion Read more Higher Education with leading universities in Russia 7 programs Skillbox research by the Higher School of Events 93% of graduates believe Skillbox helped to achieve the goal of watching a study of 4 steps to the changes in the career and li"&amp;"fe 1 Study the material on the platform at any convenient time 2 communicate with experts and like -minded people in Telegram 3 Perform practical tasks and consolidate knowledge 4 prepare the project and complement them with your portfolio that They say t"&amp;"he participants in the courses Andrei Zhurakov, Moscow Course “Ableton Live from zero to Pro”, the course of 100% corresponds to its name! I quickly mastered the program that previously caused only horror and complete misunderstanding. I read that I was v"&amp;"ery lucky with the curator. He answered very detailed to all my questions in detail told what I did not quite correctly - he even applied the video on which he showed how to make better! Irina Afanasyeva Course ""Profession Manager of Projects"" I am a pr"&amp;"ogrammer. For a long time she was engaged in the development and implementation of systems and then led the IT units of large energy companies. Now it is time for me to change and I thought that I needed to update the knowledge. Moreover, I did not have t"&amp;"heoretical foundations for project management. I learned very interestingly and informatively the courses helped me systematize all the experience and gain new knowledge. Video Convings Alla Komissarenko Course “UX designer from zero to Pro” I really like"&amp;" the designer from UX, I generally have a delight for analytics I always had. After a long search for work in the new field, my friend helped me get an order to redesign the site of a large company. I want to say thanks to the curator Alexander Freedom, h"&amp;"e painted all the shortcomings and mistakes of decisions in design in great detail. Examples of the works of Lyudmila Yurchenko Course “HR manager from scratch” I am a beginner in the profession and it was important for me to contain the course to contain"&amp;" not only theory but also practice. I will call my feelings more than positive because I liked the course. I received a lot of useful information which I will use. Now I am in the process of searching for work and career consultants Skillbox help me a lot"&amp;" in this. Video review Mikhail Mirror G. Cherepovets Course “Electronic music from zero to Pro” The course helped me systematize the existing knowledge and gain new ones. Of great importance was the chat with other participants in the course and curators "&amp;"where you can always discuss any issues of subtleties and nuances. But the most important thing is that the course gives the motivation to work on yourself and allows you to take a step from samizdat in VK or SoundCloud to monetization of creativity and c"&amp;"ommercial production. Svetlana nineteen course ""Autodesk Maya 2.0"" I liked everything. A very convenient platform can always be asked a question in a chat or write in Telegram where participants will help in the moment. The curator is always in touch an"&amp;"d records the video if something does not work out. As a beginner, the material is not given the material right away, but the curator comments and explains everything. To learn, in general, it is very interesting to open every lesson for myself something "&amp;"new. Olesya Novikova course “How to find a job today. Express course with a career advice ”I am passing a course with a career advice and received three test tasks already and at the same vacancies I began to take a trial period 😍. It was either before t"&amp;"hat either I received refusals or simply did not answer employers. For me, some kind of magic 🔥. Ready for changes in life? Take the first step! Shine courses Reviews about Skillbox Ksenia Puzyarenko Artyom Sidyakonov Vadim Lazarev Yulia Kholodkova Igor "&amp;"Fedyanin Vladislav Vincenbach Maxim Fomin for those who have not yet decided to go through the test and find your ideal profession to go for free collaboration with leading companies, we collect the best vacancies in the industry and recommend you to comp"&amp;"anies and recommend you to companies -Partner. 73432880104 78126025210 74952910742 74954453639 749544453936 74954016931 73432880104 79310093246 79310093248 79310093249 78126025210 735122 009018 We will help in the choice! If you have questions about the f"&amp;"ormat or you do not know what to choose to leave your number - we will call to answer all your questions. Name phone Email Send a mistake seemed to be an error when sending. Try to send again or reboot the page. By clicking on the button, I agree to proce"&amp;"ss personal data and with the rules for using the direction of the direction programming programming design analytics marketing management of the Game Cinema and music marketplaces Engineering Psychology All courses about Skillbox about us Center Career C"&amp;"ontacts Contacts School Schools Skillbox Community About Media Platforms Sale Free courses Cooperation Discount for friends Partnership program Corporate clients to employers Brand Materials 8 (800) 500-05-22 Contact center +7 499 444 90 36 User Cares, Is"&amp;" there a question or offer? Write to Sergey Popkov - responsible for the quality of courses in Moscow st. Timura Frunze House 11 Corps 2 floor 1 room 1 room 75 Hello@skillbox.ru Offer Payment for using the Police of Privacy Policy Polencies We use COOKIE "&amp;"files to personalize services and increasing the convenience of using the site. If you do not agree to use them, change the browser settings. Educational services are provided by the DPO “Educational Technologies“ Skilbox (Skills) ”on the basis of a licen"&amp;"se No. L035-01298-77/00179609 of January 19, 2022. Educational services are provided in accordance with the Federal Law of 04.05.2011 No. 99-ФЗ “On the Licensing of certain types of activities”. The copyright holder for LMS ""Skillbox 2.0"" LLC ""Skillbox"&amp;""". Runet Prizes 2018 2019 2020 2021 2022 © Skillbox 2023")</f>
        <v>Skillbox-Educational platform with online courses. Black Friday Course as a gift select the course all courses Open menu: About Skillbox About us Career Center Contacts Vacancies School of Curators Discount Skillbox Community On the Platform Open menu: Webinars all we webinars Playlist Media Schedule to Enter Become a demanded specialist programming design analytics marketing management of the Game Cinema and music marketplaces Engineering Psychology All courses Alina have succeeded in business organized an amateur basketball club and sponsor the children's team. The novel for six months became a developer and came to a stable income. Vasily learned on a targetologist and got a job at the digital agency. Dmitry decided to change his profession and went to study as a designer. Igor threw office work and began to shoot festival cinema. Programming design analytics marketing management of films of cinema and music marketplaces Engineering Psychology All courses profession or skill to find why they choose the educational platform Skillbox No. 1 Skillbox No. 1 in the rating of the organization of training of EdTech companies in the DPO segment (according to the Smart Ranking) The quality of training according to the version of the Smart Ranking 787 courses: profession skills higher education and MBA 24/7 learn with any schedule from anywhere in the world 93% of those who graduated that you have achieved your goals will not miss the neural networks will be fired? We understand a large conference-with practice and gifts watch free IT professional with high salaries profession Python-developer 10 months profession graphic designer 10 months profession 3D jezenracytte 13 months profession 6 months profession profession engineer 7 months A profession web developer 9 months profession Java-developer 8 months profession UX/UI designer 12 months Profession C ++ Developer from zero 7 months Profession Data Scientist 12 months profession BI-analyst 6 months Professor 12 months Profession Motion designer 12 months to watch all courses For any goals, master the profession from scratch and find a job of 161 Profession to get new skills and speed up a career of 356 courses, we will help you find a profession in your soul to start academic programs secondary vocational education Read more Higher Education with leading universities in Russia 7 programs Skillbox research by the Higher School of Events 93% of graduates believe Skillbox helped to achieve the goal of watching a study of 4 steps to the changes in the career and life 1 Study the material on the platform at any convenient time 2 communicate with experts and like -minded people in Telegram 3 Perform practical tasks and consolidate knowledge 4 prepare the project and complement them with your portfolio that They say the participants in the courses Andrei Zhurakov, Moscow Course “Ableton Live from zero to Pro”, the course of 100% corresponds to its name! I quickly mastered the program that previously caused only horror and complete misunderstanding. I read that I was very lucky with the curator. He answered very detailed to all my questions in detail told what I did not quite correctly - he even applied the video on which he showed how to make better! Irina Afanasyeva Course "Profession Manager of Projects" I am a programmer. For a long time she was engaged in the development and implementation of systems and then led the IT units of large energy companies. Now it is time for me to change and I thought that I needed to update the knowledge. Moreover, I did not have theoretical foundations for project management. I learned very interestingly and informatively the courses helped me systematize all the experience and gain new knowledge. Video Convings Alla Komissarenko Course “UX designer from zero to Pro” I really like the designer from UX, I generally have a delight for analytics I always had. After a long search for work in the new field, my friend helped me get an order to redesign the site of a large company. I want to say thanks to the curator Alexander Freedom, he painted all the shortcomings and mistakes of decisions in design in great detail. Examples of the works of Lyudmila Yurchenko Course “HR manager from scratch” I am a beginner in the profession and it was important for me to contain the course to contain not only theory but also practice. I will call my feelings more than positive because I liked the course. I received a lot of useful information which I will use. Now I am in the process of searching for work and career consultants Skillbox help me a lot in this. Video review Mikhail Mirror G. Cherepovets Course “Electronic music from zero to Pro” The course helped me systematize the existing knowledge and gain new ones. Of great importance was the chat with other participants in the course and curators where you can always discuss any issues of subtleties and nuances. But the most important thing is that the course gives the motivation to work on yourself and allows you to take a step from samizdat in VK or SoundCloud to monetization of creativity and commercial production. Svetlana nineteen course "Autodesk Maya 2.0" I liked everything. A very convenient platform can always be asked a question in a chat or write in Telegram where participants will help in the moment. The curator is always in touch and records the video if something does not work out. As a beginner, the material is not given the material right away, but the curator comments and explains everything. To learn, in general, it is very interesting to open every lesson for myself something new. Olesya Novikova course “How to find a job today. Express course with a career advice ”I am passing a course with a career advice and received three test tasks already and at the same vacancies I began to take a trial period 😍. It was either before that either I received refusals or simply did not answer employers. For me, some kind of magic 🔥. Ready for changes in life? Take the first step! Shine courses Reviews about Skillbox Ksenia Puzyarenko Artyom Sidyakonov Vadim Lazarev Yulia Kholodkova Igor Fedyanin Vladislav Vincenbach Maxim Fomin for those who have not yet decided to go through the test and find your ideal profession to go for free collaboration with leading companies, we collect the best vacancies in the industry and recommend you to companies and recommend you to companies -Partner. 73432880104 78126025210 74952910742 74954453639 749544453936 74954016931 73432880104 79310093246 79310093248 79310093249 78126025210 735122 009018 We will help in the choice! If you have questions about the format or you do not know what to choose to leave your number - we will call to answer all your questions. Name phone Email Send a mistake seemed to be an error when sending. Try to send again or reboot the page. By clicking on the button, I agree to process personal data and with the rules for using the direction of the direction programming programming design analytics marketing management of the Game Cinema and music marketplaces Engineering Psychology All courses about Skillbox about us Center Career Contacts Contacts School Schools Skillbox Community About Media Platforms Sale Free courses Cooperation Discount for friends Partnership program Corporate clients to employers Brand Materials 8 (800) 500-05-22 Contact center +7 499 444 90 36 User Cares, Is there a question or offer? Write to Sergey Popkov - responsible for the quality of courses in Moscow st. Timura Frunze House 11 Corps 2 floor 1 room 1 room 75 Hello@skillbox.ru Offer Payment for using the Police of Privacy Policy Polencies We use COOKIE files to personalize services and increasing the convenience of using the site. If you do not agree to use them, change the browser settings. Educational services are provided by the DPO “Educational Technologies“ Skilbox (Skills) ”on the basis of a license No. L035-01298-77/00179609 of January 19, 2022. Educational services are provided in accordance with the Federal Law of 04.05.2011 No. 99-ФЗ “On the Licensing of certain types of activities”. The copyright holder for LMS "Skillbox 2.0" LLC "Skillbox". Runet Prizes 2018 2019 2020 2021 2022 © Skillbox 2023</v>
      </c>
    </row>
    <row r="507">
      <c r="A507" s="1" t="s">
        <v>1668</v>
      </c>
      <c r="B507" s="1" t="s">
        <v>1688</v>
      </c>
      <c r="C507" s="1" t="s">
        <v>1689</v>
      </c>
      <c r="D507" s="1">
        <v>6.0</v>
      </c>
      <c r="E507" s="4" t="s">
        <v>1690</v>
      </c>
      <c r="F507" s="1" t="s">
        <v>43</v>
      </c>
      <c r="G507" s="1" t="s">
        <v>1691</v>
      </c>
      <c r="H507" s="4" t="s">
        <v>1692</v>
      </c>
      <c r="I507" s="2"/>
      <c r="J507" s="5" t="str">
        <f>IFERROR(__xludf.DUMMYFUNCTION("GOOGLETRANSLATE(A507)"),"May holidays 2023")</f>
        <v>May holidays 2023</v>
      </c>
      <c r="K507" s="6" t="str">
        <f>IFERROR(__xludf.DUMMYFUNCTION("GOOGLETRANSLATE(B507)"),"How we relax on May holidays 2023")</f>
        <v>How we relax on May holidays 2023</v>
      </c>
      <c r="L507" s="5" t="str">
        <f>IFERROR(__xludf.DUMMYFUNCTION("GOOGLETRANSLATE(C507)"),"21 Apr. 2023. -")</f>
        <v>21 Apr. 2023. -</v>
      </c>
      <c r="M507" s="5" t="str">
        <f>IFERROR(__xludf.DUMMYFUNCTION("GOOGLETRANSLATE(G507)"),"Infull-financial marketplace of banking/insurance products and services of Moscow +7 (800) 333-19-33 Moscow +7 (800) 333-19-33 insurance insurance insurance for the marty of land and health and health-dimensional business lines-supporting dimensions In th"&amp;"e mortgage -proceedings of programmatic mortgage control 2023, the ITSELA mortgage of the company Kontaktykaniykaniykiyasiystriytovtniya -service Information by the Mozhunnovnovnogi-cost of insurance companies of insurance companies insurance companies in"&amp;" a mortgage-service in the Service of the Aggency Mozhurnal Moscow +7 (800) 333-19-33 We have been providing a full range of financial services for people and companies since 2012+ insurance companies 374,000+ executed contracts 93% of the positive decisi"&amp;"ons of 11 years, we have been working since 2012. Since 2012, we have been working since 2012 motion car - get a policy as simply and quickly inspections of the property of the property of the Domakvartirapotrypotekvadracopteic -Mermsine insurance - recei"&amp;"ve the policy as simple and quickly dmstelemedicinavirunavirusaturistamvs section in the receipt of a mortgage - the solution of difficult issues of new -building grades Law -line -based legal facilities of legal agency Agency With us, you are in complete"&amp;" confidence without unnecessary movements remote interaction without trips and queues nearby when you need in any difficult situation we will be in touch with you under the protection of the law for the entire time of the contract, our lawyers will be a c"&amp;"onvenient format on your side if you need the original documents we ourselves We will bring everything at the convenient time Infull Journal - the fresh news of the insurance market with our expert assessment all articles and news finance on August 1, 202"&amp;"3 Tigital ruble mortgage July 25, 2023 What if I can’t pay a mortgage? Car mortgage liability insurance on July 25, 2023 Chinese cars: the best and reliable cars in the Russian market mortgage July 25, 2023 Rights and obligations of the co -borrower of th"&amp;"e technology on July 25, 2023 How to work with a client base in CRM CASCO July 25, 2023 What is the CASCO Moscow +7 (800) 333-19-33 All the most interesting in our subscription! Thanks for the subscription! Your mail address is subscribing to insurance in"&amp;"surance for card -ownerships and healthy dmsipoptext -fueling business human house -for -house transport transportation of transport in a mortgage -like mortgage of the state -core for the ITSELISK MADIPOTECTION for the construction of housing programs Me"&amp;"thods of site design of the design of the design of advance advertising advertisement for OSAGO and CASCOMALLY BODICAL Repair Settlement of losses of carpent -free auto -ling -loading vehicles of vehicle equipment of real estate -pro -REMOLLY Contact for "&amp;"thevaskaniyasiol-proofing oversight of the Op-Paramatic Information Odrachovye The companies of the insurance companies, the housingcation of the website of the Privacy of Privacy © 2012-2023 Infull LLC Development of the Site: AP-Imma we use cuckoo! What"&amp;" does this mean? Choose your city enter the name of your city or choose below. Enter the name Gorodskvasankankt-Petersburgovosibirskkanburg Kazanchelabinsk Sasamararostov-Donuophaf the application for the service, leave the phone number and we will call y"&amp;"ou back to clarify the information. Our managers will analyze proposals for all insurance companies. Your named phone, I agree with the conditions for processing and storing my personal data to send to add review12345 chatter. Auto service Infullbank Orga"&amp;"nizations of the Mordmosjin, crankcase insurance of the company BrokerMedicino company reviews CASTARTIONS OF COSSISENTS BUSINESS BUSINESS OF BUSINESS OF DREATION OF Real Estate Real Estate Otherwise. Review review I agree with the conditions for processi"&amp;"ng and storing my personal data to send")</f>
        <v>Infull-financial marketplace of banking/insurance products and services of Moscow +7 (800) 333-19-33 Moscow +7 (800) 333-19-33 insurance insurance insurance for the marty of land and health and health-dimensional business lines-supporting dimensions In the mortgage -proceedings of programmatic mortgage control 2023, the ITSELA mortgage of the company Kontaktykaniykaniykiyasiystriytovtniya -service Information by the Mozhunnovnovnogi-cost of insurance companies of insurance companies insurance companies in a mortgage-service in the Service of the Aggency Mozhurnal Moscow +7 (800) 333-19-33 We have been providing a full range of financial services for people and companies since 2012+ insurance companies 374,000+ executed contracts 93% of the positive decisions of 11 years, we have been working since 2012. Since 2012, we have been working since 2012 motion car - get a policy as simply and quickly inspections of the property of the property of the Domakvartirapotrypotekvadracopteic -Mermsine insurance - receive the policy as simple and quickly dmstelemedicinavirunavirusaturistamvs section in the receipt of a mortgage - the solution of difficult issues of new -building grades Law -line -based legal facilities of legal agency Agency With us, you are in complete confidence without unnecessary movements remote interaction without trips and queues nearby when you need in any difficult situation we will be in touch with you under the protection of the law for the entire time of the contract, our lawyers will be a convenient format on your side if you need the original documents we ourselves We will bring everything at the convenient time Infull Journal - the fresh news of the insurance market with our expert assessment all articles and news finance on August 1, 2023 Tigital ruble mortgage July 25, 2023 What if I can’t pay a mortgage? Car mortgage liability insurance on July 25, 2023 Chinese cars: the best and reliable cars in the Russian market mortgage July 25, 2023 Rights and obligations of the co -borrower of the technology on July 25, 2023 How to work with a client base in CRM CASCO July 25, 2023 What is the CASCO Moscow +7 (800) 333-19-33 All the most interesting in our subscription! Thanks for the subscription! Your mail address is subscribing to insurance insurance for card -ownerships and healthy dmsipoptext -fueling business human house -for -house transport transportation of transport in a mortgage -like mortgage of the state -core for the ITSELISK MADIPOTECTION for the construction of housing programs Methods of site design of the design of the design of advance advertising advertisement for OSAGO and CASCOMALLY BODICAL Repair Settlement of losses of carpent -free auto -ling -loading vehicles of vehicle equipment of real estate -pro -REMOLLY Contact for thevaskaniyasiol-proofing oversight of the Op-Paramatic Information Odrachovye The companies of the insurance companies, the housingcation of the website of the Privacy of Privacy © 2012-2023 Infull LLC Development of the Site: AP-Imma we use cuckoo! What does this mean? Choose your city enter the name of your city or choose below. Enter the name Gorodskvasankankt-Petersburgovosibirskkanburg Kazanchelabinsk Sasamararostov-Donuophaf the application for the service, leave the phone number and we will call you back to clarify the information. Our managers will analyze proposals for all insurance companies. Your named phone, I agree with the conditions for processing and storing my personal data to send to add review12345 chatter. Auto service Infullbank Organizations of the Mordmosjin, crankcase insurance of the company BrokerMedicino company reviews CASTARTIONS OF COSSISENTS BUSINESS BUSINESS OF BUSINESS OF DREATION OF Real Estate Real Estate Otherwise. Review review I agree with the conditions for processing and storing my personal data to send</v>
      </c>
    </row>
    <row r="508">
      <c r="A508" s="1" t="s">
        <v>1668</v>
      </c>
      <c r="B508" s="1" t="s">
        <v>1693</v>
      </c>
      <c r="C508" s="1" t="s">
        <v>1694</v>
      </c>
      <c r="D508" s="1">
        <v>7.0</v>
      </c>
      <c r="E508" s="4" t="s">
        <v>1695</v>
      </c>
      <c r="F508" s="1" t="s">
        <v>43</v>
      </c>
      <c r="G508" s="1" t="s">
        <v>1696</v>
      </c>
      <c r="H508" s="4" t="s">
        <v>1697</v>
      </c>
      <c r="I508" s="2"/>
      <c r="J508" s="5" t="str">
        <f>IFERROR(__xludf.DUMMYFUNCTION("GOOGLETRANSLATE(A508)"),"May holidays 2023")</f>
        <v>May holidays 2023</v>
      </c>
      <c r="K508" s="6" t="str">
        <f>IFERROR(__xludf.DUMMYFUNCTION("GOOGLETRANSLATE(B508)"),"What awaits Russians in May 2023: May weekend, ...")</f>
        <v>What awaits Russians in May 2023: May weekend, ...</v>
      </c>
      <c r="L508" s="5" t="str">
        <f>IFERROR(__xludf.DUMMYFUNCTION("GOOGLETRANSLATE(C508)"),"27 Apr. 2023. -")</f>
        <v>27 Apr. 2023. -</v>
      </c>
      <c r="M508" s="5" t="str">
        <f>IFERROR(__xludf.DUMMYFUNCTION("GOOGLETRANSLATE(G508)"),"	������ - ���������������� (������� ������ ����� �������������) �� ��������� ����������� ��������.������������������������������������������� �������������������� ��������								��������							EngRu					������� ������� ������� � ������������ �� ���������"&amp;"�� � ������									�������� ������ �������� �� 1300%				12 ������ 2023�����������		�����	���������������						������� ����� ����������� �����:											������� ������:											���������											������ ������											�� ������ ����� ��������� �����"&amp;"�� ������ ����� �� ���������� �����:					�������� �������������� � ����������������������������������� ������������������������������������IT�������������������������� ����������� ������������� ��������������-20 ��������� � ���������������� � ������������"&amp;"���������� ��������� � 2024����������� ����������� ���������������� ��� ��� ���������� �� �������������� ����������������������� ������������������������� (100+)������ (1267+)���������������� ��������� (1601+)����������� ���������� (5277+)���� �����������"&amp;"����		�����					������������� �� �� ����������� ������������� �������� ����� ����������� ��������� ���������� ���� ��� ������������� �������������� �������� ������� � ����������� �����?					(��������� ������ 12.11.2023)									�� �������������� �������� "&amp;"�������� ������ ���� ���������� ������������� �������� � ���� �����													�� ����� ���� ����� ������� ���� ������������ ���������� �����													�� �� ������ ��� ��������� ���������� ������ ���������������� � �� �������� ����������� ����� ���			"&amp;"										��� ����� �������� ���������� ����������� ���������													��� ������� ��������� �������� ��������������� �������������� ����������� ���� � ������													��� ��������� ��� ����� ��������� ��� ������ ��� ����� ������													���� ��"&amp;"����� (������� � �����������)						���������� ������� ������������� 4 ������� 2023��������� ��������� ������������ ""� ����������� ������� � ����� �������"" (44-��)""�� ���������� ���������� � �� ������� ���� ����������  ��������� ������������� ��������� "&amp;"� �� ''���� �"". ����������  ������� ��������� ��������� �������� ������������� �������������� �������.15 ������ 2023��������� ��������� ������������ ""� ������������� ������""(223-�� �� 18.07.2011)��������� ����������� ��������� � �� ''���� �"".       ��"&amp;"�������� ������� ��������� ��������� �������� �������������       �������������� �������.��������-������ ������� ��������������������� ����� ���������			����������������� ������� ������ ������������ ��������� �� ���					���������� ������ ������ � ��������"&amp;" ��������� ������������ ������� ��					� 1 ������ 2024 ���� ����������� ��������� ������ ���������� �� ������ �������������� ���������������					������������� �� ���������� �������� ����������� ��������� �� �������					����������������� ����� ������������"&amp;"� ������������� �� ����������� ��������					� ������� ���������� ��������� ������� ������ ������� ������������					������ ���������� ����������� ������������ ���������� �� ����					�������� ���� ������������� ��� ����������� �������� �� ����� 2024 ����		�"&amp;"�����10 ������ 18:30			��������� ����					������ � ����� ����������� ������ �������������: �������������� ��������� ��� � 2024		10 ������ 16:47����� ��������			����					����������������� ������� ������ ������������ ��������� �� ���		26 �������			���������"&amp;"					������ ����: ����� ������ � ����� ���������� ������					� ��������������� ����������� � ����� ������� � ������ ������ ������ ��� �� ������ �� ��������������� �� ������������ ���������� � �������� �������� �� ���� ���� � � ����� ���������.		10 ������ "&amp;"13:55����� ��������			��������					���������� ������ ������ � �������� ��������� ������������ ������� ��		10 ������ 13:22			������ � �������					� ������� ������ ������������ � ��������������� ��������� �� �������� ��������������� � ���������������� �����"&amp;"���		17 �������			���					������ ������������� ������: ���������������� � �������� ��������					� ��������������� ������ � �������� ����� �� �������� �������������� ������������ ������������ ������ ��������� ������� ������ ����������� � ��������������� ��"&amp;" ���� ������ ������������� ������ � � ���������.		10 ������ 10:34			������					��������� ������� ������ ������������� ������ ���������� �� ������� ������������ ������ �� ������ � 44-��		10 ������ 09:31			�������� ��������					�� �� ������� ��������� �����"&amp;"�� ������ ��������� � ��� ��� ����������� � ����� �� ������ ����������		 5 �������			IT					������������� ��������� � ������� � ��������					95% ���������� ������-�������� ��� �������� ���������� �� � �������� �������� � �������� ���������.		 9 ������ 16:"&amp;"15			��������					� ������� ���������� ��������� ������� ������ ������� ������������		 9 ������ 15:39			�������� ��������					������������� ��������� ��������: ������ � ���������� ���������� ���� ���� �� �� �������� ���������������� � ������		 9 ������			"&amp;"������				������� �������� ����� ����������� ��������������� ������ ������ � �������					������ ������ ���������� ��� ������� � �������������� ����������� ��� ������� �������� �������������� ������� ������ � ������� ��������. �������������� ��� ����������"&amp;"�� � ��������� �� ������������� ������� �� ������ � 44-�� ���������� � ������� � ���������� �������� ��� ����� ������������� ������ ����� ���������� ������. ����� �������� ������� ������ �������� � ��������� ��������� �������� ""������"" ������ �������.		"&amp;" 9 ������ 14:01			���������					������ �� ������������ ��������� �������� ������������� �� ������� ��������� �����?		 9 ������ 13:32			������ � �������					����������� ����� ����� ������� ������ � ��� ������ �� III ������� 2023 ����		 9 ������ 12:00����� "&amp;"��������			���������� �����					������������ ������� ������� ��� ������������ ���������� ������������� ������� � ��������� ������ �� ��������		 9 ������ 10:34			������ � �������					�� ������ ��������� ����������� ������ �� 2022 ��� �������� ������ ������"&amp;"		30 �������			��������				��� ��������� � ������ � 1 ������ 2023 ����: ���������� ��������� ������������ ����������� ������������ ���-������ ��� �������� �������� ������������ ��������������� ��������					� ����� �������� ����� � ����� ���������� ����� �"&amp;"�������� ������������ ���������� � ����� ������ ���� ������������ ���������� ������� ������� ���������� ������������ ��������� ���������� ��������� � ����������� ������� ������ � �. �.		10 ������ 16:04			������ � �������					� ��������� ��������� ��������"&amp;" ���������� �������� �������� �������� ��������� ������ 03% �� �����������		10 ������ 15:32			���������					�� �� �������� � ������ ����������� ���������� ���� � ���� ��� ���� ������������ � �������� �����������		24 �������			��������� ����				�������� """&amp;"������"" �������� V ����������� ��� ����������� ����������� � ��������� ��������� �����					����������� ������� � ������-������� ��������� ��� ���������� � ������������ ���������� ������ ����������.		10 ������ 12:03�����			��������					� 1 ������ 2024 ���"&amp;"� ����������� ��������� ������ ���������� �� ������ �������������� ���������������		10 ������ 11:35�����			������ � �������					������������� �� ���������� �������� ����������� ��������� �� �������		30 �������			���					������������ ������� �������� �����"&amp;"��������� �������������� ����������� � ����������� ������ ��� �����������					���� �������� ������� ������������ ""��� �����"" ������������ � ���������� ����������� � �������� ������������ � ���� ������������ �� �� ����������.		 9 ������ 18:30			���������"&amp;"					� ������� ������� ������� ������ �� ������������� ������������� ����������������		 9 ������ 17:46			������ � �������					����������� ������� ����������� ����������� �������������� ������� ��������������� � ���������� ��� ���������� ����������		 1 ���"&amp;"���			��������				�������� ������� ���������������� � �����������		 9 ������ 14:55����� ��������			������ � �������					������ ���������� ����������� ������������ ���������� �� ����		 9 ������ 14:38			IT					����� ��������������� ��������� ����� ���������"&amp;" ������������		31 �������			������ � �������					���������������� ��������� �� ������ 2023 ����					�� �������� �������� � ����� ����� ������� � ������ ������� � ������ 2023 ���� � ����� ���������� � ���������������� ����������.		 9 ������ 12:34			������	"&amp;"				�������� ���� ������������� ��� ����������� �������� �� ����� 2024 ����		 9 ������ 11:26			��������					� ������� ���������� �������� ���� � �������������� �����		��� ������������������������������� ������				 2 ������ 2023								������								������"&amp;"� �� ��������� ���������*							��� �� ���� ���� ����������� ��������� ������������������� ������������ �� �������� ����������� �������� ������ ������������� �� �������������� ����. ��������� �� ���� � ���������.							26 ������� 2023								���������				"&amp;"				������ ����: ����� ������ � ����� ���������� ������							� ��������������� ����������� � ����� ������� � ������ ������ ������ ��� �� ������ �� ��������������� �� ������������ ���������� � �������� �������� �� ���� ���� � � ����� ���������.							17 �"&amp;"������ 2023								���								������ ������������� ������: ���������������� � �������� ��������							� ��������������� ������ � �������� ����� �� �������� �������������� ������������ ������������ ������ ��������� ������� ������ ����������� � ������������"&amp;"��� �� ���� ������ ������������� ������ � � ���������.							 4 ������� 2023								IT								������������� ��������� � ������� � ��������							95% ���������� ������ �������� ��� �������� ���������� �� � �������� �������� � �������� ���������.							20 �"&amp;"������� 2023								��������								����������� ������������ � ��� ������������� � �������� ����������� ��� ������ ���������� ������������� ������� ��������� ����							� ��������� ��������������� ������� ������������� �������� ���������� ������������� ��"&amp;"���������� � ����� ����������� (������� ����������� ���������� ��������) � ����������� (������� ��������� �����������).							 1 �������� 2023								�����������								������ ��� � ������ �����: ����������� ����������� �������� �������� � ������������ ��"&amp;" ��������� ���������������							� ���������-������������������ ����������� ��������� ������� ��������� � ������������ ��������� � ����� �� ����������� �������� ������� ����������� ���������� � �������� ����� � � ����� ���������.						��� ������		������  "&amp;"              30 ������� 2023            				���							������������ ������� �������� �������������� �������������� ����������� � ����������� ������ ��� �����������							���� �������� ������� ������������ ""��� �����"" ������������ � ���������� ����������"&amp;"� � �������� ������������ � ���� ������������ �� �� ����������.			                 5 ������� 2023            				������ � �������							����������� ��������� ��������� �������������� ����������� � �������������� ����������������: �������� ���������							"&amp;"��� ���������� ������ �������������� ������������ ��� �������� ������������-�� ������� �������� �� ���������� ��� ���� ��������������� ����� ������������ ������ ���������� ������������ ������������ ""������ � ���������-������������� ����������"" ��� ""���"&amp;"��������� ���������� ����"".			                27 �������� 2023            				������							����� �������� �������� ������ �������� ���������� ��� ������������� ���������� ������������?							� ������ ���������� �������� ���� ����������� ���������� ������"&amp;"� ���������� ���������� �������������� �������� ��� �������� ��������� � ������. ����� ����� � ����������� �������� ��� ""��� �� 115-��"" ��������� � ��������� �� ��� �������� �������� ������������ ���� �� ���/��.			                15 �������� 2023       "&amp;"     				���							������� ��������������: ������� ���������� � ����� ������� ��� �� ������������							� ��� �  ����� ������� �������� � ��������������� ������ �� ���������� �������� �������������� � ��� ����������� ��� ������������� ������� �������� �� "&amp;"����� �� ������������ ������������ ���� �������� ������� ������������ ����������� �������� ""��� �����"".						��� ������					��� ������		������� � ������		������� � ����������			������			����������� �����			�������� �����			����������			��������� ����			"&amp;"��������					������:							���� �������� �� ���������������� ������ � ������� ����������� ��� ���������� ��� (""������ ����� �������"") � �������� �� ������������ �� ������� � �����������. ����������� ����� � ���� ��������� �����							������:							�����"&amp;"� ��� ��� ��������� �������� �� �������� � ������ ������. ������ ������. �������� ������� ��������� ��������							������:							����� ������� ���������� ��� (���) � ��������� ������� �������� � ���������?							������:							����� ������ ��� ����������� "&amp;"�� ��������� ������� ������� ��������� �����							������:							��� ��������� � ������������ ����������� ������������ �� ��������� ���� ��������� ������������� � ���� �������� ����������� ������������ �� ��������� � �������������� ����� ����������?						"&amp;"	������:							������ ���������� ������� �������� �������� � ������ ���� ����� ���� �������� � ������� ���� �� � ������� ���� ���������� � ����� � ��������� �������� ���������� � ���������� �� ������������?							������:							�������� ���� �������� �����"&amp;"���� �������� � ���� �������� ��������� �������� ��������� ������� ����������� ����� ���������������� ��� � ������ � ����������� ������ ���� ��� � ������� 8 103 236 ���. ����� ��������� � ������ ��� ��������� ������������������ �������� �� ������� �������"&amp;"������. �������� ���������� � ��������������� � ���� ������ ��� ����� � ������ ����� � ����� 10 000 000 ������. �������� ������ � ���. ��� ������ � ������������� ��������� ������� ��������. ��������� ����� �������� ���������� � ����� �� ����� 10 000 000 �"&amp;"�����. ��� ������������ ��������� ������� �������� ���� � ������� ������ ������� ����������.����� �� ����� ��������...					������ �����		��� ���������������                        30 �������� 2022                    							������ � �������												����"&amp;"�� ��������											�������������� ��������������� �������� �� 3 ������					""������ ��������� ���� ����������� ������ ��������� ������ ������� � 1 ������ 2023 ����""                        26 �������� 2022                    							��������� ����						"&amp;"						��������� ������											����������� ��������� ������������ ��������� ����������� � ���������� ���������� � ��������������� ������� ������� ������					""�� ����� ��������� ������ �� ���������� ������������ ������� ������� ��������� ���������������"&amp;" ��������� ������������� � ������������� ������������� ��������� �������""		��� ��������	����� � �����                         9 ������ 2023                                                ������                                            ������� �������� "&amp;"����� ����������� ��������������� ������ ������ � �������                                    ������ ������ ���������� ��� ������� � �������������� ����������� ��� ������� �������� �������������� ������� ������ � ������� ��������. �������������� ��� ������"&amp;"������ � ��������� �� ������������� ������� �� ������ � 44-�� ���������� � ������� � ���������� �������� ��� ����� ������������� ������ ����� ���������� ������. ����� �������� ������� ������ �������� � ��������� ��������� �������� ""������"" ������ ������"&amp;"�.                                         7 ������ 2023                                                ��������� ����                                            �������������� � ���������� � 2023: ����� ������� ����� ��������� ����� ������ �� ������ ����"&amp;"���                                    �� ���� � ����������� ��������� ����� ������� �������������� � ������ ������ � ������: ����� ������� �������������� ����� ��������� ����� ������... �� ������� ����� �������� �� ����� ��������� �� ��������� �����. ���"&amp;"������ �������� � �������������� ���� �������� � ���������-�������� ������������ �������� ""��������� �����"" �������� ""������"".                        ��� ������    �����������			31 ������� 2023						������ � �������						���������������� ��������� �� "&amp;"������ 2023 ����					�� �������� �������� � ����� ����� ������� � ������ ������� � ������ 2023 ���� � ����� ���������� � ���������������� ����������.					13 �������� 2023						�����������						����� � 2023: ������� �������� � ���������� � ����������					1"&amp;" �������� �������� ���������� ����� ����� � �����. ����� ���������-������������������ � ������������� ���������� ������������� � ����������? ������ ������������ ������� �������� � ������� ������ � ���? ��� ����� ������ ��� ������������� ����������� ������"&amp;"� ��������? ������� �� ����� �����������.					��� �����������		���������� �������                     7 ������ 2023                					���������									77% ��������� ������� ������.�� ���������� ����������� ������ ������������ ����������� ��������������"&amp;"��				                    30 ������� 2023                					��������									39% ������������ ������������ �������� ��������� � �������� �� �������� ��������� � ��������: �� �������� ���������� ������ � ������� ������� ����������� � �� ����������� �� ��"&amp;"�����				��� ������ ���������������� ���������		�����������		���������������� � ������� �� 10 ������ 2023 �.				������ ��� �� 11 ������� 2023 �. � 2018 ""�� ����������� ����� � ������� �������� � �������� ������ ������ ����� �� ����������� ������� � �����"&amp;"� � �����...							���������� ����������� ��������� ������ �� 9 ������ 2023 �. ""����� ����� �������� ����������������� ����� ������������� ���� �������������""							������������� ������������� �� �� 4 ������ 2023 �. N 1865 ""� ����������� ��������������"&amp;" ������� ""����������� ������ ��������� ������������� �� ���������� ��...						��� ����������� ���������				������						������ ������������ ����������� � ����� �. ������ �� 20 ������� 2023 �. N 990 ""� �������� ��������� � ������ ������������ ����������� "&amp;"� ����� ������ ������...							������ ������������ ��������������� �. ������ �� 26 ������� 2023 �. N 1058 ""� �������� ��������� � ������ ������������ ��������������� ������ ������ �� 5...							������������� ������������� ������ �� 26 ������� 2023 �. N 2"&amp;"042-�� ""� �������� ��������� � ������������� ������������� ������ �� 10 ������� 2004 �. N 77-��""			�������� ������ ��� ����������� ����������� � ����� ""������� ���������"":					�. ������										�. �����-���������										��������� ����										����"&amp;"���� �������										������������� �������										������������ �������										������������ �������										�������� �������										������������ �������										������������� �������										����������� �������										����������� �������							"&amp;"			��������� ���������� �������										������������� ����										���������� �������										��������� �������										���������-���������� ����������										��������������� �������										��������� �������										���������� ����										�����"&amp;"����-���������� ����������										����������� �������										��������� �������										����������� �������										������������� ����										������������ ����										���������� �������										������� �������										������������� �������					"&amp;"					�������� �������										����������� �������										���������� �������										���������� �������										�������� ���������� �����										������������� �������										������������ �������										������������� �������										������ �����"&amp;"��										������������ �������										��������� �������										���������� �������										�������� ����										���������� ����										��������� �������										���������� ������										���������� �����										���������� ������������							"&amp;"			���������� �������										���������� ��������										���������� ���������										���������� ��������										���������� �������										���������� ����										���������� ����										���������� ����� ��										���������� ��������										"&amp;"���������� ���� (������)										���������� �������� ������-������										���������� ���������										���������� ����										���������� �������										���������� �������										��������� �������										��������� �������										����������� �"&amp;"������										����������� �������										������������ �������										�����������										���������� �������										�������������� ����										���������� �������										�������� �������										������� �������										�������� �������							"&amp;"			��������� �������										���������� ����������										����������� �������										����������� ����										�����-���������� ���������� �����-����										����������� �������										��������� ����������										��������� ����������										��"&amp;"������� ���������� �����										�����-�������� ���������� �����										����������� �������									��� ������						��� ������������ ���������				������ �������				���-��������� ������				���������� ������� � ���						����������� ��� �� ������� �������"&amp;"���� ���� ���������� ����� ������������� ����� � ������ ������������ ����������������							����������� ��� ������������ ��������������� ������ ��� ���������� ����������						��� ���������				����� �����������						������������� ������������� �� �� 2 ����"&amp;"�� 2023 �. ��1847 ��� ��������� ��������������� �������� � ����� ��������������� ��������� � � ����������� �������...							����������� ����� ������ �� 9 ������ 2023��. ""�� ������� � ������ �������� �������� ������""							����������� ����� ������ �� 8 �"&amp;"����� 2023��. ��� �������� ����� ������������ ���� �� �������� ������������� ���������						��� �����������		������� ����������		����������		223-��44-��54-����� �������������� ������������������� ������������������� ����������������� ������������ ������� "&amp;"� ���������������� � ������ ���� ����������������� � ������������ ����������� � ������������ � �������� � ������������� �� ���������������� �� �������� �� ����������� �� ������� ������ �������� ������������ �� ����������� ���������������� ��������� ������"&amp;"����������� ����������� ����������������������������� � ������� ����������� ������� ������������������� � ��������� �������������������� �������������� ������������ ����������� �� ����� ��������������� ������������ �������������� ��������������� �������� "&amp;"����� �������� �� ��������� ���		�������						����������� ������							�������� ������							��������� ������							����							��������� ������							����������� �������������� ������							��������-�������������� ������							����������� �������������� �"&amp;"�����							��������� ������							�������� ������							�������� ������							��������� ������							����������������� ������							���������� ������ ����������� �����							������ ����������������� ����������������							��������-�������������� ������		"&amp;"					������ ������							������ ������							��������� ������							������ ��������� ������������							������ ����������� ������� ����������					������						����� ""� ������ ���� ������������""							����� ""�� �����������""							����������� ����� ""� �"&amp;"������""							����������� ����� ""�� ���""							����� ""� �������""							����������� ����� ""� ���������""							����� ""� ���""							����������� ����� ""�� ������""							����������� ����� ""�� ��""							����������� ����� ""�� �����""							��������"&amp;"��� ����� ""� �����""							����������� ����� ""� �������� ����������� � ������� ������""							����������� ����� ""� ������� ��������������""							����� ""� ������""							����������� ����� ""� �������� ������� � ���������� ���������""							�����������"&amp;" ����� ""� �������������� ��������� ����� ������������""							����������� ����� ""� ���������������""							����� ""� ������������ ��������� ����� � ���������� ���������""							����������� ����� ""� ������ � ���������� ������������""							����� �� ����"&amp;"������� ������������							����� ""� ����� �� �����""							����������� ����� ""� ����� ������ �����""							����������� ����� ""� ����������� ���������� ���������""							����������� ����� ""�� ������ ���������� �����""							����������� ����� �� �������"&amp;"���� �������							����� � �����������							����������� ����� ""� ���""							����������� ����� ""� ����������� �������������""							����������� ����� ""� ����������������� (�����������)""							����� � ����������					������-�������				������						��� �"&amp;"��������								�����������				�������				����� ����� 12 ������ 2023			USD �� ��					920535									+01269				EUR �� ��					983155									-00921				������ ���� � ������������ ���������������� 15.00%											������������																									������ �"&amp;"���������																											������ ��������� �� ����������� ������ ��������� ����������																											������ ������ �� ��������� ���������� ��� � ������																											������ ����� �� ������� ������ � �������																"&amp;"											������ ����������� �� �������� ���������� ����� ������ ������� ������ ��� ���������� � ���� ������ ������������� ���������																											������ ���																									��� ������������											���������        ����������������"&amp;" ��������� �� 2023 ���            ���������������� ��������� �� 2024 ���    �������������������������������������������������������������123456789								10												1112								13																				14																				15																				16							"&amp;"													17												1819								20																				21																				22																				23																				24												2526								27																				28																				29																				30												21/91671502998��������"&amp;"������������								1																				2																								3*								456								7																				8																				9																				10												1112								13																				14												15								16																				17									"&amp;"			1819								20																				21																				22																				23																				24												25262728								29												3021/91671502998��������������������12345678910111213141516171819202122232425262728293021/91671502998�������"&amp;"�������������								1												23456								7																				8																				9																				10												1112								13																				14												15								16																				17												181920								21																				2"&amp;"2																				23																				24												252627								28																				29												3021/91671502998������� ����� ������� ���������� ����� �������� ���������� ����������� ��� ���������� 5-������� ����� ���������� �� ������ ������ � "&amp;"�����������?���������� ������ ���������				������� ***							� ����� ����������� ����������� ��������� � ��������							ElenaO							�������� ������ ������������� ������ �������������� ������ ��� ������ ��� ����� ��� ������ ���� � ���							irinaks							"&amp;"������� �������� �������			����������� ��������� 7 �������� 2023 10:52				Cloud4Y �������� ��������� �������������� � ������������ � ������� � ������������ ������							������������� �������� ��������� Cloud4Y ����������� �������� ���������� ������������ "&amp;"�������������� �������� ������� ������ ������.			18 ���� 2023 15:54				������������� ��������� �� ""������- ����������""							������������ � ����� ���������� �� ""����������������"" � ������������� ��� ���������� ������			28 ���� 2023 17:38				����������"&amp;"� ����������� ������������ ISO 14001							ISO 14001 ��������� � ������������ ������������ � ������������ ������������ ����������� � ������ ���.			28 ���� 2023 17:37				������������ ������������ �� ISO 45001							������������ �� ��������� ISO 45001 ���� "&amp;"��� ����������� �������: ���������� ������������ � �������� ���������� ���������� ������ �����.			 7 ���� 2023 12:03				����� ""������"" � ��� �������� �������							""������"" ������ � ������ ������ ������� ����� ����� � �������� � 16 ������� ����			 7 �"&amp;"��� 2023 12:00				��� �������� ������������ ISO 9001							����� ��������� ������� ""�����"" ���������� ������ ������������ �� ���� ������.			20 ������ 2023 15:13				��������-������� ����� ������� ������� � ������ �����							��� �������� ������������� ��"&amp;"������ ������� ���� ���������� � ��������� ����������������� ����������� � ��������� �� ��������� �������.			13 ������ 2023 18:42				��� ������� ������������� ����							� ���� ����������� ������������ ��������� ������������� ���� � ��� ����������� ������"&amp;"������ ��� ����������� ������������ � �������� ��������������� ������ �� ������� ����������. �������� � ���������� �����...			12 ������ 2023 11:38				��������� ""�����"": ��������������� � ����������							������� ����������� ������� �� ���� ��� ������ � "&amp;"������� �������� �������������� �������� ��� ����� ������.			 7 ������ 2023 16:50				���������������� ����������: 5 ���������� ������ �� ������� ������������� ��������������							�������������� � ���� �� ���������� ����� ��������������. ������ � ��� ����"&amp;"����.						��� ���������					�������		��� �������������� ��������������-��������13 ������ 2023 ������ ��������� �������� ��� ���������. ������������ ������������                ���������� �������� �����������            ������� �������14 ������ 2023 ��� 2"&amp;"023-2024: �������� � ����� �������                �������� ����� �����������            ������� �������������� ��������26 ������� 2023		�������� ""������"" ������� ������� � �������� �� ������ ����� � ������	�� ������ ������� ���������� �������� ������ ��"&amp;"������ ���������� ��� ����������� ������� ���������� ������� ����� �� ������������.24 ������� 2023		�������� ""������"" �������� V ����������� ��� ����������� ����������� � ��������� ��������� �����	����������� ������� � ������-������� ��������� ��� �����"&amp;"����� � ������������ ���������� ������ ����������.17 ������� 2023		���������� ����� ����������� ����� ������ ��������	�������� �������� ""������"" ������� ��� � ������ ����� ���������� ���������� ����������� ����������� ����� � �������� �������.13 �������"&amp;" 2023		�������� ""������"" ���������� IV ������������� �������� ����-��������� ""�������+""	���������� �������� ������ � ����������������� ��������� ������� ������.�������� � �������������������-�������� �����������					����������� ������									������� "&amp;"������									�������� ����������									�����									�������� ������ www.garant.ru									""����� �������""									������ ""����������������""									������������ �� ����������� ������									������������� ����������� ������-��������									�����"&amp;"������ ������									""�������� ��������""				���� �������������������������� ������������������ ��������������� ������� �������������� ����-�������������������������� ������������� ��� ""��������������� ����� ������""�������������� � �������� ����������"&amp;"��������� � ����������������					������� ��������									������� ����������� � �������									�������� ��������									�������� �����				�����-�����					������� ��������									���������� ��� ���									�������������� �����������				������� ���������"&amp;"���� ���������� ��������������� � ��������� ��������� ������������ ������������������ ��������������� ��������� �������� ""������""!C�������������������� ""�������� ������""���������������� ������ ������ � ������� ������ ��������� �� 3 ���!�������� ������"&amp;"				� ��� ""��� ""������-������"" 2023. ������� ������ ����������� � 1990 ����. �������� ""������"" � �� �������� �������� ����������� ���������� ���������� �������� ���������� ������.							��� ����� �� ��������� ����� ������.�� ����������� ��� ""��� ""�"&amp;"�����-������"" (��� 7718013048 ���� 1027700495745). ������ ��� ��������� ��������������� ���������� �������� ������ �� ����������� ���������� ���������������. ������� ������������� �������.				������ ������.��  ��������������� � �������� �������� ������� "&amp;"����������� ������� �� ������� � ����� ������������������� ���������� � �������� ������������ (��������������) �� � ��77-58365 �� 18 ���� 2014 ����.			��� ""��� ""������-������"" 119234 �. ������ ��. ��������� ���� �. 1 ���. 77 info@garant.ru.����������� "&amp;"��� ������� ������ � ��� ���� �������-������-������������8-800-200-88-88				(���������� ������������� ������)							��������: +7 (495) 647-62-38 (���. 3145) editor@garant.ru				����� �������: +7 (495) 647-62-38 (���. 3136) adv@garant.ru. ��������� �������"&amp;"���� �����				���� �� �������� �������� � �������������� �� � ������� Ctrl+Enter			 ")</f>
        <v>	������ - ���������������� (������� ������ ����� �������������) �� ��������� ����������� ��������.������������������������������������������� �������������������� ��������								��������							EngRu					������� ������� ������� � ������������ �� ����������� � ������									�������� ������ �������� �� 1300%				12 ������ 2023�����������		�����	���������������						������� ����� ����������� �����:											������� ������:											���������											������ ������											�� ������ ����� ��������� ������� ������ ����� �� ���������� �����:					�������� �������������� � ����������������������������������� ������������������������������������IT�������������������������� ����������� ������������� ��������������-20 ��������� � ���������������� � ���������������������� ��������� � 2024����������� ����������� ���������������� ��� ��� ���������� �� �������������� ����������������������� ������������������������� (100+)������ (1267+)���������������� ��������� (1601+)����������� ���������� (5277+)���� ���������������		�����					������������� �� �� ����������� ������������� �������� ����� ����������� ��������� ���������� ���� ��� ������������� �������������� �������� ������� � ����������� �����?					(��������� ������ 12.11.2023)									�� �������������� �������� �������� ������ ���� ���������� ������������� �������� � ���� �����													�� ����� ���� ����� ������� ���� ������������ ���������� �����													�� �� ������ ��� ��������� ���������� ������ ���������������� � �� �������� ����������� ����� ���													��� ����� �������� ���������� ����������� ���������													��� ������� ��������� �������� ��������������� �������������� ����������� ���� � ������													��� ��������� ��� ����� ��������� ��� ������ ��� ����� ������													���� ������� (������� � �����������)						���������� ������� ������������� 4 ������� 2023��������� ��������� ������������ "� ����������� ������� � ����� �������" (44-��)"�� ���������� ���������� � �� ������� ���� ����������  ��������� ������������� ��������� � �� ''���� �". ����������  ������� ��������� ��������� �������� ������������� �������������� �������.15 ������ 2023��������� ��������� ������������ "� ������������� ������"(223-�� �� 18.07.2011)��������� ����������� ��������� � �� ''���� �".       ���������� ������� ��������� ��������� �������� �������������       �������������� �������.��������-������ ������� ��������������������� ����� ���������			����������������� ������� ������ ������������ ��������� �� ���					���������� ������ ������ � �������� ��������� ������������ ������� ��					� 1 ������ 2024 ���� ����������� ��������� ������ ���������� �� ������ �������������� ���������������					������������� �� ���������� �������� ����������� ��������� �� �������					����������������� ����� ������������� ������������� �� ����������� ��������					� ������� ���������� ��������� ������� ������ ������� ������������					������ ���������� ����������� ������������ ���������� �� ����					�������� ���� ������������� ��� ����������� �������� �� ����� 2024 ����		������10 ������ 18:30			��������� ����					������ � ����� ����������� ������ �������������: �������������� ��������� ��� � 2024		10 ������ 16:47����� ��������			����					����������������� ������� ������ ������������ ��������� �� ���		26 �������			���������					������ ����: ����� ������ � ����� ���������� ������					� ��������������� ����������� � ����� ������� � ������ ������ ������ ��� �� ������ �� ��������������� �� ������������ ���������� � �������� �������� �� ���� ���� � � ����� ���������.		10 ������ 13:55����� ��������			��������					���������� ������ ������ � �������� ��������� ������������ ������� ��		10 ������ 13:22			������ � �������					� ������� ������ ������������ � ��������������� ��������� �� �������� ��������������� � ���������������� ��������		17 �������			���					������ ������������� ������: ���������������� � �������� ��������					� ��������������� ������ � �������� ����� �� �������� �������������� ������������ ������������ ������ ��������� ������� ������ ����������� � ��������������� �� ���� ������ ������������� ������ � � ���������.		10 ������ 10:34			������					��������� ������� ������ ������������� ������ ���������� �� ������� ������������ ������ �� ������ � 44-��		10 ������ 09:31			�������� ��������					�� �� ������� ��������� ������� ������ ��������� � ��� ��� ����������� � ����� �� ������ ����������		 5 �������			IT					������������� ��������� � ������� � ��������					95% ���������� ������-�������� ��� �������� ���������� �� � �������� �������� � �������� ���������.		 9 ������ 16:15			��������					� ������� ���������� ��������� ������� ������ ������� ������������		 9 ������ 15:39			�������� ��������					������������� ��������� ��������: ������ � ���������� ���������� ���� ���� �� �� �������� ���������������� � ������		 9 ������			������				������� �������� ����� ����������� ��������������� ������ ������ � �������					������ ������ ���������� ��� ������� � �������������� ����������� ��� ������� �������� �������������� ������� ������ � ������� ��������. �������������� ��� ������������ � ��������� �� ������������� ������� �� ������ � 44-�� ���������� � ������� � ���������� �������� ��� ����� ������������� ������ ����� ���������� ������. ����� �������� ������� ������ �������� � ��������� ��������� �������� "������" ������ �������.		 9 ������ 14:01			���������					������ �� ������������ ��������� �������� ������������� �� ������� ��������� �����?		 9 ������ 13:32			������ � �������					����������� ����� ����� ������� ������ � ��� ������ �� III ������� 2023 ����		 9 ������ 12:00����� ��������			���������� �����					������������ ������� ������� ��� ������������ ���������� ������������� ������� � ��������� ������ �� ��������		 9 ������ 10:34			������ � �������					�� ������ ��������� ����������� ������ �� 2022 ��� �������� ������ ������		30 �������			��������				��� ��������� � ������ � 1 ������ 2023 ����: ���������� ��������� ������������ ����������� ������������ ���-������ ��� �������� �������� ������������ ��������������� ��������					� ����� �������� ����� � ����� ���������� ����� ��������� ������������ ���������� � ����� ������ ���� ������������ ���������� ������� ������� ���������� ������������ ��������� ���������� ��������� � ����������� ������� ������ � �. �.		10 ������ 16:04			������ � �������					� ��������� ��������� �������� ���������� �������� �������� �������� ��������� ������ 03% �� �����������		10 ������ 15:32			���������					�� �� �������� � ������ ����������� ���������� ���� � ���� ��� ���� ������������ � �������� �����������		24 �������			��������� ����				�������� "������" �������� V ����������� ��� ����������� ����������� � ��������� ��������� �����					����������� ������� � ������-������� ��������� ��� ���������� � ������������ ���������� ������ ����������.		10 ������ 12:03�����			��������					� 1 ������ 2024 ���� ����������� ��������� ������ ���������� �� ������ �������������� ���������������		10 ������ 11:35�����			������ � �������					������������� �� ���������� �������� ����������� ��������� �� �������		30 �������			���					������������ ������� �������� �������������� �������������� ����������� � ����������� ������ ��� �����������					���� �������� ������� ������������ "��� �����" ������������ � ���������� ����������� � �������� ������������ � ���� ������������ �� �� ����������.		 9 ������ 18:30			���������					� ������� ������� ������� ������ �� ������������� ������������� ����������������		 9 ������ 17:46			������ � �������					����������� ������� ����������� ����������� �������������� ������� ��������������� � ���������� ��� ���������� ����������		 1 ������			��������				�������� ������� ���������������� � �����������		 9 ������ 14:55����� ��������			������ � �������					������ ���������� ����������� ������������ ���������� �� ����		 9 ������ 14:38			IT					����� ��������������� ��������� ����� ��������� ������������		31 �������			������ � �������					���������������� ��������� �� ������ 2023 ����					�� �������� �������� � ����� ����� ������� � ������ ������� � ������ 2023 ���� � ����� ���������� � ���������������� ����������.		 9 ������ 12:34			������					�������� ���� ������������� ��� ����������� �������� �� ����� 2024 ����		 9 ������ 11:26			��������					� ������� ���������� �������� ���� � �������������� �����		��� ������������������������������� ������				 2 ������ 2023								������								������� �� ��������� ���������*							��� �� ���� ���� ����������� ��������� ������������������� ������������ �� �������� ����������� �������� ������ ������������� �� �������������� ����. ��������� �� ���� � ���������.							26 ������� 2023								���������								������ ����: ����� ������ � ����� ���������� ������							� ��������������� ����������� � ����� ������� � ������ ������ ������ ��� �� ������ �� ��������������� �� ������������ ���������� � �������� �������� �� ���� ���� � � ����� ���������.							17 ������� 2023								���								������ ������������� ������: ���������������� � �������� ��������							� ��������������� ������ � �������� ����� �� �������� �������������� ������������ ������������ ������ ��������� ������� ������ ����������� � ��������������� �� ���� ������ ������������� ������ � � ���������.							 4 ������� 2023								IT								������������� ��������� � ������� � ��������							95% ���������� ������ �������� ��� �������� ���������� �� � �������� �������� � �������� ���������.							20 �������� 2023								��������								����������� ������������ � ��� ������������� � �������� ����������� ��� ������ ���������� ������������� ������� ��������� ����							� ��������� ��������������� ������� ������������� �������� ���������� ������������� ������������ � ����� ����������� (������� ����������� ���������� ��������) � ����������� (������� ��������� �����������).							 1 �������� 2023								�����������								������ ��� � ������ �����: ����������� ����������� �������� �������� � ������������ �� ��������� ���������������							� ���������-������������������ ����������� ��������� ������� ��������� � ������������ ��������� � ����� �� ����������� �������� ������� ����������� ���������� � �������� ����� � � ����� ���������.						��� ������		������                30 ������� 2023            				���							������������ ������� �������� �������������� �������������� ����������� � ����������� ������ ��� �����������							���� �������� ������� ������������ "��� �����" ������������ � ���������� ����������� � �������� ������������ � ���� ������������ �� �� ����������.			                 5 ������� 2023            				������ � �������							����������� ��������� ��������� �������������� ����������� � �������������� ����������������: �������� ���������							��� ���������� ������ �������������� ������������ ��� �������� ������������-�� ������� �������� �� ���������� ��� ���� ��������������� ����� ������������ ������ ���������� ������������ ������������ "������ � ���������-������������� ����������" ��� "������������ ���������� ����".			                27 �������� 2023            				������							����� �������� �������� ������ �������� ���������� ��� ������������� ���������� ������������?							� ������ ���������� �������� ���� ����������� ���������� ������� ���������� ���������� �������������� �������� ��� �������� ��������� � ������. ����� ����� � ����������� �������� ��� "��� �� 115-��" ��������� � ��������� �� ��� �������� �������� ������������ ���� �� ���/��.			                15 �������� 2023            				���							������� ��������������: ������� ���������� � ����� ������� ��� �� ������������							� ��� �  ����� ������� �������� � ��������������� ������ �� ���������� �������� �������������� � ��� ����������� ��� ������������� ������� �������� �� ����� �� ������������ ������������ ���� �������� ������� ������������ ����������� �������� "��� �����".						��� ������					��� ������		������� � ������		������� � ����������			������			����������� �����			�������� �����			����������			��������� ����			��������					������:							���� �������� �� ���������������� ������ � ������� ����������� ��� ���������� ��� ("������ ����� �������") � �������� �� ������������ �� ������� � �����������. ����������� ����� � ���� ��������� �����							������:							������ ��� ��� ��������� �������� �� �������� � ������ ������. ������ ������. �������� ������� ��������� ��������							������:							����� ������� ���������� ��� (���) � ��������� ������� �������� � ���������?							������:							����� ������ ��� ����������� �� ��������� ������� ������� ��������� �����							������:							��� ��������� � ������������ ����������� ������������ �� ��������� ���� ��������� ������������� � ���� �������� ����������� ������������ �� ��������� � �������������� ����� ����������?							������:							������ ���������� ������� �������� �������� � ������ ���� ����� ���� �������� � ������� ���� �� � ������� ���� ���������� � ����� � ��������� �������� ���������� � ���������� �� ������������?							������:							�������� ���� �������� ��������� �������� � ���� �������� ��������� �������� ��������� ������� ����������� ����� ���������������� ��� � ������ � ����������� ������ ���� ��� � ������� 8 103 236 ���. ����� ��������� � ������ ��� ��������� ������������������ �������� �� ������� �������������. �������� ���������� � ��������������� � ���� ������ ��� ����� � ������ ����� � ����� 10 000 000 ������. �������� ������ � ���. ��� ������ � ������������� ��������� ������� ��������. ��������� ����� �������� ���������� � ����� �� ����� 10 000 000 ������. ��� ������������ ��������� ������� �������� ���� � ������� ������ ������� ����������.����� �� ����� ��������...					������ �����		��� ���������������                        30 �������� 2022                    							������ � �������												������ ��������											�������������� ��������������� �������� �� 3 ������					"������ ��������� ���� ����������� ������ ��������� ������ ������� � 1 ������ 2023 ����"                        26 �������� 2022                    							��������� ����												��������� ������											����������� ��������� ������������ ��������� ����������� � ���������� ���������� � ��������������� ������� ������� ������					"�� ����� ��������� ������ �� ���������� ������������ ������� ������� ��������� ��������������� ��������� ������������� � ������������� ������������� ��������� �������"		��� ��������	����� � �����                         9 ������ 2023                                                ������                                            ������� �������� ����� ����������� ��������������� ������ ������ � �������                                    ������ ������ ���������� ��� ������� � �������������� ����������� ��� ������� �������� �������������� ������� ������ � ������� ��������. �������������� ��� ������������ � ��������� �� ������������� ������� �� ������ � 44-�� ���������� � ������� � ���������� �������� ��� ����� ������������� ������ ����� ���������� ������. ����� �������� ������� ������ �������� � ��������� ��������� �������� "������" ������ �������.                                         7 ������ 2023                                                ��������� ����                                            �������������� � ���������� � 2023: ����� ������� ����� ��������� ����� ������ �� ������ �������                                    �� ���� � ����������� ��������� ����� ������� �������������� � ������ ������ � ������: ����� ������� �������������� ����� ��������� ����� ������... �� ������� ����� �������� �� ����� ��������� �� ��������� �����. ��������� �������� � �������������� ���� �������� � ���������-�������� ������������ �������� "��������� �����" �������� "������".                        ��� ������    �����������			31 ������� 2023						������ � �������						���������������� ��������� �� ������ 2023 ����					�� �������� �������� � ����� ����� ������� � ������ ������� � ������ 2023 ���� � ����� ���������� � ���������������� ����������.					13 �������� 2023						�����������						����� � 2023: ������� �������� � ���������� � ����������					1 �������� �������� ���������� ����� ����� � �����. ����� ���������-������������������ � ������������� ���������� ������������� � ����������? ������ ������������ ������� �������� � ������� ������ � ���? ��� ����� ������ ��� ������������� ����������� ������� ��������? ������� �� ����� �����������.					��� �����������		���������� �������                     7 ������ 2023                					���������									77% ��������� ������� ������.�� ���������� ����������� ������ ������������ ����������� ����������������				                    30 ������� 2023                					��������									39% ������������ ������������ �������� ��������� � �������� �� �������� ��������� � ��������: �� �������� ���������� ������ � ������� ������� ����������� � �� ����������� �� �������				��� ������ ���������������� ���������		�����������		���������������� � ������� �� 10 ������ 2023 �.				������ ��� �� 11 ������� 2023 �. � 2018 "�� ����������� ����� � ������� �������� � �������� ������ ������ ����� �� ����������� ������� � ������ � �����...							���������� ����������� ��������� ������ �� 9 ������ 2023 �. "����� ����� �������� ����������������� ����� ������������� ���� �������������"							������������� ������������� �� �� 4 ������ 2023 �. N 1865 "� ����������� �������������� ������� "����������� ������ ��������� ������������� �� ���������� ��...						��� ����������� ���������				������						������ ������������ ����������� � ����� �. ������ �� 20 ������� 2023 �. N 990 "� �������� ��������� � ������ ������������ ����������� � ����� ������ ������...							������ ������������ ��������������� �. ������ �� 26 ������� 2023 �. N 1058 "� �������� ��������� � ������ ������������ ��������������� ������ ������ �� 5...							������������� ������������� ������ �� 26 ������� 2023 �. N 2042-�� "� �������� ��������� � ������������� ������������� ������ �� 10 ������� 2004 �. N 77-��"			�������� ������ ��� ����������� ����������� � ����� "������� ���������":					�. ������										�. �����-���������										��������� ����										�������� �������										������������� �������										������������ �������										������������ �������										�������� �������										������������ �������										������������� �������										����������� �������										����������� �������										��������� ���������� �������										������������� ����										���������� �������										��������� �������										���������-���������� ����������										��������������� �������										��������� �������										���������� ����										���������-���������� ����������										����������� �������										��������� �������										����������� �������										������������� ����										������������ ����										���������� �������										������� �������										������������� �������										�������� �������										����������� �������										���������� �������										���������� �������										�������� ���������� �����										������������� �������										������������ �������										������������� �������										������ �������										������������ �������										��������� �������										���������� �������										�������� ����										���������� ����										��������� �������										���������� ������										���������� �����										���������� ������������										���������� �������										���������� ��������										���������� ���������										���������� ��������										���������� �������										���������� ����										���������� ����										���������� ����� ��										���������� ��������										���������� ���� (������)										���������� �������� ������-������										���������� ���������										���������� ����										���������� �������										���������� �������										��������� �������										��������� �������										����������� �������										����������� �������										������������ �������										�����������										���������� �������										�������������� ����										���������� �������										�������� �������										������� �������										�������� �������										��������� �������										���������� ����������										����������� �������										����������� ����										�����-���������� ���������� �����-����										����������� �������										��������� ����������										��������� ����������										��������� ���������� �����										�����-�������� ���������� �����										����������� �������									��� ������						��� ������������ ���������				������ �������				���-��������� ������				���������� ������� � ���						����������� ��� �� ������� ����������� ���� ���������� ����� ������������� ����� � ������ ������������ ����������������							����������� ��� ������������ ��������������� ������ ��� ���������� ����������						��� ���������				����� �����������						������������� ������������� �� �� 2 ������ 2023 �. ��1847 ��� ��������� ��������������� �������� � ����� ��������������� ��������� � � ����������� �������...							����������� ����� ������ �� 9 ������ 2023��. "�� ������� � ������ �������� �������� ������"							����������� ����� ������ �� 8 ������ 2023��. ��� �������� ����� ������������ ���� �� �������� ������������� ���������						��� �����������		������� ����������		����������		223-��44-��54-����� �������������� ������������������� ������������������� ����������������� ������������ ������� � ���������������� � ������ ���� ����������������� � ������������ ����������� � ������������ � �������� � ������������� �� ���������������� �� �������� �� ����������� �� ������� ������ �������� ������������ �� ����������� ���������������� ��������� ����������������� ����������� ����������������������������� � ������� ����������� ������� ������������������� � ��������� �������������������� �������������� ������������ ����������� �� ����� ��������������� ������������ �������������� ��������������� �������� ����� �������� �� ��������� ���		�������						����������� ������							�������� ������							��������� ������							����							��������� ������							����������� �������������� ������							��������-�������������� ������							����������� �������������� ������							��������� ������							�������� ������							�������� ������							��������� ������							����������������� ������							���������� ������ ����������� �����							������ ����������������� ����������������							��������-�������������� ������							������ ������							������ ������							��������� ������							������ ��������� ������������							������ ����������� ������� ����������					������						����� "� ������ ���� ������������"							����� "�� �����������"							����������� ����� "� �������"							����������� ����� "�� ���"							����� "� �������"							����������� ����� "� ���������"							����� "� ���"							����������� ����� "�� ������"							����������� ����� "�� ��"							����������� ����� "�� �����"							����������� ����� "� �����"							����������� ����� "� �������� ����������� � ������� ������"							����������� ����� "� ������� ��������������"							����� "� ������"							����������� ����� "� �������� ������� � ���������� ���������"							����������� ����� "� �������������� ��������� ����� ������������"							����������� ����� "� ���������������"							����� "� ������������ ��������� ����� � ���������� ���������"							����������� ����� "� ������ � ���������� ������������"							����� �� ����������� ������������							����� "� ����� �� �����"							����������� ����� "� ����� ������ �����"							����������� ����� "� ����������� ���������� ���������"							����������� ����� "�� ������ ���������� �����"							����������� ����� �� ����������� �������							����� � �����������							����������� ����� "� ���"							����������� ����� "� ����������� �������������"							����������� ����� "� ����������������� (�����������)"							����� � ����������					������-�������				������						��� ���������								�����������				�������				����� ����� 12 ������ 2023			USD �� ��					920535									+01269				EUR �� ��					983155									-00921				������ ���� � ������������ ���������������� 15.00%											������������																									������ ����������																											������ ��������� �� ����������� ������ ��������� ����������																											������ ������ �� ��������� ���������� ��� � ������																											������ ����� �� ������� ������ � �������																											������ ����������� �� �������� ���������� ����� ������ ������� ������ ��� ���������� � ���� ������ ������������� ���������																											������ ���																									��� ������������											���������        ���������������� ��������� �� 2023 ���            ���������������� ��������� �� 2024 ���    �������������������������������������������������������������123456789								10												1112								13																				14																				15																				16																				17												1819								20																				21																				22																				23																				24												2526								27																				28																				29																				30												21/91671502998��������������������								1																				2																								3*								456								7																				8																				9																				10												1112								13																				14												15								16																				17												1819								20																				21																				22																				23																				24												25262728								29												3021/91671502998��������������������12345678910111213141516171819202122232425262728293021/91671502998��������������������								1												23456								7																				8																				9																				10												1112								13																				14												15								16																				17												181920								21																				22																				23																				24												252627								28																				29												3021/91671502998������� ����� ������� ���������� ����� �������� ���������� ����������� ��� ���������� 5-������� ����� ���������� �� ������ ������ � �����������?���������� ������ ���������				������� ***							� ����� ����������� ����������� ��������� � ��������							ElenaO							�������� ������ ������������� ������ �������������� ������ ��� ������ ��� ����� ��� ������ ���� � ���							irinaks							������� �������� �������			����������� ��������� 7 �������� 2023 10:52				Cloud4Y �������� ��������� �������������� � ������������ � ������� � ������������ ������							������������� �������� ��������� Cloud4Y ����������� �������� ���������� ������������ �������������� �������� ������� ������ ������.			18 ���� 2023 15:54				������������� ��������� �� "������- ����������"							������������ � ����� ���������� �� "����������������" � ������������� ��� ���������� ������			28 ���� 2023 17:38				����������� ����������� ������������ ISO 14001							ISO 14001 ��������� � ������������ ������������ � ������������ ������������ ����������� � ������ ���.			28 ���� 2023 17:37				������������ ������������ �� ISO 45001							������������ �� ��������� ISO 45001 ���� ��� ����������� �������: ���������� ������������ � �������� ���������� ���������� ������ �����.			 7 ���� 2023 12:03				����� "������" � ��� �������� �������							"������" ������ � ������ ������ ������� ����� ����� � �������� � 16 ������� ����			 7 ���� 2023 12:00				��� �������� ������������ ISO 9001							����� ��������� ������� "�����" ���������� ������ ������������ �� ���� ������.			20 ������ 2023 15:13				��������-������� ����� ������� ������� � ������ �����							��� �������� ������������� �������� ������� ���� ���������� � ��������� ����������������� ����������� � ��������� �� ��������� �������.			13 ������ 2023 18:42				��� ������� ������������� ����							� ���� ����������� ������������ ��������� ������������� ���� � ��� ����������� ������������ ��� ����������� ������������ � �������� ��������������� ������ �� ������� ����������. �������� � ���������� �����...			12 ������ 2023 11:38				��������� "�����": ��������������� � ����������							������� ����������� ������� �� ���� ��� ������ � ������� �������� �������������� �������� ��� ����� ������.			 7 ������ 2023 16:50				���������������� ����������: 5 ���������� ������ �� ������� ������������� ��������������							�������������� � ���� �� ���������� ����� ��������������. ������ � ��� ��������.						��� ���������					�������		��� �������������� ��������������-��������13 ������ 2023 ������ ��������� �������� ��� ���������. ������������ ������������                ���������� �������� �����������            ������� �������14 ������ 2023 ��� 2023-2024: �������� � ����� �������                �������� ����� �����������            ������� �������������� ��������26 ������� 2023		�������� "������" ������� ������� � �������� �� ������ ����� � ������	�� ������ ������� ���������� �������� ������ �������� ���������� ��� ����������� ������� ���������� ������� ����� �� ������������.24 ������� 2023		�������� "������" �������� V ����������� ��� ����������� ����������� � ��������� ��������� �����	����������� ������� � ������-������� ��������� ��� ���������� � ������������ ���������� ������ ����������.17 ������� 2023		���������� ����� ����������� ����� ������ ��������	�������� �������� "������" ������� ��� � ������ ����� ���������� ���������� ����������� ����������� ����� � �������� �������.13 ������� 2023		�������� "������" ���������� IV ������������� �������� ����-��������� "�������+"	���������� �������� ������ � ����������������� ��������� ������� ������.�������� � �������������������-�������� �����������					����������� ������									������� ������									�������� ����������									�����									�������� ������ www.garant.ru									"����� �������"									������ "����������������"									������������ �� ����������� ������									������������� ����������� ������-��������									����������� ������									"�������� ��������"				���� �������������������������� ������������������ ��������������� ������� �������������� ����-�������������������������� ������������� ��� "��������������� ����� ������"�������������� � �������� ������������������� � ����������������					������� ��������									������� ����������� � �������									�������� ��������									�������� �����				�����-�����					������� ��������									���������� ��� ���									�������������� �����������				������� ������������� ���������� ��������������� � ��������� ��������� ������������ ������������������ ��������������� ��������� �������� "������"!C�������������������� "�������� ������"���������������� ������ ������ � ������� ������ ��������� �� 3 ���!�������� ������				� ��� "��� "������-������" 2023. ������� ������ ����������� � 1990 ����. �������� "������" � �� �������� �������� ����������� ���������� ���������� �������� ���������� ������.							��� ����� �� ��������� ����� ������.�� ����������� ��� "��� "������-������" (��� 7718013048 ���� 1027700495745). ������ ��� ��������� ��������������� ���������� �������� ������ �� ����������� ���������� ���������������. ������� ������������� �������.				������ ������.��  ��������������� � �������� �������� ������� ����������� ������� �� ������� � ����� ������������������� ���������� � �������� ������������ (��������������) �� � ��77-58365 �� 18 ���� 2014 ����.			��� "��� "������-������" 119234 �. ������ ��. ��������� ���� �. 1 ���. 77 info@garant.ru.����������� ��� ������� ������ � ��� ���� �������-������-������������8-800-200-88-88				(���������� ������������� ������)							��������: +7 (495) 647-62-38 (���. 3145) editor@garant.ru				����� �������: +7 (495) 647-62-38 (���. 3136) adv@garant.ru. ��������� ����������� �����				���� �� �������� �������� � �������������� �� � ������� Ctrl+Enter			 </v>
      </c>
    </row>
    <row r="509">
      <c r="A509" s="1" t="s">
        <v>1668</v>
      </c>
      <c r="B509" s="1" t="s">
        <v>1698</v>
      </c>
      <c r="C509" s="1" t="s">
        <v>1699</v>
      </c>
      <c r="D509" s="1">
        <v>8.0</v>
      </c>
      <c r="E509" s="4" t="s">
        <v>1700</v>
      </c>
      <c r="F509" s="1" t="s">
        <v>43</v>
      </c>
      <c r="G509" s="1" t="s">
        <v>1701</v>
      </c>
      <c r="H509" s="4" t="s">
        <v>1702</v>
      </c>
      <c r="I509" s="2"/>
      <c r="J509" s="5" t="str">
        <f>IFERROR(__xludf.DUMMYFUNCTION("GOOGLETRANSLATE(A509)"),"May holidays 2023")</f>
        <v>May holidays 2023</v>
      </c>
      <c r="K509" s="6" t="str">
        <f>IFERROR(__xludf.DUMMYFUNCTION("GOOGLETRANSLATE(B509)"),"May holidays in 2023 in Russia - how we are resting ...")</f>
        <v>May holidays in 2023 in Russia - how we are resting ...</v>
      </c>
      <c r="L509" s="5" t="str">
        <f>IFERROR(__xludf.DUMMYFUNCTION("GOOGLETRANSLATE(C509)"),"The weekend on May 1, 2023, according to the new government decree, will last 3 days - from April 29 to May 1. And also, the official holidays will be considered 9 ...")</f>
        <v>The weekend on May 1, 2023, according to the new government decree, will last 3 days - from April 29 to May 1. And also, the official holidays will be considered 9 ...</v>
      </c>
      <c r="M509" s="5" t="str">
        <f>IFERROR(__xludf.DUMMYFUNCTION("GOOGLETRANSLATE(G509)"),"Order an artist for a holiday to invite a star to the event- the base artist.ru Russian Russian Believe the city of Russianskvaskvasankkvascancaterinburgcanchankargsannodarosibirskperchelyabarnapabarnaulgorna-Gorodgorodovgorodnoye Uplorodnoye Pyshmalavoko"&amp;"lgogradzhevskiyzhevskiyzhyzkitskoyzhevskiyzkitskovskiyzkarkulvykaliningrakanitrakamenskamensk Ural Kememovokosovokosovokoskosnoyarskkanmagnamagnamagnitogorskmiassnaberezhnaya shuttle native Tagilno-Khodno-Kovnivni-Kovnivni-Rossiynsky-Rossiynsky-Rogorebore"&amp;"loprovuralskrostov-Donurazansaratovsourgsugutyutomostoletuyufhabarovskocyaroslavloruslavlorussiyaksyaks XSTUNUKOURARY Register to order the artist to invite a star to the event to the event - the database of artist.ru registration of the reinforcement of "&amp;"theloro -PAROLVOSTARIST ACTURE ACTOMENTARISTENTENTENTENTENTS: Or register according to E-mails sent a message to an e-mail-tax-free city Russian Russianskvaskvaskvaskvasankanburgcanburgcanchansksannodarosibirskpargelinskanapabarnaulgorodbelgorod, Novgorod"&amp;", Pyshmavladovokhradovolgogradzhezhezhezhzhezhzhezhskiyzhevskiyzkirkirkirkirokalingakalinegakaskalinsky, Uralskalinsky, Uralsolinsky. ROVKOKOSHRARSKAROSKASKARANMANMARYARICSMISSMISSMISSNABERSHNARY TAGILOGROVICH TAGILNOVNOVNOSKOSOSKOSKOSKONEBROGORGORGOLERSK"&amp;"RALSKOVSKOVSASARASARASARASHISURGOGOGOGOGOGOGOGOTEMENUMENUPAROVSKHAROSKHEVRAVRAVLAVLRUVAKANIACHARUSIARUSIAROVARARY Out-in-laws are most likely the Searching Musical Groups of the Viatanians of the show-ballet-armed genrephotograph-egotograph-agencies for g"&amp;"enramic scholars of the Fire show shows focus clown striptease ... Leading people's leading leading people of morrhumarists Theaterupers Circassian illusionists focus-iconicigalic genreing status dolls Moroz and Snow Maiden-Show-General Show (Fire-SHOW) S"&amp;"andless show show a drum-shuttle -batytny dancing animators Strastytis Erotic showymousers VIA Accordon Gitar Saxophone Chanson DJ ... vocal -captive vitaral groups Duetatyzyal groups VIASUSUMENTARY groups of orchestra -actrafastaristaristaristaristarista"&amp;"ristynik -nicken -nickel instruments of SCRUSPURICAL PROCUSIARYTURAL MUSSIANTICAL MUSICHICHICHICHARYSHANSHICARYARYSHANSONARICOVARARICHOURARISHOURARTOCROPROPROPROPROPROPROPROPROPROSICALECHICS Video -Service Video Stylists Stylists Stylists District Directo"&amp;"rs ... Sharzisthokotokovo Khobrazhistovoikovo Photo Buddoclorist (designing with flowers) Artistic design of deposit equipment equipment-kettering-storage-liverijester-dimensor of the District Service Service-Arctic Delivery Coordinatorial-Species and Poe"&amp;"try (lyrics) Choreographer Modelogratopodelia Modelograzi Modelograzi Nastudii sound recording costume anorganization of the corporate parties of the anniversary of the anniversary children's holidays. .. Founding measures of corporate events of the Depar"&amp;"tment of Festival Events Affective agencies Agency Studies Children's holidays Contraining agencies and PRPROPECTIONAL TECHNISTIONS agencies Agency agencies of cafe Bara conference rooms of cottages ... restaurant-backed malloys Hotels of hotel reset of r"&amp;"ecreation turbarizbaras Reybabybank-conferenne-conferenne-governing holidays, on November 21, Accountant November 26 November 27 Mother27 November27 November 27 Marine Corps Holidays of artists23 800 professionals: artists Musicians of the site and organi"&amp;"zers of the events of the Shurole-Illusionism Tarantin Taranger on the Corporate party show ""X-Keepers"" (Guardians) Light show Are you artist or specialist of the Event industry? And you still have no page on Artist.ru? Do not miss customers! Register o"&amp;"n the portal yourself and call your colleagues to this. Special offers of performers13 November-Handich and video and video, Alexander Malinin-photographer for the New Year's corporate party and anniversary. 18,000 rubles. November 14, Moroz-Orchestra San"&amp;"tov Morozov and Santa Clausdad Frosty, artists for your event. Santa Claus Santa Claus Snowmen and Snow Maiden. Special discount on ARTIST-RU) promotional codes on November 17 on November 17, a leader and commentator Andrei Odintov, the host 37 000 rub. O"&amp;"pen a wedding to choose: a public or private wedding is a great celebration where each guest should remain under the impression and return home with a bunch of photos and for whom -This this is a holiday only for two. Some couples prefer public lighting t"&amp;"he event, but not everyone is ready to plunge into the world of social networks choosing privacy. Some brides broadcast events from the stage of preparation and even ask subscribers of the Council in choosing a dress. 18.10.2023244#Detailies and attribute"&amp;"s for a stylish autumn photo shoot on the street - Catch the desired attitude are inspired by a special autumn atmosphere. 28.08.2023927#Ideable for errors in preparation for preparation Wedding of the common mistakes that the newlyweds make in preparatio"&amp;"n for the wedding 3.08.2023697#Explosiveness of toasts on etiquette original wise and good toasts are remembered for life. 15.06.20231370#EMOSII EURASII EURASII forum (""EFEA"") EFEA - the first in Russia in Russia. Dustria of meetings is traditionally At"&amp;" the beginning of the business year, it unites the leaders of the Eurasian leaders and the business marketing community of business experts and the inventory of tourism. 17-January 19 of the Petersburg, performers as an intelligence and the Beshelct Day o"&amp;"f Rozhedahia? Azdnik You are 2 hours of the Council of Complete Vesseli AS HOUSE: ✅ ""BINOVNIT OF AND TOMITITION"" (the tour made by your intermarm in the casivime of the OFOMPLEA) ✅ ""Children's booth"" (funny guessing by children's photos) ✅ and 2-3 rou"&amp;"nds for general interests (there are 4 options for the options for choice) 🕺🕺🕺 Small pause 💃💃💃2 hour: ✅ Team game: ""Who is above!?"" - This is for adults/""The most intelligent"" - for kids, the command show program ""Well, turn me ..."" - nothing "&amp;"in common with A. Revva 😃u and of course we take out the 🎂p.s cake .: 💥 All November discounts discounts discounts discount 30% 💥 Subscribe to l/s to find out about the free dates 💎 The host Sergey Kolosovsky, the Telegram-chanalaaladine from the mos"&amp;"t touching moments at the wedding-travel registration! It is so joyful to see the happy relatives of your dear relatives! Feel support! Wedding of Elena and Anton 09/15/23 Western Duet ""Cozy evening"" Mirror dragons are ready to sparkle spectacularly shi"&amp;"ne in front of the guests of your holiday, the mirror people ""Invisible"" are perfect for this. Mirror dragons people and other characters will meet the guests of the holiday at the Welkom-zone will solemnly open your event will make a corporate dance to"&amp;" decorate the promotion or presentation of the goods. Kostyums are made of many reflecting bright mirrors. Looking at them, it is impossible to restrain emotions and delight! Hundreds of your smiles are reflected and give sunny bunnies to everyone who is "&amp;"nearby, multiplying the light and magical effect of a unique costume. The mirror people of the “invisible” dragons are a symbol of the new year, amaze the guests of your event “Singing Dragons”. The only musical show in Russia in which dragons play and si"&amp;"ng. Moreover, the symbol of the New Year is a dragon. Only proven caver hits dancing and photos with dragons at the end of the show. Several price programs. There are programs for corporate parties and family festivals. We perform on the street! For custo"&amp;"mers from Yekaterinburg, a pleasant bonus - you do not overpay for the transfer of the team as customers from other regions do. Read reviews and watch the video. Agent commission. Book in advance. Caver group ""Singing Dragons"" News Telegram Canalaa Mean"&amp;"while in the photo studios it is more and more difficult to find free hours for filming. New Year's photo shoots are very active. It makes sense to take care of the reservation of the time of shooting in advance of the repetnity of the telegram-canalaelaw"&amp;" tomorrow! World hits performed by electric scripts with an orchestra! On November 10, 2023, the Moscow Code of Moscow began at 19:30 in the program will be: Nirvana ""Smells Like Teen Spirit"" Linkin Park AC/DC The Cranberries ""Queen"" The Show Must Go "&amp;"on and much more. As well as soundtracks from favorite films from the “Pirates of the Caribbean” to the “Titanic” from the “godfather” to the “Game of Thrones” and even the topics from “Agent 007”. Two hours Drive of delight and favorite compositions! Mel"&amp;"odies from your favorite films of rock hits and indescribable emotions! The best classical and rock musicians of St. Petersburg on the same stage. This event cannot be missed! Make an unforgettable evening! There are less and less tickets: https://spb.kas"&amp;"sir.ru/action/7207 scribble shows Anastasia Laptevo -Oblorot. Moments of thousands of real events for relevant topics were “round” at the usual access on Instagram and “compresses” when we attempted to connect through VPN. Why limit yourself to one social"&amp;" network of Instagram telegram vk yutyub-we publish and interact!))) All big coverage !!! Z-Dance show ballet 7.05.202341 978-bearing information and advertising format-“announcements” Bonus points can be easily used when activating Advertising on the por"&amp;"tal. In order to use bonuses when ordering advertising, indicate ""use bonuses"" on the order page. Less instruction: several types of advertising are available on the portal. Description and current cost are available in your profile.artist.ru17.02.20235"&amp;"2 016 INSTOMENTS IN Southern Koreyuzdzo -Eve. I love and respect Korea and Korean culture. I only have it on the Russian site: public services - it is written: going abroad is prohibited ➡️ possibly from debts for housing and communal services and in the "&amp;"bank, it is possible because of the situation with Ukraine .. I read the rap (author’s and a couple of cavers) and I dance HIP - hop .. and far - not like BTS (but perhaps I will even call you 🙏🏻The good. Roman Petrov16 .02.202333 228NA CUSTOMIGER ARENN"&amp;"A ""PLACH"" Corporate Festival of Kutusovanistali Kutusovanistina Bondartsevalekiyleksei Svistopelovyanzovoronezhovanizhovanza stand-up comicic Cadyapovitsyla ""X-Keepers"" (Guardians) Sveta showwatter Taranema Corporate Roman Schurole -Illusionistically "&amp;"project Copyright Artist.ru 2010 - 2023 All rights are protected. When using information An active link is mandatory from Artist.ru. Politics of confidentiality of the site of the project of the projecttate to a start -up &amp;")</f>
        <v>Order an artist for a holiday to invite a star to the event- the base artist.ru Russian Russian Believe the city of Russianskvaskvasankkvascancaterinburgcanchankargsannodarosibirskperchelyabarnapabarnaulgorna-Gorodgorodovgorodnoye Uplorodnoye Pyshmalavokolgogradzhevskiyzhevskiyzhyzkitskoyzhevskiyzkitskovskiyzkarkulvykaliningrakanitrakamenskamensk Ural Kememovokosovokosovokoskosnoyarskkanmagnamagnamagnitogorskmiassnaberezhnaya shuttle native Tagilno-Khodno-Kovnivni-Kovnivni-Rossiynsky-Rossiynsky-Rogoreboreloprovuralskrostov-Donurazansaratovsourgsugutyutomostoletuyufhabarovskocyaroslavloruslavlorussiyaksyaks XSTUNUKOURARY Register to order the artist to invite a star to the event to the event - the database of artist.ru registration of the reinforcement of theloro -PAROLVOSTARIST ACTURE ACTOMENTARISTENTENTENTENTENTS: Or register according to E-mails sent a message to an e-mail-tax-free city Russian Russianskvaskvaskvaskvasankanburgcanburgcanchansksannodarosibirskpargelinskanapabarnaulgorodbelgorod, Novgorod, Pyshmavladovokhradovolgogradzhezhezhezhzhezhzhezhskiyzhevskiyzkirkirkirkirokalingakalinegakaskalinsky, Uralskalinsky, Uralsolinsky. ROVKOKOSHRARSKAROSKASKARANMANMARYARICSMISSMISSMISSNABERSHNARY TAGILOGROVICH TAGILNOVNOVNOSKOSOSKOSKOSKONEBROGORGORGOLERSKRALSKOVSKOVSASARASARASARASHISURGOGOGOGOGOGOGOGOTEMENUMENUPAROVSKHAROSKHEVRAVRAVLAVLRUVAKANIACHARUSIARUSIAROVARARY Out-in-laws are most likely the Searching Musical Groups of the Viatanians of the show-ballet-armed genrephotograph-egotograph-agencies for genramic scholars of the Fire show shows focus clown striptease ... Leading people's leading leading people of morrhumarists Theaterupers Circassian illusionists focus-iconicigalic genreing status dolls Moroz and Snow Maiden-Show-General Show (Fire-SHOW) Sandless show show a drum-shuttle -batytny dancing animators Strastytis Erotic showymousers VIA Accordon Gitar Saxophone Chanson DJ ... vocal -captive vitaral groups Duetatyzyal groups VIASUSUMENTARY groups of orchestra -actrafastaristaristaristaristaristaristynik -nicken -nickel instruments of SCRUSPURICAL PROCUSIARYTURAL MUSSIANTICAL MUSICHICHICHICHARYSHANSHICARYARYSHANSONARICOVARARICHOURARISHOURARTOCROPROPROPROPROPROPROPROPROPROSICALECHICS Video -Service Video Stylists Stylists Stylists District Directors ... Sharzisthokotokovo Khobrazhistovoikovo Photo Buddoclorist (designing with flowers) Artistic design of deposit equipment equipment-kettering-storage-liverijester-dimensor of the District Service Service-Arctic Delivery Coordinatorial-Species and Poetry (lyrics) Choreographer Modelogratopodelia Modelograzi Modelograzi Nastudii sound recording costume anorganization of the corporate parties of the anniversary of the anniversary children's holidays. .. Founding measures of corporate events of the Department of Festival Events Affective agencies Agency Studies Children's holidays Contraining agencies and PRPROPECTIONAL TECHNISTIONS agencies Agency agencies of cafe Bara conference rooms of cottages ... restaurant-backed malloys Hotels of hotel reset of recreation turbarizbaras Reybabybank-conferenne-conferenne-governing holidays, on November 21, Accountant November 26 November 27 Mother27 November27 November 27 Marine Corps Holidays of artists23 800 professionals: artists Musicians of the site and organizers of the events of the Shurole-Illusionism Tarantin Taranger on the Corporate party show "X-Keepers" (Guardians) Light show Are you artist or specialist of the Event industry? And you still have no page on Artist.ru? Do not miss customers! Register on the portal yourself and call your colleagues to this. Special offers of performers13 November-Handich and video and video, Alexander Malinin-photographer for the New Year's corporate party and anniversary. 18,000 rubles. November 14, Moroz-Orchestra Santov Morozov and Santa Clausdad Frosty, artists for your event. Santa Claus Santa Claus Snowmen and Snow Maiden. Special discount on ARTIST-RU) promotional codes on November 17 on November 17, a leader and commentator Andrei Odintov, the host 37 000 rub. Open a wedding to choose: a public or private wedding is a great celebration where each guest should remain under the impression and return home with a bunch of photos and for whom -This this is a holiday only for two. Some couples prefer public lighting the event, but not everyone is ready to plunge into the world of social networks choosing privacy. Some brides broadcast events from the stage of preparation and even ask subscribers of the Council in choosing a dress. 18.10.2023244#Detailies and attributes for a stylish autumn photo shoot on the street - Catch the desired attitude are inspired by a special autumn atmosphere. 28.08.2023927#Ideable for errors in preparation for preparation Wedding of the common mistakes that the newlyweds make in preparation for the wedding 3.08.2023697#Explosiveness of toasts on etiquette original wise and good toasts are remembered for life. 15.06.20231370#EMOSII EURASII EURASII forum ("EFEA") EFEA - the first in Russia in Russia. Dustria of meetings is traditionally At the beginning of the business year, it unites the leaders of the Eurasian leaders and the business marketing community of business experts and the inventory of tourism. 17-January 19 of the Petersburg, performers as an intelligence and the Beshelct Day of Rozhedahia? Azdnik You are 2 hours of the Council of Complete Vesseli AS HOUSE: ✅ "BINOVNIT OF AND TOMITITION" (the tour made by your intermarm in the casivime of the OFOMPLEA) ✅ "Children's booth" (funny guessing by children's photos) ✅ and 2-3 rounds for general interests (there are 4 options for the options for choice) 🕺🕺🕺 Small pause 💃💃💃2 hour: ✅ Team game: "Who is above!?" - This is for adults/"The most intelligent" - for kids, the command show program "Well, turn me ..." - nothing in common with A. Revva 😃u and of course we take out the 🎂p.s cake .: 💥 All November discounts discounts discounts discount 30% 💥 Subscribe to l/s to find out about the free dates 💎 The host Sergey Kolosovsky, the Telegram-chanalaaladine from the most touching moments at the wedding-travel registration! It is so joyful to see the happy relatives of your dear relatives! Feel support! Wedding of Elena and Anton 09/15/23 Western Duet "Cozy evening" Mirror dragons are ready to sparkle spectacularly shine in front of the guests of your holiday, the mirror people "Invisible" are perfect for this. Mirror dragons people and other characters will meet the guests of the holiday at the Welkom-zone will solemnly open your event will make a corporate dance to decorate the promotion or presentation of the goods. Kostyums are made of many reflecting bright mirrors. Looking at them, it is impossible to restrain emotions and delight! Hundreds of your smiles are reflected and give sunny bunnies to everyone who is nearby, multiplying the light and magical effect of a unique costume. The mirror people of the “invisible” dragons are a symbol of the new year, amaze the guests of your event “Singing Dragons”. The only musical show in Russia in which dragons play and sing. Moreover, the symbol of the New Year is a dragon. Only proven caver hits dancing and photos with dragons at the end of the show. Several price programs. There are programs for corporate parties and family festivals. We perform on the street! For customers from Yekaterinburg, a pleasant bonus - you do not overpay for the transfer of the team as customers from other regions do. Read reviews and watch the video. Agent commission. Book in advance. Caver group "Singing Dragons" News Telegram Canalaa Meanwhile in the photo studios it is more and more difficult to find free hours for filming. New Year's photo shoots are very active. It makes sense to take care of the reservation of the time of shooting in advance of the repetnity of the telegram-canalaelaw tomorrow! World hits performed by electric scripts with an orchestra! On November 10, 2023, the Moscow Code of Moscow began at 19:30 in the program will be: Nirvana "Smells Like Teen Spirit" Linkin Park AC/DC The Cranberries "Queen" The Show Must Go on and much more. As well as soundtracks from favorite films from the “Pirates of the Caribbean” to the “Titanic” from the “godfather” to the “Game of Thrones” and even the topics from “Agent 007”. Two hours Drive of delight and favorite compositions! Melodies from your favorite films of rock hits and indescribable emotions! The best classical and rock musicians of St. Petersburg on the same stage. This event cannot be missed! Make an unforgettable evening! There are less and less tickets: https://spb.kassir.ru/action/7207 scribble shows Anastasia Laptevo -Oblorot. Moments of thousands of real events for relevant topics were “round” at the usual access on Instagram and “compresses” when we attempted to connect through VPN. Why limit yourself to one social network of Instagram telegram vk yutyub-we publish and interact!))) All big coverage !!! Z-Dance show ballet 7.05.202341 978-bearing information and advertising format-“announcements” Bonus points can be easily used when activating Advertising on the portal. In order to use bonuses when ordering advertising, indicate "use bonuses" on the order page. Less instruction: several types of advertising are available on the portal. Description and current cost are available in your profile.artist.ru17.02.202352 016 INSTOMENTS IN Southern Koreyuzdzo -Eve. I love and respect Korea and Korean culture. I only have it on the Russian site: public services - it is written: going abroad is prohibited ➡️ possibly from debts for housing and communal services and in the bank, it is possible because of the situation with Ukraine .. I read the rap (author’s and a couple of cavers) and I dance HIP - hop .. and far - not like BTS (but perhaps I will even call you 🙏🏻The good. Roman Petrov16 .02.202333 228NA CUSTOMIGER ARENNA "PLACH" Corporate Festival of Kutusovanistali Kutusovanistina Bondartsevalekiyleksei Svistopelovyanzovoronezhovanizhovanza stand-up comicic Cadyapovitsyla "X-Keepers" (Guardians) Sveta showwatter Taranema Corporate Roman Schurole -Illusionistically project Copyright Artist.ru 2010 - 2023 All rights are protected. When using information An active link is mandatory from Artist.ru. Politics of confidentiality of the site of the project of the projecttate to a start -up &amp;</v>
      </c>
    </row>
    <row r="510">
      <c r="A510" s="1" t="s">
        <v>1668</v>
      </c>
      <c r="B510" s="1" t="s">
        <v>1703</v>
      </c>
      <c r="C510" s="1" t="s">
        <v>1704</v>
      </c>
      <c r="D510" s="1">
        <v>9.0</v>
      </c>
      <c r="E510" s="4" t="s">
        <v>1705</v>
      </c>
      <c r="F510" s="1" t="s">
        <v>43</v>
      </c>
      <c r="G510" s="1" t="s">
        <v>1706</v>
      </c>
      <c r="H510" s="4" t="s">
        <v>1707</v>
      </c>
      <c r="I510" s="2"/>
      <c r="J510" s="5" t="str">
        <f>IFERROR(__xludf.DUMMYFUNCTION("GOOGLETRANSLATE(A510)"),"May holidays 2023")</f>
        <v>May holidays 2023</v>
      </c>
      <c r="K510" s="6" t="str">
        <f>IFERROR(__xludf.DUMMYFUNCTION("GOOGLETRANSLATE(B510)"),"How we relax on the May holidays of 2023")</f>
        <v>How we relax on the May holidays of 2023</v>
      </c>
      <c r="L510" s="5" t="str">
        <f>IFERROR(__xludf.DUMMYFUNCTION("GOOGLETRANSLATE(C510)"),"28 Mar. 2023. -")</f>
        <v>28 Mar. 2023. -</v>
      </c>
      <c r="M510" s="5" t="str">
        <f>IFERROR(__xludf.DUMMYFUNCTION("GOOGLETRANSLATE(G510)"),"Official website of the Administration of the GO Ufa Rbedina Rbedinaya service with developers of entrepreneurship and investment center-central recreation entrances 2023 Mosts Ufa online GODSMIMS about NAMECHOTOMUNICIPAL MUSTIONSIPAL PRODUCTIONS OF THE A"&amp;"dministration of the City of UfysPortal for entrepreneurs trademunition. Open Danjagrads awarded to the administration of the projects of the monument to Kupriyanova Margarita Nikolaevneanterrror -best project of the memorial structure ""First teacher ""S"&amp;"tructure / reference book of personal acceptance of the heads of the Civilian District District District District District District District District District District District District District District District Opter -Sistory Video -based surveying surv"&amp;"eying and indicators of the tusep -chain of interactive -tires, Interactive. cabbage soup about the homeless dog cooker of the pit shoes Pure “flood 2.0” “Modeling the flood situation” Map Municipal premises of a drunken Bashkiriya -Bashki -Toe Drunk Driv"&amp;"e Drive Rusbasheng Rus Rus Bash Engvoti on November 10, 2023 Ufa trees - attention special updating green spaces in the city is the necessary measure. 09 November 2023 In Ufa proceeded to the installation of the Basket structure of the Shakshinsky bridge."&amp;" Roads "". → To the main newsletter, dexterity and the mummer in honor of the real patriote of sounds to cure the “five” operational headquarters of the Ufa: the main “city of talents” opens the producer to the door to the door and the director of the gas"&amp;"tard of the pit on the road does not burn on the road? Faced with the problem - inform about it! File a complaint documents 08.11.2023 No. 1962 on the approval of the planning project and the project of Mezhev ... 08.11.2023 No. 1959 on approval of the dr"&amp;"aft amendments to the project ... 08.11.2023 No. 1982 on amendments to the resolution of the head of the administration ... 08.11.2023 No. 1964 On approval of the land surveying project of the territory of the microor ... 11.11.2023 No. 1963 on the prepar"&amp;"ation of the project on amendments to the Rules ... 08.11.2023 No. 1961 on the creation of a conciliation commission for the press service of the press service → in the section of the article → In the section, live in a comfortable city? Then do not forge"&amp;"t to give your vocal studies in the Federal Law of December 30, 2004 No. 214-ФЗ “On participation in shared string ... Memo on the classification of hotels about the limitation of smoking tobacco during the provision of hotel services of the day213MLN rub"&amp;"les allocated Ufa for the development of tourism code to residents useful Information and links to the guests useful information and reflysazaddnaya contact telephone electronic mail: cityadm@uface.infoo by reprinting or quoting (full or partial) referenc"&amp;"e to the official website of the city district administration of the Ufa of the Republic of Bashkortostan is required. Для Интернет изданий прямая активная гиперссылка обязательна.Версия для слабовидящих РеквизитыСправочник АдминистрацииСхема проездаУстав"&amp;"Сферы деятельностиОбращение к руководству городаАнтитеррорПротиводействие коррупцииАнтимонопольный комплаенсНациональные проектыРаспределение жилья и реализация жилищных программамГородской советМуниципальные услугиМуниципальные торгиМуниципальные закупки"&amp;"Муниципальный контрольЗемельные ресурсыОценка регулирующего воздействияУправление транспорта и связиУправление по взаимодействию с институтами гражданского обществаРеестр должниковУфа 450Службы экстренного вызоваПредпринимательствоСтроительствоПромышленно"&amp;"стьРазвитие конкуренцииСписок наименований улиц Ufaarchi-people's contrifice-fuel-electronic queu-consumer management of the consumer market and protection of consumers of consumer-complex development of the territorywwwwwww.soka.co.kehttps: //wwww.mercad"&amp;"ocentral.clhttps: //www.rmhammamarlina Etzella.lumod Bussid Administration of the city district city of Ufa Republic of Bashkortostan © 2000-2023 Font size: 141820 Color scheme: AAAAARITIONAL PAROLLASIONALLY RAME AND THE POMILE OF THE POTITION? Enter as a"&amp;" user: enter as users to enter the site if you are registered on one of these services: classmates, use your account of your account Odnoklassniki.ru for entering the site. Put your accounting record VKON Takte for Entrance to the site. Cover")</f>
        <v>Official website of the Administration of the GO Ufa Rbedina Rbedinaya service with developers of entrepreneurship and investment center-central recreation entrances 2023 Mosts Ufa online GODSMIMS about NAMECHOTOMUNICIPAL MUSTIONSIPAL PRODUCTIONS OF THE Administration of the City of UfysPortal for entrepreneurs trademunition. Open Danjagrads awarded to the administration of the projects of the monument to Kupriyanova Margarita Nikolaevneanterrror -best project of the memorial structure "First teacher "Structure / reference book of personal acceptance of the heads of the Civilian District District District District District District District District District District District District District District District Opter -Sistory Video -based surveying surveying and indicators of the tusep -chain of interactive -tires, Interactive. cabbage soup about the homeless dog cooker of the pit shoes Pure “flood 2.0” “Modeling the flood situation” Map Municipal premises of a drunken Bashkiriya -Bashki -Toe Drunk Drive Drive Rusbasheng Rus Rus Bash Engvoti on November 10, 2023 Ufa trees - attention special updating green spaces in the city is the necessary measure. 09 November 2023 In Ufa proceeded to the installation of the Basket structure of the Shakshinsky bridge. Roads ". → To the main newsletter, dexterity and the mummer in honor of the real patriote of sounds to cure the “five” operational headquarters of the Ufa: the main “city of talents” opens the producer to the door to the door and the director of the gastard of the pit on the road does not burn on the road? Faced with the problem - inform about it! File a complaint documents 08.11.2023 No. 1962 on the approval of the planning project and the project of Mezhev ... 08.11.2023 No. 1959 on approval of the draft amendments to the project ... 08.11.2023 No. 1982 on amendments to the resolution of the head of the administration ... 08.11.2023 No. 1964 On approval of the land surveying project of the territory of the microor ... 11.11.2023 No. 1963 on the preparation of the project on amendments to the Rules ... 08.11.2023 No. 1961 on the creation of a conciliation commission for the press service of the press service → in the section of the article → In the section, live in a comfortable city? Then do not forget to give your vocal studies in the Federal Law of December 30, 2004 No. 214-ФЗ “On participation in shared string ... Memo on the classification of hotels about the limitation of smoking tobacco during the provision of hotel services of the day213MLN rubles allocated Ufa for the development of tourism code to residents useful Information and links to the guests useful information and reflysazaddnaya contact telephone electronic mail: cityadm@uface.infoo by reprinting or quoting (full or partial) reference to the official website of the city district administration of the Ufa of the Republic of Bashkortostan is required. Для Интернет изданий прямая активная гиперссылка обязательна.Версия для слабовидящих РеквизитыСправочник АдминистрацииСхема проездаУставСферы деятельностиОбращение к руководству городаАнтитеррорПротиводействие коррупцииАнтимонопольный комплаенсНациональные проектыРаспределение жилья и реализация жилищных программамГородской советМуниципальные услугиМуниципальные торгиМуниципальные закупкиМуниципальный контрольЗемельные ресурсыОценка регулирующего воздействияУправление транспорта и связиУправление по взаимодействию с институтами гражданского обществаРеестр должниковУфа 450Службы экстренного вызоваПредпринимательствоСтроительствоПромышленностьРазвитие конкуренцииСписок наименований улиц Ufaarchi-people's contrifice-fuel-electronic queu-consumer management of the consumer market and protection of consumers of consumer-complex development of the territorywwwwwww.soka.co.kehttps: //wwww.mercadocentral.clhttps: //www.rmhammamarlina Etzella.lumod Bussid Administration of the city district city of Ufa Republic of Bashkortostan © 2000-2023 Font size: 141820 Color scheme: AAAAARITIONAL PAROLLASIONALLY RAME AND THE POMILE OF THE POTITION? Enter as a user: enter as users to enter the site if you are registered on one of these services: classmates, use your account of your account Odnoklassniki.ru for entering the site. Put your accounting record VKON Takte for Entrance to the site. Cover</v>
      </c>
    </row>
    <row r="511">
      <c r="A511" s="1" t="s">
        <v>1668</v>
      </c>
      <c r="B511" s="1" t="s">
        <v>1708</v>
      </c>
      <c r="C511" s="1" t="s">
        <v>1709</v>
      </c>
      <c r="D511" s="1">
        <v>10.0</v>
      </c>
      <c r="E511" s="4" t="s">
        <v>1710</v>
      </c>
      <c r="F511" s="1" t="s">
        <v>43</v>
      </c>
      <c r="G511" s="1" t="s">
        <v>1168</v>
      </c>
      <c r="H511" s="4" t="s">
        <v>1169</v>
      </c>
      <c r="I511" s="2"/>
      <c r="J511" s="5" t="str">
        <f>IFERROR(__xludf.DUMMYFUNCTION("GOOGLETRANSLATE(A511)"),"May holidays 2023")</f>
        <v>May holidays 2023</v>
      </c>
      <c r="K511" s="6" t="str">
        <f>IFERROR(__xludf.DUMMYFUNCTION("GOOGLETRANSLATE(B511)"),"How we relax on May holidays in 2023")</f>
        <v>How we relax on May holidays in 2023</v>
      </c>
      <c r="L511" s="5" t="str">
        <f>IFERROR(__xludf.DUMMYFUNCTION("GOOGLETRANSLATE(C511)"),"10 Mar. 2023. -")</f>
        <v>10 Mar. 2023. -</v>
      </c>
      <c r="M511" s="5" t="str">
        <f>IFERROR(__xludf.DUMMYFUNCTION("GOOGLETRANSLATE(G511)"),"Compare the selection and comparison of credit cards of credit cards Car insurance Calculator Calculator and CASCO Rating of insurance companies of the credit use of credit recovery of auto -credit Credit Credit Credit Credits online bankcrodins without c"&amp;"ertificates of real estate income with poor credit history of exchange of foreign currency exchange rates NG Banking Services Banking Covers on Banning -Supervision Options Supervision Mortgage of Travelers Insurance Aparties athletes Discard Medical Insu"&amp;"rance Critical Disease Craduation from a bite tick -luggage of the house and animal overthrow daching KBMRrating of insurance companies of insurance companies. Outputs about insurance companies on insurance storage online posts on crankcases without refus"&amp;"al from bad kizima without interest -free, borrowed borrowings for the deposit of Ptszami -long -term borrowing loans of the MFOspections FOOPOTETECIPENITIONAL CRIENTS for a mortgage online family mortgage with state -cervical vehicle housing housing cons"&amp;"truction. House -refinancing mortgages in new buildings Piccalculator of a mortgage of a mortgage without initial contributions on mortgages for a young family for a young family mortgage mortgage for Banking Service Banking Card Card Credit Credit Card C"&amp;"ard Card Credit Cards with Free Service Card Credit Cards with an instant decision of the Card of Cards without Outcredit cards with delivery cards without confirming an income card of an installmentar cards with cashbacks of banking records of banking ch"&amp;"ecks about banks Board of depository investment investment deposit deposit invoice to invest money and investment Investment insurance programs for life-saving insurance of Life-rending banking records banks of bankshakhi-rating Blackracies Conducting Off"&amp;"ice of Business Service Service Universal Conductors Quillingwed Registration Business-Ling-Gallery Services Services for Markets of Changes to IP and LLC LLC IPREETISITS BANKS ON BUSINESS OF BUSINESS OF BAST CONCLUSIONS ON THE BANCHOOKSHINALINAL Skillbox"&amp;" programmakesino-School management Analyticamarketing PROTEMING to the USE and OGED development for python1-programingq testing graphic-design-designing Language Curses about courses of schools of schools of schools of schools and response and response an"&amp;"d response of companies and games. Ting experts of the Creditan investigation of the insurance of lifting aids, we will save money to compare prices and save up to 5,500 ₽ Com bosom to place prices for 1 minute to place the banks ready to give out a loan "&amp;"on the right You are conditions of a card for 10 minutes 0%insurance of an insurance for a bankprise of 500 000 ₽ Credit rating of a credit history for the absence of delays and an error -free pay -off -class, the best conditions are the best conditions f"&amp;"or tourist insurance athletes Service 9 thousand. Responsive Often searchcifers of cash registering loan loan loans for cartridges on security for car loans on the security of real estate application For creditcredites with poor bickens without a certific"&amp;"ate of launcher, liner -term accounts with monthly payments to dollarshvallete deposits for retirees in euro -ranges in the yuanahpets on the deposit of the deposit of the hen There are a suburban boat mortgage with state support for a young family of a f"&amp;"amily in new buildings in new buildings in the new building cards to the best credit card cards without refusal cards with poor kyvirtual credit card cards installments with 100 % approval by instant solutions by conding cards with delivery cards Unionpay"&amp;"cobeiding Cards Card Card Card Card Card Cards with cashback cards for a child with free service cards of Mirsa Process by the residual -concrete cards for pensioner -concern cards Unionpaycobejing debit card -bearing -based maps for cartridges without pe"&amp;"rcentage without verification Online poses on a map without refusalsayamsim for ptszams without refusal from poor kions and promotional c do in the Mfostorovannannanikalchata OSAGOOSAGO ONLYKASKAROSKAING FOR LIFE -Building Life for Mortgage Supervision of"&amp;" Real Estate from accidents of cases of civicnutic codes Redites at 0%long -term microcreditic codes through public services business architecture business -register for business accounts for ipcredit for LLC Ekweingbank guarantees of food products for a "&amp;"medical medical insurance for the GoddMS with dentistry with telemedicine insurance from bite tick -pacing from critical illness from heart attack and stroke from racin -investment service to open up the overwhelming of the Onlineis for the IPREATIVE BROK"&amp;"ROGRABLIC score for legal limits NGRACTION OF THE CONTRODUCTURENCENT PROGNITION for the exam and OGESELS - In the mobile application, Implay, Open Open Services Online Controls Contacts Checks and Contacts Insurance Consure Evaluate your credit The possib"&amp;"ilities to use the QR -codal of the installation, enter the phone camera on the QR -KODO project of the project -Partner program of the agent -user agreement Politician Politicia of the Privacy of the Setanashi Expertsai Vacancies © 2009–2023 LLC ""Reflas"&amp;"is"". When using materials, a hyperlink on sravni.ru is required. TIN 7710718303 OGRN 1087746642774. 109544 Moscow Boulevard Enthusiasts House 26th floor ""Reflasis.ru"" operates activities in the IT field: the service provides online selection services a"&amp;"s advertising organizations - partners in the Internet using COOKIE files In order to provide users with more opportunities when visiting the site sravni.ru. Read more about the conditions of use.")</f>
        <v>Compare the selection and comparison of credit cards of credit cards Car insurance Calculator Calculator and CASCO Rating of insurance companies of the credit use of credit recovery of auto -credit Credit Credit Credit Credits online bankcrodins without certificates of real estate income with poor credit history of exchange of foreign currency exchange rates NG Banking Services Banking Covers on Banning -Supervision Options Supervision Mortgage of Travelers Insurance Aparties athletes Discard Medical Insurance Critical Disease Craduation from a bite tick -luggage of the house and animal overthrow daching KBMRrating of insurance companies of insurance companies. Outputs about insurance companies on insurance storage online posts on crankcases without refusal from bad kizima without interest -free, borrowed borrowings for the deposit of Ptszami -long -term borrowing loans of the MFOspections FOOPOTETECIPENITIONAL CRIENTS for a mortgage online family mortgage with state -cervical vehicle housing housing construction. House -refinancing mortgages in new buildings Piccalculator of a mortgage of a mortgage without initial contributions on mortgages for a young family for a young family mortgage mortgage for Banking Service Banking Card Card Credit Credit Card Card Card Credit Cards with Free Service Card Credit Cards with an instant decision of the Card of Cards without Outcredit cards with delivery cards without confirming an income card of an installmentar cards with cashbacks of banking records of banking checks about banks Board of depository investment investment deposit deposit invoice to invest money and investment Investment insurance programs for life-saving insurance of Life-rending banking records banks of bankshakhi-rating Blackracies Conducting Office of Business Service Service Universal Conductors Quillingwed Registration Business-Ling-Gallery Services Services for Markets of Changes to IP and LLC LLC IPREETISITS BANKS ON BUSINESS OF BUSINESS OF BAST CONCLUSIONS ON THE BANCHOOKSHINALINAL Skillbox programmakesino-School management Analyticamarketing PROTEMING to the USE and OGED development for python1-programingq testing graphic-design-designing Language Curses about courses of schools of schools of schools of schools and response and response and response of companies and games. Ting experts of the Creditan investigation of the insurance of lifting aids, we will save money to compare prices and save up to 5,500 ₽ Com bosom to place prices for 1 minute to place the banks ready to give out a loan on the right You are conditions of a card for 10 minutes 0%insurance of an insurance for a bankprise of 500 000 ₽ Credit rating of a credit history for the absence of delays and an error -free pay -off -class, the best conditions are the best conditions for tourist insurance athletes Service 9 thousand. Responsive Often searchcifers of cash registering loan loan loans for cartridges on security for car loans on the security of real estate application For creditcredites with poor bickens without a certificate of launcher, liner -term accounts with monthly payments to dollarshvallete deposits for retirees in euro -ranges in the yuanahpets on the deposit of the deposit of the hen There are a suburban boat mortgage with state support for a young family of a family in new buildings in new buildings in the new building cards to the best credit card cards without refusal cards with poor kyvirtual credit card cards installments with 100 % approval by instant solutions by conding cards with delivery cards Unionpaycobeiding Cards Card Card Card Card Card Cards with cashback cards for a child with free service cards of Mirsa Process by the residual -concrete cards for pensioner -concern cards Unionpaycobejing debit card -bearing -based maps for cartridges without percentage without verification Online poses on a map without refusalsayamsim for ptszams without refusal from poor kions and promotional c do in the Mfostorovannannanikalchata OSAGOOSAGO ONLYKASKAROSKAING FOR LIFE -Building Life for Mortgage Supervision of Real Estate from accidents of cases of civicnutic codes Redites at 0%long -term microcreditic codes through public services business architecture business -register for business accounts for ipcredit for LLC Ekweingbank guarantees of food products for a medical medical insurance for the GoddMS with dentistry with telemedicine insurance from bite tick -pacing from critical illness from heart attack and stroke from racin -investment service to open up the overwhelming of the Onlineis for the IPREATIVE BROKROGRABLIC score for legal limits NGRACTION OF THE CONTRODUCTURENCENT PROGNITION for the exam and OGESELS - In the mobile application, Implay, Open Open Services Online Controls Contacts Checks and Contacts Insurance Consure Evaluate your credit The possibilities to use the QR -codal of the installation, enter the phone camera on the QR -KODO project of the project -Partner program of the agent -user agreement Politician Politicia of the Privacy of the Setanashi Expertsai Vacancies © 2009–2023 LLC "Reflasis". When using materials, a hyperlink on sravni.ru is required. TIN 7710718303 OGRN 1087746642774. 109544 Moscow Boulevard Enthusiasts House 26th floor "Reflasis.ru" operates activities in the IT field: the service provides online selection services as advertising organizations - partners in the Internet using COOKIE files In order to provide users with more opportunities when visiting the site sravni.ru. Read more about the conditions of use.</v>
      </c>
    </row>
    <row r="512">
      <c r="A512" s="1" t="s">
        <v>1668</v>
      </c>
      <c r="B512" s="1" t="s">
        <v>1711</v>
      </c>
      <c r="C512" s="1" t="s">
        <v>1689</v>
      </c>
      <c r="D512" s="1">
        <v>11.0</v>
      </c>
      <c r="E512" s="4" t="s">
        <v>1712</v>
      </c>
      <c r="F512" s="1" t="s">
        <v>43</v>
      </c>
      <c r="G512" s="1" t="s">
        <v>1713</v>
      </c>
      <c r="H512" s="4" t="s">
        <v>1714</v>
      </c>
      <c r="I512" s="2"/>
      <c r="J512" s="5" t="str">
        <f>IFERROR(__xludf.DUMMYFUNCTION("GOOGLETRANSLATE(A512)"),"May holidays 2023")</f>
        <v>May holidays 2023</v>
      </c>
      <c r="K512" s="6" t="str">
        <f>IFERROR(__xludf.DUMMYFUNCTION("GOOGLETRANSLATE(B512)"),"What days will be non -working during May holidays 2023 ...")</f>
        <v>What days will be non -working during May holidays 2023 ...</v>
      </c>
      <c r="L512" s="5" t="str">
        <f>IFERROR(__xludf.DUMMYFUNCTION("GOOGLETRANSLATE(C512)"),"21 Apr. 2023. -")</f>
        <v>21 Apr. 2023. -</v>
      </c>
      <c r="M512" s="5" t="str">
        <f>IFERROR(__xludf.DUMMYFUNCTION("GOOGLETRANSLATE(G512)"),"�������������� ������� 1�:���     ����  �� 1�:�������-������������� ��������� �������������� ��������� 1������� ����������������� ����������������� ���������������������������� ������������ ���������� ����������������� �� �������� �������  				������ � ��"&amp;"������ �������:				����� �� ������������													�������� ������ � ���������� �������������� ������� 1�:���:				��������� �� 7 ������ �������� ����� ���� ������������������������������� ����������� ������������������������� ������������������������ ��"&amp;"������������� ������������ 1�������1�:������������� � �������� 1�������� ����� 1��� ����� ��� � ����� �������� ������� �� ������������ � ������ ���������� �����?96������ �� ���������� ����� ������������� ���� ������� ������������� ���������� �� ����������"&amp;"?79������ ������ ��������� � ��������� ������������ ������ ������������� �������� ��� ����������97�� ������� 1�:��� ������������ ����� ������ 3.1.9.209 ""1�:���������� ����������� ���������""17� ������ ����������� ����������� �� ���������� ���������100���"&amp;"�� �� ���������� ������ �������� �� ������� ��� ����� ��������� �����������?95����� �� �� ��� ��������� � ������� � �������������?118�� ������� 1�:��� ������������ ����� ������ 3.1.28.12 ""�������� � ����� ���������������� ���������� ����""4�� ������� 1�:"&amp;"��� ������������ ����� ������ 3.1.28.12 ""�������� � ���������� ���������� ����""4���������� ����� ���������� �� ������ �� ������������837������������ ������� 1�:��� ������������ ����� ������ 3.1.28.12 ""�������� � ����� ���������������� ����������""8�� �"&amp;"������ 1�:��� ������������ ����� ������ 11.5.15.40 ""���������� ���������""2�� ������� 1�:��� ������������ ����� ������ 3.1.28.12 ""�������� � ����� ���������������� ���������� �������""2�� ������� 1�:��� ������������ ����� ������ 3.1.28.12 ""�������� � �"&amp;"��������� ����������""7�� ������� 1�:��� ������������ ����� ������ 2.5.15.40 ""����������� �������������""3��������� ����� ���������� 3-���� �� 2023 ���157�� ������� 1�:��� ������������ ����� ������ 3.1.28.12 ""�������� � ���������� ���������� �������""0�"&amp;"� ������� 1�:��� ������������ ����� ������ 2.5.15.40 ""ERP ���������� ������������""3�� ������� 1�:��� ������������ ����� ������ 3.1.27.113 ""�������� � ����� ���������������� ���������� ����""0�� ������� 1�:��� ������������ ����� ������ 3.1.27.113 ""����"&amp;"���� � ���������� ���������� ����""6�� ������� 1�:��� ������������ ����� ������ 3.1.27.113 ""�������� � ����� ���������������� ����������""10�� ������� 1�:��� ������������ ����� ������ 3.1.27.113 ""�������� � ����� ���������������� ���������� �������""1��"&amp;" ������� 1�:��� ������������ ����� ������ 3.1.27.113 ""�������� � ���������� ����������""11�� ������� 1�:��� ������������ ����� ������ 3.1.27.113 ""�������� � ���������� ���������� �������""0�� ������� 1�:��� ������������ ����� ������ 1.3.215.1 ""1�:�����"&amp;"����� ���������������� ������������""11���������� �� ������: ���� ������������ (����������� � ���������) ������������� � 1�:��� 8 ���. 2112��� � ""1�:��� 8"" (���. 3) ������� ��� ���������� ����� � ��������� �����?160����� �� ������� ���� ���� ��������� �"&amp;"������� ������?124��� ��������� ���� �� ������������ ���������������� ����� ��������� ������� �����?169�������� �� ����������� �� ����������� ������� �� ��� ���� ������� ������?339��� ������ ����� �������� ����?582����������10���'23�� ������� 1�:��� �����"&amp;"������� ����� ������ 2.0.94.37 ""����������� ���������������� ���������� ����""21�� ������� 1�:��� ������������ ����� ������ 2.0.94.37 ""����������� ���������������� ����������""47������� ������� ����� �������������� ���������� ��� �������������202�� ����"&amp;"��� 1�:��� ������������ ����� ������ 2.0.94.37 ""����������� ���������������� ���������� �������""8�� �� ��� � ��� ��������� � �����. ��� ����� � �������� ���� �������� ����� ������?398������� �� ������������ ����������� ������� ������� � 2019 ����?99� ��"&amp;"��� ���� ��������� ����� �������� �������� ���?227����� �� � 2024 ���� �������� ����������� � ����� ������ �� ���������?2211������������� �������� ��� �� ������ ��������� �� ��������� �������� �� ����������?316��� � ""1�:��� 8"" (���. 3) ������������ ����"&amp;"�� ���������� ������ �� �����?457��� � ""1�:��� 8"" �������� ������ �������������� �������� ���� ��� ����� �� ��������-���������142���������� �� ��������� ������� �� ������� 2023 ���� � ""1�:����������� 8""142���������� �� ������ �� ������� �� ������-����"&amp;"��� 2023 ���� � ""1�:����������� 8"" ��� ������ ����������� ��������� �������� ������ �� ����������� �������100����� ����� ��������� � ������ ���������� �� ������ �� ���������?301����� �� ���� ���������� �������� ������ �� ���������� ����������?521�������"&amp;"�������� �� ������� ���� �� �������� � ���������� ��������� ��������486����� �� �������� ���-1 �� ������������ ���� �� �� ����������� ���?549��������������� �� ���������� �������� ������� ����� 3.2 ���� ��������� ������?20509���'23� ����� ������� ��������"&amp;"��� �� ���� � 2024 ���� ����� ������� ������ �� ����������?31908���'23 ��������� ���������� 1�:��������			 ����������� ����		 ������ 2023 ����������� 2023 ������������ 2023 ���������� 2023 �������� 2023 �������� 2023 ������� 2023 ���������� 2023 �������� "&amp;"2023 ����������� 2023 ���������� 2023 ����������� 2022 ������01��02��03��04��05��06��07��08��09��10��11��12��13��14��15��16��17��18��19��20��21��22��23��24��25��26��27��28��29��30 ���������������� ��������� �� 2023 ����������� ���������������� ���������� "&amp;"��������� ����������� ����� ���������� � ������ ������� (�������) � 2023 ��������� ������ ����������� �� ����������� ������� (�������) � 2023 ���������� ��������� ���������������� � 1 ������ 2023 �������-5 �������� �������������������� ������� ���. ������"&amp;"����������������������������������������������������� � ������������������ ��������������-1����������������������������������������� ��������6-������������������������������� �������������� ���������������� ����������������� 1�:����������� �������� ������"&amp;"����-����������� ����� 1�1�.ru������ ���1� ���������� �������1�:����������� 8���.1�.ru1�:����1�:������������1�:����������1����1�-��������������������� ���������1�:�����������1�:����1� �������1� ��� ��������		���������������!���������Telegram� ��� �1�-����"&amp;"�. ��� ����� ��������		������ ����� Liqium  										© ��� �1�-�����. ��� ����� ��������																		�������������� ������� 1�:���								 ���������� �� ����� � ���������� 1����������� �� ���������� �� 1������������� �� ��������������������� � �����"&amp;"�������������� �������������� ����������� �����������������1�:������������� � ������������� � �������� 1������� �� ��� ���������  ")</f>
        <v>�������������� ������� 1�:���     ����  �� 1�:�������-������������� ��������� �������������� ��������� 1������� ����������������� ����������������� ���������������������������� ������������ ���������� ����������������� �� �������� �������  				������ � �������� �������:				����� �� ������������													�������� ������ � ���������� �������������� ������� 1�:���:				��������� �� 7 ������ �������� ����� ���� ������������������������������� ����������� ������������������������� ������������������������ ��������������� ������������ 1�������1�:������������� � �������� 1�������� ����� 1��� ����� ��� � ����� �������� ������� �� ������������ � ������ ���������� �����?96������ �� ���������� ����� ������������� ���� ������� ������������� ���������� �� ����������?79������ ������ ��������� � ��������� ������������ ������ ������������� �������� ��� ����������97�� ������� 1�:��� ������������ ����� ������ 3.1.9.209 "1�:���������� ����������� ���������"17� ������ ����������� ����������� �� ���������� ���������100����� �� ���������� ������ �������� �� ������� ��� ����� ��������� �����������?95����� �� �� ��� ��������� � ������� � �������������?118�� ������� 1�:��� ������������ ����� ������ 3.1.28.12 "�������� � ����� ���������������� ���������� ����"4�� ������� 1�:��� ������������ ����� ������ 3.1.28.12 "�������� � ���������� ���������� ����"4���������� ����� ���������� �� ������ �� ������������837������������ ������� 1�:��� ������������ ����� ������ 3.1.28.12 "�������� � ����� ���������������� ����������"8�� ������� 1�:��� ������������ ����� ������ 11.5.15.40 "���������� ���������"2�� ������� 1�:��� ������������ ����� ������ 3.1.28.12 "�������� � ����� ���������������� ���������� �������"2�� ������� 1�:��� ������������ ����� ������ 3.1.28.12 "�������� � ���������� ����������"7�� ������� 1�:��� ������������ ����� ������ 2.5.15.40 "����������� �������������"3��������� ����� ���������� 3-���� �� 2023 ���157�� ������� 1�:��� ������������ ����� ������ 3.1.28.12 "�������� � ���������� ���������� �������"0�� ������� 1�:��� ������������ ����� ������ 2.5.15.40 "ERP ���������� ������������"3�� ������� 1�:��� ������������ ����� ������ 3.1.27.113 "�������� � ����� ���������������� ���������� ����"0�� ������� 1�:��� ������������ ����� ������ 3.1.27.113 "�������� � ���������� ���������� ����"6�� ������� 1�:��� ������������ ����� ������ 3.1.27.113 "�������� � ����� ���������������� ����������"10�� ������� 1�:��� ������������ ����� ������ 3.1.27.113 "�������� � ����� ���������������� ���������� �������"1�� ������� 1�:��� ������������ ����� ������ 3.1.27.113 "�������� � ���������� ����������"11�� ������� 1�:��� ������������ ����� ������ 3.1.27.113 "�������� � ���������� ���������� �������"0�� ������� 1�:��� ������������ ����� ������ 1.3.215.1 "1�:���������� ���������������� ������������"11���������� �� ������: ���� ������������ (����������� � ���������) ������������� � 1�:��� 8 ���. 2112��� � "1�:��� 8" (���. 3) ������� ��� ���������� ����� � ��������� �����?160����� �� ������� ���� ���� ��������� �������� ������?124��� ��������� ���� �� ������������ ���������������� ����� ��������� ������� �����?169�������� �� ����������� �� ����������� ������� �� ��� ���� ������� ������?339��� ������ ����� �������� ����?582����������10���'23�� ������� 1�:��� ������������ ����� ������ 2.0.94.37 "����������� ���������������� ���������� ����"21�� ������� 1�:��� ������������ ����� ������ 2.0.94.37 "����������� ���������������� ����������"47������� ������� ����� �������������� ���������� ��� �������������202�� ������� 1�:��� ������������ ����� ������ 2.0.94.37 "����������� ���������������� ���������� �������"8�� �� ��� � ��� ��������� � �����. ��� ����� � �������� ���� �������� ����� ������?398������� �� ������������ ����������� ������� ������� � 2019 ����?99� ����� ���� ��������� ����� �������� �������� ���?227����� �� � 2024 ���� �������� ����������� � ����� ������ �� ���������?2211������������� �������� ��� �� ������ ��������� �� ��������� �������� �� ����������?316��� � "1�:��� 8" (���. 3) ������������ ������ ���������� ������ �� �����?457��� � "1�:��� 8" �������� ������ �������������� �������� ���� ��� ����� �� ��������-���������142���������� �� ��������� ������� �� ������� 2023 ���� � "1�:����������� 8"142���������� �� ������ �� ������� �� ������-������� 2023 ���� � "1�:����������� 8" ��� ������ ����������� ��������� �������� ������ �� ����������� �������100����� ����� ��������� � ������ ���������� �� ������ �� ���������?301����� �� ���� ���������� �������� ������ �� ���������� ����������?521��������������� �� ������� ���� �� �������� � ���������� ��������� ��������486����� �� �������� ���-1 �� ������������ ���� �� �� ����������� ���?549��������������� �� ���������� �������� ������� ����� 3.2 ���� ��������� ������?20509���'23� ����� ������� ����������� �� ���� � 2024 ���� ����� ������� ������ �� ����������?31908���'23 ��������� ���������� 1�:��������			 ����������� ����		 ������ 2023 ����������� 2023 ������������ 2023 ���������� 2023 �������� 2023 �������� 2023 ������� 2023 ���������� 2023 �������� 2023 ����������� 2023 ���������� 2023 ����������� 2022 ������01��02��03��04��05��06��07��08��09��10��11��12��13��14��15��16��17��18��19��20��21��22��23��24��25��26��27��28��29��30 ���������������� ��������� �� 2023 ����������� ���������������� ���������� ��������� ����������� ����� ���������� � ������ ������� (�������) � 2023 ��������� ������ ����������� �� ����������� ������� (�������) � 2023 ���������� ��������� ���������������� � 1 ������ 2023 �������-5 �������� �������������������� ������� ���. ����������������������������������������������������������� � ������������������ ��������������-1����������������������������������������� ��������6-������������������������������� �������������� ���������������� ����������������� 1�:����������� �������� ����������-����������� ����� 1�1�.ru������ ���1� ���������� �������1�:����������� 8���.1�.ru1�:����1�:������������1�:����������1����1�-��������������������� ���������1�:�����������1�:����1� �������1� ��� ��������		���������������!���������Telegram� ��� �1�-�����. ��� ����� ��������		������ ����� Liqium  										© ��� �1�-�����. ��� ����� ��������																		�������������� ������� 1�:���								 ���������� �� ����� � ���������� 1����������� �� ���������� �� 1������������� �� ��������������������� � ������������������� �������������� ����������� �����������������1�:������������� � ������������� � �������� 1������� �� ��� ���������  </v>
      </c>
    </row>
    <row r="513">
      <c r="A513" s="1" t="s">
        <v>1668</v>
      </c>
      <c r="B513" s="1" t="s">
        <v>1715</v>
      </c>
      <c r="C513" s="1" t="s">
        <v>1716</v>
      </c>
      <c r="D513" s="1">
        <v>12.0</v>
      </c>
      <c r="E513" s="4" t="s">
        <v>1717</v>
      </c>
      <c r="F513" s="1" t="s">
        <v>43</v>
      </c>
      <c r="G513" s="1" t="s">
        <v>1718</v>
      </c>
      <c r="H513" s="1" t="s">
        <v>1719</v>
      </c>
      <c r="I513" s="2"/>
      <c r="J513" s="5" t="str">
        <f>IFERROR(__xludf.DUMMYFUNCTION("GOOGLETRANSLATE(A513)"),"May holidays 2023")</f>
        <v>May holidays 2023</v>
      </c>
      <c r="K513" s="6" t="str">
        <f>IFERROR(__xludf.DUMMYFUNCTION("GOOGLETRANSLATE(B513)"),"Long weekend: how we relax in May and June 2023")</f>
        <v>Long weekend: how we relax in May and June 2023</v>
      </c>
      <c r="L513" s="5" t="str">
        <f>IFERROR(__xludf.DUMMYFUNCTION("GOOGLETRANSLATE(C513)"),"25 Apr. 2023. -")</f>
        <v>25 Apr. 2023. -</v>
      </c>
      <c r="M513" s="5" t="str">
        <f>IFERROR(__xludf.DUMMYFUNCTION("GOOGLETRANSLATE(G513)"),"News of Perm and Perm Kraiystorii Personomous Dyslit Nomers Politics and Economics of Economics and Transport Cultural Culture Fresh Construction Construction in Perm Perm-300 Kafa and restaurants of Politics and Economics of the State Business Survey and"&amp;" Transport Sports all the Materials of History Personnial Disperse Jiangsey and Guzhuu. Specialists from Perm are developing cooperation with China, the chairman of the Perm branch of the Russian-Chinese friendship Society Mikhail Kamensky and the neurolo"&amp;"gist Nikita Syvyev shared the experience of interacting with colleagues from the Middle Kingdom. The plans include the expansion of cooperation in various areas. November 11, 2023 08:00 The main Russian Railways News will launch new routes of trains runni"&amp;"ng through Perm 08:30 Police from Perm received the title of Major General on November 11 in Perm for sale a room where Coffee shop “Coffee City” was located on November 11, a unfinished shopping center in the microdistrict in the microdistrict Sadovy was"&amp;" put up for auction for 65 million rubles on November 11, “There has been no such weather since 2013”: in the Perm Territory it will warm up to +5 degrees and will go rains on November 11 in Prikamye continue to transfer work on urban planning to the leve"&amp;"l of the region on November 11, the demand for antidepressants In September, in the Perm Territory, 20 % of November 11 in the Perm Territory increased the requirements for maintenance of pets on November 10, Perm Territory entered the top 20 regions of t"&amp;"he country on the accessibility of housing on November 10, the head of Perm presented the investment potential of the city at the International Forum 10 November in the Ministry of Health of Prikamye allowed the appearance of new superinfection in the reg"&amp;"ion at the end of November 10, the repair of dual underground crossings in Perm is planned to be completed before the end of 2023 on November 10 in Perm Saturn-R through the court plans to recover 61 million rubles from the authorities on November 10 The "&amp;"Perm will host a competition for the best New Year’s design among enterprises on November 10 to deputies presented the pre-project of the integrated development of the Perm transport infrastructure on November 10, a band of spans over the Iva River Valley"&amp;" was completed as part of the construction of the TR-53 highway 10 on November 10, weather forecasters spoke about the weather in the Perm Territory in the Perm Territory in the Perm Territory in the Perm Territory in The coming weekend on November 10, th"&amp;"e pre-project of the expansion of the airport complex, was estimated at 84 million rubles on November 10 in defense of the entrepreneur from Kudya Ayo Shabutdinov was the business ombudsman Boris Titov on November 10 Rosstat: in the Perm Territory, salari"&amp;"es on November 10 resident of the Perm Territory are accused of of From the beginning of the year, 40 new stopping pavilions were installed in Perm, organized theft of 625 tons of oil products on November 10, on November 10, meteorologists told the winter"&amp;" on the Perm Territory on November 10, during the DPR, a native of the Osinsky district of Prikamye on November 10, the number of employed in small and average and average The business in the Perm Territory exceeded half a million people on November 10, t"&amp;"he project for the construction of a new railway platform in the center of Perm was an examination on November 10, the court forbade the work on the construction site of the business class house in the center on November 09, the vacant mandate of the depu"&amp;"ty of the Legislative Assembly of the Perm Territory was transferred to Tatyana Abdullina 09 on November 09 The passage project from Uralskaya Street to Stepan Razin Street in Perm was estimated at 24 million rubles on November 2, on November 2, Perm auth"&amp;"orities strengthen the support of public initiatives on November 09 1/6VS News Real Estate is pointily densely expensive. In Perm, the demand for high -grade housing in the city center is growing in the Perm November 09, 2023 08:30 Business window on the "&amp;"screen. In 2023, sales on marketplaces in Prikamye significantly increased on November 07, 2023 07:00 Business End of business. Entrepreneurs from Perm told why they decided to close their own business on November 04, 2023 08:00 Business for Cheburashka. "&amp;"Soyuzmultfilm collects 34 million rubles from the entrepreneurs of Prikamye 03 November 2023 07:00 Economics Payment for the investigation is not a hindrance. New details appeared in the tax disputes of the tax and the Ministry of Pillets 02, 2023 18:22 T"&amp;"he real estate was found on an ad. In Perm, more than half a million squares of land for housing is sold on November 02, 2023 07:00 Culture with aliens in the head. In November, in Perm, the premiere of the film “Feelings of Anna” (18+) on November 01, 20"&amp;"23 08:00 Economics of a clearing of increased comfort. In the Kama region in the next two years, new glampings will appear on November 01, 2023 07:00 Materials of the company's news Smart monitoring system were introduced on the largest gas pipeline on No"&amp;"vember 09, 2023 11:35 525 Permians twice as often began to call through the Internet on November 09, 2023 11:00 538 Companies news of the editorial office of the debt called. Which of the Perm in 2022-2023 became bankrupt with the largest debt amount on O"&amp;"ctober 25, 2023 07:00 And the prices are current. How the cost of the largest road construction projects in Perm on October 30, 2023 12:00 the end of the business has changed over the year. Entrepreneurs from Perm told you why they decided to close their "&amp;"own business on November 04, 2023 08:00 Info@business-class.su +7 (922) 371-30-28 Politics to participate in the competition for the head of Krasnokamsk, three candidates 08 November 2023 Vacant Mandate were admitted The deputy of the Legislative Assembly"&amp;" of the Perm Territory was transferred by Tatyana Abdullina on November 09, 2023 In Perm, activists discussed the best practices of the TOS work on November 09, 2023 The President of the Russian Federation awarded a special title to the deputy chief of th"&amp;"e Main Directorate of the Ministry of Internal Affairs of the Perm Territory on November 08, 2023, the key topics of the Perm Engineering and Industrial Forum on November 07 were determined 2023 Perm Territory entered the TOP-20 regions of the country on "&amp;"the availability of housing rental on November 10, 2023 The head of Perm presented the investment potential of the city at the International Forum on November 10, 2023 Rosstat: in the Perm Territory, salaries are reduced on November 10, 2023 Pointedly den"&amp;"sely expensive. In Perm, the demand for high-grade housing in the city center is growing in the city center on November 09, 2023, the court forbade work on the construction site of the business class house in the center of Perm on November 09, 2023 with t"&amp;"he designer of the reconstruction of the overpass in the center of Perm, the contract was terminated on November 07, 2023 in Perm instead of the medical institution instead of a medical institution The hotel complex will be built on November 06, 2023, the"&amp;" city in the Perm Territory revealed three cases of infection with Hong Kong influenza 08 November 2023 Polis from Perm received the title of Major General on November 11, 2023, an unfinished shopping center in the Sadovy microdistrict was put up for auct"&amp;"ion for 65 million rubles on November 11, 2023 “There was no such weather. Since 2013 ”: in the Perm Territory it will warm up to +5 degrees and will go rains on November 11, 2023 business showcase on the screen. In 2023, the volume of sales on marketplac"&amp;"es in Prikamye significantly increased on November 07, 2023 in Perm for sale, a room was put up for the sale where the Coffee City coffee shop was located on November 11, 2023 in Perm Saturn-R, through the court, it plans to recover 61 million rubles from"&amp;" the authorities 10 On November 2023, the business ombudsman Boris Titov on November 10, 2023 Roads and Transport in the Government of the Russian Federation spoke in defense of the entrepreneur from Kudya Shabutdinov about the construction of the M-12 se"&amp;"ction of the M-12 highway in the Perm Territory on November 08, 2023 of the Russian Railways will launch new routes of pursuum trains through Perm on November 12 2023 Repair of dual underground crossings in Perm is planned to be completed before the end o"&amp;"f 2023 on November 10, 2023 deputies presented the pre -project of the integrated development of the Perm transport infrastructure on November 10, 2023 City, rapprochement with Jiangsi and Guizhou. Specialists from Perm are developing cooperation with Chi"&amp;"na, the chairman of the Perm branch of the Russian-Chinese friendship Society Mikhail Kamensky and the neurologist Nikita Syvyev shared the experience of interacting with colleagues from the Middle Kingdom. The plans include the expansion of cooperation i"&amp;"n various areas. November 11, 2023 08:00 Russian Academy of Russian:00:00 Railways will launch new routes of trains running through Perm on November 12, 2023 08:30 Police from Perm received the title of Major General November 11, 2023 18:20 in Perm, a pre"&amp;"mises were put up for sale where the coffee shop “Coffee City” was located 11 November 2023 16:46 Real estate is pointily densely expensive. In Perm, the demand for high -grade housing in the city center is growing in Perm that the potential buyers of suc"&amp;"h apartments lack a choice. The problem of deficiency of proposals could be solved by the allocation of plots for the integrated development of premium. November 09, 2023 08:30 Understructed shopping center in the Sadovy microdistrict was put up for aucti"&amp;"on for 65 million rubles on November 11, 2023 14:27 “There has not been such weather since 2013”: in the Perm Territory it will warm up to +5 degrees and will go rains on November 11, 2023 13: 30 In the Prikamye, they continue to transfer work on urban pl"&amp;"anning to the level of the region on November 11, 2023 12:24 PM BUSINESS OF BUSINESS OF THE SINEMEN on the screen. In 2023, sales of marketplaces in Prikamye significantly increased sales on marketplaces in the Perm Territory, the number of active users o"&amp;"n the online market increased to 79%. This significantly exceeds the all -Russian indicator. November 07, 2023 07:00 Demand for antidepressants in September in the Perm Territory grew by 20 % November 11, 2023 09:30 In the Perm Territory, the requirements"&amp;" for the maintenance of pets on November 10, 2023 21:00 Perm Territory entered the top 20 regions countries on the availability of housing rental on November 10, 2023 20:10 Perm the head of Perm presented the investment potential of the city at the Intern"&amp;"ational Forum November 10, 2023 18:58 In the Ministry of Health of Prikamye, they allowed a new superinfection in the region at the end of November 10, 2023 18:05 Repair of dual underground Perm transitions are planned to be completed until the end of 202"&amp;"3 on November 10, 2023 17:10 ALL news of the company's news of the Smart Monitoring System was introduced on the largest gas pipeline on November 09, 2023 11:35 525 Permians twice as often began to call via November 2023 11:00 538 All News of Politics and"&amp;" Economics of Economics Economics and Transport Transport Culture of Perm Perm Perm and Restaurants 2004-2023 Business Class Exposure from the registry of registered media dated 08/29/2018 (Internet site) Media Certificate of PI59-1143 (newspaper) LLC Bus"&amp;"iness Information LLC Information resource applies recommendation technologies (information technologies for providing information based on the collection of systematization and analysis of information related to the preferences of users of the Internet i"&amp;"n the Russian Federation). The editorial staff of the publication in the Business Classical projects of using materials Consent to the processing of data development in Perm “The Interior Agency” Information about age restrictions on information products "&amp;"subject to the distribution on the basis of the Federal Law “On Protection of Children from Information Avoids Harm Aviation and Development”. Some materials of this section may contain information prohibited for persons under 16 years of age.")</f>
        <v>News of Perm and Perm Kraiystorii Personomous Dyslit Nomers Politics and Economics of Economics and Transport Cultural Culture Fresh Construction Construction in Perm Perm-300 Kafa and restaurants of Politics and Economics of the State Business Survey and Transport Sports all the Materials of History Personnial Disperse Jiangsey and Guzhuu. Specialists from Perm are developing cooperation with China, the chairman of the Perm branch of the Russian-Chinese friendship Society Mikhail Kamensky and the neurologist Nikita Syvyev shared the experience of interacting with colleagues from the Middle Kingdom. The plans include the expansion of cooperation in various areas. November 11, 2023 08:00 The main Russian Railways News will launch new routes of trains running through Perm 08:30 Police from Perm received the title of Major General on November 11 in Perm for sale a room where Coffee shop “Coffee City” was located on November 11, a unfinished shopping center in the microdistrict in the microdistrict Sadovy was put up for auction for 65 million rubles on November 11, “There has been no such weather since 2013”: in the Perm Territory it will warm up to +5 degrees and will go rains on November 11 in Prikamye continue to transfer work on urban planning to the level of the region on November 11, the demand for antidepressants In September, in the Perm Territory, 20 % of November 11 in the Perm Territory increased the requirements for maintenance of pets on November 10, Perm Territory entered the top 20 regions of the country on the accessibility of housing on November 10, the head of Perm presented the investment potential of the city at the International Forum 10 November in the Ministry of Health of Prikamye allowed the appearance of new superinfection in the region at the end of November 10, the repair of dual underground crossings in Perm is planned to be completed before the end of 2023 on November 10 in Perm Saturn-R through the court plans to recover 61 million rubles from the authorities on November 10 The Perm will host a competition for the best New Year’s design among enterprises on November 10 to deputies presented the pre-project of the integrated development of the Perm transport infrastructure on November 10, a band of spans over the Iva River Valley was completed as part of the construction of the TR-53 highway 10 on November 10, weather forecasters spoke about the weather in the Perm Territory in the Perm Territory in the Perm Territory in the Perm Territory in The coming weekend on November 10, the pre-project of the expansion of the airport complex, was estimated at 84 million rubles on November 10 in defense of the entrepreneur from Kudya Ayo Shabutdinov was the business ombudsman Boris Titov on November 10 Rosstat: in the Perm Territory, salaries on November 10 resident of the Perm Territory are accused of of From the beginning of the year, 40 new stopping pavilions were installed in Perm, organized theft of 625 tons of oil products on November 10, on November 10, meteorologists told the winter on the Perm Territory on November 10, during the DPR, a native of the Osinsky district of Prikamye on November 10, the number of employed in small and average and average The business in the Perm Territory exceeded half a million people on November 10, the project for the construction of a new railway platform in the center of Perm was an examination on November 10, the court forbade the work on the construction site of the business class house in the center on November 09, the vacant mandate of the deputy of the Legislative Assembly of the Perm Territory was transferred to Tatyana Abdullina 09 on November 09 The passage project from Uralskaya Street to Stepan Razin Street in Perm was estimated at 24 million rubles on November 2, on November 2, Perm authorities strengthen the support of public initiatives on November 09 1/6VS News Real Estate is pointily densely expensive. In Perm, the demand for high -grade housing in the city center is growing in the Perm November 09, 2023 08:30 Business window on the screen. In 2023, sales on marketplaces in Prikamye significantly increased on November 07, 2023 07:00 Business End of business. Entrepreneurs from Perm told why they decided to close their own business on November 04, 2023 08:00 Business for Cheburashka. Soyuzmultfilm collects 34 million rubles from the entrepreneurs of Prikamye 03 November 2023 07:00 Economics Payment for the investigation is not a hindrance. New details appeared in the tax disputes of the tax and the Ministry of Pillets 02, 2023 18:22 The real estate was found on an ad. In Perm, more than half a million squares of land for housing is sold on November 02, 2023 07:00 Culture with aliens in the head. In November, in Perm, the premiere of the film “Feelings of Anna” (18+) on November 01, 2023 08:00 Economics of a clearing of increased comfort. In the Kama region in the next two years, new glampings will appear on November 01, 2023 07:00 Materials of the company's news Smart monitoring system were introduced on the largest gas pipeline on November 09, 2023 11:35 525 Permians twice as often began to call through the Internet on November 09, 2023 11:00 538 Companies news of the editorial office of the debt called. Which of the Perm in 2022-2023 became bankrupt with the largest debt amount on October 25, 2023 07:00 And the prices are current. How the cost of the largest road construction projects in Perm on October 30, 2023 12:00 the end of the business has changed over the year. Entrepreneurs from Perm told you why they decided to close their own business on November 04, 2023 08:00 Info@business-class.su +7 (922) 371-30-28 Politics to participate in the competition for the head of Krasnokamsk, three candidates 08 November 2023 Vacant Mandate were admitted The deputy of the Legislative Assembly of the Perm Territory was transferred by Tatyana Abdullina on November 09, 2023 In Perm, activists discussed the best practices of the TOS work on November 09, 2023 The President of the Russian Federation awarded a special title to the deputy chief of the Main Directorate of the Ministry of Internal Affairs of the Perm Territory on November 08, 2023, the key topics of the Perm Engineering and Industrial Forum on November 07 were determined 2023 Perm Territory entered the TOP-20 regions of the country on the availability of housing rental on November 10, 2023 The head of Perm presented the investment potential of the city at the International Forum on November 10, 2023 Rosstat: in the Perm Territory, salaries are reduced on November 10, 2023 Pointedly densely expensive. In Perm, the demand for high-grade housing in the city center is growing in the city center on November 09, 2023, the court forbade work on the construction site of the business class house in the center of Perm on November 09, 2023 with the designer of the reconstruction of the overpass in the center of Perm, the contract was terminated on November 07, 2023 in Perm instead of the medical institution instead of a medical institution The hotel complex will be built on November 06, 2023, the city in the Perm Territory revealed three cases of infection with Hong Kong influenza 08 November 2023 Polis from Perm received the title of Major General on November 11, 2023, an unfinished shopping center in the Sadovy microdistrict was put up for auction for 65 million rubles on November 11, 2023 “There was no such weather. Since 2013 ”: in the Perm Territory it will warm up to +5 degrees and will go rains on November 11, 2023 business showcase on the screen. In 2023, the volume of sales on marketplaces in Prikamye significantly increased on November 07, 2023 in Perm for sale, a room was put up for the sale where the Coffee City coffee shop was located on November 11, 2023 in Perm Saturn-R, through the court, it plans to recover 61 million rubles from the authorities 10 On November 2023, the business ombudsman Boris Titov on November 10, 2023 Roads and Transport in the Government of the Russian Federation spoke in defense of the entrepreneur from Kudya Shabutdinov about the construction of the M-12 section of the M-12 highway in the Perm Territory on November 08, 2023 of the Russian Railways will launch new routes of pursuum trains through Perm on November 12 2023 Repair of dual underground crossings in Perm is planned to be completed before the end of 2023 on November 10, 2023 deputies presented the pre -project of the integrated development of the Perm transport infrastructure on November 10, 2023 City, rapprochement with Jiangsi and Guizhou. Specialists from Perm are developing cooperation with China, the chairman of the Perm branch of the Russian-Chinese friendship Society Mikhail Kamensky and the neurologist Nikita Syvyev shared the experience of interacting with colleagues from the Middle Kingdom. The plans include the expansion of cooperation in various areas. November 11, 2023 08:00 Russian Academy of Russian:00:00 Railways will launch new routes of trains running through Perm on November 12, 2023 08:30 Police from Perm received the title of Major General November 11, 2023 18:20 in Perm, a premises were put up for sale where the coffee shop “Coffee City” was located 11 November 2023 16:46 Real estate is pointily densely expensive. In Perm, the demand for high -grade housing in the city center is growing in Perm that the potential buyers of such apartments lack a choice. The problem of deficiency of proposals could be solved by the allocation of plots for the integrated development of premium. November 09, 2023 08:30 Understructed shopping center in the Sadovy microdistrict was put up for auction for 65 million rubles on November 11, 2023 14:27 “There has not been such weather since 2013”: in the Perm Territory it will warm up to +5 degrees and will go rains on November 11, 2023 13: 30 In the Prikamye, they continue to transfer work on urban planning to the level of the region on November 11, 2023 12:24 PM BUSINESS OF BUSINESS OF THE SINEMEN on the screen. In 2023, sales of marketplaces in Prikamye significantly increased sales on marketplaces in the Perm Territory, the number of active users on the online market increased to 79%. This significantly exceeds the all -Russian indicator. November 07, 2023 07:00 Demand for antidepressants in September in the Perm Territory grew by 20 % November 11, 2023 09:30 In the Perm Territory, the requirements for the maintenance of pets on November 10, 2023 21:00 Perm Territory entered the top 20 regions countries on the availability of housing rental on November 10, 2023 20:10 Perm the head of Perm presented the investment potential of the city at the International Forum November 10, 2023 18:58 In the Ministry of Health of Prikamye, they allowed a new superinfection in the region at the end of November 10, 2023 18:05 Repair of dual underground Perm transitions are planned to be completed until the end of 2023 on November 10, 2023 17:10 ALL news of the company's news of the Smart Monitoring System was introduced on the largest gas pipeline on November 09, 2023 11:35 525 Permians twice as often began to call via November 2023 11:00 538 All News of Politics and Economics of Economics Economics and Transport Transport Culture of Perm Perm Perm and Restaurants 2004-2023 Business Class Exposure from the registry of registered media dated 08/29/2018 (Internet site) Media Certificate of PI59-1143 (newspaper) LLC Business Information LLC Information resource applies recommendation technologies (information technologies for providing information based on the collection of systematization and analysis of information related to the preferences of users of the Internet in the Russian Federation). The editorial staff of the publication in the Business Classical projects of using materials Consent to the processing of data development in Perm “The Interior Agency” Information about age restrictions on information products subject to the distribution on the basis of the Federal Law “On Protection of Children from Information Avoids Harm Aviation and Development”. Some materials of this section may contain information prohibited for persons under 16 years of age.</v>
      </c>
    </row>
    <row r="514">
      <c r="A514" s="1" t="s">
        <v>1668</v>
      </c>
      <c r="B514" s="1" t="s">
        <v>1720</v>
      </c>
      <c r="C514" s="1" t="s">
        <v>1721</v>
      </c>
      <c r="D514" s="1">
        <v>13.0</v>
      </c>
      <c r="E514" s="4" t="s">
        <v>1722</v>
      </c>
      <c r="F514" s="1" t="s">
        <v>43</v>
      </c>
      <c r="G514" s="1" t="s">
        <v>1723</v>
      </c>
      <c r="H514" s="4" t="s">
        <v>1724</v>
      </c>
      <c r="I514" s="2"/>
      <c r="J514" s="5" t="str">
        <f>IFERROR(__xludf.DUMMYFUNCTION("GOOGLETRANSLATE(A514)"),"May holidays 2023")</f>
        <v>May holidays 2023</v>
      </c>
      <c r="K514" s="6" t="str">
        <f>IFERROR(__xludf.DUMMYFUNCTION("GOOGLETRANSLATE(B514)"),"Production calendar for 2023")</f>
        <v>Production calendar for 2023</v>
      </c>
      <c r="L514" s="5" t="str">
        <f>IFERROR(__xludf.DUMMYFUNCTION("GOOGLETRANSLATE(C514)"),"Production calendar 2023 (working days, holidays and weekends). Production calendar for 2023. 2024; 2023; 2022 · 2021 · 2020 · 2019 · 2018 ...")</f>
        <v>Production calendar 2023 (working days, holidays and weekends). Production calendar for 2023. 2024; 2023; 2022 · 2021 · 2020 · 2019 · 2018 ...</v>
      </c>
      <c r="M514" s="5" t="str">
        <f>IFERROR(__xludf.DUMMYFUNCTION("GOOGLETRANSLATE(G514)"),"“ConsultantPlyus” - Legislation of the Russian Federation: Codes Laws Decrees of Decrees of the Government of the Russian Federation regulatory acts to the system -nuclear Internet version of the company and products to be replaced by the consultantPlussa"&amp;" and the Promotional accessibility to the Supreme Court summarized the practice of protecting consumer rights “Goryazy” Documents of the Russian Federation Presidential Decree and Other Government Decisions and other Normative acts. New documents are rece"&amp;"ived several times a day. The “Designer of Agreements” from Consultant Plus has become even more convenient for the product of the product, judicial practice and its analysis. Comments and explanations. Designer of agreements. Buhgalter -preparations of c"&amp;"larification of departments samples of filling. Video seeders. Calculators designers. Business organization and clarification. Samples of filling video seminars news. Designers. Forty experts Supreme Court summarized the practice of protecting consumers o"&amp;"f news10 On November of November10 they did not support the punishment of an employee who did not prepare for an unscheduled meeting10 on November of the Civil Code of the Russian Federation on the allocation of shares in the Gosdudumun of missing the Tax"&amp;" Code of the Russian Federation: the State Duma adopted amendments in the second reading on November10 for herbalism for traumatism : the court confirmed that the death case does not affect the discount because of third parties on November 10, on the laws"&amp;" No. 44-ФЗ and 223-ФЗ: what practice did the FAS noted in the reviews for September 2023, November 1910, the Ministry of Labor wants to adjust the list of activities of the institutions all news For customers to the ConsultantPlus system for customers for"&amp;" customers, use access access to the consultantPlus system, freeze the system for free proposal for the purchase of the consultantPlus296 967 651 document in the consultant players of the legislation subscription to the interviewer’s mailing list and teac"&amp;"her of the Code of Code (Civil Code of the Russian Federation) Housing Code (Housing and Civil Code of the Russian Federation) Tax Code Tax Code (Tax Code) Labor Code (Labor Code of the Russian Federation) Criminal Code (Criminal Code of the Russian Feder"&amp;"ation) of the Code of Administrative Offenses (Code of Code of Administrative Offenses of the Russian Federation) of the Customs Code of the EAESARBIGRECTIONAL Code (RF RF) of the Land Code (RF RF) Popular documents for the Accounting of Documents Protect"&amp;"ion of Consumeries Bankruptcy Executive The production of personal taxes on the property of the physical persons of the organization PBU 10/99o of the bailiff state registration of the real estate department of the legal calendar for the IV quarter of the"&amp;" 2023 accountant for 2023. The production calendar for 2024 for 2023 for the 2023 calendar for 2023 for 2023 Calculture registration of legal personally -state registration of individual entrepreneursualnature declaration on the accounting reporting of th"&amp;"e Propensation rate of refinancing (accounting rate) established by the Central Bank of the Central Bank of the Central Bank of the Russian Federation for today long -term instructions for the Plastos and their settlement data for 2023 selection of materi"&amp;"als: acts samples of the form of contract mobilization: review of a new Testing information contact information17292 Moscow st. Krzhizhanovsky 6 (Central Office) +7 (495) 956-82-83 +7 (495) 787-92-92Contact@consultant.ru in social networks Kontaktelegram-"&amp;"graders of rights are protected the MPTR of Russia EL No. 77-6731 Politics of processing personal data of access to the site")</f>
        <v>“ConsultantPlyus” - Legislation of the Russian Federation: Codes Laws Decrees of Decrees of the Government of the Russian Federation regulatory acts to the system -nuclear Internet version of the company and products to be replaced by the consultantPlussa and the Promotional accessibility to the Supreme Court summarized the practice of protecting consumer rights “Goryazy” Documents of the Russian Federation Presidential Decree and Other Government Decisions and other Normative acts. New documents are received several times a day. The “Designer of Agreements” from Consultant Plus has become even more convenient for the product of the product, judicial practice and its analysis. Comments and explanations. Designer of agreements. Buhgalter -preparations of clarification of departments samples of filling. Video seeders. Calculators designers. Business organization and clarification. Samples of filling video seminars news. Designers. Forty experts Supreme Court summarized the practice of protecting consumers of news10 On November of November10 they did not support the punishment of an employee who did not prepare for an unscheduled meeting10 on November of the Civil Code of the Russian Federation on the allocation of shares in the Gosdudumun of missing the Tax Code of the Russian Federation: the State Duma adopted amendments in the second reading on November10 for herbalism for traumatism : the court confirmed that the death case does not affect the discount because of third parties on November 10, on the laws No. 44-ФЗ and 223-ФЗ: what practice did the FAS noted in the reviews for September 2023, November 1910, the Ministry of Labor wants to adjust the list of activities of the institutions all news For customers to the ConsultantPlus system for customers for customers, use access access to the consultantPlus system, freeze the system for free proposal for the purchase of the consultantPlus296 967 651 document in the consultant players of the legislation subscription to the interviewer’s mailing list and teacher of the Code of Code (Civil Code of the Russian Federation) Housing Code (Housing and Civil Code of the Russian Federation) Tax Code Tax Code (Tax Code) Labor Code (Labor Code of the Russian Federation) Criminal Code (Criminal Code of the Russian Federation) of the Code of Administrative Offenses (Code of Code of Administrative Offenses of the Russian Federation) of the Customs Code of the EAESARBIGRECTIONAL Code (RF RF) of the Land Code (RF RF) Popular documents for the Accounting of Documents Protection of Consumeries Bankruptcy Executive The production of personal taxes on the property of the physical persons of the organization PBU 10/99o of the bailiff state registration of the real estate department of the legal calendar for the IV quarter of the 2023 accountant for 2023. The production calendar for 2024 for 2023 for the 2023 calendar for 2023 for 2023 Calculture registration of legal personally -state registration of individual entrepreneursualnature declaration on the accounting reporting of the Propensation rate of refinancing (accounting rate) established by the Central Bank of the Central Bank of the Central Bank of the Russian Federation for today long -term instructions for the Plastos and their settlement data for 2023 selection of materials: acts samples of the form of contract mobilization: review of a new Testing information contact information17292 Moscow st. Krzhizhanovsky 6 (Central Office) +7 (495) 956-82-83 +7 (495) 787-92-92Contact@consultant.ru in social networks Kontaktelegram-graders of rights are protected the MPTR of Russia EL No. 77-6731 Politics of processing personal data of access to the site</v>
      </c>
    </row>
    <row r="515">
      <c r="A515" s="1" t="s">
        <v>1668</v>
      </c>
      <c r="B515" s="1" t="s">
        <v>1725</v>
      </c>
      <c r="C515" s="1" t="s">
        <v>1726</v>
      </c>
      <c r="D515" s="1">
        <v>14.0</v>
      </c>
      <c r="E515" s="4" t="s">
        <v>1727</v>
      </c>
      <c r="F515" s="1" t="s">
        <v>43</v>
      </c>
      <c r="G515" s="1" t="s">
        <v>1728</v>
      </c>
      <c r="H515" s="4" t="s">
        <v>1729</v>
      </c>
      <c r="I515" s="2"/>
      <c r="J515" s="5" t="str">
        <f>IFERROR(__xludf.DUMMYFUNCTION("GOOGLETRANSLATE(A515)"),"May holidays 2023")</f>
        <v>May holidays 2023</v>
      </c>
      <c r="K515" s="6" t="str">
        <f>IFERROR(__xludf.DUMMYFUNCTION("GOOGLETRANSLATE(B515)"),"May weekend in 2023 - how we rest")</f>
        <v>May weekend in 2023 - how we rest</v>
      </c>
      <c r="L515" s="5" t="str">
        <f>IFERROR(__xludf.DUMMYFUNCTION("GOOGLETRANSLATE(C515)"),"Jun 27. 2022 -")</f>
        <v>Jun 27. 2022 -</v>
      </c>
      <c r="M515" s="5" t="str">
        <f>IFERROR(__xludf.DUMMYFUNCTION("GOOGLETRANSLATE(G515)"),"Izvestia - News of the Policy of the Sports Sports Economics | Iz.ru Russian-regoperation of Russia in Ukraine of the Palestinian-Israeli conflict-forum-forum “Russia” $ $ the special operation of Russia in Ukraine of the Palestinian-Israeli conflict-foru"&amp;"m “Russia” $ $ $ $ $ $ $ $ $ € $ € $ € $ € $ to malevostication MiRMIMIANAUKA and technicianism of the StranskultiRestor-Project and subscriptions of the subscription of the company Executive Press Central Centorification of the Important Agreement of Lab"&amp;"or Agreement, the site operates with financial support Ministry of Digital Development of Communications and Mass Communications of the Russian Federation. Registered by the Federal Service for Supervision of the Communications Field of Information Techno"&amp;"logies and Mass Communications. Certificates of registration of EL No. FS 77 - 76208 dated July 8, 2019 EL No. FS 77 - 72003 of December 26, 2019, all rights were protected © MIC Izvestia LLC 2023 Khgazeta Izvestia NMGNOSTIST RENNOVOST 5 Kanalanovosti 78 "&amp;"Canalport Express Sports The Express newspaper Subscription Fillon denies the organization of a meeting of the Lebanese businessman with Putin on March 20 on March 20, all the results go to the main content of the rejection of the Ethers and gunners hit t"&amp;"he assault groups of the Armed Forces of Ukraine in the LPRB House, rejected the financing project of the US government without the help of Kievudan Lag and OIS needed to investigate the military crimes of the Israeli Israeli The defeat of the control and"&amp;" shelter of the militants in Syriasinoptics predicted in Moscow to rain and up to +7 degrees on November 12, on November 12, the latest news, the doctor told about the ways to survive the magnetic storm 06:15 Ovechkin abandoned the 825th washer in the NHL"&amp;" regular championships 06:05 A earthquake of magnitude 54 occurred In Indonesia 05:50, the farmers of Europe were apprehensive reacted to the possibility of Ukraine’s entry into the EU 05:35 Army of the Russian Federation destroyed four mortar calculation"&amp;"s of the Armed Forces in the Kupyansk direction 05:20 Russian pilots and artillerymen hit the assault groups of the Armed Forces of Ukraine in the LPR 05:05 Bloomberg learned about the consent Germany to increase assistance to Ukraine by half to € 8 billi"&amp;"on 04:50 Three people died in a collision of a train with a truck in the Angara region 04:35 Biden needed to help the guard of honor during the cemetery at the cemetery 04:20 Army of Israel answered Syria with blows on terrorist infrastructure 04: 05 Woma"&amp;"n and her two -year -old daughter died in a fire in Podolsk 03:50 White House rejected the project to finance the work of the US government without the help of Kiev 03:40 Macron called the Gaza Conference to create a humanitarian coalition 03:25 Speaker o"&amp;"f the US Congress offered to financing the government without the help of Kiev 03:15 Foreign weather forecasters predicted in Moscow to rain and up to +7 degrees on November 12 03:00 a dog handler spoke about the reasons for the early death of dogs 02:50 "&amp;"The ex-adviser Kuchma pointed out the readiness of the slave and the Armed Forces of the Russian Federation with the Russian Federation 02:40 London police detained 150 participants Demonstrations in support of Palestine 02:27 Air Defense of Israel interc"&amp;"epted a suspicious goal from Gaza 02:15 In Brazil, football fans staged a mass fight during the championship 02:05 Three people died in an accident in the Pskov region 01:50 Visitors to Igor Dreviv shared with the Izvestia »Impressions of the stand 01:35 "&amp;"Brother Nurmagomedov were disqualified for six months due to doping 01:25 Ukrainian media reported on explosions in Kiev, the city of Kherson 01:14 Podolyak announced the readiness of Ukraine for economic disputes with the EU countries 01: 10 Sportovtochk"&amp;"in abandoned the 825th The puck in the regular championships of the NHLMIMELY House rejected the project to finance the work of the US government without the help of Kiev -Proserification of Magnitite 54 in Indonesia Mirpodolak announced the readiness of "&amp;"Ukraine for economic disputes with the countries of Emyrbloomberg, the consent of the Federal Republic of Germany was doubled to € 8 billion. The ceremonies at the cemetery of the parties predicted in Moscow to rain and up to +7 degrees on November 12, a "&amp;"person killed in an accident in the Pskov regional regional media, reported explosions in the city of the city of Khersonaarmiyarmiy of the Russian Federation destroyed four mortar calculations of the Armed Forces of the Armed Forces in the Kupyansk direc"&amp;"tion of the Gamanitarian CoA. Litius Israel answered Syria with blows on a terrorist infrastructureurinist of the defense of Ukraine Umarov told the head of the Pentagon about the needs of the Kievardocarman to pull: the mortgage demand for the secondary "&amp;"collapsed almost half the terms of high rates of the banks are looking for unusual ways to attract clientwarmia Dmitry Kornev Stratosfer: why Russia is a new intelligence and junction complex that will be combined if they are united Hostly mortal Devices "&amp;"and systems of shock weapons Society Dmitry Alekseev Residential Pont: Housing Housing, without the consent of the neighbors, will not work out a new bill is called to find a compromise between residents and those who want to receive rental income, Ivan P"&amp;"etrov Knock grievances: what rights the controller in transport in Moscow opened a case for a cruel The beating of the auditor on the bus Economics Dmitry Migunov Bomb at $ 33 trillion: the US public debt has become a world problem for the demand for Amer"&amp;"ican bonds began to lag behind the proposal of the Gladiator on wheels: Italian journalists recall Ayrton Senniveli racer continues to excite the public -Golongrid. Bovano before Still Samir Igor Karmazin change the orientation: why Armenia spoils relatio"&amp;"ns with Russia, the head of the Armenian General Staff met with American generals Viktor Nedelin Rainbow prospects: Latvia was forced to same-sex marriages. The International LGBBBI continues to work on the Baltic states of Mirizizdan: the world will boyc"&amp;"ott the produced ones that will happen that will happen with the economy of the Jewish state and is it worth waiting for a new wave of anti -Semitism on November 12, 2023 00: 01economics “Open Portfolio”: how much could private investors in October expert"&amp;"s analyzed the state of the Russian stock market on November 12, 2023 00: 02 Lessac and Technician Hope: Scientists created a wardrobe for premature Children as a development will reduce the risk of injuries and infections in newborns with a low body weig"&amp;"ht on November 12, 2023 00: 01 culture of energy: Mariinsky in China Talyzin in the Mossytt Tsiscaridze in the BDT about this week, fans of the beautiful SMI2.ru -Political School of Smi2.ru -Political Coasters said this week: What changes the status of i"&amp;"nternal for the Azov Sea as these changes will affect the economy of the region and Russia on August 16, 2023 18: 52 -rope land: how Ukraine has become one of the most mined countries in the world and how Russian sappers help to solve this problem on Augu"&amp;"st 17, 2023 17: 19 Little Democratic Republic and Technical Energy and Technician Approach: as Russian scientists create unique technologies of analogues to many developments, there is no one in the world on July 31, 2023 18: 52econs of their field: how t"&amp;"he food security in Russia is ensured and what influence Covid and sanctions on July 31, 2023 18: 52 Mirbaiden were required to help the guard of honor in The ceremony in the cemetery on November12 2023 04: 20Arm Israel answered Syria with blows to terror"&amp;"ist infrastructure on November 19, 2023 04: 05 School of the US Congress, proposed financing the government without the help of Kiev on November12, 2023: 15 by 15 by 15 by the U.S. financing project without the help of Kiev November 2023 03: 40Ex Kuchma a"&amp;"dviser pointed to the readiness of the Sulfa and the Armed Forces for negotiations with the Russian Federation on November 112, 2023: 403d model of the T-90M T-90M “Breakthrough” 3D model of the first test train of the Moscow metro “Panther” 3D model of t"&amp;"he Moscow Kremlin3D model of the dacha M. S. Gorbacheva in the Foros 3d model of the Ilya Muromets aircraft 3D model of the atomic cruiser “Peter the Great” 3D model of the Tiger tank 3D model “Worker and collective farm” 3D model of Russia “Russia” 3D mo"&amp;"del of the Grand Kremlin Palace3D3D -Model of the Cathedral of the Paris Mother of God ANT-20 ""Maxim Gorky"". 3D-model3d model of the Crimean bridge3d-model of the main temple of the Armed Forces of the Russian Federation of the Russian Federation3d 3d-m"&amp;"odel of the Boeing 747-1003d model of the monastery of the Kiev-Pechersk Laurus3d Model House of the House of the Watchtower of the Patrient Ship ""Emerald"" 3d-model of the St. Paul3d Model of the Rzhevsky Memorial Soviet soldier 3d-model of the Berlin T"&amp;"ank Tank IS-23D model of the Salisbury Cathedral3d Model of the passenger aircraft Tu-1043D-model of the Sukharevo Tower of the Il-763D motor ship ""Peter the Great"" 3D model of the Cathedral of Christ Savior 3d Model of Space Ships "" Union-19 ”and“ Apo"&amp;"llo ”3D model of the Sevastopol battleship, a member of“ Scarlet Sails ”-brig Tre Kronor Af Stockholm Kurchatov Specialized Synchrotron Radiation Speed ​​3D model“ Vostok-1 ”3D-model Titanic History in the dates: 12 November-consuming of the week in the p"&amp;"hotographs: a blow to Jabalia The deadly storm ""Kiaran"" and the choice of a dress for Miss Universe what was important in Russia and the world in the past days Super Bag: how do flour made of crickets a fresh look at the goods of the Stavropol Staropoli"&amp;"s category is not in a neighborly way: Pakistan is deporting the Afghan illegal measures to end until November 1, the photo of the day: Vulcan Klyuchevsky was assigned a “red” hazard code for aviation00: 24Magnetic storm will cover the earth on the night "&amp;"of November 12, 2023 19: 4600: 57v China, online for the occasion of the day of the Holy Day11 November 2023 18: 3000: 33th American strategic bomber B-21 made the first flight on November11, 2023 13: 53, the largest artificial ice rink in Europe. Video 3"&amp;"60 ° The Building Theater building celebrates the 195th anniversary. Video 360 ° in Moscow was held by the International Exhibition of Business Aviation Rubae. Video 360 ° Festival of military equipment ""Motors of War"". Video 360 ° in Moscow hosts the f"&amp;"estival of gardens and flowers. Video 360 ° the second for the year the tram parade was held in the capital. Video 360 ° PMEF. Video 360 ° Morning on May 9 in Moscow from the roof of the Typhoon armored car. Video 360 ° Evacuation of the aircraft. Video 3"&amp;"60 ° what they feed on an airplane: an excursion to the on -board power plant. Video 360 ° Exhibition ""Lada Always"": more than 100 most unusual models. Video 360 ° East. Another beauty: a large -scale exhibition. Video 360 ° Excursion on the legendary M"&amp;"osfilm pavilions. Video 360 ° how the coke is produced. Video 360 ° 90 years of Mickey Mouse: multimedia exhibition. Video 360 ° 120 previously unknown sculptures of Tsereteli. Video 360 ° Championship of Russia in the Higher aerobatics: unique shots from"&amp;" the wing of the aircraft. Video 360 ° Moscow Mint and Moscow Printing House ""Goznak"". Video 360 ° The World Cup in Kazan. Video 360 ° Cinema ""Illusion"" after reconstruction. Video 360 ° Crazy drift on the ""Lada"". Video 360 ° Excursion in Gorky Park"&amp;". Video 360 ° feeding sharks in Moskvarium. Video 360 ° World Wingsight jump record. Video 360 ° Luxurious train ""Imperial Russia"". Video 360 ° Driving T-80U tank under water. Video 360 ° Championship of the World football 2022 in Qatar: A unique show. "&amp;"Video 360 ° The test is not for the faint of heart: a stamina marathon. Video 360 ° Advertising of beauty: Ten products that will extend youth, doctors said that it is necessary to slow down the aging on November 11, 2023 00: 02 Iranian President gathered"&amp;" in Saudi Arabia Visit as part of the Summit on the situation in the gas sector will be the first after the reconciliation of the two countries on November 11 2023 00: 02 publication seal of communication: how to protect against theft of data through a VP"&amp;"N under a VPN service can be disguised as a Trojan-style on November 11, 2023 00:02 Opinion Olga Pozdnyakov “” In Russia, a register of debtors on alimony will appear in Russia. It will be possible to delete the surname from it only by repaying all obliga"&amp;"tions. In the future, it is possible to introduce sanctions against submitted to the register - a restriction on leaving the country with a driver’s license, etc. November 11, 2023 08: 00Aleksandra Babkin “” on the Internet you should not do anything that"&amp;" you do not allow yourself in real life. Technical tools can protect you from cyberbulling, however, we will not change the culture of our communication on the network, we will not be able to globally solve the problem on November11, 2023 08: 00valery Eme"&amp;"lyanov “” Positive factors that could not force the ruble to turn over now. Currency swings rush down until they find a U -turning point there and will not fly back 10th November 2023 08: 00maxim Dobromoslov “” In one we are ahead of the Hollywood film In"&amp;"dustry - small budgets. Our times less. Paradoxically, but this is a big plus November 9, 2023 20: 00vgenia Pimenov “” Cultural exchanges in the broadest sense of the word is a tool of peaceful and stable times. When the world spiral of conflicts begins t"&amp;"o spin all this “decor” begins to crumble on November9, 2023 14: 00leg Chamonaev “” This case affects not only Camille personally, but also the entire national team and even in the matter with Olympic gold. So no compromises (with their conscience and ant"&amp;"i -doping authorities) are impossible here on November 9, 2023 08: 00 George Mokhov “” Everywhere where there are budget money - especially when they are distributed on “lightweight” conditions: not through public procurements and competitive procedures, "&amp;"and highlighting subsidies essentially Under honestly, attackers always appear. This also happened in the field of tourism on November 9, 2023: 00port “The level of RPL fell a bit-more matches began to win on the classroom” SKA-Khabarovsk football player "&amp;"Vyacheslav Podberezkin-about the leadership of Krasnodar and the motivation of the new generation of players on November 12, 2023 00: 01 Products Her two -year -old daughter died in a fire in Podolsk November 112, 2023: 50 Mirmacron called the Gaza Confer"&amp;"ence in a step towards the creation of a humanitarian coalition November12, 2023 03: 25 Synoptics predicted rain in Moscow and up to +7 degrees on November 12, 2023 03: 00 Police of London, 150 participants in the demonstration in support Palestine Novemb"&amp;"er 19, 2023 02: 27pvo Israel, intercepted a suspicious goal from Gaza November 112, 2023: 15v Brazil, football fans staged a mass fight during the championship November 11, 2023 02: 05 sports weekend with Izvestia November 10, 2023 00: 00 Cultural Week: C"&amp;"hoosing Izvestia on November 9 2023 00: 01 advertising menu Advertising Subscribing to the RSS newspaper Send news about the company editorial-pre-re-renovation company about the immutation of the labor protection of labor copyright on the visualization s"&amp;"ystem of the contents of the portal iz.ru as well as on the initial data, including the texts of the audio and video materials, graphic images and product signs belongs ""MIC"" Izvestia "". The specified information is protected in accordance with the leg"&amp;"islation of the Russian Federation and international agreements. Partial citation is possible only if a hyperlink on iz.ru. AB AB ""Russia"" - partner of the section ""Economics"" The site functions with financial support from the Ministry of Digital Deve"&amp;"lopment of Communications and Mass Communications of the Russian Federation. Responsibility for the maintenance of any advertising materials placed on the portal is borne by the advertiser. Analytics News Forecasts and other materials presented on this si"&amp;"te are not an offer or a recommendation for the purchase or sale of any assets. Registered by the Federal Service for Supervision of the Communications of Information Technologies and Mass Communications. Certificate of registration of EL No. FS 77 - 7620"&amp;"8 dated July 8, 2019 EL No. FS 77 - 72003 of December 26, 2019 All rights are protected © MIC Izvestia 2023")</f>
        <v>Izvestia - News of the Policy of the Sports Sports Economics | Iz.ru Russian-regoperation of Russia in Ukraine of the Palestinian-Israeli conflict-forum-forum “Russia” $ $ the special operation of Russia in Ukraine of the Palestinian-Israeli conflict-forum “Russia” $ $ $ $ $ $ $ $ $ € $ € $ € $ € $ to malevostication MiRMIMIANAUKA and technicianism of the StranskultiRestor-Project and subscriptions of the subscription of the company Executive Press Central Centorification of the Important Agreement of Labor Agreement, the site operates with financial support Ministry of Digital Development of Communications and Mass Communications of the Russian Federation. Registered by the Federal Service for Supervision of the Communications Field of Information Technologies and Mass Communications. Certificates of registration of EL No. FS 77 - 76208 dated July 8, 2019 EL No. FS 77 - 72003 of December 26, 2019, all rights were protected © MIC Izvestia LLC 2023 Khgazeta Izvestia NMGNOSTIST RENNOVOST 5 Kanalanovosti 78 Canalport Express Sports The Express newspaper Subscription Fillon denies the organization of a meeting of the Lebanese businessman with Putin on March 20 on March 20, all the results go to the main content of the rejection of the Ethers and gunners hit the assault groups of the Armed Forces of Ukraine in the LPRB House, rejected the financing project of the US government without the help of Kievudan Lag and OIS needed to investigate the military crimes of the Israeli Israeli The defeat of the control and shelter of the militants in Syriasinoptics predicted in Moscow to rain and up to +7 degrees on November 12, on November 12, the latest news, the doctor told about the ways to survive the magnetic storm 06:15 Ovechkin abandoned the 825th washer in the NHL regular championships 06:05 A earthquake of magnitude 54 occurred In Indonesia 05:50, the farmers of Europe were apprehensive reacted to the possibility of Ukraine’s entry into the EU 05:35 Army of the Russian Federation destroyed four mortar calculations of the Armed Forces in the Kupyansk direction 05:20 Russian pilots and artillerymen hit the assault groups of the Armed Forces of Ukraine in the LPR 05:05 Bloomberg learned about the consent Germany to increase assistance to Ukraine by half to € 8 billion 04:50 Three people died in a collision of a train with a truck in the Angara region 04:35 Biden needed to help the guard of honor during the cemetery at the cemetery 04:20 Army of Israel answered Syria with blows on terrorist infrastructure 04: 05 Woman and her two -year -old daughter died in a fire in Podolsk 03:50 White House rejected the project to finance the work of the US government without the help of Kiev 03:40 Macron called the Gaza Conference to create a humanitarian coalition 03:25 Speaker of the US Congress offered to financing the government without the help of Kiev 03:15 Foreign weather forecasters predicted in Moscow to rain and up to +7 degrees on November 12 03:00 a dog handler spoke about the reasons for the early death of dogs 02:50 The ex-adviser Kuchma pointed out the readiness of the slave and the Armed Forces of the Russian Federation with the Russian Federation 02:40 London police detained 150 participants Demonstrations in support of Palestine 02:27 Air Defense of Israel intercepted a suspicious goal from Gaza 02:15 In Brazil, football fans staged a mass fight during the championship 02:05 Three people died in an accident in the Pskov region 01:50 Visitors to Igor Dreviv shared with the Izvestia »Impressions of the stand 01:35 Brother Nurmagomedov were disqualified for six months due to doping 01:25 Ukrainian media reported on explosions in Kiev, the city of Kherson 01:14 Podolyak announced the readiness of Ukraine for economic disputes with the EU countries 01: 10 Sportovtochkin abandoned the 825th The puck in the regular championships of the NHLMIMELY House rejected the project to finance the work of the US government without the help of Kiev -Proserification of Magnitite 54 in Indonesia Mirpodolak announced the readiness of Ukraine for economic disputes with the countries of Emyrbloomberg, the consent of the Federal Republic of Germany was doubled to € 8 billion. The ceremonies at the cemetery of the parties predicted in Moscow to rain and up to +7 degrees on November 12, a person killed in an accident in the Pskov regional regional media, reported explosions in the city of the city of Khersonaarmiyarmiy of the Russian Federation destroyed four mortar calculations of the Armed Forces of the Armed Forces in the Kupyansk direction of the Gamanitarian CoA. Litius Israel answered Syria with blows on a terrorist infrastructureurinist of the defense of Ukraine Umarov told the head of the Pentagon about the needs of the Kievardocarman to pull: the mortgage demand for the secondary collapsed almost half the terms of high rates of the banks are looking for unusual ways to attract clientwarmia Dmitry Kornev Stratosfer: why Russia is a new intelligence and junction complex that will be combined if they are united Hostly mortal Devices and systems of shock weapons Society Dmitry Alekseev Residential Pont: Housing Housing, without the consent of the neighbors, will not work out a new bill is called to find a compromise between residents and those who want to receive rental income, Ivan Petrov Knock grievances: what rights the controller in transport in Moscow opened a case for a cruel The beating of the auditor on the bus Economics Dmitry Migunov Bomb at $ 33 trillion: the US public debt has become a world problem for the demand for American bonds began to lag behind the proposal of the Gladiator on wheels: Italian journalists recall Ayrton Senniveli racer continues to excite the public -Golongrid. Bovano before Still Samir Igor Karmazin change the orientation: why Armenia spoils relations with Russia, the head of the Armenian General Staff met with American generals Viktor Nedelin Rainbow prospects: Latvia was forced to same-sex marriages. The International LGBBBI continues to work on the Baltic states of Mirizizdan: the world will boycott the produced ones that will happen that will happen with the economy of the Jewish state and is it worth waiting for a new wave of anti -Semitism on November 12, 2023 00: 01economics “Open Portfolio”: how much could private investors in October experts analyzed the state of the Russian stock market on November 12, 2023 00: 02 Lessac and Technician Hope: Scientists created a wardrobe for premature Children as a development will reduce the risk of injuries and infections in newborns with a low body weight on November 12, 2023 00: 01 culture of energy: Mariinsky in China Talyzin in the Mossytt Tsiscaridze in the BDT about this week, fans of the beautiful SMI2.ru -Political School of Smi2.ru -Political Coasters said this week: What changes the status of internal for the Azov Sea as these changes will affect the economy of the region and Russia on August 16, 2023 18: 52 -rope land: how Ukraine has become one of the most mined countries in the world and how Russian sappers help to solve this problem on August 17, 2023 17: 19 Little Democratic Republic and Technical Energy and Technician Approach: as Russian scientists create unique technologies of analogues to many developments, there is no one in the world on July 31, 2023 18: 52econs of their field: how the food security in Russia is ensured and what influence Covid and sanctions on July 31, 2023 18: 52 Mirbaiden were required to help the guard of honor in The ceremony in the cemetery on November12 2023 04: 20Arm Israel answered Syria with blows to terrorist infrastructure on November 19, 2023 04: 05 School of the US Congress, proposed financing the government without the help of Kiev on November12, 2023: 15 by 15 by 15 by the U.S. financing project without the help of Kiev November 2023 03: 40Ex Kuchma adviser pointed to the readiness of the Sulfa and the Armed Forces for negotiations with the Russian Federation on November 112, 2023: 403d model of the T-90M T-90M “Breakthrough” 3D model of the first test train of the Moscow metro “Panther” 3D model of the Moscow Kremlin3D model of the dacha M. S. Gorbacheva in the Foros 3d model of the Ilya Muromets aircraft 3D model of the atomic cruiser “Peter the Great” 3D model of the Tiger tank 3D model “Worker and collective farm” 3D model of Russia “Russia” 3D model of the Grand Kremlin Palace3D3D -Model of the Cathedral of the Paris Mother of God ANT-20 "Maxim Gorky". 3D-model3d model of the Crimean bridge3d-model of the main temple of the Armed Forces of the Russian Federation of the Russian Federation3d 3d-model of the Boeing 747-1003d model of the monastery of the Kiev-Pechersk Laurus3d Model House of the House of the Watchtower of the Patrient Ship "Emerald" 3d-model of the St. Paul3d Model of the Rzhevsky Memorial Soviet soldier 3d-model of the Berlin Tank Tank IS-23D model of the Salisbury Cathedral3d Model of the passenger aircraft Tu-1043D-model of the Sukharevo Tower of the Il-763D motor ship "Peter the Great" 3D model of the Cathedral of Christ Savior 3d Model of Space Ships " Union-19 ”and“ Apollo ”3D model of the Sevastopol battleship, a member of“ Scarlet Sails ”-brig Tre Kronor Af Stockholm Kurchatov Specialized Synchrotron Radiation Speed ​​3D model“ Vostok-1 ”3D-model Titanic History in the dates: 12 November-consuming of the week in the photographs: a blow to Jabalia The deadly storm "Kiaran" and the choice of a dress for Miss Universe what was important in Russia and the world in the past days Super Bag: how do flour made of crickets a fresh look at the goods of the Stavropol Staropolis category is not in a neighborly way: Pakistan is deporting the Afghan illegal measures to end until November 1, the photo of the day: Vulcan Klyuchevsky was assigned a “red” hazard code for aviation00: 24Magnetic storm will cover the earth on the night of November 12, 2023 19: 4600: 57v China, online for the occasion of the day of the Holy Day11 November 2023 18: 3000: 33th American strategic bomber B-21 made the first flight on November11, 2023 13: 53, the largest artificial ice rink in Europe. Video 360 ° The Building Theater building celebrates the 195th anniversary. Video 360 ° in Moscow was held by the International Exhibition of Business Aviation Rubae. Video 360 ° Festival of military equipment "Motors of War". Video 360 ° in Moscow hosts the festival of gardens and flowers. Video 360 ° the second for the year the tram parade was held in the capital. Video 360 ° PMEF. Video 360 ° Morning on May 9 in Moscow from the roof of the Typhoon armored car. Video 360 ° Evacuation of the aircraft. Video 360 ° what they feed on an airplane: an excursion to the on -board power plant. Video 360 ° Exhibition "Lada Always": more than 100 most unusual models. Video 360 ° East. Another beauty: a large -scale exhibition. Video 360 ° Excursion on the legendary Mosfilm pavilions. Video 360 ° how the coke is produced. Video 360 ° 90 years of Mickey Mouse: multimedia exhibition. Video 360 ° 120 previously unknown sculptures of Tsereteli. Video 360 ° Championship of Russia in the Higher aerobatics: unique shots from the wing of the aircraft. Video 360 ° Moscow Mint and Moscow Printing House "Goznak". Video 360 ° The World Cup in Kazan. Video 360 ° Cinema "Illusion" after reconstruction. Video 360 ° Crazy drift on the "Lada". Video 360 ° Excursion in Gorky Park. Video 360 ° feeding sharks in Moskvarium. Video 360 ° World Wingsight jump record. Video 360 ° Luxurious train "Imperial Russia". Video 360 ° Driving T-80U tank under water. Video 360 ° Championship of the World football 2022 in Qatar: A unique show. Video 360 ° The test is not for the faint of heart: a stamina marathon. Video 360 ° Advertising of beauty: Ten products that will extend youth, doctors said that it is necessary to slow down the aging on November 11, 2023 00: 02 Iranian President gathered in Saudi Arabia Visit as part of the Summit on the situation in the gas sector will be the first after the reconciliation of the two countries on November 11 2023 00: 02 publication seal of communication: how to protect against theft of data through a VPN under a VPN service can be disguised as a Trojan-style on November 11, 2023 00:02 Opinion Olga Pozdnyakov “” In Russia, a register of debtors on alimony will appear in Russia. It will be possible to delete the surname from it only by repaying all obligations. In the future, it is possible to introduce sanctions against submitted to the register - a restriction on leaving the country with a driver’s license, etc. November 11, 2023 08: 00Aleksandra Babkin “” on the Internet you should not do anything that you do not allow yourself in real life. Technical tools can protect you from cyberbulling, however, we will not change the culture of our communication on the network, we will not be able to globally solve the problem on November11, 2023 08: 00valery Emelyanov “” Positive factors that could not force the ruble to turn over now. Currency swings rush down until they find a U -turning point there and will not fly back 10th November 2023 08: 00maxim Dobromoslov “” In one we are ahead of the Hollywood film Industry - small budgets. Our times less. Paradoxically, but this is a big plus November 9, 2023 20: 00vgenia Pimenov “” Cultural exchanges in the broadest sense of the word is a tool of peaceful and stable times. When the world spiral of conflicts begins to spin all this “decor” begins to crumble on November9, 2023 14: 00leg Chamonaev “” This case affects not only Camille personally, but also the entire national team and even in the matter with Olympic gold. So no compromises (with their conscience and anti -doping authorities) are impossible here on November 9, 2023 08: 00 George Mokhov “” Everywhere where there are budget money - especially when they are distributed on “lightweight” conditions: not through public procurements and competitive procedures, and highlighting subsidies essentially Under honestly, attackers always appear. This also happened in the field of tourism on November 9, 2023: 00port “The level of RPL fell a bit-more matches began to win on the classroom” SKA-Khabarovsk football player Vyacheslav Podberezkin-about the leadership of Krasnodar and the motivation of the new generation of players on November 12, 2023 00: 01 Products Her two -year -old daughter died in a fire in Podolsk November 112, 2023: 50 Mirmacron called the Gaza Conference in a step towards the creation of a humanitarian coalition November12, 2023 03: 25 Synoptics predicted rain in Moscow and up to +7 degrees on November 12, 2023 03: 00 Police of London, 150 participants in the demonstration in support Palestine November 19, 2023 02: 27pvo Israel, intercepted a suspicious goal from Gaza November 112, 2023: 15v Brazil, football fans staged a mass fight during the championship November 11, 2023 02: 05 sports weekend with Izvestia November 10, 2023 00: 00 Cultural Week: Choosing Izvestia on November 9 2023 00: 01 advertising menu Advertising Subscribing to the RSS newspaper Send news about the company editorial-pre-re-renovation company about the immutation of the labor protection of labor copyright on the visualization system of the contents of the portal iz.ru as well as on the initial data, including the texts of the audio and video materials, graphic images and product signs belongs "MIC" Izvestia ". The specified information is protected in accordance with the legislation of the Russian Federation and international agreements. Partial citation is possible only if a hyperlink on iz.ru. AB AB "Russia" - partner of the section "Economics" The site functions with financial support from the Ministry of Digital Development of Communications and Mass Communications of the Russian Federation. Responsibility for the maintenance of any advertising materials placed on the portal is borne by the advertiser. Analytics News Forecasts and other materials presented on this site are not an offer or a recommendation for the purchase or sale of any assets. Registered by the Federal Service for Supervision of the Communications of Information Technologies and Mass Communications. Certificate of registration of EL No. FS 77 - 76208 dated July 8, 2019 EL No. FS 77 - 72003 of December 26, 2019 All rights are protected © MIC Izvestia 2023</v>
      </c>
    </row>
    <row r="516">
      <c r="A516" s="1" t="s">
        <v>1668</v>
      </c>
      <c r="B516" s="1" t="s">
        <v>1730</v>
      </c>
      <c r="C516" s="1" t="s">
        <v>1731</v>
      </c>
      <c r="D516" s="1">
        <v>15.0</v>
      </c>
      <c r="E516" s="4" t="s">
        <v>1732</v>
      </c>
      <c r="F516" s="1" t="s">
        <v>43</v>
      </c>
      <c r="G516" s="1" t="s">
        <v>1733</v>
      </c>
      <c r="H516" s="4" t="s">
        <v>1734</v>
      </c>
      <c r="I516" s="2"/>
      <c r="J516" s="5" t="str">
        <f>IFERROR(__xludf.DUMMYFUNCTION("GOOGLETRANSLATE(A516)"),"May holidays 2023")</f>
        <v>May holidays 2023</v>
      </c>
      <c r="K516" s="6" t="str">
        <f>IFERROR(__xludf.DUMMYFUNCTION("GOOGLETRANSLATE(B516)"),"Where to go to May holidays 2023 in Russia")</f>
        <v>Where to go to May holidays 2023 in Russia</v>
      </c>
      <c r="L516" s="5" t="str">
        <f>IFERROR(__xludf.DUMMYFUNCTION("GOOGLETRANSLATE(C516)"),"Puzuly.ru tells which cities of Russia and neighboring abroad are best suited to spend the May holidays.")</f>
        <v>Puzuly.ru tells which cities of Russia and neighboring abroad are best suited to spend the May holidays.</v>
      </c>
      <c r="M516" s="5" t="str">
        <f>IFERROR(__xludf.DUMMYFUNCTION("GOOGLETRANSLATE(G516)"),"Puzuly.ru - Housing reservation service: Hotels of the apartment for rent guest houses of cottages in a private sectorkeshback 30%cashback to you and your friends! For each reservation until September 30, 2023 we will return to you up to 3 000 ₽ bonuses. "&amp;"They can be spent on reservation or transferred to friends-even if they are also saved! More about the promotion objects12 Calendar, 36 recovery in the search for thestatic paying insurance channel for the partnership application, give up the objects of t"&amp;"he reservation of the reservations of the review of the review104mag IOS IOS IOS IOS IOS OS CJ9 minutes ago Mag iOS CJ8 minutes ago MAG iOS ios CJ10 minutes ago MAG iOS IOS cj13 minutes ago Mag iOS ios CJ13 minutes ago Messed by the Elector 1 Barysh 16-GE"&amp;"NICHUG 3 GELENDARIC 4EVPARIC 1katerinburg 3CALINGRAG 1 KALINGROVRARSKARY 1MOSKVASKOVSKY 1MOSKVA 9 ROORENburg 1 OROREKHOVO-ZUEKOVIKOVE 1 SACKTERSburg 15 STELIANSK 1YULANOVSK 1YULANOVSK 1YULANOVA Balance1 Received cashback 5 bonuses Barysh Vlettnaya strip 1"&amp;" to 175 ₽ will be received on June 30, 2023 Prepayment for reservation No. 18993053 7 ₽ will be received on June 30, 2023. The pre -payment of reservation No. 20971291 440 ₽ will be received on June 30, 2023. The pre -payment of armor No. 20566383 should "&amp;"be examined by $ 781 ₽ My bonuses 32910 000 bonuses for friends Magic Magic Maga Lying passwords -tied accounts of business players from the accountant -information about the ownership filter -mounted search for the location of the edit of the article to "&amp;"shut off the Searchapp urls to disable the notifications on the RUB geocoder RUBLIBURIBURIBLISH ENLISHIBUBLISH EMENGLISH SHILTURUB - the Russian ruble - US dollar EUR - Eurobyn - Belorussian Rib Kazakh tenge to call items and answers of support from the s"&amp;"upport service 8 (800) 555,2608 Hotels Guest houses-200 thousand options for trips in Russia and a foreign resort city or address of June June June30 Jun Ptgost1 Adult-by-INFELLY INTERASACANT-Petersburgmoskvasochschi Baikalmarshrshrushrushmarshruts for ca"&amp;"r Viewing the Caucasus Mineral Waters to go More interesting in the telegram channel200 thousand options: apartments hotels guest homepages directly to the owners of housing housing The bonuses of the post -re -round -loser service supported on vacation? "&amp;"Find where to stop! Apartments with a jacuzzi housing with a pool with a view of the Glampings of Karelia Cottages for the party for a party of breakfast with breakfast for you and your friends! For each reservation until August 31, 2023 we will return to"&amp;" you up to 3000 ₽ bonuses. They can be spent on reservation or transferred to friends-let them also save! Learn about cashbekekuda to go16 602 variant-Petersburg 9,968 variants 3,696 options 460 options forkaliningrad 15 709 options 4,276 variants of the "&amp;"version of the venue 7 633 variants of variants of the variant of options. 1,329 options for a volume 1 237 variants of Makhachkala 2 289 variants of the Youth Options 1,749 variants 4 033 Options to paint in the application Puztomatom.ru-even more conven"&amp;"ient and faster! All armor options and correspondence with the owners in your pocket. Make the camera for a QR code to download the application popularly abroad Vitebsk Kazakhstan Alma Kazakhstan You are Aktauabhaziyazhagra Sukhum Physundaruzharyatbilisi "&amp;"Batumiyarmiyanan diligijanthijanthijanthijantalia Istanbul Alanyasarbaijanbakak Siazankyrgizijiziabishkekkeckki Karakolizrailie Aviv battasylandaphukukhthuklausbukistantashkent Samarcandaedubai uml-kayvayvini dodge Put your objects for free and earn with "&amp;"us! Where to start a personal support cabinet 8 (800) 555 2608 Housing to book housing reviews Guestikeshbek 30% Promotion “Substitution of Cashback” Guarantees of the idea for traveling and answers of the housing housing housing to pass housing to place "&amp;"an announcement free insurance Upovakancaries Operating program Sign up the application for us. 646300 -dialing agreement for personal processing Dathis Page Requires You to have the JavaScript Enabled.")</f>
        <v>Puzuly.ru - Housing reservation service: Hotels of the apartment for rent guest houses of cottages in a private sectorkeshback 30%cashback to you and your friends! For each reservation until September 30, 2023 we will return to you up to 3 000 ₽ bonuses. They can be spent on reservation or transferred to friends-even if they are also saved! More about the promotion objects12 Calendar, 36 recovery in the search for thestatic paying insurance channel for the partnership application, give up the objects of the reservation of the reservations of the review of the review104mag IOS IOS IOS IOS IOS OS CJ9 minutes ago Mag iOS CJ8 minutes ago MAG iOS ios CJ10 minutes ago MAG iOS IOS cj13 minutes ago Mag iOS ios CJ13 minutes ago Messed by the Elector 1 Barysh 16-GENICHUG 3 GELENDARIC 4EVPARIC 1katerinburg 3CALINGRAG 1 KALINGROVRARSKARY 1MOSKVASKOVSKY 1MOSKVA 9 ROORENburg 1 OROREKHOVO-ZUEKOVIKOVE 1 SACKTERSburg 15 STELIANSK 1YULANOVSK 1YULANOVSK 1YULANOVA Balance1 Received cashback 5 bonuses Barysh Vlettnaya strip 1 to 175 ₽ will be received on June 30, 2023 Prepayment for reservation No. 18993053 7 ₽ will be received on June 30, 2023. The pre -payment of reservation No. 20971291 440 ₽ will be received on June 30, 2023. The pre -payment of armor No. 20566383 should be examined by $ 781 ₽ My bonuses 32910 000 bonuses for friends Magic Magic Maga Lying passwords -tied accounts of business players from the accountant -information about the ownership filter -mounted search for the location of the edit of the article to shut off the Searchapp urls to disable the notifications on the RUB geocoder RUBLIBURIBURIBLISH ENLISHIBUBLISH EMENGLISH SHILTURUB - the Russian ruble - US dollar EUR - Eurobyn - Belorussian Rib Kazakh tenge to call items and answers of support from the support service 8 (800) 555,2608 Hotels Guest houses-200 thousand options for trips in Russia and a foreign resort city or address of June June June30 Jun Ptgost1 Adult-by-INFELLY INTERASACANT-Petersburgmoskvasochschi Baikalmarshrshrushrushmarshruts for car Viewing the Caucasus Mineral Waters to go More interesting in the telegram channel200 thousand options: apartments hotels guest homepages directly to the owners of housing housing The bonuses of the post -re -round -loser service supported on vacation? Find where to stop! Apartments with a jacuzzi housing with a pool with a view of the Glampings of Karelia Cottages for the party for a party of breakfast with breakfast for you and your friends! For each reservation until August 31, 2023 we will return to you up to 3000 ₽ bonuses. They can be spent on reservation or transferred to friends-let them also save! Learn about cashbekekuda to go16 602 variant-Petersburg 9,968 variants 3,696 options 460 options forkaliningrad 15 709 options 4,276 variants of the version of the venue 7 633 variants of variants of the variant of options. 1,329 options for a volume 1 237 variants of Makhachkala 2 289 variants of the Youth Options 1,749 variants 4 033 Options to paint in the application Puztomatom.ru-even more convenient and faster! All armor options and correspondence with the owners in your pocket. Make the camera for a QR code to download the application popularly abroad Vitebsk Kazakhstan Alma Kazakhstan You are Aktauabhaziyazhagra Sukhum Physundaruzharyatbilisi Batumiyarmiyanan diligijanthijanthijanthijantalia Istanbul Alanyasarbaijanbakak Siazankyrgizijiziabishkekkeckki Karakolizrailie Aviv battasylandaphukukhthuklausbukistantashkent Samarcandaedubai uml-kayvayvini dodge Put your objects for free and earn with us! Where to start a personal support cabinet 8 (800) 555 2608 Housing to book housing reviews Guestikeshbek 30% Promotion “Substitution of Cashback” Guarantees of the idea for traveling and answers of the housing housing housing to pass housing to place an announcement free insurance Upovakancaries Operating program Sign up the application for us. 646300 -dialing agreement for personal processing Dathis Page Requires You to have the JavaScript Enabled.</v>
      </c>
    </row>
    <row r="517">
      <c r="A517" s="1" t="s">
        <v>1668</v>
      </c>
      <c r="B517" s="1" t="s">
        <v>1720</v>
      </c>
      <c r="C517" s="1" t="s">
        <v>1735</v>
      </c>
      <c r="D517" s="1">
        <v>16.0</v>
      </c>
      <c r="E517" s="4" t="s">
        <v>1736</v>
      </c>
      <c r="F517" s="1" t="s">
        <v>43</v>
      </c>
      <c r="I517" s="2"/>
      <c r="J517" s="5" t="str">
        <f>IFERROR(__xludf.DUMMYFUNCTION("GOOGLETRANSLATE(A517)"),"May holidays 2023")</f>
        <v>May holidays 2023</v>
      </c>
      <c r="K517" s="6" t="str">
        <f>IFERROR(__xludf.DUMMYFUNCTION("GOOGLETRANSLATE(B517)"),"Production calendar for 2023")</f>
        <v>Production calendar for 2023</v>
      </c>
      <c r="L517" s="5" t="str">
        <f>IFERROR(__xludf.DUMMYFUNCTION("GOOGLETRANSLATE(C517)"),"30 Aug. 2022G. -")</f>
        <v>30 Aug. 2022G. -</v>
      </c>
      <c r="M517" s="5" t="str">
        <f>IFERROR(__xludf.DUMMYFUNCTION("GOOGLETRANSLATE(G517)"),"#VALUE!")</f>
        <v>#VALUE!</v>
      </c>
    </row>
    <row r="518">
      <c r="A518" s="1" t="s">
        <v>1668</v>
      </c>
      <c r="B518" s="1" t="s">
        <v>1737</v>
      </c>
      <c r="C518" s="1" t="s">
        <v>1738</v>
      </c>
      <c r="D518" s="1">
        <v>17.0</v>
      </c>
      <c r="E518" s="4" t="s">
        <v>1739</v>
      </c>
      <c r="F518" s="1" t="s">
        <v>43</v>
      </c>
      <c r="G518" s="1" t="s">
        <v>1740</v>
      </c>
      <c r="H518" s="4" t="s">
        <v>1741</v>
      </c>
      <c r="I518" s="2"/>
      <c r="J518" s="5" t="str">
        <f>IFERROR(__xludf.DUMMYFUNCTION("GOOGLETRANSLATE(A518)"),"May holidays 2023")</f>
        <v>May holidays 2023</v>
      </c>
      <c r="K518" s="6" t="str">
        <f>IFERROR(__xludf.DUMMYFUNCTION("GOOGLETRANSLATE(B518)"),"Weekend and holidays in 2023: New Year's ...")</f>
        <v>Weekend and holidays in 2023: New Year's ...</v>
      </c>
      <c r="L518" s="5" t="str">
        <f>IFERROR(__xludf.DUMMYFUNCTION("GOOGLETRANSLATE(C518)"),"Thus, in 2023 the following days of rest will be: from January 1 to 8, 2023 (December 31, 2022 it falls on Saturday, so the New Year holidays will last ...")</f>
        <v>Thus, in 2023 the following days of rest will be: from January 1 to 8, 2023 (December 31, 2022 it falls on Saturday, so the New Year holidays will last ...</v>
      </c>
      <c r="M518" s="5" t="str">
        <f>IFERROR(__xludf.DUMMYFUNCTION("GOOGLETRANSLATE(G518)"),"Ministry of Labor and Social Protection of the Russian Federation: Official website | The Ministry of Labor and Social Protecting of the Display mode Close the size of a textual coolercrow-cereal, very large core-male medium-body-bolsifsegote uirialsans-s"&amp;"erifmonospace-color schemes of the dashes of the configuration by the default, to renew the feedback cabinetics Russia Ministry Activities Press Center Picture of the day November 110, 2023V Center for Rehabilitation named after Albrecht was held on an ex"&amp;"it meeting of the Council for the Disabled Affairs under the Federation Council of the Federation November 110, 2023 Dance Flashmob and the show of national costumes took place at the stand “Family. Job. Longevity »All news of the day on December 105, 202"&amp;"3, the All-Russian literary work competition of people with visual impairment named after Eduard Asadov 05 October 202323-24, 2023. At the internship platform, the Sed in the Ryazan Region will be held for seminarve events of the August 3. 2023 Anton Koty"&amp;"akov’s interview with Russia 24 Jun 24. 2023 The Foundation for Russian citizens of the Media-Firalpress Service: +7 (495) 870-68-46Eelectron mail postpressa@mintrud.gov.ru Industrial Service Documents Open Ministry of Contacts News Center for Rehabilitat"&amp;"ion named after Albrecht was held on an off -time meeting of the Council for Disabled Councils under the Federation Council on November 110, 2023, the main interactive map of the active longevity and the personnel center will be presented at the Russian e"&amp;"xhibition on November 02, 2023 Khovozhmin Medminth Russian and the RSSU, the cooperation agreement on November 01, 2023 The best engineer of the metro -Latro electric train works in Moscow on Bolshaya Kolitova Lines on October 31, 2023 Knowsteners were kn"&amp;"own for the finalists of the second All -Russian professional skill contest in the field of employment on October 26, 2023 Elline Social Contract: what is it necessary and how to get it? Read more how to get a subsidy for the employee’s hiring in more det"&amp;"ail how to get a retraining for citizens looking for a job? Read more useful materials to seeking work. The latest news of the Ministry of Labor to employees and employees of the Opportunities of the Latest News State Services of the Ministry of Labor to "&amp;"families with children Opportunities to the latest news to the State Labor Public Services to elderly citizens Possibly News Public Services of the Ministry of Labor to citizens with disabilities of the Minor Service of the Ministry of Labor Little -selli"&amp;"ng citizens Opportunities of the Public Service of the State Labor Opportunities Opportunities The latest news of the State Services of the Ministry of Labor all about the labor rights of mobilized citizens social services in numbers 4566 thousand social "&amp;"workers 75 thousand social services providers in 2022 7888 million services were provided in 2022. 4566 thousand social workers of 75 thousand social services providers in 2022 . 7888 million services were provided in 2022. Do we decide together there are"&amp;" proposals to improve the social sphere to increase the efficiency of employment services or other issues? Write about this - the Ministry of Labor will help with the decision! Write about the problem to solve together the Ministry of Labor and Social Pro"&amp;"tection of the Russian Federation Rostrud Pension Issocial Insurance Fund of the Russian Federation of the state authorities of the constituent entities of the Russian Federation of the Federal Bureau of Medical and Social Expertise all services to the op"&amp;"en Ministry of Public Council Open Data survey on the quality of social. Services Survey on Labor Mobility Internet reception press center Contacts of the event Latest news news. Albrecht took place an exit meeting of the Council for the Disabled Affairs "&amp;"under the Federation Council on November 10, 2023 Dance Flashmob and the show of national costumes took place at the stand “Family. Job. Longevity ”On November 10, 2023 the exposition“ Family. Job. Longevity ”at the Russian exhibition on November 04, 2023"&amp;" submitting a declaration of compliance with working conditions will become easier on November 03, 2023 The first interactive map of“ Active Longevity ”and the personnel center will be presented at the Russian exhibition on November 02, 2023, the Ministry"&amp;" of Labor, on behalf of the President, on the shortest possible time, will make changes to the procedure in the order as soon as possible Payments of a number of benefits on June 16, 2023 Report of the Minister of Labor and Social Protection of the Russia"&amp;"n Federation Anton Kotyakov at the “Government hour” in the State Duma on June 14, 2023 a expanded meeting of the College of the Ministry of Labor of Russia on May 19, 2023 The best driver of the metro electric train works in Moscow on the Bolshaya Ring L"&amp;"ine on October 31, 2023 The finalists of the second All -Russian professional skill competition in the field of employment on October 26, 2023 will determine the liability of employers for non -fulfillment of the quota for hiring citizens with disabilitie"&amp;"s on October 18, 2023 for 2024, a proactive format for the provision of employment centers on October 13, 2023 submit a declaration of compliance of working conditions. November 03, 2023 In Sochi, the VIII All-Russian Labor Protection Week on September 29"&amp;", 2023 The digitalization of labor protection processes became the main theme of the open microphone on VNO-2023 on September 29, 2023 Alexei Vovchenko: about 70 thousand enterprises were connected to the employer of labor protection on September 27, 2023"&amp;" The compliance of working conditions will become easier on November 03, 2023 in Sochi, the VIII All-Russian Labor Protection Week on September 29, 2023 The digitalization of labor protection processes became the main theme of the open microphone on VNO-2"&amp;"023 on September 29, 2023 Aleksey Vovchenko: about 70 thousand enterprises were connected to the personal cabinet of labor protection employer September 27, 2023 at the Center for Rehabilitation. Albrecht took place an exit meeting of the Council for the "&amp;"Disabled Affairs under the Federation Council on November 10, 2023 Dance Flashmob and the show of national costumes took place at the stand “Family. Job. Longevity ”On November 10, 2023 the exposition“ Family. Job. Longevity ”at the Russian exhibition on "&amp;"November 04, 2023 The first interactive map of“ active longevity ”and the personnel center will be presented at the Russian exhibition on November 02, 2023, the report of the Minister of Labor and Social Protection of the Russian Federation Anton Kotyakov"&amp;" at the“ government hour ”in the State Duma on June 14, 2023 with On April 1, social pensions are proposed to preindex to 33% on February 28, 2023, pensioners living abroad will be able to receive a pension to bank accounts opened in Russia February 28, 2"&amp;"023 The results of the All -Russian competition of the best personnel practices in the system of state and municipal administration on May 31, 2023 The All -Russian competition of the best personnel practices started The state and municipal administration"&amp;" on April 10, 2023 in the authorities will take place an experiment on the use of electronic personnel documents on March 24, 2023 questions -fasteners on the organization of remote work and the design of the sick leave during the Coronavirus distribution"&amp;" campaign on March 23, 2020 All news on March 2023 - November 29, 2023 All -Russian All -Russian Championships on professional skills March 21, 2023 - December 29, 2023 “All -Russian Competition“ Russian Organization of High Social Efficiency ” - 2023” Ju"&amp;"ne 01, 2023 - November 16, 2023 All -Russian competition of professional achievements of educational and rehabilitation organizations for disabled people and persons from The disabilities of July 25, 2023 - December 05, 2023 The Second All -Russian Litera"&amp;"ry Work Competition of people with vision of Eduard Assadov’s visual impairment all events of the media -fuelphographicup of sick leave: what do you need to know? February 04, 2022 What income is taken into account and not taken into account when assignin"&amp;"g payments for children under 3 years from maternity capital? July 24, 2023 On parental leave instead of a mother on February 04, 2022 Hospital: what do you need to know? February 04, 2022 What income is taken into account and not taken into account when "&amp;"assigning payments for children under 3 years from maternity capital? July 24, 2023 On a vacation for childcare instead of a mother on February 04, 2022, an interview with Anton Kotyakov television channel ""Russia 24"" 03 August 2023 Deputy Director of t"&amp;"he Department of Demographic and Family Policy of the Ministry of Labor of Russia Vsevolod Borovsky in the program ""Instruction"" of the Russia 24 television channel spoke about the social Contract 21 on February 21, 2023 Deputy Director of the Departmen"&amp;"t of Demographic and Family Policy of the Ministry of Labor of Russia Elena Semenova in the program “Morning of Russia” by Russia 1 told about the monthly payment of children under 3 years of age of Matkapitzed on February 20, 2023 Deputy Director of the "&amp;"Department of Demographic and Family Policy of the Ministry of Labor of Russia Elena Semenova in the program “Instructions” of the Russia 24 television channel spoke about maternal capital on February 01, 2023 All media files of documents of the order of "&amp;"the Center of the Ministry of Labor of Russia No. 771 of October 19, 2023 on amendments to the application to the order of the Ministry of Labor and Social Protection of the Russian Federation of 30 of 30 December 2022 No. 829 Orders Order of the Ministry"&amp;" of Labor of Russia No. 729n dated September 26, 2023 on amendments to Appendix No. 1 - 3 to the Order of the Ministry of Labor and Social Protection of the Russian Federation of December 12, 2022 No. 777n “On Distribution of Russian Subjects The Federati"&amp;"on approved by the Government of the Russian Federation for 2023 a quota for issuing foreign citizens to the Russian Federation on the basis of a visa of work permits and invitations to enter the Russian Federation in order to carry out labor activity ""O"&amp;"rders of the Ministry of Labor of Russia No. 721 of September 19, 2023 on the introduction of the introduction of Changes to the application to the order of the Ministry of Labor and Social Protection of the Russian Federation dated December 30, 2022 No. "&amp;"829 Orders of the Ministry of Labor of Russia No. 716n of September 14, 2023 on the approval of the professional standard “Psychologist in the Social Sphere” Order of the Ministry of Labor of Russia No. 717n dated 14 September 2023 On approval of the prof"&amp;"essional standard “Family Specialist” Orders Order of the Ministry of Labor of Russia No. 698n dated September 7, 2023 on the approval of the professional standard “Specialist for the provision of space services based on the use of global navigation satel"&amp;"lite systems” Letters of a letter dated April 17 2023 No. 14-4/10/B-5676 Employers of the Aviation Industry Organizations Letters Letter of the Ministry of Labor of Russia No. 14-6/10/V-13042 dated September 27, 2022 to the All-Russian Union of Independen"&amp;"t Trade Unions of Russia and the All-Russian Association of Employers “Russian Union of Industrialists and Entrepreneurs” Letters of a letter dated July 1, 2022 No. 14-4/10/B-8784 employers of the housing and communal services of the Russian Federation. L"&amp;"etters letter from the Ministry of Labor of Russia No. 10-9/B-579 dated December 21, 2021 to the heads of organizations under the jurisdiction of the Ministry of Labor of Russia (on the list) of the letter joint clarification of the Ministry of Labor of R"&amp;"ussia and the Rospotrebnadzor for the organization of vaccination in organized workers (labor collectives) and the accounting procedure) The percentage of the Russian Tripartite Commission for the regulation of social and labor relations of the letter let"&amp;"ter of the Ministry of Labor of Russia No. 15-2/10/P-4122 dated June 2, 2021 the highest executive bodies of the constituent entities of the Russian Federation (list) of the telegram Government telegram No. 13-5 /10/B-4180 dated April 12, 2021 to the head"&amp;"s of the highest executive bodies of state power of the constituent entities of the Russian Federation (on the list) of the telegram Government Telegram No. 14-0/10/P-2199 dated March 25, 2021. The highest executive bodies of the constituent entities of t"&amp;"he Russian Federation (on the list) of telegrams Government Telegram No. 14-0/10/P-2198 dated March 25, 2021. Federal state bodies and organizations (on the list) of telegrams Government Telegram No. 28-3/10/B-1152 dated February 4, 2021 G. Higher executi"&amp;"ve bodies of the constituent entities of the Russian Federation (on the list) of the telegram Government Telegram No. 13-5/10/B-7119 dated August 25, 2020 to the heads of the highest executive bodies of state power of the constituent entities of the Russi"&amp;"an Federation (list) of the telegram government telegram No. 13 -5/10/B-2848 dated April 13, 2020 to the heads of the highest executive bodies of state power of the constituent entities of the Russian Federation (according to the list) go to the Useful ex"&amp;"iles state information resources Information Portals and information of the Ministry of Labor of Russia Service and automated information systems subordinate organizations non-governmental organizations Events and competitions The President of the Russian"&amp;" Federation of the Russian Federation of the Government of the Russian Federation of the Russian Federation of the Calculatory and Information Portal ""Public Services"" The website of the State Duma of the Federal Assembly of the Russian Federation of th"&amp;"e Federation Council of the Federal Assembly of the Russian Federation of the Constitutional Court of the Russian Federation of the Supreme Court of the Russian Federation of the Supreme Association of the Russian Federation of the Legal Information Porta"&amp;"l of the Normative Legal Actic Public Initial Initial Informative Legal Public Acts in the Russian Federation Passed the open data of the Russian Federation of the Russian Federation of the Russian Federation of the President of the Russian Federation of "&amp;"the Russian Federation of the Government of the Russian Federation of the Russian Federation of the Russian Federation Calculatory and Information Portal ""Public Services"" The website of the State Duma of the Federal Assembly of the Russian Federation o"&amp;"f the Federation Council of the Constitutional Court of the Russian Federation of the Supreme Court of the Russian Federation of Legal Information Federal Portal Portal Portal Normative legal acting public initiative legal acts in the Russian Federation P"&amp;"ort the open data of the Russian Federation of the Russian Federation of the Russian Assembly Conducting an adult population of the Russian Federation of the Russian Federation on increasing wages of employees of state and municipal institutions on the so"&amp;"cio-economic situation of the Great Patriotic War of the Great Polis on the issues of the disability Tiki in Russians-dependent assessment of the quality of the conditions for the provision of the Service Portal “Live Together” National Information campai"&amp;"gn “Russia-without cruelty to children” State Civil Service-dependent assessment of the qualification of the decrees of the President of the Russian Federation of May 7, 2012 for the implementation of new principles of personnel policy on the state civil "&amp;"service “Society -labor research ""Direction"" Labor Relations ""Direction"" Employment of the Population ""Direction"" Social Protection ""Direction"" Pension Support ""All-Russian medical examination of the adult population of the Russian Federation of "&amp;"the Russian Federation on increasing remuneration of employees of state and municipal institutions on the socio-economic situation of veterans of the Great Patriotic War War line on disability, the concept of a state family policy in Russians-dependent as"&amp;"sessment of the quality of the conditions for the provision of the Service Portal Service Service “Live Together” National Information Campaign “Russia-Without cruelty to children” State Civil Service-dependent assessment of the qualification of the decre"&amp;"es of the President of the Russian Federation of May 7, 2012 on the implementation of new The principles of personnel policy at the State Civil Service of Social and Labor Studies Direction “Labor Relations” Direction “Employment of the Population” Direct"&amp;"ion “Social Protection” Direction “Pension Support” All-Russian Base “Work in Russia” Professional Professional Professional Standerators of the Independent Evaluation Systems of the High-Russian Directory Directory Directorate -information system for the"&amp;" protection of the labor calculators of the Ministry of Labor of Russia in a unified interdepartmental information and statistical system (EMISS) Portal of operational interaction between participants in the SMEVAIK “Migration Quotes” Reform of the contro"&amp;"l and supervisory activity of the phased improvement of the wage system for 2012-2018 in a survey of the quality of services in social services for citizens Ukraine and stateless persons who have left the country's emergency and mass order of the public-R"&amp;"ussian vacancies “Work in Russia” Guide to Professional Professional Standerators of the Independent Evaluation System of Understanding Demonstration and Information System for the Protection of Labor Calcalator of the Ministry of Labor of Russia in the U"&amp;"nified Interdepartmental Information and Statistical System (Emiss nogo Interactions of the participants of SMEVAIK “Migration Quotes” Reform of control and supervisory activities of the phased improvement of the wage system for 2012-2018 in a survey of t"&amp;"he quality of services in social services in Ukraine and stateless persons who left the country's emergency and mass order of the Russian Ministry of Labor of the Russian Russian Federal Bureau Medical and social examination of the Ministry of Labor of th"&amp;"e Russian Russian Research Institute of Labor of the Ministry of Labor of the Russian Russian Federal Bureau of Medical and Social Expertise of the Ministry of Labor of the Russian Russian Labor Organization of the Russian Economic Union of Industrialists"&amp;" and Entrepreneurs of Independent Trade Unions of the Russian Federation for Professional Qualifications for the Development of Qualifications of Qualifications of Qualifications vehicles under the Government of the Russian Federation on The issues of tru"&amp;"steeship in the social sphere fund for supporting children in difficult life situations of the Russian Disabilities of the Disabilities of the Gloritovserossiy Russian Society of the Gully -Russian Public Organization “Perspective” Interregional Public Or"&amp;"ganization “Pilgrim” Charity Fund for Assistance to Elderly and Disabled “Old Age in Joy” Information System for the Council of Europe on Social Support. Information System “Volunteers of Russia” International Organization of the Russian Economic Union Ch"&amp;"amber of the Russian Federation of the Russian Federation of Industrialists and the entrepreneurs of the Independent Trade Unions of the Russian Federation of the Presidential Council for Professional qualifications of the development of the Russian Feder"&amp;"ation under the Government of the Russian Federation on the Social Sphere fund to support children in a difficult life situation, the Presidential Union. Disabilities of the Gluthovserossiysk Society of the Glukhkhro -Russian Public Organization “Perspect"&amp;"ive” Interregional Public Organization “Pilgrim” Charity Fund for Assistance to Elderly and Disabled “Old Age in Joy of Social Supporting Information System“ Volunteers of Russia ”Russian Investment Forum of the All -Russian Professional Professional Exce"&amp;"llent Contest of professional skills The “Best in Profession” All -Russian competition “Russian Organization of High Social Efficiency” Petersburg International Economic Forum V Eastern Economic Forum Competition “Best Personnel Practices at the State Civ"&amp;"il and Municipal Service” Century of the International Labor Organization “Volunteer of Russia” Russian Investment Forum All -Russian professional skill competition “The best in profession” All -Russian competition “Russian Organization of High Social Eff"&amp;"iciency” St. Petersburg International Economic Forum V Eastern Economic Forum Competition “Best Personnel Practices at the State Civil and Municipal Service” Century of the International Labor Organization of Russia Volunteer of Russia to show more × repo"&amp;"rt on the error text With a mistake, your comment is your comment by Verify to send the Ministry of Truda and the Social Protective-Russian Federation of Telphone: +7 (495) 587-88-89Adres: 127994 GSP-4 Moscow st. Ilyinka 21E-Mail: mintrud@mintrud.gov.ru, "&amp;"the card on the map Submit Personal Account The main section of the ministance of the ministry of the Open-consumed ministry of the Ministry of Configuration of the RSS-technical support for the Setaveris vision for the visually impairedenglish Version, a"&amp;"nd the typo? Select the text and click Ctrl+Enter all the materials of the site are available under the license: Creative Commons Attribution 3.0 Official Internet resource proceedings of the open-open website of the Ministry of Economic Council in the Mi"&amp;"nistry the state of state development of early assistance in the Russian Federation for the period until 2020 years of a file of approaches for the development of approaches the testing of new classifications and criteria used in the implementation of med"&amp;"ical and social examination of the children's caption project on the formation of a system of integrated rehabilitation and abbreviations of disabled people and children with disabilities and children of disabilities No. 442-ФЗ dated December 28, 2013 “On"&amp;" the Fundamentals of Social Services of Citizens in the Russian Federation” the implementation of government decree The Russian Federation of May 24, 2014 No. 481VARITION with socially oriented non -profit organization of the decrees of the President of t"&amp;"he Russian Federation dated May 7, 2012 No. 596 - 606 Strategies of the long -term development of the Pension System of the Russian Federation of the Russian Federation for the period until 2025 Until 2025, the qualification of the phased improvement of t"&amp;"he system of remuneration For 2012-2018, re-formation of the control and supervisory activities of the State Civil Service Service Service Policy in the field of combating corruption-state programs for state family policy in the Russian Federation until 2"&amp;"025, the legal status of state (municipal) institutions of labor policy in the Russian Federation in the Russian Federation in the Russian Federation in the Russian Federation of the federalized state information system of social support (EGISO) is качест"&amp;"ваПресс-центрКартина дняМероприятияМедиафайлыДокументыГосударственные услугиПеречень государственных услуг                                Министерства труда и социальной защиты Российской Федерации                                Перечень государственных у"&amp;"слуг                                Роструда                                Перечень государственных услуг Пенсионного фонда Российской Федерации                                                            Перечень государственных услуг Фонда социального с"&amp;"трахования Российской Федерации                            Открытое министерствоПринципы работы системы «Открытое                                министерство»Открытые данныеПроектный центр Минтруда РоссииПубличная декларацияПланы и программа работОбществе"&amp;"нный Council of projects of regulatory legal acts on the results and main activities of the Ministry of Labor of Russia work with reference groups of billing activities Plan of the Ministry of Labor and Social Protection of the Russian Federation for 2013"&amp;"-2018 Contact information × go to the electors! Your message is sent. × write to the technical support of the site in The proposed online form you can leave your comments on the work of the site and suggestions for its development. You can also contact th"&amp;"e technical support of the site by e-mail Support@soctech-it.ru. To send other questions, we ask you to use the Service of the ""Public Reception"". Perhaps the information that interests you is published in the list of typical practical issues of the soc"&amp;"ial and labor sphere. Problems in the work of the site for improving the site *e-mail *telephone message *Enter the code from the picture I allow the processing of Personal ones to control the fields noted *Mandatory for filling out")</f>
        <v>Ministry of Labor and Social Protection of the Russian Federation: Official website | The Ministry of Labor and Social Protecting of the Display mode Close the size of a textual coolercrow-cereal, very large core-male medium-body-bolsifsegote uirialsans-serifmonospace-color schemes of the dashes of the configuration by the default, to renew the feedback cabinetics Russia Ministry Activities Press Center Picture of the day November 110, 2023V Center for Rehabilitation named after Albrecht was held on an exit meeting of the Council for the Disabled Affairs under the Federation Council of the Federation November 110, 2023 Dance Flashmob and the show of national costumes took place at the stand “Family. Job. Longevity »All news of the day on December 105, 2023, the All-Russian literary work competition of people with visual impairment named after Eduard Asadov 05 October 202323-24, 2023. At the internship platform, the Sed in the Ryazan Region will be held for seminarve events of the August 3. 2023 Anton Kotyakov’s interview with Russia 24 Jun 24. 2023 The Foundation for Russian citizens of the Media-Firalpress Service: +7 (495) 870-68-46Eelectron mail postpressa@mintrud.gov.ru Industrial Service Documents Open Ministry of Contacts News Center for Rehabilitation named after Albrecht was held on an off -time meeting of the Council for Disabled Councils under the Federation Council on November 110, 2023, the main interactive map of the active longevity and the personnel center will be presented at the Russian exhibition on November 02, 2023 Khovozhmin Medminth Russian and the RSSU, the cooperation agreement on November 01, 2023 The best engineer of the metro -Latro electric train works in Moscow on Bolshaya Kolitova Lines on October 31, 2023 Knowsteners were known for the finalists of the second All -Russian professional skill contest in the field of employment on October 26, 2023 Elline Social Contract: what is it necessary and how to get it? Read more how to get a subsidy for the employee’s hiring in more detail how to get a retraining for citizens looking for a job? Read more useful materials to seeking work. The latest news of the Ministry of Labor to employees and employees of the Opportunities of the Latest News State Services of the Ministry of Labor to families with children Opportunities to the latest news to the State Labor Public Services to elderly citizens Possibly News Public Services of the Ministry of Labor to citizens with disabilities of the Minor Service of the Ministry of Labor Little -selling citizens Opportunities of the Public Service of the State Labor Opportunities Opportunities The latest news of the State Services of the Ministry of Labor all about the labor rights of mobilized citizens social services in numbers 4566 thousand social workers 75 thousand social services providers in 2022 7888 million services were provided in 2022. 4566 thousand social workers of 75 thousand social services providers in 2022 . 7888 million services were provided in 2022. Do we decide together there are proposals to improve the social sphere to increase the efficiency of employment services or other issues? Write about this - the Ministry of Labor will help with the decision! Write about the problem to solve together the Ministry of Labor and Social Protection of the Russian Federation Rostrud Pension Issocial Insurance Fund of the Russian Federation of the state authorities of the constituent entities of the Russian Federation of the Federal Bureau of Medical and Social Expertise all services to the open Ministry of Public Council Open Data survey on the quality of social. Services Survey on Labor Mobility Internet reception press center Contacts of the event Latest news news. Albrecht took place an exit meeting of the Council for the Disabled Affairs under the Federation Council on November 10, 2023 Dance Flashmob and the show of national costumes took place at the stand “Family. Job. Longevity ”On November 10, 2023 the exposition“ Family. Job. Longevity ”at the Russian exhibition on November 04, 2023 submitting a declaration of compliance with working conditions will become easier on November 03, 2023 The first interactive map of“ Active Longevity ”and the personnel center will be presented at the Russian exhibition on November 02, 2023, the Ministry of Labor, on behalf of the President, on the shortest possible time, will make changes to the procedure in the order as soon as possible Payments of a number of benefits on June 16, 2023 Report of the Minister of Labor and Social Protection of the Russian Federation Anton Kotyakov at the “Government hour” in the State Duma on June 14, 2023 a expanded meeting of the College of the Ministry of Labor of Russia on May 19, 2023 The best driver of the metro electric train works in Moscow on the Bolshaya Ring Line on October 31, 2023 The finalists of the second All -Russian professional skill competition in the field of employment on October 26, 2023 will determine the liability of employers for non -fulfillment of the quota for hiring citizens with disabilities on October 18, 2023 for 2024, a proactive format for the provision of employment centers on October 13, 2023 submit a declaration of compliance of working conditions. November 03, 2023 In Sochi, the VIII All-Russian Labor Protection Week on September 29, 2023 The digitalization of labor protection processes became the main theme of the open microphone on VNO-2023 on September 29, 2023 Alexei Vovchenko: about 70 thousand enterprises were connected to the employer of labor protection on September 27, 2023 The compliance of working conditions will become easier on November 03, 2023 in Sochi, the VIII All-Russian Labor Protection Week on September 29, 2023 The digitalization of labor protection processes became the main theme of the open microphone on VNO-2023 on September 29, 2023 Aleksey Vovchenko: about 70 thousand enterprises were connected to the personal cabinet of labor protection employer September 27, 2023 at the Center for Rehabilitation. Albrecht took place an exit meeting of the Council for the Disabled Affairs under the Federation Council on November 10, 2023 Dance Flashmob and the show of national costumes took place at the stand “Family. Job. Longevity ”On November 10, 2023 the exposition“ Family. Job. Longevity ”at the Russian exhibition on November 04, 2023 The first interactive map of“ active longevity ”and the personnel center will be presented at the Russian exhibition on November 02, 2023, the report of the Minister of Labor and Social Protection of the Russian Federation Anton Kotyakov at the“ government hour ”in the State Duma on June 14, 2023 with On April 1, social pensions are proposed to preindex to 33% on February 28, 2023, pensioners living abroad will be able to receive a pension to bank accounts opened in Russia February 28, 2023 The results of the All -Russian competition of the best personnel practices in the system of state and municipal administration on May 31, 2023 The All -Russian competition of the best personnel practices started The state and municipal administration on April 10, 2023 in the authorities will take place an experiment on the use of electronic personnel documents on March 24, 2023 questions -fasteners on the organization of remote work and the design of the sick leave during the Coronavirus distribution campaign on March 23, 2020 All news on March 2023 - November 29, 2023 All -Russian All -Russian Championships on professional skills March 21, 2023 - December 29, 2023 “All -Russian Competition“ Russian Organization of High Social Efficiency ” - 2023” June 01, 2023 - November 16, 2023 All -Russian competition of professional achievements of educational and rehabilitation organizations for disabled people and persons from The disabilities of July 25, 2023 - December 05, 2023 The Second All -Russian Literary Work Competition of people with vision of Eduard Assadov’s visual impairment all events of the media -fuelphographicup of sick leave: what do you need to know? February 04, 2022 What income is taken into account and not taken into account when assigning payments for children under 3 years from maternity capital? July 24, 2023 On parental leave instead of a mother on February 04, 2022 Hospital: what do you need to know? February 04, 2022 What income is taken into account and not taken into account when assigning payments for children under 3 years from maternity capital? July 24, 2023 On a vacation for childcare instead of a mother on February 04, 2022, an interview with Anton Kotyakov television channel "Russia 24" 03 August 2023 Deputy Director of the Department of Demographic and Family Policy of the Ministry of Labor of Russia Vsevolod Borovsky in the program "Instruction" of the Russia 24 television channel spoke about the social Contract 21 on February 21, 2023 Deputy Director of the Department of Demographic and Family Policy of the Ministry of Labor of Russia Elena Semenova in the program “Morning of Russia” by Russia 1 told about the monthly payment of children under 3 years of age of Matkapitzed on February 20, 2023 Deputy Director of the Department of Demographic and Family Policy of the Ministry of Labor of Russia Elena Semenova in the program “Instructions” of the Russia 24 television channel spoke about maternal capital on February 01, 2023 All media files of documents of the order of the Center of the Ministry of Labor of Russia No. 771 of October 19, 2023 on amendments to the application to the order of the Ministry of Labor and Social Protection of the Russian Federation of 30 of 30 December 2022 No. 829 Orders Order of the Ministry of Labor of Russia No. 729n dated September 26, 2023 on amendments to Appendix No. 1 - 3 to the Order of the Ministry of Labor and Social Protection of the Russian Federation of December 12, 2022 No. 777n “On Distribution of Russian Subjects The Federation approved by the Government of the Russian Federation for 2023 a quota for issuing foreign citizens to the Russian Federation on the basis of a visa of work permits and invitations to enter the Russian Federation in order to carry out labor activity "Orders of the Ministry of Labor of Russia No. 721 of September 19, 2023 on the introduction of the introduction of Changes to the application to the order of the Ministry of Labor and Social Protection of the Russian Federation dated December 30, 2022 No. 829 Orders of the Ministry of Labor of Russia No. 716n of September 14, 2023 on the approval of the professional standard “Psychologist in the Social Sphere” Order of the Ministry of Labor of Russia No. 717n dated 14 September 2023 On approval of the professional standard “Family Specialist” Orders Order of the Ministry of Labor of Russia No. 698n dated September 7, 2023 on the approval of the professional standard “Specialist for the provision of space services based on the use of global navigation satellite systems” Letters of a letter dated April 17 2023 No. 14-4/10/B-5676 Employers of the Aviation Industry Organizations Letters Letter of the Ministry of Labor of Russia No. 14-6/10/V-13042 dated September 27, 2022 to the All-Russian Union of Independent Trade Unions of Russia and the All-Russian Association of Employers “Russian Union of Industrialists and Entrepreneurs” Letters of a letter dated July 1, 2022 No. 14-4/10/B-8784 employers of the housing and communal services of the Russian Federation. Letters letter from the Ministry of Labor of Russia No. 10-9/B-579 dated December 21, 2021 to the heads of organizations under the jurisdiction of the Ministry of Labor of Russia (on the list) of the letter joint clarification of the Ministry of Labor of Russia and the Rospotrebnadzor for the organization of vaccination in organized workers (labor collectives) and the accounting procedure) The percentage of the Russian Tripartite Commission for the regulation of social and labor relations of the letter letter of the Ministry of Labor of Russia No. 15-2/10/P-4122 dated June 2, 2021 the highest executive bodies of the constituent entities of the Russian Federation (list) of the telegram Government telegram No. 13-5 /10/B-4180 dated April 12, 2021 to the heads of the highest executive bodies of state power of the constituent entities of the Russian Federation (on the list) of the telegram Government Telegram No. 14-0/10/P-2199 dated March 25, 2021. The highest executive bodies of the constituent entities of the Russian Federation (on the list) of telegrams Government Telegram No. 14-0/10/P-2198 dated March 25, 2021. Federal state bodies and organizations (on the list) of telegrams Government Telegram No. 28-3/10/B-1152 dated February 4, 2021 G. Higher executive bodies of the constituent entities of the Russian Federation (on the list) of the telegram Government Telegram No. 13-5/10/B-7119 dated August 25, 2020 to the heads of the highest executive bodies of state power of the constituent entities of the Russian Federation (list) of the telegram government telegram No. 13 -5/10/B-2848 dated April 13, 2020 to the heads of the highest executive bodies of state power of the constituent entities of the Russian Federation (according to the list) go to the Useful exiles state information resources Information Portals and information of the Ministry of Labor of Russia Service and automated information systems subordinate organizations non-governmental organizations Events and competitions The President of the Russian Federation of the Russian Federation of the Government of the Russian Federation of the Russian Federation of the Calculatory and Information Portal "Public Services" The website of the State Duma of the Federal Assembly of the Russian Federation of the Federation Council of the Federal Assembly of the Russian Federation of the Constitutional Court of the Russian Federation of the Supreme Court of the Russian Federation of the Supreme Association of the Russian Federation of the Legal Information Portal of the Normative Legal Actic Public Initial Initial Informative Legal Public Acts in the Russian Federation Passed the open data of the Russian Federation of the Russian Federation of the Russian Federation of the President of the Russian Federation of the Russian Federation of the Government of the Russian Federation of the Russian Federation of the Russian Federation Calculatory and Information Portal "Public Services" The website of the State Duma of the Federal Assembly of the Russian Federation of the Federation Council of the Constitutional Court of the Russian Federation of the Supreme Court of the Russian Federation of Legal Information Federal Portal Portal Portal Normative legal acting public initiative legal acts in the Russian Federation Port the open data of the Russian Federation of the Russian Federation of the Russian Assembly Conducting an adult population of the Russian Federation of the Russian Federation on increasing wages of employees of state and municipal institutions on the socio-economic situation of the Great Patriotic War of the Great Polis on the issues of the disability Tiki in Russians-dependent assessment of the quality of the conditions for the provision of the Service Portal “Live Together” National Information campaign “Russia-without cruelty to children” State Civil Service-dependent assessment of the qualification of the decrees of the President of the Russian Federation of May 7, 2012 for the implementation of new principles of personnel policy on the state civil service “Society -labor research "Direction" Labor Relations "Direction" Employment of the Population "Direction" Social Protection "Direction" Pension Support "All-Russian medical examination of the adult population of the Russian Federation of the Russian Federation on increasing remuneration of employees of state and municipal institutions on the socio-economic situation of veterans of the Great Patriotic War War line on disability, the concept of a state family policy in Russians-dependent assessment of the quality of the conditions for the provision of the Service Portal Service Service “Live Together” National Information Campaign “Russia-Without cruelty to children” State Civil Service-dependent assessment of the qualification of the decrees of the President of the Russian Federation of May 7, 2012 on the implementation of new The principles of personnel policy at the State Civil Service of Social and Labor Studies Direction “Labor Relations” Direction “Employment of the Population” Direction “Social Protection” Direction “Pension Support” All-Russian Base “Work in Russia” Professional Professional Professional Standerators of the Independent Evaluation Systems of the High-Russian Directory Directory Directorate -information system for the protection of the labor calculators of the Ministry of Labor of Russia in a unified interdepartmental information and statistical system (EMISS) Portal of operational interaction between participants in the SMEVAIK “Migration Quotes” Reform of the control and supervisory activity of the phased improvement of the wage system for 2012-2018 in a survey of the quality of services in social services for citizens Ukraine and stateless persons who have left the country's emergency and mass order of the public-Russian vacancies “Work in Russia” Guide to Professional Professional Standerators of the Independent Evaluation System of Understanding Demonstration and Information System for the Protection of Labor Calcalator of the Ministry of Labor of Russia in the Unified Interdepartmental Information and Statistical System (Emiss nogo Interactions of the participants of SMEVAIK “Migration Quotes” Reform of control and supervisory activities of the phased improvement of the wage system for 2012-2018 in a survey of the quality of services in social services in Ukraine and stateless persons who left the country's emergency and mass order of the Russian Ministry of Labor of the Russian Russian Federal Bureau Medical and social examination of the Ministry of Labor of the Russian Russian Research Institute of Labor of the Ministry of Labor of the Russian Russian Federal Bureau of Medical and Social Expertise of the Ministry of Labor of the Russian Russian Labor Organization of the Russian Economic Union of Industrialists and Entrepreneurs of Independent Trade Unions of the Russian Federation for Professional Qualifications for the Development of Qualifications of Qualifications of Qualifications vehicles under the Government of the Russian Federation on The issues of trusteeship in the social sphere fund for supporting children in difficult life situations of the Russian Disabilities of the Disabilities of the Gloritovserossiy Russian Society of the Gully -Russian Public Organization “Perspective” Interregional Public Organization “Pilgrim” Charity Fund for Assistance to Elderly and Disabled “Old Age in Joy” Information System for the Council of Europe on Social Support. Information System “Volunteers of Russia” International Organization of the Russian Economic Union Chamber of the Russian Federation of the Russian Federation of Industrialists and the entrepreneurs of the Independent Trade Unions of the Russian Federation of the Presidential Council for Professional qualifications of the development of the Russian Federation under the Government of the Russian Federation on the Social Sphere fund to support children in a difficult life situation, the Presidential Union. Disabilities of the Gluthovserossiysk Society of the Glukhkhro -Russian Public Organization “Perspective” Interregional Public Organization “Pilgrim” Charity Fund for Assistance to Elderly and Disabled “Old Age in Joy of Social Supporting Information System“ Volunteers of Russia ”Russian Investment Forum of the All -Russian Professional Professional Excellent Contest of professional skills The “Best in Profession” All -Russian competition “Russian Organization of High Social Efficiency” Petersburg International Economic Forum V Eastern Economic Forum Competition “Best Personnel Practices at the State Civil and Municipal Service” Century of the International Labor Organization “Volunteer of Russia” Russian Investment Forum All -Russian professional skill competition “The best in profession” All -Russian competition “Russian Organization of High Social Efficiency” St. Petersburg International Economic Forum V Eastern Economic Forum Competition “Best Personnel Practices at the State Civil and Municipal Service” Century of the International Labor Organization of Russia Volunteer of Russia to show more × report on the error text With a mistake, your comment is your comment by Verify to send the Ministry of Truda and the Social Protective-Russian Federation of Telphone: +7 (495) 587-88-89Adres: 127994 GSP-4 Moscow st. Ilyinka 21E-Mail: mintrud@mintrud.gov.ru, the card on the map Submit Personal Account The main section of the ministance of the ministry of the Open-consumed ministry of the Ministry of Configuration of the RSS-technical support for the Setaveris vision for the visually impairedenglish Version, and the typo? Select the text and click Ctrl+Enter all the materials of the site are available under the license: Creative Commons Attribution 3.0 Official Internet resource proceedings of the open-open website of the Ministry of Economic Council in the Ministry the state of state development of early assistance in the Russian Federation for the period until 2020 years of a file of approaches for the development of approaches the testing of new classifications and criteria used in the implementation of medical and social examination of the children's caption project on the formation of a system of integrated rehabilitation and abbreviations of disabled people and children with disabilities and children of disabilities No. 442-ФЗ dated December 28, 2013 “On the Fundamentals of Social Services of Citizens in the Russian Federation” the implementation of government decree The Russian Federation of May 24, 2014 No. 481VARITION with socially oriented non -profit organization of the decrees of the President of the Russian Federation dated May 7, 2012 No. 596 - 606 Strategies of the long -term development of the Pension System of the Russian Federation of the Russian Federation for the period until 2025 Until 2025, the qualification of the phased improvement of the system of remuneration For 2012-2018, re-formation of the control and supervisory activities of the State Civil Service Service Service Policy in the field of combating corruption-state programs for state family policy in the Russian Federation until 2025, the legal status of state (municipal) institutions of labor policy in the Russian Federation in the Russian Federation in the Russian Federation in the Russian Federation of the federalized state information system of social support (EGISO) is качестваПресс-центрКартина дняМероприятияМедиафайлыДокументыГосударственные услугиПеречень государственных услуг                                Министерства труда и социальной защиты Российской Федерации                                Перечень государственных услуг                                Роструда                                Перечень государственных услуг Пенсионного фонда Российской Федерации                                                            Перечень государственных услуг Фонда социального страхования Российской Федерации                            Открытое министерствоПринципы работы системы «Открытое                                министерство»Открытые данныеПроектный центр Минтруда РоссииПубличная декларацияПланы и программа работОбщественный Council of projects of regulatory legal acts on the results and main activities of the Ministry of Labor of Russia work with reference groups of billing activities Plan of the Ministry of Labor and Social Protection of the Russian Federation for 2013-2018 Contact information × go to the electors! Your message is sent. × write to the technical support of the site in The proposed online form you can leave your comments on the work of the site and suggestions for its development. You can also contact the technical support of the site by e-mail Support@soctech-it.ru. To send other questions, we ask you to use the Service of the "Public Reception". Perhaps the information that interests you is published in the list of typical practical issues of the social and labor sphere. Problems in the work of the site for improving the site *e-mail *telephone message *Enter the code from the picture I allow the processing of Personal ones to control the fields noted *Mandatory for filling out</v>
      </c>
    </row>
    <row r="519">
      <c r="A519" s="1" t="s">
        <v>1668</v>
      </c>
      <c r="B519" s="1" t="s">
        <v>1720</v>
      </c>
      <c r="C519" s="1" t="s">
        <v>1735</v>
      </c>
      <c r="D519" s="1">
        <v>18.0</v>
      </c>
      <c r="E519" s="4" t="s">
        <v>1742</v>
      </c>
      <c r="F519" s="1" t="s">
        <v>43</v>
      </c>
      <c r="G519" s="1" t="s">
        <v>1743</v>
      </c>
      <c r="H519" s="4" t="s">
        <v>1744</v>
      </c>
      <c r="I519" s="2"/>
      <c r="J519" s="5" t="str">
        <f>IFERROR(__xludf.DUMMYFUNCTION("GOOGLETRANSLATE(A519)"),"May holidays 2023")</f>
        <v>May holidays 2023</v>
      </c>
      <c r="K519" s="6" t="str">
        <f>IFERROR(__xludf.DUMMYFUNCTION("GOOGLETRANSLATE(B519)"),"Production calendar for 2023")</f>
        <v>Production calendar for 2023</v>
      </c>
      <c r="L519" s="5" t="str">
        <f>IFERROR(__xludf.DUMMYFUNCTION("GOOGLETRANSLATE(C519)"),"30 Aug. 2022G. -")</f>
        <v>30 Aug. 2022G. -</v>
      </c>
      <c r="M519" s="5" t="str">
        <f>IFERROR(__xludf.DUMMYFUNCTION("GOOGLETRANSLATE(G519)"),"���������: ���������������� �������� ""����������""Interfax.com���������-������������������...����������������������������������������      USD9205EUR983211.11+01311.11-009���������•••���� ��� ������������������� ������� ��������������������������������Di"&amp;"gital���������� ��������� ������������������������������� �������� �� ���������������� � 14:15������� ������������� ����� ��� ������� �������� ������� � ������������� �������� ������ �������� ��� ��� �������� �������� � ������� ���������� ����� ����� � ��"&amp;"����� 19 �������� ������� ��� �������������� ��� ��� �������� �������� � ����������� ���������� ������ � ����������� ���� �� ������ ���� � ������������ �� ���� ������ ���������� ������������ �� ������������ �������� � ������ �� ����������� �������06:32���"&amp;"����� ������� ��� � ������� �������� ������� ����������� �����05:55��� �������� ����� �������� ������������ ��������� � ������ � ��������� ���������� �������� ���������� �������� �������� ������ ������05:41��� ������� ��������� ���� �� ���������� �����05:"&amp;"34��������� �������� ������ �������� ��� ��� �������� ����04:40����������� ������� ������� ����� �� ����� � ������04:32���������� ���������-������������ ��������������� ����� ��� ������� �������� ������� � ����03:00������� ��� ��� �������� �������� � ����"&amp;"������� ����00:59���������� ������� ������� ��������� �� �������� �������� � �����23:18�������� ������������ �� ������������ �������� � ������ �� ��23:06����������� ������� ������� ��� �� �������� �������� � ����22:50���� ������� ������� ��������� �������"&amp;"� �� ������ ���� �� �� �����22:28��������� �������� �������� � ������ ����� ������ ������� ATP22:12""�����"" � ""���������"" ������� ������ � ���������� ������ �� �������22:09���������� ���������-������������ ������������ ��������� ������� ������� �� ����"&amp;"����� ��������� �� ������� �������21:45���������� ���������-������������ ��������������������� � �������� ����������� ������������ ����������� ���� � ����20:46������� ������������� ������ ������� ������ � ����������� ��� � �������� ����20:30��� ��������� "&amp;"�� ����: ������� 11 ������20:07������� ������� ������������� ������ ���������� ��� ������� �������� ����19:59� ��������� ������� ������ � ����� 11 �� 19 �������� ������� ��������� ������19:24""���������"" ������� ""�����"" � ����� ���19:15���� � ������� �"&amp;"��������� ����� ����� � ������� 19 �������� ������� ��� �������19:08������� �������� ������� � ���������� �������� ���� � �������� �������18:34���� � ��������� ����������� �������� � �������18:26����� Beatles ���������� ���-����� �������������� ������� � "&amp;"1969 �.17:51������� ������� �������� �������� ��������� � �������� ������17:41���������� �� ��������� �������� ���������� ��. ������ �������������� � ������17:00� ��� �� ������� ���������������� ��������� ����� �������� Carlsberg16:48���������� ���������-"&amp;"������������ ��������������������� ��� ������������ ������ �������� ""��-����"" � ������� ����15:45���������� ���������-������������ ������������������� ��������� ������� � ������������ ����������� ���� � ������� ����15:37����� �������� ������������ �� ��"&amp;"���� ��������� ��� ����� ""������"" �� 2030 ����14:59����������������� ����� ��� ������������ ������������� ����� � ��������� �������14:15������� �������� �� ����������������� �� �������� �� ��������� � ������� ����� ������ ���� ���13:32������ ������ � ��"&amp;"��������� ���� �� ������ ���� � ������������ �� ���� ������ ��13:05� ��� �� ������� ������������ ��������� ������ � ������� �������������� ������ � ��������12:53� �������� �������� ����� ������������ �������� ��-�� ������ ���������� �������12:19� ��������"&amp;"� ������� 19 �������� ������� ����� � �������11:36���������� ���������-������������ �������������� ������� ������� ������� �� ������ �� ���������� �������� ����� �� ����11:20� ������ ����� ����������� ��������� �� ���������� � ����������11:14��� ���������"&amp;" ���������� �� ��������� ����� 40 ���� ��������� � ����������11:01��� ������������ ����� � ������������ ��������� ����������� ���������� �������10:34���� ������������ ��������������� ��������� ��� �� �����10:00���������� ���������-������������ �����������"&amp;"�������-����������� ��������: ������� ������� ������ ���� �� ���������� � ������-���?09:30��� ���� ��������� �� ������ ""���������"" �� ��������� ""�������"" � ���09:18�������� � ������� ������� ""����������"" �������� ""���-������"" � ���08:30��� �������"&amp;"�� ���� �����: ������� 11 ������07:53���������� ���������-������������ ������������������� ������ �������� � ������� ������ �� �������� � ������� ����07:37�������� � 152 ��������� �� �� ��������� ������� �� ����� ������������ - �����07:16���� ������� ��� "&amp;"��� ��������� ������������� �� ��������� �����������06:51������� �������� �� ����������������� ������� ������� �� ������ �� ����� ��� � ������������ ��� ������� ����������� ��������������� �� ������������ ��������� �������� � ����� ����������������� �����"&amp;"��� � ����������� ������ ��������������� ��������������� �� ������� ������� ��-2 ������� ������������ ������� ������ ����������� ������""������ �����"" � ������� � ��� �����-����������� ������� � ����������� �������� �������arlsberg ������ ������ ��������"&amp;"����� ����� ��-�� �������� ������ ""�������""�����������10 ���������� ���� ������10 ��������������� 10 ������10 ��������������� 9 ����������� ��������  ��� ��������� � ���� �����. �������� �������� ������ ���������� ��������� �� ������ ������. ����� �����"&amp;"� �� 8 ������� ��������� ������� ��������� ��� � ����� � 27 ����. �������������������� �� ��: ��������� ����� �� ������� ���������� ����� ������� - ���������� ������ �� ������������������� �������� ��������� � �������� � ��������� ��������� � ��������� ��"&amp;"������� ������� �� �������������� ��������� ��: ������ ��� �������� ������ ������� ��� ����� ������������� ������� �� ����������������� ����������� �������� ��������� � ��� ��� ����������� ���������� �������� � � ������ ��������� ���������������������� ��"&amp;"�: ��������� ������ � �� ����� ���� �������� ������������� � ������� � ������� ���� ������������������� ����������������� ������������ �������� ��������� ���� ����� �� ������� � �������� � ���� �� ����� ���������� ���������� ������������ ��������� � �����"&amp;"���������� �� ��������������� ""������� �����"": �� ��������� ��������������� ���� � 20% ���������� ����� �������� ���������� �������� ��������� � ���������� � ������� � ����������� ��� ""������� �����""�����-����� �����-������Business Wire: ���������� ��"&amp;"�� �������� ������������ �������� �������������� �� ��������� �������� � �������� � ��������� ����������� �������������� � ���-���������� �������: ��� �������� ������� �� ������������ ��������� ������� � ����� ����� ����� ������� ���������� � ���������� �"&amp;"��������� ������������� ��������������� ��������Business Wire���������� ���� �������� ������ ���������������-����������� �������� ������ ������� � ����������� �������� ������ �� ����������� ��������� ""������� ���"" ������������������� ""����������""�����"&amp;"-�������������������� �� ���������������� Copyright � 1991—2023 Interfax. ��� ����� ��������. ������� ������� ""���������.��"".�������������� � ����������� ��� �� � �� 77 - 84928 ������ ����������� ������� �� ������� � ����� ����� �������������� ���������"&amp;"� � �������� ������������ (������������) 21.03.2023. ��� ���������� ����������� �� ������ ���-����� ������������� ������ ��� ������������� ����������� � �� �������� ����������� ��������������� �/��� ��������������� � �����-���� ����� ����� ��� � ���������"&amp;"�� ���������� ����������.�������� ������������� �������������� ������ ""���������""���������� � ��������� ������� � ����������X-Compliance����������������Interfax Dun&amp;Bradstreet������� � ������������ ""����������""����RU Data����� ��������� ������������� "&amp;"����������      ���������� ������ �� �����? �������� �������� ������ � ������� � ������� Ctrl + Enter.  ������� ������������� ������������������ ������������ – Motka.ru")</f>
        <v>���������: ���������������� �������� "����������"Interfax.com���������-������������������...����������������������������������������      USD9205EUR983211.11+01311.11-009���������•••���� ��� ������������������� ������� ��������������������������������Digital���������� ��������� ������������������������������� �������� �� ���������������� � 14:15������� ������������� ����� ��� ������� �������� ������� � ������������� �������� ������ �������� ��� ��� �������� �������� � ������� ���������� ����� ����� � ������� 19 �������� ������� ��� �������������� ��� ��� �������� �������� � ����������� ���������� ������ � ����������� ���� �� ������ ���� � ������������ �� ���� ������ ���������� ������������ �� ������������ �������� � ������ �� ����������� �������06:32�������� ������� ��� � ������� �������� ������� ����������� �����05:55��� �������� ����� �������� ������������ ��������� � ������ � ��������� ���������� �������� ���������� �������� �������� ������ ������05:41��� ������� ��������� ���� �� ���������� �����05:34��������� �������� ������ �������� ��� ��� �������� ����04:40����������� ������� ������� ����� �� ����� � ������04:32���������� ���������-������������ ��������������� ����� ��� ������� �������� ������� � ����03:00������� ��� ��� �������� �������� � ����������� ����00:59���������� ������� ������� ��������� �� �������� �������� � �����23:18�������� ������������ �� ������������ �������� � ������ �� ��23:06����������� ������� ������� ��� �� �������� �������� � ����22:50���� ������� ������� ��������� �������� �� ������ ���� �� �� �����22:28��������� �������� �������� � ������ ����� ������ ������� ATP22:12"�����" � "���������" ������� ������ � ���������� ������ �� �������22:09���������� ���������-������������ ������������ ��������� ������� ������� �� ��������� ��������� �� ������� �������21:45���������� ���������-������������ ��������������������� � �������� ����������� ������������ ����������� ���� � ����20:46������� ������������� ������ ������� ������ � ����������� ��� � �������� ����20:30��� ��������� �� ����: ������� 11 ������20:07������� ������� ������������� ������ ���������� ��� ������� �������� ����19:59� ��������� ������� ������ � ����� 11 �� 19 �������� ������� ��������� ������19:24"���������" ������� "�����" � ����� ���19:15���� � ������� ���������� ����� ����� � ������� 19 �������� ������� ��� �������19:08������� �������� ������� � ���������� �������� ���� � �������� �������18:34���� � ��������� ����������� �������� � �������18:26����� Beatles ���������� ���-����� �������������� ������� � 1969 �.17:51������� ������� �������� �������� ��������� � �������� ������17:41���������� �� ��������� �������� ���������� ��. ������ �������������� � ������17:00� ��� �� ������� ���������������� ��������� ����� �������� Carlsberg16:48���������� ���������-������������ ��������������������� ��� ������������ ������ �������� "��-����" � ������� ����15:45���������� ���������-������������ ������������������� ��������� ������� � ������������ ����������� ���� � ������� ����15:37����� �������� ������������ �� ������ ��������� ��� ����� "������" �� 2030 ����14:59����������������� ����� ��� ������������ ������������� ����� � ��������� �������14:15������� �������� �� ����������������� �� �������� �� ��������� � ������� ����� ������ ���� ���13:32������ ������ � ����������� ���� �� ������ ���� � ������������ �� ���� ������ ��13:05� ��� �� ������� ������������ ��������� ������ � ������� �������������� ������ � ��������12:53� �������� �������� ����� ������������ �������� ��-�� ������ ���������� �������12:19� ��������� ������� 19 �������� ������� ����� � �������11:36���������� ���������-������������ �������������� ������� ������� ������� �� ������ �� ���������� �������� ����� �� ����11:20� ������ ����� ����������� ��������� �� ���������� � ����������11:14��� ��������� ���������� �� ��������� ����� 40 ���� ��������� � ����������11:01��� ������������ ����� � ������������ ��������� ����������� ���������� �������10:34���� ������������ ��������������� ��������� ��� �� �����10:00���������� ���������-������������ ������������������-����������� ��������: ������� ������� ������ ���� �� ���������� � ������-���?09:30��� ���� ��������� �� ������ "���������" �� ��������� "�������" � ���09:18�������� � ������� ������� "����������" �������� "���-������" � ���08:30��� ��������� ���� �����: ������� 11 ������07:53���������� ���������-������������ ������������������� ������ �������� � ������� ������ �� �������� � ������� ����07:37�������� � 152 ��������� �� �� ��������� ������� �� ����� ������������ - �����07:16���� ������� ��� ��� ��������� ������������� �� ��������� �����������06:51������� �������� �� ����������������� ������� ������� �� ������ �� ����� ��� � ������������ ��� ������� ����������� ��������������� �� ������������ ��������� �������� � ����� ����������������� �������� � ����������� ������ ��������������� ��������������� �� ������� ������� ��-2 ������� ������������ ������� ������ ����������� ������"������ �����" � ������� � ��� �����-����������� ������� � ����������� �������� �������arlsberg ������ ������ ������������� ����� ��-�� �������� ������ "�������"�����������10 ���������� ���� ������10 ��������������� 10 ������10 ��������������� 9 ����������� ��������  ��� ��������� � ���� �����. �������� �������� ������ ���������� ��������� �� ������ ������. ����� ������ �� 8 ������� ��������� ������� ��������� ��� � ����� � 27 ����. �������������������� �� ��: ��������� ����� �� ������� ���������� ����� ������� - ���������� ������ �� ������������������� �������� ��������� � �������� � ��������� ��������� � ��������� ��������� ������� �� �������������� ��������� ��: ������ ��� �������� ������ ������� ��� ����� ������������� ������� �� ����������������� ����������� �������� ��������� � ��� ��� ����������� ���������� �������� � � ������ ��������� ���������������������� ���: ��������� ������ � �� ����� ���� �������� ������������� � ������� � ������� ���� ������������������� ����������������� ������������ �������� ��������� ���� ����� �� ������� � �������� � ���� �� ����� ���������� ���������� ������������ ��������� � ��������������� �� ��������������� "������� �����": �� ��������� ��������������� ���� � 20% ���������� ����� �������� ���������� �������� ��������� � ���������� � ������� � ����������� ��� "������� �����"�����-����� �����-������Business Wire: ���������� ���� �������� ������������ �������� �������������� �� ��������� �������� � �������� � ��������� ����������� �������������� � ���-���������� �������: ��� �������� ������� �� ������������ ��������� ������� � ����� ����� ����� ������� ���������� � ���������� ���������� ������������� ��������������� ��������Business Wire���������� ���� �������� ������ ���������������-����������� �������� ������ ������� � ����������� �������� ������ �� ����������� ��������� "������� ���" ������������������� "����������"�����-�������������������� �� ���������������� Copyright � 1991—2023 Interfax. ��� ����� ��������. ������� ������� "���������.��".�������������� � ����������� ��� �� � �� 77 - 84928 ������ ����������� ������� �� ������� � ����� ����� �������������� ���������� � �������� ������������ (������������) 21.03.2023. ��� ���������� ����������� �� ������ ���-����� ������������� ������ ��� ������������� ����������� � �� �������� ����������� ��������������� �/��� ��������������� � �����-���� ����� ����� ��� � ����������� ���������� ����������.�������� ������������� �������������� ������ "���������"���������� � ��������� ������� � ����������X-Compliance����������������Interfax Dun&amp;Bradstreet������� � ������������ "����������"����RU Data����� ��������� ������������� ����������      ���������� ������ �� �����? �������� �������� ������ � ������� � ������� Ctrl + Enter.  ������� ������������� ������������������ ������������ – Motka.ru</v>
      </c>
    </row>
    <row r="520">
      <c r="A520" s="1" t="s">
        <v>1668</v>
      </c>
      <c r="B520" s="1" t="s">
        <v>1745</v>
      </c>
      <c r="C520" s="1" t="s">
        <v>1746</v>
      </c>
      <c r="D520" s="1">
        <v>19.0</v>
      </c>
      <c r="E520" s="4" t="s">
        <v>1747</v>
      </c>
      <c r="F520" s="1" t="s">
        <v>43</v>
      </c>
      <c r="G520" s="1" t="s">
        <v>777</v>
      </c>
      <c r="H520" s="4" t="s">
        <v>778</v>
      </c>
      <c r="I520" s="2"/>
      <c r="J520" s="5" t="str">
        <f>IFERROR(__xludf.DUMMYFUNCTION("GOOGLETRANSLATE(A520)"),"May holidays 2023")</f>
        <v>May holidays 2023</v>
      </c>
      <c r="K520" s="6" t="str">
        <f>IFERROR(__xludf.DUMMYFUNCTION("GOOGLETRANSLATE(B520)"),"May holidays in 2023 will be long or not")</f>
        <v>May holidays in 2023 will be long or not</v>
      </c>
      <c r="L520" s="5" t="str">
        <f>IFERROR(__xludf.DUMMYFUNCTION("GOOGLETRANSLATE(C520)"),"10 Apr. 2023. -")</f>
        <v>10 Apr. 2023. -</v>
      </c>
      <c r="M520" s="5" t="str">
        <f>IFERROR(__xludf.DUMMYFUNCTION("GOOGLETRANSLATE(G520)"),"Novosibirsk news - main news today | NGS - news Novosibirsk Real estate work video TsGDE to meet Novye Knight Telegramvs News ""In two years it will shoot."" Auroist - about the new rules for the parallel import of a car, a known developer dictates a new "&amp;"format of quality of life - what awaits the buyers of apartments ""Perhaps change in prices in the direction of increase."" Why is there such an expensive gasoline in Russia and whether it will become cheaper “here is a lake and no one yells at night”: in"&amp;" a very calm area they started construction and reduced the prices for housing of Dudia* check for discrediting the army of the Russian Federation: the news for the 11th of November 11 to buy a two -story townhouse in The green zone at a price is cheaper "&amp;"than an ordinary apartment was simply not explained how to walk on two legs. How the “four-bearer” family from Turkey nature or the benefit of civilization lives: residents of the new complex near the lake do not have to choose “I called you slaves and sl"&amp;"aves”: Alla Pugacheva turned to the Hamitheloma of the Data Centers and the service provider signed an agreement on cooperation of wealth and love ! What to meet the new 2024 year-the advice of an astrologer and the Numerologist-business community ""Equiu"&amp;"m"" invites Siberian entrepreneurs to visit ""it turns out to be killed and there will be nothing for you"": as a tormentor of Vera Pekhteleva, he scored her to death and then his dreams of dreams in a cottage with his own Plot: eco -nickel on the bosom o"&amp;"f nature opens the doors to Novosibirski “rushes with drift”: under Novosibirsk torn VAZ scared the local residents of DJ and gifts: a cozy restaurant in the center invites to celebrate the New Year “Codes and these cards I did not say”: the young mother "&amp;"lost 70 thousand Faced with particularly sophisticated scammers at the left bank: a unique complex of apartments will decorate the Marxa Square, with the right -bank part of the southern transit - for the Left -Bank project they allocated half a billion r"&amp;"eception for 1 ruble: the Novosibirsk clinic reduced the price of surgery for those who needed operations of the Ryazan region. 19 wagons went off the rails: a photo from the scene of the incident in which you can buy a number: how to get a passive income"&amp;" without immersion in a hotel business business (we will tell you that it talks about you about you space and time: status LCD and a picturesque square for Royal Park ""Bigl did not run: the dog escaped from the owners and rushes around Novosibirsk for 9 "&amp;"days-no one can catch the school workers in Tatarsk for negligence-in the institution the 11-year-old girl"" We-participants of the big experiment ""was beaten: why do neighbors in high-rise buildings ride at night at night Paul balls? In Novosibirsk, the"&amp;"y made a parody of the film “Furious: Hobbs and Show”: Video from the contesting Siberian was forbidden to ride on the purchased Lexus RX - the former owner came across drunk behind the rudders to excite: a difficult test for knowledge of slang - 12 quest"&amp;"ions that are surprised by the grass : look at eight abandoned villages of Russia in which life stopped by a football player from Novosibirsk came to the “Dom-2” to a spectacular blondincase of 15 thousand took the “box”: the story of the rescue service m"&amp;"anager who was put for drugs of two Siberians found on the basis of recreation in Altai: men died in Zarrysama drowned in borrowings. We are studying the statements of the State Duma deputy who advocates the purity of the Russian language Mamarfushenka Du"&amp;"shenka! How to replace the hat to save the hairstyle and how to stylishly wrap himself in the scarf wintering of the fallen. The mass fight near the bar in the center of Novosibirsk got into the video-the police began to check “I began to shurate in every"&amp;" way”: the passenger quarreled with the driver of the minibus-he forbade him to speak by telephone from Krasnokamensk-to Cannes. How Victoria Bonya escaped from a village with convicts gave birth to a billionaire and made her face for 20 million to prepar"&amp;"e for -27 degrees: how temperature changes in Novosibirsk will affect the future crop -urgent Meriva of the Ob River found the body of a man in fishing clothes “eats only through a tube” : In Tatarsk, the schoolgirl hit the head on the head-the details of"&amp;" the incident-1996 incidented-Siberian: we look at unique photos and remember the youth-how they met Yeltsin and built the Mikhailovskaya embankment, they want to demolish the 59-year building-what could appear on its location: ugly signs were closed by N"&amp;"ovosibirsk There is a design code in the city, but it doesn’t work as not to cry and not to clock ”: why pensioners are going to trade rubbish in the cold and what they buy at the Novosibirsk“ flea ”traders with perennial experience shared that they inter"&amp;"fere with old things 43 minutes2 20525 The main video in the country City Crime Business urgently Live covered Novosibirsk in mid-November-Bastrykin demanded a report on an attack by a teenager on a 11-year-old girl at school-the world was beaten up to th"&amp;"e hospital: he ran from Dagestan to Sevastopol “thought it could not be worse to be worse "": Siberian was mistakenly sold an apartment to close loans - the buyer has dozens of such transactions of 50% on the foundation when ordering a house from a profil"&amp;"ed shirt in the Narymsky Square: drivers turned the park into a huge parking lot - the apogee of autohamism"" Gas streamed over the whole street "": in Novosibirsk: in Novosibirsk Strange smoke was going on a gas station from the bus - could it be Metango"&amp;"rod to bring as a gift from Novosibirsk? Souvenirs that you can even eat on October 242121 610 Novosibirsk noticed teenagers who cling to trains11 hours2 75118 announcements “We don’t earn on the Socialist”: the developer told why it builds kindergartens "&amp;"of the school and outpatient clinics on November8, 6 930 industries “began to scream something in Berdsk with waste Waters-a passerby saved it12 hours5 14629 Prossevoli bastard driver UAZ: there were terrible shots from a frontal accident at the northern "&amp;"detour13 hours10 50835 Cultules of middle-aged men want to talk: the cult performance of Muscovites will show in the huge arena November310 766 Loose at the edges: a 7-year-old girl fell to the open hatch in Novosibi in Novosibi RSCK14 hours6 60144v Black"&amp;" Friday can save a million on buying an apartment. In which new buildings there is a discount on November 910 34319 Poll have already changed rubber by car? Voting on October 24187 Formation “This is a lot of crying”: the former basketball player became a"&amp;" coach for children with features on November15 68415 Hand -free buildings for new buildings is still lower than for the secondary: what options to buy housing have the Novosibirsk people November15 682 Protection “already eats” The rescuers thanked the h"&amp;"ead - how he feels15 hours7 84852 -Social -subject of Morozov: in Novosibirsk they noticed the November rainbow16 hours6 10919Avto ""It will shoot after two years."" Auroist - about the new rules of parallel imports of cars 43 minutes1 2759economics ""It "&amp;"is possible to change prices in the direction of increase."" Why in Russia such an expensive gasoline and whether it will become cheaper 1 hour 1 18829 page and Miruria Dudia* are checked for discrediting the army of the Russian Federation: News for Novem"&amp;"ber 110, 657172VS News News")</f>
        <v>Novosibirsk news - main news today | NGS - news Novosibirsk Real estate work video TsGDE to meet Novye Knight Telegramvs News "In two years it will shoot." Auroist - about the new rules for the parallel import of a car, a known developer dictates a new format of quality of life - what awaits the buyers of apartments "Perhaps change in prices in the direction of increase." Why is there such an expensive gasoline in Russia and whether it will become cheaper “here is a lake and no one yells at night”: in a very calm area they started construction and reduced the prices for housing of Dudia* check for discrediting the army of the Russian Federation: the news for the 11th of November 11 to buy a two -story townhouse in The green zone at a price is cheaper than an ordinary apartment was simply not explained how to walk on two legs. How the “four-bearer” family from Turkey nature or the benefit of civilization lives: residents of the new complex near the lake do not have to choose “I called you slaves and slaves”: Alla Pugacheva turned to the Hamitheloma of the Data Centers and the service provider signed an agreement on cooperation of wealth and love ! What to meet the new 2024 year-the advice of an astrologer and the Numerologist-business community "Equium" invites Siberian entrepreneurs to visit "it turns out to be killed and there will be nothing for you": as a tormentor of Vera Pekhteleva, he scored her to death and then his dreams of dreams in a cottage with his own Plot: eco -nickel on the bosom of nature opens the doors to Novosibirski “rushes with drift”: under Novosibirsk torn VAZ scared the local residents of DJ and gifts: a cozy restaurant in the center invites to celebrate the New Year “Codes and these cards I did not say”: the young mother lost 70 thousand Faced with particularly sophisticated scammers at the left bank: a unique complex of apartments will decorate the Marxa Square, with the right -bank part of the southern transit - for the Left -Bank project they allocated half a billion reception for 1 ruble: the Novosibirsk clinic reduced the price of surgery for those who needed operations of the Ryazan region. 19 wagons went off the rails: a photo from the scene of the incident in which you can buy a number: how to get a passive income without immersion in a hotel business business (we will tell you that it talks about you about you space and time: status LCD and a picturesque square for Royal Park "Bigl did not run: the dog escaped from the owners and rushes around Novosibirsk for 9 days-no one can catch the school workers in Tatarsk for negligence-in the institution the 11-year-old girl" We-participants of the big experiment "was beaten: why do neighbors in high-rise buildings ride at night at night Paul balls? In Novosibirsk, they made a parody of the film “Furious: Hobbs and Show”: Video from the contesting Siberian was forbidden to ride on the purchased Lexus RX - the former owner came across drunk behind the rudders to excite: a difficult test for knowledge of slang - 12 questions that are surprised by the grass : look at eight abandoned villages of Russia in which life stopped by a football player from Novosibirsk came to the “Dom-2” to a spectacular blondincase of 15 thousand took the “box”: the story of the rescue service manager who was put for drugs of two Siberians found on the basis of recreation in Altai: men died in Zarrysama drowned in borrowings. We are studying the statements of the State Duma deputy who advocates the purity of the Russian language Mamarfushenka Dushenka! How to replace the hat to save the hairstyle and how to stylishly wrap himself in the scarf wintering of the fallen. The mass fight near the bar in the center of Novosibirsk got into the video-the police began to check “I began to shurate in every way”: the passenger quarreled with the driver of the minibus-he forbade him to speak by telephone from Krasnokamensk-to Cannes. How Victoria Bonya escaped from a village with convicts gave birth to a billionaire and made her face for 20 million to prepare for -27 degrees: how temperature changes in Novosibirsk will affect the future crop -urgent Meriva of the Ob River found the body of a man in fishing clothes “eats only through a tube” : In Tatarsk, the schoolgirl hit the head on the head-the details of the incident-1996 incidented-Siberian: we look at unique photos and remember the youth-how they met Yeltsin and built the Mikhailovskaya embankment, they want to demolish the 59-year building-what could appear on its location: ugly signs were closed by Novosibirsk There is a design code in the city, but it doesn’t work as not to cry and not to clock ”: why pensioners are going to trade rubbish in the cold and what they buy at the Novosibirsk“ flea ”traders with perennial experience shared that they interfere with old things 43 minutes2 20525 The main video in the country City Crime Business urgently Live covered Novosibirsk in mid-November-Bastrykin demanded a report on an attack by a teenager on a 11-year-old girl at school-the world was beaten up to the hospital: he ran from Dagestan to Sevastopol “thought it could not be worse to be worse ": Siberian was mistakenly sold an apartment to close loans - the buyer has dozens of such transactions of 50% on the foundation when ordering a house from a profiled shirt in the Narymsky Square: drivers turned the park into a huge parking lot - the apogee of autohamism" Gas streamed over the whole street ": in Novosibirsk: in Novosibirsk Strange smoke was going on a gas station from the bus - could it be Metangorod to bring as a gift from Novosibirsk? Souvenirs that you can even eat on October 242121 610 Novosibirsk noticed teenagers who cling to trains11 hours2 75118 announcements “We don’t earn on the Socialist”: the developer told why it builds kindergartens of the school and outpatient clinics on November8, 6 930 industries “began to scream something in Berdsk with waste Waters-a passerby saved it12 hours5 14629 Prossevoli bastard driver UAZ: there were terrible shots from a frontal accident at the northern detour13 hours10 50835 Cultules of middle-aged men want to talk: the cult performance of Muscovites will show in the huge arena November310 766 Loose at the edges: a 7-year-old girl fell to the open hatch in Novosibi in Novosibi RSCK14 hours6 60144v Black Friday can save a million on buying an apartment. In which new buildings there is a discount on November 910 34319 Poll have already changed rubber by car? Voting on October 24187 Formation “This is a lot of crying”: the former basketball player became a coach for children with features on November15 68415 Hand -free buildings for new buildings is still lower than for the secondary: what options to buy housing have the Novosibirsk people November15 682 Protection “already eats” The rescuers thanked the head - how he feels15 hours7 84852 -Social -subject of Morozov: in Novosibirsk they noticed the November rainbow16 hours6 10919Avto "It will shoot after two years." Auroist - about the new rules of parallel imports of cars 43 minutes1 2759economics "It is possible to change prices in the direction of increase." Why in Russia such an expensive gasoline and whether it will become cheaper 1 hour 1 18829 page and Miruria Dudia* are checked for discrediting the army of the Russian Federation: News for November 110, 657172VS News News</v>
      </c>
    </row>
    <row r="521">
      <c r="A521" s="1" t="s">
        <v>1748</v>
      </c>
      <c r="B521" s="1" t="s">
        <v>1749</v>
      </c>
      <c r="C521" s="1" t="s">
        <v>1750</v>
      </c>
      <c r="D521" s="1">
        <v>1.0</v>
      </c>
      <c r="E521" s="4" t="s">
        <v>1751</v>
      </c>
      <c r="F521" s="1" t="s">
        <v>16</v>
      </c>
      <c r="I521" s="2">
        <v>3.0</v>
      </c>
      <c r="J521" s="5" t="str">
        <f>IFERROR(__xludf.DUMMYFUNCTION("GOOGLETRANSLATE(A521)"),"news")</f>
        <v>news</v>
      </c>
      <c r="K521" s="6" t="str">
        <f>IFERROR(__xludf.DUMMYFUNCTION("GOOGLETRANSLATE(B521)"),"RIA Novosti - events in Moscow, Russia and the world today ...")</f>
        <v>RIA Novosti - events in Moscow, Russia and the world today ...</v>
      </c>
      <c r="L521" s="5" t="str">
        <f>IFERROR(__xludf.DUMMYFUNCTION("GOOGLETRANSLATE(C521)"),"News in Russia and the world, the most prompt information: themes of the day, reviews, analysis. Photos and videos from the scene, infographics, radio, podcasts.")</f>
        <v>News in Russia and the world, the most prompt information: themes of the day, reviews, analysis. Photos and videos from the scene, infographics, radio, podcasts.</v>
      </c>
      <c r="M521" s="5" t="str">
        <f>IFERROR(__xludf.DUMMYFUNCTION("GOOGLETRANSLATE(G521)"),"#VALUE!")</f>
        <v>#VALUE!</v>
      </c>
    </row>
    <row r="522">
      <c r="A522" s="1" t="s">
        <v>1748</v>
      </c>
      <c r="B522" s="1" t="s">
        <v>1752</v>
      </c>
      <c r="C522" s="1" t="s">
        <v>1753</v>
      </c>
      <c r="D522" s="1">
        <v>2.0</v>
      </c>
      <c r="E522" s="4" t="s">
        <v>1754</v>
      </c>
      <c r="F522" s="1" t="s">
        <v>16</v>
      </c>
      <c r="G522" s="1" t="s">
        <v>125</v>
      </c>
      <c r="H522" s="4" t="s">
        <v>126</v>
      </c>
      <c r="I522" s="2">
        <v>3.0</v>
      </c>
      <c r="J522" s="5" t="str">
        <f>IFERROR(__xludf.DUMMYFUNCTION("GOOGLETRANSLATE(A522)"),"news")</f>
        <v>news</v>
      </c>
      <c r="K522" s="6" t="str">
        <f>IFERROR(__xludf.DUMMYFUNCTION("GOOGLETRANSLATE(B522)"),"Lenta.ru - News of Russia and World Today")</f>
        <v>Lenta.ru - News of Russia and World Today</v>
      </c>
      <c r="L522" s="5" t="str">
        <f>IFERROR(__xludf.DUMMYFUNCTION("GOOGLETRANSLATE(C522)"),"4 hours back -")</f>
        <v>4 hours back -</v>
      </c>
      <c r="M522" s="5" t="str">
        <f>IFERROR(__xludf.DUMMYFUNCTION("GOOGLETRANSLATE(G522)"),"Lenta.ru - News of Russia and the world today -Russian -Russian USSR EconomicCasil structures and technician cultural sporting and enlightenment of travel of the life of the environment of the habitat of the habitat of sebelevidei -Opet -design. Click! Re"&amp;"turn to the usual tape? Initial Russia was explained by Armenia's attempts to spoil relations with Moscow05: 50 Vyuchkin reduced the lag behind Gretzky in the list of the best snipers of the NHL06: 42V Ancient Egyptian tomb found a tumor with teeth06: 41V"&amp;"VS of Jordan, they threw gums for the Hospital for a hospital in Gaza06: 38v China of China China. Lee About the unexpected service of Poland for Russia06: 35v Italy, Leo fled the circus and walked around the city for several hours: 35 Doctors called the "&amp;"ways to survive a magnetic storm06: 16sha and Ukraine discussed plans to meet a contact group06: 09 Ryads of the loss of the Armed Forces of the Armed Forces under Kupyanskoye05: 47Bayden predicted an inconvenient situation from the inconvenient situation"&amp;" from -Serail05: 14 rangers The consequences of recognition of a slave on the failure of the Armed Forces of the Armed Forces of the Armed Forces of the Armed Forces of the Armed Forces: 56 Oblose Kvazars hidden by clouds of dust04: 42V European Union spo"&amp;"ke about the threat from Ukraine04: 09, the News Workers all over the world refuse to return from the remotes. How does the desire to work at home hits the economy of large cities? 00: 01 cult David Fincher removed the “killer” with Fassbender as a killer"&amp;". What is surprising this stylish and witty thriller? 00: 01 Israel attacked objects in Syria05: 31b Bellator, the absence of plans to deprive Nurmagomedov title04: 19 Germanican will significantly increase military assistance to Kiev03: 34th Russia allow"&amp;"ed a change in the procedure for renting apartments for the daily house 03: 09 in the White House criticized the plan to defend the shuttle In the USA02: 28 It was a condition for establishing peace with Israel02: 02: 02 Merged Strepe divorced her husband"&amp;" after 45 years of marriage. Why did one of the strongest pairs of Hollywood break up? 00: 01 main news of the Ministry of Cyphra explained the principle of blocking the VPN in the Russian Ukrainian colonel is accused of coordinating attacks on Sozdotoki."&amp;" What else was the officer imprisoned in the Kiev pre -trial detention center? Ukraine was offered to accept in NATO within new borders without Crimea and Donbass. Why does the West need this? SK opened a criminal case of a terrorist attack after a train "&amp;"from the rails near Ryazanyupo Kyiv swept a series of explosions. In Ukraine, they talked about the first in 52 days a missile strike on the capital train went off the rails after the explosion near Ryazan. What is known about what had happened? In Kolomn"&amp;"a there was an explosion. What is known about the shot down drone of the Armed Forces of Ukraine over the defense enterprise near Moscow? The court arrested the ex-head of the Khoroshevsky department of the IC of Moscow in the case of a bribe. Who is behi"&amp;"nd the crime? David stars appeared on dozens of houses of Paris. France found in this “Russian trace” Moscow is extremely outraged “70 meters have already run” in Kyiv appreciated the course of hostilities in Ukraine. And they gave the forecast how they c"&amp;"an end with Stalin's popular manner. Marshal Budyonny loved the people and were afraid of enemies. What helped him to survive the terror of the 1930s? 00: 02 on October 26, 2023 “The smell of gunpowder and blood is everywhere” Palestinians-about the bombi"&amp;"ng of the Gaza, who terrified the world of tragedy in the hospital and constant fear00: October 19, 2023500 kilometers underground. Why did Hamas build a secret city under the gas and how is the Israeli Army going to storm it? 00: 01 October 22, 2023 “Her"&amp;"e the Pitch Hell is the inhabitants of Israel and the Russians who were saved from the execution of terrorists and fear for life 00: 08 October 10, 2023 October of the most expensive The cities of the world are rapidly empty. Why do San Francisco leave th"&amp;"e rich and capture the homeless? 00: 01 October 2, 2023 Gynecologist for years mocked hundreds of patients. The story of the most high -profile investigation of sexual violence in medicine00: 02 October 14, 2023 ""Durov really does or join?"" The founder "&amp;"of Telegram was the legend of Runet. Why are they laughing at him now? 00: 01 on October 29, 2023, Israel and Palestine fight: history and reasons. As a conflict in the Middle East will affect Mir16: 32 October 10, 2023 Liders Hamas bathe in luxury while "&amp;"the Palestinian people live in poverty. Who are they and how did they become billionaires? 00: 04 October 15, 2023 “We are on the verge of a global war” Why Israel was not ready for Hamas attack and what is the danger of a conflict in the gas sector? 00: "&amp;"02 October 10, 2023 “If I break here, he is here - he сломается там» Как волонтеры Камчатки помогают семьям участников СВО00:01Байдену потребовалась помощь караула на кладбище01:56Украинский сервис такси разрешил жалобы на «антиукраинских» водителей01:27В"&amp;" Израиле заявили о потере контроля ХАМАС над Газой01:24Раскрыты подробности о любимом напитке москвичей в XIX веке01:23Арабские And the Islamic countries spoke about the future of the GAZ sector: 22 Bellator made a statement about the failure doping test "&amp;"of brother Nurmagomedov01: 11 “Hitler portraits hung in each class” Like Ukrainians from the SS division “Galicia” fled from the NKVD and hid in Canada? On November 2023, it is known about the preparation of the slave for a long conflict with Russia01: 01"&amp;" Russian military tore off the landing of the Armed Forces on the left bank of the Dnieper. 11 Morpokhs were captured19: 20 November 11, 2023 Tonnahu announced Israeli's plans to ensure control over security in Gaza00: 57 days of the Moscow Airport resume"&amp;"d full -time work after restrictions on flights00: 45 popular video -relevant Kia Carnival videos: Ultra -Ruscular version00: 29 scientists officially named the mummies of alien from the pen. Ru are genuine . Did the aliens really discovered on Earth? 23:"&amp;" 07 on November 10, 2023, Russia arose a stir for crossovers Geely Monjaro00: 29 Federal Protection Service purchased Chinese vans and pickups00: 29 aleonardo DiCaprio - 49. How he spends millions of dollars on luxurious rest with models and? Shark? 00: 0"&amp;"1 on November 11, 2023, the first crossover Ferrari was estimated in rubles: how much it costs 00: 29 Izrail rejected the possibility of resuming settlement activities in Gaza00: 25 ordering the possible existence of life in ice water on exoplanets00: 10 "&amp;"in the United States talked about the hostage lists between Israel and hamas23: On November 11, 2023, Ukraine predicted new economic conflicts with the European Union23: 54 November 11, 2023 Home on a maniac war with bandits and a fight with a lion: which"&amp;" became famous for the most famous policemen of the USSR and Russia00: November 11, 2023 Nurmagomedov, they will deprive the Bellator champion for doping23: 44 on November 11 on November 11 on November 11 2023 Druzes and partners ""I liked all the veins!"&amp;""" Like 450 years ago, tea appeared in Moscow and why Muscovites without it were not able to be: 05 times such Tucker Carlson and why they love him in Russia and hety in the United States. “Sexist” “Racist” and defender of freedom of speech08: November 11"&amp;", 2023 What is “Black Friday” when it passes and how to save with its help in 2023. Simple words 08: 31 November 11, 2023 This is not Matiz: how do you know Fiat Lucciola? 30 years ago, Italians tried to revive the old legend but created a new09: 48 Novem"&amp;"ber 10, 2023 What is the Law on Silence and when it is impossible to make noise. In simple words 08: 03 November 10, 2023 What is a social rating and why they want to implement it in Russia. Simple words 08: 03 November 10, 2023 ""Each time going out into"&amp;" the street you risk your life!"" The history of the Muscovite who abandoned everything and went to Naples00: November 10, 2023Muzhsky intimate plastic: 7 patients of patients performed the procedure16: November 12 9, 2023 Walls with a small engine, two-l"&amp;"iter G-Wagen and other cars that have something to be ashamed09: 48 November 9, 2023 What is a magnetic storm And how it affects people. Simple words08: 02 November 9, 2023 What is reflection and how to reflect correctly. Simple words 08: 02 November 9, 2"&amp;"023 “We got married as mature people” Lyudmila Chursina - about the love of death of Moscow and St. Petersburg00: 07 November 9, 2023 What is a protein diet and what is its benefit and harm. In simple words 08: 00 November 8, 2023 What is vitamin B12 why "&amp;"the body needs it and in what products it is contained. Simple words08: 00 November 8, 2023 ""They will also pay for this garbage!"" How to get rid of unnecessary things in Moscow and earn money on this00: 05 November 8, 2023 “You can’t do anything” a wel"&amp;"l-known ophthalmologist spoke about the most difficult moments and unique methods of treatment13: November 7, 2023-Turned in America, the 80s Pontiac which was almost able Hot Hatch Shelby and other unusual models10: 19 November 7, 2023 “Fire against Schu"&amp;"sev repaid Beria” The story of the legendary architect born 150 years ago, November 6, 6, 2023 “My nerves ended” as an employee of the landfill, became business lane00: 10 4423 Cupcubs of charts Acquaintance with Shatunov and the curse of Razin interviews"&amp;" with singer Andrei Timofeev15: 16 November 2, 2023 Russian -Russian warned about fraud on dating sites23: November 11, 2023, explained the rejection of the title fight in UFC23: November 11, 2023 “Not a step backward - followed by the morgue” as in us. T"&amp;"he Donbass prepare future attack aircraft for the realities of the modern war? 00: 01 on November 10, 2023v Kiev revealed a way to resolve the conflict in Ukraine23: November 11, 2023 in Russia, a new way of fraud appeared. What is the secret of a multi -"&amp;"route scheme with ads services? 17: 42 November 10, 2023v Israel "" Hezbollah ”from joining conflict23: 21 November 11, 2023 Hellair,“ Hezbollah ”addressed the Biden administration22: 47 November 11, 2023 Russian -Russian Pavlovich described the secret of"&amp;" success in UFC22: 41 on November 11, 2023 Russian Russians warned about the magnetic storm on the night of Sunday 22: 34 11 on November 11 on November 11 2023 It is known about the plans of Colonel of the Armed Forces of Ukraine to captivate Wagner in 20"&amp;"2022: November 11, 2023, the Internet was captured by Taliban and surprised everyone. He spent a great time and called the terrorists to the brothers00: November 10, 2023 Hungry proposed creating a new security system in Europe22: 15 on November 11, 2023 "&amp;"The series “The Word of the Boanding” about the youth gangs of the collapse of the USSR. Why is it worth it to look at it? 11: 52 on November 10, 2023, the Israeli air defense seized the “suspicious target” 21:56 November 11, 2023 Eendocrinologist Pavlova"&amp;" revealed the personal principles of food21: 56 November 11, 2023, Ukraine announced the coming of Russia at Kupyansk21: 44 November 11, 2023 “Zenit” And “Krasnodar” was tied in the RPL21: November 118, 2023 APU, the Armed Forces of the Armed Forces were "&amp;"called the coordinator of the attack on “Northern Streams” 21:19 on November 11, 2023 The defense of Ukraine told Pentagon about the needs of Kiev21: 17 11, 2023 “Three -leaf native!” The Russian rifle Mosin passed all the wars of the 20th century. How di"&amp;"d this legendary weapon appear? 00: 01 on November 10, 2023, the Navigation of Ukraine was called a disappointment for the Allies of Zelensky21: 15 on November 11, 2023 “A loser one who does not get up from the ass” as a British plaster fell to the Olympi"&amp;"cs, he lost but became a celebrity 20: 01, 2023, the defense of Croatian defense, the Croatian minister He was in a car accident21: 05 on November 11, 2023VSU fired at the Russian border city 20: 59 November 11, 2023 Russian skater-champion spoke about th"&amp;"e desire to record a song 20: 54 on November 11, 2023 INO MASK wants to implant a dangerous chip in the brain of tens of thousands of people. Animals with such chips spent the rest of their lives in agony22: 54 on November 9, 2023 Beyrut predicted a repet"&amp;"ition of the fate of the Gaza under one condition 20: 51 on November 11, 2023 -Russians, he beat her20: 40 on November 11, 2023 “This is a blow to the unity of Russia” 30 years ago Yeltsin liquidated Yeltsin Ural Republic. Why was he frightened by his fel"&amp;"low countrymen? 00: 01 November 9, 2023, Britain announced the deficiency of “patriots” in Russian car dealerships 20: 10 November 2023NO SUBARU Forester, which was broken due to failures at the front of Zelensky 20: 24 on November 11, 2023 On November 20"&amp;"23Chery, she began selling cars on a “ozone” with solid discounts 20: 10 November 11, 2023 Chines, showed minivan with sun lust and a huge leg reserve 20: 10 November 11, 2023 Medical Media Medical Media could know in advance about Hamas attack on Israel."&amp;" They invaded the country along with terrorists18: November 9, 2023 in London, 92 protesters during a rally in support of Palestine 20: 09 on November 11, 2023 Ukrainian journalist announced the words of the head of the European Commission of the ears 20:"&amp;" 00 on November 11, 2023v Finland refused to let the Russians on bicycles19: 55 11: 55 11: 55 11: 55 11: 55 11: 55 11: 55 11 On November 2023, they began to dump home -made cassette ammunition into Russia. What is known about the new tactics of Ukrainians"&amp;"? 13: 59 on November 9, 2023, Lokomotiv announced the desire to return Miranchuk19: November 11, 2023 Pentagon spends millions in search of werewolves and Congress discusses UFOs. Why in the USA was obsessed with the supernatural? 00: 01 on November 9, 20"&amp;"23 in Moscow, the courier scammers took the safe from the pensioner with money19: November 11, 2023, Japan announced the most serious threat to the country since the Second World War19: November 11, 2023 Kazakhstan blogger challenged the son of Kadyrov19:"&amp;" On November 11, 2023, Russia spoke about the importance of the world recognition of Moscow’s victory over Kiev19: 22 November 11, 2023, Iceland, a few days later predicted the eruption of volcanoes19: 06 November 11, 2023v Okko - the series “Magic Plot” "&amp;"on the fighting of the police with evil heroes of Russian fairy tales. Why is this Russian answer “Deadpool”? 00: 01 November 9, 2023 Rykransk, a multi -million -dollar price tag and Ryder Meladze for a performance in Moscow18: 52 November 11, 2023 articu"&amp;"lar intelligence “hand” and self -cleaning. What else is surprised by the Dreame robot vacuum cleaner? 19: 51 on November 9, 2023, the NATO Secretary General of NATO proposed to accept Ukraine in the alliance in new borders18: 49 November 11, 2023, the wo"&amp;"man suffered from the shelling of the Russian region from Ukraine18: 47 on November 11, 2023v, explosions occurred18: 46 on November 11, November 11 2023odna from countries wanted to double the military assistance to Ukraine18: 46 November 11, 2023Pol nat"&amp;"ionalists staged a march in Warsaw18: 35 November 11, 2023citroen showed a “sports” version of the My Ami18 quadricated: November 11, 2023 Truth protects from all diseases and strengthens immunity? Doctors dispelled myths about the benefits and dangers of"&amp;" the bath05: 00 November 9, 2023Toyota BZ4X will patrol parks and cemeteries18: 33 November 11, 2023 Prigozhina, Prigozhin is considered the chief heir to the founder of the PMC Vagner. What does he know about him and what business does he get? 00: 01 Nov"&amp;"ember 8, 2023electrikhana Two: published the trailer for the last video with Ken Blok18: November 11, 2023, 2023 Rock Star, put up for auction18: November 11, 2023Dontition-Contracts. SS of the use of a policy of confidentiality of the application of reco"&amp;"mmendatory technologies © 1999–2023 LLC ""Lenta.ru"" found a typo? PLACTRL+ENTER18+The feed of good is deactivated. FOR HAVED to the real world. New Materials News")</f>
        <v>Lenta.ru - News of Russia and the world today -Russian -Russian USSR EconomicCasil structures and technician cultural sporting and enlightenment of travel of the life of the environment of the habitat of the habitat of sebelevidei -Opet -design. Click! Return to the usual tape? Initial Russia was explained by Armenia's attempts to spoil relations with Moscow05: 50 Vyuchkin reduced the lag behind Gretzky in the list of the best snipers of the NHL06: 42V Ancient Egyptian tomb found a tumor with teeth06: 41VVS of Jordan, they threw gums for the Hospital for a hospital in Gaza06: 38v China of China China. Lee About the unexpected service of Poland for Russia06: 35v Italy, Leo fled the circus and walked around the city for several hours: 35 Doctors called the ways to survive a magnetic storm06: 16sha and Ukraine discussed plans to meet a contact group06: 09 Ryads of the loss of the Armed Forces of the Armed Forces under Kupyanskoye05: 47Bayden predicted an inconvenient situation from the inconvenient situation from -Serail05: 14 rangers The consequences of recognition of a slave on the failure of the Armed Forces of the Armed Forces of the Armed Forces of the Armed Forces of the Armed Forces: 56 Oblose Kvazars hidden by clouds of dust04: 42V European Union spoke about the threat from Ukraine04: 09, the News Workers all over the world refuse to return from the remotes. How does the desire to work at home hits the economy of large cities? 00: 01 cult David Fincher removed the “killer” with Fassbender as a killer. What is surprising this stylish and witty thriller? 00: 01 Israel attacked objects in Syria05: 31b Bellator, the absence of plans to deprive Nurmagomedov title04: 19 Germanican will significantly increase military assistance to Kiev03: 34th Russia allowed a change in the procedure for renting apartments for the daily house 03: 09 in the White House criticized the plan to defend the shuttle In the USA02: 28 It was a condition for establishing peace with Israel02: 02: 02 Merged Strepe divorced her husband after 45 years of marriage. Why did one of the strongest pairs of Hollywood break up? 00: 01 main news of the Ministry of Cyphra explained the principle of blocking the VPN in the Russian Ukrainian colonel is accused of coordinating attacks on Sozdotoki. What else was the officer imprisoned in the Kiev pre -trial detention center? Ukraine was offered to accept in NATO within new borders without Crimea and Donbass. Why does the West need this? SK opened a criminal case of a terrorist attack after a train from the rails near Ryazanyupo Kyiv swept a series of explosions. In Ukraine, they talked about the first in 52 days a missile strike on the capital train went off the rails after the explosion near Ryazan. What is known about what had happened? In Kolomna there was an explosion. What is known about the shot down drone of the Armed Forces of Ukraine over the defense enterprise near Moscow? The court arrested the ex-head of the Khoroshevsky department of the IC of Moscow in the case of a bribe. Who is behind the crime? David stars appeared on dozens of houses of Paris. France found in this “Russian trace” Moscow is extremely outraged “70 meters have already run” in Kyiv appreciated the course of hostilities in Ukraine. And they gave the forecast how they can end with Stalin's popular manner. Marshal Budyonny loved the people and were afraid of enemies. What helped him to survive the terror of the 1930s? 00: 02 on October 26, 2023 “The smell of gunpowder and blood is everywhere” Palestinians-about the bombing of the Gaza, who terrified the world of tragedy in the hospital and constant fear00: October 19, 2023500 kilometers underground. Why did Hamas build a secret city under the gas and how is the Israeli Army going to storm it? 00: 01 October 22, 2023 “Here the Pitch Hell is the inhabitants of Israel and the Russians who were saved from the execution of terrorists and fear for life 00: 08 October 10, 2023 October of the most expensive The cities of the world are rapidly empty. Why do San Francisco leave the rich and capture the homeless? 00: 01 October 2, 2023 Gynecologist for years mocked hundreds of patients. The story of the most high -profile investigation of sexual violence in medicine00: 02 October 14, 2023 "Durov really does or join?" The founder of Telegram was the legend of Runet. Why are they laughing at him now? 00: 01 on October 29, 2023, Israel and Palestine fight: history and reasons. As a conflict in the Middle East will affect Mir16: 32 October 10, 2023 Liders Hamas bathe in luxury while the Palestinian people live in poverty. Who are they and how did they become billionaires? 00: 04 October 15, 2023 “We are on the verge of a global war” Why Israel was not ready for Hamas attack and what is the danger of a conflict in the gas sector? 00: 02 October 10, 2023 “If I break here, he is here - he сломается там» Как волонтеры Камчатки помогают семьям участников СВО00:01Байдену потребовалась помощь караула на кладбище01:56Украинский сервис такси разрешил жалобы на «антиукраинских» водителей01:27В Израиле заявили о потере контроля ХАМАС над Газой01:24Раскрыты подробности о любимом напитке москвичей в XIX веке01:23Арабские And the Islamic countries spoke about the future of the GAZ sector: 22 Bellator made a statement about the failure doping test of brother Nurmagomedov01: 11 “Hitler portraits hung in each class” Like Ukrainians from the SS division “Galicia” fled from the NKVD and hid in Canada? On November 2023, it is known about the preparation of the slave for a long conflict with Russia01: 01 Russian military tore off the landing of the Armed Forces on the left bank of the Dnieper. 11 Morpokhs were captured19: 20 November 11, 2023 Tonnahu announced Israeli's plans to ensure control over security in Gaza00: 57 days of the Moscow Airport resumed full -time work after restrictions on flights00: 45 popular video -relevant Kia Carnival videos: Ultra -Ruscular version00: 29 scientists officially named the mummies of alien from the pen. Ru are genuine . Did the aliens really discovered on Earth? 23: 07 on November 10, 2023, Russia arose a stir for crossovers Geely Monjaro00: 29 Federal Protection Service purchased Chinese vans and pickups00: 29 aleonardo DiCaprio - 49. How he spends millions of dollars on luxurious rest with models and? Shark? 00: 01 on November 11, 2023, the first crossover Ferrari was estimated in rubles: how much it costs 00: 29 Izrail rejected the possibility of resuming settlement activities in Gaza00: 25 ordering the possible existence of life in ice water on exoplanets00: 10 in the United States talked about the hostage lists between Israel and hamas23: On November 11, 2023, Ukraine predicted new economic conflicts with the European Union23: 54 November 11, 2023 Home on a maniac war with bandits and a fight with a lion: which became famous for the most famous policemen of the USSR and Russia00: November 11, 2023 Nurmagomedov, they will deprive the Bellator champion for doping23: 44 on November 11 on November 11 on November 11 2023 Druzes and partners "I liked all the veins!" Like 450 years ago, tea appeared in Moscow and why Muscovites without it were not able to be: 05 times such Tucker Carlson and why they love him in Russia and hety in the United States. “Sexist” “Racist” and defender of freedom of speech08: November 11, 2023 What is “Black Friday” when it passes and how to save with its help in 2023. Simple words 08: 31 November 11, 2023 This is not Matiz: how do you know Fiat Lucciola? 30 years ago, Italians tried to revive the old legend but created a new09: 48 November 10, 2023 What is the Law on Silence and when it is impossible to make noise. In simple words 08: 03 November 10, 2023 What is a social rating and why they want to implement it in Russia. Simple words 08: 03 November 10, 2023 "Each time going out into the street you risk your life!" The history of the Muscovite who abandoned everything and went to Naples00: November 10, 2023Muzhsky intimate plastic: 7 patients of patients performed the procedure16: November 12 9, 2023 Walls with a small engine, two-liter G-Wagen and other cars that have something to be ashamed09: 48 November 9, 2023 What is a magnetic storm And how it affects people. Simple words08: 02 November 9, 2023 What is reflection and how to reflect correctly. Simple words 08: 02 November 9, 2023 “We got married as mature people” Lyudmila Chursina - about the love of death of Moscow and St. Petersburg00: 07 November 9, 2023 What is a protein diet and what is its benefit and harm. In simple words 08: 00 November 8, 2023 What is vitamin B12 why the body needs it and in what products it is contained. Simple words08: 00 November 8, 2023 "They will also pay for this garbage!" How to get rid of unnecessary things in Moscow and earn money on this00: 05 November 8, 2023 “You can’t do anything” a well-known ophthalmologist spoke about the most difficult moments and unique methods of treatment13: November 7, 2023-Turned in America, the 80s Pontiac which was almost able Hot Hatch Shelby and other unusual models10: 19 November 7, 2023 “Fire against Schusev repaid Beria” The story of the legendary architect born 150 years ago, November 6, 6, 2023 “My nerves ended” as an employee of the landfill, became business lane00: 10 4423 Cupcubs of charts Acquaintance with Shatunov and the curse of Razin interviews with singer Andrei Timofeev15: 16 November 2, 2023 Russian -Russian warned about fraud on dating sites23: November 11, 2023, explained the rejection of the title fight in UFC23: November 11, 2023 “Not a step backward - followed by the morgue” as in us. The Donbass prepare future attack aircraft for the realities of the modern war? 00: 01 on November 10, 2023v Kiev revealed a way to resolve the conflict in Ukraine23: November 11, 2023 in Russia, a new way of fraud appeared. What is the secret of a multi -route scheme with ads services? 17: 42 November 10, 2023v Israel " Hezbollah ”from joining conflict23: 21 November 11, 2023 Hellair,“ Hezbollah ”addressed the Biden administration22: 47 November 11, 2023 Russian -Russian Pavlovich described the secret of success in UFC22: 41 on November 11, 2023 Russian Russians warned about the magnetic storm on the night of Sunday 22: 34 11 on November 11 on November 11 2023 It is known about the plans of Colonel of the Armed Forces of Ukraine to captivate Wagner in 202022: November 11, 2023, the Internet was captured by Taliban and surprised everyone. He spent a great time and called the terrorists to the brothers00: November 10, 2023 Hungry proposed creating a new security system in Europe22: 15 on November 11, 2023 The series “The Word of the Boanding” about the youth gangs of the collapse of the USSR. Why is it worth it to look at it? 11: 52 on November 10, 2023, the Israeli air defense seized the “suspicious target” 21:56 November 11, 2023 Eendocrinologist Pavlova revealed the personal principles of food21: 56 November 11, 2023, Ukraine announced the coming of Russia at Kupyansk21: 44 November 11, 2023 “Zenit” And “Krasnodar” was tied in the RPL21: November 118, 2023 APU, the Armed Forces of the Armed Forces were called the coordinator of the attack on “Northern Streams” 21:19 on November 11, 2023 The defense of Ukraine told Pentagon about the needs of Kiev21: 17 11, 2023 “Three -leaf native!” The Russian rifle Mosin passed all the wars of the 20th century. How did this legendary weapon appear? 00: 01 on November 10, 2023, the Navigation of Ukraine was called a disappointment for the Allies of Zelensky21: 15 on November 11, 2023 “A loser one who does not get up from the ass” as a British plaster fell to the Olympics, he lost but became a celebrity 20: 01, 2023, the defense of Croatian defense, the Croatian minister He was in a car accident21: 05 on November 11, 2023VSU fired at the Russian border city 20: 59 November 11, 2023 Russian skater-champion spoke about the desire to record a song 20: 54 on November 11, 2023 INO MASK wants to implant a dangerous chip in the brain of tens of thousands of people. Animals with such chips spent the rest of their lives in agony22: 54 on November 9, 2023 Beyrut predicted a repetition of the fate of the Gaza under one condition 20: 51 on November 11, 2023 -Russians, he beat her20: 40 on November 11, 2023 “This is a blow to the unity of Russia” 30 years ago Yeltsin liquidated Yeltsin Ural Republic. Why was he frightened by his fellow countrymen? 00: 01 November 9, 2023, Britain announced the deficiency of “patriots” in Russian car dealerships 20: 10 November 2023NO SUBARU Forester, which was broken due to failures at the front of Zelensky 20: 24 on November 11, 2023 On November 2023Chery, she began selling cars on a “ozone” with solid discounts 20: 10 November 11, 2023 Chines, showed minivan with sun lust and a huge leg reserve 20: 10 November 11, 2023 Medical Media Medical Media could know in advance about Hamas attack on Israel. They invaded the country along with terrorists18: November 9, 2023 in London, 92 protesters during a rally in support of Palestine 20: 09 on November 11, 2023 Ukrainian journalist announced the words of the head of the European Commission of the ears 20: 00 on November 11, 2023v Finland refused to let the Russians on bicycles19: 55 11: 55 11: 55 11: 55 11: 55 11: 55 11: 55 11 On November 2023, they began to dump home -made cassette ammunition into Russia. What is known about the new tactics of Ukrainians? 13: 59 on November 9, 2023, Lokomotiv announced the desire to return Miranchuk19: November 11, 2023 Pentagon spends millions in search of werewolves and Congress discusses UFOs. Why in the USA was obsessed with the supernatural? 00: 01 on November 9, 2023 in Moscow, the courier scammers took the safe from the pensioner with money19: November 11, 2023, Japan announced the most serious threat to the country since the Second World War19: November 11, 2023 Kazakhstan blogger challenged the son of Kadyrov19: On November 11, 2023, Russia spoke about the importance of the world recognition of Moscow’s victory over Kiev19: 22 November 11, 2023, Iceland, a few days later predicted the eruption of volcanoes19: 06 November 11, 2023v Okko - the series “Magic Plot” on the fighting of the police with evil heroes of Russian fairy tales. Why is this Russian answer “Deadpool”? 00: 01 November 9, 2023 Rykransk, a multi -million -dollar price tag and Ryder Meladze for a performance in Moscow18: 52 November 11, 2023 articular intelligence “hand” and self -cleaning. What else is surprised by the Dreame robot vacuum cleaner? 19: 51 on November 9, 2023, the NATO Secretary General of NATO proposed to accept Ukraine in the alliance in new borders18: 49 November 11, 2023, the woman suffered from the shelling of the Russian region from Ukraine18: 47 on November 11, 2023v, explosions occurred18: 46 on November 11, November 11 2023odna from countries wanted to double the military assistance to Ukraine18: 46 November 11, 2023Pol nationalists staged a march in Warsaw18: 35 November 11, 2023citroen showed a “sports” version of the My Ami18 quadricated: November 11, 2023 Truth protects from all diseases and strengthens immunity? Doctors dispelled myths about the benefits and dangers of the bath05: 00 November 9, 2023Toyota BZ4X will patrol parks and cemeteries18: 33 November 11, 2023 Prigozhina, Prigozhin is considered the chief heir to the founder of the PMC Vagner. What does he know about him and what business does he get? 00: 01 November 8, 2023electrikhana Two: published the trailer for the last video with Ken Blok18: November 11, 2023, 2023 Rock Star, put up for auction18: November 11, 2023Dontition-Contracts. SS of the use of a policy of confidentiality of the application of recommendatory technologies © 1999–2023 LLC "Lenta.ru" found a typo? PLACTRL+ENTER18+The feed of good is deactivated. FOR HAVED to the real world. New Materials News</v>
      </c>
    </row>
    <row r="523">
      <c r="A523" s="1" t="s">
        <v>1748</v>
      </c>
      <c r="B523" s="1" t="s">
        <v>1755</v>
      </c>
      <c r="C523" s="1" t="s">
        <v>1756</v>
      </c>
      <c r="D523" s="1">
        <v>3.0</v>
      </c>
      <c r="E523" s="4" t="s">
        <v>1757</v>
      </c>
      <c r="F523" s="1" t="s">
        <v>16</v>
      </c>
      <c r="I523" s="2">
        <v>3.0</v>
      </c>
      <c r="J523" s="5" t="str">
        <f>IFERROR(__xludf.DUMMYFUNCTION("GOOGLETRANSLATE(A523)"),"news")</f>
        <v>news</v>
      </c>
      <c r="K523" s="6" t="str">
        <f>IFERROR(__xludf.DUMMYFUNCTION("GOOGLETRANSLATE(B523)"),"Newsline")</f>
        <v>Newsline</v>
      </c>
      <c r="L523" s="5" t="str">
        <f>IFERROR(__xludf.DUMMYFUNCTION("GOOGLETRANSLATE(C523)"),"RIA Novosti - the latest news in Russia and the world, the most prompt information: themes of the day, reviews, analysis. Photos and videos from the scene, infographics, ...")</f>
        <v>RIA Novosti - the latest news in Russia and the world, the most prompt information: themes of the day, reviews, analysis. Photos and videos from the scene, infographics, ...</v>
      </c>
      <c r="M523" s="5" t="str">
        <f>IFERROR(__xludf.DUMMYFUNCTION("GOOGLETRANSLATE(G523)"),"#VALUE!")</f>
        <v>#VALUE!</v>
      </c>
    </row>
    <row r="524">
      <c r="A524" s="1" t="s">
        <v>1748</v>
      </c>
      <c r="B524" s="1" t="s">
        <v>1758</v>
      </c>
      <c r="C524" s="1" t="s">
        <v>1759</v>
      </c>
      <c r="D524" s="1">
        <v>4.0</v>
      </c>
      <c r="E524" s="4" t="s">
        <v>1760</v>
      </c>
      <c r="F524" s="1" t="s">
        <v>16</v>
      </c>
      <c r="I524" s="2">
        <v>3.0</v>
      </c>
      <c r="J524" s="5" t="str">
        <f>IFERROR(__xludf.DUMMYFUNCTION("GOOGLETRANSLATE(A524)"),"news")</f>
        <v>news</v>
      </c>
      <c r="K524" s="6" t="str">
        <f>IFERROR(__xludf.DUMMYFUNCTION("GOOGLETRANSLATE(B524)"),"The latest news of the day in Russia and the world today is fresh ...")</f>
        <v>The latest news of the day in Russia and the world today is fresh ...</v>
      </c>
      <c r="L524" s="5" t="str">
        <f>IFERROR(__xludf.DUMMYFUNCTION("GOOGLETRANSLATE(C524)"),"5 hours ago -")</f>
        <v>5 hours ago -</v>
      </c>
      <c r="M524" s="5" t="str">
        <f>IFERROR(__xludf.DUMMYFUNCTION("GOOGLETRANSLATE(G524)"),"#VALUE!")</f>
        <v>#VALUE!</v>
      </c>
    </row>
    <row r="525">
      <c r="A525" s="1" t="s">
        <v>1748</v>
      </c>
      <c r="B525" s="1" t="s">
        <v>1761</v>
      </c>
      <c r="C525" s="1" t="s">
        <v>1759</v>
      </c>
      <c r="D525" s="1">
        <v>5.0</v>
      </c>
      <c r="E525" s="4" t="s">
        <v>1762</v>
      </c>
      <c r="F525" s="1" t="s">
        <v>16</v>
      </c>
      <c r="G525" s="1" t="s">
        <v>1550</v>
      </c>
      <c r="H525" s="4" t="s">
        <v>1551</v>
      </c>
      <c r="I525" s="2">
        <v>2.0</v>
      </c>
      <c r="J525" s="5" t="str">
        <f>IFERROR(__xludf.DUMMYFUNCTION("GOOGLETRANSLATE(A525)"),"news")</f>
        <v>news</v>
      </c>
      <c r="K525" s="6" t="str">
        <f>IFERROR(__xludf.DUMMYFUNCTION("GOOGLETRANSLATE(B525)"),"News Mail.ru: News of Russia and the World, the last ...")</f>
        <v>News Mail.ru: News of Russia and the World, the last ...</v>
      </c>
      <c r="L525" s="5" t="str">
        <f>IFERROR(__xludf.DUMMYFUNCTION("GOOGLETRANSLATE(C525)"),"5 hours ago -")</f>
        <v>5 hours ago -</v>
      </c>
      <c r="M525" s="5" t="str">
        <f>IFERROR(__xludf.DUMMYFUNCTION("GOOGLETRANSLATE(G525)")," News of Russia and the world recent events today-news Mail.ru Mail.ru Mirodniklassnikovkontaktegryznakottaktegryno-Knoblokoblakovkovk Combones Projects of Project Ru-Medication Main Palace-Israeli Conflictspecetics in Ukraine of the Russian Federation on"&amp;" Ukrainian Armed Forces of the Russian Federation destroyed four mineral expanses In total, the enemy lost up to 50 troops per day on This direction was stated by the head of the Press Center of the West group Sergey Zybinsky Sosamlet, the United States c"&amp;"rashed in the Mediterranean Moresmi: in 2020, the WAGNE PMC “Wagner” in Belarus Tokyo curled the most serious threat from the time of the Second World Wide-Russian paratrooper will fought for the UFC title in heavy Vesev Tokyo curled the most serious thre"&amp;"at from the time of the Second World War II will fight for the UFC title in the heavy Wesecurs of the dollar. The forecast for November 13-17, you need to sit to properly measure the pressure of Vnukovo, introduced restrictions on the reception and depart"&amp;"ure of airplane. Air conductors for militants in Syriazrail stroked air strikes in Syriachacyupion Bellator Nurmagomedov disqualified due to doping, popularly a day of McGregor: Conflict in Ukraine: Conflict in Ukraine is actually finalized by the conflic"&amp;"t in Ukraine Weather forecaster He revealed what winter will be in the Russian President this year: the conflict with the Russian Federation will lead to the disappearance of the USAMACRON did not exclude the “honest” negotiations of Ukraine and the Russi"&amp;"an Ukrainian proposed to accept in the new border, one country announced plans to join BRICSPOLITIC03: 01 (Moscow time) © The US Congress Congress News presented a plan to prevent Shatdaunavashington on November 12 - RIA Novosti. The new speaker of the Ho"&amp;"use of US representatives Mike Johnson less than a week before a possible shutdown submitted a bill on two -stage financing of government programs in which there is no financing of Kiev should be from the document. Nenyahu announced the demilitarization o"&amp;"f the Gas sector at the end of conflictagramania will increase military assistance to Ukraine by 2024 to € 8 billion San Francisco took homeless and drug addicts before the visit of Xi Jinpin economy on November11 © RIA Novosti said that Russia needed for"&amp;" economic eccentrician November 11-RIA Novosti. Russian financiers today celebrate one of their professional holidays - the Economist Day. Almost 260 years ago on this day, by decree of Catherine II, the Imperial Free Economic Society was created. In hono"&amp;"r of this holiday, RIA Novosti asked experts to draw up a recipe for an “economic miracle” for our country. The unemployment in Russia in comparison with other countries of the world. The infographic government additionally allocated 95 billion rubles for"&amp;" a preferential mortgage of Russia from April 1, 2024 can expand the labeling of the beer: 27 (Moscow time) (MSC) Lenta.ru Gigante 90-kilogram python was caught in the USA swamps of the USA hunters caught a giant dark tiger python. Four men and young man "&amp;"were in the reserve when they found a 90-kilogram snake. They grabbed Python and tried to immobilize him. The reptile began to break out and raise the body above the ground trying to wrap the bodies of the hunters. The doctors found a way to save people w"&amp;"ith anemia under the heart, a new useful property of vitamin dio revealed the secret of the 16th century picture of the German Holbeanasye artist: 39 (Moscow time) Izvesteuzema, magnitude 54, occurred Fixed In Indonesia. This was reported on November 12 i"&amp;"n the European-Mediterranean Seismological Center. Russian pilots and artillerymen hit the assault groups of the Armed Forces of Ukraine in the LNDs of police officers wounded during the rally in support of Palestine in Londonop on the shelling of Donetsk"&amp;" by the Armed Forces of the Armed Forces, a peaceful resident of the media on social networks on social networks on social networks06: 35 (35 (35 ( MSC) An elderly dachshund was stuck in the sewer and sat there for two days. In the suburbs, the 12-year-ol"&amp;"d dog Savva fell into the hatch and stuck between the pipes ... Moscow Komsomolets06: 32 (MSC) Farmers of the European countries are afraid of Ukraine’s entry into the EU because of fears not to maintain competition in the agricultural product ... Gazeta."&amp;"ru06: 32 (Moscow time) In Novosibirsk, they created an application for voicing the Russian language of gestures. The system recognizes the movements of the hand using the camera in the smartphone. At ... TASS06: 30 (Moscow time), US Secretary of Defense L"&amp;"loyd Austin discussed with the Ukrainian colleague Rustema Umarov the needs of Kiev and plans for the upcoming meeting ... Izvestia06: 30 (Moscow time) L'Apinion: Farmers of Europe began to experience concerns due to competition in the agricultural produc"&amp;"ts market From Ukraine, if ... Moscow Komsomolets06: 22 (Moscow time) Thailand can become a new buyer of the Russian-Indian missiles ""Brammos"" by purchasing them from India in 2024 by Indian Defense News ... Moscow Komsomolets 06: 16 (MSC) in the Irkuts"&amp;"k region, a train collided and The truck on preliminary information killed 3 people reports RIA Novosti with reference to ... TASS06: 05 (Moscow time), Jordan threw humanitarian aid for the air -guided hospital hospital in the gas sector controlled by the"&amp;" air. This is written by The Times ... Moscow Komsomolets06: 03 (MSC), from the point of view of law, Russian and Chinese oil and gas companies adapted to cooperation in the conditions of sanctions pressure ... Arguments and facts06: 00 (MSC) How to pay l"&amp;"ess taxes legally? Laws allow many Russians to significantly reduce their tax payments. What are the possibilities for ... a certificate of comprehensive prohibition of nuclear tests. The history and main provisions of the 5 cards of the conflict of Israe"&amp;"l and Palestine: brief essence of the chronology 4 Carder register of military accounting and electronic summons: what you need to know 5 cards -posed but non -hazardous: what you need to know about the coronavirus of Pyrole 5 cards signed a decree on a d"&amp;"igital passport. What is it and how to get4 CVTs BRICS agreed to accept six new members. What countries will be included in the association? 6 Luna-25 cards died. What you need to know about the crash of the mission5 of Russian cards will be blocked by mi"&amp;"llions of SIM cards. Who will affect and is it possible to avoid blocking? 5 cards are known about the new rules for calling for military service5 cardscifre ruble in simple words: why is it needed and how to use 7 cards on Tinkoff and Unistim. How they w"&amp;"ill affect banks and transfers4 cards, it is known about the termination of grain transaction 6 cards photo reports15 Waiters of the MangRove PhotoGraphy Awards13 British environmental society announced the winners of their photo contest of 19th -class ph"&amp;"otos with the best color combinations. Of the years 202341 The most funny photos of wild animals24 laureates of the Nobel Prize from Russia24 published the best conceptual pictures are ordered year 26 Siena International Photo Awards 202318 Winners of the"&amp;" NATURE TTL PhotoGrapher of the Year, the worst attitude of the world tests for the festivities of festival of festival or fruit: what do you know about various type, are ordered. X nutrition (test) Test: How many traditions of Halloween Do you know? Kamo"&amp;"rmband and Corruption: Are you understanding the men's wardrobe items? Help Yourself: Guess the correct translation of the phrase: Was there really such a love is liner? A third -grader coped with this mathematical task in 10 seconds and you can? Test: ho"&amp;"w is it good You are familiar with the biography of Leo Tolstogotest: guess how to celebrate Knowledge Day in different countries: amazing facts about the Russian Knito -Room: Guess the quote from the film ""Seventeen Moments of Spring"" Test: What do you"&amp;" know about champagne? Navigator of enterprise: What is the purpose and function of psychology: what is it. The history of the task is to see what is an insurance company and how it works what phraseological and economic economics: definition of the conce"&amp;"pt of type of society: how functions and signs have originated what is a technology what is an organization: definition and characteristics that the word “analysis” politician: who does this and how its activity affects the world what the law is the law. "&amp;": Determining and their varieties: the difference and definition of &lt;div class = ""JS-Module"" Data-Mole = ""Slotmodel"" Data-View = ""SlotView.345798"" Data -id = ""345798"" Data-Brandsafuty = ""0""&gt; &lt; /DIV&gt; Subscribe to the us.mail.ru company advertisin"&amp;"g to cancel the projects of technologies of recommendations for the use of the material -based relationship of the site")</f>
        <v> News of Russia and the world recent events today-news Mail.ru Mail.ru Mirodniklassnikovkontaktegryznakottaktegryno-Knoblokoblakovkovk Combones Projects of Project Ru-Medication Main Palace-Israeli Conflictspecetics in Ukraine of the Russian Federation on Ukrainian Armed Forces of the Russian Federation destroyed four mineral expanses In total, the enemy lost up to 50 troops per day on This direction was stated by the head of the Press Center of the West group Sergey Zybinsky Sosamlet, the United States crashed in the Mediterranean Moresmi: in 2020, the WAGNE PMC “Wagner” in Belarus Tokyo curled the most serious threat from the time of the Second World Wide-Russian paratrooper will fought for the UFC title in heavy Vesev Tokyo curled the most serious threat from the time of the Second World War II will fight for the UFC title in the heavy Wesecurs of the dollar. The forecast for November 13-17, you need to sit to properly measure the pressure of Vnukovo, introduced restrictions on the reception and departure of airplane. Air conductors for militants in Syriazrail stroked air strikes in Syriachacyupion Bellator Nurmagomedov disqualified due to doping, popularly a day of McGregor: Conflict in Ukraine: Conflict in Ukraine is actually finalized by the conflict in Ukraine Weather forecaster He revealed what winter will be in the Russian President this year: the conflict with the Russian Federation will lead to the disappearance of the USAMACRON did not exclude the “honest” negotiations of Ukraine and the Russian Ukrainian proposed to accept in the new border, one country announced plans to join BRICSPOLITIC03: 01 (Moscow time) © The US Congress Congress News presented a plan to prevent Shatdaunavashington on November 12 - RIA Novosti. The new speaker of the House of US representatives Mike Johnson less than a week before a possible shutdown submitted a bill on two -stage financing of government programs in which there is no financing of Kiev should be from the document. Nenyahu announced the demilitarization of the Gas sector at the end of conflictagramania will increase military assistance to Ukraine by 2024 to € 8 billion San Francisco took homeless and drug addicts before the visit of Xi Jinpin economy on November11 © RIA Novosti said that Russia needed for economic eccentrician November 11-RIA Novosti. Russian financiers today celebrate one of their professional holidays - the Economist Day. Almost 260 years ago on this day, by decree of Catherine II, the Imperial Free Economic Society was created. In honor of this holiday, RIA Novosti asked experts to draw up a recipe for an “economic miracle” for our country. The unemployment in Russia in comparison with other countries of the world. The infographic government additionally allocated 95 billion rubles for a preferential mortgage of Russia from April 1, 2024 can expand the labeling of the beer: 27 (Moscow time) (MSC) Lenta.ru Gigante 90-kilogram python was caught in the USA swamps of the USA hunters caught a giant dark tiger python. Four men and young man were in the reserve when they found a 90-kilogram snake. They grabbed Python and tried to immobilize him. The reptile began to break out and raise the body above the ground trying to wrap the bodies of the hunters. The doctors found a way to save people with anemia under the heart, a new useful property of vitamin dio revealed the secret of the 16th century picture of the German Holbeanasye artist: 39 (Moscow time) Izvesteuzema, magnitude 54, occurred Fixed In Indonesia. This was reported on November 12 in the European-Mediterranean Seismological Center. Russian pilots and artillerymen hit the assault groups of the Armed Forces of Ukraine in the LNDs of police officers wounded during the rally in support of Palestine in Londonop on the shelling of Donetsk by the Armed Forces of the Armed Forces, a peaceful resident of the media on social networks on social networks on social networks06: 35 (35 (35 ( MSC) An elderly dachshund was stuck in the sewer and sat there for two days. In the suburbs, the 12-year-old dog Savva fell into the hatch and stuck between the pipes ... Moscow Komsomolets06: 32 (MSC) Farmers of the European countries are afraid of Ukraine’s entry into the EU because of fears not to maintain competition in the agricultural product ... Gazeta.ru06: 32 (Moscow time) In Novosibirsk, they created an application for voicing the Russian language of gestures. The system recognizes the movements of the hand using the camera in the smartphone. At ... TASS06: 30 (Moscow time), US Secretary of Defense Lloyd Austin discussed with the Ukrainian colleague Rustema Umarov the needs of Kiev and plans for the upcoming meeting ... Izvestia06: 30 (Moscow time) L'Apinion: Farmers of Europe began to experience concerns due to competition in the agricultural products market From Ukraine, if ... Moscow Komsomolets06: 22 (Moscow time) Thailand can become a new buyer of the Russian-Indian missiles "Brammos" by purchasing them from India in 2024 by Indian Defense News ... Moscow Komsomolets 06: 16 (MSC) in the Irkutsk region, a train collided and The truck on preliminary information killed 3 people reports RIA Novosti with reference to ... TASS06: 05 (Moscow time), Jordan threw humanitarian aid for the air -guided hospital hospital in the gas sector controlled by the air. This is written by The Times ... Moscow Komsomolets06: 03 (MSC), from the point of view of law, Russian and Chinese oil and gas companies adapted to cooperation in the conditions of sanctions pressure ... Arguments and facts06: 00 (MSC) How to pay less taxes legally? Laws allow many Russians to significantly reduce their tax payments. What are the possibilities for ... a certificate of comprehensive prohibition of nuclear tests. The history and main provisions of the 5 cards of the conflict of Israel and Palestine: brief essence of the chronology 4 Carder register of military accounting and electronic summons: what you need to know 5 cards -posed but non -hazardous: what you need to know about the coronavirus of Pyrole 5 cards signed a decree on a digital passport. What is it and how to get4 CVTs BRICS agreed to accept six new members. What countries will be included in the association? 6 Luna-25 cards died. What you need to know about the crash of the mission5 of Russian cards will be blocked by millions of SIM cards. Who will affect and is it possible to avoid blocking? 5 cards are known about the new rules for calling for military service5 cardscifre ruble in simple words: why is it needed and how to use 7 cards on Tinkoff and Unistim. How they will affect banks and transfers4 cards, it is known about the termination of grain transaction 6 cards photo reports15 Waiters of the MangRove PhotoGraphy Awards13 British environmental society announced the winners of their photo contest of 19th -class photos with the best color combinations. Of the years 202341 The most funny photos of wild animals24 laureates of the Nobel Prize from Russia24 published the best conceptual pictures are ordered year 26 Siena International Photo Awards 202318 Winners of the NATURE TTL PhotoGrapher of the Year, the worst attitude of the world tests for the festivities of festival of festival or fruit: what do you know about various type, are ordered. X nutrition (test) Test: How many traditions of Halloween Do you know? Kamormband and Corruption: Are you understanding the men's wardrobe items? Help Yourself: Guess the correct translation of the phrase: Was there really such a love is liner? A third -grader coped with this mathematical task in 10 seconds and you can? Test: how is it good You are familiar with the biography of Leo Tolstogotest: guess how to celebrate Knowledge Day in different countries: amazing facts about the Russian Knito -Room: Guess the quote from the film "Seventeen Moments of Spring" Test: What do you know about champagne? Navigator of enterprise: What is the purpose and function of psychology: what is it. The history of the task is to see what is an insurance company and how it works what phraseological and economic economics: definition of the concept of type of society: how functions and signs have originated what is a technology what is an organization: definition and characteristics that the word “analysis” politician: who does this and how its activity affects the world what the law is the law. : Determining and their varieties: the difference and definition of &lt;div class = "JS-Module" Data-Mole = "Slotmodel" Data-View = "SlotView.345798" Data -id = "345798" Data-Brandsafuty = "0"&gt; &lt; /DIV&gt; Subscribe to the us.mail.ru company advertising to cancel the projects of technologies of recommendations for the use of the material -based relationship of the site</v>
      </c>
    </row>
    <row r="526">
      <c r="A526" s="1" t="s">
        <v>1748</v>
      </c>
      <c r="B526" s="1" t="s">
        <v>1763</v>
      </c>
      <c r="C526" s="1" t="s">
        <v>1759</v>
      </c>
      <c r="D526" s="1">
        <v>6.0</v>
      </c>
      <c r="E526" s="4" t="s">
        <v>1764</v>
      </c>
      <c r="F526" s="1" t="s">
        <v>16</v>
      </c>
      <c r="G526" s="1" t="s">
        <v>1743</v>
      </c>
      <c r="H526" s="4" t="s">
        <v>1744</v>
      </c>
      <c r="I526" s="2">
        <v>3.0</v>
      </c>
      <c r="J526" s="5" t="str">
        <f>IFERROR(__xludf.DUMMYFUNCTION("GOOGLETRANSLATE(A526)"),"news")</f>
        <v>news</v>
      </c>
      <c r="K526" s="6" t="str">
        <f>IFERROR(__xludf.DUMMYFUNCTION("GOOGLETRANSLATE(B526)"),"Interfax: News")</f>
        <v>Interfax: News</v>
      </c>
      <c r="L526" s="5" t="str">
        <f>IFERROR(__xludf.DUMMYFUNCTION("GOOGLETRANSLATE(C526)"),"5 hours ago -")</f>
        <v>5 hours ago -</v>
      </c>
      <c r="M526" s="5" t="str">
        <f>IFERROR(__xludf.DUMMYFUNCTION("GOOGLETRANSLATE(G526)"),"���������: ���������������� �������� ""����������""Interfax.com���������-������������������...����������������������������������������      USD9205EUR983211.11+01311.11-009���������•••���� ��� ������������������� ������� ��������������������������������Di"&amp;"gital���������� ��������� ������������������������������� �������� �� ���������������� � 14:15������� ������������� ����� ��� ������� �������� ������� � ������������� �������� ������ �������� ��� ��� �������� �������� � ������� ���������� ����� ����� � ��"&amp;"����� 19 �������� ������� ��� �������������� ��� ��� �������� �������� � ����������� ���������� ������ � ����������� ���� �� ������ ���� � ������������ �� ���� ������ ���������� ������������ �� ������������ �������� � ������ �� ����������� �������06:32���"&amp;"����� ������� ��� � ������� �������� ������� ����������� �����05:55��� �������� ����� �������� ������������ ��������� � ������ � ��������� ���������� �������� ���������� �������� �������� ������ ������05:41��� ������� ��������� ���� �� ���������� �����05:"&amp;"34��������� �������� ������ �������� ��� ��� �������� ����04:40����������� ������� ������� ����� �� ����� � ������04:32���������� ���������-������������ ��������������� ����� ��� ������� �������� ������� � ����03:00������� ��� ��� �������� �������� � ����"&amp;"������� ����00:59���������� ������� ������� ��������� �� �������� �������� � �����23:18�������� ������������ �� ������������ �������� � ������ �� ��23:06����������� ������� ������� ��� �� �������� �������� � ����22:50���� ������� ������� ��������� �������"&amp;"� �� ������ ���� �� �� �����22:28��������� �������� �������� � ������ ����� ������ ������� ATP22:12""�����"" � ""���������"" ������� ������ � ���������� ������ �� �������22:09���������� ���������-������������ ������������ ��������� ������� ������� �� ����"&amp;"����� ��������� �� ������� �������21:45���������� ���������-������������ ��������������������� � �������� ����������� ������������ ����������� ���� � ����20:46������� ������������� ������ ������� ������ � ����������� ��� � �������� ����20:30��� ��������� "&amp;"�� ����: ������� 11 ������20:07������� ������� ������������� ������ ���������� ��� ������� �������� ����19:59� ��������� ������� ������ � ����� 11 �� 19 �������� ������� ��������� ������19:24""���������"" ������� ""�����"" � ����� ���19:15���� � ������� �"&amp;"��������� ����� ����� � ������� 19 �������� ������� ��� �������19:08������� �������� ������� � ���������� �������� ���� � �������� �������18:34���� � ��������� ����������� �������� � �������18:26����� Beatles ���������� ���-����� �������������� ������� � "&amp;"1969 �.17:51������� ������� �������� �������� ��������� � �������� ������17:41���������� �� ��������� �������� ���������� ��. ������ �������������� � ������17:00� ��� �� ������� ���������������� ��������� ����� �������� Carlsberg16:48���������� ���������-"&amp;"������������ ��������������������� ��� ������������ ������ �������� ""��-����"" � ������� ����15:45���������� ���������-������������ ������������������� ��������� ������� � ������������ ����������� ���� � ������� ����15:37����� �������� ������������ �� ��"&amp;"���� ��������� ��� ����� ""������"" �� 2030 ����14:59����������������� ����� ��� ������������ ������������� ����� � ��������� �������14:15������� �������� �� ����������������� �� �������� �� ��������� � ������� ����� ������ ���� ���13:32������ ������ � ��"&amp;"��������� ���� �� ������ ���� � ������������ �� ���� ������ ��13:05� ��� �� ������� ������������ ��������� ������ � ������� �������������� ������ � ��������12:53� �������� �������� ����� ������������ �������� ��-�� ������ ���������� �������12:19� ��������"&amp;"� ������� 19 �������� ������� ����� � �������11:36���������� ���������-������������ �������������� ������� ������� ������� �� ������ �� ���������� �������� ����� �� ����11:20� ������ ����� ����������� ��������� �� ���������� � ����������11:14��� ���������"&amp;" ���������� �� ��������� ����� 40 ���� ��������� � ����������11:01��� ������������ ����� � ������������ ��������� ����������� ���������� �������10:34���� ������������ ��������������� ��������� ��� �� �����10:00���������� ���������-������������ �����������"&amp;"�������-����������� ��������: ������� ������� ������ ���� �� ���������� � ������-���?09:30��� ���� ��������� �� ������ ""���������"" �� ��������� ""�������"" � ���09:18�������� � ������� ������� ""����������"" �������� ""���-������"" � ���08:30��� �������"&amp;"�� ���� �����: ������� 11 ������07:53���������� ���������-������������ ������������������� ������ �������� � ������� ������ �� �������� � ������� ����07:37�������� � 152 ��������� �� �� ��������� ������� �� ����� ������������ - �����07:16���� ������� ��� "&amp;"��� ��������� ������������� �� ��������� �����������06:51������� �������� �� ����������������� ������� ������� �� ������ �� ����� ��� � ������������ ��� ������� ����������� ��������������� �� ������������ ��������� �������� � ����� ����������������� �����"&amp;"��� � ����������� ������ ��������������� ��������������� �� ������� ������� ��-2 ������� ������������ ������� ������ ����������� ������""������ �����"" � ������� � ��� �����-����������� ������� � ����������� �������� �������arlsberg ������ ������ ��������"&amp;"����� ����� ��-�� �������� ������ ""�������""�����������10 ���������� ���� ������10 ��������������� 10 ������10 ��������������� 9 ����������� ��������  ��� ��������� � ���� �����. �������� �������� ������ ���������� ��������� �� ������ ������. ����� �����"&amp;"� �� 8 ������� ��������� ������� ��������� ��� � ����� � 27 ����. �������������������� �� ��: ��������� ����� �� ������� ���������� ����� ������� - ���������� ������ �� ������������������� �������� ��������� � �������� � ��������� ��������� � ��������� ��"&amp;"������� ������� �� �������������� ��������� ��: ������ ��� �������� ������ ������� ��� ����� ������������� ������� �� ����������������� ����������� �������� ��������� � ��� ��� ����������� ���������� �������� � � ������ ��������� ���������������������� ��"&amp;"�: ��������� ������ � �� ����� ���� �������� ������������� � ������� � ������� ���� ������������������� ����������������� ������������ �������� ��������� ���� ����� �� ������� � �������� � ���� �� ����� ���������� ���������� ������������ ��������� � �����"&amp;"���������� �� ��������������� ""������� �����"": �� ��������� ��������������� ���� � 20% ���������� ����� �������� ���������� �������� ��������� � ���������� � ������� � ����������� ��� ""������� �����""�����-����� �����-������Business Wire: ���������� ��"&amp;"�� �������� ������������ �������� �������������� �� ��������� �������� � �������� � ��������� ����������� �������������� � ���-���������� �������: ��� �������� ������� �� ������������ ��������� ������� � ����� ����� ����� ������� ���������� � ���������� �"&amp;"��������� ������������� ��������������� ��������Business Wire���������� ���� �������� ������ ���������������-����������� �������� ������ ������� � ����������� �������� ������ �� ����������� ��������� ""������� ���"" ������������������� ""����������""�����"&amp;"-�������������������� �� ���������������� Copyright � 1991—2023 Interfax. ��� ����� ��������. ������� ������� ""���������.��"".�������������� � ����������� ��� �� � �� 77 - 84928 ������ ����������� ������� �� ������� � ����� ����� �������������� ���������"&amp;"� � �������� ������������ (������������) 21.03.2023. ��� ���������� ����������� �� ������ ���-����� ������������� ������ ��� ������������� ����������� � �� �������� ����������� ��������������� �/��� ��������������� � �����-���� ����� ����� ��� � ���������"&amp;"�� ���������� ����������.�������� ������������� �������������� ������ ""���������""���������� � ��������� ������� � ����������X-Compliance����������������Interfax Dun&amp;Bradstreet������� � ������������ ""����������""����RU Data����� ��������� ������������� "&amp;"����������      ���������� ������ �� �����? �������� �������� ������ � ������� � ������� Ctrl + Enter.  ������� ������������� ������������������ ������������ – Motka.ru")</f>
        <v>���������: ���������������� �������� "����������"Interfax.com���������-������������������...����������������������������������������      USD9205EUR983211.11+01311.11-009���������•••���� ��� ������������������� ������� ��������������������������������Digital���������� ��������� ������������������������������� �������� �� ���������������� � 14:15������� ������������� ����� ��� ������� �������� ������� � ������������� �������� ������ �������� ��� ��� �������� �������� � ������� ���������� ����� ����� � ������� 19 �������� ������� ��� �������������� ��� ��� �������� �������� � ����������� ���������� ������ � ����������� ���� �� ������ ���� � ������������ �� ���� ������ ���������� ������������ �� ������������ �������� � ������ �� ����������� �������06:32�������� ������� ��� � ������� �������� ������� ����������� �����05:55��� �������� ����� �������� ������������ ��������� � ������ � ��������� ���������� �������� ���������� �������� �������� ������ ������05:41��� ������� ��������� ���� �� ���������� �����05:34��������� �������� ������ �������� ��� ��� �������� ����04:40����������� ������� ������� ����� �� ����� � ������04:32���������� ���������-������������ ��������������� ����� ��� ������� �������� ������� � ����03:00������� ��� ��� �������� �������� � ����������� ����00:59���������� ������� ������� ��������� �� �������� �������� � �����23:18�������� ������������ �� ������������ �������� � ������ �� ��23:06����������� ������� ������� ��� �� �������� �������� � ����22:50���� ������� ������� ��������� �������� �� ������ ���� �� �� �����22:28��������� �������� �������� � ������ ����� ������ ������� ATP22:12"�����" � "���������" ������� ������ � ���������� ������ �� �������22:09���������� ���������-������������ ������������ ��������� ������� ������� �� ��������� ��������� �� ������� �������21:45���������� ���������-������������ ��������������������� � �������� ����������� ������������ ����������� ���� � ����20:46������� ������������� ������ ������� ������ � ����������� ��� � �������� ����20:30��� ��������� �� ����: ������� 11 ������20:07������� ������� ������������� ������ ���������� ��� ������� �������� ����19:59� ��������� ������� ������ � ����� 11 �� 19 �������� ������� ��������� ������19:24"���������" ������� "�����" � ����� ���19:15���� � ������� ���������� ����� ����� � ������� 19 �������� ������� ��� �������19:08������� �������� ������� � ���������� �������� ���� � �������� �������18:34���� � ��������� ����������� �������� � �������18:26����� Beatles ���������� ���-����� �������������� ������� � 1969 �.17:51������� ������� �������� �������� ��������� � �������� ������17:41���������� �� ��������� �������� ���������� ��. ������ �������������� � ������17:00� ��� �� ������� ���������������� ��������� ����� �������� Carlsberg16:48���������� ���������-������������ ��������������������� ��� ������������ ������ �������� "��-����" � ������� ����15:45���������� ���������-������������ ������������������� ��������� ������� � ������������ ����������� ���� � ������� ����15:37����� �������� ������������ �� ������ ��������� ��� ����� "������" �� 2030 ����14:59����������������� ����� ��� ������������ ������������� ����� � ��������� �������14:15������� �������� �� ����������������� �� �������� �� ��������� � ������� ����� ������ ���� ���13:32������ ������ � ����������� ���� �� ������ ���� � ������������ �� ���� ������ ��13:05� ��� �� ������� ������������ ��������� ������ � ������� �������������� ������ � ��������12:53� �������� �������� ����� ������������ �������� ��-�� ������ ���������� �������12:19� ��������� ������� 19 �������� ������� ����� � �������11:36���������� ���������-������������ �������������� ������� ������� ������� �� ������ �� ���������� �������� ����� �� ����11:20� ������ ����� ����������� ��������� �� ���������� � ����������11:14��� ��������� ���������� �� ��������� ����� 40 ���� ��������� � ����������11:01��� ������������ ����� � ������������ ��������� ����������� ���������� �������10:34���� ������������ ��������������� ��������� ��� �� �����10:00���������� ���������-������������ ������������������-����������� ��������: ������� ������� ������ ���� �� ���������� � ������-���?09:30��� ���� ��������� �� ������ "���������" �� ��������� "�������" � ���09:18�������� � ������� ������� "����������" �������� "���-������" � ���08:30��� ��������� ���� �����: ������� 11 ������07:53���������� ���������-������������ ������������������� ������ �������� � ������� ������ �� �������� � ������� ����07:37�������� � 152 ��������� �� �� ��������� ������� �� ����� ������������ - �����07:16���� ������� ��� ��� ��������� ������������� �� ��������� �����������06:51������� �������� �� ����������������� ������� ������� �� ������ �� ����� ��� � ������������ ��� ������� ����������� ��������������� �� ������������ ��������� �������� � ����� ����������������� �������� � ����������� ������ ��������������� ��������������� �� ������� ������� ��-2 ������� ������������ ������� ������ ����������� ������"������ �����" � ������� � ��� �����-����������� ������� � ����������� �������� �������arlsberg ������ ������ ������������� ����� ��-�� �������� ������ "�������"�����������10 ���������� ���� ������10 ��������������� 10 ������10 ��������������� 9 ����������� ��������  ��� ��������� � ���� �����. �������� �������� ������ ���������� ��������� �� ������ ������. ����� ������ �� 8 ������� ��������� ������� ��������� ��� � ����� � 27 ����. �������������������� �� ��: ��������� ����� �� ������� ���������� ����� ������� - ���������� ������ �� ������������������� �������� ��������� � �������� � ��������� ��������� � ��������� ��������� ������� �� �������������� ��������� ��: ������ ��� �������� ������ ������� ��� ����� ������������� ������� �� ����������������� ����������� �������� ��������� � ��� ��� ����������� ���������� �������� � � ������ ��������� ���������������������� ���: ��������� ������ � �� ����� ���� �������� ������������� � ������� � ������� ���� ������������������� ����������������� ������������ �������� ��������� ���� ����� �� ������� � �������� � ���� �� ����� ���������� ���������� ������������ ��������� � ��������������� �� ��������������� "������� �����": �� ��������� ��������������� ���� � 20% ���������� ����� �������� ���������� �������� ��������� � ���������� � ������� � ����������� ��� "������� �����"�����-����� �����-������Business Wire: ���������� ���� �������� ������������ �������� �������������� �� ��������� �������� � �������� � ��������� ����������� �������������� � ���-���������� �������: ��� �������� ������� �� ������������ ��������� ������� � ����� ����� ����� ������� ���������� � ���������� ���������� ������������� ��������������� ��������Business Wire���������� ���� �������� ������ ���������������-����������� �������� ������ ������� � ����������� �������� ������ �� ����������� ��������� "������� ���" ������������������� "����������"�����-�������������������� �� ���������������� Copyright � 1991—2023 Interfax. ��� ����� ��������. ������� ������� "���������.��".�������������� � ����������� ��� �� � �� 77 - 84928 ������ ����������� ������� �� ������� � ����� ����� �������������� ���������� � �������� ������������ (������������) 21.03.2023. ��� ���������� ����������� �� ������ ���-����� ������������� ������ ��� ������������� ����������� � �� �������� ����������� ��������������� �/��� ��������������� � �����-���� ����� ����� ��� � ����������� ���������� ����������.�������� ������������� �������������� ������ "���������"���������� � ��������� ������� � ����������X-Compliance����������������Interfax Dun&amp;Bradstreet������� � ������������ "����������"����RU Data����� ��������� ������������� ����������      ���������� ������ �� �����? �������� �������� ������ � ������� � ������� Ctrl + Enter.  ������� ������������� ������������������ ������������ – Motka.ru</v>
      </c>
    </row>
    <row r="527">
      <c r="A527" s="1" t="s">
        <v>1748</v>
      </c>
      <c r="B527" s="1" t="s">
        <v>1765</v>
      </c>
      <c r="C527" s="1" t="s">
        <v>1766</v>
      </c>
      <c r="D527" s="1">
        <v>7.0</v>
      </c>
      <c r="E527" s="4" t="s">
        <v>1767</v>
      </c>
      <c r="F527" s="1" t="s">
        <v>16</v>
      </c>
      <c r="G527" s="1" t="s">
        <v>1768</v>
      </c>
      <c r="H527" s="4" t="s">
        <v>1769</v>
      </c>
      <c r="I527" s="2">
        <v>4.0</v>
      </c>
      <c r="J527" s="5" t="str">
        <f>IFERROR(__xludf.DUMMYFUNCTION("GOOGLETRANSLATE(A527)"),"news")</f>
        <v>news</v>
      </c>
      <c r="K527" s="6" t="str">
        <f>IFERROR(__xludf.DUMMYFUNCTION("GOOGLETRANSLATE(B527)"),"The main news - Gazeta.ru")</f>
        <v>The main news - Gazeta.ru</v>
      </c>
      <c r="L527" s="5" t="str">
        <f>IFERROR(__xludf.DUMMYFUNCTION("GOOGLETRANSLATE(C527)"),"1 time ago -")</f>
        <v>1 time ago -</v>
      </c>
      <c r="M527" s="5" t="str">
        <f>IFERROR(__xludf.DUMMYFUNCTION("GOOGLETRANSLATE(G527)"),"The main news is Gazeta.ru news Sports -School of Supervalitical Survey of Cultivate Cultural Sciences and Chief -StorytoteTistylPhoto -nerdhotorinfographicography of the Council #War in Israel #the best doctors of the Russian City Sports #War in Israel #"&amp;"The best doctors of the Russian Political Economicity Cultivational of Culture of Culture and Children Photoinfographicics of the Condition of Israel announced the destruction of dozens of leaders Hamas06: 40 Moscow talked about the weather on Sunday06: 3"&amp;"1th shores of Indonesia, an earthquake of magnitude 5506 occurred: 20ostin discussed with Umarov the fighting in Ukraine06: 10 Dubl Ovechkina brought Washington to the victory over Aylanders 06:03 Pittsburgh defeated Buffalo thanks to Malkin's Grack05: 57"&amp;" Brate Habib made a statement against the background of a doping scandal05: 50 Ukrainian taxi service permitted complaints of complaints about “Anti -Ukrainian” drivers05: 26armia of the Russian Federation eliminated four mortar calculations of the Armed "&amp;"Forces in the Kupyansk direction05: 23 raw Plushenko responded to the proposal to go to Tutbridze in one word: 20VAZEGAZETA.ru on the working stand of quick accession now the main news - Gazeta.ru Picture of the day of the day named “ Northern streams. """&amp;" This is an arrested colonel of the VSUWP: the ex-colonel of the MSC APU coordinated the undermining of the Northern Streams 00:30 The train went off the rails after the railway detachment near Ryazan. The case of terrorist attacks of the Ryazan region wa"&amp;"s initiated by the case of a terrorist attack after the 19 wagons settled on the rails 11/11/2023 22:44 “A bunch of felon imperfections”: Pugacheva explained to whom she called “slaves and slaves”, the singer Pugacheva called her critics slanderers and ar"&amp;"rears11.11.2023 18: 18 Belom house: 18 Beloma house I did not like the Johnson’s project to save from Shatdown03: 11V Minzifra clarified which VPN services will block in the Russian Federation03: 35th way to the title: Pavlovich beats with aspinalle. Live"&amp;" mixed martial arts. UFC 295. Sergey Pavlovich (Russia) - Tom Aspinall (Great Britain). Online06: an 11th US Air Force crashed in the waters of the Mediterranean Sea00: 31bellator made a statement due to the scandal with the doping of his brother Khabib01"&amp;": 5010 main photos of the week: the situation in the gas sector of Roman on trunks and protests in Spain fled from the circus near Rome00: 25: 25: 25: 25: 25 An attempt to go bankrupt ”: how Russia quarreled with Carlsberg because of the Baltic in the Rus"&amp;"sian Foreign Ministry called Carlsberg statements about the theft of business 11/11/2023 20:17“ Let him fight against the Satanists. ” Dudia is checked for discrediting the army the prosecutor's office checks Dudia according to the criminal article on the"&amp;" discrediting of the army 11/11/2023 20: 263: 1 Wings of Soviets - the Urals 1: 1 Turel - CSKA 2: 1 Lokomotiv M - Akhmat 1: 1 Zenit - Krasnodar 4: 3 Lada - Spartak 3 : 0 metallurgist MG-AK BARS 4: 2 SKA-Neftekhimikport1: 1-headed match of the fall: “Zenit"&amp;"” and “Krasnodar” played a fiery draw in St. Petersburg “Zenit” against Krasnodar in the central match of the RPL tour 11.11.2023 19: 30 Ovechkin Double brought Washington Victory over Aylanders 06:03 Pittsburgh defeated Buffalo thanks to the Golkina Grac"&amp;"k05: 57 Brute Khabib made a statement against the backdrop of the scandal with doping05: 50 Sylchenko reacted to the proposal to go to Tutberidze with one word05: 20 eyes Tutberidze: Valieva struck the audience immediately after the hearing in Casvaliev w"&amp;"on a short program at the stage of the Russian Grand Prix in Kazan 1111.11.2023 15: 141: 1-dramatic draw: “torch” stole the victory in Voronezh “torch” and CSKA tied in the match 15- го тура РПЛ11.11.2023 14:00Новости и материалыИзраиль объявил об уничтож"&amp;"ении десятков главарей ХАМАС06:40Москвичам рассказали о погоде в воскресенье06:31У берегов Индонезии произошло землетрясение магнитудой 5506:20Остин обсудил с Умеровым боевые действия на Украине06:10Украинский сервис такси разрешил жалобы на «антиукраинск"&amp;"их» drivers 05: 26armia of the Russian Federation eliminated four mortar calculations of the Armed Forces of Ukraine in the Kupyansk direction05: 23tshal struck the terrorist infrastructure in the SAR05: 13VVS of Jordan performed the humanitarian raid in "&amp;"the GAZ sector: 04 PROGRACTION Service of Gaza named the work of the RAFAS efficiency for foreigners04: 59 German, 59 German Germanics will increase volume of military assistance to Ukraine In 202404: 55V, the United States announced strange traces on Ove"&amp;"chkin's neck04: 50 to Ukraine declassified that he made a heal04: 46Arab countries refused to share gas and western coast04: 32vo announced the loss of communication with the coordinators in the Ashifa hospital in Gaza04: 28-Russian scheme of fraudsters d"&amp;"uring the sale: 10 Vovychkin interrupted without a series in the NHL04: 05 European farmers fear a new threat due to Ukraine’s entry into the EU04: 04 in the State Duma offered new benefits for children from large families03: 54 “I would not go”: the cham"&amp;"pion of Khorkina appreciated the conditions for admission Russians03: 50th police officers were wounded during the promotion in support of Palestine in London03: 26VS news Domitri Samoilov that the average Muscovite feels at 4011.11.2023 08:30 Denis Lukya"&amp;"nov “We ​​will understand but later”. Why did Bunin give Nobel? 10.11.2023 08:22 Marya Yardaevana, we want to not believe. Why teachers against AI? 09.11.2023 08:00 ""We will answer the same."" Kiev threatened with blows on the energy infrastructure of th"&amp;"e Russian Ukrainian, he threatened with response blows on the energy infrastructure of Russia 11/11/11.2023 18:45 “There are no prospects for an ambulance over Russia”: Borrel assessed the situation in Ukraine: Ukraine’s victories over the Russian Federat"&amp;"ion will not be in the near future 11/11/11.2023 16:43 “Not In small volumes ”: after the official refusal, Europe continues to purchase a Russian Gazmiller said that European countries are still receiving Russian GAZ11.11.2023 15:51“ Mass grave in the ho"&amp;"spital ”. What is happening in Gazetasnim: Hamas stopped the Israeli army at the Ash-Shifa hospital in Gaza 11/11/2023 14:45 Bayden and Xi Jinping will meet in San Francisco. On the agenda of relations with Russia and Iranpolitico: Biden plans a “hard con"&amp;"versation” with the leader of the PRC about Russia and Iran 1111.11.2023 13:41 Plan of military assistance to Ukraine for € 20 billion met resistance from the Esreters countries: Germany opposed the allocation of the EU to Ukraine € 20 billion Military As"&amp;"sistance 11/11/2023 11: 09v Moscow showed rare coins of the Golden Horde why cellulite appears and how it is treated with a coclub Karapetyan: the development of cellulite leads to convulsions and edema 11/11/2023 08:27 Test: what evaluation will you pass"&amp;" the Russian language exam for the 8th Class on a few questions about the Russian language and find out your assessment 111.11.2023 08:26 Robots drop smartphones and photograph food. A day of the life of the factory to the Kitaireput “Gazeta.ru” about the"&amp;" factory and the Oppo photo laboratory where robots work 11/11/2023 08:09 Author of denunciations at the stars of Borodin, he has not yet known about this MAMAD WALL OF NORTH Ossetia. And panic attacks. In line for tickets for the Nutcracker, the Bolshoi "&amp;"Theater suffered in the queue for the Nutcracker, the two crowned a crush on 11/11/2023 00:22 ""Rentified"" apologized. "" The policeman, who threw drugs, Ivan Golunov, went free to the freedom of the form of an ex-policeman Konovalov, sentenced in the ca"&amp;"se of Golunov 110.11.2023 23: 46 Read the same Russian, they want to return the Totalizerkak, the neural network affects your purchaseyandex, it has launched a new function to follow the level of calcium and the lazy calcium. How to protect yourself from "&amp;"cardiovascular disease in Russia protect satellite broadcasting, the readable recruitment of the Card Cardiccam Camerass the Establishment of the Politics of Confidentiality © Gazeta.ru JSC (1999-2023) is the main news of the day: Gazeta.ru (gazeta.ru) Fo"&amp;"under: Gazeta.ru »OGRN 1067761730376 TIN 7743625728ADRES of the founder: 125239 Russia Moscow Koptevskaya Street House 67Adres editorial and publisher: 117105. Moskvavarshavskoye Shosse d.9 p. 1 telephone editorial office: +7 (495) 785-00-12 | Fax: +7 (49"&amp;"5) 785-17-01Electron mail: gazeta@gazeta.ru18+ Media registration of EL No. FS77-67642 was issued by the Federal Service for the Service of Information Technologies and Mass Communications (Roskomnadzor) 10.11.2016 The editors are not responsible for the "&amp;"reliability of the information contained in advertisements. The editors do not provide reference information. Information on restrictions on the use of advisory technologies is found an error? Closurepasibi for your message We will soon fix everything. Be"&amp;"fore reading")</f>
        <v>The main news is Gazeta.ru news Sports -School of Supervalitical Survey of Cultivate Cultural Sciences and Chief -StorytoteTistylPhoto -nerdhotorinfographicography of the Council #War in Israel #the best doctors of the Russian City Sports #War in Israel #The best doctors of the Russian Political Economicity Cultivational of Culture of Culture and Children Photoinfographicics of the Condition of Israel announced the destruction of dozens of leaders Hamas06: 40 Moscow talked about the weather on Sunday06: 31th shores of Indonesia, an earthquake of magnitude 5506 occurred: 20ostin discussed with Umarov the fighting in Ukraine06: 10 Dubl Ovechkina brought Washington to the victory over Aylanders 06:03 Pittsburgh defeated Buffalo thanks to Malkin's Grack05: 57 Brate Habib made a statement against the background of a doping scandal05: 50 Ukrainian taxi service permitted complaints of complaints about “Anti -Ukrainian” drivers05: 26armia of the Russian Federation eliminated four mortar calculations of the Armed Forces in the Kupyansk direction05: 23 raw Plushenko responded to the proposal to go to Tutbridze in one word: 20VAZEGAZETA.ru on the working stand of quick accession now the main news - Gazeta.ru Picture of the day of the day named “ Northern streams. " This is an arrested colonel of the VSUWP: the ex-colonel of the MSC APU coordinated the undermining of the Northern Streams 00:30 The train went off the rails after the railway detachment near Ryazan. The case of terrorist attacks of the Ryazan region was initiated by the case of a terrorist attack after the 19 wagons settled on the rails 11/11/2023 22:44 “A bunch of felon imperfections”: Pugacheva explained to whom she called “slaves and slaves”, the singer Pugacheva called her critics slanderers and arrears11.11.2023 18: 18 Belom house: 18 Beloma house I did not like the Johnson’s project to save from Shatdown03: 11V Minzifra clarified which VPN services will block in the Russian Federation03: 35th way to the title: Pavlovich beats with aspinalle. Live mixed martial arts. UFC 295. Sergey Pavlovich (Russia) - Tom Aspinall (Great Britain). Online06: an 11th US Air Force crashed in the waters of the Mediterranean Sea00: 31bellator made a statement due to the scandal with the doping of his brother Khabib01: 5010 main photos of the week: the situation in the gas sector of Roman on trunks and protests in Spain fled from the circus near Rome00: 25: 25: 25: 25: 25 An attempt to go bankrupt ”: how Russia quarreled with Carlsberg because of the Baltic in the Russian Foreign Ministry called Carlsberg statements about the theft of business 11/11/2023 20:17“ Let him fight against the Satanists. ” Dudia is checked for discrediting the army the prosecutor's office checks Dudia according to the criminal article on the discrediting of the army 11/11/2023 20: 263: 1 Wings of Soviets - the Urals 1: 1 Turel - CSKA 2: 1 Lokomotiv M - Akhmat 1: 1 Zenit - Krasnodar 4: 3 Lada - Spartak 3 : 0 metallurgist MG-AK BARS 4: 2 SKA-Neftekhimikport1: 1-headed match of the fall: “Zenit” and “Krasnodar” played a fiery draw in St. Petersburg “Zenit” against Krasnodar in the central match of the RPL tour 11.11.2023 19: 30 Ovechkin Double brought Washington Victory over Aylanders 06:03 Pittsburgh defeated Buffalo thanks to the Golkina Grack05: 57 Brute Khabib made a statement against the backdrop of the scandal with doping05: 50 Sylchenko reacted to the proposal to go to Tutberidze with one word05: 20 eyes Tutberidze: Valieva struck the audience immediately after the hearing in Casvaliev won a short program at the stage of the Russian Grand Prix in Kazan 1111.11.2023 15: 141: 1-dramatic draw: “torch” stole the victory in Voronezh “torch” and CSKA tied in the match 15- го тура РПЛ11.11.2023 14:00Новости и материалыИзраиль объявил об уничтожении десятков главарей ХАМАС06:40Москвичам рассказали о погоде в воскресенье06:31У берегов Индонезии произошло землетрясение магнитудой 5506:20Остин обсудил с Умеровым боевые действия на Украине06:10Украинский сервис такси разрешил жалобы на «антиукраинских» drivers 05: 26armia of the Russian Federation eliminated four mortar calculations of the Armed Forces of Ukraine in the Kupyansk direction05: 23tshal struck the terrorist infrastructure in the SAR05: 13VVS of Jordan performed the humanitarian raid in the GAZ sector: 04 PROGRACTION Service of Gaza named the work of the RAFAS efficiency for foreigners04: 59 German, 59 German Germanics will increase volume of military assistance to Ukraine In 202404: 55V, the United States announced strange traces on Ovechkin's neck04: 50 to Ukraine declassified that he made a heal04: 46Arab countries refused to share gas and western coast04: 32vo announced the loss of communication with the coordinators in the Ashifa hospital in Gaza04: 28-Russian scheme of fraudsters during the sale: 10 Vovychkin interrupted without a series in the NHL04: 05 European farmers fear a new threat due to Ukraine’s entry into the EU04: 04 in the State Duma offered new benefits for children from large families03: 54 “I would not go”: the champion of Khorkina appreciated the conditions for admission Russians03: 50th police officers were wounded during the promotion in support of Palestine in London03: 26VS news Domitri Samoilov that the average Muscovite feels at 4011.11.2023 08:30 Denis Lukyanov “We ​​will understand but later”. Why did Bunin give Nobel? 10.11.2023 08:22 Marya Yardaevana, we want to not believe. Why teachers against AI? 09.11.2023 08:00 "We will answer the same." Kiev threatened with blows on the energy infrastructure of the Russian Ukrainian, he threatened with response blows on the energy infrastructure of Russia 11/11/11.2023 18:45 “There are no prospects for an ambulance over Russia”: Borrel assessed the situation in Ukraine: Ukraine’s victories over the Russian Federation will not be in the near future 11/11/11.2023 16:43 “Not In small volumes ”: after the official refusal, Europe continues to purchase a Russian Gazmiller said that European countries are still receiving Russian GAZ11.11.2023 15:51“ Mass grave in the hospital ”. What is happening in Gazetasnim: Hamas stopped the Israeli army at the Ash-Shifa hospital in Gaza 11/11/2023 14:45 Bayden and Xi Jinping will meet in San Francisco. On the agenda of relations with Russia and Iranpolitico: Biden plans a “hard conversation” with the leader of the PRC about Russia and Iran 1111.11.2023 13:41 Plan of military assistance to Ukraine for € 20 billion met resistance from the Esreters countries: Germany opposed the allocation of the EU to Ukraine € 20 billion Military Assistance 11/11/2023 11: 09v Moscow showed rare coins of the Golden Horde why cellulite appears and how it is treated with a coclub Karapetyan: the development of cellulite leads to convulsions and edema 11/11/2023 08:27 Test: what evaluation will you pass the Russian language exam for the 8th Class on a few questions about the Russian language and find out your assessment 111.11.2023 08:26 Robots drop smartphones and photograph food. A day of the life of the factory to the Kitaireput “Gazeta.ru” about the factory and the Oppo photo laboratory where robots work 11/11/2023 08:09 Author of denunciations at the stars of Borodin, he has not yet known about this MAMAD WALL OF NORTH Ossetia. And panic attacks. In line for tickets for the Nutcracker, the Bolshoi Theater suffered in the queue for the Nutcracker, the two crowned a crush on 11/11/2023 00:22 "Rentified" apologized. " The policeman, who threw drugs, Ivan Golunov, went free to the freedom of the form of an ex-policeman Konovalov, sentenced in the case of Golunov 110.11.2023 23: 46 Read the same Russian, they want to return the Totalizerkak, the neural network affects your purchaseyandex, it has launched a new function to follow the level of calcium and the lazy calcium. How to protect yourself from cardiovascular disease in Russia protect satellite broadcasting, the readable recruitment of the Card Cardiccam Camerass the Establishment of the Politics of Confidentiality © Gazeta.ru JSC (1999-2023) is the main news of the day: Gazeta.ru (gazeta.ru) Founder: Gazeta.ru »OGRN 1067761730376 TIN 7743625728ADRES of the founder: 125239 Russia Moscow Koptevskaya Street House 67Adres editorial and publisher: 117105. Moskvavarshavskoye Shosse d.9 p. 1 telephone editorial office: +7 (495) 785-00-12 | Fax: +7 (495) 785-17-01Electron mail: gazeta@gazeta.ru18+ Media registration of EL No. FS77-67642 was issued by the Federal Service for the Service of Information Technologies and Mass Communications (Roskomnadzor) 10.11.2016 The editors are not responsible for the reliability of the information contained in advertisements. The editors do not provide reference information. Information on restrictions on the use of advisory technologies is found an error? Closurepasibi for your message We will soon fix everything. Before reading</v>
      </c>
    </row>
    <row r="528">
      <c r="A528" s="1" t="s">
        <v>1748</v>
      </c>
      <c r="B528" s="1" t="s">
        <v>1770</v>
      </c>
      <c r="C528" s="1" t="s">
        <v>1771</v>
      </c>
      <c r="D528" s="1">
        <v>8.0</v>
      </c>
      <c r="E528" s="4" t="s">
        <v>1772</v>
      </c>
      <c r="F528" s="1" t="s">
        <v>16</v>
      </c>
      <c r="G528" s="1" t="s">
        <v>246</v>
      </c>
      <c r="H528" s="4" t="s">
        <v>247</v>
      </c>
      <c r="I528" s="2">
        <v>4.0</v>
      </c>
      <c r="J528" s="5" t="str">
        <f>IFERROR(__xludf.DUMMYFUNCTION("GOOGLETRANSLATE(A528)"),"news")</f>
        <v>news</v>
      </c>
      <c r="K528" s="6" t="str">
        <f>IFERROR(__xludf.DUMMYFUNCTION("GOOGLETRANSLATE(B528)"),"TASS: News in Russia and the world")</f>
        <v>TASS: News in Russia and the world</v>
      </c>
      <c r="L528" s="5" t="str">
        <f>IFERROR(__xludf.DUMMYFUNCTION("GOOGLETRANSLATE(C528)"),"16 hours ago -")</f>
        <v>16 hours ago -</v>
      </c>
      <c r="M528" s="5" t="str">
        <f>IFERROR(__xludf.DUMMYFUNCTION("GOOGLETRANSLATE(G528)"),"News in Russia and the world - Taspom, you use an outdated browser to work correctly, download the fresh version of the TASS.ru website, you agree using the cookies files that are indicated in the Personal Data House processing policy, rejected the financ"&amp;"ing project of the US government without the help of Kievites of Russia can make free travel to free travel The place of rest for children from large families of the US Armed Forces crashed in the eastern part of the Mediterranean Sea of ​​Mediterranean e"&amp;"xhibition-forum ""Russia"" of the Palestinian-Israeli conflict of Gaza entered over 850 trucks with humanitarian aid of Israel, announced the destruction of more than 150 tunnels and underground objects of Hamasarmia of Israel In Syriavo, she reported a l"&amp;"oss of communications with her employees in the Ashfa hospital in the Gazaisspaker of Congress proposed financing the government without the help of Kyivauarmia Israeli hit the cell of the Hzbollah missiles and threw humanitarian aid from the air for the "&amp;"field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человекаИндик"&amp;"аторырынкаНефть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NAT"&amp;"O Secretary General proposed to accept Ukraine into an alliance without the territories of the Ryazan region lost the case of 19 wagons from the rails expert stated that in Russia the mortality from pneumonia was located on a pre -ovate day of the day of "&amp;"the day of the day of the day. And they hid Russian films of the 20th century on the regiment where scientists are looking for a new house for all mankind Partner special projects on the way: about life about travel and about themselves. Four interviews f"&amp;"or the 20th anniversary of the Range Gonk of Ikonk, the 150th anniversary of Sergei Rachmaninovakak, chose the sovereign in Russia and chose Mikhail Romanovo, Li Vulcans to destroy their lives on the planetary. The study of the ice of ice saved people dur"&amp;"ing the blockade of the Leningradistory of the Complement of the Imperial train in 1888 in 1888 in 1888, they find and returned home the remains of the remains Heroes of the Stalingrad Battle of the Women's Movement in the Russian Holy of Construction of "&amp;"the famous Stalin Skolotok, which caused a rare eclipse on Yamal? How did houses on the bottom of the Black Sea of ​​Early Soviet Architecture examine all special projects of the Central Centernsk-Spectornsk prophylaxes in the Novosibirsk Region of Sverdl"&amp;"ovsk region. : Results work and Plansko incidence of diabetes mellitus in the Novosibirsk Region MSCOSTICIAL-BROGED PUSHRASTIC PROPECTION OF PUSHKINSKAYA Winter in social networks criticized Biden for the use of hints after laying Italy's wreath of the ci"&amp;"rcus and for several hours walked around the city of the Pskov Region in the DTP, three people of the Brazil championship were killed Due to the mass fight of the fans at the box, the game almost killed the game. “Krasnodar” and “Zenit” divided glasses in"&amp;" the RPL leaders match to see the material shutdown the adblock launch of the PNIPE created an accurate model of the influence of industrial dust on the health of Indonesia people for the first time in 60 years, the rare animal plastics from 13 countries "&amp;"discovered hundreds of harmful subsidiary, capable of making a fertile soil lunctural computer Helped to physicists to accelerate the algorithms of combinatorial optimization by the algorithm, American physicists have developed scientists who reported the"&amp;" causes of mass death of rare seals in the Caspian in 2022 in 2022 to treat the renal complications of the lupus Wolf passed the second phase of St. Petersburg tests created an analogue of glass -shaped rocks for medicine -scientists revealed the differen"&amp;"ces in the speed of aging cells from different parts Rnauki They said that over the year, the number of young scientists in Russia of the MES of the MIS rebukes has developed a charger for electric cars in domestic Pakpneumonia. What you need to know Nori"&amp;"lnikel intends to restore nature around the Novosibirsk factories, they have received a promising for the treatment of neuroblastyu Adygea project to manage a group of drones based on the other materials to the rest of the materials © Information Agency o"&amp;"f the TASS -Media Registration No. 03247 was issued by the State Committee on April 02, 1999. Russian Federation in Press. Sing-handed publications may contain information intended for users under 16 years old. In the information resource, recommending te"&amp;"chnologies are applied.")</f>
        <v>News in Russia and the world - Taspom, you use an outdated browser to work correctly, download the fresh version of the TASS.ru website, you agree using the cookies files that are indicated in the Personal Data House processing policy, rejected the financing project of the US government without the help of Kievites of Russia can make free travel to free travel The place of rest for children from large families of the US Armed Forces crashed in the eastern part of the Mediterranean Sea of ​​Mediterranean exhibition-forum "Russia" of the Palestinian-Israeli conflict of Gaza entered over 850 trucks with humanitarian aid of Israel, announced the destruction of more than 150 tunnels and underground objects of Hamasarmia of Israel In Syriavo, she reported a loss of communications with her employees in the Ashfa hospital in the Gazaisspaker of Congress proposed financing the government without the help of Kyivauarmia Israeli hit the cell of the Hzbollah missiles and threw humanitarian aid from the air for the 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NATO Secretary General proposed to accept Ukraine into an alliance without the territories of the Ryazan region lost the case of 19 wagons from the rails expert stated that in Russia the mortality from pneumonia was located on a pre -ovate day of the day of the day of the day of the day. And they hid Russian films of the 20th century on the regiment where scientists are looking for a new house for all mankind Partner special projects on the way: about life about travel and about themselves. Four interviews for the 20th anniversary of the Range Gonk of Ikonk, the 150th anniversary of Sergei Rachmaninovakak, chose the sovereign in Russia and chose Mikhail Romanovo, Li Vulcans to destroy their lives on the planetary. The study of the ice of ice saved people during the blockade of the Leningradistory of the Complement of the Imperial train in 1888 in 1888 in 1888, they find and returned home the remains of the remains Heroes of the Stalingrad Battle of the Women's Movement in the Russian Holy of Construction of the famous Stalin Skolotok, which caused a rare eclipse on Yamal? How did houses on the bottom of the Black Sea of ​​Early Soviet Architecture examine all special projects of the Central Centernsk-Spectornsk prophylaxes in the Novosibirsk Region of Sverdlovsk region. : Results work and Plansko incidence of diabetes mellitus in the Novosibirsk Region MSCOSTICIAL-BROGED PUSHRASTIC PROPECTION OF PUSHKINSKAYA Winter in social networks criticized Biden for the use of hints after laying Italy's wreath of the circus and for several hours walked around the city of the Pskov Region in the DTP, three people of the Brazil championship were killed Due to the mass fight of the fans at the box, the game almost killed the game. “Krasnodar” and “Zenit” divided glasses in the RPL leaders match to see the material shutdown the adblock launch of the PNIPE created an accurate model of the influence of industrial dust on the health of Indonesia people for the first time in 60 years, the rare animal plastics from 13 countries discovered hundreds of harmful subsidiary, capable of making a fertile soil lunctural computer Helped to physicists to accelerate the algorithms of combinatorial optimization by the algorithm, American physicists have developed scientists who reported the causes of mass death of rare seals in the Caspian in 2022 in 2022 to treat the renal complications of the lupus Wolf passed the second phase of St. Petersburg tests created an analogue of glass -shaped rocks for medicine -scientists revealed the differences in the speed of aging cells from different parts Rnauki They said that over the year, the number of young scientists in Russia of the MES of the MIS rebukes has developed a charger for electric cars in domestic Pakpneumonia. What you need to know Norilnikel intends to restore nature around the Novosibirsk factories, they have received a promising for the treatment of neuroblastyu Adygea project to manage a group of drones based on the other materials to the rest of the materials © Information Agency of the TASS -Media Registration No. 03247 was issued by the State Committee on April 02, 1999. Russian Federation in Press. Sing-handed publications may contain information intended for users under 16 years old. In the information resource, recommending technologies are applied.</v>
      </c>
    </row>
    <row r="529">
      <c r="A529" s="1" t="s">
        <v>1748</v>
      </c>
      <c r="B529" s="1" t="s">
        <v>1773</v>
      </c>
      <c r="C529" s="1" t="s">
        <v>1774</v>
      </c>
      <c r="D529" s="1">
        <v>9.0</v>
      </c>
      <c r="E529" s="4" t="s">
        <v>1775</v>
      </c>
      <c r="F529" s="1" t="s">
        <v>16</v>
      </c>
      <c r="G529" s="1" t="s">
        <v>1776</v>
      </c>
      <c r="H529" s="4" t="s">
        <v>1777</v>
      </c>
      <c r="I529" s="2">
        <v>2.0</v>
      </c>
      <c r="J529" s="5" t="str">
        <f>IFERROR(__xludf.DUMMYFUNCTION("GOOGLETRANSLATE(A529)"),"news")</f>
        <v>news</v>
      </c>
      <c r="K529" s="6" t="str">
        <f>IFERROR(__xludf.DUMMYFUNCTION("GOOGLETRANSLATE(B529)"),"The latest news of the day for this hour")</f>
        <v>The latest news of the day for this hour</v>
      </c>
      <c r="L529" s="5" t="str">
        <f>IFERROR(__xludf.DUMMYFUNCTION("GOOGLETRANSLATE(C529)"),"The tape of the latest news for today at rg.ru. We talk about everything that is happening right now.")</f>
        <v>The tape of the latest news for today at rg.ru. We talk about everything that is happening right now.</v>
      </c>
      <c r="M529" s="5" t="str">
        <f>IFERROR(__xludf.DUMMYFUNCTION("GOOGLETRANSLATE(G529)"),"News today in Russia and the world - Russian newspaper -KnotanovoStorski -Torgovyzhniye Numberdomatic appendix, a subscription number for publishing aircraft -storage economies of the world of industrial and sparegraduates -spectacularly designed, special"&amp;" -designed news today: the US Air Force Air Force fell into the Mediterranean Sea during the Mediterranean Russia's emergency flight of Russia was struck by a ware of the Armed Forces of the Armed Forces in the area of ​​the village of Devichki near Kievo"&amp;"mmo of the Russian Federation: in the Kupyansky direction 50 fighters of the BRABLYA Bradley BMP and SAU fights were destroyed by the Krabspker of the US Congress Krabspker proposed financing the government without the help of Kievumminencifre: the VPNPAL"&amp;"EST-Israeli conflict services are blocked in Russia: the Military RF Military Combat Chronicles of the October War told about 11 marines of the Dnieper, which was captured by 11 marines. : The US Air Force plane fell into the Mediterranean Sea during the "&amp;"Russian training flightarrix of the Russian Assembly in the area of ​​the village of Devichi near the Kiev Russian Federation: 50 fighters of the BMP Bradley BMP and the Krabspker of the US Congress BMP without the help of Kievummincyfires were destroyed "&amp;"in the Kupyansky direction: the supporters will block the supporters in Russia The threat of the VPNPALATION-Israeli conflict services: the Chronicles of the October War, Marina Akifyeva, is grateful to the RG for the opportunity to educate the grandson-o"&amp;"rgarin Knaisl-about who defeated her garden in Austria and why she chooses Russia and not the European Square: Air! Aleksey Herman their country with all its difficulties and merits - this is the content of Russian art -Ecquivkaks gained a miraculous imag"&amp;"e - the Kazan icon of the Mother of God of the Palestinian -Israeli conflict: the day of the 36th End of the Rodina editorial office as the gift of Krasheninnikov made a gift ""Rossiy newspaper"" on its birthday: thirty -three of her birth: thirty -three "&amp;"Schools in the Sverdlovsk region are signed by our magazine ""Homeland"" of an orphan from Omsk, thanks to the intervention ""RG"" received an apartment became a student and believed that we can change the fate of our bang! Winner of music contests in Par"&amp;"is and Prague Marianna Vasilieva abandoned the European career for concerts in the sake of concerts in The Donbass trenches are chosen for reliability. Rostec - about the novelties on Dubai Airshow and the export of domestic weapons, the Ruble and the Exc"&amp;"hange Ruble from 13 to 19 November VDNH will be opened: what to see the companies of the companies of the Mamediaws Photo © 1998-2023FGBU ""Rossiy Gazeta"" Power Economics Authority Cultural projects: Russian weapons of the Austrian Consultation of Techno"&amp;"logy of the Life Life Provider Meterdubblet DV@joint projects: Pushkin’s competitive journalist! Mission, having completed MGIMO-with RG Victory Literature-China: Events and Commentary Partnerism Subscription Contact Kontaksi and the application “Fresh is"&amp;"sue” Each morning newsletter includes the main materials of the fresh number ” Russian newspapers? Subscribing to the use of materials ""RG"" Mandatory information on the RG.ru website use letters of recommendation (information technologies for providing "&amp;"information based on the collection of systematization and analysis of information related to the preferences of users of the Internet in the Russian Federation). Detailed information of the Russian Newspaper (16+) was registered in Roskomnadzor on 06/21/"&amp;"2012. The number of the certificate of EL No. FS 77-50379. The founder of the Federal State Budgetary Institution “editorial office of Rossiy Gazeta” editor-in-chief V.A. Frononrss+7 (495) 775-31-18+7 (499) 257-56-50mail@rg.ru reaction is not responsible "&amp;"for the opinions of readers expressed in the comments. © 1998-2023 FSBU “Rossiy Gazeta” +16")</f>
        <v>News today in Russia and the world - Russian newspaper -KnotanovoStorski -Torgovyzhniye Numberdomatic appendix, a subscription number for publishing aircraft -storage economies of the world of industrial and sparegraduates -spectacularly designed, special -designed news today: the US Air Force Air Force fell into the Mediterranean Sea during the Mediterranean Russia's emergency flight of Russia was struck by a ware of the Armed Forces of the Armed Forces in the area of ​​the village of Devichki near Kievommo of the Russian Federation: in the Kupyansky direction 50 fighters of the BRABLYA Bradley BMP and SAU fights were destroyed by the Krabspker of the US Congress Krabspker proposed financing the government without the help of Kievumminencifre: the VPNPALEST-Israeli conflict services are blocked in Russia: the Military RF Military Combat Chronicles of the October War told about 11 marines of the Dnieper, which was captured by 11 marines. : The US Air Force plane fell into the Mediterranean Sea during the Russian training flightarrix of the Russian Assembly in the area of ​​the village of Devichi near the Kiev Russian Federation: 50 fighters of the BMP Bradley BMP and the Krabspker of the US Congress BMP without the help of Kievummincyfires were destroyed in the Kupyansky direction: the supporters will block the supporters in Russia The threat of the VPNPALATION-Israeli conflict services: the Chronicles of the October War, Marina Akifyeva, is grateful to the RG for the opportunity to educate the grandson-orgarin Knaisl-about who defeated her garden in Austria and why she chooses Russia and not the European Square: Air! Aleksey Herman their country with all its difficulties and merits - this is the content of Russian art -Ecquivkaks gained a miraculous image - the Kazan icon of the Mother of God of the Palestinian -Israeli conflict: the day of the 36th End of the Rodina editorial office as the gift of Krasheninnikov made a gift "Rossiy newspaper" on its birthday: thirty -three of her birth: thirty -three Schools in the Sverdlovsk region are signed by our magazine "Homeland" of an orphan from Omsk, thanks to the intervention "RG" received an apartment became a student and believed that we can change the fate of our bang! Winner of music contests in Paris and Prague Marianna Vasilieva abandoned the European career for concerts in the sake of concerts in The Donbass trenches are chosen for reliability. Rostec - about the novelties on Dubai Airshow and the export of domestic weapons, the Ruble and the Exchange Ruble from 13 to 19 November VDNH will be opened: what to see the companies of the companies of the Mamediaws Photo © 1998-2023FGBU "Rossiy Gazeta" Power Economics Authority Cultural projects: Russian weapons of the Austrian Consultation of Technology of the Life Life Provider Meterdubblet DV@joint projects: Pushkin’s competitive journalist! Mission, having completed MGIMO-with RG Victory Literature-China: Events and Commentary Partnerism Subscription Contact Kontaksi and the application “Fresh issue” Each morning newsletter includes the main materials of the fresh number ” Russian newspapers? Subscribing to the use of materials "RG" Mandatory information on the RG.ru website use letters of recommendation (information technologies for providing information based on the collection of systematization and analysis of information related to the preferences of users of the Internet in the Russian Federation). Detailed information of the Russian Newspaper (16+) was registered in Roskomnadzor on 06/21/2012. The number of the certificate of EL No. FS 77-50379. The founder of the Federal State Budgetary Institution “editorial office of Rossiy Gazeta” editor-in-chief V.A. Frononrss+7 (495) 775-31-18+7 (499) 257-56-50mail@rg.ru reaction is not responsible for the opinions of readers expressed in the comments. © 1998-2023 FSBU “Rossiy Gazeta” +16</v>
      </c>
    </row>
    <row r="530">
      <c r="A530" s="1" t="s">
        <v>1748</v>
      </c>
      <c r="B530" s="1" t="s">
        <v>1778</v>
      </c>
      <c r="C530" s="1" t="s">
        <v>1779</v>
      </c>
      <c r="D530" s="1">
        <v>10.0</v>
      </c>
      <c r="E530" s="4" t="s">
        <v>1780</v>
      </c>
      <c r="F530" s="1" t="s">
        <v>16</v>
      </c>
      <c r="G530" s="1" t="s">
        <v>242</v>
      </c>
      <c r="H530" s="4" t="s">
        <v>243</v>
      </c>
      <c r="I530" s="2">
        <v>1.0</v>
      </c>
      <c r="J530" s="5" t="str">
        <f>IFERROR(__xludf.DUMMYFUNCTION("GOOGLETRANSLATE(A530)"),"news")</f>
        <v>news</v>
      </c>
      <c r="K530" s="6" t="str">
        <f>IFERROR(__xludf.DUMMYFUNCTION("GOOGLETRANSLATE(B530)"),"Kommersant: The latest news of Russia and the world")</f>
        <v>Kommersant: The latest news of Russia and the world</v>
      </c>
      <c r="L530" s="5" t="str">
        <f>IFERROR(__xludf.DUMMYFUNCTION("GOOGLETRANSLATE(C530)"),"13 hours ago -")</f>
        <v>13 hours ago -</v>
      </c>
      <c r="M530" s="5" t="str">
        <f>IFERROR(__xludf.DUMMYFUNCTION("GOOGLETRANSLATE(G530)"),"Kommersant: the latest news of Russia and the world advertising in Kommersant.kommersant.ru/adreklama in Kommersant www.kommersant.ru/admersant Entrance Kommersant FM Cover the menu of the menu of the menu of the menu of the ClubgazetaweKend -Autophydrapi"&amp;"st Partner Partifier -Apartican Science Cardioprothelian Conferences Verser of the subscriptionsmaphotogenicism of the economy of the economy of the policy of the market-residential-consulting telecommunication of the social and technologists of cultural "&amp;"and technologists of the appendix of the Khutimultimultimultimomtimultimetamystskihniki ""Kommersant"" for Android to skill the appendoreAppgallerymoskvasankankvasankanzhanburgsanchangzanzanzanzanzanyarcsnodarznodarznodar-icon-core, Novgorodnovosibirskper"&amp;"istovsty-Donusarasaratovskaratovskayaroslavl-predicting $ 9229 € 9855 ¥ 1261i MOEX 324206 STOLSENT WEEKENDALLENT WELLOW WHAT IS SET WAS A GASENT OPERATION OF GASEN Operation in Ukraine Kommersant Economics of Plazances against the Russian Federation again"&amp;"st the Russian Tecyathi-Tecystilweecendiye Extensive News Representatives proposed financing the US government without the help of Ukraine and Israel Netanyahu opposed the transfer of the gas sector under the control of Palestine, the American military ai"&amp;"rcraft crashed in the Mediterranean Sea WP and SPIegel: the coordinator of the Northern Streams undermined the Armed Forces of the Armed Forces Usman Nurmagomedov will not be deprived of the title of the Bellator champion after the disqualification The ex"&amp;"-head of NATO proposed to accept Ukraine in an alliance without lost territories of the Investigative Committee of the TFR initiated a terrorist attack after the 19 wagons in the Ryazan region, three checkpoints on the Finnish-Russian border banned the en"&amp;"try of cyclists from Russia thanks to a draw with Zenit Krasnodar won the first round The Russian Championship what happened after the entry of Russian troops into Ukraine. The day of the 626th as the Internet of things helps to protect the environment of"&amp;" the Wedding Project, the entire tape of the slide photo fact in the Ryazan region in the rails of 19 cars of the cargo train Schedule of the day of unemployment in Russia, Translations of Russians in the currency continue to decline the quote from the da"&amp;"y “There are practically no workers left in the economy” Chairman of the Central Bank Elvira Nabiullin -following sludge lasting about the military operation for Ukrainian, the plot of the Slide Photo Fact in the Ryazan region, 19 wagons of the cargo trai"&amp;"n Schedule of the day of unemployment in Russia in comparison with other countries of the world video fact of losing Podolsk collapsed over the car bridge over the Pakhra River Schedule of the day of Russians in the currency, the quote of the day “There a"&amp;"re practically no working hands in the currency”, the Chairman of the Central Bank Elvira Nabiulville's Slipulating Slimensional Reply to all of their crimes - death ”as they instructed The order in the fish capital of Russia is the world animal with terr"&amp;"or -skating methods are radical zoo guards society “Each large military conflict leads to the emergence of new rehabilitation technologies” the founder of the collection of historical rehabilitation means - about the paths from the disabled to cyborgs, cu"&amp;"lture female infection and unexpectedness in the list of nominees on Grammy culture through apocalypse The revolution to the millennial kingdom of the Tsaria Obopia The Culture Theater of Damage, which the first pan -European war began and who defeated th"&amp;"e culture of the Magic Street Street “The Magic Plot”: the police fairy tale can be used against you in the Codeyuria of Litvinenko about the secret training of Dementye's cash on the difficult path. Technologies in the Russian Federation of such conditio"&amp;"ns did not have to enjoy, but Zvonarev to survive about his victory at WTA FINALSMULSMULTIMEDIMOPOPOPECTROPECHTOD -PECHAPARY PREASHING SLADEND -REPARY TELL WAS Watch on November 11–12, “I hope” how the uniforms of law enforcement officers have the most re"&amp;"cruiting personnel 6- On November 10, all the winners are “Miss Universe” Competition of the international-national exhibition-forum “Russia” Photo-Portage-Champions “I represent all the evil spirits in the Soviet cinema” Creative path George Millyaran-Gr"&amp;"eat and Karabakh, but without water, Azerbaijan under Ilham Aliyev-in 13 graphics-fiber-shaped operations from the scene of the events Actions between Israel and the Gazaphotoreport -Gallery Sector "" I hate watching my films because I am annoyed by my fa"&amp;"ce. ”Emma Stone and her tapo -gallery folk unity were held a holiday -span projects“ The American flag was considered a symbol of evil ”the views of Richard Nixon on the Cold War Calls - in 10 quotes, the next readable community is the next in the name of"&amp;" the world33454 income 32402 Theater of defeat 3215555 355 battery The Akordac -Economy Police is pushed away from the State Duma business, amendments to exclude part of the violations of the Code of Administrative Offenses from law enforcement officers, "&amp;"too, paying housing rental prices in Europe will limit and extend the inflation but there is a TOMALLENTIVE PROBRAGE House determined the criteria of the companies from which the technological breakthrough IPOVELGENGOMEN added money by the Government clos"&amp;"es the financing shortage The subsidized programs of the Ealmoteral Programs were protected by the intellectual property patentomonitoring of the Rubricedin Russians, they are being built into the presidency of the congress on December 17, the party will "&amp;"discuss the election of the head of state-2024 not harmful natives and the deputies discussed the demography in two hearings, but one of the Russians should not be considered a victory in the vomiting of the mob. Yulletins K. The presidential election wil"&amp;"l be printed without a discount on an online head and “who arrived” by deputies about the Extraordinary Duma promised the head of the Ministry of Emergencies to support the rescuers working in the zone in the zone of their own rubricacle in the name of th"&amp;"e Mira-Azerbaijani and Azerbaijan talk a lot about the peace treaty, but they did not make steps for more than four not to collect the President of the Belarusian Parties before the election campaign of the campaign in Akordin, Vladimir Putin was looking "&amp;"for in the capital of Kazakhstana-Aitoto, he wants to more actively attract private companies in the confrontation with Russia in cyberspace for the discrediting of the sanctioned European Parliament and at the same time more reasonable to deliver the san"&amp;"ctions against Russia, the predecestive Slid Project thinking as the innovative president of the Realme Russia Dmitry GOSTEV about the fifth anniversary of the company and plans for the future -eumatic project “Challenge” to the future technology, the Rus"&amp;"sian Nobelparter material “We are not ready to sacrifice quality” general director of Industrial.market Alexander Antonyuk about the purchases of companies on marketplaces conference and subsidiary liability of management and business owners on November X"&amp;"ia Rubrikles went from breeze Transport subsidies of the industry still do not have enough to pay from the formerly liquidated companies to sue the arbitration controls, the Kuzbass energy -wires in the wires of the Kuzbass energy impede its export to Chi"&amp;"nabenzin set up the quotes for exporting fuel, the Embargonagnant as part of the Platinum Grouping Court will recalculate the NPI for the mining company for the mining company Rubricabez Switching collapse and rebuild whether the new requirements of the C"&amp;"entral Bank to Donasting the insurance market, the representatives of the income Russian banks expand the foreign branch network for the Yuanbirzhenaya foreign currency conjuncture in the Russian Federation rapidly changing the Turkish stream is on the ap"&amp;"plication to open the Troy map, are ready for the few Russian tourist dependencies of the growth of the background of the background of the background lakes of storagery business hammered warehouses of goods of coffee For “Tibio”, “Chibo CIS” changes the "&amp;"name and branded sales without excitement of retailers did not set the beginning of the end of the year of year, the dark “Yandex Lavka” will begin to open the darkmolpoststist -Soviet champagne group Group will launch the playground of the playful Wintel"&amp;"ecoming -Services can affect Russian IT companies. In the Chinese bank, they attacked the American unit of the ICBCs across the roads of roadside networks will pay for the owners of Trasstelegram, the market has been drawn by the market market, they say a"&amp;"bout the risks of the new instrument of advancement in the Aquarius messenger, I looked into the budgetary company asks the state to co -finance the production of the entire Smart News of the Companies of the Companies. 11.11.2023AO “ »On the FINOPOLIS fo"&amp;"rum They talked about the new scientific prize in the field of future technologies 110.11.2023OOO Serons Serkons told how to compensate for labor protection costs in 2023 110.11.2023OOO SEO Certification of dangerous attractions 110.11.2023AO Dom.rf for i"&amp;"mport substitution of a key banking The new industrial center of competencies is necessary for the Rubricas with reagents of the ice, the ice moved the rules for the fight against winter slippery on the roads to write down in the state -owned relations se"&amp;"emed to the biases of Russia are concerned with migrantophobiyirairairairairanemas tested on the social toxicity of Russians know about the cases of discrimination in the collectives of employees with oncologists to the forest in the forest in the prosecu"&amp;"tor Buryatia guns thought about loans You’re going to the fire - further the cash staging authorities and the traffic police offer new measures to tighten the control of the Simplies of the Ribricabankovsky “Caravan” finished the deadlines for trying to t"&amp;"heft of funds from the asvorganized community of three employees of the Investigative Committee of the Investigative Committee, on charges of especially serious crimes, the “marine launch” fell to the final accusations to the final accusations. -A. Energi"&amp;"a, the head of the RSC, charged the damage by more than 4 billion rubles, estimated the information about Daria Dugina -Moving Police and the Entrepreneur appointed the Hero's STARD -STRISMISITION sets on common sense of the deputy commander that he had n"&amp;"o reason to kill the girl culture of Jerome Robbins in Opera Garnierneophys. Liam "" How to have sex ”neatly about the fuel -by -arts“ Master and its Muse ”by Diter Bernranstrashly Documentary Songs“ Red Book ”at the Shalom Theater Hollywood no more basta"&amp;"ge -dimensional actors, following the scriptwriters, achieved their position by the Ribricacialeacer Shevchenko, for the first time in his quarry, he would have fought for the titlebffffffff The champressive structure is displayed by the superstar of its "&amp;"title for revenge ""Manchester United"" was lowered to the Don English Grand risen to be left without the Play-off Kazan campaign ""Vikings"" the debutant of the Runa league was beaten by UNICKAKON of the Turinsky gravity and Andrei Rublev was trained for"&amp;" the second year in a row in the same group of a final final tour. Nira Attrasime readable 603688or-organized investigative community and Byak-beac-beac “Nish”: the ruins of the Soviet myth as an actual subject of the study “I would like to take a huge er"&amp;"aser and some -What ”Truman Kapote on how to fence off from the life of a Weekend portrait against the backdrop of an alien stories, Otto Dix again became our contemporary Weekend Conspication of the drowned“ how to have sex ”: the on -duty tender agitati"&amp;"on“ None of the goals justifies the invasion ”How the United States occupied Grenoada and how 40 years ago and how Mirmirtimur reacted to this and his city was written by travelers about Samarkand for the last 1,100 years of the rights of disabled people,"&amp;" “if you can’t learn here, let's go to Germany” why many children with serious illnesses cannot study in the Russian school -liable roses of the Georgian revolution of the Republic of Eduard Shevardnadze and what was the case Then, for the word -of -wing "&amp;"words in Europe, America and Asia, the main “words of the year” become the consumer market -based skiing of the Parker company, who taught the whole world to write in the pleasure of “earthquakes are largely useful” interview with geophysicist Grigory Ste"&amp;"blov about what they can give us natural disasters of the Weekendon books On the violence of Igor Gulin, the predicate sludotterritory of the development development of Rostakak will develop OEZ and Thorritory Development of the Development of Delokak Mos"&amp;"cow and the regions support social initiatives business ada -partner material “How to find a hacker in infrastructure despite the lack of personnel” Pavel Pavel Technology - about modern cybagod Ferencation of the full cycle on November 9 The next to the "&amp;"slider tape is a tape. News. .. Building News ... Download News ... Download News ... Download News ... Download News ... Download News ... Download News ... Download News ... Download News ... Download News. .. Having the Kommersant's tape Balage fund ar"&amp;"chive ContactwakkakakakakanijaniDroid information information for the information of the newsletter18+© Kommersant JSC. 123112 Moscow Presnenskaya nab. d. 10 floor 35 tel. +7 (495) 797-69-70. Setting publication ""Kommersant"" (domain name of the site: ko"&amp;"mmersant.ru) is registered by the Federal Service for Supervision of Information Technologies and Mass Communications (Roskomnadzor) Registration number and date of the decision on registration: Series EL No. FS77-76922 dated October 11, 2019 Partner proj"&amp;"ects/Materials of companies of companies Materials with a note “Promo” and “Official Message” are published on a commercial basis. For Kommersant.ru, recommendation technologies are applied (information technologies for providing information based on the "&amp;"systematization collection and analysis of information related to the preferences of users of the Internet “Internet” located in the territory of the Russian Federation). Read more")</f>
        <v>Kommersant: the latest news of Russia and the world advertising in Kommersant.kommersant.ru/adreklama in Kommersant www.kommersant.ru/admersant Entrance Kommersant FM Cover the menu of the menu of the menu of the menu of the ClubgazetaweKend -Autophydrapist Partner Partifier -Apartican Science Cardioprothelian Conferences Verser of the subscriptionsmaphotogenicism of the economy of the economy of the policy of the market-residential-consulting telecommunication of the social and technologists of cultural and technologists of the appendix of the Khutimultimultimultimomtimultimetamystskihniki "Kommersant" for Android to skill the appendoreAppgallerymoskvasankankvasankanzhanburgsanchangzanzanzanzanzanyarcsnodarznodarznodar-icon-core, Novgorodnovosibirskperistovsty-Donusarasaratovskaratovskayaroslavl-predicting $ 9229 € 9855 ¥ 1261i MOEX 324206 STOLSENT WEEKENDALLENT WELLOW WHAT IS SET WAS A GASENT OPERATION OF GASEN Operation in Ukraine Kommersant Economics of Plazances against the Russian Federation against the Russian Tecyathi-Tecystilweecendiye Extensive News Representatives proposed financing the US government without the help of Ukraine and Israel Netanyahu opposed the transfer of the gas sector under the control of Palestine, the American military aircraft crashed in the Mediterranean Sea WP and SPIegel: the coordinator of the Northern Streams undermined the Armed Forces of the Armed Forces Usman Nurmagomedov will not be deprived of the title of the Bellator champion after the disqualification The ex-head of NATO proposed to accept Ukraine in an alliance without lost territories of the Investigative Committee of the TFR initiated a terrorist attack after the 19 wagons in the Ryazan region, three checkpoints on the Finnish-Russian border banned the entry of cyclists from Russia thanks to a draw with Zenit Krasnodar won the first round The Russian Championship what happened after the entry of Russian troops into Ukraine. The day of the 626th as the Internet of things helps to protect the environment of the Wedding Project, the entire tape of the slide photo fact in the Ryazan region in the rails of 19 cars of the cargo train Schedule of the day of unemployment in Russia, Translations of Russians in the currency continue to decline the quote from the day “There are practically no workers left in the economy” Chairman of the Central Bank Elvira Nabiullin -following sludge lasting about the military operation for Ukrainian, the plot of the Slide Photo Fact in the Ryazan region, 19 wagons of the cargo train Schedule of the day of unemployment in Russia in comparison with other countries of the world video fact of losing Podolsk collapsed over the car bridge over the Pakhra River Schedule of the day of Russians in the currency, the quote of the day “There are practically no working hands in the currency”, the Chairman of the Central Bank Elvira Nabiulville's Slipulating Slimensional Reply to all of their crimes - death ”as they instructed The order in the fish capital of Russia is the world animal with terror -skating methods are radical zoo guards society “Each large military conflict leads to the emergence of new rehabilitation technologies” the founder of the collection of historical rehabilitation means - about the paths from the disabled to cyborgs, culture female infection and unexpectedness in the list of nominees on Grammy culture through apocalypse The revolution to the millennial kingdom of the Tsaria Obopia The Culture Theater of Damage, which the first pan -European war began and who defeated the culture of the Magic Street Street “The Magic Plot”: the police fairy tale can be used against you in the Codeyuria of Litvinenko about the secret training of Dementye's cash on the difficult path. Technologies in the Russian Federation of such conditions did not have to enjoy, but Zvonarev to survive about his victory at WTA FINALSMULSMULTIMEDIMOPOPOPECTROPECHTOD -PECHAPARY PREASHING SLADEND -REPARY TELL WAS Watch on November 11–12, “I hope” how the uniforms of law enforcement officers have the most recruiting personnel 6- On November 10, all the winners are “Miss Universe” Competition of the international-national exhibition-forum “Russia” Photo-Portage-Champions “I represent all the evil spirits in the Soviet cinema” Creative path George Millyaran-Great and Karabakh, but without water, Azerbaijan under Ilham Aliyev-in 13 graphics-fiber-shaped operations from the scene of the events Actions between Israel and the Gazaphotoreport -Gallery Sector " I hate watching my films because I am annoyed by my face. ”Emma Stone and her tapo -gallery folk unity were held a holiday -span projects“ The American flag was considered a symbol of evil ”the views of Richard Nixon on the Cold War Calls - in 10 quotes, the next readable community is the next in the name of the world33454 income 32402 Theater of defeat 3215555 355 battery The Akordac -Economy Police is pushed away from the State Duma business, amendments to exclude part of the violations of the Code of Administrative Offenses from law enforcement officers, too, paying housing rental prices in Europe will limit and extend the inflation but there is a TOMALLENTIVE PROBRAGE House determined the criteria of the companies from which the technological breakthrough IPOVELGENGOMEN added money by the Government closes the financing shortage The subsidized programs of the Ealmoteral Programs were protected by the intellectual property patentomonitoring of the Rubricedin Russians, they are being built into the presidency of the congress on December 17, the party will discuss the election of the head of state-2024 not harmful natives and the deputies discussed the demography in two hearings, but one of the Russians should not be considered a victory in the vomiting of the mob. Yulletins K. The presidential election will be printed without a discount on an online head and “who arrived” by deputies about the Extraordinary Duma promised the head of the Ministry of Emergencies to support the rescuers working in the zone in the zone of their own rubricacle in the name of the Mira-Azerbaijani and Azerbaijan talk a lot about the peace treaty, but they did not make steps for more than four not to collect the President of the Belarusian Parties before the election campaign of the campaign in Akordin, Vladimir Putin was looking for in the capital of Kazakhstana-Aitoto, he wants to more actively attract private companies in the confrontation with Russia in cyberspace for the discrediting of the sanctioned European Parliament and at the same time more reasonable to deliver the sanctions against Russia, the predecestive Slid Project thinking as the innovative president of the Realme Russia Dmitry GOSTEV about the fifth anniversary of the company and plans for the future -eumatic project “Challenge” to the future technology, the Russian Nobelparter material “We are not ready to sacrifice quality” general director of Industrial.market Alexander Antonyuk about the purchases of companies on marketplaces conference and subsidiary liability of management and business owners on November Xia Rubrikles went from breeze Transport subsidies of the industry still do not have enough to pay from the formerly liquidated companies to sue the arbitration controls, the Kuzbass energy -wires in the wires of the Kuzbass energy impede its export to Chinabenzin set up the quotes for exporting fuel, the Embargonagnant as part of the Platinum Grouping Court will recalculate the NPI for the mining company for the mining company Rubricabez Switching collapse and rebuild whether the new requirements of the Central Bank to Donasting the insurance market, the representatives of the income Russian banks expand the foreign branch network for the Yuanbirzhenaya foreign currency conjuncture in the Russian Federation rapidly changing the Turkish stream is on the application to open the Troy map, are ready for the few Russian tourist dependencies of the growth of the background of the background of the background lakes of storagery business hammered warehouses of goods of coffee For “Tibio”, “Chibo CIS” changes the name and branded sales without excitement of retailers did not set the beginning of the end of the year of year, the dark “Yandex Lavka” will begin to open the darkmolpoststist -Soviet champagne group Group will launch the playground of the playful Wintelecoming -Services can affect Russian IT companies. In the Chinese bank, they attacked the American unit of the ICBCs across the roads of roadside networks will pay for the owners of Trasstelegram, the market has been drawn by the market market, they say about the risks of the new instrument of advancement in the Aquarius messenger, I looked into the budgetary company asks the state to co -finance the production of the entire Smart News of the Companies of the Companies. 11.11.2023AO “ »On the FINOPOLIS forum They talked about the new scientific prize in the field of future technologies 110.11.2023OOO Serons Serkons told how to compensate for labor protection costs in 2023 110.11.2023OOO SEO Certification of dangerous attractions 110.11.2023AO Dom.rf for import substitution of a key banking The new industrial center of competencies is necessary for the Rubricas with reagents of the ice, the ice moved the rules for the fight against winter slippery on the roads to write down in the state -owned relations seemed to the biases of Russia are concerned with migrantophobiyirairairairairanemas tested on the social toxicity of Russians know about the cases of discrimination in the collectives of employees with oncologists to the forest in the forest in the prosecutor Buryatia guns thought about loans You’re going to the fire - further the cash staging authorities and the traffic police offer new measures to tighten the control of the Simplies of the Ribricabankovsky “Caravan” finished the deadlines for trying to theft of funds from the asvorganized community of three employees of the Investigative Committee of the Investigative Committee, on charges of especially serious crimes, the “marine launch” fell to the final accusations to the final accusations. -A. Energia, the head of the RSC, charged the damage by more than 4 billion rubles, estimated the information about Daria Dugina -Moving Police and the Entrepreneur appointed the Hero's STARD -STRISMISITION sets on common sense of the deputy commander that he had no reason to kill the girl culture of Jerome Robbins in Opera Garnierneophys. Liam " How to have sex ”neatly about the fuel -by -arts“ Master and its Muse ”by Diter Bernranstrashly Documentary Songs“ Red Book ”at the Shalom Theater Hollywood no more bastage -dimensional actors, following the scriptwriters, achieved their position by the Ribricacialeacer Shevchenko, for the first time in his quarry, he would have fought for the titlebffffffff The champressive structure is displayed by the superstar of its title for revenge "Manchester United" was lowered to the Don English Grand risen to be left without the Play-off Kazan campaign "Vikings" the debutant of the Runa league was beaten by UNICKAKON of the Turinsky gravity and Andrei Rublev was trained for the second year in a row in the same group of a final final tour. Nira Attrasime readable 603688or-organized investigative community and Byak-beac-beac “Nish”: the ruins of the Soviet myth as an actual subject of the study “I would like to take a huge eraser and some -What ”Truman Kapote on how to fence off from the life of a Weekend portrait against the backdrop of an alien stories, Otto Dix again became our contemporary Weekend Conspication of the drowned“ how to have sex ”: the on -duty tender agitation“ None of the goals justifies the invasion ”How the United States occupied Grenoada and how 40 years ago and how Mirmirtimur reacted to this and his city was written by travelers about Samarkand for the last 1,100 years of the rights of disabled people, “if you can’t learn here, let's go to Germany” why many children with serious illnesses cannot study in the Russian school -liable roses of the Georgian revolution of the Republic of Eduard Shevardnadze and what was the case Then, for the word -of -wing words in Europe, America and Asia, the main “words of the year” become the consumer market -based skiing of the Parker company, who taught the whole world to write in the pleasure of “earthquakes are largely useful” interview with geophysicist Grigory Steblov about what they can give us natural disasters of the Weekendon books On the violence of Igor Gulin, the predicate sludotterritory of the development development of Rostakak will develop OEZ and Thorritory Development of the Development of Delokak Moscow and the regions support social initiatives business ada -partner material “How to find a hacker in infrastructure despite the lack of personnel” Pavel Pavel Technology - about modern cybagod Ferencation of the full cycle on November 9 The next to the slider tape is a tape. News. .. Building News ... Download News ... Download News ... Download News ... Download News ... Download News ... Download News ... Download News ... Download News ... Download News. .. Having the Kommersant's tape Balage fund archive ContactwakkakakakakanijaniDroid information information for the information of the newsletter18+© Kommersant JSC. 123112 Moscow Presnenskaya nab. d. 10 floor 35 tel. +7 (495) 797-69-70. Setting publication "Kommersant" (domain name of the site: kommersant.ru) is registered by the Federal Service for Supervision of Information Technologies and Mass Communications (Roskomnadzor) Registration number and date of the decision on registration: Series EL No. FS77-76922 dated October 11, 2019 Partner projects/Materials of companies of companies Materials with a note “Promo” and “Official Message” are published on a commercial basis. For Kommersant.ru, recommendation technologies are applied (information technologies for providing information based on the systematization collection and analysis of information related to the preferences of users of the Internet “Internet” located in the territory of the Russian Federation). Read more</v>
      </c>
    </row>
    <row r="531">
      <c r="A531" s="1" t="s">
        <v>1748</v>
      </c>
      <c r="B531" s="1" t="s">
        <v>1781</v>
      </c>
      <c r="C531" s="1" t="s">
        <v>1782</v>
      </c>
      <c r="D531" s="1">
        <v>11.0</v>
      </c>
      <c r="E531" s="4" t="s">
        <v>1783</v>
      </c>
      <c r="F531" s="1" t="s">
        <v>16</v>
      </c>
      <c r="G531" s="1" t="s">
        <v>1784</v>
      </c>
      <c r="H531" s="4" t="s">
        <v>1785</v>
      </c>
      <c r="I531" s="2">
        <v>1.0</v>
      </c>
      <c r="J531" s="5" t="str">
        <f>IFERROR(__xludf.DUMMYFUNCTION("GOOGLETRANSLATE(A531)"),"news")</f>
        <v>news</v>
      </c>
      <c r="K531" s="6" t="str">
        <f>IFERROR(__xludf.DUMMYFUNCTION("GOOGLETRANSLATE(B531)"),"Google News")</f>
        <v>Google News</v>
      </c>
      <c r="L531" s="5" t="str">
        <f>IFERROR(__xludf.DUMMYFUNCTION("GOOGLETRANSLATE(C531)"),"3 hours back -")</f>
        <v>3 hours back -</v>
      </c>
      <c r="M531" s="5" t="str">
        <f>IFERROR(__xludf.DUMMYFUNCTION("GOOGLETRANSLATE(G531)"),"Google NewsNewsHelp HelpPrivacyTermsAbout GoogleGet the Android appGet the iOS appSend feedbackSettings SettingsLanguage &amp; regionEnglish (United States)Sign inHomeFor youFollowingNews ShowcaseU.S.WorldLocalBusinessTechnologyEntertainmentSportsScienceHealt"&amp;"hMore NewsYourbriefingToday50°30°Sun51°37°Mon58°31°Tue54°32°Ann Arbor36°FMore on weather.comTop storiesThe GuardianMoreIsraeli troops in key battle with Hamas gunmen near Gaza City hospital4 hours agoJason Burke &amp; Ruth MichaelsonBy Jason Burke &amp; Ruth Mich"&amp;"aelsonCNNMoreGaza doctors say hospitals are failing. US medical groups are scrambling to help2 hours agoAlaa ElassarBy Alaa ElassarCBS New YorkMoreGaza hospital nearly at its breaking point as it operates without power4 hours agoAl Jazeera EnglishMoreIsra"&amp;"el is bombing hospitals in Gaza with Israeli doctors’ approval16 hours agoOpinionFull CoverageABC NewsMoreSpeaker Mike Johnson pitches Republicans on plan to avert government shutdown3 hours agoJohn R Parkinson Rachel Scott &amp; Allison PecorinBy John R Park"&amp;"inson Rachel Scott &amp; Allison PecorinCNNMoreHouse GOP pursuing two-step plan to avert government shutdown2 hours agoLauren Fox Manu Raju &amp; Annie GrayerBy Lauren Fox Manu Raju &amp; Annie GrayerRoll Call MoreSenate stopgap plan might extend to January jettison "&amp;"war funds11 hours agoPaul KrawzakBy Paul KrawzakMSNBCMoreMike Johnson has a secret plan to fight a government shutdown5 hours agoOpinionHayes BrownBy Hayes BrownFull CoverageThe Associated PressMorePope Francis removes Tyler Texas bishop Joseph Strickland"&amp;"4 hours agoNicole WinfieldBy Nicole WinfieldBBC.comMoreFagradalsfjall: Iceland declares emergency over volcano eruption concerns5 hours agoLocal newsPicks for youSign in for personalized stories in your briefing &amp; news feedSign inSearchClear searchClose s"&amp;"earchGoogle appsMain menu")</f>
        <v>Google NewsNewsHelp HelpPrivacyTermsAbout GoogleGet the Android appGet the iOS appSend feedbackSettings SettingsLanguage &amp; regionEnglish (United States)Sign inHomeFor youFollowingNews ShowcaseU.S.WorldLocalBusinessTechnologyEntertainmentSportsScienceHealthMore NewsYourbriefingToday50°30°Sun51°37°Mon58°31°Tue54°32°Ann Arbor36°FMore on weather.comTop storiesThe GuardianMoreIsraeli troops in key battle with Hamas gunmen near Gaza City hospital4 hours agoJason Burke &amp; Ruth MichaelsonBy Jason Burke &amp; Ruth MichaelsonCNNMoreGaza doctors say hospitals are failing. US medical groups are scrambling to help2 hours agoAlaa ElassarBy Alaa ElassarCBS New YorkMoreGaza hospital nearly at its breaking point as it operates without power4 hours agoAl Jazeera EnglishMoreIsrael is bombing hospitals in Gaza with Israeli doctors’ approval16 hours agoOpinionFull CoverageABC NewsMoreSpeaker Mike Johnson pitches Republicans on plan to avert government shutdown3 hours agoJohn R Parkinson Rachel Scott &amp; Allison PecorinBy John R Parkinson Rachel Scott &amp; Allison PecorinCNNMoreHouse GOP pursuing two-step plan to avert government shutdown2 hours agoLauren Fox Manu Raju &amp; Annie GrayerBy Lauren Fox Manu Raju &amp; Annie GrayerRoll Call MoreSenate stopgap plan might extend to January jettison war funds11 hours agoPaul KrawzakBy Paul KrawzakMSNBCMoreMike Johnson has a secret plan to fight a government shutdown5 hours agoOpinionHayes BrownBy Hayes BrownFull CoverageThe Associated PressMorePope Francis removes Tyler Texas bishop Joseph Strickland4 hours agoNicole WinfieldBy Nicole WinfieldBBC.comMoreFagradalsfjall: Iceland declares emergency over volcano eruption concerns5 hours agoLocal newsPicks for youSign in for personalized stories in your briefing &amp; news feedSign inSearchClear searchClose searchGoogle appsMain menu</v>
      </c>
    </row>
    <row r="532">
      <c r="A532" s="1" t="s">
        <v>1748</v>
      </c>
      <c r="B532" s="1" t="s">
        <v>1786</v>
      </c>
      <c r="C532" s="1" t="s">
        <v>1787</v>
      </c>
      <c r="D532" s="1">
        <v>12.0</v>
      </c>
      <c r="E532" s="4" t="s">
        <v>1788</v>
      </c>
      <c r="F532" s="1" t="s">
        <v>16</v>
      </c>
      <c r="G532" s="1" t="s">
        <v>1789</v>
      </c>
      <c r="H532" s="4" t="s">
        <v>1790</v>
      </c>
      <c r="I532" s="2">
        <v>4.0</v>
      </c>
      <c r="J532" s="5" t="str">
        <f>IFERROR(__xludf.DUMMYFUNCTION("GOOGLETRANSLATE(A532)"),"news")</f>
        <v>news</v>
      </c>
      <c r="K532" s="6" t="str">
        <f>IFERROR(__xludf.DUMMYFUNCTION("GOOGLETRANSLATE(B532)"),"News - Medusa")</f>
        <v>News - Medusa</v>
      </c>
      <c r="L532" s="5" t="str">
        <f>IFERROR(__xludf.DUMMYFUNCTION("GOOGLETRANSLATE(C532)"),"14 minutes ago -")</f>
        <v>14 minutes ago -</v>
      </c>
      <c r="M532" s="5" t="str">
        <f>IFERROR(__xludf.DUMMYFUNCTION("GOOGLETRANSLATE(G532)"),"News - Meduza to go to the materials of the Distribution History of Medusa Medusa to advertiseMeduza in English. Trailer -skid to be in the order of the Roomfilm about the judge Tamara Morshchakova. Trailer -strokewashington post: Diversion on Northern St"&amp;"reams Coordinated by the Ukrainian Colonel Roman Chervinsky military in Kiev pre -trial detention center, denies his involvement 3 hours ago “Fontanka”: Finnish border guards ceased to let the Russians into the country of bicycle - they were unfolded at t"&amp;"he border 4 hours ago, the investigation committee of the Russian The terrorist attack after the railway carriage of a cargo train in the Ryazan region5 hours ago, you are not aware of, but Russian propaganda is constantly accusing Ukraine of trade in bod"&amp;"ies. They are allegedly seized from the military and then they are being taken to the west methodically we analyze this nonsense16 hours of the Nazadistoripo for the whole world, thousands of people entered promotions in the support of Palestine, they req"&amp;"uire an immediate ceasefire in the gas sector. Photos 20: 20 November 11, 2023v London, another march in support of Palestine began. Tens of thousands of people 6 hours ago, the head of European diplomacy, Josep Borrel, called on the EU countries “to rema"&amp;"in uniform” in the support of Ukraine since the assistance of Kiev from the United States can be reduced 7 hours of the Nazadistoriyamal communication tool Aquarium re-released the album “Radio Africa”- based on records of 40- summer prescription. Lev Gan"&amp;"kin tells how this version of the famous plate appeared11 hours ago Moscow Prosecutor's Office of Moscow began a check against journalist Yuri Dudia, according to the “discredit” of the Russian Army 8 hours, Nazadilon Musk called on Vladimir Zelensky to s"&amp;"tart negotiations and also “not send Ukrainian youth to die in the trenches” 8 hours of the Nazadistiya Pavlovich - Former paratrooper and fan of Fedor Emelianenko. Now he fights in the Madison-Square Garden for the UFC championship belt, ""In our songs t"&amp;"here is not a word against his word in support of Ukraine."" A video appeared on the Web with the members of the Zero People group after the breakdown of their concert in St. Petersburg10 hours ago ""Russia never comes forever because Ukraine is always re"&amp;"turning."" Zelensky made an appeal on the occasion of the anniversary of the liberation of Kherson11 hours of noise, “I will try to survive to the victory of the world of the victory of good over the evil of the victory of the truth over slander” Alla Pug"&amp;"acheva published the first post after her visit to the Russian Federation8 hours ago, the European University in St. Petersburg drew up two protocols About participation in the activities of an “unwanted organization” 12 hours ago, he announced that Israe"&amp;"l would bomb a peaceful population in Gaza and called for stopping attacks. In response, Netanyahu accused of what was happening to Hamas15 hours by the noble -west Chen Yun made a bet on China and Russia in the context of their confrontation with the Uni"&amp;"ted States. Now he is not afraid of sanctions-and can continue nuclear trials, the main thing from the article by Financial Times10 hours ago the Glava of the Ministry of Education personally presented Kadyrov with a rewritten textbook of history that was"&amp;" criticized in Chechnya due to the paragraph of the repressed peoples of 13 hours of the Moodyʼs-Laid-Locked Forecast for the Lenhip Rating before the “negative” to the “negative” 14 hours of the Nazadistoriyakak in the fall the front changes in the fall:"&amp;" the trenches are filled with water and mud six hundred and the twenty -fifth day of the war. Photos11 hours ago, the Ryazan region, due to the “intervention of unauthorized persons”, came off the rails of 19 cargo train cars15 hours ago The Beatles trave"&amp;"ler-“Now and Theen”-led the UK Musical Hit Parade. But the war for the city did not end - the Russian army continues to shell the local residents buried their loved ones, they lose their houses without light and water - and still survive14 hours ago, a fi"&amp;"re occurred at the powder factory. Local residents reported that the fire was preceded by an explosion16 hours of the nozzle six hundred twenty -sixth day. Online ""Medusa"" 16 hours ago: the European Union has a ""plan B"" in case Hungary imposes a veto "&amp;"on a new packet of assistance to Ukrainian, the halves of Israel specified that 1,200 people were killed when Hamas attack on October 7. Earlier, 1,400 deaths ago were reported to the annual World Charity Index Russia took 102nd place in Ukraine-the secon"&amp;"d day of the Nazadovostisch began the flight tests of the B-21 Raider nuclear bomber. Photography back the first flight tests of the American stealth bomber B-21 Raider capable of carrying nuclear weapons have passed 10 ... Read further the first flight t"&amp;"ests of the American stealth bomber B-21 Raider capable of carrying nuclear weapons on November 10 in California. The manufacturer Northrop Grumman positions B-21 as the world's first six-generation plane and the “future US aircraft”. The B-21 of the Flyi"&amp;"ng Wing, as well as its predecessor B-2 Spirit, will be able to carry ordinary and nuclear weapons around the world using the possibilities of refueling at long and medium distances. According to Reuters, the cost of one aircraft is about 750 million doll"&amp;"ars. The US Air Force plan to purchase at least 100 such aircraft for replacing B-1 and B-2.David Swanson / RETERS / Scanpix / LETA Odessa Region, a country cooperative was hit. Three people were injured, among other things, the 96-year-old woman-heading "&amp;"the Armed Forces of the Armed Forces said that the Russian army lost ten thousand people ago in a month of assault on Avdeevka: the European Union countries advocated the “more gradual approach” to the use of Russian frozen assets backwards back to the “f"&amp;"oreign agents” of students for students ” The thunderstorm ”and the publication“ Cedar. Media ”the day of the nozzle -toisthakhal shot a documentary about the attack of the Hamas terrorists on Israel, actress Gal Gadot showed him in the United States. The"&amp;"n there were clashes backwards ago, Kyrgyzstan abolished the maturity in the passports. They were allowed only four months ago-and this caused the criticism of the self-proclaimed DPR of the 37-year-old defender Mariupol Vitaly Matvienko who fell prisoner"&amp;" sentenced to 30 years the colony “Al-Arabia”: Israel and Khamas agreed on the exchange-100 Palestinian women and adolescents for 100 Women and children from among the hostages of Hamasden are notomable to the Grammy nominees. The singer SZA has nine nomi"&amp;"nations at Taylor Swift Billy Ailish and Miley Cyrus - for six days by the noise, Yashin was transferred from Moscow to the Smolensk region. He was sentenced to eight and a half years in the case of “fakes” the day of the nasadnovostin warehouse “Medusa” "&amp;"ended all the books of Elena Kostyuchenko “My Favorite Country” ... What to do those who did not have time to order it? Not everything is lost! A day ago, a tendency from Mariupol was handed to the submarine to the Moscow Region Military Commissariat to r"&amp;"eturn to Ukraine backwards ahead of time, the defendants in the case of Ivan the Bolunovaden’s case backwards Binance stops serving the ruble depositories back ""If you started seeing yourself as a winner, you can lose everything."" The head of the Office"&amp;" of Zelensky - about the prospects of the war, backwards of the Podkastrer of the Podkasta ""Besides the Stars""! We start with our favorite music by Ruyty Sakamoto-we listen to his soundtracks of technology-recorded concerts (and even ringtone for nokia)"&amp;" 42 minutes: November 10, 2023VS SOLDITUNESSS-STROWOGOOGLE PODCASTICASTOXYOXYOXYSUSE ZA ""! We begin with our favorite music by Ruyty Sakamoto - we listen to his soundtracks of technology -recorded piano concerts (and even ringtone for Nokia) 00: 0042: 11"&amp;" ""They will redeem the crimes on the battlefield."" Peskov - about why the murderer of Vera Pekhteleeva and other criminals, the nobleman Sasha Filipenko, was pardoned, was arrested 13 days ago, who was captured and the Ukrainian human rights defender Ma"&amp;"xim Butkevich could not find him a day ago: in the Bryansk region they fired a FSB border control car. The Netflix special service officer died, David Fincher, Killer, came out. This picture breaks the genre canon and Michael Fassbender plays one of his m"&amp;"ost expressive roles2 months ago of the Kursk region of four of five private clinics conducting drug abortions, refused to provide such help back “Mediazona”: in Russia, a year and a half after tightening criminal punishment about torture was excited 32 s"&amp;"uch things. The sherine of the former employees of Apple introduced the AI ​​Pin gadget-a brooch from the AI-help of the Nazadistoriivo Lviv, a sculpture with the Soviet cosmonaut (unofficially called it “Tereshkova’s Monument”). Previously, the authoriti"&amp;"es believed that it “does not carry an ideological load” - but their war was convinced by the six hundred twenty -fourth day of the war. Photos of the Nazadviktor Orban: Ukraine is not ready for negotiations on the entry into the EU2 days ago, the first a"&amp;"nniversary of the release of Kherson, we speak with Konstantin Ryzhenko. Before the start of the Russian occupation, he was a local journalist and then he became a participant in the resistance of 48 minutes2 of the day of the Nazwittsi Mansky wrote a pos"&amp;"t about a trip to Baku. After that, in Yerevan, his festival “Echo Artdokfest” was canceled for 2 days, the nobleman of the Free Buryatia Foundation Alexander Garmazhapov sentenced in absentia to the 7 years of the colony in the case of “fakes” about the "&amp;"Russian army 2 days ago: “Direct Line” and Putin’s press conference will be held simultaneously On December 142, 2 days of Drying Russia attacked Ukraine with drones and missiles. The Armed Forces said that five drones were shot down and one missile 2 day"&amp;"s ago, the representative of Russia for the first time did not get into the International Court of the UN2 of the Nazadistory “Russian authorities willingly turn their own citizens into cold -blooded monsters” a year ago the army of the Russian Federation"&amp;" left Kherson. Journalist Andrea Yeska wrote a series of reports from the liberated city. We talked with her2 days ago Putin visited the headquarters of Russian troops in Rostov-on-Don where he examined the “new samples of military equipment”. He was show"&amp;"n a “typewriter” - an all -terrain vehicle for farmers2 Days ago, a GODDUM approved the creation of a publicly accessible register of debtors on alimony2 days ago Clabo -Robor -Commission recommended that negotiations with Ukraine on the entry into the EU"&amp;". Kyiv really became closer to becoming a member of the Union? And what does the recommendation mean to issue the status of a candidate for members of the EU Georgia? 9 cards2 days of the Nazidovostbloomberg: in the leadership of Ukraine they deny the spl"&amp;"it between the hearing and Zelensky about the disagreements between them began to speak after an interview with the commander -in -chief of the Armed Forces of the Armed Forces. He said that “the war has come to a dead end” 2 days of the Nazadistory “I am"&amp;" not alone. There are hundreds of such mothers »Interview with Oksana Pekhteleeva. Putin pardoned the killer of her daughter - he received 17 years of the colony but was released, having left for the war with Ukraine 2 days of the Besatolovostigod, the Ru"&amp;"ssian army retreated from Kherson - although it “came there forever” as the Ukrainians liberated their city - and as the Russian troops made a “difficult decision” 3 minutes22 The days of the back of the Russian army at the beginning of a full -scale inva"&amp;"sion of Ukraine captured Kherson. This was the only Ukrainian regional ... Read further the Russian army at the beginning of a full -scale invasion of Ukraine captured Kherson. This was the only Ukrainian regional center that managed to occupy the troops "&amp;"of the Russian Federation. On November 9, 2022, the Minister of Defense of the Russian Federation Sergey Shoigu was heard by General Sergei Surovikin's report to withdraw troops from Kherson by saying that this is a “difficult” decision but it would save "&amp;"people's lives. The Russian authorities stated that ""they came to Kherson forever."" On November 11, 2022, the Ukrainian military returned to Kherson. The News ""everyone is angry with command. This is the stupidity of the military leadership. The Washin"&amp;"gton Post talked with those who survived 2 days ago subscribe to the “signal”-Imil-mailing from the creators of Medusa. It helps to understand the news and will work until there is the Internet in Russia. Spam Protection Recaptcha. Confidentiality and con"&amp;"ditions of use of e-mail to Signaturemuscvichi for days stand in lines for tickets for the Nutcracker ballet at the Bolshoi Theater only for a place in the queue of the rescuers asked 15 thousand rubles (they were detained) for 2 days of the nobled Zeppel"&amp;"in IV-one of the greatest and most mysterious albums In the history of rock. He went out more than half a century ago now one of his secrets was disclosed: the British scientist found out who the man was with brushwood on the cover - and who made his phot"&amp;"o2 days ago, Putin came to Kazakhstan. It became difficult for him again to pronounce the patronymic of President Tokaev2 of the day by noise to go to the store and buy books by Zygar or Kostyuchenko published by Medusa? Here is a convenient list - by the"&amp;" countries of the 3rd day, what we wrote this week “I realized that this topic is better not to raise” the defendant in the case of the “network” Maxim Ivankin spoke in a court in the case of the murder of Ekaterina Levchenko and Artem Dorofeev. Here is h"&amp;"is testimony 4 days of the Nazadistoriii were afraid of the dictator. And they themselves led him to power in 2024 Putin (almost certainly) for the fifth time will become president. Medusa tells how he won his first elections - and how he was helped by Ru"&amp;"ssian liberals for the 5th days of the Nazadistoriukuree, it was not possible to achieve success as a result of a counterattack. But the Kremlin still wants to leave the war “in the background” during the election campaign of 20244 of the day of the Nazad"&amp;"istory of Russia with Ukraine again came to a dead end. Western countries are increasingly talking about peace negotiations. Will they begin? The release of the “Signal” newsletter at Medusa 4 days ago Clamping the illness of the Americans today is consid"&amp;"ered a war in Vietnam as a mistake. But this was not always the case-during the war itself, society supported her why, even in the 1960s, the majority did not manage to persuade the majority in the 1960s? 5 days of the Nazadistory “perceived as a fair of "&amp;"vanity” at the VDNH there is an exhibition of “achievements” of Russia under Putin- With shaman robots and balalaika. We tell you why the Kremlin is needed and the leadership of the Russian regions2 Days ago Meduza Meduza Meduza in Englishboglish use of t"&amp;"he data cuckoo stagnation of the Medusa, Use the Medusa Medusa KIT Radio Dolin Platformation-Stage Itterityubvs platforms rescue on a “signal”-Imail mailing from the creators of “Medusa "". It helps to understand the news and will work until there is the "&amp;"Internet in Russia. Spam Protection Recaptcha. Confidentiality and conditions of use. Read more about the ""signal"" email to Subscribe to read ""Medusa"" during the blocking of the error? Select it and press Ctrl+Enter © Meduza 2023")</f>
        <v>News - Meduza to go to the materials of the Distribution History of Medusa Medusa to advertiseMeduza in English. Trailer -skid to be in the order of the Roomfilm about the judge Tamara Morshchakova. Trailer -strokewashington post: Diversion on Northern Streams Coordinated by the Ukrainian Colonel Roman Chervinsky military in Kiev pre -trial detention center, denies his involvement 3 hours ago “Fontanka”: Finnish border guards ceased to let the Russians into the country of bicycle - they were unfolded at the border 4 hours ago, the investigation committee of the Russian The terrorist attack after the railway carriage of a cargo train in the Ryazan region5 hours ago, you are not aware of, but Russian propaganda is constantly accusing Ukraine of trade in bodies. They are allegedly seized from the military and then they are being taken to the west methodically we analyze this nonsense16 hours of the Nazadistoripo for the whole world, thousands of people entered promotions in the support of Palestine, they require an immediate ceasefire in the gas sector. Photos 20: 20 November 11, 2023v London, another march in support of Palestine began. Tens of thousands of people 6 hours ago, the head of European diplomacy, Josep Borrel, called on the EU countries “to remain uniform” in the support of Ukraine since the assistance of Kiev from the United States can be reduced 7 hours of the Nazadistoriyamal communication tool Aquarium re-released the album “Radio Africa”- based on records of 40- summer prescription. Lev Gankin tells how this version of the famous plate appeared11 hours ago Moscow Prosecutor's Office of Moscow began a check against journalist Yuri Dudia, according to the “discredit” of the Russian Army 8 hours, Nazadilon Musk called on Vladimir Zelensky to start negotiations and also “not send Ukrainian youth to die in the trenches” 8 hours of the Nazadistiya Pavlovich - Former paratrooper and fan of Fedor Emelianenko. Now he fights in the Madison-Square Garden for the UFC championship belt, "In our songs there is not a word against his word in support of Ukraine." A video appeared on the Web with the members of the Zero People group after the breakdown of their concert in St. Petersburg10 hours ago "Russia never comes forever because Ukraine is always returning." Zelensky made an appeal on the occasion of the anniversary of the liberation of Kherson11 hours of noise, “I will try to survive to the victory of the world of the victory of good over the evil of the victory of the truth over slander” Alla Pugacheva published the first post after her visit to the Russian Federation8 hours ago, the European University in St. Petersburg drew up two protocols About participation in the activities of an “unwanted organization” 12 hours ago, he announced that Israel would bomb a peaceful population in Gaza and called for stopping attacks. In response, Netanyahu accused of what was happening to Hamas15 hours by the noble -west Chen Yun made a bet on China and Russia in the context of their confrontation with the United States. Now he is not afraid of sanctions-and can continue nuclear trials, the main thing from the article by Financial Times10 hours ago the Glava of the Ministry of Education personally presented Kadyrov with a rewritten textbook of history that was criticized in Chechnya due to the paragraph of the repressed peoples of 13 hours of the Moodyʼs-Laid-Locked Forecast for the Lenhip Rating before the “negative” to the “negative” 14 hours of the Nazadistoriyakak in the fall the front changes in the fall: the trenches are filled with water and mud six hundred and the twenty -fifth day of the war. Photos11 hours ago, the Ryazan region, due to the “intervention of unauthorized persons”, came off the rails of 19 cargo train cars15 hours ago The Beatles traveler-“Now and Theen”-led the UK Musical Hit Parade. But the war for the city did not end - the Russian army continues to shell the local residents buried their loved ones, they lose their houses without light and water - and still survive14 hours ago, a fire occurred at the powder factory. Local residents reported that the fire was preceded by an explosion16 hours of the nozzle six hundred twenty -sixth day. Online "Medusa" 16 hours ago: the European Union has a "plan B" in case Hungary imposes a veto on a new packet of assistance to Ukrainian, the halves of Israel specified that 1,200 people were killed when Hamas attack on October 7. Earlier, 1,400 deaths ago were reported to the annual World Charity Index Russia took 102nd place in Ukraine-the second day of the Nazadovostisch began the flight tests of the B-21 Raider nuclear bomber. Photography back the first flight tests of the American stealth bomber B-21 Raider capable of carrying nuclear weapons have passed 10 ... Read further the first flight tests of the American stealth bomber B-21 Raider capable of carrying nuclear weapons on November 10 in California. The manufacturer Northrop Grumman positions B-21 as the world's first six-generation plane and the “future US aircraft”. The B-21 of the Flying Wing, as well as its predecessor B-2 Spirit, will be able to carry ordinary and nuclear weapons around the world using the possibilities of refueling at long and medium distances. According to Reuters, the cost of one aircraft is about 750 million dollars. The US Air Force plan to purchase at least 100 such aircraft for replacing B-1 and B-2.David Swanson / RETERS / Scanpix / LETA Odessa Region, a country cooperative was hit. Three people were injured, among other things, the 96-year-old woman-heading the Armed Forces of the Armed Forces said that the Russian army lost ten thousand people ago in a month of assault on Avdeevka: the European Union countries advocated the “more gradual approach” to the use of Russian frozen assets backwards back to the “foreign agents” of students for students ” The thunderstorm ”and the publication“ Cedar. Media ”the day of the nozzle -toisthakhal shot a documentary about the attack of the Hamas terrorists on Israel, actress Gal Gadot showed him in the United States. Then there were clashes backwards ago, Kyrgyzstan abolished the maturity in the passports. They were allowed only four months ago-and this caused the criticism of the self-proclaimed DPR of the 37-year-old defender Mariupol Vitaly Matvienko who fell prisoner sentenced to 30 years the colony “Al-Arabia”: Israel and Khamas agreed on the exchange-100 Palestinian women and adolescents for 100 Women and children from among the hostages of Hamasden are notomable to the Grammy nominees. The singer SZA has nine nominations at Taylor Swift Billy Ailish and Miley Cyrus - for six days by the noise, Yashin was transferred from Moscow to the Smolensk region. He was sentenced to eight and a half years in the case of “fakes” the day of the nasadnovostin warehouse “Medusa” ended all the books of Elena Kostyuchenko “My Favorite Country” ... What to do those who did not have time to order it? Not everything is lost! A day ago, a tendency from Mariupol was handed to the submarine to the Moscow Region Military Commissariat to return to Ukraine backwards ahead of time, the defendants in the case of Ivan the Bolunovaden’s case backwards Binance stops serving the ruble depositories back "If you started seeing yourself as a winner, you can lose everything." The head of the Office of Zelensky - about the prospects of the war, backwards of the Podkastrer of the Podkasta "Besides the Stars"! We start with our favorite music by Ruyty Sakamoto-we listen to his soundtracks of technology-recorded concerts (and even ringtone for nokia) 42 minutes: November 10, 2023VS SOLDITUNESSS-STROWOGOOGLE PODCASTICASTOXYOXYOXYSUSE ZA "! We begin with our favorite music by Ruyty Sakamoto - we listen to his soundtracks of technology -recorded piano concerts (and even ringtone for Nokia) 00: 0042: 11 "They will redeem the crimes on the battlefield." Peskov - about why the murderer of Vera Pekhteleeva and other criminals, the nobleman Sasha Filipenko, was pardoned, was arrested 13 days ago, who was captured and the Ukrainian human rights defender Maxim Butkevich could not find him a day ago: in the Bryansk region they fired a FSB border control car. The Netflix special service officer died, David Fincher, Killer, came out. This picture breaks the genre canon and Michael Fassbender plays one of his most expressive roles2 months ago of the Kursk region of four of five private clinics conducting drug abortions, refused to provide such help back “Mediazona”: in Russia, a year and a half after tightening criminal punishment about torture was excited 32 such things. The sherine of the former employees of Apple introduced the AI ​​Pin gadget-a brooch from the AI-help of the Nazadistoriivo Lviv, a sculpture with the Soviet cosmonaut (unofficially called it “Tereshkova’s Monument”). Previously, the authorities believed that it “does not carry an ideological load” - but their war was convinced by the six hundred twenty -fourth day of the war. Photos of the Nazadviktor Orban: Ukraine is not ready for negotiations on the entry into the EU2 days ago, the first anniversary of the release of Kherson, we speak with Konstantin Ryzhenko. Before the start of the Russian occupation, he was a local journalist and then he became a participant in the resistance of 48 minutes2 of the day of the Nazwittsi Mansky wrote a post about a trip to Baku. After that, in Yerevan, his festival “Echo Artdokfest” was canceled for 2 days, the nobleman of the Free Buryatia Foundation Alexander Garmazhapov sentenced in absentia to the 7 years of the colony in the case of “fakes” about the Russian army 2 days ago: “Direct Line” and Putin’s press conference will be held simultaneously On December 142, 2 days of Drying Russia attacked Ukraine with drones and missiles. The Armed Forces said that five drones were shot down and one missile 2 days ago, the representative of Russia for the first time did not get into the International Court of the UN2 of the Nazadistory “Russian authorities willingly turn their own citizens into cold -blooded monsters” a year ago the army of the Russian Federation left Kherson. Journalist Andrea Yeska wrote a series of reports from the liberated city. We talked with her2 days ago Putin visited the headquarters of Russian troops in Rostov-on-Don where he examined the “new samples of military equipment”. He was shown a “typewriter” - an all -terrain vehicle for farmers2 Days ago, a GODDUM approved the creation of a publicly accessible register of debtors on alimony2 days ago Clabo -Robor -Commission recommended that negotiations with Ukraine on the entry into the EU. Kyiv really became closer to becoming a member of the Union? And what does the recommendation mean to issue the status of a candidate for members of the EU Georgia? 9 cards2 days of the Nazidovostbloomberg: in the leadership of Ukraine they deny the split between the hearing and Zelensky about the disagreements between them began to speak after an interview with the commander -in -chief of the Armed Forces of the Armed Forces. He said that “the war has come to a dead end” 2 days of the Nazadistory “I am not alone. There are hundreds of such mothers »Interview with Oksana Pekhteleeva. Putin pardoned the killer of her daughter - he received 17 years of the colony but was released, having left for the war with Ukraine 2 days of the Besatolovostigod, the Russian army retreated from Kherson - although it “came there forever” as the Ukrainians liberated their city - and as the Russian troops made a “difficult decision” 3 minutes22 The days of the back of the Russian army at the beginning of a full -scale invasion of Ukraine captured Kherson. This was the only Ukrainian regional ... Read further the Russian army at the beginning of a full -scale invasion of Ukraine captured Kherson. This was the only Ukrainian regional center that managed to occupy the troops of the Russian Federation. On November 9, 2022, the Minister of Defense of the Russian Federation Sergey Shoigu was heard by General Sergei Surovikin's report to withdraw troops from Kherson by saying that this is a “difficult” decision but it would save people's lives. The Russian authorities stated that "they came to Kherson forever." On November 11, 2022, the Ukrainian military returned to Kherson. The News "everyone is angry with command. This is the stupidity of the military leadership. The Washington Post talked with those who survived 2 days ago subscribe to the “signal”-Imil-mailing from the creators of Medusa. It helps to understand the news and will work until there is the Internet in Russia. Spam Protection Recaptcha. Confidentiality and conditions of use of e-mail to Signaturemuscvichi for days stand in lines for tickets for the Nutcracker ballet at the Bolshoi Theater only for a place in the queue of the rescuers asked 15 thousand rubles (they were detained) for 2 days of the nobled Zeppelin IV-one of the greatest and most mysterious albums In the history of rock. He went out more than half a century ago now one of his secrets was disclosed: the British scientist found out who the man was with brushwood on the cover - and who made his photo2 days ago, Putin came to Kazakhstan. It became difficult for him again to pronounce the patronymic of President Tokaev2 of the day by noise to go to the store and buy books by Zygar or Kostyuchenko published by Medusa? Here is a convenient list - by the countries of the 3rd day, what we wrote this week “I realized that this topic is better not to raise” the defendant in the case of the “network” Maxim Ivankin spoke in a court in the case of the murder of Ekaterina Levchenko and Artem Dorofeev. Here is his testimony 4 days of the Nazadistoriii were afraid of the dictator. And they themselves led him to power in 2024 Putin (almost certainly) for the fifth time will become president. Medusa tells how he won his first elections - and how he was helped by Russian liberals for the 5th days of the Nazadistoriukuree, it was not possible to achieve success as a result of a counterattack. But the Kremlin still wants to leave the war “in the background” during the election campaign of 20244 of the day of the Nazadistory of Russia with Ukraine again came to a dead end. Western countries are increasingly talking about peace negotiations. Will they begin? The release of the “Signal” newsletter at Medusa 4 days ago Clamping the illness of the Americans today is considered a war in Vietnam as a mistake. But this was not always the case-during the war itself, society supported her why, even in the 1960s, the majority did not manage to persuade the majority in the 1960s? 5 days of the Nazadistory “perceived as a fair of vanity” at the VDNH there is an exhibition of “achievements” of Russia under Putin- With shaman robots and balalaika. We tell you why the Kremlin is needed and the leadership of the Russian regions2 Days ago Meduza Meduza Meduza in Englishboglish use of the data cuckoo stagnation of the Medusa, Use the Medusa Medusa KIT Radio Dolin Platformation-Stage Itterityubvs platforms rescue on a “signal”-Imail mailing from the creators of “Medusa ". It helps to understand the news and will work until there is the Internet in Russia. Spam Protection Recaptcha. Confidentiality and conditions of use. Read more about the "signal" email to Subscribe to read "Medusa" during the blocking of the error? Select it and press Ctrl+Enter © Meduza 2023</v>
      </c>
    </row>
    <row r="533">
      <c r="A533" s="1" t="s">
        <v>1748</v>
      </c>
      <c r="B533" s="1" t="s">
        <v>1791</v>
      </c>
      <c r="C533" s="1" t="s">
        <v>1792</v>
      </c>
      <c r="D533" s="1">
        <v>13.0</v>
      </c>
      <c r="E533" s="4" t="s">
        <v>1793</v>
      </c>
      <c r="F533" s="1" t="s">
        <v>16</v>
      </c>
      <c r="G533" s="1" t="s">
        <v>1728</v>
      </c>
      <c r="H533" s="4" t="s">
        <v>1729</v>
      </c>
      <c r="I533" s="2">
        <v>2.0</v>
      </c>
      <c r="J533" s="5" t="str">
        <f>IFERROR(__xludf.DUMMYFUNCTION("GOOGLETRANSLATE(A533)"),"news")</f>
        <v>news</v>
      </c>
      <c r="K533" s="6" t="str">
        <f>IFERROR(__xludf.DUMMYFUNCTION("GOOGLETRANSLATE(B533)"),"The main and latest news of the day on ...")</f>
        <v>The main and latest news of the day on ...</v>
      </c>
      <c r="L533" s="5" t="str">
        <f>IFERROR(__xludf.DUMMYFUNCTION("GOOGLETRANSLATE(C533)"),"6 hours ago -")</f>
        <v>6 hours ago -</v>
      </c>
      <c r="M533" s="5" t="str">
        <f>IFERROR(__xludf.DUMMYFUNCTION("GOOGLETRANSLATE(G533)"),"Izvestia - News of the Policy of the Sports Sports Economics | Iz.ru Russian-regoperation of Russia in Ukraine of the Palestinian-Israeli conflict-forum-forum “Russia” $ $ the special operation of Russia in Ukraine of the Palestinian-Israeli conflict-foru"&amp;"m “Russia” $ $ $ $ $ $ $ $ $ € $ € $ € $ € $ to malevostication MiRMIMIANAUKA and technicianism of the StranskultiRestor-Project and subscriptions of the subscription of the company Executive Press Central Centorification of the Important Agreement of Lab"&amp;"or Agreement, the site operates with financial support Ministry of Digital Development of Communications and Mass Communications of the Russian Federation. Registered by the Federal Service for Supervision of the Communications Field of Information Techno"&amp;"logies and Mass Communications. Certificates of registration of EL No. FS 77 - 76208 dated July 8, 2019 EL No. FS 77 - 72003 of December 26, 2019, all rights were protected © MIC Izvestia LLC 2023 Khgazeta Izvestia NMGNOSTIST RENNOVOST 5 Kanalanovosti 78 "&amp;"Canalport Express Sports The Express newspaper Subscription Fillon denies the organization of a meeting of the Lebanese businessman with Putin on March 20 on March 20, all the results go to the main content of the rejection of the Ethers and gunners hit t"&amp;"he assault groups of the Armed Forces of Ukraine in the LPRB House, rejected the financing project of the US government without the help of Kievudan Lag and OIS needed to investigate the military crimes of the Israeli Israeli The defeat of the control and"&amp;" shelter of the militants in Syriasinoptics predicted in Moscow to rain and up to +7 degrees on November 12, on November 12, the latest news, the doctor told about the ways to survive the magnetic storm 06:15 Ovechkin abandoned the 825th washer in the NHL"&amp;" regular championships 06:05 A earthquake of magnitude 54 occurred In Indonesia 05:50, the farmers of Europe were apprehensive reacted to the possibility of Ukraine’s entry into the EU 05:35 Army of the Russian Federation destroyed four mortar calculation"&amp;"s of the Armed Forces in the Kupyansk direction 05:20 Russian pilots and artillerymen hit the assault groups of the Armed Forces of Ukraine in the LPR 05:05 Bloomberg learned about the consent Germany to increase assistance to Ukraine by half to € 8 billi"&amp;"on 04:50 Three people died in a collision of a train with a truck in the Angara region 04:35 Biden needed to help the guard of honor during the cemetery at the cemetery 04:20 Army of Israel answered Syria with blows on terrorist infrastructure 04: 05 Woma"&amp;"n and her two -year -old daughter died in a fire in Podolsk 03:50 White House rejected the project to finance the work of the US government without the help of Kiev 03:40 Macron called the Gaza Conference to create a humanitarian coalition 03:25 Speaker o"&amp;"f the US Congress offered to financing the government without the help of Kiev 03:15 Foreign weather forecasters predicted in Moscow to rain and up to +7 degrees on November 12 03:00 a dog handler spoke about the reasons for the early death of dogs 02:50 "&amp;"The ex-adviser Kuchma pointed out the readiness of the slave and the Armed Forces of the Russian Federation with the Russian Federation 02:40 London police detained 150 participants Demonstrations in support of Palestine 02:27 Air Defense of Israel interc"&amp;"epted a suspicious goal from Gaza 02:15 In Brazil, football fans staged a mass fight during the championship 02:05 Three people died in an accident in the Pskov region 01:50 Visitors to Igor Dreviv shared with the Izvestia »Impressions of the stand 01:35 "&amp;"Brother Nurmagomedov were disqualified for six months due to doping 01:25 Ukrainian media reported on explosions in Kiev, the city of Kherson 01:14 Podolyak announced the readiness of Ukraine for economic disputes with the EU countries 01: 10 Sportovtochk"&amp;"in abandoned the 825th The puck in the regular championships of the NHLMIMELY House rejected the project to finance the work of the US government without the help of Kiev -Proserification of Magnitite 54 in Indonesia Mirpodolak announced the readiness of "&amp;"Ukraine for economic disputes with the countries of Emyrbloomberg, the consent of the Federal Republic of Germany was doubled to € 8 billion. The ceremonies at the cemetery of the parties predicted in Moscow to rain and up to +7 degrees on November 12, a "&amp;"person killed in an accident in the Pskov regional regional media, reported explosions in the city of the city of Khersonaarmiyarmiy of the Russian Federation destroyed four mortar calculations of the Armed Forces of the Armed Forces in the Kupyansk direc"&amp;"tion of the Gamanitarian CoA. Litius Israel answered Syria with blows on a terrorist infrastructureurinist of the defense of Ukraine Umarov told the head of the Pentagon about the needs of the Kievardocarman to pull: the mortgage demand for the secondary "&amp;"collapsed almost half the terms of high rates of the banks are looking for unusual ways to attract clientwarmia Dmitry Kornev Stratosfer: why Russia is a new intelligence and junction complex that will be combined if they are united Hostly mortal Devices "&amp;"and systems of shock weapons Society Dmitry Alekseev Residential Pont: Housing Housing, without the consent of the neighbors, will not work out a new bill is called to find a compromise between residents and those who want to receive rental income, Ivan P"&amp;"etrov Knock grievances: what rights the controller in transport in Moscow opened a case for a cruel The beating of the auditor on the bus Economics Dmitry Migunov Bomb at $ 33 trillion: the US public debt has become a world problem for the demand for Amer"&amp;"ican bonds began to lag behind the proposal of the Gladiator on wheels: Italian journalists recall Ayrton Senniveli racer continues to excite the public -Golongrid. Bovano before Still Samir Igor Karmazin change the orientation: why Armenia spoils relatio"&amp;"ns with Russia, the head of the Armenian General Staff met with American generals Viktor Nedelin Rainbow prospects: Latvia was forced to same-sex marriages. The International LGBBBI continues to work on the Baltic states of Mirizizdan: the world will boyc"&amp;"ott the produced ones that will happen that will happen with the economy of the Jewish state and is it worth waiting for a new wave of anti -Semitism on November 12, 2023 00: 01economics “Open Portfolio”: how much could private investors in October expert"&amp;"s analyzed the state of the Russian stock market on November 12, 2023 00: 02 Lessac and Technician Hope: Scientists created a wardrobe for premature Children as a development will reduce the risk of injuries and infections in newborns with a low body weig"&amp;"ht on November 12, 2023 00: 01 culture of energy: Mariinsky in China Talyzin in the Mossytt Tsiscaridze in the BDT about this week, fans of the beautiful SMI2.ru -Political School of Smi2.ru -Political Coasters said this week: What changes the status of i"&amp;"nternal for the Azov Sea as these changes will affect the economy of the region and Russia on August 16, 2023 18: 52 -rope land: how Ukraine has become one of the most mined countries in the world and how Russian sappers help to solve this problem on Augu"&amp;"st 17, 2023 17: 19 Little Democratic Republic and Technical Energy and Technician Approach: as Russian scientists create unique technologies of analogues to many developments, there is no one in the world on July 31, 2023 18: 52econs of their field: how t"&amp;"he food security in Russia is ensured and what influence Covid and sanctions on July 31, 2023 18: 52 Mirbaiden were required to help the guard of honor in The ceremony in the cemetery on November12 2023 04: 20Arm Israel answered Syria with blows to terror"&amp;"ist infrastructure on November 19, 2023 04: 05 School of the US Congress, proposed financing the government without the help of Kiev on November12, 2023: 15 by 15 by 15 by the U.S. financing project without the help of Kiev November 2023 03: 40Ex Kuchma a"&amp;"dviser pointed to the readiness of the Sulfa and the Armed Forces for negotiations with the Russian Federation on November 112, 2023: 403d model of the T-90M T-90M “Breakthrough” 3D model of the first test train of the Moscow metro “Panther” 3D model of t"&amp;"he Moscow Kremlin3D model of the dacha M. S. Gorbacheva in the Foros 3d model of the Ilya Muromets aircraft 3D model of the atomic cruiser “Peter the Great” 3D model of the Tiger tank 3D model “Worker and collective farm” 3D model of Russia “Russia” 3D mo"&amp;"del of the Grand Kremlin Palace3D3D -Model of the Cathedral of the Paris Mother of God ANT-20 ""Maxim Gorky"". 3D-model3d model of the Crimean bridge3d-model of the main temple of the Armed Forces of the Russian Federation of the Russian Federation3d 3d-m"&amp;"odel of the Boeing 747-1003d model of the monastery of the Kiev-Pechersk Laurus3d Model House of the House of the Watchtower of the Patrient Ship ""Emerald"" 3d-model of the St. Paul3d Model of the Rzhevsky Memorial Soviet soldier 3d-model of the Berlin T"&amp;"ank Tank IS-23D model of the Salisbury Cathedral3d Model of the passenger aircraft Tu-1043D-model of the Sukharevo Tower of the Il-763D motor ship ""Peter the Great"" 3D model of the Cathedral of Christ Savior 3d Model of Space Ships "" Union-19 ”and“ Apo"&amp;"llo ”3D model of the Sevastopol battleship, a member of“ Scarlet Sails ”-brig Tre Kronor Af Stockholm Kurchatov Specialized Synchrotron Radiation Speed ​​3D model“ Vostok-1 ”3D-model Titanic History in the dates: 12 November-consuming of the week in the p"&amp;"hotographs: a blow to Jabalia The deadly storm ""Kiaran"" and the choice of a dress for Miss Universe what was important in Russia and the world in the past days Super Bag: how do flour made of crickets a fresh look at the goods of the Stavropol Staropoli"&amp;"s category is not in a neighborly way: Pakistan is deporting the Afghan illegal measures to end until November 1, the photo of the day: Vulcan Klyuchevsky was assigned a “red” hazard code for aviation00: 24Magnetic storm will cover the earth on the night "&amp;"of November 12, 2023 19: 4600: 57v China, online for the occasion of the day of the Holy Day11 November 2023 18: 3000: 33th American strategic bomber B-21 made the first flight on November11, 2023 13: 53, the largest artificial ice rink in Europe. Video 3"&amp;"60 ° The Building Theater building celebrates the 195th anniversary. Video 360 ° in Moscow was held by the International Exhibition of Business Aviation Rubae. Video 360 ° Festival of military equipment ""Motors of War"". Video 360 ° in Moscow hosts the f"&amp;"estival of gardens and flowers. Video 360 ° the second for the year the tram parade was held in the capital. Video 360 ° PMEF. Video 360 ° Morning on May 9 in Moscow from the roof of the Typhoon armored car. Video 360 ° Evacuation of the aircraft. Video 3"&amp;"60 ° what they feed on an airplane: an excursion to the on -board power plant. Video 360 ° Exhibition ""Lada Always"": more than 100 most unusual models. Video 360 ° East. Another beauty: a large -scale exhibition. Video 360 ° Excursion on the legendary M"&amp;"osfilm pavilions. Video 360 ° how the coke is produced. Video 360 ° 90 years of Mickey Mouse: multimedia exhibition. Video 360 ° 120 previously unknown sculptures of Tsereteli. Video 360 ° Championship of Russia in the Higher aerobatics: unique shots from"&amp;" the wing of the aircraft. Video 360 ° Moscow Mint and Moscow Printing House ""Goznak"". Video 360 ° The World Cup in Kazan. Video 360 ° Cinema ""Illusion"" after reconstruction. Video 360 ° Crazy drift on the ""Lada"". Video 360 ° Excursion in Gorky Park"&amp;". Video 360 ° feeding sharks in Moskvarium. Video 360 ° World Wingsight jump record. Video 360 ° Luxurious train ""Imperial Russia"". Video 360 ° Driving T-80U tank under water. Video 360 ° Championship of the World football 2022 in Qatar: A unique show. "&amp;"Video 360 ° The test is not for the faint of heart: a stamina marathon. Video 360 ° Advertising of beauty: Ten products that will extend youth, doctors said that it is necessary to slow down the aging on November 11, 2023 00: 02 Iranian President gathered"&amp;" in Saudi Arabia Visit as part of the Summit on the situation in the gas sector will be the first after the reconciliation of the two countries on November 11 2023 00: 02 publication seal of communication: how to protect against theft of data through a VP"&amp;"N under a VPN service can be disguised as a Trojan-style on November 11, 2023 00:02 Opinion Olga Pozdnyakov “” In Russia, a register of debtors on alimony will appear in Russia. It will be possible to delete the surname from it only by repaying all obliga"&amp;"tions. In the future, it is possible to introduce sanctions against submitted to the register - a restriction on leaving the country with a driver’s license, etc. November 11, 2023 08: 00Aleksandra Babkin “” on the Internet you should not do anything that"&amp;" you do not allow yourself in real life. Technical tools can protect you from cyberbulling, however, we will not change the culture of our communication on the network, we will not be able to globally solve the problem on November11, 2023 08: 00valery Eme"&amp;"lyanov “” Positive factors that could not force the ruble to turn over now. Currency swings rush down until they find a U -turning point there and will not fly back 10th November 2023 08: 00maxim Dobromoslov “” In one we are ahead of the Hollywood film In"&amp;"dustry - small budgets. Our times less. Paradoxically, but this is a big plus November 9, 2023 20: 00vgenia Pimenov “” Cultural exchanges in the broadest sense of the word is a tool of peaceful and stable times. When the world spiral of conflicts begins t"&amp;"o spin all this “decor” begins to crumble on November9, 2023 14: 00leg Chamonaev “” This case affects not only Camille personally, but also the entire national team and even in the matter with Olympic gold. So no compromises (with their conscience and ant"&amp;"i -doping authorities) are impossible here on November 9, 2023 08: 00 George Mokhov “” Everywhere where there are budget money - especially when they are distributed on “lightweight” conditions: not through public procurements and competitive procedures, "&amp;"and highlighting subsidies essentially Under honestly, attackers always appear. This also happened in the field of tourism on November 9, 2023: 00port “The level of RPL fell a bit-more matches began to win on the classroom” SKA-Khabarovsk football player "&amp;"Vyacheslav Podberezkin-about the leadership of Krasnodar and the motivation of the new generation of players on November 12, 2023 00: 01 Products Her two -year -old daughter died in a fire in Podolsk November 112, 2023: 50 Mirmacron called the Gaza Confer"&amp;"ence in a step towards the creation of a humanitarian coalition November12, 2023 03: 25 Synoptics predicted rain in Moscow and up to +7 degrees on November 12, 2023 03: 00 Police of London, 150 participants in the demonstration in support Palestine Novemb"&amp;"er 19, 2023 02: 27pvo Israel, intercepted a suspicious goal from Gaza November 112, 2023: 15v Brazil, football fans staged a mass fight during the championship November 11, 2023 02: 05 sports weekend with Izvestia November 10, 2023 00: 00 Cultural Week: C"&amp;"hoosing Izvestia on November 9 2023 00: 01 advertising menu Advertising Subscribing to the RSS newspaper Send news about the company editorial-pre-re-renovation company about the immutation of the labor protection of labor copyright on the visualization s"&amp;"ystem of the contents of the portal iz.ru as well as on the initial data, including the texts of the audio and video materials, graphic images and product signs belongs ""MIC"" Izvestia "". The specified information is protected in accordance with the leg"&amp;"islation of the Russian Federation and international agreements. Partial citation is possible only if a hyperlink on iz.ru. AB AB ""Russia"" - partner of the section ""Economics"" The site functions with financial support from the Ministry of Digital Deve"&amp;"lopment of Communications and Mass Communications of the Russian Federation. Responsibility for the maintenance of any advertising materials placed on the portal is borne by the advertiser. Analytics News Forecasts and other materials presented on this si"&amp;"te are not an offer or a recommendation for the purchase or sale of any assets. Registered by the Federal Service for Supervision of the Communications of Information Technologies and Mass Communications. Certificate of registration of EL No. FS 77 - 7620"&amp;"8 dated July 8, 2019 EL No. FS 77 - 72003 of December 26, 2019 All rights are protected © MIC Izvestia 2023")</f>
        <v>Izvestia - News of the Policy of the Sports Sports Economics | Iz.ru Russian-regoperation of Russia in Ukraine of the Palestinian-Israeli conflict-forum-forum “Russia” $ $ the special operation of Russia in Ukraine of the Palestinian-Israeli conflict-forum “Russia” $ $ $ $ $ $ $ $ $ € $ € $ € $ € $ to malevostication MiRMIMIANAUKA and technicianism of the StranskultiRestor-Project and subscriptions of the subscription of the company Executive Press Central Centorification of the Important Agreement of Labor Agreement, the site operates with financial support Ministry of Digital Development of Communications and Mass Communications of the Russian Federation. Registered by the Federal Service for Supervision of the Communications Field of Information Technologies and Mass Communications. Certificates of registration of EL No. FS 77 - 76208 dated July 8, 2019 EL No. FS 77 - 72003 of December 26, 2019, all rights were protected © MIC Izvestia LLC 2023 Khgazeta Izvestia NMGNOSTIST RENNOVOST 5 Kanalanovosti 78 Canalport Express Sports The Express newspaper Subscription Fillon denies the organization of a meeting of the Lebanese businessman with Putin on March 20 on March 20, all the results go to the main content of the rejection of the Ethers and gunners hit the assault groups of the Armed Forces of Ukraine in the LPRB House, rejected the financing project of the US government without the help of Kievudan Lag and OIS needed to investigate the military crimes of the Israeli Israeli The defeat of the control and shelter of the militants in Syriasinoptics predicted in Moscow to rain and up to +7 degrees on November 12, on November 12, the latest news, the doctor told about the ways to survive the magnetic storm 06:15 Ovechkin abandoned the 825th washer in the NHL regular championships 06:05 A earthquake of magnitude 54 occurred In Indonesia 05:50, the farmers of Europe were apprehensive reacted to the possibility of Ukraine’s entry into the EU 05:35 Army of the Russian Federation destroyed four mortar calculations of the Armed Forces in the Kupyansk direction 05:20 Russian pilots and artillerymen hit the assault groups of the Armed Forces of Ukraine in the LPR 05:05 Bloomberg learned about the consent Germany to increase assistance to Ukraine by half to € 8 billion 04:50 Three people died in a collision of a train with a truck in the Angara region 04:35 Biden needed to help the guard of honor during the cemetery at the cemetery 04:20 Army of Israel answered Syria with blows on terrorist infrastructure 04: 05 Woman and her two -year -old daughter died in a fire in Podolsk 03:50 White House rejected the project to finance the work of the US government without the help of Kiev 03:40 Macron called the Gaza Conference to create a humanitarian coalition 03:25 Speaker of the US Congress offered to financing the government without the help of Kiev 03:15 Foreign weather forecasters predicted in Moscow to rain and up to +7 degrees on November 12 03:00 a dog handler spoke about the reasons for the early death of dogs 02:50 The ex-adviser Kuchma pointed out the readiness of the slave and the Armed Forces of the Russian Federation with the Russian Federation 02:40 London police detained 150 participants Demonstrations in support of Palestine 02:27 Air Defense of Israel intercepted a suspicious goal from Gaza 02:15 In Brazil, football fans staged a mass fight during the championship 02:05 Three people died in an accident in the Pskov region 01:50 Visitors to Igor Dreviv shared with the Izvestia »Impressions of the stand 01:35 Brother Nurmagomedov were disqualified for six months due to doping 01:25 Ukrainian media reported on explosions in Kiev, the city of Kherson 01:14 Podolyak announced the readiness of Ukraine for economic disputes with the EU countries 01: 10 Sportovtochkin abandoned the 825th The puck in the regular championships of the NHLMIMELY House rejected the project to finance the work of the US government without the help of Kiev -Proserification of Magnitite 54 in Indonesia Mirpodolak announced the readiness of Ukraine for economic disputes with the countries of Emyrbloomberg, the consent of the Federal Republic of Germany was doubled to € 8 billion. The ceremonies at the cemetery of the parties predicted in Moscow to rain and up to +7 degrees on November 12, a person killed in an accident in the Pskov regional regional media, reported explosions in the city of the city of Khersonaarmiyarmiy of the Russian Federation destroyed four mortar calculations of the Armed Forces of the Armed Forces in the Kupyansk direction of the Gamanitarian CoA. Litius Israel answered Syria with blows on a terrorist infrastructureurinist of the defense of Ukraine Umarov told the head of the Pentagon about the needs of the Kievardocarman to pull: the mortgage demand for the secondary collapsed almost half the terms of high rates of the banks are looking for unusual ways to attract clientwarmia Dmitry Kornev Stratosfer: why Russia is a new intelligence and junction complex that will be combined if they are united Hostly mortal Devices and systems of shock weapons Society Dmitry Alekseev Residential Pont: Housing Housing, without the consent of the neighbors, will not work out a new bill is called to find a compromise between residents and those who want to receive rental income, Ivan Petrov Knock grievances: what rights the controller in transport in Moscow opened a case for a cruel The beating of the auditor on the bus Economics Dmitry Migunov Bomb at $ 33 trillion: the US public debt has become a world problem for the demand for American bonds began to lag behind the proposal of the Gladiator on wheels: Italian journalists recall Ayrton Senniveli racer continues to excite the public -Golongrid. Bovano before Still Samir Igor Karmazin change the orientation: why Armenia spoils relations with Russia, the head of the Armenian General Staff met with American generals Viktor Nedelin Rainbow prospects: Latvia was forced to same-sex marriages. The International LGBBBI continues to work on the Baltic states of Mirizizdan: the world will boycott the produced ones that will happen that will happen with the economy of the Jewish state and is it worth waiting for a new wave of anti -Semitism on November 12, 2023 00: 01economics “Open Portfolio”: how much could private investors in October experts analyzed the state of the Russian stock market on November 12, 2023 00: 02 Lessac and Technician Hope: Scientists created a wardrobe for premature Children as a development will reduce the risk of injuries and infections in newborns with a low body weight on November 12, 2023 00: 01 culture of energy: Mariinsky in China Talyzin in the Mossytt Tsiscaridze in the BDT about this week, fans of the beautiful SMI2.ru -Political School of Smi2.ru -Political Coasters said this week: What changes the status of internal for the Azov Sea as these changes will affect the economy of the region and Russia on August 16, 2023 18: 52 -rope land: how Ukraine has become one of the most mined countries in the world and how Russian sappers help to solve this problem on August 17, 2023 17: 19 Little Democratic Republic and Technical Energy and Technician Approach: as Russian scientists create unique technologies of analogues to many developments, there is no one in the world on July 31, 2023 18: 52econs of their field: how the food security in Russia is ensured and what influence Covid and sanctions on July 31, 2023 18: 52 Mirbaiden were required to help the guard of honor in The ceremony in the cemetery on November12 2023 04: 20Arm Israel answered Syria with blows to terrorist infrastructure on November 19, 2023 04: 05 School of the US Congress, proposed financing the government without the help of Kiev on November12, 2023: 15 by 15 by 15 by the U.S. financing project without the help of Kiev November 2023 03: 40Ex Kuchma adviser pointed to the readiness of the Sulfa and the Armed Forces for negotiations with the Russian Federation on November 112, 2023: 403d model of the T-90M T-90M “Breakthrough” 3D model of the first test train of the Moscow metro “Panther” 3D model of the Moscow Kremlin3D model of the dacha M. S. Gorbacheva in the Foros 3d model of the Ilya Muromets aircraft 3D model of the atomic cruiser “Peter the Great” 3D model of the Tiger tank 3D model “Worker and collective farm” 3D model of Russia “Russia” 3D model of the Grand Kremlin Palace3D3D -Model of the Cathedral of the Paris Mother of God ANT-20 "Maxim Gorky". 3D-model3d model of the Crimean bridge3d-model of the main temple of the Armed Forces of the Russian Federation of the Russian Federation3d 3d-model of the Boeing 747-1003d model of the monastery of the Kiev-Pechersk Laurus3d Model House of the House of the Watchtower of the Patrient Ship "Emerald" 3d-model of the St. Paul3d Model of the Rzhevsky Memorial Soviet soldier 3d-model of the Berlin Tank Tank IS-23D model of the Salisbury Cathedral3d Model of the passenger aircraft Tu-1043D-model of the Sukharevo Tower of the Il-763D motor ship "Peter the Great" 3D model of the Cathedral of Christ Savior 3d Model of Space Ships " Union-19 ”and“ Apollo ”3D model of the Sevastopol battleship, a member of“ Scarlet Sails ”-brig Tre Kronor Af Stockholm Kurchatov Specialized Synchrotron Radiation Speed ​​3D model“ Vostok-1 ”3D-model Titanic History in the dates: 12 November-consuming of the week in the photographs: a blow to Jabalia The deadly storm "Kiaran" and the choice of a dress for Miss Universe what was important in Russia and the world in the past days Super Bag: how do flour made of crickets a fresh look at the goods of the Stavropol Staropolis category is not in a neighborly way: Pakistan is deporting the Afghan illegal measures to end until November 1, the photo of the day: Vulcan Klyuchevsky was assigned a “red” hazard code for aviation00: 24Magnetic storm will cover the earth on the night of November 12, 2023 19: 4600: 57v China, online for the occasion of the day of the Holy Day11 November 2023 18: 3000: 33th American strategic bomber B-21 made the first flight on November11, 2023 13: 53, the largest artificial ice rink in Europe. Video 360 ° The Building Theater building celebrates the 195th anniversary. Video 360 ° in Moscow was held by the International Exhibition of Business Aviation Rubae. Video 360 ° Festival of military equipment "Motors of War". Video 360 ° in Moscow hosts the festival of gardens and flowers. Video 360 ° the second for the year the tram parade was held in the capital. Video 360 ° PMEF. Video 360 ° Morning on May 9 in Moscow from the roof of the Typhoon armored car. Video 360 ° Evacuation of the aircraft. Video 360 ° what they feed on an airplane: an excursion to the on -board power plant. Video 360 ° Exhibition "Lada Always": more than 100 most unusual models. Video 360 ° East. Another beauty: a large -scale exhibition. Video 360 ° Excursion on the legendary Mosfilm pavilions. Video 360 ° how the coke is produced. Video 360 ° 90 years of Mickey Mouse: multimedia exhibition. Video 360 ° 120 previously unknown sculptures of Tsereteli. Video 360 ° Championship of Russia in the Higher aerobatics: unique shots from the wing of the aircraft. Video 360 ° Moscow Mint and Moscow Printing House "Goznak". Video 360 ° The World Cup in Kazan. Video 360 ° Cinema "Illusion" after reconstruction. Video 360 ° Crazy drift on the "Lada". Video 360 ° Excursion in Gorky Park. Video 360 ° feeding sharks in Moskvarium. Video 360 ° World Wingsight jump record. Video 360 ° Luxurious train "Imperial Russia". Video 360 ° Driving T-80U tank under water. Video 360 ° Championship of the World football 2022 in Qatar: A unique show. Video 360 ° The test is not for the faint of heart: a stamina marathon. Video 360 ° Advertising of beauty: Ten products that will extend youth, doctors said that it is necessary to slow down the aging on November 11, 2023 00: 02 Iranian President gathered in Saudi Arabia Visit as part of the Summit on the situation in the gas sector will be the first after the reconciliation of the two countries on November 11 2023 00: 02 publication seal of communication: how to protect against theft of data through a VPN under a VPN service can be disguised as a Trojan-style on November 11, 2023 00:02 Opinion Olga Pozdnyakov “” In Russia, a register of debtors on alimony will appear in Russia. It will be possible to delete the surname from it only by repaying all obligations. In the future, it is possible to introduce sanctions against submitted to the register - a restriction on leaving the country with a driver’s license, etc. November 11, 2023 08: 00Aleksandra Babkin “” on the Internet you should not do anything that you do not allow yourself in real life. Technical tools can protect you from cyberbulling, however, we will not change the culture of our communication on the network, we will not be able to globally solve the problem on November11, 2023 08: 00valery Emelyanov “” Positive factors that could not force the ruble to turn over now. Currency swings rush down until they find a U -turning point there and will not fly back 10th November 2023 08: 00maxim Dobromoslov “” In one we are ahead of the Hollywood film Industry - small budgets. Our times less. Paradoxically, but this is a big plus November 9, 2023 20: 00vgenia Pimenov “” Cultural exchanges in the broadest sense of the word is a tool of peaceful and stable times. When the world spiral of conflicts begins to spin all this “decor” begins to crumble on November9, 2023 14: 00leg Chamonaev “” This case affects not only Camille personally, but also the entire national team and even in the matter with Olympic gold. So no compromises (with their conscience and anti -doping authorities) are impossible here on November 9, 2023 08: 00 George Mokhov “” Everywhere where there are budget money - especially when they are distributed on “lightweight” conditions: not through public procurements and competitive procedures, and highlighting subsidies essentially Under honestly, attackers always appear. This also happened in the field of tourism on November 9, 2023: 00port “The level of RPL fell a bit-more matches began to win on the classroom” SKA-Khabarovsk football player Vyacheslav Podberezkin-about the leadership of Krasnodar and the motivation of the new generation of players on November 12, 2023 00: 01 Products Her two -year -old daughter died in a fire in Podolsk November 112, 2023: 50 Mirmacron called the Gaza Conference in a step towards the creation of a humanitarian coalition November12, 2023 03: 25 Synoptics predicted rain in Moscow and up to +7 degrees on November 12, 2023 03: 00 Police of London, 150 participants in the demonstration in support Palestine November 19, 2023 02: 27pvo Israel, intercepted a suspicious goal from Gaza November 112, 2023: 15v Brazil, football fans staged a mass fight during the championship November 11, 2023 02: 05 sports weekend with Izvestia November 10, 2023 00: 00 Cultural Week: Choosing Izvestia on November 9 2023 00: 01 advertising menu Advertising Subscribing to the RSS newspaper Send news about the company editorial-pre-re-renovation company about the immutation of the labor protection of labor copyright on the visualization system of the contents of the portal iz.ru as well as on the initial data, including the texts of the audio and video materials, graphic images and product signs belongs "MIC" Izvestia ". The specified information is protected in accordance with the legislation of the Russian Federation and international agreements. Partial citation is possible only if a hyperlink on iz.ru. AB AB "Russia" - partner of the section "Economics" The site functions with financial support from the Ministry of Digital Development of Communications and Mass Communications of the Russian Federation. Responsibility for the maintenance of any advertising materials placed on the portal is borne by the advertiser. Analytics News Forecasts and other materials presented on this site are not an offer or a recommendation for the purchase or sale of any assets. Registered by the Federal Service for Supervision of the Communications of Information Technologies and Mass Communications. Certificate of registration of EL No. FS 77 - 76208 dated July 8, 2019 EL No. FS 77 - 72003 of December 26, 2019 All rights are protected © MIC Izvestia 2023</v>
      </c>
    </row>
    <row r="534">
      <c r="A534" s="1" t="s">
        <v>1748</v>
      </c>
      <c r="B534" s="1" t="s">
        <v>1794</v>
      </c>
      <c r="C534" s="1" t="s">
        <v>1795</v>
      </c>
      <c r="D534" s="1">
        <v>14.0</v>
      </c>
      <c r="E534" s="4" t="s">
        <v>1796</v>
      </c>
      <c r="F534" s="1" t="s">
        <v>16</v>
      </c>
      <c r="G534" s="1" t="s">
        <v>1728</v>
      </c>
      <c r="H534" s="4" t="s">
        <v>1729</v>
      </c>
      <c r="I534" s="2">
        <v>2.0</v>
      </c>
      <c r="J534" s="5" t="str">
        <f>IFERROR(__xludf.DUMMYFUNCTION("GOOGLETRANSLATE(A534)"),"news")</f>
        <v>news</v>
      </c>
      <c r="K534" s="6" t="str">
        <f>IFERROR(__xludf.DUMMYFUNCTION("GOOGLETRANSLATE(B534)"),"Izvestia - news of politics, economics, sports, culture ...")</f>
        <v>Izvestia - news of politics, economics, sports, culture ...</v>
      </c>
      <c r="L534" s="5" t="str">
        <f>IFERROR(__xludf.DUMMYFUNCTION("GOOGLETRANSLATE(C534)"),"Iz.ru - information portal of the newspaper Izvestia, Ren TV, 5 channels. The latest news of politics, economics, culture, news in the world and country, sports news, ...")</f>
        <v>Iz.ru - information portal of the newspaper Izvestia, Ren TV, 5 channels. The latest news of politics, economics, culture, news in the world and country, sports news, ...</v>
      </c>
      <c r="M534" s="5" t="str">
        <f>IFERROR(__xludf.DUMMYFUNCTION("GOOGLETRANSLATE(G534)"),"Izvestia - News of the Policy of the Sports Sports Economics | Iz.ru Russian-regoperation of Russia in Ukraine of the Palestinian-Israeli conflict-forum-forum “Russia” $ $ the special operation of Russia in Ukraine of the Palestinian-Israeli conflict-foru"&amp;"m “Russia” $ $ $ $ $ $ $ $ $ € $ € $ € $ € $ to malevostication MiRMIMIANAUKA and technicianism of the StranskultiRestor-Project and subscriptions of the subscription of the company Executive Press Central Centorification of the Important Agreement of Lab"&amp;"or Agreement, the site operates with financial support Ministry of Digital Development of Communications and Mass Communications of the Russian Federation. Registered by the Federal Service for Supervision of the Communications Field of Information Techno"&amp;"logies and Mass Communications. Certificates of registration of EL No. FS 77 - 76208 dated July 8, 2019 EL No. FS 77 - 72003 of December 26, 2019, all rights were protected © MIC Izvestia LLC 2023 Khgazeta Izvestia NMGNOSTIST RENNOVOST 5 Kanalanovosti 78 "&amp;"Canalport Express Sports The Express newspaper Subscription Fillon denies the organization of a meeting of the Lebanese businessman with Putin on March 20 on March 20, all the results go to the main content of the rejection of the Ethers and gunners hit t"&amp;"he assault groups of the Armed Forces of Ukraine in the LPRB House, rejected the financing project of the US government without the help of Kievudan Lag and OIS needed to investigate the military crimes of the Israeli Israeli The defeat of the control and"&amp;" shelter of the militants in Syriasinoptics predicted in Moscow to rain and up to +7 degrees on November 12, on November 12, the latest news, the doctor told about the ways to survive the magnetic storm 06:15 Ovechkin abandoned the 825th washer in the NHL"&amp;" regular championships 06:05 A earthquake of magnitude 54 occurred In Indonesia 05:50, the farmers of Europe were apprehensive reacted to the possibility of Ukraine’s entry into the EU 05:35 Army of the Russian Federation destroyed four mortar calculation"&amp;"s of the Armed Forces in the Kupyansk direction 05:20 Russian pilots and artillerymen hit the assault groups of the Armed Forces of Ukraine in the LPR 05:05 Bloomberg learned about the consent Germany to increase assistance to Ukraine by half to € 8 billi"&amp;"on 04:50 Three people died in a collision of a train with a truck in the Angara region 04:35 Biden needed to help the guard of honor during the cemetery at the cemetery 04:20 Army of Israel answered Syria with blows on terrorist infrastructure 04: 05 Woma"&amp;"n and her two -year -old daughter died in a fire in Podolsk 03:50 White House rejected the project to finance the work of the US government without the help of Kiev 03:40 Macron called the Gaza Conference to create a humanitarian coalition 03:25 Speaker o"&amp;"f the US Congress offered to financing the government without the help of Kiev 03:15 Foreign weather forecasters predicted in Moscow to rain and up to +7 degrees on November 12 03:00 a dog handler spoke about the reasons for the early death of dogs 02:50 "&amp;"The ex-adviser Kuchma pointed out the readiness of the slave and the Armed Forces of the Russian Federation with the Russian Federation 02:40 London police detained 150 participants Demonstrations in support of Palestine 02:27 Air Defense of Israel interc"&amp;"epted a suspicious goal from Gaza 02:15 In Brazil, football fans staged a mass fight during the championship 02:05 Three people died in an accident in the Pskov region 01:50 Visitors to Igor Dreviv shared with the Izvestia »Impressions of the stand 01:35 "&amp;"Brother Nurmagomedov were disqualified for six months due to doping 01:25 Ukrainian media reported on explosions in Kiev, the city of Kherson 01:14 Podolyak announced the readiness of Ukraine for economic disputes with the EU countries 01: 10 Sportovtochk"&amp;"in abandoned the 825th The puck in the regular championships of the NHLMIMELY House rejected the project to finance the work of the US government without the help of Kiev -Proserification of Magnitite 54 in Indonesia Mirpodolak announced the readiness of "&amp;"Ukraine for economic disputes with the countries of Emyrbloomberg, the consent of the Federal Republic of Germany was doubled to € 8 billion. The ceremonies at the cemetery of the parties predicted in Moscow to rain and up to +7 degrees on November 12, a "&amp;"person killed in an accident in the Pskov regional regional media, reported explosions in the city of the city of Khersonaarmiyarmiy of the Russian Federation destroyed four mortar calculations of the Armed Forces of the Armed Forces in the Kupyansk direc"&amp;"tion of the Gamanitarian CoA. Litius Israel answered Syria with blows on a terrorist infrastructureurinist of the defense of Ukraine Umarov told the head of the Pentagon about the needs of the Kievardocarman to pull: the mortgage demand for the secondary "&amp;"collapsed almost half the terms of high rates of the banks are looking for unusual ways to attract clientwarmia Dmitry Kornev Stratosfer: why Russia is a new intelligence and junction complex that will be combined if they are united Hostly mortal Devices "&amp;"and systems of shock weapons Society Dmitry Alekseev Residential Pont: Housing Housing, without the consent of the neighbors, will not work out a new bill is called to find a compromise between residents and those who want to receive rental income, Ivan P"&amp;"etrov Knock grievances: what rights the controller in transport in Moscow opened a case for a cruel The beating of the auditor on the bus Economics Dmitry Migunov Bomb at $ 33 trillion: the US public debt has become a world problem for the demand for Amer"&amp;"ican bonds began to lag behind the proposal of the Gladiator on wheels: Italian journalists recall Ayrton Senniveli racer continues to excite the public -Golongrid. Bovano before Still Samir Igor Karmazin change the orientation: why Armenia spoils relatio"&amp;"ns with Russia, the head of the Armenian General Staff met with American generals Viktor Nedelin Rainbow prospects: Latvia was forced to same-sex marriages. The International LGBBBI continues to work on the Baltic states of Mirizizdan: the world will boyc"&amp;"ott the produced ones that will happen that will happen with the economy of the Jewish state and is it worth waiting for a new wave of anti -Semitism on November 12, 2023 00: 01economics “Open Portfolio”: how much could private investors in October expert"&amp;"s analyzed the state of the Russian stock market on November 12, 2023 00: 02 Lessac and Technician Hope: Scientists created a wardrobe for premature Children as a development will reduce the risk of injuries and infections in newborns with a low body weig"&amp;"ht on November 12, 2023 00: 01 culture of energy: Mariinsky in China Talyzin in the Mossytt Tsiscaridze in the BDT about this week, fans of the beautiful SMI2.ru -Political School of Smi2.ru -Political Coasters said this week: What changes the status of i"&amp;"nternal for the Azov Sea as these changes will affect the economy of the region and Russia on August 16, 2023 18: 52 -rope land: how Ukraine has become one of the most mined countries in the world and how Russian sappers help to solve this problem on Augu"&amp;"st 17, 2023 17: 19 Little Democratic Republic and Technical Energy and Technician Approach: as Russian scientists create unique technologies of analogues to many developments, there is no one in the world on July 31, 2023 18: 52econs of their field: how t"&amp;"he food security in Russia is ensured and what influence Covid and sanctions on July 31, 2023 18: 52 Mirbaiden were required to help the guard of honor in The ceremony in the cemetery on November12 2023 04: 20Arm Israel answered Syria with blows to terror"&amp;"ist infrastructure on November 19, 2023 04: 05 School of the US Congress, proposed financing the government without the help of Kiev on November12, 2023: 15 by 15 by 15 by the U.S. financing project without the help of Kiev November 2023 03: 40Ex Kuchma a"&amp;"dviser pointed to the readiness of the Sulfa and the Armed Forces for negotiations with the Russian Federation on November 112, 2023: 403d model of the T-90M T-90M “Breakthrough” 3D model of the first test train of the Moscow metro “Panther” 3D model of t"&amp;"he Moscow Kremlin3D model of the dacha M. S. Gorbacheva in the Foros 3d model of the Ilya Muromets aircraft 3D model of the atomic cruiser “Peter the Great” 3D model of the Tiger tank 3D model “Worker and collective farm” 3D model of Russia “Russia” 3D mo"&amp;"del of the Grand Kremlin Palace3D3D -Model of the Cathedral of the Paris Mother of God ANT-20 ""Maxim Gorky"". 3D-model3d model of the Crimean bridge3d-model of the main temple of the Armed Forces of the Russian Federation of the Russian Federation3d 3d-m"&amp;"odel of the Boeing 747-1003d model of the monastery of the Kiev-Pechersk Laurus3d Model House of the House of the Watchtower of the Patrient Ship ""Emerald"" 3d-model of the St. Paul3d Model of the Rzhevsky Memorial Soviet soldier 3d-model of the Berlin T"&amp;"ank Tank IS-23D model of the Salisbury Cathedral3d Model of the passenger aircraft Tu-1043D-model of the Sukharevo Tower of the Il-763D motor ship ""Peter the Great"" 3D model of the Cathedral of Christ Savior 3d Model of Space Ships "" Union-19 ”and“ Apo"&amp;"llo ”3D model of the Sevastopol battleship, a member of“ Scarlet Sails ”-brig Tre Kronor Af Stockholm Kurchatov Specialized Synchrotron Radiation Speed ​​3D model“ Vostok-1 ”3D-model Titanic History in the dates: 12 November-consuming of the week in the p"&amp;"hotographs: a blow to Jabalia The deadly storm ""Kiaran"" and the choice of a dress for Miss Universe what was important in Russia and the world in the past days Super Bag: how do flour made of crickets a fresh look at the goods of the Stavropol Staropoli"&amp;"s category is not in a neighborly way: Pakistan is deporting the Afghan illegal measures to end until November 1, the photo of the day: Vulcan Klyuchevsky was assigned a “red” hazard code for aviation00: 24Magnetic storm will cover the earth on the night "&amp;"of November 12, 2023 19: 4600: 57v China, online for the occasion of the day of the Holy Day11 November 2023 18: 3000: 33th American strategic bomber B-21 made the first flight on November11, 2023 13: 53, the largest artificial ice rink in Europe. Video 3"&amp;"60 ° The Building Theater building celebrates the 195th anniversary. Video 360 ° in Moscow was held by the International Exhibition of Business Aviation Rubae. Video 360 ° Festival of military equipment ""Motors of War"". Video 360 ° in Moscow hosts the f"&amp;"estival of gardens and flowers. Video 360 ° the second for the year the tram parade was held in the capital. Video 360 ° PMEF. Video 360 ° Morning on May 9 in Moscow from the roof of the Typhoon armored car. Video 360 ° Evacuation of the aircraft. Video 3"&amp;"60 ° what they feed on an airplane: an excursion to the on -board power plant. Video 360 ° Exhibition ""Lada Always"": more than 100 most unusual models. Video 360 ° East. Another beauty: a large -scale exhibition. Video 360 ° Excursion on the legendary M"&amp;"osfilm pavilions. Video 360 ° how the coke is produced. Video 360 ° 90 years of Mickey Mouse: multimedia exhibition. Video 360 ° 120 previously unknown sculptures of Tsereteli. Video 360 ° Championship of Russia in the Higher aerobatics: unique shots from"&amp;" the wing of the aircraft. Video 360 ° Moscow Mint and Moscow Printing House ""Goznak"". Video 360 ° The World Cup in Kazan. Video 360 ° Cinema ""Illusion"" after reconstruction. Video 360 ° Crazy drift on the ""Lada"". Video 360 ° Excursion in Gorky Park"&amp;". Video 360 ° feeding sharks in Moskvarium. Video 360 ° World Wingsight jump record. Video 360 ° Luxurious train ""Imperial Russia"". Video 360 ° Driving T-80U tank under water. Video 360 ° Championship of the World football 2022 in Qatar: A unique show. "&amp;"Video 360 ° The test is not for the faint of heart: a stamina marathon. Video 360 ° Advertising of beauty: Ten products that will extend youth, doctors said that it is necessary to slow down the aging on November 11, 2023 00: 02 Iranian President gathered"&amp;" in Saudi Arabia Visit as part of the Summit on the situation in the gas sector will be the first after the reconciliation of the two countries on November 11 2023 00: 02 publication seal of communication: how to protect against theft of data through a VP"&amp;"N under a VPN service can be disguised as a Trojan-style on November 11, 2023 00:02 Opinion Olga Pozdnyakov “” In Russia, a register of debtors on alimony will appear in Russia. It will be possible to delete the surname from it only by repaying all obliga"&amp;"tions. In the future, it is possible to introduce sanctions against submitted to the register - a restriction on leaving the country with a driver’s license, etc. November 11, 2023 08: 00Aleksandra Babkin “” on the Internet you should not do anything that"&amp;" you do not allow yourself in real life. Technical tools can protect you from cyberbulling, however, we will not change the culture of our communication on the network, we will not be able to globally solve the problem on November11, 2023 08: 00valery Eme"&amp;"lyanov “” Positive factors that could not force the ruble to turn over now. Currency swings rush down until they find a U -turning point there and will not fly back 10th November 2023 08: 00maxim Dobromoslov “” In one we are ahead of the Hollywood film In"&amp;"dustry - small budgets. Our times less. Paradoxically, but this is a big plus November 9, 2023 20: 00vgenia Pimenov “” Cultural exchanges in the broadest sense of the word is a tool of peaceful and stable times. When the world spiral of conflicts begins t"&amp;"o spin all this “decor” begins to crumble on November9, 2023 14: 00leg Chamonaev “” This case affects not only Camille personally, but also the entire national team and even in the matter with Olympic gold. So no compromises (with their conscience and ant"&amp;"i -doping authorities) are impossible here on November 9, 2023 08: 00 George Mokhov “” Everywhere where there are budget money - especially when they are distributed on “lightweight” conditions: not through public procurements and competitive procedures, "&amp;"and highlighting subsidies essentially Under honestly, attackers always appear. This also happened in the field of tourism on November 9, 2023: 00port “The level of RPL fell a bit-more matches began to win on the classroom” SKA-Khabarovsk football player "&amp;"Vyacheslav Podberezkin-about the leadership of Krasnodar and the motivation of the new generation of players on November 12, 2023 00: 01 Products Her two -year -old daughter died in a fire in Podolsk November 112, 2023: 50 Mirmacron called the Gaza Confer"&amp;"ence in a step towards the creation of a humanitarian coalition November12, 2023 03: 25 Synoptics predicted rain in Moscow and up to +7 degrees on November 12, 2023 03: 00 Police of London, 150 participants in the demonstration in support Palestine Novemb"&amp;"er 19, 2023 02: 27pvo Israel, intercepted a suspicious goal from Gaza November 112, 2023: 15v Brazil, football fans staged a mass fight during the championship November 11, 2023 02: 05 sports weekend with Izvestia November 10, 2023 00: 00 Cultural Week: C"&amp;"hoosing Izvestia on November 9 2023 00: 01 advertising menu Advertising Subscribing to the RSS newspaper Send news about the company editorial-pre-re-renovation company about the immutation of the labor protection of labor copyright on the visualization s"&amp;"ystem of the contents of the portal iz.ru as well as on the initial data, including the texts of the audio and video materials, graphic images and product signs belongs ""MIC"" Izvestia "". The specified information is protected in accordance with the leg"&amp;"islation of the Russian Federation and international agreements. Partial citation is possible only if a hyperlink on iz.ru. AB AB ""Russia"" - partner of the section ""Economics"" The site functions with financial support from the Ministry of Digital Deve"&amp;"lopment of Communications and Mass Communications of the Russian Federation. Responsibility for the maintenance of any advertising materials placed on the portal is borne by the advertiser. Analytics News Forecasts and other materials presented on this si"&amp;"te are not an offer or a recommendation for the purchase or sale of any assets. Registered by the Federal Service for Supervision of the Communications of Information Technologies and Mass Communications. Certificate of registration of EL No. FS 77 - 7620"&amp;"8 dated July 8, 2019 EL No. FS 77 - 72003 of December 26, 2019 All rights are protected © MIC Izvestia 2023")</f>
        <v>Izvestia - News of the Policy of the Sports Sports Economics | Iz.ru Russian-regoperation of Russia in Ukraine of the Palestinian-Israeli conflict-forum-forum “Russia” $ $ the special operation of Russia in Ukraine of the Palestinian-Israeli conflict-forum “Russia” $ $ $ $ $ $ $ $ $ € $ € $ € $ € $ to malevostication MiRMIMIANAUKA and technicianism of the StranskultiRestor-Project and subscriptions of the subscription of the company Executive Press Central Centorification of the Important Agreement of Labor Agreement, the site operates with financial support Ministry of Digital Development of Communications and Mass Communications of the Russian Federation. Registered by the Federal Service for Supervision of the Communications Field of Information Technologies and Mass Communications. Certificates of registration of EL No. FS 77 - 76208 dated July 8, 2019 EL No. FS 77 - 72003 of December 26, 2019, all rights were protected © MIC Izvestia LLC 2023 Khgazeta Izvestia NMGNOSTIST RENNOVOST 5 Kanalanovosti 78 Canalport Express Sports The Express newspaper Subscription Fillon denies the organization of a meeting of the Lebanese businessman with Putin on March 20 on March 20, all the results go to the main content of the rejection of the Ethers and gunners hit the assault groups of the Armed Forces of Ukraine in the LPRB House, rejected the financing project of the US government without the help of Kievudan Lag and OIS needed to investigate the military crimes of the Israeli Israeli The defeat of the control and shelter of the militants in Syriasinoptics predicted in Moscow to rain and up to +7 degrees on November 12, on November 12, the latest news, the doctor told about the ways to survive the magnetic storm 06:15 Ovechkin abandoned the 825th washer in the NHL regular championships 06:05 A earthquake of magnitude 54 occurred In Indonesia 05:50, the farmers of Europe were apprehensive reacted to the possibility of Ukraine’s entry into the EU 05:35 Army of the Russian Federation destroyed four mortar calculations of the Armed Forces in the Kupyansk direction 05:20 Russian pilots and artillerymen hit the assault groups of the Armed Forces of Ukraine in the LPR 05:05 Bloomberg learned about the consent Germany to increase assistance to Ukraine by half to € 8 billion 04:50 Three people died in a collision of a train with a truck in the Angara region 04:35 Biden needed to help the guard of honor during the cemetery at the cemetery 04:20 Army of Israel answered Syria with blows on terrorist infrastructure 04: 05 Woman and her two -year -old daughter died in a fire in Podolsk 03:50 White House rejected the project to finance the work of the US government without the help of Kiev 03:40 Macron called the Gaza Conference to create a humanitarian coalition 03:25 Speaker of the US Congress offered to financing the government without the help of Kiev 03:15 Foreign weather forecasters predicted in Moscow to rain and up to +7 degrees on November 12 03:00 a dog handler spoke about the reasons for the early death of dogs 02:50 The ex-adviser Kuchma pointed out the readiness of the slave and the Armed Forces of the Russian Federation with the Russian Federation 02:40 London police detained 150 participants Demonstrations in support of Palestine 02:27 Air Defense of Israel intercepted a suspicious goal from Gaza 02:15 In Brazil, football fans staged a mass fight during the championship 02:05 Three people died in an accident in the Pskov region 01:50 Visitors to Igor Dreviv shared with the Izvestia »Impressions of the stand 01:35 Brother Nurmagomedov were disqualified for six months due to doping 01:25 Ukrainian media reported on explosions in Kiev, the city of Kherson 01:14 Podolyak announced the readiness of Ukraine for economic disputes with the EU countries 01: 10 Sportovtochkin abandoned the 825th The puck in the regular championships of the NHLMIMELY House rejected the project to finance the work of the US government without the help of Kiev -Proserification of Magnitite 54 in Indonesia Mirpodolak announced the readiness of Ukraine for economic disputes with the countries of Emyrbloomberg, the consent of the Federal Republic of Germany was doubled to € 8 billion. The ceremonies at the cemetery of the parties predicted in Moscow to rain and up to +7 degrees on November 12, a person killed in an accident in the Pskov regional regional media, reported explosions in the city of the city of Khersonaarmiyarmiy of the Russian Federation destroyed four mortar calculations of the Armed Forces of the Armed Forces in the Kupyansk direction of the Gamanitarian CoA. Litius Israel answered Syria with blows on a terrorist infrastructureurinist of the defense of Ukraine Umarov told the head of the Pentagon about the needs of the Kievardocarman to pull: the mortgage demand for the secondary collapsed almost half the terms of high rates of the banks are looking for unusual ways to attract clientwarmia Dmitry Kornev Stratosfer: why Russia is a new intelligence and junction complex that will be combined if they are united Hostly mortal Devices and systems of shock weapons Society Dmitry Alekseev Residential Pont: Housing Housing, without the consent of the neighbors, will not work out a new bill is called to find a compromise between residents and those who want to receive rental income, Ivan Petrov Knock grievances: what rights the controller in transport in Moscow opened a case for a cruel The beating of the auditor on the bus Economics Dmitry Migunov Bomb at $ 33 trillion: the US public debt has become a world problem for the demand for American bonds began to lag behind the proposal of the Gladiator on wheels: Italian journalists recall Ayrton Senniveli racer continues to excite the public -Golongrid. Bovano before Still Samir Igor Karmazin change the orientation: why Armenia spoils relations with Russia, the head of the Armenian General Staff met with American generals Viktor Nedelin Rainbow prospects: Latvia was forced to same-sex marriages. The International LGBBBI continues to work on the Baltic states of Mirizizdan: the world will boycott the produced ones that will happen that will happen with the economy of the Jewish state and is it worth waiting for a new wave of anti -Semitism on November 12, 2023 00: 01economics “Open Portfolio”: how much could private investors in October experts analyzed the state of the Russian stock market on November 12, 2023 00: 02 Lessac and Technician Hope: Scientists created a wardrobe for premature Children as a development will reduce the risk of injuries and infections in newborns with a low body weight on November 12, 2023 00: 01 culture of energy: Mariinsky in China Talyzin in the Mossytt Tsiscaridze in the BDT about this week, fans of the beautiful SMI2.ru -Political School of Smi2.ru -Political Coasters said this week: What changes the status of internal for the Azov Sea as these changes will affect the economy of the region and Russia on August 16, 2023 18: 52 -rope land: how Ukraine has become one of the most mined countries in the world and how Russian sappers help to solve this problem on August 17, 2023 17: 19 Little Democratic Republic and Technical Energy and Technician Approach: as Russian scientists create unique technologies of analogues to many developments, there is no one in the world on July 31, 2023 18: 52econs of their field: how the food security in Russia is ensured and what influence Covid and sanctions on July 31, 2023 18: 52 Mirbaiden were required to help the guard of honor in The ceremony in the cemetery on November12 2023 04: 20Arm Israel answered Syria with blows to terrorist infrastructure on November 19, 2023 04: 05 School of the US Congress, proposed financing the government without the help of Kiev on November12, 2023: 15 by 15 by 15 by the U.S. financing project without the help of Kiev November 2023 03: 40Ex Kuchma adviser pointed to the readiness of the Sulfa and the Armed Forces for negotiations with the Russian Federation on November 112, 2023: 403d model of the T-90M T-90M “Breakthrough” 3D model of the first test train of the Moscow metro “Panther” 3D model of the Moscow Kremlin3D model of the dacha M. S. Gorbacheva in the Foros 3d model of the Ilya Muromets aircraft 3D model of the atomic cruiser “Peter the Great” 3D model of the Tiger tank 3D model “Worker and collective farm” 3D model of Russia “Russia” 3D model of the Grand Kremlin Palace3D3D -Model of the Cathedral of the Paris Mother of God ANT-20 "Maxim Gorky". 3D-model3d model of the Crimean bridge3d-model of the main temple of the Armed Forces of the Russian Federation of the Russian Federation3d 3d-model of the Boeing 747-1003d model of the monastery of the Kiev-Pechersk Laurus3d Model House of the House of the Watchtower of the Patrient Ship "Emerald" 3d-model of the St. Paul3d Model of the Rzhevsky Memorial Soviet soldier 3d-model of the Berlin Tank Tank IS-23D model of the Salisbury Cathedral3d Model of the passenger aircraft Tu-1043D-model of the Sukharevo Tower of the Il-763D motor ship "Peter the Great" 3D model of the Cathedral of Christ Savior 3d Model of Space Ships " Union-19 ”and“ Apollo ”3D model of the Sevastopol battleship, a member of“ Scarlet Sails ”-brig Tre Kronor Af Stockholm Kurchatov Specialized Synchrotron Radiation Speed ​​3D model“ Vostok-1 ”3D-model Titanic History in the dates: 12 November-consuming of the week in the photographs: a blow to Jabalia The deadly storm "Kiaran" and the choice of a dress for Miss Universe what was important in Russia and the world in the past days Super Bag: how do flour made of crickets a fresh look at the goods of the Stavropol Staropolis category is not in a neighborly way: Pakistan is deporting the Afghan illegal measures to end until November 1, the photo of the day: Vulcan Klyuchevsky was assigned a “red” hazard code for aviation00: 24Magnetic storm will cover the earth on the night of November 12, 2023 19: 4600: 57v China, online for the occasion of the day of the Holy Day11 November 2023 18: 3000: 33th American strategic bomber B-21 made the first flight on November11, 2023 13: 53, the largest artificial ice rink in Europe. Video 360 ° The Building Theater building celebrates the 195th anniversary. Video 360 ° in Moscow was held by the International Exhibition of Business Aviation Rubae. Video 360 ° Festival of military equipment "Motors of War". Video 360 ° in Moscow hosts the festival of gardens and flowers. Video 360 ° the second for the year the tram parade was held in the capital. Video 360 ° PMEF. Video 360 ° Morning on May 9 in Moscow from the roof of the Typhoon armored car. Video 360 ° Evacuation of the aircraft. Video 360 ° what they feed on an airplane: an excursion to the on -board power plant. Video 360 ° Exhibition "Lada Always": more than 100 most unusual models. Video 360 ° East. Another beauty: a large -scale exhibition. Video 360 ° Excursion on the legendary Mosfilm pavilions. Video 360 ° how the coke is produced. Video 360 ° 90 years of Mickey Mouse: multimedia exhibition. Video 360 ° 120 previously unknown sculptures of Tsereteli. Video 360 ° Championship of Russia in the Higher aerobatics: unique shots from the wing of the aircraft. Video 360 ° Moscow Mint and Moscow Printing House "Goznak". Video 360 ° The World Cup in Kazan. Video 360 ° Cinema "Illusion" after reconstruction. Video 360 ° Crazy drift on the "Lada". Video 360 ° Excursion in Gorky Park. Video 360 ° feeding sharks in Moskvarium. Video 360 ° World Wingsight jump record. Video 360 ° Luxurious train "Imperial Russia". Video 360 ° Driving T-80U tank under water. Video 360 ° Championship of the World football 2022 in Qatar: A unique show. Video 360 ° The test is not for the faint of heart: a stamina marathon. Video 360 ° Advertising of beauty: Ten products that will extend youth, doctors said that it is necessary to slow down the aging on November 11, 2023 00: 02 Iranian President gathered in Saudi Arabia Visit as part of the Summit on the situation in the gas sector will be the first after the reconciliation of the two countries on November 11 2023 00: 02 publication seal of communication: how to protect against theft of data through a VPN under a VPN service can be disguised as a Trojan-style on November 11, 2023 00:02 Opinion Olga Pozdnyakov “” In Russia, a register of debtors on alimony will appear in Russia. It will be possible to delete the surname from it only by repaying all obligations. In the future, it is possible to introduce sanctions against submitted to the register - a restriction on leaving the country with a driver’s license, etc. November 11, 2023 08: 00Aleksandra Babkin “” on the Internet you should not do anything that you do not allow yourself in real life. Technical tools can protect you from cyberbulling, however, we will not change the culture of our communication on the network, we will not be able to globally solve the problem on November11, 2023 08: 00valery Emelyanov “” Positive factors that could not force the ruble to turn over now. Currency swings rush down until they find a U -turning point there and will not fly back 10th November 2023 08: 00maxim Dobromoslov “” In one we are ahead of the Hollywood film Industry - small budgets. Our times less. Paradoxically, but this is a big plus November 9, 2023 20: 00vgenia Pimenov “” Cultural exchanges in the broadest sense of the word is a tool of peaceful and stable times. When the world spiral of conflicts begins to spin all this “decor” begins to crumble on November9, 2023 14: 00leg Chamonaev “” This case affects not only Camille personally, but also the entire national team and even in the matter with Olympic gold. So no compromises (with their conscience and anti -doping authorities) are impossible here on November 9, 2023 08: 00 George Mokhov “” Everywhere where there are budget money - especially when they are distributed on “lightweight” conditions: not through public procurements and competitive procedures, and highlighting subsidies essentially Under honestly, attackers always appear. This also happened in the field of tourism on November 9, 2023: 00port “The level of RPL fell a bit-more matches began to win on the classroom” SKA-Khabarovsk football player Vyacheslav Podberezkin-about the leadership of Krasnodar and the motivation of the new generation of players on November 12, 2023 00: 01 Products Her two -year -old daughter died in a fire in Podolsk November 112, 2023: 50 Mirmacron called the Gaza Conference in a step towards the creation of a humanitarian coalition November12, 2023 03: 25 Synoptics predicted rain in Moscow and up to +7 degrees on November 12, 2023 03: 00 Police of London, 150 participants in the demonstration in support Palestine November 19, 2023 02: 27pvo Israel, intercepted a suspicious goal from Gaza November 112, 2023: 15v Brazil, football fans staged a mass fight during the championship November 11, 2023 02: 05 sports weekend with Izvestia November 10, 2023 00: 00 Cultural Week: Choosing Izvestia on November 9 2023 00: 01 advertising menu Advertising Subscribing to the RSS newspaper Send news about the company editorial-pre-re-renovation company about the immutation of the labor protection of labor copyright on the visualization system of the contents of the portal iz.ru as well as on the initial data, including the texts of the audio and video materials, graphic images and product signs belongs "MIC" Izvestia ". The specified information is protected in accordance with the legislation of the Russian Federation and international agreements. Partial citation is possible only if a hyperlink on iz.ru. AB AB "Russia" - partner of the section "Economics" The site functions with financial support from the Ministry of Digital Development of Communications and Mass Communications of the Russian Federation. Responsibility for the maintenance of any advertising materials placed on the portal is borne by the advertiser. Analytics News Forecasts and other materials presented on this site are not an offer or a recommendation for the purchase or sale of any assets. Registered by the Federal Service for Supervision of the Communications of Information Technologies and Mass Communications. Certificate of registration of EL No. FS 77 - 76208 dated July 8, 2019 EL No. FS 77 - 72003 of December 26, 2019 All rights are protected © MIC Izvestia 2023</v>
      </c>
    </row>
    <row r="535">
      <c r="A535" s="1" t="s">
        <v>1748</v>
      </c>
      <c r="B535" s="1" t="s">
        <v>1797</v>
      </c>
      <c r="C535" s="1" t="s">
        <v>1558</v>
      </c>
      <c r="D535" s="1">
        <v>15.0</v>
      </c>
      <c r="E535" s="4" t="s">
        <v>1798</v>
      </c>
      <c r="F535" s="1" t="s">
        <v>16</v>
      </c>
      <c r="G535" s="1" t="s">
        <v>1799</v>
      </c>
      <c r="H535" s="4" t="s">
        <v>1800</v>
      </c>
      <c r="I535" s="2">
        <v>3.0</v>
      </c>
      <c r="J535" s="5" t="str">
        <f>IFERROR(__xludf.DUMMYFUNCTION("GOOGLETRANSLATE(A535)"),"news")</f>
        <v>news</v>
      </c>
      <c r="K535" s="6" t="str">
        <f>IFERROR(__xludf.DUMMYFUNCTION("GOOGLETRANSLATE(B535)"),"news")</f>
        <v>news</v>
      </c>
      <c r="L535" s="5" t="str">
        <f>IFERROR(__xludf.DUMMYFUNCTION("GOOGLETRANSLATE(C535)"),"7 hours ago -")</f>
        <v>7 hours ago -</v>
      </c>
      <c r="M535" s="5" t="str">
        <f>IFERROR(__xludf.DUMMYFUNCTION("GOOGLETRANSLATE(G535)"),"Channel One: News. Video. Television program. Directly broadcast on the First Euphire Steamfilms and Serial-Sportselingelinglews.1TV.ru see other television cammodes, see the first news releases of the News of the News Title IS Loading, take the televisio"&amp;"n projects of the First Channel Channel Channel Channel Channel Channel Channel One to curtail the first-a-aid You can post on your website or on social networks the player of Channel One. To do this, click on the “Share” button in the upper right corner "&amp;"of the player and copy the code for inserting. Additional approval is not required. Online broadcasting of the air flow on the Internet is strictly prohibited. Application for the organization of broadcasting © 1996 - 2023 Channel One. All rights reserved"&amp;". Previous Channel User Agreement. All rights are protected. The broadcast of all -Russian obligatory publicly available television channels and television channels received the right to carry out etheric digital ground broadcasting using positions in mul"&amp;"tiplexes throughout the Russian Federation is carried out in a continuous mode all the way without charging fees on the channel page.")</f>
        <v>Channel One: News. Video. Television program. Directly broadcast on the First Euphire Steamfilms and Serial-Sportselingelinglews.1TV.ru see other television cammodes, see the first news releases of the News of the News Title IS Loading, take the television projects of the First Channel Channel Channel Channel Channel Channel Channel One to curtail the first-a-aid You can post on your website or on social networks the player of Channel One. To do this, click on the “Share” button in the upper right corner of the player and copy the code for inserting. Additional approval is not required. Online broadcasting of the air flow on the Internet is strictly prohibited. Application for the organization of broadcasting © 1996 - 2023 Channel One. All rights reserved. Previous Channel User Agreement. All rights are protected. The broadcast of all -Russian obligatory publicly available television channels and television channels received the right to carry out etheric digital ground broadcasting using positions in multiplexes throughout the Russian Federation is carried out in a continuous mode all the way without charging fees on the channel page.</v>
      </c>
    </row>
    <row r="536">
      <c r="A536" s="1" t="s">
        <v>1748</v>
      </c>
      <c r="B536" s="1" t="s">
        <v>1801</v>
      </c>
      <c r="C536" s="1" t="s">
        <v>1802</v>
      </c>
      <c r="D536" s="1">
        <v>16.0</v>
      </c>
      <c r="E536" s="4" t="s">
        <v>1803</v>
      </c>
      <c r="F536" s="1" t="s">
        <v>16</v>
      </c>
      <c r="G536" s="1" t="s">
        <v>1799</v>
      </c>
      <c r="H536" s="4" t="s">
        <v>1800</v>
      </c>
      <c r="I536" s="2">
        <v>3.0</v>
      </c>
      <c r="J536" s="5" t="str">
        <f>IFERROR(__xludf.DUMMYFUNCTION("GOOGLETRANSLATE(A536)"),"news")</f>
        <v>news</v>
      </c>
      <c r="K536" s="6" t="str">
        <f>IFERROR(__xludf.DUMMYFUNCTION("GOOGLETRANSLATE(B536)"),"Channel One: News. Video. Television program. Straight ...")</f>
        <v>Channel One: News. Video. Television program. Straight ...</v>
      </c>
      <c r="L536" s="5" t="str">
        <f>IFERROR(__xludf.DUMMYFUNCTION("GOOGLETRANSLATE(C536)"),"News, cognitive programs and entertainment shows, films and TV shows - all this you can watch on the Channel One website.")</f>
        <v>News, cognitive programs and entertainment shows, films and TV shows - all this you can watch on the Channel One website.</v>
      </c>
      <c r="M536" s="5" t="str">
        <f>IFERROR(__xludf.DUMMYFUNCTION("GOOGLETRANSLATE(G536)"),"Channel One: News. Video. Television program. Directly broadcast on the First Euphire Steamfilms and Serial-Sportselingelinglews.1TV.ru see other television cammodes, see the first news releases of the News of the News Title IS Loading, take the televisio"&amp;"n projects of the First Channel Channel Channel Channel Channel Channel Channel One to curtail the first-a-aid You can post on your website or on social networks the player of Channel One. To do this, click on the “Share” button in the upper right corner "&amp;"of the player and copy the code for inserting. Additional approval is not required. Online broadcasting of the air flow on the Internet is strictly prohibited. Application for the organization of broadcasting © 1996 - 2023 Channel One. All rights reserved"&amp;". Previous Channel User Agreement. All rights are protected. The broadcast of all -Russian obligatory publicly available television channels and television channels received the right to carry out etheric digital ground broadcasting using positions in mul"&amp;"tiplexes throughout the Russian Federation is carried out in a continuous mode all the way without charging fees on the channel page.")</f>
        <v>Channel One: News. Video. Television program. Directly broadcast on the First Euphire Steamfilms and Serial-Sportselingelinglews.1TV.ru see other television cammodes, see the first news releases of the News of the News Title IS Loading, take the television projects of the First Channel Channel Channel Channel Channel Channel Channel One to curtail the first-a-aid You can post on your website or on social networks the player of Channel One. To do this, click on the “Share” button in the upper right corner of the player and copy the code for inserting. Additional approval is not required. Online broadcasting of the air flow on the Internet is strictly prohibited. Application for the organization of broadcasting © 1996 - 2023 Channel One. All rights reserved. Previous Channel User Agreement. All rights are protected. The broadcast of all -Russian obligatory publicly available television channels and television channels received the right to carry out etheric digital ground broadcasting using positions in multiplexes throughout the Russian Federation is carried out in a continuous mode all the way without charging fees on the channel page.</v>
      </c>
    </row>
    <row r="537">
      <c r="A537" s="1" t="s">
        <v>1748</v>
      </c>
      <c r="B537" s="1" t="s">
        <v>1804</v>
      </c>
      <c r="C537" s="1" t="s">
        <v>1753</v>
      </c>
      <c r="D537" s="1">
        <v>17.0</v>
      </c>
      <c r="E537" s="4" t="s">
        <v>1805</v>
      </c>
      <c r="F537" s="1" t="s">
        <v>16</v>
      </c>
      <c r="G537" s="1" t="s">
        <v>1806</v>
      </c>
      <c r="H537" s="4" t="s">
        <v>1807</v>
      </c>
      <c r="I537" s="2">
        <v>2.0</v>
      </c>
      <c r="J537" s="5" t="str">
        <f>IFERROR(__xludf.DUMMYFUNCTION("GOOGLETRANSLATE(A537)"),"news")</f>
        <v>news</v>
      </c>
      <c r="K537" s="6" t="str">
        <f>IFERROR(__xludf.DUMMYFUNCTION("GOOGLETRANSLATE(B537)"),"News - Ia Regnum")</f>
        <v>News - Ia Regnum</v>
      </c>
      <c r="L537" s="5" t="str">
        <f>IFERROR(__xludf.DUMMYFUNCTION("GOOGLETRANSLATE(C537)"),"4 hours back -")</f>
        <v>4 hours back -</v>
      </c>
      <c r="M537" s="5" t="str">
        <f>IFERROR(__xludf.DUMMYFUNCTION("GOOGLETRANSLATE(G537)"),"The news of Russia of the CIS and the world - REGNUMENTARY recognition of the healing of the Armed Forces of the Armed Forces of the Armed Forces will allow Russia to attack Kiev - the nominated adviser to the second president of Ukraine Leonid Kuchma Ole"&amp;"g Soskin believes that the recognition of the commander in chief of the Armed Forces of the Armed Forces of the Armed Forces of the Armed Forces of the Armed Forces of the Armed Forces of the Armed Forces of the Armed Forces of the Armed Forces of the Arm"&amp;"ed Forces of the Armed Forces of the Armed Forces of the failure at the front will force Russian President Vladimir Putin to attack Kiev. “Putin already understands after the article and an interview with the plug that the leadership of the Ukrainian army"&amp;" ... 06: 02 Novostiv, the news of the Russian hour of Russia destroyed four mortar calculations of the Armed Forces of the Armed Forces under Kupyansky News06: 29 Militia of the Third. During the month of the United States, two global strikes of the Akopo"&amp;"povs of the Politics Service of Europe received at once the entry of Ukraine into the Essence of the Ministry of Cyphra explained which VPN services will fall under the blocking of the gas sector, the hospital, without electricity, is the opinion of the o"&amp;"pinion of the Right Country. Because of what the Portuguese Prime Minister lost the post-production of carriers: the Poles do not want to give Ukraine the “last shirt” the Society “The Camera passes everything”. Blood and the best shots of the front -line"&amp;" operator Donbassobata ""Thin stream"". The Russians could not leave the dying sector of the gas control point ""Rafach"" on the border of the Gaza and Egypt sector on November 10 turned out to be blocked. Because of this, 85 Russian citizens awaiting eva"&amp;"cuation in the morning could not cross the border. However, the special representative of the President of the Russian Federation in the Middle East and the countries of Africa, the deputy head of the Russian Foreign Ministry, Michael ... Russians abroad "&amp;"and darkness. Ukraine is preparing “for the most difficult winter” “I bought dozens of candles. My father bought a full truck of firewood. We are preparing for the worst winter than ever. Therefore, we will close our eyes if we do not get Taurus, but we g"&amp;"et air defense systems ” - the scarecrow of the Germans begs in a fresh interview with Die Welt, the head of the Ukrainian Foreign Ministry Dmitry Kuleba. Preparations for winter on ... the policy ""I envy the Russians."" The Polish politician told how hi"&amp;"s country -registered party “Safe Poland” destroyed its manifesto in which it called for friendship with Russia by Belarus and Germany and Warsaw’s exit from the blind submission to Washington and Brussels. About the situation in the country of prospects "&amp;"that has developed after the parliamentary elections ... The policy of ""crescent and stars."" Putin calibrated the balance of relations with Kazakhstan economics of Russian assets: what will change the new law to the US Committee on Foreign Affairs of th"&amp;"e House of Representatives of the US Congress by a majority vote supported the bicom -party bill on the use of confiscated Russian assets to help Ukraine. What is this threatened? The United States has long been “walking around the bans” of the confiscati"&amp;"on of Russian assets frozen after ... photojournalist and bard of the Bard of Sergei Lysenkolitsa Donbashamas against Israel “Thin stream”. The Russians could not leave the dying sector of the gas control point ""Rafach"" on the border of the Gaza and Egy"&amp;"pt sector on November 10 turned out to be blocked. Because of this, 85 Russian citizens awaiting evacuation in the morning could not cross the border. However, the special representative of the President of the Russian Federation for the Middle East and t"&amp;"he countries of Africa, the deputy head of the Ministry of Foreign Affairs of Russia Mikhail ... The IDF hit the infrastructure of terrorists in the Syriav Gaza sector, which fell under fire, remained without electricity in support of Palestine in London,"&amp;" the police officers of the world had been affected by the conditions for the establishment of peace with the Israeli military military military military. They intercepted a “suspicious” air goal from Gazisrael that the trigger of the Hezbollah trigger ne"&amp;"ar the Bayden house, activists demanded the ceasefire in the Gazaev Israel threatened the consequences of the conflict of Israel, revealed plans for the military presence of the IDF in Gazentanyahu anticipated the Hzbollah from entering the conflict from "&amp;"the conflict from the conflict Rail They announced the strike on the military infrastructure of Hezbollah RAFAH KPP ​​will open the details of the agreement with Hamas for foreigners to free the prisoners of the Bavaria Prosecutor's Office of the Nazi Gen"&amp;"eski Lag allowed the Middle Eastern Conflict “over and over again” thousands of residents Palestinese Lag and OIS said that gas is inseparable from land on the Western Beregrane Lag and OIS and were responsible for the conflict in Gaza on Israeli Iran tol"&amp;"d what Hamas had led to the US president of Iran, the Iranian Raisisi called the Muslim countries to arouse the Palestintsevyei -Eytics G To make efforts to create a Palestinian state -building prince of Saudi Arabia called for the release of hostages in "&amp;"Gazehamas asked for help from the Arab and Islamic countries in Ukraine “thunder” among the clear sky. The Russian Armed Forces used the latest missiles at the Kherson, open access from the Kherson section of the front - as reported from the Antonovsky br"&amp;"idge. The first shots removed from the air: a group of APU fighters enters the house in the dilapidated private sector with traces of dense buildings off the banks of the Dnieper. In the next seconds, already from another angle ... Mask called on Zelensky"&amp;" to start negotiations with Putin-the 62nd day of the Suvs of Russia destroyed four mortar calculations of the Armed Forces of Ukraine under the Kyubrazhnoye Khunsky recognition on the failure of the Armed Forces of the Armed Forces of the Armed Forces-th"&amp;"e nipple house did not support the plan for financing the government without the help of Kyivlavs подконтрольном Украине городе Херсоне прогремели взрывыУкраинский эксперт рассказал как будет урегулирован конфликт на УкраинеРазгром ВСУ надломил Зеленского"&amp;" — TelegraphПолковник ВСУ Червинский хотел взять в плен группу «Вагнер» в 2020 годуВСУ обстреляли город Валуйки в Белгородской областиМинобороны показало кадры ударов по позициям ВСУ из гаубиц «Мста-Б ""Revelations of the Boral: what the head of the EU di"&amp;"plomacy is being prepared by Europeans, which Kiev Kherson, controlled by Kiev Kherson, thundered a series of powerful explosion-filler Arsalanov, told how the marines of the man’s marines died in Donetsk and Gorlovka because of the shelling of Britain’s "&amp;"vsuvs told what the command of the vasuns of Ukraine was afraid of the navigation of the vas Due to the Russian wishes of the EU, to help the Ukraine explained by hitch in the Congress of the United States Kiev made an unexpected statement about Zaluzhzhe"&amp;"mzakharov admitted that Borrel recognized the victory of Russia over the Ukrainian DPR ridiculed that Kiev was not preparing a counterattack of the Russian officer told about the navigation, which surrendered after the battle on the Dnieper, said that the"&amp;" ambulance said that the ambulance said that he was an ambulance The victories of Ukraine over Russia were not Budets of Russia struck the APU ammunition warehouse in the Kiev region of Russia repelled three attacks by Ukrainian attack aircraft near the K"&amp;"upyanskaya territory - a pipe. The water problem of the new territories will last long -term federal agency of water resources (Rosvodresursi) conducted the inventory of water bodies of Novorossia by entering the state register about 400 of them and also "&amp;"prepared the water balance of territories. It is used to prepare the water supply and water supply schemes for new territories where ... In the Kherson region, they established the regional organization onFbonde more than 14 million statements for public "&amp;"services in the new regions since the beginning of the years of Godpin, shared impressions of the Lugansk DPR, opened the representative office of the Russia - Country of Opportunities Putin named new ones Regions by the Historical Lands of Russia Putin h"&amp;"opes that in the new regions there will soon be security of the first three companies in the new regions of Russia received a preferential Lisingcrivtsov called the real heroes of teachers from the new regions of Russians, he said about the transition to "&amp;"the standards of the Russian Federation in the new Reghakhopushilin, he said that there were no people who want to study the Ukrainian language of the DPR. that Ukrainian will never become the second language in the DPR113 participants of the Renaissance "&amp;"Leaders received their appointments to the new register of the Spectrum forum discussed the development of the information space in Russia in Russia, announced plans for the construction of the highway through new regions, adopted a bill on extension of f"&amp;"ree medical care in the new regionalbeloi stated that Russia will continue to support the support Business in the new regions of the Day of the Liberation of Melitopol was buried by the remains of 11 fighters of the Red Armyclichs, the Four Regional Putin"&amp;"'s loss of the four regions on the bridge in the Mariopolsocondi called the number of Pennsykirienko’s project in the Zaporizhzhya region of the Kiriyenko, he visited the Name of Energodar and Zaporizhzhya Eyeshinko. Kherson Genichecuputin said that Kiev "&amp;"was exterminating Russian culture in the new regions of the Russian Donbass Russian Camera. Blood and best shots of the front -line operator, Operator Pavel Chuprina believes that as a professional he was very lucky: he is a local one of Mariupol. Until 2"&amp;"014, he worked on the television channel in Donetsk when suddenly from the measured life of a provincial media where planned shooting and work from nine to six suddenly found himself in the thick of events. Where ... the article Automatic and the guitar o"&amp;"f Bard Sergey Lysenko “I always talk about him as a living. Because for me he did not die. I turn on his music, I laugh, I remember a lot, because it was good, ”says Dmitry (call sign), friend and ally of the legendary Donetsk bard, Sergei Lysenko. He rea"&amp;"lly lives in his songs taking his soul. The bald man himself ... the article ""Socks from Aunt Gali."" The old people and children of Galina Abduram -bone evening Aunt Galya spends in front of the TV in hard work: she knit socks. Different sizes and style"&amp;" as they need them to different people. More and warmer - this is a little smaller for the military - for the nursing home, and lying patients are much more convenient for the “trace”. It is easier to shoot and make them shoot ... The article “The princip"&amp;"le of the step” from the carrier of the Ungeradery carvings of the former Lugansk militia Alexander Unger is very popular among the military. They order in their own way they know that the master will do with understanding the needs of the customer becaus"&amp;"e he himself fought and does not refuse. Alexander does not refuse. “I probably have in every military ... Artifier abroad“ Thin stream ”. The Russians could not leave the dying sector of the gas control point ""Rafach"" on the border of the Gaza and Egyp"&amp;"t sector on November 10 turned out to be blocked. Because of this, 85 Russian citizens awaiting evacuation in the morning could not cross the border. However, the special representative of the President of the Russian Federation for the Middle East and th"&amp;"e countries of Africa, the deputy head of the Russian Foreign Ministry, Michael ... ArtyBurger Russophobia. Whether in Germany there is discrimination against Russian -speaking in June last year by the German human rights organization VADAR conducted a so"&amp;"ciological study according to which 63% of Russian -speaking in Germany faced discrimination on a national basis after February 24, 2022. We asked the data of this study ... The article in Latvia in Latvia is mocking “through motor activity” in pursuance "&amp;"of the “de -resolution” campaign adopted in Latvia last year in Latvia last year in the country. In the task, teachers are set to completely translate the entire educational process into the state language - and this is also carried out in the most rigid "&amp;"methods. On ... the article of the Colombian city: “This happened for the first time in history” The results of the mayor of one of the cities in distant Columbia turned out to be a sensation in Russia. The mayor of the city of Tunhi, the center of the Bo"&amp;"yak province and one of the ""university capitals"" of the country, was elected 45-year-old native of Saratov named Mikhail Krasnov. Actually, the election itself became a sensation ... The article of the Karabakh conflict “Merit to the Pope”. For which t"&amp;"he Vatican was awarded by the Pashinyanapremir-Minister of Armenia Nikol Pashinyan awarded the “high” award. The Apostolic Nunzi Nunzi in Armenia, the Archbishop Jose Avelin Betthankur, who finishes his mission, on behalf of the Pope Francis, handed Pashi"&amp;"nyan as they say on the Prime Minister’s website “One of the highest awards of the Holy See - the Great Cross ... The Russian Ministry of Defense announced the completion of the peacekeepers in Karabakheminborne’s rotation of Russian Mirmobeans in the Kar"&amp;"abakhelav NKR said that the republic did not cease to exist Pashinyan announced his readiness to sign the world with the Azerbaijanomaliev, called the topic of the Karabakh conflict closed forever Azerbaijan in the capital of Nagorno -Karabakh Stepanakele"&amp;"yev raised the state flag of Azerbaijan to Hankend in Azerbaijan. Jean in Armenia told when Karabakh became Part of Azerbaijanapeskov spoke about Putin’s negotiations and Alivaputin said that Moscow was ready to organize negotiations between Baku and Yere"&amp;"vanalavrov called the goals of the West in Armenia Peskov that Putin and Pashinyan did not discuss the issue of peacekeeping and Azerbaijan previously consent to a meeting in Brusselipashinyan opposed the transfer of peacekeepers of the Russian Federation"&amp;" to Armenia to Bishop Keke can A meeting of the heads of the Foreign Ministry of Russia Azerbaijan and Armenia Russian peacekeepers turned two more posts to Karabahealiye called the country - the culprit of new conflicts to Caucasurii peacekeepers turned "&amp;"the observation post in Nagorno -Karabakhesmi: Moscow did not discuss the withdrawal of peacekeepers from Nagorno -Karabharossia at the request of Yerevan, the start of the supply of fuel to Armenia The UN did not find serious violations in the Nagorno -K"&amp;"arabahearte reacted to the statement of the UN delegation on the Nagorno -Karabakhlav EC, announced the EU - the United States to support Armenia, National betrayal. Bulgaria and Romania will miss the Ukrainian grain European commission predictably did no"&amp;"t extend the ban on the import of Ukrainian grain into Poland of Slovakia Hungary Romania and Bulgaria and the alliance of the neighbors of Ukraine cracked. Brussels even rejected a compromise that was acting until last Friday: to import grain for consump"&amp;"tion in the mentioned ... In Ukraine, they called for not to nourish the illusions about the new government of Polshirossia within a month to supply grain to Africacupo an alternative grain corridor to Turkey, the second ship passes arrived: the exact dat"&amp;"e of Putin’s negotiations And the Erdogan, according to the grain transaction, did not allow Budapest to send the Ukrainian grain to the Africacopolitanian a signal for the United States, the words of Duda about the “drowning” Ukraine Ukrainian wanted to "&amp;"create a grain hub in Kenya Eerdogan announced the request to Putin to increase the volume of grain supplies to the Africads of the vessel used the temporary corridor to the Ukrainian portamy Kiev They called the position of Ukraine in the Black Sea by th"&amp;"e “fiery bag” in the White House did not see the possibility of restoring grain transaction transactions at the ridiculous circulation of Kiev to the WTO because of the Polishierdogan announced the danger of excluding Russia from the grain transaction fro"&amp;"m the grain of grain supplies without the participation of the russian stores called the unrealistic scheme proposed by the West. Connecting to the Swift head of the European Council criticized Russia's plans for free supplies, Gerencrely responded to the"&amp;" UN proposal to resume grain transactions learned about plans to connect to SWIFT “Daughter” by the Rosselkhozbank Political Political Polish Polish Polish with Ukraine and the European Union of Polars to the Polish -Blittens They started with Britain To "&amp;"protect the vessels with Ukrainian Zernyelensky and Sunak discussed the possibility of unlocking grain Koridorakiev set a condition for the insurance of grain supply to Ukraine announced the beginning of grain export through Croatia, they attack Russia ha"&amp;"zard for the whole world. The Armed Forces of Ukraine turn vessels into “aircraft carriers” for the drones attacked Sochi. At the time of the attack on October 1, the work of the local airport in the Greater Sochi area was temporarily suspended on October"&amp;" 1. According to the Ministry of Defense, the drone flew from the Black Sea and was shot down by anti -aircraft gunners near Adler. Previously ... In the Belgorod region, more than 240 arrivals were recorded by the Bryansk region of the Bryansk Region des"&amp;"troyed four Ukrainian BPPPs of the Ukrainian UAV in the Smolensk region no one was injured by the Russian Ministry of Defense reported on the interception of two Ukrainian drones of the Moscow Region in Kolomna, the air defense of the air defense was kill"&amp;"ed over the Bryansk regions of the Ukrainian BPP of an airplane Type of the Oryol region, the RAB funds neutralized the drone, said that they tried to attack the Armed Forces at night in the Crimeans of the Air Defense of the Russian Federation in Crimea "&amp;"intercepted two drones of one destroyed Makeevka in Tulev Makeevka as a result of the discharge of ammunition from the UAVs were injured by three people of air defense systems shot down in the Bryansk region of an airplane type of aircraft type in the are"&amp;"a of ​​SNT in the new Moscow hung on the trees of Sevastopol, when the wreckage of the downed drone of the Armed Forces fell, a man of the Black Sea and Crimea was destroyed by 17 drones of the VSUV Sevastopol, the wreckage from the downed UAV fell onto t"&amp;"he roof of a private house of the Aquarius of Sevastopol, the Air Defense System shot down five drones moat At the Donetsk -Mariupol highway, they reported to DNRBOGOMAZ: when attacking the Armed Forces of the Armed Forces of the Armed Forces of the Bryan"&amp;"sk Region, no one was affected by the Air Defense of the Air Defense of the Air Defense of the Bryansk Regional Russian Air Defense Forces shot down the Ukrainian drone over the Belgorod Regional Air Defense and the Air Defense of the Armed Forces of the "&amp;"Armed Forces of the Armed Forces of the Armed Forces over the Kursk and Belgorod Region of Air Defense shot down two Ukrainian drones over the Kursk The regional air defense regions knocked out four USA drones over the Kursk and Belgorod Obro -Russian ide"&amp;"iko, world order based on the world's rules of the world may not turn out to be the most terrible threatening of Godtentine morality. The victims will multiply the Monenikogda, the Russian intelligentsia of the US President 2024 Candidate in the US Presid"&amp;"ent called the Zelensky Nazi Florida, will be multiplied by the third debate of presidential candidates from the Republican Party. The number of participants is reduced from some debate to another-someone flies out of the presidential race, others simply "&amp;"do not go to the debate due to tightened rules. At the same time, the audience is quickly reduced and the son of Trump criticized the assistance of Kiev, the US Republicans did not agree on the topic of supporting Ukraine for the first time in history clo"&amp;"se to the Third World War-Trumptramp did not rule out the candidacy of the Carlson as vice president of the United States announced the superiority of Russia The hypersonic and nuclear weapons did not accept the invitation of Zelensky to visit the Ukrainu"&amp;"pushkov called the US Democrats three ways to “defeat” the Trump -Pabros: Trump is ahead of Biden in terms of support in five important states of the TRAMP again appreciated the mental abilities of Bidenapoli Michee Pence, refused to participate in the pr"&amp;"e -election race of representatives in the House of Representatives The United States stated the USA called for the United States called to agree with the entry of new regions into the Russian Federation: Americans deserve the government that will not be "&amp;"a lie for them to read the instructions for behavior on the scenes of the Foreign Ministry commented on the role of the CIA of the preparation of the NAR in Russia, the Biden accused Biden in the inciting wars in Ukraine and the neighbor Vostokayden was c"&amp;"onvicted of leaving reality and ignoring problems in the USAcandine in the US president, sharply answered all the dissatisfied Americaitramp-criticized Netanyahu and told the supporters about his desire to Virginstramp named President Bayden Dobrov wished"&amp;" Biden to win the election of the President of the US In the USA, Americanists appreciated the consequences of the resignation of the speaker McCartimicanist: more and more people will appear in the United States to “kick” Biden")</f>
        <v>The news of Russia of the CIS and the world - REGNUMENTARY recognition of the healing of the Armed Forces of the Armed Forces of the Armed Forces will allow Russia to attack Kiev - the nominated adviser to the second president of Ukraine Leonid Kuchma Oleg Soskin believes that the recognition of the commander in chief of the Armed Forces of the Armed Forces of the Armed Forces of the Armed Forces of the Armed Forces of the Armed Forces of the Armed Forces of the Armed Forces of the Armed Forces of the Armed Forces of the Armed Forces of the Armed Forces of the failure at the front will force Russian President Vladimir Putin to attack Kiev. “Putin already understands after the article and an interview with the plug that the leadership of the Ukrainian army ... 06: 02 Novostiv, the news of the Russian hour of Russia destroyed four mortar calculations of the Armed Forces of the Armed Forces under Kupyansky News06: 29 Militia of the Third. During the month of the United States, two global strikes of the Akopopovs of the Politics Service of Europe received at once the entry of Ukraine into the Essence of the Ministry of Cyphra explained which VPN services will fall under the blocking of the gas sector, the hospital, without electricity, is the opinion of the opinion of the Right Country. Because of what the Portuguese Prime Minister lost the post-production of carriers: the Poles do not want to give Ukraine the “last shirt” the Society “The Camera passes everything”. Blood and the best shots of the front -line operator Donbassobata "Thin stream". The Russians could not leave the dying sector of the gas control point "Rafach" on the border of the Gaza and Egypt sector on November 10 turned out to be blocked. Because of this, 85 Russian citizens awaiting evacuation in the morning could not cross the border. However, the special representative of the President of the Russian Federation in the Middle East and the countries of Africa, the deputy head of the Russian Foreign Ministry, Michael ... Russians abroad and darkness. Ukraine is preparing “for the most difficult winter” “I bought dozens of candles. My father bought a full truck of firewood. We are preparing for the worst winter than ever. Therefore, we will close our eyes if we do not get Taurus, but we get air defense systems ” - the scarecrow of the Germans begs in a fresh interview with Die Welt, the head of the Ukrainian Foreign Ministry Dmitry Kuleba. Preparations for winter on ... the policy "I envy the Russians." The Polish politician told how his country -registered party “Safe Poland” destroyed its manifesto in which it called for friendship with Russia by Belarus and Germany and Warsaw’s exit from the blind submission to Washington and Brussels. About the situation in the country of prospects that has developed after the parliamentary elections ... The policy of "crescent and stars." Putin calibrated the balance of relations with Kazakhstan economics of Russian assets: what will change the new law to the US Committee on Foreign Affairs of the House of Representatives of the US Congress by a majority vote supported the bicom -party bill on the use of confiscated Russian assets to help Ukraine. What is this threatened? The United States has long been “walking around the bans” of the confiscation of Russian assets frozen after ... photojournalist and bard of the Bard of Sergei Lysenkolitsa Donbashamas against Israel “Thin stream”. The Russians could not leave the dying sector of the gas control point "Rafach" on the border of the Gaza and Egypt sector on November 10 turned out to be blocked. Because of this, 85 Russian citizens awaiting evacuation in the morning could not cross the border. However, the special representative of the President of the Russian Federation for the Middle East and the countries of Africa, the deputy head of the Ministry of Foreign Affairs of Russia Mikhail ... The IDF hit the infrastructure of terrorists in the Syriav Gaza sector, which fell under fire, remained without electricity in support of Palestine in London, the police officers of the world had been affected by the conditions for the establishment of peace with the Israeli military military military military. They intercepted a “suspicious” air goal from Gazisrael that the trigger of the Hezbollah trigger near the Bayden house, activists demanded the ceasefire in the Gazaev Israel threatened the consequences of the conflict of Israel, revealed plans for the military presence of the IDF in Gazentanyahu anticipated the Hzbollah from entering the conflict from the conflict from the conflict Rail They announced the strike on the military infrastructure of Hezbollah RAFAH KPP ​​will open the details of the agreement with Hamas for foreigners to free the prisoners of the Bavaria Prosecutor's Office of the Nazi Geneski Lag allowed the Middle Eastern Conflict “over and over again” thousands of residents Palestinese Lag and OIS said that gas is inseparable from land on the Western Beregrane Lag and OIS and were responsible for the conflict in Gaza on Israeli Iran told what Hamas had led to the US president of Iran, the Iranian Raisisi called the Muslim countries to arouse the Palestintsevyei -Eytics G To make efforts to create a Palestinian state -building prince of Saudi Arabia called for the release of hostages in Gazehamas asked for help from the Arab and Islamic countries in Ukraine “thunder” among the clear sky. The Russian Armed Forces used the latest missiles at the Kherson, open access from the Kherson section of the front - as reported from the Antonovsky bridge. The first shots removed from the air: a group of APU fighters enters the house in the dilapidated private sector with traces of dense buildings off the banks of the Dnieper. In the next seconds, already from another angle ... Mask called on Zelensky to start negotiations with Putin-the 62nd day of the Suvs of Russia destroyed four mortar calculations of the Armed Forces of Ukraine under the Kyubrazhnoye Khunsky recognition on the failure of the Armed Forces of the Armed Forces of the Armed Forces-the nipple house did not support the plan for financing the government without the help of Kyivlavs подконтрольном Украине городе Херсоне прогремели взрывыУкраинский эксперт рассказал как будет урегулирован конфликт на УкраинеРазгром ВСУ надломил Зеленского — TelegraphПолковник ВСУ Червинский хотел взять в плен группу «Вагнер» в 2020 годуВСУ обстреляли город Валуйки в Белгородской областиМинобороны показало кадры ударов по позициям ВСУ из гаубиц «Мста-Б "Revelations of the Boral: what the head of the EU diplomacy is being prepared by Europeans, which Kiev Kherson, controlled by Kiev Kherson, thundered a series of powerful explosion-filler Arsalanov, told how the marines of the man’s marines died in Donetsk and Gorlovka because of the shelling of Britain’s vsuvs told what the command of the vasuns of Ukraine was afraid of the navigation of the vas Due to the Russian wishes of the EU, to help the Ukraine explained by hitch in the Congress of the United States Kiev made an unexpected statement about Zaluzhzhemzakharov admitted that Borrel recognized the victory of Russia over the Ukrainian DPR ridiculed that Kiev was not preparing a counterattack of the Russian officer told about the navigation, which surrendered after the battle on the Dnieper, said that the ambulance said that the ambulance said that he was an ambulance The victories of Ukraine over Russia were not Budets of Russia struck the APU ammunition warehouse in the Kiev region of Russia repelled three attacks by Ukrainian attack aircraft near the Kupyanskaya territory - a pipe. The water problem of the new territories will last long -term federal agency of water resources (Rosvodresursi) conducted the inventory of water bodies of Novorossia by entering the state register about 400 of them and also prepared the water balance of territories. It is used to prepare the water supply and water supply schemes for new territories where ... In the Kherson region, they established the regional organization onFbonde more than 14 million statements for public services in the new regions since the beginning of the years of Godpin, shared impressions of the Lugansk DPR, opened the representative office of the Russia - Country of Opportunities Putin named new ones Regions by the Historical Lands of Russia Putin hopes that in the new regions there will soon be security of the first three companies in the new regions of Russia received a preferential Lisingcrivtsov called the real heroes of teachers from the new regions of Russians, he said about the transition to the standards of the Russian Federation in the new Reghakhopushilin, he said that there were no people who want to study the Ukrainian language of the DPR. that Ukrainian will never become the second language in the DPR113 participants of the Renaissance Leaders received their appointments to the new register of the Spectrum forum discussed the development of the information space in Russia in Russia, announced plans for the construction of the highway through new regions, adopted a bill on extension of free medical care in the new regionalbeloi stated that Russia will continue to support the support Business in the new regions of the Day of the Liberation of Melitopol was buried by the remains of 11 fighters of the Red Armyclichs, the Four Regional Putin's loss of the four regions on the bridge in the Mariopolsocondi called the number of Pennsykirienko’s project in the Zaporizhzhya region of the Kiriyenko, he visited the Name of Energodar and Zaporizhzhya Eyeshinko. Kherson Genichecuputin said that Kiev was exterminating Russian culture in the new regions of the Russian Donbass Russian Camera. Blood and best shots of the front -line operator, Operator Pavel Chuprina believes that as a professional he was very lucky: he is a local one of Mariupol. Until 2014, he worked on the television channel in Donetsk when suddenly from the measured life of a provincial media where planned shooting and work from nine to six suddenly found himself in the thick of events. Where ... the article Automatic and the guitar of Bard Sergey Lysenko “I always talk about him as a living. Because for me he did not die. I turn on his music, I laugh, I remember a lot, because it was good, ”says Dmitry (call sign), friend and ally of the legendary Donetsk bard, Sergei Lysenko. He really lives in his songs taking his soul. The bald man himself ... the article "Socks from Aunt Gali." The old people and children of Galina Abduram -bone evening Aunt Galya spends in front of the TV in hard work: she knit socks. Different sizes and style as they need them to different people. More and warmer - this is a little smaller for the military - for the nursing home, and lying patients are much more convenient for the “trace”. It is easier to shoot and make them shoot ... The article “The principle of the step” from the carrier of the Ungeradery carvings of the former Lugansk militia Alexander Unger is very popular among the military. They order in their own way they know that the master will do with understanding the needs of the customer because he himself fought and does not refuse. Alexander does not refuse. “I probably have in every military ... Artifier abroad“ Thin stream ”. The Russians could not leave the dying sector of the gas control point "Rafach" on the border of the Gaza and Egypt sector on November 10 turned out to be blocked. Because of this, 85 Russian citizens awaiting evacuation in the morning could not cross the border. However, the special representative of the President of the Russian Federation for the Middle East and the countries of Africa, the deputy head of the Russian Foreign Ministry, Michael ... ArtyBurger Russophobia. Whether in Germany there is discrimination against Russian -speaking in June last year by the German human rights organization VADAR conducted a sociological study according to which 63% of Russian -speaking in Germany faced discrimination on a national basis after February 24, 2022. We asked the data of this study ... The article in Latvia in Latvia is mocking “through motor activity” in pursuance of the “de -resolution” campaign adopted in Latvia last year in Latvia last year in the country. In the task, teachers are set to completely translate the entire educational process into the state language - and this is also carried out in the most rigid methods. On ... the article of the Colombian city: “This happened for the first time in history” The results of the mayor of one of the cities in distant Columbia turned out to be a sensation in Russia. The mayor of the city of Tunhi, the center of the Boyak province and one of the "university capitals" of the country, was elected 45-year-old native of Saratov named Mikhail Krasnov. Actually, the election itself became a sensation ... The article of the Karabakh conflict “Merit to the Pope”. For which the Vatican was awarded by the Pashinyanapremir-Minister of Armenia Nikol Pashinyan awarded the “high” award. The Apostolic Nunzi Nunzi in Armenia, the Archbishop Jose Avelin Betthankur, who finishes his mission, on behalf of the Pope Francis, handed Pashinyan as they say on the Prime Minister’s website “One of the highest awards of the Holy See - the Great Cross ... The Russian Ministry of Defense announced the completion of the peacekeepers in Karabakheminborne’s rotation of Russian Mirmobeans in the Karabakhelav NKR said that the republic did not cease to exist Pashinyan announced his readiness to sign the world with the Azerbaijanomaliev, called the topic of the Karabakh conflict closed forever Azerbaijan in the capital of Nagorno -Karabakh Stepanakeleyev raised the state flag of Azerbaijan to Hankend in Azerbaijan. Jean in Armenia told when Karabakh became Part of Azerbaijanapeskov spoke about Putin’s negotiations and Alivaputin said that Moscow was ready to organize negotiations between Baku and Yerevanalavrov called the goals of the West in Armenia Peskov that Putin and Pashinyan did not discuss the issue of peacekeeping and Azerbaijan previously consent to a meeting in Brusselipashinyan opposed the transfer of peacekeepers of the Russian Federation to Armenia to Bishop Keke can A meeting of the heads of the Foreign Ministry of Russia Azerbaijan and Armenia Russian peacekeepers turned two more posts to Karabahealiye called the country - the culprit of new conflicts to Caucasurii peacekeepers turned the observation post in Nagorno -Karabakhesmi: Moscow did not discuss the withdrawal of peacekeepers from Nagorno -Karabharossia at the request of Yerevan, the start of the supply of fuel to Armenia The UN did not find serious violations in the Nagorno -Karabahearte reacted to the statement of the UN delegation on the Nagorno -Karabakhlav EC, announced the EU - the United States to support Armenia, National betrayal. Bulgaria and Romania will miss the Ukrainian grain European commission predictably did not extend the ban on the import of Ukrainian grain into Poland of Slovakia Hungary Romania and Bulgaria and the alliance of the neighbors of Ukraine cracked. Brussels even rejected a compromise that was acting until last Friday: to import grain for consumption in the mentioned ... In Ukraine, they called for not to nourish the illusions about the new government of Polshirossia within a month to supply grain to Africacupo an alternative grain corridor to Turkey, the second ship passes arrived: the exact date of Putin’s negotiations And the Erdogan, according to the grain transaction, did not allow Budapest to send the Ukrainian grain to the Africacopolitanian a signal for the United States, the words of Duda about the “drowning” Ukraine Ukrainian wanted to create a grain hub in Kenya Eerdogan announced the request to Putin to increase the volume of grain supplies to the Africads of the vessel used the temporary corridor to the Ukrainian portamy Kiev They called the position of Ukraine in the Black Sea by the “fiery bag” in the White House did not see the possibility of restoring grain transaction transactions at the ridiculous circulation of Kiev to the WTO because of the Polishierdogan announced the danger of excluding Russia from the grain transaction from the grain of grain supplies without the participation of the russian stores called the unrealistic scheme proposed by the West. Connecting to the Swift head of the European Council criticized Russia's plans for free supplies, Gerencrely responded to the UN proposal to resume grain transactions learned about plans to connect to SWIFT “Daughter” by the Rosselkhozbank Political Political Polish Polish Polish with Ukraine and the European Union of Polars to the Polish -Blittens They started with Britain To protect the vessels with Ukrainian Zernyelensky and Sunak discussed the possibility of unlocking grain Koridorakiev set a condition for the insurance of grain supply to Ukraine announced the beginning of grain export through Croatia, they attack Russia hazard for the whole world. The Armed Forces of Ukraine turn vessels into “aircraft carriers” for the drones attacked Sochi. At the time of the attack on October 1, the work of the local airport in the Greater Sochi area was temporarily suspended on October 1. According to the Ministry of Defense, the drone flew from the Black Sea and was shot down by anti -aircraft gunners near Adler. Previously ... In the Belgorod region, more than 240 arrivals were recorded by the Bryansk region of the Bryansk Region destroyed four Ukrainian BPPPs of the Ukrainian UAV in the Smolensk region no one was injured by the Russian Ministry of Defense reported on the interception of two Ukrainian drones of the Moscow Region in Kolomna, the air defense of the air defense was killed over the Bryansk regions of the Ukrainian BPP of an airplane Type of the Oryol region, the RAB funds neutralized the drone, said that they tried to attack the Armed Forces at night in the Crimeans of the Air Defense of the Russian Federation in Crimea intercepted two drones of one destroyed Makeevka in Tulev Makeevka as a result of the discharge of ammunition from the UAVs were injured by three people of air defense systems shot down in the Bryansk region of an airplane type of aircraft type in the area of ​​SNT in the new Moscow hung on the trees of Sevastopol, when the wreckage of the downed drone of the Armed Forces fell, a man of the Black Sea and Crimea was destroyed by 17 drones of the VSUV Sevastopol, the wreckage from the downed UAV fell onto the roof of a private house of the Aquarius of Sevastopol, the Air Defense System shot down five drones moat At the Donetsk -Mariupol highway, they reported to DNRBOGOMAZ: when attacking the Armed Forces of the Armed Forces of the Armed Forces of the Bryansk Region, no one was affected by the Air Defense of the Air Defense of the Air Defense of the Bryansk Regional Russian Air Defense Forces shot down the Ukrainian drone over the Belgorod Regional Air Defense and the Air Defense of the Armed Forces of the Armed Forces of the Armed Forces of the Armed Forces over the Kursk and Belgorod Region of Air Defense shot down two Ukrainian drones over the Kursk The regional air defense regions knocked out four USA drones over the Kursk and Belgorod Obro -Russian ideiko, world order based on the world's rules of the world may not turn out to be the most terrible threatening of Godtentine morality. The victims will multiply the Monenikogda, the Russian intelligentsia of the US President 2024 Candidate in the US President called the Zelensky Nazi Florida, will be multiplied by the third debate of presidential candidates from the Republican Party. The number of participants is reduced from some debate to another-someone flies out of the presidential race, others simply do not go to the debate due to tightened rules. At the same time, the audience is quickly reduced and the son of Trump criticized the assistance of Kiev, the US Republicans did not agree on the topic of supporting Ukraine for the first time in history close to the Third World War-Trumptramp did not rule out the candidacy of the Carlson as vice president of the United States announced the superiority of Russia The hypersonic and nuclear weapons did not accept the invitation of Zelensky to visit the Ukrainupushkov called the US Democrats three ways to “defeat” the Trump -Pabros: Trump is ahead of Biden in terms of support in five important states of the TRAMP again appreciated the mental abilities of Bidenapoli Michee Pence, refused to participate in the pre -election race of representatives in the House of Representatives The United States stated the USA called for the United States called to agree with the entry of new regions into the Russian Federation: Americans deserve the government that will not be a lie for them to read the instructions for behavior on the scenes of the Foreign Ministry commented on the role of the CIA of the preparation of the NAR in Russia, the Biden accused Biden in the inciting wars in Ukraine and the neighbor Vostokayden was convicted of leaving reality and ignoring problems in the USAcandine in the US president, sharply answered all the dissatisfied Americaitramp-criticized Netanyahu and told the supporters about his desire to Virginstramp named President Bayden Dobrov wished Biden to win the election of the President of the US In the USA, Americanists appreciated the consequences of the resignation of the speaker McCartimicanist: more and more people will appear in the United States to “kick” Biden</v>
      </c>
    </row>
    <row r="538">
      <c r="A538" s="1" t="s">
        <v>1748</v>
      </c>
      <c r="B538" s="1" t="s">
        <v>1808</v>
      </c>
      <c r="C538" s="1" t="s">
        <v>1782</v>
      </c>
      <c r="D538" s="1">
        <v>18.0</v>
      </c>
      <c r="E538" s="4" t="s">
        <v>1809</v>
      </c>
      <c r="F538" s="1" t="s">
        <v>16</v>
      </c>
      <c r="G538" s="1" t="s">
        <v>1810</v>
      </c>
      <c r="H538" s="4" t="s">
        <v>1811</v>
      </c>
      <c r="I538" s="2">
        <v>2.0</v>
      </c>
      <c r="J538" s="5" t="str">
        <f>IFERROR(__xludf.DUMMYFUNCTION("GOOGLETRANSLATE(A538)"),"news")</f>
        <v>news</v>
      </c>
      <c r="K538" s="6" t="str">
        <f>IFERROR(__xludf.DUMMYFUNCTION("GOOGLETRANSLATE(B538)"),"News of Russia and the world today")</f>
        <v>News of Russia and the world today</v>
      </c>
      <c r="L538" s="5" t="str">
        <f>IFERROR(__xludf.DUMMYFUNCTION("GOOGLETRANSLATE(C538)"),"3 hours back -")</f>
        <v>3 hours back -</v>
      </c>
      <c r="M538" s="5" t="str">
        <f>IFERROR(__xludf.DUMMYFUNCTION("GOOGLETRANSLATE(G538)"),"News of Russia and the world today $ 92.18 € 98.61₿ 37048IXIC 13799999999999999999999999999999999999999999999999999999999999999999999999999999999999999999999s . Pugacheva explained to whom she called “slaves” 11/11/2023 / 17: 37 is 37 removal 11/11/2023 /"&amp;" 16: 19politico: Bayden will hold “hard negotiations” from Xzinpinovo 11.2023 / 11: 52 in the Ryazan region, 19 freight wagons went off the rails due to possible explosiveness111111111111111 .11.2023 / 14: 01Macron allowed negotiations of Ukraine and Russ"&amp;"ia. In Kyiv, they talk about the “trap” of news 11/11/2023 / 10: 56 re -intercepted UAVs over the Moscow and Smolensk regions. What is known to Ukrainian and counter -sanction in the Russians of Western companies “Freedom is the main wealth” in Russia. Pu"&amp;"gacheva explained to whom she called “slaves” 11.11.2023 / 17: 37 Novosopolitico: Biden will hold “hard negotiations” with Xi Jinping 11/11/2023 / 16: 19th of the Ryazan region, 19 freight wagons went off the rails due to a possible explosion 11/11/11: 52"&amp;" Novostimacron allowed negotiations of Ukraine and Russia. In Kyiv, they talk about the “trap” 11.11.2023 / 14: 01, the UAVs over the Moscow and Smolensk regions are intercepted. What is known 11/11/2023 / 10: 56 -woven in Israel CNN and AP tore off relat"&amp;"ions with the photographer suspected in ties from Hamasovosti10.11.2023 / 16: 31 from the gas sector on November 10, the first Russian vehicles are evacuated 110.11.2023 / 08: 53khamas: it will come the day when the DPRA will inflict a blow to the United "&amp;"States To help Palestyanenia 08.11.2023 / 16: 08mash burned out as a result of the Israeli airstrike in the south of Livan. Photo of the day of the day 06.11.2023 / 19: 56nical large -scale shares in support of Palestine in the world. Photo Galleravizual "&amp;"06.11.2023 / 18: 19 Tsahal reported on new successes. In the gas stated that another 200 people were killed on 11/06/2023 / 14: 40 Novostil, a reason for protocols for the European University in St. Petersburg is known 1111.11.2023 / 21: 05Tass: the Mosco"&amp;"w prosecutor's office checks Dudia* due to interviews of Tsyganovosti11.11.2023 / 19: 58miller: Russian gas is received by Russian gas: Russian gas is received To the EU countries that refused him, 11/11/2023 / 18: 57, the cause of the death of the new cr"&amp;"eative director of Moschino Davide Renenovosta 11/11/2023 / 00: 05 Head of the Ministry of Education introduced Kadyrov to the corrected textbook of history of history 110.11.2023 / 23: 36V State Duma to disconnect unprofitable access to YOO UTUBENOVOVIT1"&amp;"0.11.2023 / 22: 59 Novostorokhovaya Plant in Kotovsk caught fire for a second time 11/11/11.2023 / 10: 15 Vizualkak Poland celebrated the Day of Independence 1111.2023 / 19: 04 KhovostomoMi's worshiped the forecast of the US rating to the negative 11/11, "&amp;"10: 40 Novospeopolitics Aleksey Menov and the publication “Cedar Media” was recognized Gentami10 .11.2023 / 21: 17 Visualbastovka Polish truckers. Photo of the day 11/11/2023 / 20: 02 MonoStation Court of Kyrgyzstan canceled the right to choose a maturity"&amp;" instead of a middle name 110.11.2023 / 21: 46 kanada imposed sanctions against the singer Jasmine of the Izvestia newspaper and the Ren-TV channel 110.11.2023 / 20: 41 State Duma refusal of private clinics From abortions in some regional-novation 11/11/2"&amp;"023 / 19: 26v, Armenia was canceled “Artdokfest” because of the post of Mansky* on a trip to Azerbaijani 110.11.2023 / 19: 18 Politics Kashin: nuclear trials will resume the EXCLECKLUZIV 11.10.11.2023 / 19:06 “NI” “Nonse ”And a clash of interests in the F"&amp;"ederal Air Transport Agency 110.11.2023 / 17: 32-to-bearing teenager from Mariupol, who received the agenda, returned to the Ukrainian Stances of Spain found the skeleton of the copper eyelid surviving two trepanations of Cherepanovostirbk: the FSB conduc"&amp;"ted searches in large manufacturing companies of medical alcohol“ for Avdeevka will be clinging to the last ” . Why Zelensky is the second Bakhmutredia15280. Moscow st. Lenin Sloboda d. 26 floor 2 Tel: +7 (499) 579-86-96 for general questions: infortvi@rt"&amp;"vi.comredium rtvi: News@rtvi.com Marketing/PR: PR@rtvi.com Advertising RTVI: ADV-EU @rtvi.comspartner materials of the Zen. Nethods and Google.news have a typo? Select it click Ctrl + Enter and let us thank you! RTVI in social networks18 + weekend media o"&amp;"utlets | User agreement | Personal data processing policy | RTVI Vacancies © Ertyvia Production LLC. All rights reserved. When quoting materials, active hyperlink on rtvi.com is required")</f>
        <v>News of Russia and the world today $ 92.18 € 98.61₿ 37048IXIC 13799999999999999999999999999999999999999999999999999999999999999999999999999999999999999999999s . Pugacheva explained to whom she called “slaves” 11/11/2023 / 17: 37 is 37 removal 11/11/2023 / 16: 19politico: Bayden will hold “hard negotiations” from Xzinpinovo 11.2023 / 11: 52 in the Ryazan region, 19 freight wagons went off the rails due to possible explosiveness111111111111111 .11.2023 / 14: 01Macron allowed negotiations of Ukraine and Russia. In Kyiv, they talk about the “trap” of news 11/11/2023 / 10: 56 re -intercepted UAVs over the Moscow and Smolensk regions. What is known to Ukrainian and counter -sanction in the Russians of Western companies “Freedom is the main wealth” in Russia. Pugacheva explained to whom she called “slaves” 11.11.2023 / 17: 37 Novosopolitico: Biden will hold “hard negotiations” with Xi Jinping 11/11/2023 / 16: 19th of the Ryazan region, 19 freight wagons went off the rails due to a possible explosion 11/11/11: 52 Novostimacron allowed negotiations of Ukraine and Russia. In Kyiv, they talk about the “trap” 11.11.2023 / 14: 01, the UAVs over the Moscow and Smolensk regions are intercepted. What is known 11/11/2023 / 10: 56 -woven in Israel CNN and AP tore off relations with the photographer suspected in ties from Hamasovosti10.11.2023 / 16: 31 from the gas sector on November 10, the first Russian vehicles are evacuated 110.11.2023 / 08: 53khamas: it will come the day when the DPRA will inflict a blow to the United States To help Palestyanenia 08.11.2023 / 16: 08mash burned out as a result of the Israeli airstrike in the south of Livan. Photo of the day of the day 06.11.2023 / 19: 56nical large -scale shares in support of Palestine in the world. Photo Galleravizual 06.11.2023 / 18: 19 Tsahal reported on new successes. In the gas stated that another 200 people were killed on 11/06/2023 / 14: 40 Novostil, a reason for protocols for the European University in St. Petersburg is known 1111.11.2023 / 21: 05Tass: the Moscow prosecutor's office checks Dudia* due to interviews of Tsyganovosti11.11.2023 / 19: 58miller: Russian gas is received by Russian gas: Russian gas is received To the EU countries that refused him, 11/11/2023 / 18: 57, the cause of the death of the new creative director of Moschino Davide Renenovosta 11/11/2023 / 00: 05 Head of the Ministry of Education introduced Kadyrov to the corrected textbook of history of history 110.11.2023 / 23: 36V State Duma to disconnect unprofitable access to YOO UTUBENOVOVIT10.11.2023 / 22: 59 Novostorokhovaya Plant in Kotovsk caught fire for a second time 11/11/11.2023 / 10: 15 Vizualkak Poland celebrated the Day of Independence 1111.2023 / 19: 04 KhovostomoMi's worshiped the forecast of the US rating to the negative 11/11, 10: 40 Novospeopolitics Aleksey Menov and the publication “Cedar Media” was recognized Gentami10 .11.2023 / 21: 17 Visualbastovka Polish truckers. Photo of the day 11/11/2023 / 20: 02 MonoStation Court of Kyrgyzstan canceled the right to choose a maturity instead of a middle name 110.11.2023 / 21: 46 kanada imposed sanctions against the singer Jasmine of the Izvestia newspaper and the Ren-TV channel 110.11.2023 / 20: 41 State Duma refusal of private clinics From abortions in some regional-novation 11/11/2023 / 19: 26v, Armenia was canceled “Artdokfest” because of the post of Mansky* on a trip to Azerbaijani 110.11.2023 / 19: 18 Politics Kashin: nuclear trials will resume the EXCLECKLUZIV 11.10.11.2023 / 19:06 “NI” “Nonse ”And a clash of interests in the Federal Air Transport Agency 110.11.2023 / 17: 32-to-bearing teenager from Mariupol, who received the agenda, returned to the Ukrainian Stances of Spain found the skeleton of the copper eyelid surviving two trepanations of Cherepanovostirbk: the FSB conducted searches in large manufacturing companies of medical alcohol“ for Avdeevka will be clinging to the last ” . Why Zelensky is the second Bakhmutredia15280. Moscow st. Lenin Sloboda d. 26 floor 2 Tel: +7 (499) 579-86-96 for general questions: infortvi@rtvi.comredium rtvi: News@rtvi.com Marketing/PR: PR@rtvi.com Advertising RTVI: ADV-EU @rtvi.comspartner materials of the Zen. Nethods and Google.news have a typo? Select it click Ctrl + Enter and let us thank you! RTVI in social networks18 + weekend media outlets | User agreement | Personal data processing policy | RTVI Vacancies © Ertyvia Production LLC. All rights reserved. When quoting materials, active hyperlink on rtvi.com is required</v>
      </c>
    </row>
    <row r="539">
      <c r="A539" s="1" t="s">
        <v>1748</v>
      </c>
      <c r="B539" s="1" t="s">
        <v>1797</v>
      </c>
      <c r="C539" s="1" t="s">
        <v>1812</v>
      </c>
      <c r="D539" s="1">
        <v>19.0</v>
      </c>
      <c r="E539" s="4" t="s">
        <v>1813</v>
      </c>
      <c r="F539" s="1" t="s">
        <v>16</v>
      </c>
      <c r="G539" s="1" t="s">
        <v>135</v>
      </c>
      <c r="H539" s="4" t="s">
        <v>136</v>
      </c>
      <c r="I539" s="2">
        <v>1.0</v>
      </c>
      <c r="J539" s="5" t="str">
        <f>IFERROR(__xludf.DUMMYFUNCTION("GOOGLETRANSLATE(A539)"),"news")</f>
        <v>news</v>
      </c>
      <c r="K539" s="6" t="str">
        <f>IFERROR(__xludf.DUMMYFUNCTION("GOOGLETRANSLATE(B539)"),"news")</f>
        <v>news</v>
      </c>
      <c r="L539" s="5" t="str">
        <f>IFERROR(__xludf.DUMMYFUNCTION("GOOGLETRANSLATE(C539)"),"News")</f>
        <v>News</v>
      </c>
      <c r="M539" s="5" t="str">
        <f>IFERROR(__xludf.DUMMYFUNCTION("GOOGLETRANSLATE(G539)"),"Forbes.ru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540">
      <c r="A540" s="1" t="s">
        <v>1748</v>
      </c>
      <c r="B540" s="1" t="s">
        <v>1814</v>
      </c>
      <c r="C540" s="1" t="s">
        <v>1815</v>
      </c>
      <c r="D540" s="1">
        <v>9.0</v>
      </c>
      <c r="E540" s="4" t="s">
        <v>1816</v>
      </c>
      <c r="F540" s="1" t="s">
        <v>43</v>
      </c>
      <c r="G540" s="1" t="s">
        <v>1817</v>
      </c>
      <c r="H540" s="4" t="s">
        <v>1818</v>
      </c>
      <c r="I540" s="2">
        <v>3.0</v>
      </c>
      <c r="J540" s="5" t="str">
        <f>IFERROR(__xludf.DUMMYFUNCTION("GOOGLETRANSLATE(A540)"),"news")</f>
        <v>news</v>
      </c>
      <c r="K540" s="6" t="str">
        <f>IFERROR(__xludf.DUMMYFUNCTION("GOOGLETRANSLATE(B540)"),"Home - BBC News Russian Service")</f>
        <v>Home - BBC News Russian Service</v>
      </c>
      <c r="L540" s="5" t="str">
        <f>IFERROR(__xludf.DUMMYFUNCTION("GOOGLETRANSLATE(C540)"),"Live Live, Israel's war with Hamas: there are fights around the four main hospitals. The latest news, comments and videos about the Hamas group attack on Israel.")</f>
        <v>Live Live, Israel's war with Hamas: there are fights around the four main hospitals. The latest news, comments and videos about the Hamas group attack on Israel.</v>
      </c>
      <c r="M540" s="5" t="str">
        <f>IFERROR(__xludf.DUMMYFUNCTION("GOOGLETRANSLATE(G540)")," BBC - Homepage  HomepageAccessibility linksSkip to contentAccessibility HelpBBC AccountNotificationsHomeNewsSportWeatheriPlayerSoundsBitesizeCBeebiesCBBCFoodHomeNewsSportEarthReelWorklifeTravelCultureFutureTVWeatherSoundsMore menu Search BBC Search BBC H"&amp;"omeNewsSportWeatheriPlayerSoundsBitesizeCBeebiesCBBCFoodHomeNewsSportEarthReelWorklifeTravelCultureFutureTVWeatherSoundsClose menu BBC Homepage                                                                          Gaza hospital crippled as fighting rag"&amp;"es nearby                                                                                                                        Israel agrees to help evacuate babies from Al-Shifa hospital after two die due to a lack of electricity.                      "&amp;"                              Middle East                    Gaza hospital crippled as fighting rages nearby                                                                                     Legal experts see uphill battle for Trump in fraud case       "&amp;"                                                     US                    Legal experts see uphill battle for Trump in fraud case                                                                                     Iceland declares emergency over volcano "&amp;"threat                                                            Europe                    Iceland declares emergency over volcano threat                                                                                     'Ten Hag has space to breathe af"&amp;"ter win over Luton'                                                            Football                    'Ten Hag has space to breathe after win over Luton'                                                                                     China's matc"&amp;"hmaking mums have a powerful ally: The Party                                                            China                    China's matchmaking mums have a powerful ally: The Party                                News                                  "&amp;"                                    Israel denies striking Gaza hospital – but says fighting happening around it                                                                                                                        The Israeli military ac"&amp;"knowledges clashes ""around"" Al-Shifa where doctors say they have lost power and run out of food and water.                                                    Middle East                    Israel denies striking Gaza hospital – but says fighting happeni"&amp;"ng around it                                                                                     Pope fires Texan bishop after criticism of reforms                                                                                                            "&amp;"            Joseph Strickland is ""relieved"" from governance following a Vatican investigation.                                                    US &amp; Canada                    Pope fires Texan bishop after criticism of reforms                          "&amp;"                                                           Mafia bust shows US-Italy crime links still strong                                                                                                                        While decades of prosecuti"&amp;"ons weakened the US and Italian mafia transatlantic relations remain strong.                                                    US &amp; Canada                    Mafia bust shows US-Italy crime links still strong                    Sport                     "&amp;"                                                 Arsenal go second with victory over Burnley                                                                                                                        Arsenal move level on points with Premier L"&amp;"eague leaders Manchester City courtesy of a hard-fought victory over struggling Burnley.                                                    Football                    Arsenal go second with victory over Burnley                                            "&amp;"                                         'England find the blueprint at the bitter end'                                                                                                                        England's World Cup campaign was shrouded with c"&amp;"onfusion but they found a blueprint that helped them avoid falling apart like previous sides.                                                    Cricket                    'England find the blueprint at the bitter end'                                     "&amp;"                                                Vinicius and Rodrygo score twice as Real thrash Valencia                                                                                                                        Real Madrid thrash Valencia as "&amp;"Carlo Ancelotti's side move two points behind La Liga leaders Girona.                                                    European Football                    Vinicius and Rodrygo score twice as Real thrash Valencia                    Weekend Reads        "&amp;"                                                              The raunchy books Britain loves                                                                                                                        Jilly Cooper's raunchy novels include Rish"&amp;"i Sunak as a fan                                                    Culture                    The raunchy books Britain loves                                                                                     Diwali spending set to boom in the US       "&amp;"                                                                                                                 Amid rising recognition of Diwali US companies are hoping to capture consumers                                                    Worklife    "&amp;"                Diwali spending set to boom in the US                                                                                     South America's 'beverage of champions'                                                                              "&amp;"                                          This bitter tea is growing in popularity as people aim for a healthier lifestyle                                                    World's Table                    South America's 'beverage of champions'         "&amp;"                     Earth                Solutions for a sustainable world             The mirrors cooling Sierra Leone                How bubble veils muffle wind farm noise                Tuning into indigenous climate science             Editor’s Pick"&amp;"s                                                                        The people living low-waste lives                                                                                                                        A sustainable lifestyle is po"&amp;"ssible – but it's a ""trial and error"" process                                                    Culture                    The people living low-waste lives                                                                                     Three reaso"&amp;"ns Americans won't buy EVs                                                                                                                        US consumers aren't driving electric vehicles off the lots in droves. Why?                                   "&amp;"                 Worklife                    Three reasons Americans won't buy EVs                                                                                     The fattiest pastry in Europe                                                           "&amp;"                                                             Eaten warm these butter cakes are an exercise in indulgence                                                    Travel                    The fattiest pastry in Europe                            "&amp;"                                                         The benefits of walking backwards                                                                                                                        The activity of 'retro-walking' was little mo"&amp;"re than an eccentric hobby                                                    Future                    The benefits of walking backwards                                                                                     How Bumble's Whitney Wolfe Herd c"&amp;"hanged the dating scene                                                                                                                        Whitney Wolfe Herd is stepping down as Bumble's boss after nearly a decade                                      "&amp;"              Technology                    How Bumble's Whitney Wolfe Herd changed the dating scene                                                                                     The Ghanaian artist who has exhibited in space                        "&amp;"                                                                                                The rags to riches story of Amoako Boafo whose portraits of black subjects now command mega prices                                                    Africa   "&amp;"                 The Ghanaian artist who has exhibited in space                                                                                     Michael Jackson jacket sells for £250000 at auction                                                        "&amp;"                                                                The leather jacket was worn by the late singer in a Pepsi advert                                                    UK                    Michael Jackson jacket sells for £250000 at auction  "&amp;"                  Latest Business News    1 UK economy flatlines as higher interest rates bite     2 Microsoft says Teams and Xbox outage fixed     3 Ratcliffe close to Man Utd minority stake agreement     4 Thai owner of Miss Universe goes bankrupt     5"&amp;" Actors celebrate deal to end long Hollywood strike                           Visit Reel            The most amazing videos from the BBC             This famous carrot myth is actually WW2 propaganda                How exercise helps sculpt the brain     "&amp;"           The smartphone you can take apart and fix yourself                  Technology of Business    Business                                                                    Whatever happened to NFTs?                                                "&amp;"                                Whatever happened to NFTs?                          ADVERTISEMENT          BBC Select    Now Streaming                                                                    The 60th Anniversary of Doctor Who                   "&amp;"                                                             The 60th Anniversary of Doctor Who                          Featured video                                                                        Watch: Massive crowds in London demand ceasefire"&amp;"                                                                                                                        Video shows the scale of the biggest UK pro-Palestinian rally since the start of the war.                                              "&amp;"      UK                    Watch: Massive crowds in London demand ceasefire                     Recommended     Latest                                                                           Watch: Massive crowds in London demand...                    "&amp;"                                        UK                    Watch: Massive crowds in London demand ceasefire                                                                                      Missiles thrown and 'send them home' chants...             "&amp;"                                               UK                    Missiles thrown and 'send them home' chants by counter-protesters                                                                                      Gove surrounded by protesters shout"&amp;"ing 'shame...                                                            UK                    Gove surrounded by protesters shouting 'shame on you'                                                                                      Watch: Giant blaze at"&amp;" Nottinghamshire waste...                                                            UK                    Watch: Giant blaze at Nottinghamshire waste site                                                                                      Macron urges I"&amp;"srael to stop killing Gaza's...                                                            World                    Macron urges Israel to stop killing Gaza's women and children                                                                              "&amp;"        One fled Gaza City one stayed - what became...                                                            Middle East                    One fled Gaza City one stayed - what became of Farida and Khalid?                                             "&amp;"                                         Armistice Day silence marked around the UK                                                            UK                    Armistice Day silence marked around the UK                                                "&amp;"                                      Firefighters tackle raging Texas Tesla fire                                                            US &amp; Canada                    Firefighters tackle raging Texas Tesla fire                                        "&amp;"                                              Watch: Hawaii's mysterious 'Barbie' pink pond                                                            US &amp; Canada                    Watch: Hawaii's mysterious 'Barbie' pink pond                            "&amp;"                                                          Anger as diner 'puts own hair on plate to get...                                                            UK                    Anger as diner 'puts own hair on plate to get free meal'           "&amp;"                BBC World Service      On Air: World Questions        More around the BBC                                                                        Royals rallies and regattas: Africa's top shots                                               "&amp;"                                                                         A selection of the best photos from the African continent and beyond.                                                    Africa                    Royals rallies and regattas: Africa"&amp;"'s top shots                                                                                     Ex-NatWest boss loses £7.6m after Farage row                                                            Business                    Ex-NatWest boss loses £7.6"&amp;"m after Farage row                                                                                     First-ever images prove 'lost echidna' not extinct                                                            Science &amp; Environment                    F"&amp;"irst-ever images prove 'lost echidna' not extinct                                                                                     Baby Queen: From Heartstopper to chart topper                                                            Entertainment   "&amp;"                 Baby Queen: From Heartstopper to chart topper                                                                                     Making video game Just Dance accessible for all                                                            W"&amp;"ales                    Making video game Just Dance accessible for all                                                                                     Mounjaro weight loss jab authorised in UK                                                          "&amp;"  Health                    Mounjaro weight loss jab authorised in UK                                                                                     Asia leads way in Earthshot quest to repair planet                                                   "&amp;"         Asia                    Asia leads way in Earthshot quest to repair planet                    From Our Correspondents        What to expect when Biden and Xi Jinping meet  By Barbara Plett Usher          Actors' deal includes pay rises and intima"&amp;"cy co-ordinators  By Sam Cabral          FBI seize NYC mayor's phones in financing probe  By Sam Cabral          Why 'I don't recall' is a common strategy on the stand  By Holly Honderich          China's 'communist spies' in the dock in Taiwan  By Kelly "&amp;"Ng          How WeWork’s founder flew too close to the Sun  By Simon Jack          Star of David graffiti - the Russian connection  By Hugh Schofield          Wanted: Driver for 800mph car  By Jonathan Amos                 Technology of Business          "&amp;"                                                              Can AI cut humans out of contract negotiations?                                                            Business                    Can AI cut humans out of contract negotiations?           "&amp;"               New Tech Economy                                                                        The floating desalination machines powered by the waves                                                            Business                    The float"&amp;"ing desalination machines powered by the waves                          World in pictures                                                                       King Charles III delivers speech at State Opening of Parliament                                "&amp;"                            UK Politics                    King Charles III delivers speech at State Opening of Parliament                                                                                     Damage and disruption: Storm Ciarán in pictures "&amp;"                                                           In Pictures                    Damage and disruption: Storm Ciarán in pictures                                                                                     Clouds crowns and crews: Africa's"&amp;" top shots                                                            Africa                    Clouds crowns and crews: Africa's top shots                                                                                     Elton John photography collecti"&amp;"on to go on display                                                            London                    Elton John photography collection to go on display                                                                                     Skulls and flow"&amp;"ers: Mexico's 'skeleton' parade                                                            In Pictures                    Skulls and flowers: Mexico's 'skeleton' parade                    BBC in other languages       Persian     اسرائیل حمله به بیمارستان "&amp;"غزه را تکذیب کرده، اما می‌گوید درگیری در اطراف آن در جریان است       Urdu     ’جنوری میں عام انتخابات 90 روزہ دستوری مدت سے باہر‘ الیکشن کمیشن کے اعلان پر پی ٹی آئی کا ردعمل         More Languages      Arabic  عربي      Azeri  AZƏRBAYCAN      Bangla  বাংল"&amp;"া      Burmese  မြန်မာ      Chinese  中文网      French  AFRIQUE      Hausa  HAUSA      Hindi  हिन्दी      Indonesian  INDONESIA      Japanese  日本語      Kinyarwanda  GAHUZA      Kirundi  KIRUNDI      Kyrgyz  Кыргыз      Marathi  मराठी      Nepali  नेपाली    "&amp;"  Pashto  پښتو      Persian  فارسی      Portuguese  BRASIL      Russian  НА РУССКОМ      Sinhala  සිංහල      Somali  SOMALI      Spanish  MUNDO      Swahili  SWAHILI      Tamil  தமிழ்      Turkish  TÜRKÇE      Ukrainian  УКРАЇНСЬКA      Urdu  اردو      Uz"&amp;"bek  O'ZBEK      Vietnamese  TIẾNG VIỆT          Explore the BBCHomeNewsSportWeatheriPlayerSoundsBitesizeCBeebiesCBBCFoodHomeNewsSportEarthReelWorklifeTravelCultureFutureTVWeatherSoundsTerms of UseAbout the BBCPrivacy PolicyPrivacy PolicyCookiesCookiesAcc"&amp;"essibility HelpParental GuidanceContact the BBCMake an editorial complaintBBC emails for youAdvertise with usCopyright © 2023 BBC. The BBC is not responsible for the content of external sites. Read about our approach to external linking.         ")</f>
        <v> BBC - Homepage  HomepageAccessibility linksSkip to contentAccessibility HelpBBC AccountNotificationsHomeNewsSportWeatheriPlayerSoundsBitesizeCBeebiesCBBCFoodHomeNewsSportEarthReelWorklifeTravelCultureFutureTVWeatherSoundsMore menu Search BBC Search BBC HomeNewsSportWeatheriPlayerSoundsBitesizeCBeebiesCBBCFoodHomeNewsSportEarthReelWorklifeTravelCultureFutureTVWeatherSoundsClose menu BBC Homepage                                                                          Gaza hospital crippled as fighting rages nearby                                                                                                                        Israel agrees to help evacuate babies from Al-Shifa hospital after two die due to a lack of electricity.                                                    Middle East                    Gaza hospital crippled as fighting rages nearby                                                                                     Legal experts see uphill battle for Trump in fraud case                                                            US                    Legal experts see uphill battle for Trump in fraud case                                                                                     Iceland declares emergency over volcano threat                                                            Europe                    Iceland declares emergency over volcano threat                                                                                     'Ten Hag has space to breathe after win over Luton'                                                            Football                    'Ten Hag has space to breathe after win over Luton'                                                                                     China's matchmaking mums have a powerful ally: The Party                                                            China                    China's matchmaking mums have a powerful ally: The Party                                News                                                                      Israel denies striking Gaza hospital – but says fighting happening around it                                                                                                                        The Israeli military acknowledges clashes "around" Al-Shifa where doctors say they have lost power and run out of food and water.                                                    Middle East                    Israel denies striking Gaza hospital – but says fighting happening around it                                                                                     Pope fires Texan bishop after criticism of reforms                                                                                                                        Joseph Strickland is "relieved" from governance following a Vatican investigation.                                                    US &amp; Canada                    Pope fires Texan bishop after criticism of reforms                                                                                     Mafia bust shows US-Italy crime links still strong                                                                                                                        While decades of prosecutions weakened the US and Italian mafia transatlantic relations remain strong.                                                    US &amp; Canada                    Mafia bust shows US-Italy crime links still strong                    Sport                                                                      Arsenal go second with victory over Burnley                                                                                                                        Arsenal move level on points with Premier League leaders Manchester City courtesy of a hard-fought victory over struggling Burnley.                                                    Football                    Arsenal go second with victory over Burnley                                                                                     'England find the blueprint at the bitter end'                                                                                                                        England's World Cup campaign was shrouded with confusion but they found a blueprint that helped them avoid falling apart like previous sides.                                                    Cricket                    'England find the blueprint at the bitter end'                                                                                     Vinicius and Rodrygo score twice as Real thrash Valencia                                                                                                                        Real Madrid thrash Valencia as Carlo Ancelotti's side move two points behind La Liga leaders Girona.                                                    European Football                    Vinicius and Rodrygo score twice as Real thrash Valencia                    Weekend Reads                                                                      The raunchy books Britain loves                                                                                                                        Jilly Cooper's raunchy novels include Rishi Sunak as a fan                                                    Culture                    The raunchy books Britain loves                                                                                     Diwali spending set to boom in the US                                                                                                                        Amid rising recognition of Diwali US companies are hoping to capture consumers                                                    Worklife                    Diwali spending set to boom in the US                                                                                     South America's 'beverage of champions'                                                                                                                        This bitter tea is growing in popularity as people aim for a healthier lifestyle                                                    World's Table                    South America's 'beverage of champions'                              Earth                Solutions for a sustainable world             The mirrors cooling Sierra Leone                How bubble veils muffle wind farm noise                Tuning into indigenous climate science             Editor’s Picks                                                                        The people living low-waste lives                                                                                                                        A sustainable lifestyle is possible – but it's a "trial and error" process                                                    Culture                    The people living low-waste lives                                                                                     Three reasons Americans won't buy EVs                                                                                                                        US consumers aren't driving electric vehicles off the lots in droves. Why?                                                    Worklife                    Three reasons Americans won't buy EVs                                                                                     The fattiest pastry in Europe                                                                                                                        Eaten warm these butter cakes are an exercise in indulgence                                                    Travel                    The fattiest pastry in Europe                                                                                     The benefits of walking backwards                                                                                                                        The activity of 'retro-walking' was little more than an eccentric hobby                                                    Future                    The benefits of walking backwards                                                                                     How Bumble's Whitney Wolfe Herd changed the dating scene                                                                                                                        Whitney Wolfe Herd is stepping down as Bumble's boss after nearly a decade                                                    Technology                    How Bumble's Whitney Wolfe Herd changed the dating scene                                                                                     The Ghanaian artist who has exhibited in space                                                                                                                        The rags to riches story of Amoako Boafo whose portraits of black subjects now command mega prices                                                    Africa                    The Ghanaian artist who has exhibited in space                                                                                     Michael Jackson jacket sells for £250000 at auction                                                                                                                        The leather jacket was worn by the late singer in a Pepsi advert                                                    UK                    Michael Jackson jacket sells for £250000 at auction                    Latest Business News    1 UK economy flatlines as higher interest rates bite     2 Microsoft says Teams and Xbox outage fixed     3 Ratcliffe close to Man Utd minority stake agreement     4 Thai owner of Miss Universe goes bankrupt     5 Actors celebrate deal to end long Hollywood strike                           Visit Reel            The most amazing videos from the BBC             This famous carrot myth is actually WW2 propaganda                How exercise helps sculpt the brain                The smartphone you can take apart and fix yourself                  Technology of Business    Business                                                                    Whatever happened to NFTs?                                                                                Whatever happened to NFTs?                          ADVERTISEMENT          BBC Select    Now Streaming                                                                    The 60th Anniversary of Doctor Who                                                                                The 60th Anniversary of Doctor Who                          Featured video                                                                        Watch: Massive crowds in London demand ceasefire                                                                                                                        Video shows the scale of the biggest UK pro-Palestinian rally since the start of the war.                                                    UK                    Watch: Massive crowds in London demand ceasefire                     Recommended     Latest                                                                           Watch: Massive crowds in London demand...                                                            UK                    Watch: Massive crowds in London demand ceasefire                                                                                      Missiles thrown and 'send them home' chants...                                                            UK                    Missiles thrown and 'send them home' chants by counter-protesters                                                                                      Gove surrounded by protesters shouting 'shame...                                                            UK                    Gove surrounded by protesters shouting 'shame on you'                                                                                      Watch: Giant blaze at Nottinghamshire waste...                                                            UK                    Watch: Giant blaze at Nottinghamshire waste site                                                                                      Macron urges Israel to stop killing Gaza's...                                                            World                    Macron urges Israel to stop killing Gaza's women and children                                                                                      One fled Gaza City one stayed - what became...                                                            Middle East                    One fled Gaza City one stayed - what became of Farida and Khalid?                                                                                      Armistice Day silence marked around the UK                                                            UK                    Armistice Day silence marked around the UK                                                                                      Firefighters tackle raging Texas Tesla fire                                                            US &amp; Canada                    Firefighters tackle raging Texas Tesla fire                                                                                      Watch: Hawaii's mysterious 'Barbie' pink pond                                                            US &amp; Canada                    Watch: Hawaii's mysterious 'Barbie' pink pond                                                                                      Anger as diner 'puts own hair on plate to get...                                                            UK                    Anger as diner 'puts own hair on plate to get free meal'                           BBC World Service      On Air: World Questions        More around the BBC                                                                        Royals rallies and regattas: Africa's top shots                                                                                                                        A selection of the best photos from the African continent and beyond.                                                    Africa                    Royals rallies and regattas: Africa's top shots                                                                                     Ex-NatWest boss loses £7.6m after Farage row                                                            Business                    Ex-NatWest boss loses £7.6m after Farage row                                                                                     First-ever images prove 'lost echidna' not extinct                                                            Science &amp; Environment                    First-ever images prove 'lost echidna' not extinct                                                                                     Baby Queen: From Heartstopper to chart topper                                                            Entertainment                    Baby Queen: From Heartstopper to chart topper                                                                                     Making video game Just Dance accessible for all                                                            Wales                    Making video game Just Dance accessible for all                                                                                     Mounjaro weight loss jab authorised in UK                                                            Health                    Mounjaro weight loss jab authorised in UK                                                                                     Asia leads way in Earthshot quest to repair planet                                                            Asia                    Asia leads way in Earthshot quest to repair planet                    From Our Correspondents        What to expect when Biden and Xi Jinping meet  By Barbara Plett Usher          Actors' deal includes pay rises and intimacy co-ordinators  By Sam Cabral          FBI seize NYC mayor's phones in financing probe  By Sam Cabral          Why 'I don't recall' is a common strategy on the stand  By Holly Honderich          China's 'communist spies' in the dock in Taiwan  By Kelly Ng          How WeWork’s founder flew too close to the Sun  By Simon Jack          Star of David graffiti - the Russian connection  By Hugh Schofield          Wanted: Driver for 800mph car  By Jonathan Amos                 Technology of Business                                                                        Can AI cut humans out of contract negotiations?                                                            Business                    Can AI cut humans out of contract negotiations?                          New Tech Economy                                                                        The floating desalination machines powered by the waves                                                            Business                    The floating desalination machines powered by the waves                          World in pictures                                                                       King Charles III delivers speech at State Opening of Parliament                                                            UK Politics                    King Charles III delivers speech at State Opening of Parliament                                                                                     Damage and disruption: Storm Ciarán in pictures                                                            In Pictures                    Damage and disruption: Storm Ciarán in pictures                                                                                     Clouds crowns and crews: Africa's top shots                                                            Africa                    Clouds crowns and crews: Africa's top shots                                                                                     Elton John photography collection to go on display                                                            London                    Elton John photography collection to go on display                                                                                     Skulls and flowers: Mexico's 'skeleton' parade                                                            In Pictures                    Skulls and flowers: Mexico's 'skeleton' parade                    BBC in other languages       Persian     اسرائیل حمله به بیمارستان غزه را تکذیب کرده، اما می‌گوید درگیری در اطراف آن در جریان است       Urdu     ’جنوری میں عام انتخابات 90 روزہ دستوری مدت سے باہر‘ الیکشن کمیشن کے اعلان پر پی ٹی آئی کا ردعمل         More Languages      Arabic  عربي      Azeri  AZƏRBAYCAN      Bangla  বাংলা      Burmese  မြန်မာ      Chinese  中文网      French  AFRIQUE      Hausa  HAUSA      Hindi  हिन्दी      Indonesian  INDONESIA      Japanese  日本語      Kinyarwanda  GAHUZA      Kirundi  KIRUNDI      Kyrgyz  Кыргыз      Marathi  मराठी      Nepali  नेपाली      Pashto  پښتو      Persian  فارسی      Portuguese  BRASIL      Russian  НА РУССКОМ      Sinhala  සිංහල      Somali  SOMALI      Spanish  MUNDO      Swahili  SWAHILI      Tamil  தமிழ்      Turkish  TÜRKÇE      Ukrainian  УКРАЇНСЬКA      Urdu  اردو      Uzbek  O'ZBEK      Vietnamese  TIẾNG VIỆT          Explore the BBCHomeNewsSportWeatheriPlayerSoundsBitesizeCBeebiesCBBCFoodHomeNewsSportEarthReelWorklifeTravelCultureFutureTVWeatherSoundsTerms of UseAbout the BBCPrivacy PolicyPrivacy PolicyCookiesCookiesAccessibility HelpParental GuidanceContact the BBCMake an editorial complaintBBC emails for youAdvertise with usCopyright © 2023 BBC. The BBC is not responsible for the content of external sites. Read about our approach to external linking.         </v>
      </c>
    </row>
    <row r="541">
      <c r="A541" s="1" t="s">
        <v>1748</v>
      </c>
      <c r="B541" s="1" t="s">
        <v>1797</v>
      </c>
      <c r="D541" s="1">
        <v>12.0</v>
      </c>
      <c r="E541" s="4" t="s">
        <v>1819</v>
      </c>
      <c r="F541" s="1" t="s">
        <v>43</v>
      </c>
      <c r="G541" s="1" t="s">
        <v>1820</v>
      </c>
      <c r="H541" s="4" t="s">
        <v>1821</v>
      </c>
      <c r="I541" s="2">
        <v>2.0</v>
      </c>
      <c r="J541" s="5" t="str">
        <f>IFERROR(__xludf.DUMMYFUNCTION("GOOGLETRANSLATE(A541)"),"news")</f>
        <v>news</v>
      </c>
      <c r="K541" s="6" t="str">
        <f>IFERROR(__xludf.DUMMYFUNCTION("GOOGLETRANSLATE(B541)"),"news")</f>
        <v>news</v>
      </c>
      <c r="L541" s="5" t="str">
        <f>IFERROR(__xludf.DUMMYFUNCTION("GOOGLETRANSLATE(C541)"),"#VALUE!")</f>
        <v>#VALUE!</v>
      </c>
      <c r="M541" s="5" t="str">
        <f>IFERROR(__xludf.DUMMYFUNCTION("GOOGLETRANSLATE(G541)"),"The voice of America Linka accessibility to the main contrast to the main navigation to the search for on has been Copied to Clipboard vote by the American-mainly programmication in a minute-derivative is this important? Discussion of the New York America"&amp;"n VOAADALINGINE. A big journey of the project of English nurse American stories as in America? Artifact -American Goroditexespectizations of interviews against fakes Freedom Freedom of the Pressyuding English Video Subscription for News Anglish -Social Sh"&amp;"ypisi -Efirphirafirporposykiye Page Page Jden congratulated the Americans on the day of the U.S. veteran -willed plane crashed during a training sorting in the East of the Mediterranean SeaWP and Spiegel reported that a key The role in the “northern strea"&amp;"ms” could be played by the Ukrainian officerpap Roman resigned the conservative American bishop Pass and Ukraine entered the five leading countries of the World Charity Index of Russia's charity in Ukraine as a chessboard block of brands of the combat kni"&amp;"fe and a bottle of champagne will help the fighters of the dry east Blinka: As a result of Israeli’s actions, “too many Palestinians” were killed by interviews with Tata Kepler-about the war of volunteering and Ukrainian, the new US Air Force bomber B-21 "&amp;"Raider committed the first Polerossia Russian wives demand the return of their husbands from the War of Lukashenko continues to repress the expert’s culture and cultural figures She spoke about Putin's authoritarian federalism during the war in the Ukrain"&amp;"e Voice programs of the Embedshare war of the war. “Results” with Raphael Saakovombedsharethe Code Has Been Copied to your clipboard.widthpxheights are divided into Twitter The Url Has Been Copied Media Source Currently Available0: 000: 24: 180: 00dwa of "&amp;"war. “Results” with Rafael Saakov two wars. How does the West intend to help Ukraine and Israel at the same time? // bypassing sanctions. Will Kazakhstan be under secondary sanctions for export of prohibited goods to Russia? // Five in Miami, not counting"&amp;" Trump: the third presidential debate of the Republican Party video of the United States for a minute: Veterans in the USA Interview with Tata Kepler - about the war of volunteering and Ukraine a new release. The most important. Is the path to the EU open"&amp;"? Ukraine. The most important subscription to signitunesGoogle podcastyoutube subscription to investment in Immigrantovically Russia in the UN accused Ukraine of shelling of residential buildings and civilian economics Agency Moody's Forecast has replaced"&amp;" the US credit rating to Virgin Atlatic’s credit and technology. permission to transatlantic flights to environmentally friendly fuel -free speech Previous Slide ""Discussion can Blood spilled until blood was spilled ” - Svetlana Komissrukhehud Olmert: Is"&amp;"rael was too confident in his strengths,“ every 10 minutes in gas, experts die in gas: Republican debates without Trump - the game in expectation “These small initiatives can become foci New Civil Society ”Cubilyus:“ The regime in the Kremlin becomes dang"&amp;"erous not only in Ukraine ”Jack Rakov:“ Trump has every chance to face real problems ”“ Of course I will return. The question is whether I am fiercely disappointed ""Masha Alekhina: the meaning of Russian propaganda is to grow real fascist Israel with Ham"&amp;"as: a knot pulled by decades of the confrontation of Ordzhonikidze: Russian journalists need support for the Endemitism in Russia in the USA in the OSCE: accusations of the Kremlin against the Western for events about events In Makhachkala, there are absu"&amp;"rdity unrest in Dagestan: commentary experts: in Makhachkala, the authorities allowed the “controlled xenophobia” the rules of the game of the United States and Israel: the Kremlin’s contradictions against fakes denies the right of Israel to self -defense"&amp;", manipulating the Palistians who accused Israel of prison. Mkonttekt ""Question is worth Extremely acute ”: the American press for helping Ukraine two wars. “Results” with Rafael Saakov departments of artificial intelligence designs robots; Plastic bottl"&amp;"es of plastic bottles | “Details” sanctions of US sanctions against Russia since February 2022: New York “New York” list of New York. Ordinary anti -Semitism. November 5, 2023 Culture The film “Dmitrieva Case” about the Russian human rights activist will "&amp;"be shown in New Yortesta American veteranBack to-social vote of America. Publishing a mundane information to get around the site blocking? VOA+iOSANDRODRISSSS Sign for the safe use of the InterTAMI SIIPIVAL PROPRETIC-American-American USI for the minute-Y"&amp;"ork of the New Yororth VOAISTORIA “Voices of America” Learning the English position of the US government XSSMMMDLG")</f>
        <v>The voice of America Linka accessibility to the main contrast to the main navigation to the search for on has been Copied to Clipboard vote by the American-mainly programmication in a minute-derivative is this important? Discussion of the New York American VOAADALINGINE. A big journey of the project of English nurse American stories as in America? Artifact -American Goroditexespectizations of interviews against fakes Freedom Freedom of the Pressyuding English Video Subscription for News Anglish -Social Shypisi -Efirphirafirporposykiye Page Page Jden congratulated the Americans on the day of the U.S. veteran -willed plane crashed during a training sorting in the East of the Mediterranean SeaWP and Spiegel reported that a key The role in the “northern streams” could be played by the Ukrainian officerpap Roman resigned the conservative American bishop Pass and Ukraine entered the five leading countries of the World Charity Index of Russia's charity in Ukraine as a chessboard block of brands of the combat knife and a bottle of champagne will help the fighters of the dry east Blinka: As a result of Israeli’s actions, “too many Palestinians” were killed by interviews with Tata Kepler-about the war of volunteering and Ukrainian, the new US Air Force bomber B-21 Raider committed the first Polerossia Russian wives demand the return of their husbands from the War of Lukashenko continues to repress the expert’s culture and cultural figures She spoke about Putin's authoritarian federalism during the war in the Ukraine Voice programs of the Embedshare war of the war. “Results” with Raphael Saakovombedsharethe Code Has Been Copied to your clipboard.widthpxheights are divided into Twitter The Url Has Been Copied Media Source Currently Available0: 000: 24: 180: 00dwa of war. “Results” with Rafael Saakov two wars. How does the West intend to help Ukraine and Israel at the same time? // bypassing sanctions. Will Kazakhstan be under secondary sanctions for export of prohibited goods to Russia? // Five in Miami, not counting Trump: the third presidential debate of the Republican Party video of the United States for a minute: Veterans in the USA Interview with Tata Kepler - about the war of volunteering and Ukraine a new release. The most important. Is the path to the EU open? Ukraine. The most important subscription to signitunesGoogle podcastyoutube subscription to investment in Immigrantovically Russia in the UN accused Ukraine of shelling of residential buildings and civilian economics Agency Moody's Forecast has replaced the US credit rating to Virgin Atlatic’s credit and technology. permission to transatlantic flights to environmentally friendly fuel -free speech Previous Slide "Discussion can Blood spilled until blood was spilled ” - Svetlana Komissrukhehud Olmert: Israel was too confident in his strengths,“ every 10 minutes in gas, experts die in gas: Republican debates without Trump - the game in expectation “These small initiatives can become foci New Civil Society ”Cubilyus:“ The regime in the Kremlin becomes dangerous not only in Ukraine ”Jack Rakov:“ Trump has every chance to face real problems ”“ Of course I will return. The question is whether I am fiercely disappointed "Masha Alekhina: the meaning of Russian propaganda is to grow real fascist Israel with Hamas: a knot pulled by decades of the confrontation of Ordzhonikidze: Russian journalists need support for the Endemitism in Russia in the USA in the OSCE: accusations of the Kremlin against the Western for events about events In Makhachkala, there are absurdity unrest in Dagestan: commentary experts: in Makhachkala, the authorities allowed the “controlled xenophobia” the rules of the game of the United States and Israel: the Kremlin’s contradictions against fakes denies the right of Israel to self -defense, manipulating the Palistians who accused Israel of prison. Mkonttekt "Question is worth Extremely acute ”: the American press for helping Ukraine two wars. “Results” with Rafael Saakov departments of artificial intelligence designs robots; Plastic bottles of plastic bottles | “Details” sanctions of US sanctions against Russia since February 2022: New York “New York” list of New York. Ordinary anti -Semitism. November 5, 2023 Culture The film “Dmitrieva Case” about the Russian human rights activist will be shown in New Yortesta American veteranBack to-social vote of America. Publishing a mundane information to get around the site blocking? VOA+iOSANDRODRISSSS Sign for the safe use of the InterTAMI SIIPIVAL PROPRETIC-American-American USI for the minute-York of the New Yororth VOAISTORIA “Voices of America” Learning the English position of the US government XSSMMMDLG</v>
      </c>
    </row>
    <row r="542">
      <c r="A542" s="1" t="s">
        <v>1748</v>
      </c>
      <c r="B542" s="1" t="s">
        <v>1822</v>
      </c>
      <c r="C542" s="1" t="s">
        <v>1823</v>
      </c>
      <c r="D542" s="1">
        <v>16.0</v>
      </c>
      <c r="E542" s="4" t="s">
        <v>1824</v>
      </c>
      <c r="F542" s="1" t="s">
        <v>43</v>
      </c>
      <c r="G542" s="1" t="s">
        <v>1776</v>
      </c>
      <c r="H542" s="4" t="s">
        <v>1825</v>
      </c>
      <c r="I542" s="2">
        <v>1.0</v>
      </c>
      <c r="J542" s="5" t="str">
        <f>IFERROR(__xludf.DUMMYFUNCTION("GOOGLETRANSLATE(A542)"),"news")</f>
        <v>news</v>
      </c>
      <c r="K542" s="6" t="str">
        <f>IFERROR(__xludf.DUMMYFUNCTION("GOOGLETRANSLATE(B542)"),"Russian newspaper: News today in Russia and the world")</f>
        <v>Russian newspaper: News today in Russia and the world</v>
      </c>
      <c r="L542" s="5" t="str">
        <f>IFERROR(__xludf.DUMMYFUNCTION("GOOGLETRANSLATE(C542)"),"News today in Russia and the world. The Russian newspaper is the publication of the Government of the Russian Federation, the official publisher of documents.")</f>
        <v>News today in Russia and the world. The Russian newspaper is the publication of the Government of the Russian Federation, the official publisher of documents.</v>
      </c>
      <c r="M542" s="5" t="str">
        <f>IFERROR(__xludf.DUMMYFUNCTION("GOOGLETRANSLATE(G542)"),"News today in Russia and the world - Russian newspaper -KnotanovoStorski -Torgovyzhniye Numberdomatic appendix, a subscription number for publishing aircraft -storage economies of the world of industrial and sparegraduates -spectacularly designed, special"&amp;" -designed news today: the US Air Force Air Force fell into the Mediterranean Sea during the Mediterranean Russia's emergency flight of Russia was struck by a ware of the Armed Forces of the Armed Forces in the area of ​​the village of Devichki near Kievo"&amp;"mmo of the Russian Federation: in the Kupyansky direction 50 fighters of the BRABLYA Bradley BMP and SAU fights were destroyed by the Krabspker of the US Congress Krabspker proposed financing the government without the help of Kievumminencifre: the VPNPAL"&amp;"EST-Israeli conflict services are blocked in Russia: the Military RF Military Combat Chronicles of the October War told about 11 marines of the Dnieper, which was captured by 11 marines. : The US Air Force plane fell into the Mediterranean Sea during the "&amp;"Russian training flightarrix of the Russian Assembly in the area of ​​the village of Devichi near the Kiev Russian Federation: 50 fighters of the BMP Bradley BMP and the Krabspker of the US Congress BMP without the help of Kievummincyfires were destroyed "&amp;"in the Kupyansky direction: the supporters will block the supporters in Russia The threat of the VPNPALATION-Israeli conflict services: the Chronicles of the October War, Marina Akifyeva, is grateful to the RG for the opportunity to educate the grandson-o"&amp;"rgarin Knaisl-about who defeated her garden in Austria and why she chooses Russia and not the European Square: Air! Aleksey Herman their country with all its difficulties and merits - this is the content of Russian art -Ecquivkaks gained a miraculous imag"&amp;"e - the Kazan icon of the Mother of God of the Palestinian -Israeli conflict: the day of the 36th End of the Rodina editorial office as the gift of Krasheninnikov made a gift ""Rossiy newspaper"" on its birthday: thirty -three of her birth: thirty -three "&amp;"Schools in the Sverdlovsk region are signed by our magazine ""Homeland"" of an orphan from Omsk, thanks to the intervention ""RG"" received an apartment became a student and believed that we can change the fate of our bang! Winner of music contests in Par"&amp;"is and Prague Marianna Vasilieva abandoned the European career for concerts in the sake of concerts in The Donbass trenches are chosen for reliability. Rostec - about the novelties on Dubai Airshow and the export of domestic weapons, the Ruble and the Exc"&amp;"hange Ruble from 13 to 19 November VDNH will be opened: what to see the companies of the companies of the Mamediaws Photo © 1998-2023FGBU ""Rossiy Gazeta"" Power Economics Authority Cultural projects: Russian weapons of the Austrian Consultation of Techno"&amp;"logy of the Life Life Provider Meterdubblet DV@joint projects: Pushkin’s competitive journalist! Mission, having completed MGIMO-with RG Victory Literature-China: Events and Commentary Partnerism Subscription Contact Kontaksi and the application “Fresh is"&amp;"sue” Each morning newsletter includes the main materials of the fresh number ” Russian newspapers? Subscribing to the use of materials ""RG"" Mandatory information on the RG.ru website use letters of recommendation (information technologies for providing "&amp;"information based on the collection of systematization and analysis of information related to the preferences of users of the Internet in the Russian Federation). Detailed information of the Russian Newspaper (16+) was registered in Roskomnadzor on 06/21/"&amp;"2012. The number of the certificate of EL No. FS 77-50379. The founder of the Federal State Budgetary Institution “editorial office of Rossiy Gazeta” editor-in-chief V.A. Frononrss+7 (495) 775-31-18+7 (499) 257-56-50mail@rg.ru reaction is not responsible "&amp;"for the opinions of readers expressed in the comments. © 1998-2023 FSBU “Rossiy Gazeta” +16")</f>
        <v>News today in Russia and the world - Russian newspaper -KnotanovoStorski -Torgovyzhniye Numberdomatic appendix, a subscription number for publishing aircraft -storage economies of the world of industrial and sparegraduates -spectacularly designed, special -designed news today: the US Air Force Air Force fell into the Mediterranean Sea during the Mediterranean Russia's emergency flight of Russia was struck by a ware of the Armed Forces of the Armed Forces in the area of ​​the village of Devichki near Kievommo of the Russian Federation: in the Kupyansky direction 50 fighters of the BRABLYA Bradley BMP and SAU fights were destroyed by the Krabspker of the US Congress Krabspker proposed financing the government without the help of Kievumminencifre: the VPNPALEST-Israeli conflict services are blocked in Russia: the Military RF Military Combat Chronicles of the October War told about 11 marines of the Dnieper, which was captured by 11 marines. : The US Air Force plane fell into the Mediterranean Sea during the Russian training flightarrix of the Russian Assembly in the area of ​​the village of Devichi near the Kiev Russian Federation: 50 fighters of the BMP Bradley BMP and the Krabspker of the US Congress BMP without the help of Kievummincyfires were destroyed in the Kupyansky direction: the supporters will block the supporters in Russia The threat of the VPNPALATION-Israeli conflict services: the Chronicles of the October War, Marina Akifyeva, is grateful to the RG for the opportunity to educate the grandson-orgarin Knaisl-about who defeated her garden in Austria and why she chooses Russia and not the European Square: Air! Aleksey Herman their country with all its difficulties and merits - this is the content of Russian art -Ecquivkaks gained a miraculous image - the Kazan icon of the Mother of God of the Palestinian -Israeli conflict: the day of the 36th End of the Rodina editorial office as the gift of Krasheninnikov made a gift "Rossiy newspaper" on its birthday: thirty -three of her birth: thirty -three Schools in the Sverdlovsk region are signed by our magazine "Homeland" of an orphan from Omsk, thanks to the intervention "RG" received an apartment became a student and believed that we can change the fate of our bang! Winner of music contests in Paris and Prague Marianna Vasilieva abandoned the European career for concerts in the sake of concerts in The Donbass trenches are chosen for reliability. Rostec - about the novelties on Dubai Airshow and the export of domestic weapons, the Ruble and the Exchange Ruble from 13 to 19 November VDNH will be opened: what to see the companies of the companies of the Mamediaws Photo © 1998-2023FGBU "Rossiy Gazeta" Power Economics Authority Cultural projects: Russian weapons of the Austrian Consultation of Technology of the Life Life Provider Meterdubblet DV@joint projects: Pushkin’s competitive journalist! Mission, having completed MGIMO-with RG Victory Literature-China: Events and Commentary Partnerism Subscription Contact Kontaksi and the application “Fresh issue” Each morning newsletter includes the main materials of the fresh number ” Russian newspapers? Subscribing to the use of materials "RG" Mandatory information on the RG.ru website use letters of recommendation (information technologies for providing information based on the collection of systematization and analysis of information related to the preferences of users of the Internet in the Russian Federation). Detailed information of the Russian Newspaper (16+) was registered in Roskomnadzor on 06/21/2012. The number of the certificate of EL No. FS 77-50379. The founder of the Federal State Budgetary Institution “editorial office of Rossiy Gazeta” editor-in-chief V.A. Frononrss+7 (495) 775-31-18+7 (499) 257-56-50mail@rg.ru reaction is not responsible for the opinions of readers expressed in the comments. © 1998-2023 FSBU “Rossiy Gazeta” +16</v>
      </c>
    </row>
    <row r="543">
      <c r="A543" s="1" t="s">
        <v>1748</v>
      </c>
      <c r="B543" s="1" t="s">
        <v>1826</v>
      </c>
      <c r="C543" s="1" t="s">
        <v>1827</v>
      </c>
      <c r="D543" s="1">
        <v>18.0</v>
      </c>
      <c r="E543" s="4" t="s">
        <v>1828</v>
      </c>
      <c r="F543" s="1" t="s">
        <v>43</v>
      </c>
      <c r="I543" s="2">
        <v>0.0</v>
      </c>
      <c r="J543" s="5" t="str">
        <f>IFERROR(__xludf.DUMMYFUNCTION("GOOGLETRANSLATE(A543)"),"news")</f>
        <v>news</v>
      </c>
      <c r="K543" s="6" t="str">
        <f>IFERROR(__xludf.DUMMYFUNCTION("GOOGLETRANSLATE(B543)"),"NBC News - Breaking News &amp; Top Stories - Latest World, US ...")</f>
        <v>NBC News - Breaking News &amp; Top Stories - Latest World, US ...</v>
      </c>
      <c r="L543" s="5" t="str">
        <f>IFERROR(__xludf.DUMMYFUNCTION("GOOGLETRANSLATE(C543)"),"23 hours ago -")</f>
        <v>23 hours ago -</v>
      </c>
      <c r="M543" s="5" t="str">
        <f>IFERROR(__xludf.DUMMYFUNCTION("GOOGLETRANSLATE(G543)"),"#VALUE!")</f>
        <v>#VALUE!</v>
      </c>
    </row>
    <row r="544">
      <c r="A544" s="1" t="s">
        <v>1748</v>
      </c>
      <c r="B544" s="1" t="s">
        <v>1797</v>
      </c>
      <c r="D544" s="1">
        <v>31.0</v>
      </c>
      <c r="E544" s="4" t="s">
        <v>1829</v>
      </c>
      <c r="F544" s="1" t="s">
        <v>43</v>
      </c>
      <c r="I544" s="2">
        <v>4.0</v>
      </c>
      <c r="J544" s="5" t="str">
        <f>IFERROR(__xludf.DUMMYFUNCTION("GOOGLETRANSLATE(A544)"),"news")</f>
        <v>news</v>
      </c>
      <c r="K544" s="6" t="str">
        <f>IFERROR(__xludf.DUMMYFUNCTION("GOOGLETRANSLATE(B544)"),"news")</f>
        <v>news</v>
      </c>
      <c r="L544" s="5" t="str">
        <f>IFERROR(__xludf.DUMMYFUNCTION("GOOGLETRANSLATE(C544)"),"#VALUE!")</f>
        <v>#VALUE!</v>
      </c>
      <c r="M544" s="5" t="str">
        <f>IFERROR(__xludf.DUMMYFUNCTION("GOOGLETRANSLATE(G544)"),"#VALUE!")</f>
        <v>#VALUE!</v>
      </c>
    </row>
    <row r="545">
      <c r="A545" s="1" t="s">
        <v>1748</v>
      </c>
      <c r="B545" s="1" t="s">
        <v>1830</v>
      </c>
      <c r="C545" s="1" t="s">
        <v>1831</v>
      </c>
      <c r="D545" s="1">
        <v>32.0</v>
      </c>
      <c r="E545" s="4" t="s">
        <v>1832</v>
      </c>
      <c r="F545" s="1" t="s">
        <v>43</v>
      </c>
      <c r="G545" s="1" t="s">
        <v>38</v>
      </c>
      <c r="H545" s="4" t="s">
        <v>39</v>
      </c>
      <c r="I545" s="2">
        <v>2.0</v>
      </c>
      <c r="J545" s="5" t="str">
        <f>IFERROR(__xludf.DUMMYFUNCTION("GOOGLETRANSLATE(A545)"),"news")</f>
        <v>news</v>
      </c>
      <c r="K545" s="6" t="str">
        <f>IFERROR(__xludf.DUMMYFUNCTION("GOOGLETRANSLATE(B545)"),"News of the day | November 10 - evening release")</f>
        <v>News of the day | November 10 - evening release</v>
      </c>
      <c r="L545" s="5" t="str">
        <f>IFERROR(__xludf.DUMMYFUNCTION("GOOGLETRANSLATE(C545)"),"11 hours ago -")</f>
        <v>11 hours ago -</v>
      </c>
      <c r="M545" s="5" t="str">
        <f>IFERROR(__xludf.DUMMYFUNCTION("GOOGLETRANSLATE(G545)"),"YouTubeAboutPressCopyrightContact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546">
      <c r="A546" s="1" t="s">
        <v>1748</v>
      </c>
      <c r="B546" s="1" t="s">
        <v>1833</v>
      </c>
      <c r="C546" s="1" t="s">
        <v>1834</v>
      </c>
      <c r="D546" s="1">
        <v>33.0</v>
      </c>
      <c r="E546" s="4" t="s">
        <v>1835</v>
      </c>
      <c r="F546" s="1" t="s">
        <v>43</v>
      </c>
      <c r="I546" s="2">
        <v>2.0</v>
      </c>
      <c r="J546" s="5" t="str">
        <f>IFERROR(__xludf.DUMMYFUNCTION("GOOGLETRANSLATE(A546)"),"news")</f>
        <v>news</v>
      </c>
      <c r="K546" s="6" t="str">
        <f>IFERROR(__xludf.DUMMYFUNCTION("GOOGLETRANSLATE(B546)"),"The main news today in Russia, as well as the most ...")</f>
        <v>The main news today in Russia, as well as the most ...</v>
      </c>
      <c r="L546" s="5" t="str">
        <f>IFERROR(__xludf.DUMMYFUNCTION("GOOGLETRANSLATE(C546)"),"News · 05:11. Media: the explosion · 05:01 thundered in Kolomna. The Prosecutor General’s Office told about the damage of Russia from economic crimes · 04:43 · 04:38 · 04:22 ...")</f>
        <v>News · 05:11. Media: the explosion · 05:01 thundered in Kolomna. The Prosecutor General’s Office told about the damage of Russia from economic crimes · 04:43 · 04:38 · 04:22 ...</v>
      </c>
      <c r="M546" s="5" t="str">
        <f>IFERROR(__xludf.DUMMYFUNCTION("GOOGLETRANSLATE(G546)"),"#VALUE!")</f>
        <v>#VALUE!</v>
      </c>
    </row>
    <row r="547">
      <c r="A547" s="1" t="s">
        <v>1748</v>
      </c>
      <c r="B547" s="1" t="s">
        <v>1836</v>
      </c>
      <c r="C547" s="1" t="s">
        <v>1837</v>
      </c>
      <c r="D547" s="1">
        <v>34.0</v>
      </c>
      <c r="E547" s="4" t="s">
        <v>1838</v>
      </c>
      <c r="F547" s="1" t="s">
        <v>43</v>
      </c>
      <c r="I547" s="2">
        <v>4.0</v>
      </c>
      <c r="J547" s="5" t="str">
        <f>IFERROR(__xludf.DUMMYFUNCTION("GOOGLETRANSLATE(A547)"),"news")</f>
        <v>news</v>
      </c>
      <c r="K547" s="6" t="str">
        <f>IFERROR(__xludf.DUMMYFUNCTION("GOOGLETRANSLATE(B547)"),"News ∙ President ∙ Events ∙ ...")</f>
        <v>News ∙ President ∙ Events ∙ ...</v>
      </c>
      <c r="L547" s="5" t="str">
        <f>IFERROR(__xludf.DUMMYFUNCTION("GOOGLETRANSLATE(C547)"),"News, transcripts, photos and videos, documents signed by the President of Russia, information on the activities of the administration.")</f>
        <v>News, transcripts, photos and videos, documents signed by the President of Russia, information on the activities of the administration.</v>
      </c>
      <c r="M547" s="5" t="str">
        <f>IFERROR(__xludf.DUMMYFUNCTION("GOOGLETRANSLATE(G547)"),"#VALUE!")</f>
        <v>#VALUE!</v>
      </c>
    </row>
    <row r="548">
      <c r="A548" s="1" t="s">
        <v>1748</v>
      </c>
      <c r="B548" s="1" t="s">
        <v>1839</v>
      </c>
      <c r="D548" s="1">
        <v>35.0</v>
      </c>
      <c r="E548" s="4" t="s">
        <v>1840</v>
      </c>
      <c r="F548" s="1" t="s">
        <v>43</v>
      </c>
      <c r="G548" s="1" t="s">
        <v>1841</v>
      </c>
      <c r="H548" s="4" t="s">
        <v>1842</v>
      </c>
      <c r="I548" s="2">
        <v>1.0</v>
      </c>
      <c r="J548" s="5" t="str">
        <f>IFERROR(__xludf.DUMMYFUNCTION("GOOGLETRANSLATE(A548)"),"news")</f>
        <v>news</v>
      </c>
      <c r="K548" s="6" t="str">
        <f>IFERROR(__xludf.DUMMYFUNCTION("GOOGLETRANSLATE(B548)"),"Reuters | Breaking International News &amp; Views")</f>
        <v>Reuters | Breaking International News &amp; Views</v>
      </c>
      <c r="L548" s="5" t="str">
        <f>IFERROR(__xludf.DUMMYFUNCTION("GOOGLETRANSLATE(C548)"),"#VALUE!")</f>
        <v>#VALUE!</v>
      </c>
      <c r="M548" s="5" t="str">
        <f>IFERROR(__xludf.DUMMYFUNCTION("GOOGLETRANSLATE(G548)"),"Reuters | Breaking International News &amp; ViewsSkip to main contentExclusive news data and analytics for financial market professionalsLearn more aboutRefinitivReuters homeWorldBusinessMarketsSustainabilityLegalBreakingviewsTechnologyInvestigationsMoreMy Vi"&amp;"ewRegistertrading higherPositiveSPX4415.24+1.56%Positivetrading higherPositiveIXIC13798.11+2.05%Positivetrading higherPositiveDJI34283.10+1.15%Positivetrading lowerNegativeSTOXX443.31-1.00%Negativetrading lowerNegativeFTSE7360.55-1.28%Negativetrading lowe"&amp;"rNegativeN22532568.11-0.24%NegativeGet real-time market data from LSEGWorld NewsWorldcategoryRussia renews missile attacks on Kyiv attacks intensify in the eastNovember 11 2023WorldcategoryThousands in Honduras march in anti-government protestNovember 11 "&amp;"2023WorldcategoryTrump plans sweeping undocumented immigrant roundups detention camps New York Times reports1:09 AM UTCWorldcategoryAustralia foreign minister touts Tuvalu security migration pactNovember 11 2023BusinesscategoryNew satellite will detect an"&amp;"d share CO2 data from individual facilitiesNovember 11 2023WorldcategoryBritain's King Charles PM Sunak to lead remembrance services after day of protestsNovember 11 2023WorldcategoryPortugal's PM soothes investors after resignation over corruption probeN"&amp;"ovember 11 2023WorldcategoryIsrael says it's ready to evacuate babies from Gaza hospital as fighting rages3:16 AM UTC ·  agoarticle with videoPalestinian officials said two newborns died and dozens were at risk after fuel ran out. Hamas said it destroyed "&amp;"some Israeli military targets while an Israeli military spokesperson said Hamas had lost control of northern Gaza.Analysis: Israel targets Hamas tunnels in new phase of Gaza warGaza's centuries of war - a brief historyArab and Muslim leaders demand immedi"&amp;"ate end to Gaza warWorldcategoryHouse Republicans eye plan to avert government shutdownU.S. House of Representatives Speaker Mike Johnson unveiled a Republican stopgap spending measure on Saturday aimed at averting a government shutdown a week from now bu"&amp;"t the measure quickly ran into opposition from lawmakers from both parties in Congress.12:56 AM UTCMoody's turns negative on US credit rating draws Washington ireUS Senate Democrats tee up bill to avert government shutdownWhere are the 12 US government fu"&amp;"nding bills to avert shutdown?article with galleryWorldcategoryIceland prepares for volcanic eruption in coming daysAuthorities ordered a complete evacuation of Grindavík a fishing town of around 3000 residents.November 11 2023article with videoBusinessca"&amp;"tegoryWegovy's heart benefits due to more than weight loss Novo saysNovember 11 2023article with videoWorldcategoryIn very rare move Pope dismisses conservative US bishop StricklandNovember 11 2023TechnologycategoryPolice investigate 'cyber incident' at A"&amp;"ustralia ports operatorThe Australian Federal Police said on Sunday they were investigating a cybersecurity incident that forced ports operator DP World Australia to suspend operations at ports in several states.November 11 2023FrancaiscategoryChina's Sin"&amp;"gles Day sales festival wraps up with e-commerce giants reporting sales growth2:39 AM UTCarticle with galleryIsrael-Hamas WarWorldcategoryExclusive: UAE plans to maintain ties with Israel despite Gaza outcry sources sayNovember 11 2023article with videoWo"&amp;"rldcategoryLondon police arrest over 120 as pro-Palestinian rally draws counter-protestsNovember 11 2023WorldcategoryHezbollah says front with Israel will remain activeNovember 11 2023WorldcategoryGaza border authority: Rafah land crossing to reopen Sunda"&amp;"yNovember 11 2023Talking PointsBusinessarticle with galleryMarketscategoryExclusive: Exxon aims to begin lithium production by 2026 in ArkansasNovember 11 2023Sustainable Finance &amp; ReportingcategoryUAW workers at GM's Flint plant narrowly vote against new"&amp;" labor dealNovember 11 2023Exploration &amp; ProductioncategoryBP Edison Shell ask US EU to intervene in Venture Global LNG disputeNovember 11 2023Aerospace &amp; DefensecategoryTurkish Airlines talks to Airbus about ordering 355 new jetsNovember 11 2023United St"&amp;"atesarticle with galleryUnited StatescategoryTrump backs requests for TV coverage of his federal criminal trialNovember 11 2023article with galleryMedia &amp; TelecomcategoryPost-strike Hollywood rushes to get film TV sets hummingNovember 11 2023article with "&amp;"videoBusinesscategoryUS Air Force's new B-21 Raider ""flying wing"" bomber takes first flightNovember 11 2023article with videoUnited StatescategoryBiden registers for South Carolina primary seen as first test of re-election strengthNovember 10 2023Sports"&amp;"article with gallerySoccerGotham defeat Reign for first NWSL title3:26 AM UTC · Updated  agoTennisCanada edge out Czechs to reach BJK Cup final Italy down SloveniaNovember 11 2023article with gallerySoccerArsenal win to move level with Man City Spurs slip"&amp;" up at WolvesNovember 11 2023SoccerSolanke double fires Bournemouth to upset win over NewcastleNovember 11 2023PicturesWorldcategoryOur top photos of the weekNovember 10 2023WorldcategoryThousands of civilians flee northern GazaNovember 10 2023Worldcatego"&amp;"ryInside Israel's ground assault in GazaNovember 10 2023The Last Readarticle with videoLifestylecategorySZA tops Grammy nominations in a year made for women and 'Barbie'November 11 2023LifestylecategoryLeading nominations for 2024 Grammy AwardsNovember 10"&amp;" 2023article with galleryLifestylecategoryBrazilian cotton hits the runway at Sao Paulo Fashion WeekNovember 10 2023article with videoLifestylecategoryBeatlemania is back as chart-topping 'Now And Then' breaks recordsNovember 11 2023Latest StoriesSite Ind"&amp;"exBrowseWorldBusinessMarketsSustainabilityLegalBreakingviewsTechnologyInvestigations opens new tabSportsScienceLifestyleAbout ReutersAbout Reuters opens new tabCareers opens new tabReuters News Agency opens new tabBrand Attribution Guidelines opens new ta"&amp;"bReuters Leadership opens new tabReuters Fact Check opens new tabReuters Diversity Report opens new tabStay InformedDownload the App opens new tabNewsletters opens new tabInformation you can trustReuters the news and media division of Thomson Reuters is t"&amp;"he world’s largest multimedia news provider reaching billions of people worldwide every day. Reuters provides business financial national and international news to professionals via desktop terminals the world's media organizations industry events and dir"&amp;"ectly to consumers.Follow UsThomson Reuters ProductsWestlaw opens new tabBuild the strongest argument relying on authoritative content attorney-editor expertise and industry defining technology.Onesource opens new tabThe most comprehensive solution to man"&amp;"age all your complex and ever-expanding tax and compliance needs.Checkpoint opens new tabThe industry leader for online information for tax accounting and finance professionals.LSEG ProductsWorkspace opens new tab Access unmatched financial data news and "&amp;"content in a highly-customised workflow experience on desktop web and mobile.Data Catalogue opens new tab Browse an unrivalled portfolio of real-time and historical market data and insights from worldwide sources and experts.World-Check opens new tabScree"&amp;"n for heightened risk individual and entities globally to help uncover hidden risks in business relationships and human networks.Advertise With Us opens new tabAdvertising Guidelines opens new tabCoupons opens new tabAcquire Licensing Rights opens new tab"&amp;"Cookies opens new tabTerms of Use opens new tabPrivacy opens new tabDigital Accessibility opens new tabCorrections opens new tabSite Feedback opens new tabAll quotes delayed a minimum of 15 minutes. See here for a complete list of exchanges and delays.© 2"&amp;"023 Reuters. All rights reserved")</f>
        <v>Reuters | Breaking International News &amp; ViewsSkip to main contentExclusive news data and analytics for financial market professionalsLearn more aboutRefinitivReuters homeWorldBusinessMarketsSustainabilityLegalBreakingviewsTechnologyInvestigationsMoreMy ViewRegistertrading higherPositiveSPX4415.24+1.56%Positivetrading higherPositiveIXIC13798.11+2.05%Positivetrading higherPositiveDJI34283.10+1.15%Positivetrading lowerNegativeSTOXX443.31-1.00%Negativetrading lowerNegativeFTSE7360.55-1.28%Negativetrading lowerNegativeN22532568.11-0.24%NegativeGet real-time market data from LSEGWorld NewsWorldcategoryRussia renews missile attacks on Kyiv attacks intensify in the eastNovember 11 2023WorldcategoryThousands in Honduras march in anti-government protestNovember 11 2023WorldcategoryTrump plans sweeping undocumented immigrant roundups detention camps New York Times reports1:09 AM UTCWorldcategoryAustralia foreign minister touts Tuvalu security migration pactNovember 11 2023BusinesscategoryNew satellite will detect and share CO2 data from individual facilitiesNovember 11 2023WorldcategoryBritain's King Charles PM Sunak to lead remembrance services after day of protestsNovember 11 2023WorldcategoryPortugal's PM soothes investors after resignation over corruption probeNovember 11 2023WorldcategoryIsrael says it's ready to evacuate babies from Gaza hospital as fighting rages3:16 AM UTC ·  agoarticle with videoPalestinian officials said two newborns died and dozens were at risk after fuel ran out. Hamas said it destroyed some Israeli military targets while an Israeli military spokesperson said Hamas had lost control of northern Gaza.Analysis: Israel targets Hamas tunnels in new phase of Gaza warGaza's centuries of war - a brief historyArab and Muslim leaders demand immediate end to Gaza warWorldcategoryHouse Republicans eye plan to avert government shutdownU.S. House of Representatives Speaker Mike Johnson unveiled a Republican stopgap spending measure on Saturday aimed at averting a government shutdown a week from now but the measure quickly ran into opposition from lawmakers from both parties in Congress.12:56 AM UTCMoody's turns negative on US credit rating draws Washington ireUS Senate Democrats tee up bill to avert government shutdownWhere are the 12 US government funding bills to avert shutdown?article with galleryWorldcategoryIceland prepares for volcanic eruption in coming daysAuthorities ordered a complete evacuation of Grindavík a fishing town of around 3000 residents.November 11 2023article with videoBusinesscategoryWegovy's heart benefits due to more than weight loss Novo saysNovember 11 2023article with videoWorldcategoryIn very rare move Pope dismisses conservative US bishop StricklandNovember 11 2023TechnologycategoryPolice investigate 'cyber incident' at Australia ports operatorThe Australian Federal Police said on Sunday they were investigating a cybersecurity incident that forced ports operator DP World Australia to suspend operations at ports in several states.November 11 2023FrancaiscategoryChina's Singles Day sales festival wraps up with e-commerce giants reporting sales growth2:39 AM UTCarticle with galleryIsrael-Hamas WarWorldcategoryExclusive: UAE plans to maintain ties with Israel despite Gaza outcry sources sayNovember 11 2023article with videoWorldcategoryLondon police arrest over 120 as pro-Palestinian rally draws counter-protestsNovember 11 2023WorldcategoryHezbollah says front with Israel will remain activeNovember 11 2023WorldcategoryGaza border authority: Rafah land crossing to reopen SundayNovember 11 2023Talking PointsBusinessarticle with galleryMarketscategoryExclusive: Exxon aims to begin lithium production by 2026 in ArkansasNovember 11 2023Sustainable Finance &amp; ReportingcategoryUAW workers at GM's Flint plant narrowly vote against new labor dealNovember 11 2023Exploration &amp; ProductioncategoryBP Edison Shell ask US EU to intervene in Venture Global LNG disputeNovember 11 2023Aerospace &amp; DefensecategoryTurkish Airlines talks to Airbus about ordering 355 new jetsNovember 11 2023United Statesarticle with galleryUnited StatescategoryTrump backs requests for TV coverage of his federal criminal trialNovember 11 2023article with galleryMedia &amp; TelecomcategoryPost-strike Hollywood rushes to get film TV sets hummingNovember 11 2023article with videoBusinesscategoryUS Air Force's new B-21 Raider "flying wing" bomber takes first flightNovember 11 2023article with videoUnited StatescategoryBiden registers for South Carolina primary seen as first test of re-election strengthNovember 10 2023Sportsarticle with gallerySoccerGotham defeat Reign for first NWSL title3:26 AM UTC · Updated  agoTennisCanada edge out Czechs to reach BJK Cup final Italy down SloveniaNovember 11 2023article with gallerySoccerArsenal win to move level with Man City Spurs slip up at WolvesNovember 11 2023SoccerSolanke double fires Bournemouth to upset win over NewcastleNovember 11 2023PicturesWorldcategoryOur top photos of the weekNovember 10 2023WorldcategoryThousands of civilians flee northern GazaNovember 10 2023WorldcategoryInside Israel's ground assault in GazaNovember 10 2023The Last Readarticle with videoLifestylecategorySZA tops Grammy nominations in a year made for women and 'Barbie'November 11 2023LifestylecategoryLeading nominations for 2024 Grammy AwardsNovember 10 2023article with galleryLifestylecategoryBrazilian cotton hits the runway at Sao Paulo Fashion WeekNovember 10 2023article with videoLifestylecategoryBeatlemania is back as chart-topping 'Now And Then' breaks recordsNovember 11 2023Latest StoriesSite IndexBrowseWorldBusinessMarketsSustainabilityLegalBreakingviewsTechnologyInvestigations opens new tabSportsScienceLifestyleAbout ReutersAbout Reuters opens new tabCareers opens new tabReuters News Agency opens new tabBrand Attribution Guidelines opens new tabReuters Leadership opens new tabReuters Fact Check opens new tabReuters Diversity Report opens new tabStay InformedDownload the App opens new tabNewsletters opens new tabInformation you can trustReuters the news and media division of Thomson Reuters is the world’s largest multimedia news provider reaching billions of people worldwide every day. Reuters provides business financial national and international news to professionals via desktop terminals the world's media organizations industry events and directly to consumers.Follow UsThomson Reuters ProductsWestlaw opens new tabBuild the strongest argument relying on authoritative content attorney-editor expertise and industry defining technology.Onesource opens new tabThe most comprehensive solution to manage all your complex and ever-expanding tax and compliance needs.Checkpoint opens new tabThe industry leader for online information for tax accounting and finance professionals.LSEG ProductsWorkspace opens new tab Access unmatched financial data news and content in a highly-customised workflow experience on desktop web and mobile.Data Catalogue opens new tab Browse an unrivalled portfolio of real-time and historical market data and insights from worldwide sources and experts.World-Check opens new tabScreen for heightened risk individual and entities globally to help uncover hidden risks in business relationships and human networks.Advertise With Us opens new tabAdvertising Guidelines opens new tabCoupons opens new tabAcquire Licensing Rights opens new tabCookies opens new tabTerms of Use opens new tabPrivacy opens new tabDigital Accessibility opens new tabCorrections opens new tabSite Feedback opens new tabAll quotes delayed a minimum of 15 minutes. See here for a complete list of exchanges and delays.© 2023 Reuters. All rights reserved</v>
      </c>
    </row>
    <row r="549">
      <c r="A549" s="1" t="s">
        <v>1748</v>
      </c>
      <c r="B549" s="1" t="s">
        <v>1843</v>
      </c>
      <c r="C549" s="1" t="s">
        <v>1844</v>
      </c>
      <c r="D549" s="1">
        <v>36.0</v>
      </c>
      <c r="E549" s="4" t="s">
        <v>1845</v>
      </c>
      <c r="F549" s="1" t="s">
        <v>43</v>
      </c>
      <c r="G549" s="1" t="s">
        <v>487</v>
      </c>
      <c r="H549" s="4" t="s">
        <v>1846</v>
      </c>
      <c r="I549" s="2">
        <v>1.0</v>
      </c>
      <c r="J549" s="5" t="str">
        <f>IFERROR(__xludf.DUMMYFUNCTION("GOOGLETRANSLATE(A549)"),"news")</f>
        <v>news</v>
      </c>
      <c r="K549" s="6" t="str">
        <f>IFERROR(__xludf.DUMMYFUNCTION("GOOGLETRANSLATE(B549)"),"News tape - RT in Russian")</f>
        <v>News tape - RT in Russian</v>
      </c>
      <c r="L549" s="5" t="str">
        <f>IFERROR(__xludf.DUMMYFUNCTION("GOOGLETRANSLATE(C549)"),"News tape")</f>
        <v>News tape</v>
      </c>
      <c r="M549" s="5" t="str">
        <f>IFERROR(__xludf.DUMMYFUNCTION("GOOGLETRANSLATE(G549)"),"In order")</f>
        <v>In order</v>
      </c>
    </row>
    <row r="550">
      <c r="A550" s="1" t="s">
        <v>1847</v>
      </c>
      <c r="B550" s="1" t="s">
        <v>1848</v>
      </c>
      <c r="C550" s="1" t="s">
        <v>1849</v>
      </c>
      <c r="D550" s="1">
        <v>1.0</v>
      </c>
      <c r="E550" s="4" t="s">
        <v>1850</v>
      </c>
      <c r="F550" s="1" t="s">
        <v>16</v>
      </c>
      <c r="G550" s="1" t="s">
        <v>428</v>
      </c>
      <c r="H550" s="4" t="s">
        <v>429</v>
      </c>
      <c r="I550" s="2">
        <v>3.0</v>
      </c>
      <c r="J550" s="5" t="str">
        <f>IFERROR(__xludf.DUMMYFUNCTION("GOOGLETRANSLATE(A550)"),"classmates")</f>
        <v>classmates</v>
      </c>
      <c r="K550" s="6" t="str">
        <f>IFERROR(__xludf.DUMMYFUNCTION("GOOGLETRANSLATE(B550)"),"Social network classmates. Communication with friends in ...")</f>
        <v>Social network classmates. Communication with friends in ...</v>
      </c>
      <c r="L550" s="5" t="str">
        <f>IFERROR(__xludf.DUMMYFUNCTION("GOOGLETRANSLATE(C550)"),"Classmates.ru is a social network where you can find your old friends. Communication, online games, gifts and cards for friends. Come to OK, share ...")</f>
        <v>Classmates.ru is a social network where you can find your old friends. Communication, online games, gifts and cards for friends. Come to OK, share ...</v>
      </c>
      <c r="M550" s="5" t="str">
        <f>IFERROR(__xludf.DUMMYFUNCTION("GOOGLETRANSLATE(G550)"),"Social network classmates. Communication with friends in approx. Your place of a meeting with classmates to a version for people with disabilities. Spend the search for oxervice vk.ruchkocyaledarzadarzadakavidovidovkivk post-a-reservoir-sort-tolevo-Kontak"&amp;"othels are using cookies to improve your service for you. You can accept them or set them up on your own. To gain more information more than more emotions and bright communication! Go to OK to meet your friends and find new to chat with loved ones and int"&amp;"erestingly spend time using our entertainment services. To fulfill the qi-codelephone or email address. It is possible to enter the postparols on QR-kodun? There is no profile in Odnoklakhnikiye, the profilesmical mobility of the business of the business "&amp;"of the business of the business of the development of the COOKIEVAKACASISENISTION of the company © 2006–2023 VK / LLC VKMI uses in detail technology.")</f>
        <v>Social network classmates. Communication with friends in approx. Your place of a meeting with classmates to a version for people with disabilities. Spend the search for oxervice vk.ruchkocyaledarzadarzadakavidovidovkivk post-a-reservoir-sort-tolevo-Kontakothels are using cookies to improve your service for you. You can accept them or set them up on your own. To gain more information more than more emotions and bright communication! Go to OK to meet your friends and find new to chat with loved ones and interestingly spend time using our entertainment services. To fulfill the qi-codelephone or email address. It is possible to enter the postparols on QR-kodun? There is no profile in Odnoklakhnikiye, the profilesmical mobility of the business of the business of the business of the business of the development of the COOKIEVAKACASISENISTION of the company © 2006–2023 VK / LLC VKMI uses in detail technology.</v>
      </c>
    </row>
    <row r="551">
      <c r="A551" s="1" t="s">
        <v>1847</v>
      </c>
      <c r="B551" s="1" t="s">
        <v>1851</v>
      </c>
      <c r="C551" s="1" t="s">
        <v>1852</v>
      </c>
      <c r="D551" s="1">
        <v>2.0</v>
      </c>
      <c r="E551" s="4" t="s">
        <v>1853</v>
      </c>
      <c r="F551" s="1" t="s">
        <v>16</v>
      </c>
      <c r="G551" s="1" t="s">
        <v>120</v>
      </c>
      <c r="H551" s="4" t="s">
        <v>121</v>
      </c>
      <c r="I551" s="2">
        <v>3.0</v>
      </c>
      <c r="J551" s="5" t="str">
        <f>IFERROR(__xludf.DUMMYFUNCTION("GOOGLETRANSLATE(A551)"),"classmates")</f>
        <v>classmates</v>
      </c>
      <c r="K551" s="6" t="str">
        <f>IFERROR(__xludf.DUMMYFUNCTION("GOOGLETRANSLATE(B551)"),"Classmates: Social Network")</f>
        <v>Classmates: Social Network</v>
      </c>
      <c r="L551" s="5" t="str">
        <f>IFERROR(__xludf.DUMMYFUNCTION("GOOGLETRANSLATE(C551)"),"Classmates are a social network where you can take a break from worries, find friends and see something interesting. Music a huge collection of songs awaits you in OK!")</f>
        <v>Classmates are a social network where you can take a break from worries, find friends and see something interesting. Music a huge collection of songs awaits you in OK!</v>
      </c>
      <c r="M551" s="5" t="str">
        <f>IFERROR(__xludf.DUMMYFUNCTION("GOOGLETRANSLATE(G551)"),"Android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552">
      <c r="A552" s="1" t="s">
        <v>1847</v>
      </c>
      <c r="B552" s="1" t="s">
        <v>1854</v>
      </c>
      <c r="C552" s="1" t="s">
        <v>1855</v>
      </c>
      <c r="D552" s="1">
        <v>3.0</v>
      </c>
      <c r="E552" s="4" t="s">
        <v>1856</v>
      </c>
      <c r="F552" s="1" t="s">
        <v>16</v>
      </c>
      <c r="G552" s="1" t="s">
        <v>31</v>
      </c>
      <c r="H552" s="4" t="s">
        <v>32</v>
      </c>
      <c r="I552" s="2">
        <v>3.0</v>
      </c>
      <c r="J552" s="5" t="str">
        <f>IFERROR(__xludf.DUMMYFUNCTION("GOOGLETRANSLATE(A552)"),"classmates")</f>
        <v>classmates</v>
      </c>
      <c r="K552" s="6" t="str">
        <f>IFERROR(__xludf.DUMMYFUNCTION("GOOGLETRANSLATE(B552)"),"Classmates (social network)")</f>
        <v>Classmates (social network)</v>
      </c>
      <c r="L552" s="5" t="str">
        <f>IFERROR(__xludf.DUMMYFUNCTION("GOOGLETRANSLATE(C552)"),"“Calcated” (Ok.ru) is a Russian social network belonging to VK. In May 2022, the 50th most popular site in the world. The project was launched on March 26, 2006 ...")</f>
        <v>“Calcated” (Ok.ru) is a Russian social network belonging to VK. In May 2022, the 50th most popular site in the world. The project was launched on March 26, 2006 ...</v>
      </c>
      <c r="M552" s="5" t="str">
        <f>IFERROR(__xludf.DUMMYFUNCTION("GOOGLETRANSLATE(G552)"),"Wikipedia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553">
      <c r="A553" s="1" t="s">
        <v>1847</v>
      </c>
      <c r="B553" s="1" t="s">
        <v>1857</v>
      </c>
      <c r="C553" s="1" t="s">
        <v>1858</v>
      </c>
      <c r="D553" s="1">
        <v>4.0</v>
      </c>
      <c r="E553" s="4" t="s">
        <v>1859</v>
      </c>
      <c r="F553" s="1" t="s">
        <v>16</v>
      </c>
      <c r="G553" s="1" t="s">
        <v>97</v>
      </c>
      <c r="H553" s="4" t="s">
        <v>98</v>
      </c>
      <c r="I553" s="2">
        <v>3.0</v>
      </c>
      <c r="J553" s="5" t="str">
        <f>IFERROR(__xludf.DUMMYFUNCTION("GOOGLETRANSLATE(A553)"),"classmates")</f>
        <v>classmates</v>
      </c>
      <c r="K553" s="6" t="str">
        <f>IFERROR(__xludf.DUMMYFUNCTION("GOOGLETRANSLATE(B553)"),"Classmates: Social Network - App Store")</f>
        <v>Classmates: Social Network - App Store</v>
      </c>
      <c r="L553" s="5" t="str">
        <f>IFERROR(__xludf.DUMMYFUNCTION("GOOGLETRANSLATE(C553)"),"Classmates are a social network with millions of users around the world, which are united by sincerity and openness. Call your friends, take direct broadcasts, ...")</f>
        <v>Classmates are a social network with millions of users around the world, which are united by sincerity and openness. Call your friends, take direct broadcasts, ...</v>
      </c>
      <c r="M553" s="5" t="str">
        <f>IFERROR(__xludf.DUMMYFUNCTION("GOOGLETRANSLATE(G553)"),"App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554">
      <c r="A554" s="1" t="s">
        <v>1847</v>
      </c>
      <c r="B554" s="1" t="s">
        <v>1860</v>
      </c>
      <c r="D554" s="1">
        <v>5.0</v>
      </c>
      <c r="E554" s="4" t="s">
        <v>1861</v>
      </c>
      <c r="F554" s="1" t="s">
        <v>16</v>
      </c>
      <c r="G554" s="1" t="s">
        <v>38</v>
      </c>
      <c r="H554" s="4" t="s">
        <v>39</v>
      </c>
      <c r="I554" s="2">
        <v>2.0</v>
      </c>
      <c r="J554" s="5" t="str">
        <f>IFERROR(__xludf.DUMMYFUNCTION("GOOGLETRANSLATE(A554)"),"classmates")</f>
        <v>classmates</v>
      </c>
      <c r="K554" s="6" t="str">
        <f>IFERROR(__xludf.DUMMYFUNCTION("GOOGLETRANSLATE(B554)"),"Classmates")</f>
        <v>Classmates</v>
      </c>
      <c r="L554" s="5" t="str">
        <f>IFERROR(__xludf.DUMMYFUNCTION("GOOGLETRANSLATE(C554)"),"#VALUE!")</f>
        <v>#VALUE!</v>
      </c>
      <c r="M554" s="5" t="str">
        <f>IFERROR(__xludf.DUMMYFUNCTION("GOOGLETRANSLATE(G554)"),"YouTubeAboutPressCopyrightContact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555">
      <c r="A555" s="1" t="s">
        <v>1847</v>
      </c>
      <c r="B555" s="1" t="s">
        <v>1862</v>
      </c>
      <c r="C555" s="1" t="s">
        <v>1863</v>
      </c>
      <c r="D555" s="1">
        <v>6.0</v>
      </c>
      <c r="E555" s="4" t="s">
        <v>1864</v>
      </c>
      <c r="F555" s="1" t="s">
        <v>16</v>
      </c>
      <c r="I555" s="2">
        <v>4.0</v>
      </c>
      <c r="J555" s="5" t="str">
        <f>IFERROR(__xludf.DUMMYFUNCTION("GOOGLETRANSLATE(A555)"),"classmates")</f>
        <v>classmates</v>
      </c>
      <c r="K555" s="6" t="str">
        <f>IFERROR(__xludf.DUMMYFUNCTION("GOOGLETRANSLATE(B555)"),"Classmates - latest news today")</f>
        <v>Classmates - latest news today</v>
      </c>
      <c r="L555" s="5" t="str">
        <f>IFERROR(__xludf.DUMMYFUNCTION("GOOGLETRANSLATE(C555)"),"Classmates. Read the latest news on the topic in the news feed on the RIA Novosti website. Classmates will join the day of the fight against cyberbulling - annual ...")</f>
        <v>Classmates. Read the latest news on the topic in the news feed on the RIA Novosti website. Classmates will join the day of the fight against cyberbulling - annual ...</v>
      </c>
      <c r="M555" s="5" t="str">
        <f>IFERROR(__xludf.DUMMYFUNCTION("GOOGLETRANSLATE(G555)"),"#VALUE!")</f>
        <v>#VALUE!</v>
      </c>
    </row>
    <row r="556">
      <c r="A556" s="1" t="s">
        <v>1847</v>
      </c>
      <c r="B556" s="1" t="s">
        <v>1865</v>
      </c>
      <c r="C556" s="1" t="s">
        <v>1866</v>
      </c>
      <c r="D556" s="1">
        <v>7.0</v>
      </c>
      <c r="E556" s="4" t="s">
        <v>1867</v>
      </c>
      <c r="F556" s="1" t="s">
        <v>16</v>
      </c>
      <c r="G556" s="1" t="s">
        <v>1868</v>
      </c>
      <c r="H556" s="4" t="s">
        <v>1869</v>
      </c>
      <c r="I556" s="2">
        <v>2.0</v>
      </c>
      <c r="J556" s="5" t="str">
        <f>IFERROR(__xludf.DUMMYFUNCTION("GOOGLETRANSLATE(A556)"),"classmates")</f>
        <v>classmates</v>
      </c>
      <c r="K556" s="6" t="str">
        <f>IFERROR(__xludf.DUMMYFUNCTION("GOOGLETRANSLATE(B556)"),"Blog of social networks Odnoklassniki - Insideok.ru")</f>
        <v>Blog of social networks Odnoklassniki - Insideok.ru</v>
      </c>
      <c r="L556" s="5" t="str">
        <f>IFERROR(__xludf.DUMMYFUNCTION("GOOGLETRANSLATE(C556)"),"Blog of social networks Odnoklassniki, in which we publish news about launches, projects and useful materials for marketers and SMM specialists.")</f>
        <v>Blog of social networks Odnoklassniki, in which we publish news about launches, projects and useful materials for marketers and SMM specialists.</v>
      </c>
      <c r="M556" s="5" t="str">
        <f>IFERROR(__xludf.DUMMYFUNCTION("GOOGLETRANSLATE(G556)"),"Blog of social networks Odnoklassniki - InSideok.ru RURRIBRICHOVENSTEXPECTEXPECTOLOGOGOMDLE MEDIA INSTRUCTIONAL ATSURATIONS OF CONTARTISHING MEDIA Challenge dursions Oko design of MAREALIALYCELALY KONEPTASISKOSSK SLENT SHOULD MUCH CLUARE from the BLOG of "&amp;"ONELOCERS! OK updated the “hobbies” service and presented the campaign in support of positioning as a hobbic territory by the updated “hobbies”: now it is a full -format service with different types of content in the most popular categories of hobbies and"&amp;" new communication opportunities. Update ... News1625 min. Military graders updated “hobbies”: communication on interests to professionals and expert materials presented updated “hobbies”: now it is a full -format service with different types of content a"&amp;"nd new communication opportunities. OK users can not only find ... News2804 min. Minutes, launch an updated “Content Academy” dedicated to personal branded classmates launch the second stream of “Content Academy” - a free educational course for bloggers w"&amp;"ho want to develop a personal brand. ... Contain authors 3644 min. OK have grown 2 times from the beginning of the year, the event at the event for the creators of the Prime Time content shared the results of the work of the content platform of the social"&amp;" network over the past year. During this time, two monetization programs were opened ... Content authors 3085 min. How to conduct broadcasts in OK using OBS Studio? Direct broadcasts are one of the most popular formats among content creators. During the b"&amp;"roadcast, bloggers can communicate with users online ... Marketeologists1 20113 Min Instruction: how to confirm the fact of creating an official page of the body or organization in OK through “State Services” from December 1, 2022 state bodies of local se"&amp;"lf -government and their subordinate organizations (hereinafter - bodies and bodies and bodies and bodies Organizations) create ... marketer 3244 min. New mediakitis 2023: global updates to the okok presented mediakitis that gives the authors to marketing"&amp;" and business representatives Fresh information about new products and services of classmates as well as ... Marketing1 6792 min. Instructions: as authors and groups to label advertising in OK and reporting on her on September 1, 2022, amendments to the F"&amp;"ederal Law “On Advertising” dated 03/13/2006 N 38-ФЗ (O ... Content Author 30410 min. Game digest. Autumn 2023, We told you that we launched that we launched that we launched The ability to connect a support for players in adding text reviews from users t"&amp;"o games and on the introduction of advertising Sticky banners. Autumn brought no less interesting updates for developers that have become a logical continuation of the summer projects.#Actual: check the availability of advertising blockers on the user's d"&amp;"evice#novelty: new banner advertising opportunities for monetization #s: Valdation of payments in json#updates: Event about adding Reviews about the game from the user, blockers of advertising are known to everyone's ability to unpleasantly influence the "&amp;"monetization of games. Therefore, we came up with a method for you to check the presence of an advertisement on the user device. The presence of an on advertising lock on so far can be found only for games running on the desktop version of OK. About how t"&amp;"o do this, learn more by the link: want to monetize your game but are not ready to integrate advertising through SDK? We have prepared for you the possibility of banner advertising cars. You just have to choose the type of display of banners in the settin"&amp;"gs: with the shift of the game “above” the game interface or “under” it. If you want to use another type of display of banners, for example, advertising on top of the game container will need to turn off the autocracy of advertising in the game settings a"&amp;"nd configure the call of advertising methods SDK. Now, the following types of advertising banners are available in OK: on top of the game container (top or from below) - to Mobile Desktop Android; with a shift in the game container (up or down) - by Mobil"&amp;"e Desktop Android. You asked us to replace the format of validation of XML payment by XML by Json and we did it! When working with the API OK in various matters, the JSON format has long been actively used and now we have supported it in payments so that "&amp;"you are more comfortable to work. This is the opportunity to have all the games by default and does not require any additional configuration. About what needs to be done to go to the new validation format read the link below. The game developers in OK got"&amp;" the opportunity to instantly receive information about the addition of a new review of the game. When subscribing to this event, all new user reviews and their change will come to you on Webhook specified in the game settings. You can find out how to sub"&amp;"scribe to this type of event by the link: Games1316 min. Evelina Korolchuk: how to get a group in OK-and get an invitation to shoot the TV show “You are super!” Evelina Korolchuk told about her Knopka blog of how the authors are different from bloggers fr"&amp;"om other platforms and filming an exclusive backstage show “You are super!”.-Tell me about your blog. How long have you been leaving it and what have you been talking about? - My group is called Knopka. In general, I have been a blog in several platforms "&amp;"for two years: I have been publishing a video in OK and other social networks. For example, today I have more than 232,000 subscribers on YouTube. I take off your reviews on the content of popular bloggers. The history of my project began with the fact th"&amp;"at I began to come across interesting blogs in which unusual ideas for development and promotion were used. I wanted to tell other people about these projects. Any blog that has not yet acquired thousands of subscribers is somewhat underestimated - it is "&amp;"worth introducing a wider audience to it. During the preparation for the first releases, I myself was looking for information about heroes on the Internet. Over time, when I had more subscribers, I began to personally write bloggers through the mail to te"&amp;"ll about myself and offer to shoot a video about them. Many authors gladly agreed to my proposal. Recently, I create videos about popular bloggers OK. My first hero was Tyoma - the most popular raccoon in Russia (“The same raccoon Tyoma”). The video with "&amp;"it received more than 650,000 views in OK and almost 25 million views at YouTube Shorts. Users actively continue to watch it. Sometimes my subscribers themselves offer bloggers for new reviews because I have the opportunity to directly contact the authors"&amp;". Now I have already recorded several interviews with popular bloggers OK that will be released in September-October. In addition to reviews on the modern content of bloggers, I often looked for their very first videos and other early publications. I want"&amp;"ed to show the audience to especially beginner authors that not everyone immediately creates perfect videos at once - the videos can turn out to be very “raw”, but regardless of this, you can get a cool result and become popular in the future. I try to ta"&amp;"lk about the useful advice of techniques and tools for advance that would be useful to subscribers. I have many interesting ideas for the video for transitions and for entry. That is, if the novice author does not know what to take a video about, I can ex"&amp;"plain how to make memorable content. I am also leading a popular section for beginner bloggers and when I am at events and communicate with bloggers I ask them to give useful advice to beginners or tell what helped to dial the first subscribers. Often the"&amp;" authors are divided by unique mechanisms to attract the audience - and I also tell about this. “How are the authors of OK and bloggers of other platforms?” - it seems to me the authors of OK are more sincere and open. They share with the audience importa"&amp;"nt events of their life. On the platform, bloggers are ready to show what is happening to them at every moment and publish not only expert content. In addition, the audience is very warm - and she likes interesting videos. The author of the OK with whom I"&amp;" spoke noted that the platform provides many opportunities for promotion. There are many different buttons and settings for creating content in various formats - video posts, etc. It seems that it is simply impossible to study all tools OK in one day! The"&amp;" OK team supports bloggers and gives useful tips through the group for authors Chats with the Support Service and other communication channels. In the summer, I was at the social network for the Content Content, I saw people who lead groups on this site a"&amp;"nd realized how much support from OK means for them. - How did you help you in the development of a personal brand? Thanks to OK, I had the opportunity to find a new audience and get acquainted with Many other bloggers who also develop groups on the platf"&amp;"orm. Now I can personally get acquainted with bloggers about which I want to tell you to meet and find out new chips for promotion. This is very important for me because the video about the authors is my main type of content. Now I want to dial the first "&amp;"10,000 subscribers on the site. OK give me the opportunity to work on achieving this goal. For example, recently, thanks to the support of OK, I received an invitation from NTV to shoot the show “You are super!”. I shoot exclusive materials with the stars"&amp;" ""behind the scenes."" These videos received in OK a large number of views and high coverage and content will be very pleased with users. - Tell us about the shooting of the show. What do you usually tell in the clips from the backstage “are you super”? "&amp;"- I try to shoot videos about what is interesting to my audience - about blogging. Each artist and musician I ask how he develops his personal brand in social networks. Additionally, I pay attention to how the work with the camera and the light is built. "&amp;"In fact, in most cases, shooting is a very complex process. Of course, it is interesting to see how many people participate in the work on such a large -scale project as a television show. And watching this process, even a blogger, you can learn a lot abo"&amp;"ut working on video and content supply. Of course I liked to communicate with the artists. For example, on the set ""You are super!"" We talked in the make -up artist with Alexei Vorobyov. He told about his working schedule how his life was being built - "&amp;"and it was very interesting for me to talk to him not as a star, but as an ordinary person. I managed to get acquainted with many participants in the show. Despite the complex and stressed filming process, they were glad to appear in the frame and even si"&amp;"ng on the camera. - What is the difference between the authors of OK and bloggers of other platforms? - it seems to me that the authors are more mental and open. They share with the audience important events of their life. On the platform, bloggers are re"&amp;"ady to show what is happening to them at every moment and publish not only expert content. In addition, the audience is very warm - and she likes interesting videos. The author of the OK with whom I spoke noted that the platform provides many opportunitie"&amp;"s for promotion. There are many different buttons and settings for creating content in various formats - video posts, etc. It seems that it is simply impossible to study all tools OK in one day! The OK team supports bloggers and gives useful tips through "&amp;"the group for authors Chats with the Support Service and other communication channels. In the summer, I was at the social network for the Content Content, I saw people who lead groups on this site and realized how much support from OK means for them. - Ho"&amp;"w did you help you in the development of a personal brand? Thanks to OK, I had the opportunity to find a new audience and get acquainted with Many other bloggers who also develop groups on the platform. Now I can personally get acquainted with bloggers ab"&amp;"out which I want to tell you to meet and find out new chips for promotion. This is very important for me because the video about the authors is my main type of content. Now I want to dial the first 10,000 subscribers on the site. OK give me the opportunit"&amp;"y to work on achieving this goal. For example, recently, thanks to the support of OK, I received an invitation from NTV to shoot the show “You are super!”. I shoot exclusive materials with the stars ""behind the scenes."" These videos received in OK a lar"&amp;"ge number of views and high coverage and content will be very pleased with users. - Tell us about the shooting of the show. What do you usually tell in the clips from the backstage “are you super”? - I try to shoot videos about what is interesting to my a"&amp;"udience - about blogging. Each artist and musician I ask how he develops his personal brand in social networks. Additionally, I pay attention to how the work with the camera and the light is built. In fact, in most cases, shooting is a very complex proces"&amp;"s. Of course, it is interesting to see how many people participate in the work on such a large -scale project as a television show. And watching this process, even a blogger, you can learn a lot about working on video and content supply. Of course I liked"&amp;" to communicate with the artists. For example, on the set ""You are super!"" We talked in the make -up artist with Alexei Vorobyov. He told about his working schedule how his life was being built - and it was very interesting for me to talk to him not as "&amp;"a star, but as an ordinary person. I managed to get acquainted with many participants in the show. Despite the complex and stressed filming process, they were glad to appear in the frame and even sing on the camera. The authors of the content1106 min. Key"&amp;"ce of the North Poultry Farm: as using contests by 60%, increase the number of subscribers of the Brendakommand group of the SMMASHING MEDIA agency was engaged in the development of the North Poultry Plant in OK. We tell how the analysis of the preference"&amp;"s of the social network users helped create successful publications and activity on behalf of the brand. The advancement of the North Poultry farm in OK; the results of the North Poultry Poultry Poultry. Also, the creation of various chicken products and "&amp;"semi -finished products. When working on the content for the brand group in OK, the team of the SMMASHING Media agency tried not only to talk about the shares of its own online store of the company, but also to maintain a high involvement of the audience "&amp;"with the help of interesting content. The main task of the development of the Severnaya poultry farm on the platform is an increase in the number of subscribers and the increase in the number of subscribers and their activity. Therefore, the SMMASHING MED"&amp;"IA team wanted to test what topics and content formats will help get the best results. In May 2022 to May 2023, in the North Poultry Fabric group, the involving publications of various formats were placed in OK. The SMMASHING MEDIA agency team has created"&amp;" posts calling for news to the news about discounts in the online store and other materials useful for users. The Enticuations for the publications of the Severnaya Poultry Fabric Group Most of the social networks liked the competitions with pets and chic"&amp;"ken dishes recipes. So in one of the posts, the SMMASHING MEDIA team asked users to write the names of their pets - and received 315 comments with the answers. October users actively participated in competitions with simple conditions. For example, reside"&amp;"nts of St. Petersburg could subscribe to a group of poultry farms ""Severnaya"" and put a ""class"" under a competitive post to get the opportunity to win the prizes-products of the company (breast chicken of the lower leg of the Broiler carcass, etc.). T"&amp;"he most successful brand competition in OK became a draw 15 kg of chicken fillet before the New Year holidays in December 2022. With its help, the SMMASHING MEDIA agency team managed to attract more than 2 thousand new subscribers to the group. The total "&amp;"increase in the number of subscribers of the Severnaya poultry farm group amounted to 60%. Octic users often left “classes” and comments in the brand group under posts created without the use of complex graphics and without processing in photo editors. Fo"&amp;"r example, for posts about competitions with a draw of products of the North Poultry Farm, photographs of prizes close -up were well suited. Thanks to such images, the participants immediately understood what gifts could win. Marketologists21814 min. The "&amp;"councils from popular authors OK: How to make a blog on social networks? Work on a blog in OK requires great attention to the quality of content to the regularity of publication and to many other important details. The creators of the popular Blogs Tim Ke"&amp;"rby (Tim Kerby is the most Russian American) Aziza (Misa and Lölik) Anastasia and Evgeny Zhukov (“Taste of the Zhukov”) and Alexander Basenkov (“Alexander Basenkov. On Life with Parrots”) told what they said to what It is worth paying attention to those w"&amp;"ho are just starting to publish content on the platform. How to choose an idea for a blogacle is important to pay attention to the feedback of the audience; how to develop a consideration in blogging; what additional skills can be needed by the author of "&amp;"the horse. “Try to immediately understand that the path to success in blogging is often very long, it requires effort and patience. Imagine you are running a marathon. And your desire to make a blog and build contact with the audience will help make the p"&amp;"ath to success unforgettable. Create the content that you first like yourself. At the same time, it is not so important which technique you use - you can shoot both on an expensive camera and on a smartphone. The quality of the material depends to a great"&amp;"er extent on how you work on content. With this, the sound in your rollers should be perfect because the audience often pay attention to this. It is good that a recording of good sound is several times cheaper than creating the perfect video. """" Immedia"&amp;"tely decide on the theme of the blog and choose the idea that is close to you. It is good to create content without love for what you do few. Now, for example, in OK, blogs about hobbies are well gaining popularity. At the very beginning of work on the gr"&amp;"oup, it may not be easy for you to gain the first thousand subscribers. But do not succumb to despair and continue to work on content - regularity and motivation are important in blogging. In addition, you can get into the Lightning program that helps beg"&amp;"inners to increase the number of subscribers and promote their community. Listen to the audience feedback - it is very friendly in OK. Support for users of the social network will easily inspire you to new posts! ”“ Develop enough. When our blog only appe"&amp;"ared, we began to observe the activity of other authors analyzed their content and study why some posts like the audience and others. Of course, I had to pay attention to the technical component: the composition of the frame is working with sound and a vi"&amp;"deo sector. Thanks to this, we were able to find an individual blog style. ”“ Learn to mount a video - first you will have enough elementary skills: how to add audio to attach a beautiful signature, etc. Installation will make your videos better and subsc"&amp;"ribers will notice it. Right up the site on which you plan to plan develop. The authors in OK can use different formats and tools. Try to understand how they work - and what is suitable for your blog. ”They help the authors develop groups on the platform "&amp;"and find a new involved audience. Recently, the second season of the Content Academy was launched - a free educational course for bloggers who want to develop a personal brand. Join the project to find out how to create a successful blog on an interesting"&amp;" topic in OK! Content authors25616 min. OK news will support the day of the fight against cyberbulling on November10, 2023ok updated the “hobbies” service and presented the campaign in support of positioning as the hobby territory31 on October 31, 2023 Wi"&amp;"nter -graders updated “hobbies”: communication on interests and expert materials on October30, 2023 in classmates, new tools for groups on October26, 2023 October Modern The most popular professional holidays in Russia explained why people celebrate them "&amp;"on October25, 2023 All the Maheev newscap: how to get 4 million coverage for video bloggers with advertising integrations of March 2023, the Maheev brand began to use new formats for promoting products in OK. So his team began to actively cooperate with t"&amp;"he authors of OK and became a partner of the thematic event of the social network for Cosmonautics Day. We tell how “Maheev” we managed to collect 4 million coverage of videos with advertising integrations from bloggers in Okel of Integration into the con"&amp;"tent of the popular authors of the OK - an increase in the recognition of “Maheev” on the platform. It was important to talk about the advantages of its products and attract a new relevant audience. The first stage of the brand cooperation with the author"&amp;"s of OK became the integration into the content of food bloggers in the March-April 2022 and the second-participation in the thematic event of the social network to the Cosmonautics Day. In the fall of 2022. The platform strengthened the development vecto"&amp;"r as a territory for hobbies where you can easily find interesting content even about the rarest hobby. This allowed Maheev to use new formats to communicate with the audience in OK. According to the brand’s idea, popular authors of cooking blogs could be"&amp;"come his “persons” on the social network and help attract an active audience. Maheev’s work with the Content Content can be divided into two stages - the selection of bloggers and the preparation of the video for publication. In March-April of 2023, the b"&amp;"rand team chose several authors of popular cooks about cooking to understand how effectively advertising in the video on social networks works. Cooperation was proposed by bloggers with a relevant and active audience that cause the trust of OK users due t"&amp;"o the quality content. The Maheev’s influenses became several popular food bloggers OK: “Cooking with Sasha”; “Maria Nefedova”; “Mom prepares”; “recipes | Guzel Pudovkina ”;“ The taste of the Zhukovs ”;“ Dad in the kitchen ”;“ Sushist itself ”;“ Ryabov in"&amp;" the kitchen ”; Master Chef "". Maheev’s bond for more than ten years is one of the power suppliers for the Russian crew of the International Space Station. In April 2022, he became a partner of the OK event for authors on the Cosmonautics Day. Participat"&amp;"ion in this event was an important step for the brand in improving its recognition. Okom and Maheev invited 10 popular authors of the platform to an excursion to the Cosmonautics Museum in Moscow. Five participants in the event are the creators of popular"&amp;" groups about cooking: “recipes for lazy people”; “taste of Zhukovs”; ​​“Sushist itself”; “Dad in the kitchen”; “Ryabov in the kitchen”. The installation participants of the event are conducting travel blogs and popular science : “Dutchman in Russia”; “de"&amp;"finitely safe”; “Girl with an airplane tattoo”; “Travels with a camera”; “Popular science”. Author OK examined the museum exposition during the tour and later took part in the culinary master class and tried to invent Dishes for the diet of astronauts for"&amp;" the ISS. The winners at the end of the event were chosen by the astronaut Sergei Korsakov. The Maheev team prepared special gifts for the guest of the master class and all its participants. After the tour and master class, the authors published materials"&amp;" about the event in their social networks with the mention of the brand. This made it possible to talk about their participation in the organization of cosmonauts for more users about their participation in the organization of cosmonauts. Maheev’s brand i"&amp;"s one of the power suppliers for the Russian crew of the International Space Station. In April 2022, he became a partner of the OK event for authors on the Cosmonautics Day. Participation in this event was an important step for the brand in improving its "&amp;"recognition. Okom and Maheev invited 10 popular authors of the platform to an excursion to the Cosmonautics Museum in Moscow. Five participants in the event are the creators of popular groups about cooking: “recipes for lazy people”; “taste of Zhukovs”; ​"&amp;"​“Sushist itself”; “Dad in the kitchen”; “Ryabov in the kitchen”. The installation participants of the event are conducting travel blogs and popular science : “Dutchman in Russia”; “definitely safe”; “Girl with an airplane tattoo”; “Travels with a camera”"&amp;"; “Popular science”. Author OK examined the museum exposition during the tour and later took part in the culinary master class and tried to invent Dishes for the diet of astronauts for the ISS. The winners at the end of the event were chosen by the astron"&amp;"aut Sergei Korsakov. The Maheev team prepared special gifts for the guest of the master class and all its participants. After the tour and master class, the authors published materials about the event in their social networks with the mention of the brand"&amp;". This made it possible to tell about their participation in the organization of cosmonauts for more users. With the help of integration in the content of authors, the Maheev brand was able to improve communication with potential buyers: the authors OK pu"&amp;"blished 23 posts with videos in their groups. The average coverage of the selected bloggers is 931 833 per month and their total coverage is 13,977 505 per month. Users watched the videos with the integration of ""Maheev"" 4 million times (EDV amounted to"&amp;" 472%). Thanks to the activity of subscribers and the features of the algorithmic tape, the Octo coverage of advertising posts in groups increased by an average of 76%. “Classes” and user comments are visible to all their friends (if they themselves do no"&amp;"t want to hide the reactions). Therefore, the video was able to see even more users. The brand was able to attract an audience from different cities due to the placement of integration in groups of authors. The largest coverage of posts and rollers about "&amp;"“Maheev” received in Moscow (1402%) Novosibirsk (1010%) of Krasnodar (638%) of St. Petersburg (527%) and Yekaterinburg (484%). Using integration into the content of authors, the Maheev brand was able to improve communication with potential buyers: the aut"&amp;"hors OK published 23 posts with videos in their groups. The average coverage of the selected bloggers is 931 833 per month and their total coverage is 13,977 505 per month. Users watched the videos with the integration of ""Maheev"" 4 million times (EDV a"&amp;"mounted to 472%). Thanks to the activity of subscribers and the features of the algorithmic tape, the Octo coverage of advertising posts in groups increased by an average of 76%. “Classes” and user comments are visible to all their friends (if they themse"&amp;"lves do not want to hide the reactions). Therefore, the video was able to see even more users. The brand was able to attract an audience from different cities due to the placement of integration in groups of authors. The largest coverage of posts and roll"&amp;"ers about “Maheev” received in Moscow (1402%) Novosibirsk (1010%) of Krasnodar (638%) of St. Petersburg (527%) and Yekaterinburg (484%). Using integration into the content of authors, the Maheev brand was able to improve communication with potential buyer"&amp;"s: the authors OK published 23 posts with videos in their groups. The average coverage of the selected bloggers is 931 833 per month and their total coverage is 13,977 505 per month. Users watched the videos with the integration of ""Maheev"" 4 million ti"&amp;"mes (EDV amounted to 472%). Thanks to the activity of subscribers and the features of the algorithmic tape, the Octo coverage of advertising posts in groups increased by an average of 76%. “Classes” and user comments are visible to all their friends (if t"&amp;"hey themselves do not want to hide the reactions). Therefore, the video was able to see even more users. The brand was able to attract an audience from different cities due to the placement of integration in groups of authors. The largest coverage of post"&amp;"s and rollers about “Maheev” received in Moscow (1402%) Novosibirsk (1010%) of Krasnodar (638%) of St. Petersburg (527%) and Yekaterinburg (484%). Videos in groups of the authors of the OK with the mention of Maheev received great coverage and good viewin"&amp;"g depth. The users left 3,937 reactions (“classes” of comments and clicks on the “Share” button) under the video in the Mom Prepaishes about the recipe “Mimosa” With a refueling from the mayonnaise ""Maheev"". The recipient of Maffin with jam ""Maheev"" i"&amp;"n the group ""Cooking with Sasha"" received the highest EDV - 553%. Igor Chernyakov’s author of the Sushist’s very sushist on the method of preparing home stripes with Maheev sauce I collected 224 235 coverage and 2,554 reactions. Videoroliki in groups of"&amp;" the authors of the OK with the mention of Maheev received large coverage and good viewing depth. The users left 3,937 reactions (“Classes” of comments and clicks on the “Share” button) under the video in the group "" Mom is preparing ”about the recipe fo"&amp;"r“ Mimosa ”salad with a refueling from the mayonnaise of“ Maheev ”. Maffin's recipient with jam“ Maheev ”in the group“ Cooking with Sasha ”received the highest EDV - 553%. Royal Chernyakov’s author“ Simple Sushist ”about about The method of preparing home"&amp;" strips with the Maheev sauce collected 224 235 coverage and 2,554 reactions. The support of the event of the Cosmonautics Day made the brand in an unusual format to tell a wide audience that Maheev products are delivered to the ISS. After the tour and ma"&amp;"ster class, the authors of OK prepared a video for their blogs. Video in the Popular Science group about Yuri Gagarin and about modern space nutrition, which includes Maheev sauces 116,547 coverage. Elena Liseikina Rolley in the group “Traveling with a ca"&amp;"mera »On the life of astronauts at the Mir station and the modern use of Maheev products in orbit received EDV 692%. Video of the authors of Evgeny and Anastasia Zhukov in the GUKOVA Taste group about the preparation of Free Cosmic Potatoes was able to ga"&amp;"in 51,558 coverage. The results of the event were also published in their groups a common video about the excursion and master class. OK users watched it more than 500 thousand times. All invited content creators in OK additionally, at their own request, "&amp;"published posts for the Day of Cosmonautics on the pages in other social networks. This helped the Maheev brand receive additional coverage and mentioning for free. Marketologists 9622 Min. The Keyce of Science and Komsomolskaya Pravda: how to increase th"&amp;"e involvement of the audience with a design from neurosetiko the day of astronautics of the Nauka and Komsomolskaya Pravda, prepared unusual Settings of stickers for their subscribers in approx. We tell how the creative approach in the use of neural netwo"&amp;"rks to create stickerpaks helped the media to increase the size of the loyal audience on the platform. The command of the Nauka television channel (included in the media holding “Digital Television”) and “Komsomolskaya Pravda” wanted to first increase the"&amp;" number of subscribers in their groups with the help instruments approx. They also wanted to use modern neural networks to create interesting stickerpaki users. The TV channel has used several popular neural networks to create a set of stickers - Midjourn"&amp;"ey and Stable Diffusion. Designers and authors were inspired by science fiction illustrations of the mid-20th century and complemented the resulting images with phrases that can be used every day. When the user of OK added stickers, he automatically agree"&amp;"d to subscribe to the Science group. When creating a sticker, the Komsomolskaya Pravda team used not only neural networks but also non -standard greetings. As in the case of a set of stickers from the Science TV channel, the user who wanted to install the"&amp;" stickers of the Komsomolskaya Pravda group received an offer to join it. This mechanics allowed the media team to increase the number of subscribers in OK due to the audience interested in stickerpaks. Wasteers created using neural networks helped the te"&amp;"ams of both media find a new audience in OK: The Stage Packet helped the television channel to attract more than 32,500 new subscribers to the OK group; more than 7 more than 7 000 users subscribed to the Komsomolskaya Pravda group after installing a set "&amp;"of stickers on the Cosmonautics Day. Media8614 min. Case X5 Group in OK: how to get 48 million coverage of authors' content about the Packet service in May 2023 X5 Group launched the service campaign of the service "" Plastic bag"" . With its help, buyers"&amp;" of the Pyaterochka and Crossroads of retail chains can receive and spend points for purchases. We explain how cooperation with the authors helped the company to achieve 48 million coverage of publications and how the features of the platform algorithms a"&amp;"llowed to reduce CPV 12 times. In the first place for the X5 Group, it was important to explain how the Penterochka and Crossroads Service Service work in retail chains - And show that it can be connected immediately at the checkout. In addition, the team"&amp;" of the trading company planned to tell users OK about the Treasure Shop. During it, buyers of the Pyaterochka retail network received commemorative coins for every 600 rubles in the check or for connecting the package service at the box office and also p"&amp;"articipated in the prize draw. I am ok with the territory of hobbies where every user can find materials on an interesting topic and the author of the content is an audience that will actively watch publications about his hobby. The X5 Group team decided "&amp;"to offer cooperation to the popular culinary bloggers of the platform but additionally attracted the joint creation of content and those who publish content on other topics. The main criteria for choosing authors for integration became: the style of commu"&amp;"nication with the audience; activity of subscribers under rollers and posts. The X5 Group team invited bloggers to integrate advertising into the plot of the main video - for example, a recipe for okroshka and cheesecakes or a video about going to the sto"&amp;"re. In the middle of the video, the authors explained how to connect the “package” service at the box office at Pyaterochka and also showed the number of points received for the purchase and coin from the “Treasure Shop” campaign. In a commentary on the r"&amp;"ollers, all bloggers added a link to the ""Package"" service. Users had to cross the subscription and save the resulting barcode to show it at the checkout. Before launching advertising integrations, the X5 Group team assumed that it would receive an aver"&amp;"age of about 400 thousand views of bloggers from CPV (Cost Per View English. View ”) about 2 rubles. The results of cooperation with the authors of OK surpassed the expectations of the advertiser: the general coverage of bloggers with advertising rates on"&amp;" the Package service from April 20 to June 14 - 48 million unique users; CPV amounted to on average 019 rubles - 12 times lower than expected in the X5 Group. This was made possible thanks to the work of the OK algorithms: many authors' videos received ad"&amp;"ditional free promo due to getting into the recommendation; 139% of users who have seen videos with advertising integrations of authors live in Moscow in Novosibirsk-99% in Krasnodar-62% in St. Petersburg-5% and in Chelyabinsk-37%. In addition, the video "&amp;"was watched by the audience from Ufa Saratov Kazan Rostov-on-Don Chita Stavropol Omsk Volgograd and other cities. Bloggers received the most coverage with a story about how cashback works and what its profitability is. For example, Victoria Zlobina’s vide"&amp;"o about the campaign in Pyaterochka, together with her daughter, gained 254,727 views. The growth of total coverage amounted to 4137%. Successful publication in the number of transitions and responses was a video of the Sushista blogger Igor Chernyakov. I"&amp;"n a minute video, the author told why to make rolls at home more profitable. He bought the ingredients in the store and explained to the audience why using the package service is profitable. At the results of cooperation with bloggers, the X5 Group team c"&amp;"ame to the conclusion that the integration of products advertising as authors with similar topics brings the best results. Video about the advantages of the “Package” service interested a wide audience and received high coverage. The brand’s team notes th"&amp;"at the result of cooperation with the authors was also affected by the timing of the rollers - on average one blogger in OK lasts up to 5 minutes. In the future, representatives of the X5 Group plan during each campaign to continue cooperation with one au"&amp;"thor and offer him advertising integrations that will occupy 10-15% of the duration of the roller. According to the X5 Group, this will help to gradually interest users with the product. Martologists 20713 min.ok Media Challenge 2023. The last fourth stag"&amp;"e of Ok Media Challenge 2023 has been ready to summarize the contest for regional media and present the winners. Ok Media Challenge 2023 became a marathon. Our participants came up with simple but interesting activity for subscribers. The jury rated the c"&amp;"reative and set the points for tasks. For four weeks, the participants learned all about posting in OK correctly issued groups set up widgets actively published posts and launched marathons for subscribers. Within the framework of OK Media Challenge 2023,"&amp;" many media actively performed tasks kept a high bar throughout the challenge and walked along the points almost on a par with each other. We are glad that the competition took place and are sure that the acquired knowledge will be useful to the participa"&amp;"nts further. And now the final table with the jury ratings : Congratulations to “Arig Ussa” “Kaliningrad.ru” “Komsomolskaya Pravda. Samara ""! Winners receive promotional codes in the amount of 50 30 and 15 thousand rubles for advertising on a social netw"&amp;"ork as well as additional support from OK during the year, branded merch and award figurines. We delight for participating in the competition! Certificate of passing OK Media Challenge 2023 Participants can take here. See the link. See the link. The jury "&amp;"is final and cannot be challenged by the participants. Detailed rules for participating in the competition can be found by reference .ok Media Challenge2304 min. How to attract 15 million users to participate in the competition using the IITELEKANAL “Mosc"&amp;"ow 24” launched a competition in OK to strengthen the presence of the brand on the platform and increase the activity of the audience. We tell how the creative approach helped the media team create an unusual idea of ​​the competition and also increase th"&amp;"e number of group subscribers and their involvement. The team of the TV channel wanted to increase the recognition of the Moscow 24 brand among users of the social network and attract a new audience to view their content. Therefore, the goals of the promo"&amp;"tion of “Moscow 24” in OK were the growth of the number of subscribers of the media group and their activity under the publications (set “classes” of presses on the “Share” button and comments). The Moscow 24 decided to conduct the competition and use it "&amp;"when preparing it. Midjourney neural network. In June and July, on Tuesdays, in the TV channel group posts were published with two pictures generated with the help of AI. The participants of the competition wrote in the comments which picture of the neura"&amp;"l network generated in the text of the songs of proverbs and sayings about Moscow. To attract viewers to participate, the TV channel told about the conditions of the competition on the air to cross the QR code to the OK group and guess the correct answer."&amp;" The hosts of Moscow 24 chose the winner for each post on the air. The publication of Moscow 24 with the competition was seen by 45 million users of OK. In addition, the channel managed to cover 11 million viewers. More than 15,000 users guessed the songs"&amp;" of proverbs about Moscow and commented on posts; posts with the competition collected in the amount of 1,748 reactions and during the days of their publication the total number of reactions exceeded the average indicators of the group per day by about 50"&amp;"% ; Within ten competitive days, 6,000 users of OK subscribed to the Moscow 24 group - 20% more than the average monthly audience growth. Media12111111111111111111111111111111111111111111111111111111111111111111111111111s FM: how to get 350 thousand music"&amp;" videos with cats of users' radio station ""Humor FM"" launched a creative campaign in approx. Users sent a video with their cats who purred meowed or made other funny sounds. According to the results of the rally, the radio station chose funny videos cre"&amp;"ated a video about space cos on their basis. We tell how “Humor FM” was able to involve OK users in creating a common video with pets. For several years, the black cat is part of the logo and the recognizable mask “Humor FM”. Therefore, the team of the ra"&amp;"dio station decided to launch funny pictures of cats and cats to the Marathon Day (March 1). As the results of the action, 13 thousand users of social networks published their photos with their favorite pets. This marathon was the first in the radio stati"&amp;"on group - and immediately attracted the attention of the audience. The “Humor FM” team noticed the desire of users to create content about their cats and decided to create a campaign-continuing the photo marathon. Before launching a new project, the team"&amp;" of the radio station conducted a small study and found out that one of the most popular formats of the animal entertainment content is short videos. Users often use such videos for creating funny songs and clips. Komanda FM Humor FM invited the subscribe"&amp;"rs of their group to OK to send funny videos with cats who meow the purl theirs, etc. The most unusual sounds of the pets entered the audio traffic and the rollers and the clip which is in the clip that is It was created under the ""cat"" track. The autho"&amp;"rs of the video that were used to create the final video cosmot videos received gifts from the radio station. The opened receipt of applications for participation allowed the Humor FM team to significantly increase the involvement of the audience. Users a"&amp;"ctively sent the video and waited for when it would be possible to hear and see their cats in the final video. The open acceptance of applications for participation allowed the Humor FM team to significantly increase the involvement of the audience. Users"&amp;" actively sent the video and waited for when it would be possible to hear and see their cats in the final video. On April 26, the Humor FM team exclusively posted the final video with space cockers in the group in the ok and later published it on other pl"&amp;"atforms. Cooperation with the authors of groups about animals and the education of children helped to draw attention to the clip and the track. Floggers of “Dearselia” “Laksheri Kotosheri” “Oscar and Plusha” “Belchok in the house” “Lex and Foxi” “Fox in t"&amp;"he house” “Dai meow” and “Charming Chihuahua Lavrik” recorded the reaction of the pets to the video and Alla who conducts a blog about parenting She took off her child’s dance for this track. “Humor FM” managed to use the creative campaign not only to cre"&amp;"ate interesting content for the group in OK but also increase the involvement of their audience on the platform. The users left more than 2 thousand comments under the post on the competition of funny videos with cats ; In one day, the clip collected more"&amp;" than 200 thousand views (at the time of writing the case, users watched it already more than 357 thousand times); more than 232 thousand users watched videos of bloggers with a reaction on video and the authors received more than 1,300,000 views . Media1"&amp;"3114 min.ok Media Challenge 2023: the results of the third week of Ok Media Challenge 2023 and we are ready to take stock and we were ready to take stock. Our participants actively published posts and also held direct broadcasts or joint video calls. Some"&amp;" contestants were able to attract interesting speakers of local stars and bloggers for which they received additional points. READY OF THE Third week and the results of the three stages, see below: Ahead of the Fourth Final Week of the Nedeza. The rating "&amp;"may change. We wish all participants in good luck! You can see your grades for a specific task in the document on the link. With detailed rules of participation in the competition, you can familiarize yourself with here.ok Media Challenge1534 mines. Milit"&amp;"ary graders launch an updated “Content Academy” dedicated to the personal brand sciences of the course will have access not only to the lessons But also to useful checklists and guides for working on the site. In addition, students will receive feedback f"&amp;"rom bloggers-teachers and social networks. The best students will receive certificates for the purchase of techniques for filming content and the possibility of cooperation with a team for working with the authors of the Content of Ok. Affairs of teachers"&amp;": Ana Mavricheva is the founder of the female international community Code of publicity, “Code of publicity” Expert-practitioner in promoting the first persons of the stars Show business and billionnaire bloggers speaker of federal and international forum"&amp;"s. Katya Gershuni is a blogger TV presenter one of the most reputable style experts who creates images of famous people from the world of movie of the television of politics and show business. The author of his own master classes and webinars about fashio"&amp;"n and style. Olga Gladkova is a blogger photographer of the show business stars of the Ambassador Nikon in Russia Speaker of Russian and International Schools and Conferences of the Photography Founder of the Photo of the Magic of the Portrait. Catherine "&amp;"Mikhailova-author Blog ""Catherine. Honest Confectioner ”with an audience of 500k subscribers on different platforms A confectioner with 9 years of experience, a participant in the TV transmission on REN-TV TNT Friday 78 Channel as a culinary expert. Blog"&amp;"ger artist designer author of books and magazines for children. Tani Shuvaeva-Tani Shuvaeva-Creator-Creator-Creator-Creator Brand Strateg and Content Producer Founder and head of the Innoe.ru agency Author of courses on creating creative content strategy "&amp;"Creator of a charity project “Content for the benefit.” Marketologist Marketer with 15 years of experience psychologist author of his own courses about content marketing author A series of videos on the psychology of promotion in social networks. After pa"&amp;"ssing all lessons, students will be able to undergo a test for consolidating new material. Users who, according to the results of training, will gain at least 25 points from the maximum possible 30 will receive an electronic certificate of passing the cou"&amp;"rse from OK. Three best graduates will receive certificates for purchasing equipment for maintaining their blog. And also the best graduates will have additional support for the OK team for working with the authors. To become a student of the course, it i"&amp;"s necessary to register on the project website. In the past, the “Academy of Content” was devoted to how interesting content to shoot photos and videos to find like -minded people. More than 45 thousand users of social networks became students and the bes"&amp;"t of them received support in the development of the blog from the social network Odnoklassniki. Contains Content 3644 min. Rambler &amp; Co: how to attract 5 thousand subscribers using the brand group in OKV July Media holding RAMBLER &amp; CO launched a set of "&amp;"thematic frames in OK. Users could decorate them with profile avatars and show friends that they like a lot of things in the summer. We tell how the creative approach and analysis of the preferences of the audience helped the brand get 130 thousand settin"&amp;"gs of the framework and increase the number of group subscribers in OK by 5 thousand. Rambler &amp; Co has an increase in the group’s audience in OK. Therefore, the team of the media holding chose one of the most popular platform tools - frame. After installi"&amp;"ng it on the Avatar through the “Magic framework” application, the user receives an offer to subscribe to the group that launched it. The concept of the Rambler &amp; Co framework appeared after the analysis of interests that are most relevant in the summer f"&amp;"or the audience of OK. So the team of the media holding chose several popular topics: the sea; travel; vacation; smiles. Coming out the frame, which included in the set, reflected one of the topics of the selected ideas - and OK users could install the op"&amp;"tion that is most appropriate for their mood. Of the topics of the selected ideas - and OK users could set the option most appropriate to their mood on the avatar. At once, after the announcement of the framework in the Rambler &amp; Co group, the number of s"&amp;"ubscribers began to grow. This happened largely due to the features of the work of the OK algorithms. Users saw that their friends set up new frames on avatars chose the same decoration for the main photo of their profiles and received an offer to join th"&amp;"e Rambler &amp; Co group. In a few weeks, the number of subscribers of the media holding in OK increased by 5 thousand users. The publication of the framework helped the brand start building interaction with users already at the beginning of development on th"&amp;"e site. Frames - a tool that can help business of any orientation increase the number of subscribers in OK. You can find out more information about how to promote the brand on the platform in the “OK for business.” MARKETOLOGS1416 min.ok Media Challenge 2"&amp;"023: the results of the second indivisible stage of the OK Media Challenge 2023 contest behind and we are ready to present points from the jury. tasks. During the week, our contestants actively published posts and also created interesting longrids and mas"&amp;"tered the tools in the editor of the posts. The participants' rating at the moment looks like: this is only the second week of thead for thead forces and the rating can change! We are waiting for cool and creative solutions from the contestants at the thi"&amp;"rd stage! You can see your grades for a specific task in the document by link. Good luck! You can find detailed rules in the competition here .ok Media Challenge1854 min. Showing a lot of classmates of classmates blog! Subscribe to the news materials Cont"&amp;"act on the channel OK norm © Project Odnoklassniki × Subscribe to the newsletter Insideok, miss a lot of cool classmates blog")</f>
        <v>Blog of social networks Odnoklassniki - InSideok.ru RURRIBRICHOVENSTEXPECTEXPECTOLOGOGOMDLE MEDIA INSTRUCTIONAL ATSURATIONS OF CONTARTISHING MEDIA Challenge dursions Oko design of MAREALIALYCELALY KONEPTASISKOSSK SLENT SHOULD MUCH CLUARE from the BLOG of ONELOCERS! OK updated the “hobbies” service and presented the campaign in support of positioning as a hobbic territory by the updated “hobbies”: now it is a full -format service with different types of content in the most popular categories of hobbies and new communication opportunities. Update ... News1625 min. Military graders updated “hobbies”: communication on interests to professionals and expert materials presented updated “hobbies”: now it is a full -format service with different types of content and new communication opportunities. OK users can not only find ... News2804 min. Minutes, launch an updated “Content Academy” dedicated to personal branded classmates launch the second stream of “Content Academy” - a free educational course for bloggers who want to develop a personal brand. ... Contain authors 3644 min. OK have grown 2 times from the beginning of the year, the event at the event for the creators of the Prime Time content shared the results of the work of the content platform of the social network over the past year. During this time, two monetization programs were opened ... Content authors 3085 min. How to conduct broadcasts in OK using OBS Studio? Direct broadcasts are one of the most popular formats among content creators. During the broadcast, bloggers can communicate with users online ... Marketeologists1 20113 Min Instruction: how to confirm the fact of creating an official page of the body or organization in OK through “State Services” from December 1, 2022 state bodies of local self -government and their subordinate organizations (hereinafter - bodies and bodies and bodies and bodies Organizations) create ... marketer 3244 min. New mediakitis 2023: global updates to the okok presented mediakitis that gives the authors to marketing and business representatives Fresh information about new products and services of classmates as well as ... Marketing1 6792 min. Instructions: as authors and groups to label advertising in OK and reporting on her on September 1, 2022, amendments to the Federal Law “On Advertising” dated 03/13/2006 N 38-ФЗ (O ... Content Author 30410 min. Game digest. Autumn 2023, We told you that we launched that we launched that we launched The ability to connect a support for players in adding text reviews from users to games and on the introduction of advertising Sticky banners. Autumn brought no less interesting updates for developers that have become a logical continuation of the summer projects.#Actual: check the availability of advertising blockers on the user's device#novelty: new banner advertising opportunities for monetization #s: Valdation of payments in json#updates: Event about adding Reviews about the game from the user, blockers of advertising are known to everyone's ability to unpleasantly influence the monetization of games. Therefore, we came up with a method for you to check the presence of an advertisement on the user device. The presence of an on advertising lock on so far can be found only for games running on the desktop version of OK. About how to do this, learn more by the link: want to monetize your game but are not ready to integrate advertising through SDK? We have prepared for you the possibility of banner advertising cars. You just have to choose the type of display of banners in the settings: with the shift of the game “above” the game interface or “under” it. If you want to use another type of display of banners, for example, advertising on top of the game container will need to turn off the autocracy of advertising in the game settings and configure the call of advertising methods SDK. Now, the following types of advertising banners are available in OK: on top of the game container (top or from below) - to Mobile Desktop Android; with a shift in the game container (up or down) - by Mobile Desktop Android. You asked us to replace the format of validation of XML payment by XML by Json and we did it! When working with the API OK in various matters, the JSON format has long been actively used and now we have supported it in payments so that you are more comfortable to work. This is the opportunity to have all the games by default and does not require any additional configuration. About what needs to be done to go to the new validation format read the link below. The game developers in OK got the opportunity to instantly receive information about the addition of a new review of the game. When subscribing to this event, all new user reviews and their change will come to you on Webhook specified in the game settings. You can find out how to subscribe to this type of event by the link: Games1316 min. Evelina Korolchuk: how to get a group in OK-and get an invitation to shoot the TV show “You are super!” Evelina Korolchuk told about her Knopka blog of how the authors are different from bloggers from other platforms and filming an exclusive backstage show “You are super!”.-Tell me about your blog. How long have you been leaving it and what have you been talking about? - My group is called Knopka. In general, I have been a blog in several platforms for two years: I have been publishing a video in OK and other social networks. For example, today I have more than 232,000 subscribers on YouTube. I take off your reviews on the content of popular bloggers. The history of my project began with the fact that I began to come across interesting blogs in which unusual ideas for development and promotion were used. I wanted to tell other people about these projects. Any blog that has not yet acquired thousands of subscribers is somewhat underestimated - it is worth introducing a wider audience to it. During the preparation for the first releases, I myself was looking for information about heroes on the Internet. Over time, when I had more subscribers, I began to personally write bloggers through the mail to tell about myself and offer to shoot a video about them. Many authors gladly agreed to my proposal. Recently, I create videos about popular bloggers OK. My first hero was Tyoma - the most popular raccoon in Russia (“The same raccoon Tyoma”). The video with it received more than 650,000 views in OK and almost 25 million views at YouTube Shorts. Users actively continue to watch it. Sometimes my subscribers themselves offer bloggers for new reviews because I have the opportunity to directly contact the authors. Now I have already recorded several interviews with popular bloggers OK that will be released in September-October. In addition to reviews on the modern content of bloggers, I often looked for their very first videos and other early publications. I wanted to show the audience to especially beginner authors that not everyone immediately creates perfect videos at once - the videos can turn out to be very “raw”, but regardless of this, you can get a cool result and become popular in the future. I try to talk about the useful advice of techniques and tools for advance that would be useful to subscribers. I have many interesting ideas for the video for transitions and for entry. That is, if the novice author does not know what to take a video about, I can explain how to make memorable content. I am also leading a popular section for beginner bloggers and when I am at events and communicate with bloggers I ask them to give useful advice to beginners or tell what helped to dial the first subscribers. Often the authors are divided by unique mechanisms to attract the audience - and I also tell about this. “How are the authors of OK and bloggers of other platforms?” - it seems to me the authors of OK are more sincere and open. They share with the audience important events of their life. On the platform, bloggers are ready to show what is happening to them at every moment and publish not only expert content. In addition, the audience is very warm - and she likes interesting videos. The author of the OK with whom I spoke noted that the platform provides many opportunities for promotion. There are many different buttons and settings for creating content in various formats - video posts, etc. It seems that it is simply impossible to study all tools OK in one day! The OK team supports bloggers and gives useful tips through the group for authors Chats with the Support Service and other communication channels. In the summer, I was at the social network for the Content Content, I saw people who lead groups on this site and realized how much support from OK means for them. - How did you help you in the development of a personal brand? Thanks to OK, I had the opportunity to find a new audience and get acquainted with Many other bloggers who also develop groups on the platform. Now I can personally get acquainted with bloggers about which I want to tell you to meet and find out new chips for promotion. This is very important for me because the video about the authors is my main type of content. Now I want to dial the first 10,000 subscribers on the site. OK give me the opportunity to work on achieving this goal. For example, recently, thanks to the support of OK, I received an invitation from NTV to shoot the show “You are super!”. I shoot exclusive materials with the stars "behind the scenes." These videos received in OK a large number of views and high coverage and content will be very pleased with users. - Tell us about the shooting of the show. What do you usually tell in the clips from the backstage “are you super”? - I try to shoot videos about what is interesting to my audience - about blogging. Each artist and musician I ask how he develops his personal brand in social networks. Additionally, I pay attention to how the work with the camera and the light is built. In fact, in most cases, shooting is a very complex process. Of course, it is interesting to see how many people participate in the work on such a large -scale project as a television show. And watching this process, even a blogger, you can learn a lot about working on video and content supply. Of course I liked to communicate with the artists. For example, on the set "You are super!" We talked in the make -up artist with Alexei Vorobyov. He told about his working schedule how his life was being built - and it was very interesting for me to talk to him not as a star, but as an ordinary person. I managed to get acquainted with many participants in the show. Despite the complex and stressed filming process, they were glad to appear in the frame and even sing on the camera. - What is the difference between the authors of OK and bloggers of other platforms? - it seems to me that the authors are more mental and open. They share with the audience important events of their life. On the platform, bloggers are ready to show what is happening to them at every moment and publish not only expert content. In addition, the audience is very warm - and she likes interesting videos. The author of the OK with whom I spoke noted that the platform provides many opportunities for promotion. There are many different buttons and settings for creating content in various formats - video posts, etc. It seems that it is simply impossible to study all tools OK in one day! The OK team supports bloggers and gives useful tips through the group for authors Chats with the Support Service and other communication channels. In the summer, I was at the social network for the Content Content, I saw people who lead groups on this site and realized how much support from OK means for them. - How did you help you in the development of a personal brand? Thanks to OK, I had the opportunity to find a new audience and get acquainted with Many other bloggers who also develop groups on the platform. Now I can personally get acquainted with bloggers about which I want to tell you to meet and find out new chips for promotion. This is very important for me because the video about the authors is my main type of content. Now I want to dial the first 10,000 subscribers on the site. OK give me the opportunity to work on achieving this goal. For example, recently, thanks to the support of OK, I received an invitation from NTV to shoot the show “You are super!”. I shoot exclusive materials with the stars "behind the scenes." These videos received in OK a large number of views and high coverage and content will be very pleased with users. - Tell us about the shooting of the show. What do you usually tell in the clips from the backstage “are you super”? - I try to shoot videos about what is interesting to my audience - about blogging. Each artist and musician I ask how he develops his personal brand in social networks. Additionally, I pay attention to how the work with the camera and the light is built. In fact, in most cases, shooting is a very complex process. Of course, it is interesting to see how many people participate in the work on such a large -scale project as a television show. And watching this process, even a blogger, you can learn a lot about working on video and content supply. Of course I liked to communicate with the artists. For example, on the set "You are super!" We talked in the make -up artist with Alexei Vorobyov. He told about his working schedule how his life was being built - and it was very interesting for me to talk to him not as a star, but as an ordinary person. I managed to get acquainted with many participants in the show. Despite the complex and stressed filming process, they were glad to appear in the frame and even sing on the camera. The authors of the content1106 min. Keyce of the North Poultry Farm: as using contests by 60%, increase the number of subscribers of the Brendakommand group of the SMMASHING MEDIA agency was engaged in the development of the North Poultry Plant in OK. We tell how the analysis of the preferences of the social network users helped create successful publications and activity on behalf of the brand. The advancement of the North Poultry farm in OK; the results of the North Poultry Poultry Poultry. Also, the creation of various chicken products and semi -finished products. When working on the content for the brand group in OK, the team of the SMMASHING Media agency tried not only to talk about the shares of its own online store of the company, but also to maintain a high involvement of the audience with the help of interesting content. The main task of the development of the Severnaya poultry farm on the platform is an increase in the number of subscribers and the increase in the number of subscribers and their activity. Therefore, the SMMASHING MEDIA team wanted to test what topics and content formats will help get the best results. In May 2022 to May 2023, in the North Poultry Fabric group, the involving publications of various formats were placed in OK. The SMMASHING MEDIA agency team has created posts calling for news to the news about discounts in the online store and other materials useful for users. The Enticuations for the publications of the Severnaya Poultry Fabric Group Most of the social networks liked the competitions with pets and chicken dishes recipes. So in one of the posts, the SMMASHING MEDIA team asked users to write the names of their pets - and received 315 comments with the answers. October users actively participated in competitions with simple conditions. For example, residents of St. Petersburg could subscribe to a group of poultry farms "Severnaya" and put a "class" under a competitive post to get the opportunity to win the prizes-products of the company (breast chicken of the lower leg of the Broiler carcass, etc.). The most successful brand competition in OK became a draw 15 kg of chicken fillet before the New Year holidays in December 2022. With its help, the SMMASHING MEDIA agency team managed to attract more than 2 thousand new subscribers to the group. The total increase in the number of subscribers of the Severnaya poultry farm group amounted to 60%. Octic users often left “classes” and comments in the brand group under posts created without the use of complex graphics and without processing in photo editors. For example, for posts about competitions with a draw of products of the North Poultry Farm, photographs of prizes close -up were well suited. Thanks to such images, the participants immediately understood what gifts could win. Marketologists21814 min. The councils from popular authors OK: How to make a blog on social networks? Work on a blog in OK requires great attention to the quality of content to the regularity of publication and to many other important details. The creators of the popular Blogs Tim Kerby (Tim Kerby is the most Russian American) Aziza (Misa and Lölik) Anastasia and Evgeny Zhukov (“Taste of the Zhukov”) and Alexander Basenkov (“Alexander Basenkov. On Life with Parrots”) told what they said to what It is worth paying attention to those who are just starting to publish content on the platform. How to choose an idea for a blogacle is important to pay attention to the feedback of the audience; how to develop a consideration in blogging; what additional skills can be needed by the author of the horse. “Try to immediately understand that the path to success in blogging is often very long, it requires effort and patience. Imagine you are running a marathon. And your desire to make a blog and build contact with the audience will help make the path to success unforgettable. Create the content that you first like yourself. At the same time, it is not so important which technique you use - you can shoot both on an expensive camera and on a smartphone. The quality of the material depends to a greater extent on how you work on content. With this, the sound in your rollers should be perfect because the audience often pay attention to this. It is good that a recording of good sound is several times cheaper than creating the perfect video. "" Immediately decide on the theme of the blog and choose the idea that is close to you. It is good to create content without love for what you do few. Now, for example, in OK, blogs about hobbies are well gaining popularity. At the very beginning of work on the group, it may not be easy for you to gain the first thousand subscribers. But do not succumb to despair and continue to work on content - regularity and motivation are important in blogging. In addition, you can get into the Lightning program that helps beginners to increase the number of subscribers and promote their community. Listen to the audience feedback - it is very friendly in OK. Support for users of the social network will easily inspire you to new posts! ”“ Develop enough. When our blog only appeared, we began to observe the activity of other authors analyzed their content and study why some posts like the audience and others. Of course, I had to pay attention to the technical component: the composition of the frame is working with sound and a video sector. Thanks to this, we were able to find an individual blog style. ”“ Learn to mount a video - first you will have enough elementary skills: how to add audio to attach a beautiful signature, etc. Installation will make your videos better and subscribers will notice it. Right up the site on which you plan to plan develop. The authors in OK can use different formats and tools. Try to understand how they work - and what is suitable for your blog. ”They help the authors develop groups on the platform and find a new involved audience. Recently, the second season of the Content Academy was launched - a free educational course for bloggers who want to develop a personal brand. Join the project to find out how to create a successful blog on an interesting topic in OK! Content authors25616 min. OK news will support the day of the fight against cyberbulling on November10, 2023ok updated the “hobbies” service and presented the campaign in support of positioning as the hobby territory31 on October 31, 2023 Winter -graders updated “hobbies”: communication on interests and expert materials on October30, 2023 in classmates, new tools for groups on October26, 2023 October Modern The most popular professional holidays in Russia explained why people celebrate them on October25, 2023 All the Maheev newscap: how to get 4 million coverage for video bloggers with advertising integrations of March 2023, the Maheev brand began to use new formats for promoting products in OK. So his team began to actively cooperate with the authors of OK and became a partner of the thematic event of the social network for Cosmonautics Day. We tell how “Maheev” we managed to collect 4 million coverage of videos with advertising integrations from bloggers in Okel of Integration into the content of the popular authors of the OK - an increase in the recognition of “Maheev” on the platform. It was important to talk about the advantages of its products and attract a new relevant audience. The first stage of the brand cooperation with the authors of OK became the integration into the content of food bloggers in the March-April 2022 and the second-participation in the thematic event of the social network to the Cosmonautics Day. In the fall of 2022. The platform strengthened the development vector as a territory for hobbies where you can easily find interesting content even about the rarest hobby. This allowed Maheev to use new formats to communicate with the audience in OK. According to the brand’s idea, popular authors of cooking blogs could become his “persons” on the social network and help attract an active audience. Maheev’s work with the Content Content can be divided into two stages - the selection of bloggers and the preparation of the video for publication. In March-April of 2023, the brand team chose several authors of popular cooks about cooking to understand how effectively advertising in the video on social networks works. Cooperation was proposed by bloggers with a relevant and active audience that cause the trust of OK users due to the quality content. The Maheev’s influenses became several popular food bloggers OK: “Cooking with Sasha”; “Maria Nefedova”; “Mom prepares”; “recipes | Guzel Pudovkina ”;“ The taste of the Zhukovs ”;“ Dad in the kitchen ”;“ Sushist itself ”;“ Ryabov in the kitchen ”; Master Chef ". Maheev’s bond for more than ten years is one of the power suppliers for the Russian crew of the International Space Station. In April 2022, he became a partner of the OK event for authors on the Cosmonautics Day. Participation in this event was an important step for the brand in improving its recognition. Okom and Maheev invited 10 popular authors of the platform to an excursion to the Cosmonautics Museum in Moscow. Five participants in the event are the creators of popular groups about cooking: “recipes for lazy people”; “taste of Zhukovs”; ​​“Sushist itself”; “Dad in the kitchen”; “Ryabov in the kitchen”. The installation participants of the event are conducting travel blogs and popular science : “Dutchman in Russia”; “definitely safe”; “Girl with an airplane tattoo”; “Travels with a camera”; “Popular science”. Author OK examined the museum exposition during the tour and later took part in the culinary master class and tried to invent Dishes for the diet of astronauts for the ISS. The winners at the end of the event were chosen by the astronaut Sergei Korsakov. The Maheev team prepared special gifts for the guest of the master class and all its participants. After the tour and master class, the authors published materials about the event in their social networks with the mention of the brand. This made it possible to talk about their participation in the organization of cosmonauts for more users about their participation in the organization of cosmonauts. Maheev’s brand is one of the power suppliers for the Russian crew of the International Space Station. In April 2022, he became a partner of the OK event for authors on the Cosmonautics Day. Participation in this event was an important step for the brand in improving its recognition. Okom and Maheev invited 10 popular authors of the platform to an excursion to the Cosmonautics Museum in Moscow. Five participants in the event are the creators of popular groups about cooking: “recipes for lazy people”; “taste of Zhukovs”; ​​“Sushist itself”; “Dad in the kitchen”; “Ryabov in the kitchen”. The installation participants of the event are conducting travel blogs and popular science : “Dutchman in Russia”; “definitely safe”; “Girl with an airplane tattoo”; “Travels with a camera”; “Popular science”. Author OK examined the museum exposition during the tour and later took part in the culinary master class and tried to invent Dishes for the diet of astronauts for the ISS. The winners at the end of the event were chosen by the astronaut Sergei Korsakov. The Maheev team prepared special gifts for the guest of the master class and all its participants. After the tour and master class, the authors published materials about the event in their social networks with the mention of the brand. This made it possible to tell about their participation in the organization of cosmonauts for more users. With the help of integration in the content of authors, the Maheev brand was able to improve communication with potential buyers: the authors OK published 23 posts with videos in their groups. The average coverage of the selected bloggers is 931 833 per month and their total coverage is 13,977 505 per month. Users watched the videos with the integration of "Maheev" 4 million times (EDV amounted to 472%). Thanks to the activity of subscribers and the features of the algorithmic tape, the Octo coverage of advertising posts in groups increased by an average of 76%. “Classes” and user comments are visible to all their friends (if they themselves do not want to hide the reactions). Therefore, the video was able to see even more users. The brand was able to attract an audience from different cities due to the placement of integration in groups of authors. The largest coverage of posts and rollers about “Maheev” received in Moscow (1402%) Novosibirsk (1010%) of Krasnodar (638%) of St. Petersburg (527%) and Yekaterinburg (484%). Using integration into the content of authors, the Maheev brand was able to improve communication with potential buyers: the authors OK published 23 posts with videos in their groups. The average coverage of the selected bloggers is 931 833 per month and their total coverage is 13,977 505 per month. Users watched the videos with the integration of "Maheev" 4 million times (EDV amounted to 472%). Thanks to the activity of subscribers and the features of the algorithmic tape, the Octo coverage of advertising posts in groups increased by an average of 76%. “Classes” and user comments are visible to all their friends (if they themselves do not want to hide the reactions). Therefore, the video was able to see even more users. The brand was able to attract an audience from different cities due to the placement of integration in groups of authors. The largest coverage of posts and rollers about “Maheev” received in Moscow (1402%) Novosibirsk (1010%) of Krasnodar (638%) of St. Petersburg (527%) and Yekaterinburg (484%). Using integration into the content of authors, the Maheev brand was able to improve communication with potential buyers: the authors OK published 23 posts with videos in their groups. The average coverage of the selected bloggers is 931 833 per month and their total coverage is 13,977 505 per month. Users watched the videos with the integration of "Maheev" 4 million times (EDV amounted to 472%). Thanks to the activity of subscribers and the features of the algorithmic tape, the Octo coverage of advertising posts in groups increased by an average of 76%. “Classes” and user comments are visible to all their friends (if they themselves do not want to hide the reactions). Therefore, the video was able to see even more users. The brand was able to attract an audience from different cities due to the placement of integration in groups of authors. The largest coverage of posts and rollers about “Maheev” received in Moscow (1402%) Novosibirsk (1010%) of Krasnodar (638%) of St. Petersburg (527%) and Yekaterinburg (484%). Videos in groups of the authors of the OK with the mention of Maheev received great coverage and good viewing depth. The users left 3,937 reactions (“classes” of comments and clicks on the “Share” button) under the video in the Mom Prepaishes about the recipe “Mimosa” With a refueling from the mayonnaise "Maheev". The recipient of Maffin with jam "Maheev" in the group "Cooking with Sasha" received the highest EDV - 553%. Igor Chernyakov’s author of the Sushist’s very sushist on the method of preparing home stripes with Maheev sauce I collected 224 235 coverage and 2,554 reactions. Videoroliki in groups of the authors of the OK with the mention of Maheev received large coverage and good viewing depth. The users left 3,937 reactions (“Classes” of comments and clicks on the “Share” button) under the video in the group " Mom is preparing ”about the recipe for“ Mimosa ”salad with a refueling from the mayonnaise of“ Maheev ”. Maffin's recipient with jam“ Maheev ”in the group“ Cooking with Sasha ”received the highest EDV - 553%. Royal Chernyakov’s author“ Simple Sushist ”about about The method of preparing home strips with the Maheev sauce collected 224 235 coverage and 2,554 reactions. The support of the event of the Cosmonautics Day made the brand in an unusual format to tell a wide audience that Maheev products are delivered to the ISS. After the tour and master class, the authors of OK prepared a video for their blogs. Video in the Popular Science group about Yuri Gagarin and about modern space nutrition, which includes Maheev sauces 116,547 coverage. Elena Liseikina Rolley in the group “Traveling with a camera »On the life of astronauts at the Mir station and the modern use of Maheev products in orbit received EDV 692%. Video of the authors of Evgeny and Anastasia Zhukov in the GUKOVA Taste group about the preparation of Free Cosmic Potatoes was able to gain 51,558 coverage. The results of the event were also published in their groups a common video about the excursion and master class. OK users watched it more than 500 thousand times. All invited content creators in OK additionally, at their own request, published posts for the Day of Cosmonautics on the pages in other social networks. This helped the Maheev brand receive additional coverage and mentioning for free. Marketologists 9622 Min. The Keyce of Science and Komsomolskaya Pravda: how to increase the involvement of the audience with a design from neurosetiko the day of astronautics of the Nauka and Komsomolskaya Pravda, prepared unusual Settings of stickers for their subscribers in approx. We tell how the creative approach in the use of neural networks to create stickerpaks helped the media to increase the size of the loyal audience on the platform. The command of the Nauka television channel (included in the media holding “Digital Television”) and “Komsomolskaya Pravda” wanted to first increase the number of subscribers in their groups with the help instruments approx. They also wanted to use modern neural networks to create interesting stickerpaki users. The TV channel has used several popular neural networks to create a set of stickers - Midjourney and Stable Diffusion. Designers and authors were inspired by science fiction illustrations of the mid-20th century and complemented the resulting images with phrases that can be used every day. When the user of OK added stickers, he automatically agreed to subscribe to the Science group. When creating a sticker, the Komsomolskaya Pravda team used not only neural networks but also non -standard greetings. As in the case of a set of stickers from the Science TV channel, the user who wanted to install the stickers of the Komsomolskaya Pravda group received an offer to join it. This mechanics allowed the media team to increase the number of subscribers in OK due to the audience interested in stickerpaks. Wasteers created using neural networks helped the teams of both media find a new audience in OK: The Stage Packet helped the television channel to attract more than 32,500 new subscribers to the OK group; more than 7 more than 7 000 users subscribed to the Komsomolskaya Pravda group after installing a set of stickers on the Cosmonautics Day. Media8614 min. Case X5 Group in OK: how to get 48 million coverage of authors' content about the Packet service in May 2023 X5 Group launched the service campaign of the service " Plastic bag" . With its help, buyers of the Pyaterochka and Crossroads of retail chains can receive and spend points for purchases. We explain how cooperation with the authors helped the company to achieve 48 million coverage of publications and how the features of the platform algorithms allowed to reduce CPV 12 times. In the first place for the X5 Group, it was important to explain how the Penterochka and Crossroads Service Service work in retail chains - And show that it can be connected immediately at the checkout. In addition, the team of the trading company planned to tell users OK about the Treasure Shop. During it, buyers of the Pyaterochka retail network received commemorative coins for every 600 rubles in the check or for connecting the package service at the box office and also participated in the prize draw. I am ok with the territory of hobbies where every user can find materials on an interesting topic and the author of the content is an audience that will actively watch publications about his hobby. The X5 Group team decided to offer cooperation to the popular culinary bloggers of the platform but additionally attracted the joint creation of content and those who publish content on other topics. The main criteria for choosing authors for integration became: the style of communication with the audience; activity of subscribers under rollers and posts. The X5 Group team invited bloggers to integrate advertising into the plot of the main video - for example, a recipe for okroshka and cheesecakes or a video about going to the store. In the middle of the video, the authors explained how to connect the “package” service at the box office at Pyaterochka and also showed the number of points received for the purchase and coin from the “Treasure Shop” campaign. In a commentary on the rollers, all bloggers added a link to the "Package" service. Users had to cross the subscription and save the resulting barcode to show it at the checkout. Before launching advertising integrations, the X5 Group team assumed that it would receive an average of about 400 thousand views of bloggers from CPV (Cost Per View English. View ”) about 2 rubles. The results of cooperation with the authors of OK surpassed the expectations of the advertiser: the general coverage of bloggers with advertising rates on the Package service from April 20 to June 14 - 48 million unique users; CPV amounted to on average 019 rubles - 12 times lower than expected in the X5 Group. This was made possible thanks to the work of the OK algorithms: many authors' videos received additional free promo due to getting into the recommendation; 139% of users who have seen videos with advertising integrations of authors live in Moscow in Novosibirsk-99% in Krasnodar-62% in St. Petersburg-5% and in Chelyabinsk-37%. In addition, the video was watched by the audience from Ufa Saratov Kazan Rostov-on-Don Chita Stavropol Omsk Volgograd and other cities. Bloggers received the most coverage with a story about how cashback works and what its profitability is. For example, Victoria Zlobina’s video about the campaign in Pyaterochka, together with her daughter, gained 254,727 views. The growth of total coverage amounted to 4137%. Successful publication in the number of transitions and responses was a video of the Sushista blogger Igor Chernyakov. In a minute video, the author told why to make rolls at home more profitable. He bought the ingredients in the store and explained to the audience why using the package service is profitable. At the results of cooperation with bloggers, the X5 Group team came to the conclusion that the integration of products advertising as authors with similar topics brings the best results. Video about the advantages of the “Package” service interested a wide audience and received high coverage. The brand’s team notes that the result of cooperation with the authors was also affected by the timing of the rollers - on average one blogger in OK lasts up to 5 minutes. In the future, representatives of the X5 Group plan during each campaign to continue cooperation with one author and offer him advertising integrations that will occupy 10-15% of the duration of the roller. According to the X5 Group, this will help to gradually interest users with the product. Martologists 20713 min.ok Media Challenge 2023. The last fourth stage of Ok Media Challenge 2023 has been ready to summarize the contest for regional media and present the winners. Ok Media Challenge 2023 became a marathon. Our participants came up with simple but interesting activity for subscribers. The jury rated the creative and set the points for tasks. For four weeks, the participants learned all about posting in OK correctly issued groups set up widgets actively published posts and launched marathons for subscribers. Within the framework of OK Media Challenge 2023, many media actively performed tasks kept a high bar throughout the challenge and walked along the points almost on a par with each other. We are glad that the competition took place and are sure that the acquired knowledge will be useful to the participants further. And now the final table with the jury ratings : Congratulations to “Arig Ussa” “Kaliningrad.ru” “Komsomolskaya Pravda. Samara "! Winners receive promotional codes in the amount of 50 30 and 15 thousand rubles for advertising on a social network as well as additional support from OK during the year, branded merch and award figurines. We delight for participating in the competition! Certificate of passing OK Media Challenge 2023 Participants can take here. See the link. See the link. The jury is final and cannot be challenged by the participants. Detailed rules for participating in the competition can be found by reference .ok Media Challenge2304 min. How to attract 15 million users to participate in the competition using the IITELEKANAL “Moscow 24” launched a competition in OK to strengthen the presence of the brand on the platform and increase the activity of the audience. We tell how the creative approach helped the media team create an unusual idea of ​​the competition and also increase the number of group subscribers and their involvement. The team of the TV channel wanted to increase the recognition of the Moscow 24 brand among users of the social network and attract a new audience to view their content. Therefore, the goals of the promotion of “Moscow 24” in OK were the growth of the number of subscribers of the media group and their activity under the publications (set “classes” of presses on the “Share” button and comments). The Moscow 24 decided to conduct the competition and use it when preparing it. Midjourney neural network. In June and July, on Tuesdays, in the TV channel group posts were published with two pictures generated with the help of AI. The participants of the competition wrote in the comments which picture of the neural network generated in the text of the songs of proverbs and sayings about Moscow. To attract viewers to participate, the TV channel told about the conditions of the competition on the air to cross the QR code to the OK group and guess the correct answer. The hosts of Moscow 24 chose the winner for each post on the air. The publication of Moscow 24 with the competition was seen by 45 million users of OK. In addition, the channel managed to cover 11 million viewers. More than 15,000 users guessed the songs of proverbs about Moscow and commented on posts; posts with the competition collected in the amount of 1,748 reactions and during the days of their publication the total number of reactions exceeded the average indicators of the group per day by about 50% ; Within ten competitive days, 6,000 users of OK subscribed to the Moscow 24 group - 20% more than the average monthly audience growth. Media12111111111111111111111111111111111111111111111111111111111111111111111111111s FM: how to get 350 thousand music videos with cats of users' radio station "Humor FM" launched a creative campaign in approx. Users sent a video with their cats who purred meowed or made other funny sounds. According to the results of the rally, the radio station chose funny videos created a video about space cos on their basis. We tell how “Humor FM” was able to involve OK users in creating a common video with pets. For several years, the black cat is part of the logo and the recognizable mask “Humor FM”. Therefore, the team of the radio station decided to launch funny pictures of cats and cats to the Marathon Day (March 1). As the results of the action, 13 thousand users of social networks published their photos with their favorite pets. This marathon was the first in the radio station group - and immediately attracted the attention of the audience. The “Humor FM” team noticed the desire of users to create content about their cats and decided to create a campaign-continuing the photo marathon. Before launching a new project, the team of the radio station conducted a small study and found out that one of the most popular formats of the animal entertainment content is short videos. Users often use such videos for creating funny songs and clips. Komanda FM Humor FM invited the subscribers of their group to OK to send funny videos with cats who meow the purl theirs, etc. The most unusual sounds of the pets entered the audio traffic and the rollers and the clip which is in the clip that is It was created under the "cat" track. The authors of the video that were used to create the final video cosmot videos received gifts from the radio station. The opened receipt of applications for participation allowed the Humor FM team to significantly increase the involvement of the audience. Users actively sent the video and waited for when it would be possible to hear and see their cats in the final video. The open acceptance of applications for participation allowed the Humor FM team to significantly increase the involvement of the audience. Users actively sent the video and waited for when it would be possible to hear and see their cats in the final video. On April 26, the Humor FM team exclusively posted the final video with space cockers in the group in the ok and later published it on other platforms. Cooperation with the authors of groups about animals and the education of children helped to draw attention to the clip and the track. Floggers of “Dearselia” “Laksheri Kotosheri” “Oscar and Plusha” “Belchok in the house” “Lex and Foxi” “Fox in the house” “Dai meow” and “Charming Chihuahua Lavrik” recorded the reaction of the pets to the video and Alla who conducts a blog about parenting She took off her child’s dance for this track. “Humor FM” managed to use the creative campaign not only to create interesting content for the group in OK but also increase the involvement of their audience on the platform. The users left more than 2 thousand comments under the post on the competition of funny videos with cats ; In one day, the clip collected more than 200 thousand views (at the time of writing the case, users watched it already more than 357 thousand times); more than 232 thousand users watched videos of bloggers with a reaction on video and the authors received more than 1,300,000 views . Media13114 min.ok Media Challenge 2023: the results of the third week of Ok Media Challenge 2023 and we are ready to take stock and we were ready to take stock. Our participants actively published posts and also held direct broadcasts or joint video calls. Some contestants were able to attract interesting speakers of local stars and bloggers for which they received additional points. READY OF THE Third week and the results of the three stages, see below: Ahead of the Fourth Final Week of the Nedeza. The rating may change. We wish all participants in good luck! You can see your grades for a specific task in the document on the link. With detailed rules of participation in the competition, you can familiarize yourself with here.ok Media Challenge1534 mines. Military graders launch an updated “Content Academy” dedicated to the personal brand sciences of the course will have access not only to the lessons But also to useful checklists and guides for working on the site. In addition, students will receive feedback from bloggers-teachers and social networks. The best students will receive certificates for the purchase of techniques for filming content and the possibility of cooperation with a team for working with the authors of the Content of Ok. Affairs of teachers: Ana Mavricheva is the founder of the female international community Code of publicity, “Code of publicity” Expert-practitioner in promoting the first persons of the stars Show business and billionnaire bloggers speaker of federal and international forums. Katya Gershuni is a blogger TV presenter one of the most reputable style experts who creates images of famous people from the world of movie of the television of politics and show business. The author of his own master classes and webinars about fashion and style. Olga Gladkova is a blogger photographer of the show business stars of the Ambassador Nikon in Russia Speaker of Russian and International Schools and Conferences of the Photography Founder of the Photo of the Magic of the Portrait. Catherine Mikhailova-author Blog "Catherine. Honest Confectioner ”with an audience of 500k subscribers on different platforms A confectioner with 9 years of experience, a participant in the TV transmission on REN-TV TNT Friday 78 Channel as a culinary expert. Blogger artist designer author of books and magazines for children. Tani Shuvaeva-Tani Shuvaeva-Creator-Creator-Creator-Creator Brand Strateg and Content Producer Founder and head of the Innoe.ru agency Author of courses on creating creative content strategy Creator of a charity project “Content for the benefit.” Marketologist Marketer with 15 years of experience psychologist author of his own courses about content marketing author A series of videos on the psychology of promotion in social networks. After passing all lessons, students will be able to undergo a test for consolidating new material. Users who, according to the results of training, will gain at least 25 points from the maximum possible 30 will receive an electronic certificate of passing the course from OK. Three best graduates will receive certificates for purchasing equipment for maintaining their blog. And also the best graduates will have additional support for the OK team for working with the authors. To become a student of the course, it is necessary to register on the project website. In the past, the “Academy of Content” was devoted to how interesting content to shoot photos and videos to find like -minded people. More than 45 thousand users of social networks became students and the best of them received support in the development of the blog from the social network Odnoklassniki. Contains Content 3644 min. Rambler &amp; Co: how to attract 5 thousand subscribers using the brand group in OKV July Media holding RAMBLER &amp; CO launched a set of thematic frames in OK. Users could decorate them with profile avatars and show friends that they like a lot of things in the summer. We tell how the creative approach and analysis of the preferences of the audience helped the brand get 130 thousand settings of the framework and increase the number of group subscribers in OK by 5 thousand. Rambler &amp; Co has an increase in the group’s audience in OK. Therefore, the team of the media holding chose one of the most popular platform tools - frame. After installing it on the Avatar through the “Magic framework” application, the user receives an offer to subscribe to the group that launched it. The concept of the Rambler &amp; Co framework appeared after the analysis of interests that are most relevant in the summer for the audience of OK. So the team of the media holding chose several popular topics: the sea; travel; vacation; smiles. Coming out the frame, which included in the set, reflected one of the topics of the selected ideas - and OK users could install the option that is most appropriate for their mood. Of the topics of the selected ideas - and OK users could set the option most appropriate to their mood on the avatar. At once, after the announcement of the framework in the Rambler &amp; Co group, the number of subscribers began to grow. This happened largely due to the features of the work of the OK algorithms. Users saw that their friends set up new frames on avatars chose the same decoration for the main photo of their profiles and received an offer to join the Rambler &amp; Co group. In a few weeks, the number of subscribers of the media holding in OK increased by 5 thousand users. The publication of the framework helped the brand start building interaction with users already at the beginning of development on the site. Frames - a tool that can help business of any orientation increase the number of subscribers in OK. You can find out more information about how to promote the brand on the platform in the “OK for business.” MARKETOLOGS1416 min.ok Media Challenge 2023: the results of the second indivisible stage of the OK Media Challenge 2023 contest behind and we are ready to present points from the jury. tasks. During the week, our contestants actively published posts and also created interesting longrids and mastered the tools in the editor of the posts. The participants' rating at the moment looks like: this is only the second week of thead for thead forces and the rating can change! We are waiting for cool and creative solutions from the contestants at the third stage! You can see your grades for a specific task in the document by link. Good luck! You can find detailed rules in the competition here .ok Media Challenge1854 min. Showing a lot of classmates of classmates blog! Subscribe to the news materials Contact on the channel OK norm © Project Odnoklassniki × Subscribe to the newsletter Insideok, miss a lot of cool classmates blog</v>
      </c>
    </row>
    <row r="557">
      <c r="A557" s="1" t="s">
        <v>1847</v>
      </c>
      <c r="B557" s="1" t="s">
        <v>1860</v>
      </c>
      <c r="C557" s="1" t="s">
        <v>1870</v>
      </c>
      <c r="D557" s="1">
        <v>8.0</v>
      </c>
      <c r="E557" s="4" t="s">
        <v>1871</v>
      </c>
      <c r="F557" s="1" t="s">
        <v>16</v>
      </c>
      <c r="G557" s="1" t="s">
        <v>31</v>
      </c>
      <c r="H557" s="4" t="s">
        <v>32</v>
      </c>
      <c r="I557" s="2">
        <v>2.0</v>
      </c>
      <c r="J557" s="5" t="str">
        <f>IFERROR(__xludf.DUMMYFUNCTION("GOOGLETRANSLATE(A557)"),"classmates")</f>
        <v>classmates</v>
      </c>
      <c r="K557" s="6" t="str">
        <f>IFERROR(__xludf.DUMMYFUNCTION("GOOGLETRANSLATE(B557)"),"Classmates")</f>
        <v>Classmates</v>
      </c>
      <c r="L557" s="5" t="str">
        <f>IFERROR(__xludf.DUMMYFUNCTION("GOOGLETRANSLATE(C557)"),"Soboklassniki (in a female gender - classmates) - people who are studying or studying earlier in the same class. In addition: ""Classmates"" - a social network ...")</f>
        <v>Soboklassniki (in a female gender - classmates) - people who are studying or studying earlier in the same class. In addition: "Classmates" - a social network ...</v>
      </c>
      <c r="M557" s="5" t="str">
        <f>IFERROR(__xludf.DUMMYFUNCTION("GOOGLETRANSLATE(G557)"),"Wikipedia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558">
      <c r="A558" s="1" t="s">
        <v>1847</v>
      </c>
      <c r="B558" s="1" t="s">
        <v>1872</v>
      </c>
      <c r="D558" s="1">
        <v>9.0</v>
      </c>
      <c r="E558" s="4" t="s">
        <v>1873</v>
      </c>
      <c r="F558" s="1" t="s">
        <v>16</v>
      </c>
      <c r="G558" s="1" t="s">
        <v>428</v>
      </c>
      <c r="H558" s="4" t="s">
        <v>1874</v>
      </c>
      <c r="I558" s="2">
        <v>2.0</v>
      </c>
      <c r="J558" s="5" t="str">
        <f>IFERROR(__xludf.DUMMYFUNCTION("GOOGLETRANSLATE(A558)"),"classmates")</f>
        <v>classmates</v>
      </c>
      <c r="K558" s="6" t="str">
        <f>IFERROR(__xludf.DUMMYFUNCTION("GOOGLETRANSLATE(B558)"),"Place")</f>
        <v>Place</v>
      </c>
      <c r="L558" s="5" t="str">
        <f>IFERROR(__xludf.DUMMYFUNCTION("GOOGLETRANSLATE(C558)"),"#VALUE!")</f>
        <v>#VALUE!</v>
      </c>
      <c r="M558" s="5" t="str">
        <f>IFERROR(__xludf.DUMMYFUNCTION("GOOGLETRANSLATE(G558)"),"Social network classmates. Communication with friends in approx. Your place of a meeting with classmates to a version for people with disabilities. Spend the search for oxervice vk.ruchkocyaledarzadarzadakavidovidovkivk post-a-reservoir-sort-tolevo-Kontak"&amp;"othels are using cookies to improve your service for you. You can accept them or set them up on your own. To gain more information more than more emotions and bright communication! Go to OK to meet your friends and find new to chat with loved ones and int"&amp;"erestingly spend time using our entertainment services. To fulfill the qi-codelephone or email address. It is possible to enter the postparols on QR-kodun? There is no profile in Odnoklakhnikiye, the profilesmical mobility of the business of the business "&amp;"of the business of the business of the development of the COOKIEVAKACASISENISTION of the company © 2006–2023 VK / LLC VKMI uses in detail technology.")</f>
        <v>Social network classmates. Communication with friends in approx. Your place of a meeting with classmates to a version for people with disabilities. Spend the search for oxervice vk.ruchkocyaledarzadarzadakavidovidovkivk post-a-reservoir-sort-tolevo-Kontakothels are using cookies to improve your service for you. You can accept them or set them up on your own. To gain more information more than more emotions and bright communication! Go to OK to meet your friends and find new to chat with loved ones and interestingly spend time using our entertainment services. To fulfill the qi-codelephone or email address. It is possible to enter the postparols on QR-kodun? There is no profile in Odnoklakhnikiye, the profilesmical mobility of the business of the business of the business of the business of the development of the COOKIEVAKACASISENISTION of the company © 2006–2023 VK / LLC VKMI uses in detail technology.</v>
      </c>
    </row>
    <row r="559">
      <c r="A559" s="1" t="s">
        <v>1847</v>
      </c>
      <c r="B559" s="1" t="s">
        <v>1860</v>
      </c>
      <c r="D559" s="1">
        <v>10.0</v>
      </c>
      <c r="E559" s="4" t="s">
        <v>1875</v>
      </c>
      <c r="F559" s="1" t="s">
        <v>16</v>
      </c>
      <c r="G559" s="1" t="s">
        <v>34</v>
      </c>
      <c r="H559" s="4" t="s">
        <v>35</v>
      </c>
      <c r="I559" s="2">
        <v>3.0</v>
      </c>
      <c r="J559" s="5" t="str">
        <f>IFERROR(__xludf.DUMMYFUNCTION("GOOGLETRANSLATE(A559)"),"classmates")</f>
        <v>classmates</v>
      </c>
      <c r="K559" s="6" t="str">
        <f>IFERROR(__xludf.DUMMYFUNCTION("GOOGLETRANSLATE(B559)"),"Classmates")</f>
        <v>Classmates</v>
      </c>
      <c r="L559" s="5" t="str">
        <f>IFERROR(__xludf.DUMMYFUNCTION("GOOGLETRANSLATE(C559)"),"#VALUE!")</f>
        <v>#VALUE!</v>
      </c>
      <c r="M559" s="5" t="str">
        <f>IFERROR(__xludf.DUMMYFUNCTION("GOOGLETRANSLATE(G559)"),"VK.com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560">
      <c r="A560" s="1" t="s">
        <v>1847</v>
      </c>
      <c r="B560" s="1" t="s">
        <v>1876</v>
      </c>
      <c r="C560" s="1" t="s">
        <v>1877</v>
      </c>
      <c r="D560" s="1">
        <v>11.0</v>
      </c>
      <c r="E560" s="4" t="s">
        <v>1878</v>
      </c>
      <c r="F560" s="1" t="s">
        <v>16</v>
      </c>
      <c r="G560" s="1" t="s">
        <v>1879</v>
      </c>
      <c r="H560" s="4" t="s">
        <v>1880</v>
      </c>
      <c r="I560" s="2">
        <v>2.0</v>
      </c>
      <c r="J560" s="5" t="str">
        <f>IFERROR(__xludf.DUMMYFUNCTION("GOOGLETRANSLATE(A560)"),"classmates")</f>
        <v>classmates</v>
      </c>
      <c r="K560" s="6" t="str">
        <f>IFERROR(__xludf.DUMMYFUNCTION("GOOGLETRANSLATE(B560)"),"Classmates.ru, Russia - all information about the company")</f>
        <v>Classmates.ru, Russia - all information about the company</v>
      </c>
      <c r="L560" s="5" t="str">
        <f>IFERROR(__xludf.DUMMYFUNCTION("GOOGLETRANSLATE(C560)"),"Classmates.ru - a social network in Russian and Ukrainian for communication, searching for classmates, former graduates and classmates, as well as their ...")</f>
        <v>Classmates.ru - a social network in Russian and Ukrainian for communication, searching for classmates, former graduates and classmates, as well as their ...</v>
      </c>
      <c r="M560" s="5" t="str">
        <f>IFERROR(__xludf.DUMMYFUNCTION("GOOGLETRANSLATE(G560)"),"DK.RU — деловой портал ЕкатеринбургаЕкатеринбургЕкатеринбургКазаньКрасноярскНижний НовгородНовосибирскРостов-на-ДонуСанкт-ПетербургТюменьЧелябинскВся РОССИЯПодписатьсяTelegramВконтактеTwitterОдноклассникиYoutubeYandex ZenКурс ЦБ на 11.1192059831Регион пои"&amp;"ска:ЕкатеринбургЕкатеринбургКазаньКрасноярскНижний НовгородНовосибирскРостов-на-ДонуСанкт-ПетербургТюменьЧелябинскВся РОССИЯВаше местоположение Екатеринбург?ДАВыбрать другоеНовостиБизнесСвое делоКачество жизниМненияWIKIКонтактыНОВОСТИ ЕКАТЕРИНБУРГАвчера10"&amp;":07Чистый отток капитала из России снова вырос в два раза07 : 16bloomberg announced the formation of a new Russian business elite in Russia November 110, 202318: 26-first in 30 years. Rostec will show a heavy transport aircraft at the exhibition in Dubai1"&amp;"7: the 18ltsin Center was left without a director16: 56Bank Uralsib entered the top 10 rating of the most profitable deposits16: 29-line business is afraid to leave Russia after the history with Carlsberg16: 24nomic nominations and a new method of applica"&amp;"tions: in Yekaterinburg, she started in Yekaterinburg The Silver Architeer 15: 23 EX-head of the RSC Energia was accused of causing damage to 9 billion rubles 15: 21 Bank PSB held a forum in Yekaterinburg to increase the level of financial culture15: 14v "&amp;"Yekaterinburg presented the first series of the famous creative person14: 35ondondon prohibits. Sberbank was denied $ 107 million with the former “daughter” 11: 4255–70 thousand rubles. Makes the average Yekaterinburg. The authorities calculated the incom"&amp;"e of the population10: 36v Yekaterinburg put up for sale a four -story apartment for 108 million rubles 10: 35PSB offered customers children's cards08: 07 “We want people to live in one location” 07: 08 with a small conference to the All -Russian forum: H"&amp;"ow the “Cities of Russia” grow on November 09, 202320: 19 “This will happen in December”: Putin is preparing for a straight line. But first he will listen to business17: on December 53 in Yekaterinburg, the charity festival “IntellectFest” 17: 12 Starrers"&amp;" want to demolish their own church in the center of Yekaterinburg. Activists against 19: 01 Buy on the Uralsib card and win a million rubles16: 13 -hour Ural company fell into the next list of sanctions16: 05Aer ports propose to introduce additional fees "&amp;"from passengers. Tickets rise in price by 3-5%15: 38 Elvira Nabiullina: the economy spent all the resources. The Central Bank thought about increasing the rate15: 26 NA of the reconstruction of the White Tower lacks 60 million rubles. They will be collect"&amp;"ed from the population13: 36) is becoming less and less affordable. When to buy an apartment? 13: 18 Capcess loops. The authorities have finalized amendments to the Tax Code. What is changing for business? 11: 40V 2024 In the Yekaterinburg metro, the toke"&amp;"ns can replace biometrics11: 26 Auchan forbade suppliers to raise prices for goods before the New Year11: 17 Bank Uralsib presented the prize -up prize for the “Car for Credit Processing Cash” shares of 10: 11 tets and In Academic. In Yekaterinburg, they "&amp;"plan to build a garbage recycling plant08: 40 Svertlovsk region became one of the leading regions on the “calls on the Internet” 08: 16-sided lakes of mountains with snow tops and endless steppes on the same trip07: 04 will be a budget and how not to aban"&amp;"don this boring occupation-Roman Romanovich06: 18 order signed: Vladimir Putin came up with how to sell frozen assets of Russians on November08, 202322: 12 mortgages in Russia for a month collapsed by almost 20%18: 17 digital rubles can now be removed thr"&amp;"ough an ATM. The first technology was presented by VTB17: 47CB plans to maintain a high key rate at least until the spring of 2024.17: 05 Banks from friendly countries began to refuse Russian businesses in payments16: 40 companies of Calvin Klein did not "&amp;"have Ekaterinburg entrepreneurs for almost 500 thousand rubles. 16: 21 funds on the city Christmas tree They will collect at the Catherine Assembly#Culture#City#Quality of Life Catherine Catherine with a height with an eight-story building appeared in Yek"&amp;"aterinburg “We want people to get the opportunity to live and work in the same location” A large-scale 3D-illusion of a holy image can be seen at the end of the UrFU buildings. Mural became the final work of the STENOGRAFFIA festival this year. When it co"&amp;"mes to buying an apartment in a new building, first of all, the image of an academic district arises in the head as the youngest and developing. »For the first time in 30 years. Rostec will show a heavy transport aircraft at the exhibition in Dubesverdlov"&amp;"sk region became one of the leading regions on “calls on the Internet” market for mortgages in Russia for a month collapsed by almost 20%of the Old Believers want to demolish their own church in the center of Yekaterinburg. Activists against#City Russia_2"&amp;"030ot a small conference to the All -Russian Forum: how more than 5 thousand participants in the forum are waiting for the “cities of Russia” in Yekaterinburg. They will be able to not only discuss the key issues of the development of municipalities, but "&amp;"also visit the exhibition of cities.#Historical Heritage#Mortgage#Building Construction Universes want to demolish their own church in the center of Yekaterinburg. Activists of the opposite is becoming less affordable. When to buy an apartment? The commun"&amp;"ity “disowned” from the building because there was once a NKVD biolaboratory. The Old Believers were already fined for the poor maintenance of the church. Activists plan to save the building. Experts note that now the most successful moment for the transa"&amp;"ction - further prices and the size of the initial contribution can grow even more significantly and the extension of the preferential mortgage is under a big question.#That I am not there as not to see the production of warehouses and trade? The purest l"&amp;"akes of the mountains with snow peaks and the endless steppes in the same traveling tracks of the engineering networks - DK.ru experts talked about the nuances that will allow the tenant to evaluate the profitability of the offer and not fall into the tra"&amp;"p of imaginary economy. For visiting the most beautiful views and places where introverts cry.#Personal finances#life hacks#courts#lawsuing the budget and how not to abandon this boring lesson in a week - Roman Romanovich Calvin Klein nailed for the entre"&amp;"preneurs of Yekaterinburg for almost 500 thousand rubles. What will you record all the costs and receipts of money? Plan purchases and vacation? And a thousand times - by? How to proceed with financial planning - on DK.ru. In the city, courts on copyright"&amp;" violations continue. The American corporation filed ten claims for almost all cases the court sided with it.#Local production#Mod#City#Local production of Ural porcelain tiles - there are always a lot of problems in the trend of “Designers, but there are"&amp;" only problems that only the state” in Yekaterinburg launched import -substituting cosmetics For animals, tiles and designers are more often chosen for decoration of premises of the plant of ceramic products. What is particularly popular today and how doe"&amp;"s the manufacturer respond to the audience’s requests? The 19th Fashion Week in Yekaterinburg took place. Bright shows were replaced by discussions about the situation in the industry: on the one hand, there is everything for growth on the other - there i"&amp;"s no one to sew the collection and sometimes from. This is the project of the owner of the network of animals Groma Daria Gotz. The flagship product of the company was a line of dog products. She has already received 83 pre -orders from Russia and Kazakhs"&amp;"tan.#Taxes#Economics#Man of the Year#Business#that I have not seen#tourism “I need to change the tax system. She is the main brake of the Russian economy ”“ It's like the Nobel Committee. ” How did the meeting of the Expert Council of the Prize ""Man of t"&amp;"he Year"" have to go more than 35 thousand km in order to see a large lake? We study the Baikal-founder of the “floors” Ildar Khusainov believes that the Tax Code is written for large companies therefore small and medium-sized businesses in the Russian Fe"&amp;"deration cannot develop normally. Experts are sure that it is important for truly successful entrepreneurs not only to build a rich business but also think about the social component to take part in Life of society. In the Irkutsk region, it is worth goin"&amp;"g not only for beautiful landscapes. Meet the seals of the Buryat culture and cuisine monuments of engineering art-then you will definitely not regret.#Power#Laws#Real Estate#City Avtor of Business Training Ayaz Shabutdinov detained in Moscow for the frau"&amp;"d of Yekaterinburg Elite housing costs from 200 thousand rubles/sq. M. M. -From 1 million. Why? Personnel resource: a new reality of the labor market-employees are worth a gold altogether with Shabutdinov’s business training has 2 million subscribers. The"&amp;" man was detained in a rented apartment of the FSB and the Main Directorate of the Ministry of Internal Affairs for Economic Security. The main criterion of expensive housing is a location. Plus architecture and a set of services. Who buys elite apartment"&amp;"s today and do they have a choice? Ksenia Chernetskaya and Anastasia Polukhina are versed in the situation. Facts analysis of forecasts. Expert assessment of the Russian labor market from specialists of 16 leading agencies of Yekaterinburg Chelyabinsk Tyu"&amp;"men of Moscow and Novosibirsk.#Superfistrict#UrFU#History#Values#Cases#Career Careers: Architects showed what the new URFU radio faculty will not believe in the fact that we often do not believe that The future is generally possible ”“ Stop smoking a hook"&amp;"ah and reading foreign management books! The crisis is still ahead of it. And what is her role? The literary genre that arose at the beginning of the New Age is a type of thinking and perhaps it is coming to an end, like the new time. Vslan Dolzhenko beca"&amp;"me a member of the contest “Russian Leaders” and won the district finale. Was this competition what he can teach the leader of a real business? Emotional review on dk.ru.#atlas Development#Import substitution#personnel#Culture#Life Quality “Atlas Developm"&amp;"ent” and a large Ural bank launched a campaign for customers “There was a moment when graduates of schools thought that it was better to go to the plant” “Like a pearl In the sink. "" The history of the wooden house within the borders of Yekaterinburg Cit"&amp;"y, the developer’s partner-Uralsib Bank proposed a program for future newcomers in the framework of which a mortgage bet can be reduced to 599%. The region’s personality is included in solving the problem of personnel deficiency at industrial enterprises."&amp;" Sergei Poreononin told how the industry of the Sverdlovsk region adapted to new challenges. A single -story house in the Art Nouveau style is surrounded by high -rise buildings around the construction of violent construction. We decided to find out his f"&amp;"ate: he survived Kolchak to the Revolution of the Soviet Union and the 90s. Will it survive our days?#Business#Real estate#business#taxes #mashmas -readable power of attorney for business: what is it to whom it is and where to get it from the cost of publ"&amp;"ic utility bills and debtors: how to optimize taxes using ""receivables"" and Reducing its levelmate power of attorney is a new tool in electronic document management. The expert of the contour. Invention Ivan Bykov spoke about the powers of the Ministry "&amp;"of Council of the MCH of its attendance as well as much more. One of the main reasons - irrelevant data in the technical passport. In BTI they told who and how should update information about an apartment building. Everyone does not know, but receivables "&amp;"are not only a burden. With its help, you can reduce tax payments at a certain period and even make a profit from these debts.#Lawyers#business#experience#business#City#Auto “Figures are not always right. A financially stable enterprise can be unattractiv"&amp;"e ”“ How to grow up to a billion by doing everything wrong ” - Ivan Shkiryazye or now. A limited batch of premium off-roads of business processes has helped in Yekaterinburg significantly helps in solving complex problems, but still the assessment of busi"&amp;"ness is a difficult and non-standard task of solving that artificial intelligence is not able to solve. Egoing the ego. "" Why did the founder of Callibri change the attitude towards partnership and what it should be built on DK.ru. In Yekaterinburg, a li"&amp;"mited party of 33 Exeed TXL cars at special prices was received in the EXEED Center for Autoban. On the formation of a new Russian business elite in Russia-first in 30 years. Rostec will show a heavy transport aircraft at an exhibition at Dubaeltsin Cente"&amp;"r, he was left without a directorate of Uralsib in the top 10 rating of the most profitable Lelving Business Business is afraid to leave Russia after the story with Carlsbergic nominations and a new method of applications: in Yekaterinburg a “silver arche"&amp;"rs” is launched by a “silver archers”. affordable. When to buy an apartment? MTS VK and Mega will reveal their marketing secrets at the Eurasian Marketing Week-2023 ""This is like the Nobel Committee."" How did the meeting of the Expert Council of the Men"&amp;" of the Year Prize Makfa and the young volunteers of Fudshering shared the experience “there was a moment when graduates of schools believed that it was better to be a blogger than to go to the plant” a machine -readable power of attorney for business: th"&amp;"at it is for whom it is and where to take it that mistakes arise in Calculation of the cost of common house utility bills? They ordered their Delonas on the Internet. As the Ural company loses customers due to fake reviews of the Syserte deposits or how t"&amp;"o assemble a collection of Ural minerals for the day ""The guys want a toy here and now."" As a new franchise, the happiness of the children of the idea of ​​charity and the recipe for the success of the Yekaterinburg chef “in Russia in Russia, the produc"&amp;"tion of polyurethane pillows has been little studied, has little studied. But such products are needed ”as the Ural manufacturer of lamps began to illuminate highways throughout the country of the Parades of Facaps. Three real cases from the fitness cente"&amp;"r of life “We want people to get the opportunity to live and work in the same location” from a small conference to the All-Russian forum: how the Old Believers grow to demolish their own church in the center of Yekaterinburg. Activists of the opposite lak"&amp;"es of the mountains with snowy peaks and the endless steppes on the same trip of the Ural porcelain stoneware - there can always be in the trend “designers can have a lot of problems that can only solve the state” is it worth going more than 35 thousand k"&amp;"m in order to see a large lake? We are studying the Baikalmaniya “We need to change the tax system. She is the main brake of the Russian economy ”“ Stop smoking a hookah and reading foreign management books! The crisis is still ahead ”“ We have reached th"&amp;"e level when saturation of the economy with digital devices does not guarantee growth ”ghouls and maniacs of Yekaterinburg. Yakov Mozhaev will highlight the dark history of the city “For the first time in history, the Russian stock market becomes not spec"&amp;"ulative but functional” as a mandatory sale of foreign exchange earnings will affect the ruble of the business and economy of Russia “Hunting - evil hunter - poacher!” Six arguments why these are harmful and false thesiswiki - biographies of persons and c"&amp;"ertificates of companies Vladimir Vladimirovichkozlova Valeria DmitrievnaAquacleanStroykova Anastasia Nikolaevapavlovich Roman Aleksandrovichmazaraki Lev Borisovichbelsky Aleksei Vladilichhawerkstanislav Doroferoprupa M1NA Virgins:+ 7 (343) 379 40 42dk-sa"&amp;"les@dk.ru18+ VKontakteTertelegramyoutube-grader zen advertising On dk.ru conditions of the use of the Political Medical Agreement of the Polish Carpeted version of the site camcard site: (343) 379-40-42 LLC “Business Quarter-Yekaterinburg” © 2005-2023 All"&amp;" rights are protected by the name of the owner of the site: LLC “Business Quarter-Yekaterinburg” Location and address of the site owner : Yekaterinburg 620014 st. Dobrolyubova d. 16 of. 411. Citing of the materials of the site is allowed subject to the ob"&amp;"ligatory placement of the direct active hyperlink on the primary source. Completely copying the materials of the site, including the use of RSS channels, is allowed only with the written consent of the editorial office of DK.ru Subsetsky Portal DK.ru is r"&amp;"egistered by the Federal Service for Supervision of Information Technologies and Mass Communications on 01.03.2021. Registration number: EL No. FS 77 - 80472. Founder: LLC Publishing House ""Pulse Price"". Editor -in -chief: Druzhinin S.A. The sign of inf"&amp;"ormation products is 18+. Editor's phone: (343) 379-40-42. Email address of the editorial office: in@dk.ru. To use all the services of the site, you need to log in or to register. Email Parolvs, you can enter the password to enter through the authorizatio"&amp;"n form, register, we cannot process your personal data without your consent. Mind: specify your name: Indicate your surname-mail: specify e-mail, we will send a request for confirmation of the PAROLL (optional for filling out) at least 8 symbols you do no"&amp;"t want to enter the password system automatically generate it and send it to the specified e-mail. I accept the terms of the user agreement and give consent to processing My personal data in accordance with the Privacy Policy. Sorry, we cannot process you"&amp;"r personal data without your consent. You can enter through the authorization form important about business.")</f>
        <v>DK.RU — деловой портал ЕкатеринбургаЕкатеринбургЕкатеринбургКазаньКрасноярскНижний НовгородНовосибирскРостов-на-ДонуСанкт-ПетербургТюменьЧелябинскВся РОССИЯПодписатьсяTelegramВконтактеTwitterОдноклассникиYoutubeYandex ZenКурс ЦБ на 11.1192059831Регион поиска:ЕкатеринбургЕкатеринбургКазаньКрасноярскНижний НовгородНовосибирскРостов-на-ДонуСанкт-ПетербургТюменьЧелябинскВся РОССИЯВаше местоположение Екатеринбург?ДАВыбрать другоеНовостиБизнесСвое делоКачество жизниМненияWIKIКонтактыНОВОСТИ ЕКАТЕРИНБУРГАвчера10:07Чистый отток капитала из России снова вырос в два раза07 : 16bloomberg announced the formation of a new Russian business elite in Russia November 110, 202318: 26-first in 30 years. Rostec will show a heavy transport aircraft at the exhibition in Dubai17: the 18ltsin Center was left without a director16: 56Bank Uralsib entered the top 10 rating of the most profitable deposits16: 29-line business is afraid to leave Russia after the history with Carlsberg16: 24nomic nominations and a new method of applications: in Yekaterinburg, she started in Yekaterinburg The Silver Architeer 15: 23 EX-head of the RSC Energia was accused of causing damage to 9 billion rubles 15: 21 Bank PSB held a forum in Yekaterinburg to increase the level of financial culture15: 14v Yekaterinburg presented the first series of the famous creative person14: 35ondondon prohibits. Sberbank was denied $ 107 million with the former “daughter” 11: 4255–70 thousand rubles. Makes the average Yekaterinburg. The authorities calculated the income of the population10: 36v Yekaterinburg put up for sale a four -story apartment for 108 million rubles 10: 35PSB offered customers children's cards08: 07 “We want people to live in one location” 07: 08 with a small conference to the All -Russian forum: How the “Cities of Russia” grow on November 09, 202320: 19 “This will happen in December”: Putin is preparing for a straight line. But first he will listen to business17: on December 53 in Yekaterinburg, the charity festival “IntellectFest” 17: 12 Starrers want to demolish their own church in the center of Yekaterinburg. Activists against 19: 01 Buy on the Uralsib card and win a million rubles16: 13 -hour Ural company fell into the next list of sanctions16: 05Aer ports propose to introduce additional fees from passengers. Tickets rise in price by 3-5%15: 38 Elvira Nabiullina: the economy spent all the resources. The Central Bank thought about increasing the rate15: 26 NA of the reconstruction of the White Tower lacks 60 million rubles. They will be collected from the population13: 36) is becoming less and less affordable. When to buy an apartment? 13: 18 Capcess loops. The authorities have finalized amendments to the Tax Code. What is changing for business? 11: 40V 2024 In the Yekaterinburg metro, the tokens can replace biometrics11: 26 Auchan forbade suppliers to raise prices for goods before the New Year11: 17 Bank Uralsib presented the prize -up prize for the “Car for Credit Processing Cash” shares of 10: 11 tets and In Academic. In Yekaterinburg, they plan to build a garbage recycling plant08: 40 Svertlovsk region became one of the leading regions on the “calls on the Internet” 08: 16-sided lakes of mountains with snow tops and endless steppes on the same trip07: 04 will be a budget and how not to abandon this boring occupation-Roman Romanovich06: 18 order signed: Vladimir Putin came up with how to sell frozen assets of Russians on November08, 202322: 12 mortgages in Russia for a month collapsed by almost 20%18: 17 digital rubles can now be removed through an ATM. The first technology was presented by VTB17: 47CB plans to maintain a high key rate at least until the spring of 2024.17: 05 Banks from friendly countries began to refuse Russian businesses in payments16: 40 companies of Calvin Klein did not have Ekaterinburg entrepreneurs for almost 500 thousand rubles. 16: 21 funds on the city Christmas tree They will collect at the Catherine Assembly#Culture#City#Quality of Life Catherine Catherine with a height with an eight-story building appeared in Yekaterinburg “We want people to get the opportunity to live and work in the same location” A large-scale 3D-illusion of a holy image can be seen at the end of the UrFU buildings. Mural became the final work of the STENOGRAFFIA festival this year. When it comes to buying an apartment in a new building, first of all, the image of an academic district arises in the head as the youngest and developing. »For the first time in 30 years. Rostec will show a heavy transport aircraft at the exhibition in Dubesverdlovsk region became one of the leading regions on “calls on the Internet” market for mortgages in Russia for a month collapsed by almost 20%of the Old Believers want to demolish their own church in the center of Yekaterinburg. Activists against#City Russia_2030ot a small conference to the All -Russian Forum: how more than 5 thousand participants in the forum are waiting for the “cities of Russia” in Yekaterinburg. They will be able to not only discuss the key issues of the development of municipalities, but also visit the exhibition of cities.#Historical Heritage#Mortgage#Building Construction Universes want to demolish their own church in the center of Yekaterinburg. Activists of the opposite is becoming less affordable. When to buy an apartment? The community “disowned” from the building because there was once a NKVD biolaboratory. The Old Believers were already fined for the poor maintenance of the church. Activists plan to save the building. Experts note that now the most successful moment for the transaction - further prices and the size of the initial contribution can grow even more significantly and the extension of the preferential mortgage is under a big question.#That I am not there as not to see the production of warehouses and trade? The purest lakes of the mountains with snow peaks and the endless steppes in the same traveling tracks of the engineering networks - DK.ru experts talked about the nuances that will allow the tenant to evaluate the profitability of the offer and not fall into the trap of imaginary economy. For visiting the most beautiful views and places where introverts cry.#Personal finances#life hacks#courts#lawsuing the budget and how not to abandon this boring lesson in a week - Roman Romanovich Calvin Klein nailed for the entrepreneurs of Yekaterinburg for almost 500 thousand rubles. What will you record all the costs and receipts of money? Plan purchases and vacation? And a thousand times - by? How to proceed with financial planning - on DK.ru. In the city, courts on copyright violations continue. The American corporation filed ten claims for almost all cases the court sided with it.#Local production#Mod#City#Local production of Ural porcelain tiles - there are always a lot of problems in the trend of “Designers, but there are only problems that only the state” in Yekaterinburg launched import -substituting cosmetics For animals, tiles and designers are more often chosen for decoration of premises of the plant of ceramic products. What is particularly popular today and how does the manufacturer respond to the audience’s requests? The 19th Fashion Week in Yekaterinburg took place. Bright shows were replaced by discussions about the situation in the industry: on the one hand, there is everything for growth on the other - there is no one to sew the collection and sometimes from. This is the project of the owner of the network of animals Groma Daria Gotz. The flagship product of the company was a line of dog products. She has already received 83 pre -orders from Russia and Kazakhstan.#Taxes#Economics#Man of the Year#Business#that I have not seen#tourism “I need to change the tax system. She is the main brake of the Russian economy ”“ It's like the Nobel Committee. ” How did the meeting of the Expert Council of the Prize "Man of the Year" have to go more than 35 thousand km in order to see a large lake? We study the Baikal-founder of the “floors” Ildar Khusainov believes that the Tax Code is written for large companies therefore small and medium-sized businesses in the Russian Federation cannot develop normally. Experts are sure that it is important for truly successful entrepreneurs not only to build a rich business but also think about the social component to take part in Life of society. In the Irkutsk region, it is worth going not only for beautiful landscapes. Meet the seals of the Buryat culture and cuisine monuments of engineering art-then you will definitely not regret.#Power#Laws#Real Estate#City Avtor of Business Training Ayaz Shabutdinov detained in Moscow for the fraud of Yekaterinburg Elite housing costs from 200 thousand rubles/sq. M. M. -From 1 million. Why? Personnel resource: a new reality of the labor market-employees are worth a gold altogether with Shabutdinov’s business training has 2 million subscribers. The man was detained in a rented apartment of the FSB and the Main Directorate of the Ministry of Internal Affairs for Economic Security. The main criterion of expensive housing is a location. Plus architecture and a set of services. Who buys elite apartments today and do they have a choice? Ksenia Chernetskaya and Anastasia Polukhina are versed in the situation. Facts analysis of forecasts. Expert assessment of the Russian labor market from specialists of 16 leading agencies of Yekaterinburg Chelyabinsk Tyumen of Moscow and Novosibirsk.#Superfistrict#UrFU#History#Values#Cases#Career Careers: Architects showed what the new URFU radio faculty will not believe in the fact that we often do not believe that The future is generally possible ”“ Stop smoking a hookah and reading foreign management books! The crisis is still ahead of it. And what is her role? The literary genre that arose at the beginning of the New Age is a type of thinking and perhaps it is coming to an end, like the new time. Vslan Dolzhenko became a member of the contest “Russian Leaders” and won the district finale. Was this competition what he can teach the leader of a real business? Emotional review on dk.ru.#atlas Development#Import substitution#personnel#Culture#Life Quality “Atlas Development” and a large Ural bank launched a campaign for customers “There was a moment when graduates of schools thought that it was better to go to the plant” “Like a pearl In the sink. " The history of the wooden house within the borders of Yekaterinburg City, the developer’s partner-Uralsib Bank proposed a program for future newcomers in the framework of which a mortgage bet can be reduced to 599%. The region’s personality is included in solving the problem of personnel deficiency at industrial enterprises. Sergei Poreononin told how the industry of the Sverdlovsk region adapted to new challenges. A single -story house in the Art Nouveau style is surrounded by high -rise buildings around the construction of violent construction. We decided to find out his fate: he survived Kolchak to the Revolution of the Soviet Union and the 90s. Will it survive our days?#Business#Real estate#business#taxes #mashmas -readable power of attorney for business: what is it to whom it is and where to get it from the cost of public utility bills and debtors: how to optimize taxes using "receivables" and Reducing its levelmate power of attorney is a new tool in electronic document management. The expert of the contour. Invention Ivan Bykov spoke about the powers of the Ministry of Council of the MCH of its attendance as well as much more. One of the main reasons - irrelevant data in the technical passport. In BTI they told who and how should update information about an apartment building. Everyone does not know, but receivables are not only a burden. With its help, you can reduce tax payments at a certain period and even make a profit from these debts.#Lawyers#business#experience#business#City#Auto “Figures are not always right. A financially stable enterprise can be unattractive ”“ How to grow up to a billion by doing everything wrong ” - Ivan Shkiryazye or now. A limited batch of premium off-roads of business processes has helped in Yekaterinburg significantly helps in solving complex problems, but still the assessment of business is a difficult and non-standard task of solving that artificial intelligence is not able to solve. Egoing the ego. " Why did the founder of Callibri change the attitude towards partnership and what it should be built on DK.ru. In Yekaterinburg, a limited party of 33 Exeed TXL cars at special prices was received in the EXEED Center for Autoban. On the formation of a new Russian business elite in Russia-first in 30 years. Rostec will show a heavy transport aircraft at an exhibition at Dubaeltsin Center, he was left without a directorate of Uralsib in the top 10 rating of the most profitable Lelving Business Business is afraid to leave Russia after the story with Carlsbergic nominations and a new method of applications: in Yekaterinburg a “silver archers” is launched by a “silver archers”. affordable. When to buy an apartment? MTS VK and Mega will reveal their marketing secrets at the Eurasian Marketing Week-2023 "This is like the Nobel Committee." How did the meeting of the Expert Council of the Men of the Year Prize Makfa and the young volunteers of Fudshering shared the experience “there was a moment when graduates of schools believed that it was better to be a blogger than to go to the plant” a machine -readable power of attorney for business: that it is for whom it is and where to take it that mistakes arise in Calculation of the cost of common house utility bills? They ordered their Delonas on the Internet. As the Ural company loses customers due to fake reviews of the Syserte deposits or how to assemble a collection of Ural minerals for the day "The guys want a toy here and now." As a new franchise, the happiness of the children of the idea of ​​charity and the recipe for the success of the Yekaterinburg chef “in Russia in Russia, the production of polyurethane pillows has been little studied, has little studied. But such products are needed ”as the Ural manufacturer of lamps began to illuminate highways throughout the country of the Parades of Facaps. Three real cases from the fitness center of life “We want people to get the opportunity to live and work in the same location” from a small conference to the All-Russian forum: how the Old Believers grow to demolish their own church in the center of Yekaterinburg. Activists of the opposite lakes of the mountains with snowy peaks and the endless steppes on the same trip of the Ural porcelain stoneware - there can always be in the trend “designers can have a lot of problems that can only solve the state” is it worth going more than 35 thousand km in order to see a large lake? We are studying the Baikalmaniya “We need to change the tax system. She is the main brake of the Russian economy ”“ Stop smoking a hookah and reading foreign management books! The crisis is still ahead ”“ We have reached the level when saturation of the economy with digital devices does not guarantee growth ”ghouls and maniacs of Yekaterinburg. Yakov Mozhaev will highlight the dark history of the city “For the first time in history, the Russian stock market becomes not speculative but functional” as a mandatory sale of foreign exchange earnings will affect the ruble of the business and economy of Russia “Hunting - evil hunter - poacher!” Six arguments why these are harmful and false thesiswiki - biographies of persons and certificates of companies Vladimir Vladimirovichkozlova Valeria DmitrievnaAquacleanStroykova Anastasia Nikolaevapavlovich Roman Aleksandrovichmazaraki Lev Borisovichbelsky Aleksei Vladilichhawerkstanislav Doroferoprupa M1NA Virgins:+ 7 (343) 379 40 42dk-sales@dk.ru18+ VKontakteTertelegramyoutube-grader zen advertising On dk.ru conditions of the use of the Political Medical Agreement of the Polish Carpeted version of the site camcard site: (343) 379-40-42 LLC “Business Quarter-Yekaterinburg” © 2005-2023 All rights are protected by the name of the owner of the site: LLC “Business Quarter-Yekaterinburg” Location and address of the site owner : Yekaterinburg 620014 st. Dobrolyubova d. 16 of. 411. Citing of the materials of the site is allowed subject to the obligatory placement of the direct active hyperlink on the primary source. Completely copying the materials of the site, including the use of RSS channels, is allowed only with the written consent of the editorial office of DK.ru Subsetsky Portal DK.ru is registered by the Federal Service for Supervision of Information Technologies and Mass Communications on 01.03.2021. Registration number: EL No. FS 77 - 80472. Founder: LLC Publishing House "Pulse Price". Editor -in -chief: Druzhinin S.A. The sign of information products is 18+. Editor's phone: (343) 379-40-42. Email address of the editorial office: in@dk.ru. To use all the services of the site, you need to log in or to register. Email Parolvs, you can enter the password to enter through the authorization form, register, we cannot process your personal data without your consent. Mind: specify your name: Indicate your surname-mail: specify e-mail, we will send a request for confirmation of the PAROLL (optional for filling out) at least 8 symbols you do not want to enter the password system automatically generate it and send it to the specified e-mail. I accept the terms of the user agreement and give consent to processing My personal data in accordance with the Privacy Policy. Sorry, we cannot process your personal data without your consent. You can enter through the authorization form important about business.</v>
      </c>
    </row>
    <row r="561">
      <c r="A561" s="1" t="s">
        <v>1847</v>
      </c>
      <c r="B561" s="1" t="s">
        <v>1881</v>
      </c>
      <c r="C561" s="1" t="s">
        <v>1882</v>
      </c>
      <c r="D561" s="1">
        <v>12.0</v>
      </c>
      <c r="E561" s="4" t="s">
        <v>1883</v>
      </c>
      <c r="F561" s="1" t="s">
        <v>16</v>
      </c>
      <c r="G561" s="1" t="s">
        <v>273</v>
      </c>
      <c r="H561" s="4" t="s">
        <v>274</v>
      </c>
      <c r="I561" s="2">
        <v>3.0</v>
      </c>
      <c r="J561" s="5" t="str">
        <f>IFERROR(__xludf.DUMMYFUNCTION("GOOGLETRANSLATE(A561)"),"classmates")</f>
        <v>classmates</v>
      </c>
      <c r="K561" s="6" t="str">
        <f>IFERROR(__xludf.DUMMYFUNCTION("GOOGLETRANSLATE(B561)"),"Odnoklassniki - Classmates")</f>
        <v>Odnoklassniki - Classmates</v>
      </c>
      <c r="L561" s="5" t="str">
        <f>IFERROR(__xludf.DUMMYFUNCTION("GOOGLETRANSLATE(C561)"),"26k Followers, 3 Following, 1428 Posts - See Instagram Photos and Videos from Odnoklassniki (@odnoklassniki)")</f>
        <v>26k Followers, 3 Following, 1428 Posts - See Instagram Photos and Videos from Odnoklassniki (@odnoklassniki)</v>
      </c>
      <c r="M561" s="5" t="str">
        <f>IFERROR(__xludf.DUMMYFUNCTION("GOOGLETRANSLATE(G561)"),"Update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562">
      <c r="A562" s="1" t="s">
        <v>1847</v>
      </c>
      <c r="B562" s="1" t="s">
        <v>1884</v>
      </c>
      <c r="C562" s="1" t="s">
        <v>1885</v>
      </c>
      <c r="D562" s="1">
        <v>13.0</v>
      </c>
      <c r="E562" s="4" t="s">
        <v>1886</v>
      </c>
      <c r="F562" s="1" t="s">
        <v>16</v>
      </c>
      <c r="G562" s="1" t="s">
        <v>336</v>
      </c>
      <c r="H562" s="4" t="s">
        <v>337</v>
      </c>
      <c r="I562" s="2">
        <v>2.0</v>
      </c>
      <c r="J562" s="5" t="str">
        <f>IFERROR(__xludf.DUMMYFUNCTION("GOOGLETRANSLATE(A562)"),"classmates")</f>
        <v>classmates</v>
      </c>
      <c r="K562" s="6" t="str">
        <f>IFERROR(__xludf.DUMMYFUNCTION("GOOGLETRANSLATE(B562)"),"Classmates, 2010 - Description, interesting facts")</f>
        <v>Classmates, 2010 - Description, interesting facts</v>
      </c>
      <c r="L562" s="5" t="str">
        <f>IFERROR(__xludf.DUMMYFUNCTION("GOOGLETRANSLATE(C562)"),"Classmates ... 5 childhood friends are found after 30 years of separation in the summer house by the lake on the weekend on Independence Day. They came here with their families to ...")</f>
        <v>Classmates ... 5 childhood friends are found after 30 years of separation in the summer house by the lake on the weekend on Independence Day. They came here with their families to ...</v>
      </c>
      <c r="M562" s="5" t="str">
        <f>IFERROR(__xludf.DUMMYFUNCTION("GOOGLETRANSLATE(G562)"),"Oh!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563">
      <c r="A563" s="1" t="s">
        <v>1847</v>
      </c>
      <c r="B563" s="1" t="s">
        <v>1887</v>
      </c>
      <c r="D563" s="1">
        <v>14.0</v>
      </c>
      <c r="E563" s="4" t="s">
        <v>1888</v>
      </c>
      <c r="F563" s="1" t="s">
        <v>16</v>
      </c>
      <c r="G563" s="1" t="s">
        <v>273</v>
      </c>
      <c r="H563" s="4" t="s">
        <v>476</v>
      </c>
      <c r="I563" s="2">
        <v>3.0</v>
      </c>
      <c r="J563" s="5" t="str">
        <f>IFERROR(__xludf.DUMMYFUNCTION("GOOGLETRANSLATE(A563)"),"classmates")</f>
        <v>classmates</v>
      </c>
      <c r="K563" s="6" t="str">
        <f>IFERROR(__xludf.DUMMYFUNCTION("GOOGLETRANSLATE(B563)"),"Odnoklassniki | Official Profile")</f>
        <v>Odnoklassniki | Official Profile</v>
      </c>
      <c r="L563" s="5" t="str">
        <f>IFERROR(__xludf.DUMMYFUNCTION("GOOGLETRANSLATE(C563)"),"#VALUE!")</f>
        <v>#VALUE!</v>
      </c>
      <c r="M563" s="5" t="str">
        <f>IFERROR(__xludf.DUMMYFUNCTION("GOOGLETRANSLATE(G563)"),"Update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564">
      <c r="A564" s="1" t="s">
        <v>1847</v>
      </c>
      <c r="B564" s="1" t="s">
        <v>1889</v>
      </c>
      <c r="C564" s="1" t="s">
        <v>1890</v>
      </c>
      <c r="D564" s="1">
        <v>15.0</v>
      </c>
      <c r="E564" s="4" t="s">
        <v>1891</v>
      </c>
      <c r="F564" s="1" t="s">
        <v>16</v>
      </c>
      <c r="G564" s="1" t="s">
        <v>1892</v>
      </c>
      <c r="H564" s="4" t="s">
        <v>1893</v>
      </c>
      <c r="I564" s="2">
        <v>4.0</v>
      </c>
      <c r="J564" s="5" t="str">
        <f>IFERROR(__xludf.DUMMYFUNCTION("GOOGLETRANSLATE(A564)"),"classmates")</f>
        <v>classmates</v>
      </c>
      <c r="K564" s="6" t="str">
        <f>IFERROR(__xludf.DUMMYFUNCTION("GOOGLETRANSLATE(B564)"),"Classmates API")</f>
        <v>Classmates API</v>
      </c>
      <c r="L564" s="5" t="str">
        <f>IFERROR(__xludf.DUMMYFUNCTION("GOOGLETRANSLATE(C564)"),"Description of the processes and possibilities of developing applications, games and external sites for classmates.")</f>
        <v>Description of the processes and possibilities of developing applications, games and external sites for classmates.</v>
      </c>
      <c r="M564" s="5" t="str">
        <f>IFERROR(__xludf.DUMMYFUNCTION("GOOGLETRANSLATE(G564)"),"Classmates API Game Widgets API English results API Odnoklassniki Search API The best API for integrating widgets on the site and professional developers in the creation of mobile HTML5 Games Plants Creating Game and Applications Applications Applications"&amp;" Applications Applications VK Mini Apps Main about the platform mobile games hypercasual games Fichered Ficherans games launch of games on the SDK platform for games and applications of the capabilities of the hosting platform for games and applications P"&amp;"ayments and subscriptions Intiger advertising messages to users News and updates Widgets for sites button Widget Widget Widget Profile User Profile Content Outh Authorization Creation Request of Application Rights Authorization for sites authorization for"&amp;" playing applications Working with API Methods Methods Processing Applications Bot API Methods Bot API Verification of Services OK Official Group Games support support")</f>
        <v>Classmates API Game Widgets API English results API Odnoklassniki Search API The best API for integrating widgets on the site and professional developers in the creation of mobile HTML5 Games Plants Creating Game and Applications Applications Applications Applications Applications VK Mini Apps Main about the platform mobile games hypercasual games Fichered Ficherans games launch of games on the SDK platform for games and applications of the capabilities of the hosting platform for games and applications Payments and subscriptions Intiger advertising messages to users News and updates Widgets for sites button Widget Widget Widget Profile User Profile Content Outh Authorization Creation Request of Application Rights Authorization for sites authorization for playing applications Working with API Methods Methods Processing Applications Bot API Methods Bot API Verification of Services OK Official Group Games support support</v>
      </c>
    </row>
    <row r="565">
      <c r="A565" s="1" t="s">
        <v>1847</v>
      </c>
      <c r="B565" s="1" t="s">
        <v>1894</v>
      </c>
      <c r="C565" s="1" t="s">
        <v>1895</v>
      </c>
      <c r="D565" s="1">
        <v>16.0</v>
      </c>
      <c r="E565" s="4" t="s">
        <v>1896</v>
      </c>
      <c r="F565" s="1" t="s">
        <v>16</v>
      </c>
      <c r="G565" s="1" t="s">
        <v>1897</v>
      </c>
      <c r="H565" s="4" t="s">
        <v>1898</v>
      </c>
      <c r="I565" s="2">
        <v>3.0</v>
      </c>
      <c r="J565" s="5" t="str">
        <f>IFERROR(__xludf.DUMMYFUNCTION("GOOGLETRANSLATE(A565)"),"classmates")</f>
        <v>classmates</v>
      </c>
      <c r="K565" s="6" t="str">
        <f>IFERROR(__xludf.DUMMYFUNCTION("GOOGLETRANSLATE(B565)"),"Goods classmates")</f>
        <v>Goods classmates</v>
      </c>
      <c r="L565" s="5" t="str">
        <f>IFERROR(__xludf.DUMMYFUNCTION("GOOGLETRANSLATE(C565)"),"Creation of unloading goods · 1. In Insales in the ""Sales channels"" block, click on a plus and connect unloading to classmates: · 2. Press ""authorization"" and give ...")</f>
        <v>Creation of unloading goods · 1. In Insales in the "Sales channels" block, click on a plus and connect unloading to classmates: · 2. Press "authorization" and give ...</v>
      </c>
      <c r="M565" s="5" t="str">
        <f>IFERROR(__xludf.DUMMYFUNCTION("GOOGLETRANSLATE(G565)"),"Create an online store for free and sell online through insalescanals Sales-School-MARKLE-SMALLENTS FLASSITIONAL PLASTING Platforms of Design Service Services for Development-Statement of the Camarrics and SEOTISSITIONS AND HOSTMOTOTOTOTOTOCTRARITHRARICH "&amp;"Programseller program for the FACPAQ specialist for developers for partnerships and the news agency and news at the InSaLeSkak question to open online stores and examples of store contacts to register orderlyanalytididaldiological scenes and paying for a "&amp;"payment Enter the registration of orders of an analytics-amaclitative dialect and paying for the launches of sale through Insales-online control control platform through the site on marketplaces on social networks and instant messengers to try to “try fre"&amp;"e” and a confidentiality policy of more than 11,000 customers of Insales for free. 200,000 orders Monthly the problems that the inSales-confrontation of business economies solve the sales of the Sales Sale: There is no understanding how to scale your busi"&amp;"ness and go to new sales channels: InSales has direct integrations with popular marketplaces of Google social networks as well as the SEO-prolongation of the output and process of the process of work: Many Tasks have to be performed manually or attract co"&amp;"ntracting contractors : In the InSAles app store, more than 300 E-Commerce services allowing to automate online sales economy on the development of the site of the site: Functional development of integration and store service requires large financial cost"&amp;"s: InSAles customers save on programmers and refinements from 100,000 rubles/year thanks to our certified partnerships Sales are already an intra-problem: for some tasks, you need to look for a third-party solution and work in different services simultane"&amp;"ously: in Insales there is already CRM system built-in analytics dialogs with clients as well as 300 other integrations of the problem of the sale of sales of the sale: there is no understanding how to scale your business and go to New channels Sales: InS"&amp;"ales has direct integrations with popular markets of Google social networks as well as SEO-processing tools and processing processes: many tasks have to perform a manually or involve the SECALYAS-SECTIVITIONAL: In the Insale Appendix store, more Site for "&amp;"the functionality of the development of integration and the store service requires large financial costs: InSAles customers save on programmers and modifications from 100,000 rubles/year thanks to our certified partnerships of sales tools are already an i"&amp;"ntra -problem: for some tasks you need to look for third -party solution and work in different services simultaneously: simultaneously: simultaneously: InSAles already has a CRM system of built-in analytics dialogs with clients as well as 300 other integr"&amp;"ations of three simple steps to launch sales register, use all the platform functionality for free for 14 days, load the goods from the sales files or add a manually, start selling sales for sales for Popular marketplaces and on social networks from one w"&amp;"indow register create online stores, get one of the dozens of design templates and create an online store from ready-made widgets without the help of programmers to watch all the template, make up one of the dozens of design templates and create the onlin"&amp;"e store from ready-made widgets without help without help Programs View all templates → “Using Insales, we have created a selling online store we get more than 1000 orders from marketplaces and automatically broadcast goods on social networks” Alexander G"&amp;"ladkov YSHMOT store at once by several marketplaces control residues and orders through Insales Marketplaces Connect Social Networks For a single platform, exchange goods with current prices and accept the online payment with a convenient way of social ne"&amp;"tworks, control the assortment centrally through a single catalog of goods for all marketplaces and social networks of 13 years, we help business management of orders receive and process orders from all sales channels in a single window Analysting Systems"&amp;" Analytics Analysis Study the Sales Structure and Define effective sources of traffic accessibility through the application, Drive online sales from anywhere in the world using a smartphone to try free integration services in the Insales store more than 3"&amp;"00 integrations to automate the delivery of marketing payment and expand the functionality of the site to watch everything Integration General with the clienteine ​​Lose orders in the Chatty Chat with your hand, have all the dialogs in one window in one w"&amp;"indow, the wwhatsappvk telegramviber email and smash all the dialogue with the Customer Chate -Load Inhabiting Apopysavk Telegramviber Email and SMS SMS #Reviewers of the Platform users talk about Insales 97% of customers are satisfied with round -the -cl"&amp;"ock technical support to register #reviews of the Platform Users They talk about Insales 97% of customers are satisfied with round -the -clock technical support source of reviews: Yandexuni -vibration Insaleskak start selling on Wildberries: Conditions fo"&amp;"r cooperation of the requirements for partners Instructions for registration 03.03.2022 Watch the INSALEST article to sell at Wildberries: Conditions for employee of the requirements for partners Registration Instructions 05/05/02.2022 to see the article "&amp;"→ Try for free! Use a single tool for all online sales channels to start selling registration on Insales to create an account or register through the Sberbesk business ID ID registered, I accept the user agreement and the confidentiality policy of the con"&amp;"tacttatic on-the-store-store “turnkey” map of the site site site site AQSTANBELARUSUK/USAROSIACANALS Sales-MARARTELLENTS SMALLENTSITY FELE FELE Platformshash planning metabolic meters SEOOBROSSINESS AND HOSTINGGENENER of UTM-Methodox-Panenium, an INSALESP"&amp;"RES-Center for the INSALESTRAMENSIONAL PROSOLLER POSSELLERS Portal for developers on the developers on INSALAS APIFAQ for partnerships of the Documentation to open online storefires and News-frequency issues of the Open and Complex-Officer 495 64 64 9-83-"&amp;"14moskvainfo@insales.ru for general questions8 800 555-10-61 Russian Call FreeCMS@Insales. Ru department for working with customer-mobility applications on social networks © 2008-2023. All rights reserved. LLC ""Insales Rus"" (Insales Rus LLC). © 2008-202"&amp;"3. All rights are protected. OOO ""Insales Rus"" (Insales Rus LLC). Registration in Insales Create an account or register through the Sberbesk business ID ID, registering, accepting a public confidentiality policy and a user agreement of the service do yo"&amp;"u want a turnkey site? Leave an application now a selling site with commodity unloading with the necessary integrations with design and round -the -clock support for 20 days to recover an application for a consultation by clicking the button I accept the "&amp;"user agreement and the confidentiality policy. The application has been sent. We will contact you shortly! Online online store, continuing to use the site, you agree to use COOKIE")</f>
        <v>Create an online store for free and sell online through insalescanals Sales-School-MARKLE-SMALLENTS FLASSITIONAL PLASTING Platforms of Design Service Services for Development-Statement of the Camarrics and SEOTISSITIONS AND HOSTMOTOTOTOTOTOCTRARITHRARICH Programseller program for the FACPAQ specialist for developers for partnerships and the news agency and news at the InSaLeSkak question to open online stores and examples of store contacts to register orderlyanalytididaldiological scenes and paying for a payment Enter the registration of orders of an analytics-amaclitative dialect and paying for the launches of sale through Insales-online control control platform through the site on marketplaces on social networks and instant messengers to try to “try free” and a confidentiality policy of more than 11,000 customers of Insales for free. 200,000 orders Monthly the problems that the inSales-confrontation of business economies solve the sales of the Sales Sale: There is no understanding how to scale your business and go to new sales channels: InSales has direct integrations with popular marketplaces of Google social networks as well as the SEO-prolongation of the output and process of the process of work: Many Tasks have to be performed manually or attract contracting contractors : In the InSAles app store, more than 300 E-Commerce services allowing to automate online sales economy on the development of the site of the site: Functional development of integration and store service requires large financial costs: InSAles customers save on programmers and refinements from 100,000 rubles/year thanks to our certified partnerships Sales are already an intra-problem: for some tasks, you need to look for a third-party solution and work in different services simultaneously: in Insales there is already CRM system built-in analytics dialogs with clients as well as 300 other integrations of the problem of the sale of sales of the sale: there is no understanding how to scale your business and go to New channels Sales: InSales has direct integrations with popular markets of Google social networks as well as SEO-processing tools and processing processes: many tasks have to perform a manually or involve the SECALYAS-SECTIVITIONAL: In the Insale Appendix store, more Site for the functionality of the development of integration and the store service requires large financial costs: InSAles customers save on programmers and modifications from 100,000 rubles/year thanks to our certified partnerships of sales tools are already an intra -problem: for some tasks you need to look for third -party solution and work in different services simultaneously: simultaneously: simultaneously: InSAles already has a CRM system of built-in analytics dialogs with clients as well as 300 other integrations of three simple steps to launch sales register, use all the platform functionality for free for 14 days, load the goods from the sales files or add a manually, start selling sales for sales for Popular marketplaces and on social networks from one window register create online stores, get one of the dozens of design templates and create an online store from ready-made widgets without the help of programmers to watch all the template, make up one of the dozens of design templates and create the online store from ready-made widgets without help without help Programs View all templates → “Using Insales, we have created a selling online store we get more than 1000 orders from marketplaces and automatically broadcast goods on social networks” Alexander Gladkov YSHMOT store at once by several marketplaces control residues and orders through Insales Marketplaces Connect Social Networks For a single platform, exchange goods with current prices and accept the online payment with a convenient way of social networks, control the assortment centrally through a single catalog of goods for all marketplaces and social networks of 13 years, we help business management of orders receive and process orders from all sales channels in a single window Analysting Systems Analytics Analysis Study the Sales Structure and Define effective sources of traffic accessibility through the application, Drive online sales from anywhere in the world using a smartphone to try free integration services in the Insales store more than 300 integrations to automate the delivery of marketing payment and expand the functionality of the site to watch everything Integration General with the clienteine ​​Lose orders in the Chatty Chat with your hand, have all the dialogs in one window in one window, the wwhatsappvk telegramviber email and smash all the dialogue with the Customer Chate -Load Inhabiting Apopysavk Telegramviber Email and SMS SMS #Reviewers of the Platform users talk about Insales 97% of customers are satisfied with round -the -clock technical support to register #reviews of the Platform Users They talk about Insales 97% of customers are satisfied with round -the -clock technical support source of reviews: Yandexuni -vibration Insaleskak start selling on Wildberries: Conditions for cooperation of the requirements for partners Instructions for registration 03.03.2022 Watch the INSALEST article to sell at Wildberries: Conditions for employee of the requirements for partners Registration Instructions 05/05/02.2022 to see the article → Try for free! Use a single tool for all online sales channels to start selling registration on Insales to create an account or register through the Sberbesk business ID ID registered, I accept the user agreement and the confidentiality policy of the contacttatic on-the-store-store “turnkey” map of the site site site site AQSTANBELARUSUK/USAROSIACANALS Sales-MARARTELLENTS SMALLENTSITY FELE FELE Platformshash planning metabolic meters SEOOBROSSINESS AND HOSTINGGENENER of UTM-Methodox-Panenium, an INSALESPRES-Center for the INSALESTRAMENSIONAL PROSOLLER POSSELLERS Portal for developers on the developers on INSALAS APIFAQ for partnerships of the Documentation to open online storefires and News-frequency issues of the Open and Complex-Officer 495 64 64 9-83-14moskvainfo@insales.ru for general questions8 800 555-10-61 Russian Call FreeCMS@Insales. Ru department for working with customer-mobility applications on social networks © 2008-2023. All rights reserved. LLC "Insales Rus" (Insales Rus LLC). © 2008-2023. All rights are protected. OOO "Insales Rus" (Insales Rus LLC). Registration in Insales Create an account or register through the Sberbesk business ID ID, registering, accepting a public confidentiality policy and a user agreement of the service do you want a turnkey site? Leave an application now a selling site with commodity unloading with the necessary integrations with design and round -the -clock support for 20 days to recover an application for a consultation by clicking the button I accept the user agreement and the confidentiality policy. The application has been sent. We will contact you shortly! Online online store, continuing to use the site, you agree to use COOKIE</v>
      </c>
    </row>
    <row r="566">
      <c r="A566" s="1" t="s">
        <v>1847</v>
      </c>
      <c r="B566" s="1" t="s">
        <v>1899</v>
      </c>
      <c r="C566" s="1" t="s">
        <v>1900</v>
      </c>
      <c r="D566" s="1">
        <v>17.0</v>
      </c>
      <c r="E566" s="4" t="s">
        <v>1901</v>
      </c>
      <c r="F566" s="1" t="s">
        <v>16</v>
      </c>
      <c r="G566" s="1" t="s">
        <v>1180</v>
      </c>
      <c r="H566" s="4" t="s">
        <v>1181</v>
      </c>
      <c r="I566" s="2">
        <v>2.0</v>
      </c>
      <c r="J566" s="5" t="str">
        <f>IFERROR(__xludf.DUMMYFUNCTION("GOOGLETRANSLATE(A566)"),"classmates")</f>
        <v>classmates</v>
      </c>
      <c r="K566" s="6" t="str">
        <f>IFERROR(__xludf.DUMMYFUNCTION("GOOGLETRANSLATE(B566)"),"Classmates company - Habr Career")</f>
        <v>Classmates company - Habr Career</v>
      </c>
      <c r="L566" s="5" t="str">
        <f>IFERROR(__xludf.DUMMYFUNCTION("GOOGLETRANSLATE(C566)"),"About the company ""Odnoklassniki"". Classmates are a technological, content and service platform. Monthly service audience - about 37 million people ...")</f>
        <v>About the company "Odnoklassniki". Classmates are a technological, content and service platform. Monthly service audience - about 37 million people ...</v>
      </c>
      <c r="M566" s="5" t="str">
        <f>IFERROR(__xludf.DUMMYFUNCTION("GOOGLETRANSLATE(G566)"),"Work in the IT industry Fresh vacancies and resumes Work Search-Habr career service Habra Service IT-specialist wipes for any questions about ITPROFORENCE WORK WORK for IT specialist vehicles through the Habr Accounts for the Habr Accounts Paniiyretingzar"&amp;"payplaces by oscillator -specialists will find a job to find a job in the ITPOGAMENATYSTYNASTENT IT3 347 VACACES ONLY is already here1,167 courses for obtaining and the development of skills177 386 ₽ Middle salary in the IT segment of 678 companies are lo"&amp;"oking for employees right now01 unidyds work on the souls of the Khabra Careers Actual vacancies for all leading specializations of the IT industry-designation of the design of the design of the design of the design of Tchikot 120 000 ₽ ₽ Frontent work de"&amp;"veloper (JavaScript/React) from 180 000 ₽Simplenight work FrontenD (React.js) Developer $ 4,000 to 6,000 Bittenredomskreact Developer 20,000 to 40 000 ₽ Laboratory 365 Demolished workmiddle Froneloper (React) from 120,000 to 200 000 asonable operation of "&amp;"theBackend developer (Pyt Hon django) from 180 000 ₽- PARSERUAL WORK OFFRONTEND ENGINEER (React Material-UI Typescript) from 1,500 to 2,000 $ GARANTEXED WORK WORKSENIOR FRONELOPEROT 3,500 more vacancies HAVIBR Development: Greenatomoskvqa Engineer Manal 1"&amp;"80 000 ₽ Caudated work CQA engineering 140 000 ₽T-tsdala workcrimato functional Tester (Middle Middle+ Manual QA) in CIB (remotely) from 130,000 to 250 000 ₽ Labor 365 Inopurrent Labor Apostor 80 000 to 150 000 ₽BDEVENED WORK CALE ASSURANCEOT 50 000 000 0"&amp;"00 ₽TINKOFOFMOSKAAKA. d) from 150,000 to 400 000 ₽ Cheeleomskvautomation QA Engineer (API) from 200 000 000 ₽rem finance s.R. Automed workmiddle / senior QA Engineerot 800 to 1,600 more vacancies-surDEVOPS engineer for design employment 80 000 ley VARDISE"&amp;"D WORK WORK AND 350 000 000 ₽GAUSSED WORK WORK AND 350 000 000 ₽VKMOSKVASITE RELIABILITY ENGINEER (SRE) from 200,000 to 500 000 ₽SOKOLOVENTENDENT WORK INSISTEMENT LINUXO 200 000 ₽KillSpace DEVEVOPS-engineer in EDTECH Project 200 000 to 300,000 ley OPS Eng"&amp;"ineering 200,000 to 400 000 ₽Avanpostmoskviangener of implementation (System Administrator Skill ) from 150 000 to 170 000 ₽ more vacancieshabr administration: MVP Labelended Workproject Managerot 100,000 to 150 000 ₽quantum workit workit Project Managero"&amp;" 80 000 ₽ Service -ServableProject manager 150 000 to 200 000 to 200 000 to 200 000 to 200 000 to 200 000 to 200 000 to 200 000 to 200,000 ₽freuders -dedicated workproject Manager (with functions of Business Analyst) from 2,500 $ FUTURE SEARCHUDALE WORKSP"&amp;"ROJECT Manager / Product Managerot 120 000 to 150 000 000 ₽ Ibiumed operationProduct Owner / POV EdTech-Product 300 000 ₽dna Teaminburgproject Manager (WEB coordinator WEB -development) from 145,000 to 165 000 ₽atlasmoskvasro in atlasot 200,000 to 280,000"&amp;" ₽ Vacanciihabr Management: YOURTUNESENCE WORK WORKS/UI Designer 100 000 ₽-product-producer-Petersburgui/Ux designer 150 000 ₽ aurobed work (B2B) up to 220 000 ₽TRIDALED WORK MU Bono.digtaldnated work designer 80 000 ₽1420 -given Workmiddle Designerot 1,5"&amp;"00 contouring work SSENIOR Designer of internal grocery interfaces 150 000 ₽Redlabmoscreician designer (remotely hourly payment) from 40,000 to 80 000 ₽ Warcassihabr Design: Gravity Field Democal work P GPB / Vesna -Data Data Working up up to 200 000 ₽Cli"&amp;"ckavia Work work Engineerot 2,500 to 4,000 $ RT Misudalized workshop Billingado 65 000 ₽2Seventaganrogsystem analyst of 100,000 to 150 000 ₽MTSMS -vanity analyst in the team of cross -platform mobile applications to 250,000 000 ₽Wininam and lurk Tikot 300"&amp;" 000 ₽ProCter &amp; Gamblemoskvasenior Data Engineer / Senior Data- Engineering 280 000 ₽ more vacancies-alepix, marketing workman 1,000 to 1,500 $ UAB SoftekUDALED WORKSMARKETINGER CPA NETWORKS (DATING UNDER WW) up to 200 000 ₽future search. Marketologist 60"&amp;" 000 to 100 000 ₽PERFORMANCE Maniacsed Work Speesist Contextual Advertising Office 80 000 to 120 000 ₽ Bankirrosankt-Petersburgseo-specialist / SEO-optimizer (remotely) from 60,000 to 120 000 ₽10Holding, work-specialist for marketing and income growth (an"&amp;"alysis and management) from 100,000 to 120 000 ₽ Future SEARCHUDEN WORKS SEO SEO SEO SEO -Departure / Team LEAD SEOOT 120 000 to 150 000 ₽ Rybasankancancarburg Director for Marketing (CMO) up to 300 000 ₽ more vacancieshabr marketing: Developer1462 Vacanc"&amp;"oftware Engineer1462 Vacancy Programmer 2 Categories 915 Vetermined 68 Vacancy Developer 854 vacancies Bacckend Developer683 Vacancia Analytic607 Vacancy Analytic 500 Vacancist programmer495 Vacancyyinzhener Technologist Programist482 Vacancy DWH482 Vacan"&amp;"cy work2301 Vacancies more vacancies02 Issules are the best place is trusted by the best companies that regularly place vacancies for the IT specialists from uslamoda tech4.5897%Code the LifeSTYLEMENALEMENT TUSTIONS4.77 Professional growth4.73LUXOFT4.4 78"&amp;"9%leading global company providing Digital strategy and development services Professional growth software 4.62 Social package4.57 -component working conditions 4.56Avito4.4487%of the announcements of which is used by a third of the Russian population of R"&amp;"ussian labor 4.81 The world is better 4.74 Minor technologies 4.7 Interesting tasks 4.57VK4.3588%The meeting place of the best working conditions 4.76 Social package4.64 Professional growth4.55 Tenzor4.3383%Development of a system of business communicatio"&amp;"ns and electronic document management C&gt; 1 million user-graphic working conditions4.71 components are made by the world Better 4.49 Relations with colleagues 4.45alf-bank4.3384%digital-banking unit with colleagues4.63 compound makes the world better 4.48 "&amp;"cramary growth 4.43LALIT4.3182%Multiprophyal group of the Russian industry of the Russian industry with colleagues4.59 Command makes the world better4 .53professional growth 4.44 -jandeks4.3085%company that develops the most popular search engine in Russi"&amp;"a and dozens of other services -to -deal working conditions 4.78 social package 4.72 companies makes the world better 4.6 School of technology4.2180%company with a flexible approach to work in technological solutions and bright corporate Culture to be a c"&amp;"olleagues 4.45-composed working conditions 4.4 Modern technologies 4.4.4.4.1878%the largest wholesale supplier of consumer goods in Russian in Russian, 82 Mineral Technologies4.64 Professional growth4.55 Lig of digital economy4.1778%Group of companies tha"&amp;"t provide professional services in the field of information and digital. The technologian package4.42 compound makes the world better 4.39 Issues with colleagues 4.37miro4.8798%The Online Collaboative Whiteboarding Platforming makes the world better 4.99 "&amp;"Social packet4.99 Professional growth4.94aston (Ex. Anddersen) 4.8096%outsourcing company, oriented to develop component working conditions 4.87 professional growth4.86 modern technologies4.84 Directic Credit4.7792%of technology - this is simply clear and"&amp;" conveniently makes the world better 4.9 Professional growth4.85jetbraains4.7499% Effective tools for developers in companies Makes the world better than 5.0 School with top management5.0 Carrier growth5.0 TELEMATIC 4.7392%International Developer and Russ"&amp;"ian leader of the solutions in the field of intellectual transportation salary 4.88 Office with colleagues 4.77 Professional growth4.77 European company 4.7196%LISING Company Company makes a world better 5.0 top management 4.9 Social package4.9indrive4.69"&amp;"96%International Passenger and Freight Service with headquarters in the Mountain-Vew California makes the world better 5.0 Professional growth 4.91-compound working conditions 4.91WRIKE4.6795%American company with headquarters in California in California."&amp;" The product of the same name for the management of projectscore labor conditions 4.92 Social package4.85 generation with colleagues 4.77qiwi4.6490%Holding payment service in Russia and the countries of the CIS-Correct working conditions4.92 Professional "&amp;"growth 4.83 Modern technologies4.83Korus Consulting4.6391%One of the largest Russian I-Communist Party Interesting tasks4. 86 companies make the world better 4.79 -component working conditions 4.79revolut4.5991%Global Money Apprafting working conditions 4"&amp;".85 Social package4.85dadekvative salary4.85 Razsoft4.5891%custom -made software development and information systems of labor 4.94 Professional growth4.71SHA -MENZHMENT 4.65 RATION of companies 03 Create Professional resumes of profiles on a quarry Haber "&amp;"can get comprehensive information about your achievements. Just send the employer a link to your profile. And tell the Bolshenevyki about yourself and the education will help you find the right work. The active in communities and additional courses make t"&amp;"he profile attractive for the employer. To make up the profile04 Follow the relevant The salary allows you to find out the current salary by any specialty of the IT industry. On the day we update data on salary183 074 ₽ Middle salary on the basis of 13209"&amp;" questionnaires for the 2nd floor. 2023350 000 ₽ MAKOMUMUM160 000 ₽ MEMEDIAN50 000 ₽ minimum testing122 539 ₽ Medium salary on the basis of 2442 profiles for 2nd floor. 2023240 000 ₽Maximum 100 000 ₽ MEMEDIAN40 000 ₽ Mumadinisting161 911 ₽ Middle salary o"&amp;"n the basis of 1351 profiles for the 2nd floor. 2023313 000 ₽Maximum134 000 ₽ median50 000 ₽ minimum junction193 702 ₽ Middle salary on the basis of 2047 profiles for the 2nd floor. 2023368 000 ₽Maximum 160 000 ₽ median60 000 ₽ minimum design97 816 ₽ Mead"&amp;"s on the basis of 1375 profiles for 2-floor. 2023200 000 ₽Maximum 70 000 ₽ median30 000 ₽ minimumanalytics152 052 ₽ Meads on the basis of 2450 profiles for the 2nd floor. 2023276 000 ₽ MAKOMAKOMUMENEMENT140 000 ₽ MEMADIA52 200 ₽ minimum 105kachi of their "&amp;"skill Khabr career collected educational courses from the 100 best schools of additional education in IT development -designation of the design of the design of C ++ 126 000 ₽XYZYZ Schoolonline training. Development of games on Unity74 500 ₽Khexletonline "&amp;"training professional: Fullstack-developer213 840 ₽ Netologyonline training python from zero to Middle103 400 ₽html Academyonline Learning and CSS. Adaptive miles and automation25 900 ₽xyz schoolonline training leoper casual86 Fessions: Testing Engineer 6"&amp;"3 000 ₽ Yajandex Productumonline training engineer for testing ButkMP128 800 ₽ Contour schoolonline Training API9900 testing ₽skillboxonline Tearing Automated Testing Web applications for JavaScript42 900 ₽Tusonline Training Testing107 300 ₽ EDUSONOLLINAL"&amp;"LINAL PO60 464 ₽Kyproonline training engineer for Testing10 5 600 ₽ more Kursklermonline Training DEDEVOPS UPGRADE165 ₽ NeTology on-line training-engineer with zero148 000 ₽Tusonline learning infrastructure platform based Kubernetes95 000 ₽skillfactoryonl"&amp;"ine training DEDEVOPS-engineer98 2 150 ₽GB (Geekbrains) Online Training DEDEVOPS-Engineer: Quick Start in the profession87 454 ₽ more courses XYZ Schoolonline Training Game Projects 87 500 ₽ Caucasiacomonaline training of a production manager120 000 ₽ Sch"&amp;"ool ofonline learning ₽ EDUSONOLLINALINAL PRODUCTION OPERATION OFFICE: Enterprise Management161 200 ₽ProductStaronline Training Gruwth Hacking39 000 000 ₽ City Business Schoolonline Training AGILE in Project Management10 900 ₽ more courses XYZ Schoolonlin"&amp;"e Training TRip37 200 ₽ Nelynine training-designer96 745 ₽xyz school-lonline-ART53 800 ₽XYZYZ Schoolroneline LEAR Ozing of special effects in Houdini FX104 000 ₽xyz Schoolonline training-Undresser 800 ₽xyz Schoolonline Training anatomy of gaming character"&amp;"s 20 300 ₽xyz schoolonline training 3D characters173 500 ₽xyz schoolonline trainingConcept art81 500 ₽ Cursakens Permonline training engineer 95 000 ₽shote tutorial proceedings: data analyst data108 540 ¦ Data Scientist96 500 ₽ SSTENET Schoolonline Traini"&amp;"ng Analysis. Development of requirements for software in the group 36 000 ₽cors Academyonline Training Project Management 1C32 600 ₽ Contour school -rational training for working with data 42 000, ₽killfactoryline levies Product analytics54 960 ₽skillboxo"&amp;"nline data learning with zero109 868 ₽ ₽ courses06 Read useful articles regularly publish useful articles for a career : Studies of events, employers' ratings and much more. November 3, how much they spend on IT: Senor of the Bacendicity of Hiring on Nove"&amp;"mber 1 on November 1 on the IT market in 3 quarter 202310 events on October 31 Events for EICHARS AND IT in November 24 October 22-a new section in the Complete of Company de to work18 October Work in IT in 2023: DATSTEAM research on October 112 to make a"&amp;" vacancy to which will respond-Instruction of the Mamation on September 28 of the Events for Eichar and Recruiters in October Service27 September Prices from October 27 Special Projects25 September Pete-Project Projects 22 “We simply in Uglcons and just i"&amp;"n Uglcons and just in Ugli and Ugliors quit "" - the stories of career failures part 5 tests on September 21 on IT: 73% of experienced specialists become mentors of the Spoprojects18 September Analysts 2.07 Watchers the most useful thing we make up severa"&amp;"l times a month of mailing ratings with articles and tutorians for those who build their careers in it. Currect! Rierao service services and prices of the Mountagincam Professional contacts of the employer of the employer-API Support Service Support for t"&amp;"he Consignation with the User of the Right Propes of the Service of the LISTISTITITION OF THE STSTSETYSHYSIA OF THE SECTIONS 3347 vacancies and 259444 resumes on average 12 responses for the service of service and price of the co-manager Topi -API Service"&amp;" Support Support for Primary Projects Habrahabrq &amp; Afrylance")</f>
        <v>Work in the IT industry Fresh vacancies and resumes Work Search-Habr career service Habra Service IT-specialist wipes for any questions about ITPROFORENCE WORK WORK for IT specialist vehicles through the Habr Accounts for the Habr Accounts Paniiyretingzarpayplaces by oscillator -specialists will find a job to find a job in the ITPOGAMENATYSTYNASTENT IT3 347 VACACES ONLY is already here1,167 courses for obtaining and the development of skills177 386 ₽ Middle salary in the IT segment of 678 companies are looking for employees right now01 unidyds work on the souls of the Khabra Careers Actual vacancies for all leading specializations of the IT industry-designation of the design of the design of the design of the design of Tchikot 120 000 ₽ ₽ Frontent work developer (JavaScript/React) from 180 000 ₽Simplenight work FrontenD (React.js) Developer $ 4,000 to 6,000 Bittenredomskreact Developer 20,000 to 40 000 ₽ Laboratory 365 Demolished workmiddle Froneloper (React) from 120,000 to 200 000 asonable operation of theBackend developer (Pyt Hon django) from 180 000 ₽- PARSERUAL WORK OFFRONTEND ENGINEER (React Material-UI Typescript) from 1,500 to 2,000 $ GARANTEXED WORK WORKSENIOR FRONELOPEROT 3,500 more vacancies HAVIBR Development: Greenatomoskvqa Engineer Manal 180 000 ₽ Caudated work CQA engineering 140 000 ₽T-tsdala workcrimato functional Tester (Middle Middle+ Manual QA) in CIB (remotely) from 130,000 to 250 000 ₽ Labor 365 Inopurrent Labor Apostor 80 000 to 150 000 ₽BDEVENED WORK CALE ASSURANCEOT 50 000 000 000 ₽TINKOFOFMOSKAAKA. d) from 150,000 to 400 000 ₽ Cheeleomskvautomation QA Engineer (API) from 200 000 000 ₽rem finance s.R. Automed workmiddle / senior QA Engineerot 800 to 1,600 more vacancies-surDEVOPS engineer for design employment 80 000 ley VARDISED WORK WORK AND 350 000 000 ₽GAUSSED WORK WORK AND 350 000 000 ₽VKMOSKVASITE RELIABILITY ENGINEER (SRE) from 200,000 to 500 000 ₽SOKOLOVENTENDENT WORK INSISTEMENT LINUXO 200 000 ₽KillSpace DEVEVOPS-engineer in EDTECH Project 200 000 to 300,000 ley OPS Engineering 200,000 to 400 000 ₽Avanpostmoskviangener of implementation (System Administrator Skill ) from 150 000 to 170 000 ₽ more vacancieshabr administration: MVP Labelended Workproject Managerot 100,000 to 150 000 ₽quantum workit workit Project Managero 80 000 ₽ Service -ServableProject manager 150 000 to 200 000 to 200 000 to 200 000 to 200 000 to 200 000 to 200 000 to 200 000 to 200,000 ₽freuders -dedicated workproject Manager (with functions of Business Analyst) from 2,500 $ FUTURE SEARCHUDALE WORKSPROJECT Manager / Product Managerot 120 000 to 150 000 000 ₽ Ibiumed operationProduct Owner / POV EdTech-Product 300 000 ₽dna Teaminburgproject Manager (WEB coordinator WEB -development) from 145,000 to 165 000 ₽atlasmoskvasro in atlasot 200,000 to 280,000 ₽ Vacanciihabr Management: YOURTUNESENCE WORK WORKS/UI Designer 100 000 ₽-product-producer-Petersburgui/Ux designer 150 000 ₽ aurobed work (B2B) up to 220 000 ₽TRIDALED WORK MU Bono.digtaldnated work designer 80 000 ₽1420 -given Workmiddle Designerot 1,500 contouring work SSENIOR Designer of internal grocery interfaces 150 000 ₽Redlabmoscreician designer (remotely hourly payment) from 40,000 to 80 000 ₽ Warcassihabr Design: Gravity Field Democal work P GPB / Vesna -Data Data Working up up to 200 000 ₽Clickavia Work work Engineerot 2,500 to 4,000 $ RT Misudalized workshop Billingado 65 000 ₽2Seventaganrogsystem analyst of 100,000 to 150 000 ₽MTSMS -vanity analyst in the team of cross -platform mobile applications to 250,000 000 ₽Wininam and lurk Tikot 300 000 ₽ProCter &amp; Gamblemoskvasenior Data Engineer / Senior Data- Engineering 280 000 ₽ more vacancies-alepix, marketing workman 1,000 to 1,500 $ UAB SoftekUDALED WORKSMARKETINGER CPA NETWORKS (DATING UNDER WW) up to 200 000 ₽future search. Marketologist 60 000 to 100 000 ₽PERFORMANCE Maniacsed Work Speesist Contextual Advertising Office 80 000 to 120 000 ₽ Bankirrosankt-Petersburgseo-specialist / SEO-optimizer (remotely) from 60,000 to 120 000 ₽10Holding, work-specialist for marketing and income growth (analysis and management) from 100,000 to 120 000 ₽ Future SEARCHUDEN WORKS SEO SEO SEO SEO -Departure / Team LEAD SEOOT 120 000 to 150 000 ₽ Rybasankancancarburg Director for Marketing (CMO) up to 300 000 ₽ more vacancieshabr marketing: Developer1462 Vacancoftware Engineer1462 Vacancy Programmer 2 Categories 915 Vetermined 68 Vacancy Developer 854 vacancies Bacckend Developer683 Vacancia Analytic607 Vacancy Analytic 500 Vacancist programmer495 Vacancyyinzhener Technologist Programist482 Vacancy DWH482 Vacancy work2301 Vacancies more vacancies02 Issules are the best place is trusted by the best companies that regularly place vacancies for the IT specialists from uslamoda tech4.5897%Code the LifeSTYLEMENALEMENT TUSTIONS4.77 Professional growth4.73LUXOFT4.4 789%leading global company providing Digital strategy and development services Professional growth software 4.62 Social package4.57 -component working conditions 4.56Avito4.4487%of the announcements of which is used by a third of the Russian population of Russian labor 4.81 The world is better 4.74 Minor technologies 4.7 Interesting tasks 4.57VK4.3588%The meeting place of the best working conditions 4.76 Social package4.64 Professional growth4.55 Tenzor4.3383%Development of a system of business communications and electronic document management C&gt; 1 million user-graphic working conditions4.71 components are made by the world Better 4.49 Relations with colleagues 4.45alf-bank4.3384%digital-banking unit with colleagues4.63 compound makes the world better 4.48 cramary growth 4.43LALIT4.3182%Multiprophyal group of the Russian industry of the Russian industry with colleagues4.59 Command makes the world better4 .53professional growth 4.44 -jandeks4.3085%company that develops the most popular search engine in Russia and dozens of other services -to -deal working conditions 4.78 social package 4.72 companies makes the world better 4.6 School of technology4.2180%company with a flexible approach to work in technological solutions and bright corporate Culture to be a colleagues 4.45-composed working conditions 4.4 Modern technologies 4.4.4.4.1878%the largest wholesale supplier of consumer goods in Russian in Russian, 82 Mineral Technologies4.64 Professional growth4.55 Lig of digital economy4.1778%Group of companies that provide professional services in the field of information and digital. The technologian package4.42 compound makes the world better 4.39 Issues with colleagues 4.37miro4.8798%The Online Collaboative Whiteboarding Platforming makes the world better 4.99 Social packet4.99 Professional growth4.94aston (Ex. Anddersen) 4.8096%outsourcing company, oriented to develop component working conditions 4.87 professional growth4.86 modern technologies4.84 Directic Credit4.7792%of technology - this is simply clear and conveniently makes the world better 4.9 Professional growth4.85jetbraains4.7499% Effective tools for developers in companies Makes the world better than 5.0 School with top management5.0 Carrier growth5.0 TELEMATIC 4.7392%International Developer and Russian leader of the solutions in the field of intellectual transportation salary 4.88 Office with colleagues 4.77 Professional growth4.77 European company 4.7196%LISING Company Company makes a world better 5.0 top management 4.9 Social package4.9indrive4.6996%International Passenger and Freight Service with headquarters in the Mountain-Vew California makes the world better 5.0 Professional growth 4.91-compound working conditions 4.91WRIKE4.6795%American company with headquarters in California in California. The product of the same name for the management of projectscore labor conditions 4.92 Social package4.85 generation with colleagues 4.77qiwi4.6490%Holding payment service in Russia and the countries of the CIS-Correct working conditions4.92 Professional growth 4.83 Modern technologies4.83Korus Consulting4.6391%One of the largest Russian I-Communist Party Interesting tasks4. 86 companies make the world better 4.79 -component working conditions 4.79revolut4.5991%Global Money Apprafting working conditions 4.85 Social package4.85dadekvative salary4.85 Razsoft4.5891%custom -made software development and information systems of labor 4.94 Professional growth4.71SHA -MENZHMENT 4.65 RATION of companies 03 Create Professional resumes of profiles on a quarry Haber can get comprehensive information about your achievements. Just send the employer a link to your profile. And tell the Bolshenevyki about yourself and the education will help you find the right work. The active in communities and additional courses make the profile attractive for the employer. To make up the profile04 Follow the relevant The salary allows you to find out the current salary by any specialty of the IT industry. On the day we update data on salary183 074 ₽ Middle salary on the basis of 13209 questionnaires for the 2nd floor. 2023350 000 ₽ MAKOMUMUM160 000 ₽ MEMEDIAN50 000 ₽ minimum testing122 539 ₽ Medium salary on the basis of 2442 profiles for 2nd floor. 2023240 000 ₽Maximum 100 000 ₽ MEMEDIAN40 000 ₽ Mumadinisting161 911 ₽ Middle salary on the basis of 1351 profiles for the 2nd floor. 2023313 000 ₽Maximum134 000 ₽ median50 000 ₽ minimum junction193 702 ₽ Middle salary on the basis of 2047 profiles for the 2nd floor. 2023368 000 ₽Maximum 160 000 ₽ median60 000 ₽ minimum design97 816 ₽ Meads on the basis of 1375 profiles for 2-floor. 2023200 000 ₽Maximum 70 000 ₽ median30 000 ₽ minimumanalytics152 052 ₽ Meads on the basis of 2450 profiles for the 2nd floor. 2023276 000 ₽ MAKOMAKOMUMENEMENT140 000 ₽ MEMADIA52 200 ₽ minimum 105kachi of their skill Khabr career collected educational courses from the 100 best schools of additional education in IT development -designation of the design of the design of C ++ 126 000 ₽XYZYZ Schoolonline training. Development of games on Unity74 500 ₽Khexletonline training professional: Fullstack-developer213 840 ₽ Netologyonline training python from zero to Middle103 400 ₽html Academyonline Learning and CSS. Adaptive miles and automation25 900 ₽xyz schoolonline training leoper casual86 Fessions: Testing Engineer 63 000 ₽ Yajandex Productumonline training engineer for testing ButkMP128 800 ₽ Contour schoolonline Training API9900 testing ₽skillboxonline Tearing Automated Testing Web applications for JavaScript42 900 ₽Tusonline Training Testing107 300 ₽ EDUSONOLLINALLINAL PO60 464 ₽Kyproonline training engineer for Testing10 5 600 ₽ more Kursklermonline Training DEDEVOPS UPGRADE165 ₽ NeTology on-line training-engineer with zero148 000 ₽Tusonline learning infrastructure platform based Kubernetes95 000 ₽skillfactoryonline training DEDEVOPS-engineer98 2 150 ₽GB (Geekbrains) Online Training DEDEVOPS-Engineer: Quick Start in the profession87 454 ₽ more courses XYZ Schoolonline Training Game Projects 87 500 ₽ Caucasiacomonaline training of a production manager120 000 ₽ School ofonline learning ₽ EDUSONOLLINALINAL PRODUCTION OPERATION OFFICE: Enterprise Management161 200 ₽ProductStaronline Training Gruwth Hacking39 000 000 ₽ City Business Schoolonline Training AGILE in Project Management10 900 ₽ more courses XYZ Schoolonline Training TRip37 200 ₽ Nelynine training-designer96 745 ₽xyz school-lonline-ART53 800 ₽XYZYZ Schoolroneline LEAR Ozing of special effects in Houdini FX104 000 ₽xyz Schoolonline training-Undresser 800 ₽xyz Schoolonline Training anatomy of gaming characters 20 300 ₽xyz schoolonline training 3D characters173 500 ₽xyz schoolonline trainingConcept art81 500 ₽ Cursakens Permonline training engineer 95 000 ₽shote tutorial proceedings: data analyst data108 540 ¦ Data Scientist96 500 ₽ SSTENET Schoolonline Training Analysis. Development of requirements for software in the group 36 000 ₽cors Academyonline Training Project Management 1C32 600 ₽ Contour school -rational training for working with data 42 000, ₽killfactoryline levies Product analytics54 960 ₽skillboxonline data learning with zero109 868 ₽ ₽ courses06 Read useful articles regularly publish useful articles for a career : Studies of events, employers' ratings and much more. November 3, how much they spend on IT: Senor of the Bacendicity of Hiring on November 1 on November 1 on the IT market in 3 quarter 202310 events on October 31 Events for EICHARS AND IT in November 24 October 22-a new section in the Complete of Company de to work18 October Work in IT in 2023: DATSTEAM research on October 112 to make a vacancy to which will respond-Instruction of the Mamation on September 28 of the Events for Eichar and Recruiters in October Service27 September Prices from October 27 Special Projects25 September Pete-Project Projects 22 “We simply in Uglcons and just in Uglcons and just in Ugli and Ugliors quit " - the stories of career failures part 5 tests on September 21 on IT: 73% of experienced specialists become mentors of the Spoprojects18 September Analysts 2.07 Watchers the most useful thing we make up several times a month of mailing ratings with articles and tutorians for those who build their careers in it. Currect! Rierao service services and prices of the Mountagincam Professional contacts of the employer of the employer-API Support Service Support for the Consignation with the User of the Right Propes of the Service of the LISTISTITITION OF THE STSTSETYSHYSIA OF THE SECTIONS 3347 vacancies and 259444 resumes on average 12 responses for the service of service and price of the co-manager Topi -API Service Support Support for Primary Projects Habrahabrq &amp; Afrylance</v>
      </c>
    </row>
    <row r="567">
      <c r="A567" s="1" t="s">
        <v>1847</v>
      </c>
      <c r="B567" s="4" t="s">
        <v>1902</v>
      </c>
      <c r="D567" s="1">
        <v>18.0</v>
      </c>
      <c r="E567" s="4" t="s">
        <v>1903</v>
      </c>
      <c r="F567" s="1" t="s">
        <v>16</v>
      </c>
      <c r="G567" s="1" t="s">
        <v>1904</v>
      </c>
      <c r="H567" s="4" t="s">
        <v>1905</v>
      </c>
      <c r="I567" s="2">
        <v>2.0</v>
      </c>
      <c r="J567" s="5" t="str">
        <f>IFERROR(__xludf.DUMMYFUNCTION("GOOGLETRANSLATE(A567)"),"classmates")</f>
        <v>classmates</v>
      </c>
      <c r="K567" s="7" t="str">
        <f>IFERROR(__xludf.DUMMYFUNCTION("GOOGLETRANSLATE(B567)"),"OK.me")</f>
        <v>OK.me</v>
      </c>
      <c r="L567" s="5" t="str">
        <f>IFERROR(__xludf.DUMMYFUNCTION("GOOGLETRANSLATE(C567)"),"#VALUE!")</f>
        <v>#VALUE!</v>
      </c>
      <c r="M567" s="5" t="str">
        <f>IFERROR(__xludf.DUMMYFUNCTION("GOOGLETRANSLATE(G567)"),"Classmniks aid -granide post address or television parking password? Register")</f>
        <v>Classmniks aid -granide post address or television parking password? Register</v>
      </c>
    </row>
    <row r="568">
      <c r="A568" s="1" t="s">
        <v>1847</v>
      </c>
      <c r="B568" s="1" t="s">
        <v>1906</v>
      </c>
      <c r="C568" s="1" t="s">
        <v>1907</v>
      </c>
      <c r="D568" s="1">
        <v>33.0</v>
      </c>
      <c r="E568" s="4" t="s">
        <v>1908</v>
      </c>
      <c r="F568" s="1" t="s">
        <v>16</v>
      </c>
      <c r="G568" s="1" t="s">
        <v>1909</v>
      </c>
      <c r="H568" s="4" t="s">
        <v>1910</v>
      </c>
      <c r="I568" s="2">
        <v>4.0</v>
      </c>
      <c r="J568" s="5" t="str">
        <f>IFERROR(__xludf.DUMMYFUNCTION("GOOGLETRANSLATE(A568)"),"classmates")</f>
        <v>classmates</v>
      </c>
      <c r="K568" s="6" t="str">
        <f>IFERROR(__xludf.DUMMYFUNCTION("GOOGLETRANSLATE(B568)"),"Classmates - Moscow")</f>
        <v>Classmates - Moscow</v>
      </c>
      <c r="L568" s="5" t="str">
        <f>IFERROR(__xludf.DUMMYFUNCTION("GOOGLETRANSLATE(C568)"),"20 years after graduation, former classmates decide to gather on the birthday of one of them - Vanechka. Who did they become during this time? Priest, oligarch ...")</f>
        <v>20 years after graduation, former classmates decide to gather on the birthday of one of them - Vanechka. Who did they become during this time? Priest, oligarch ...</v>
      </c>
      <c r="M568" s="5" t="str">
        <f>IFERROR(__xludf.DUMMYFUNCTION("GOOGLETRANSLATE(G568)"),"Home :: Central Academic Theater of the Russian Army Afishetate -Projector -Project Kontakottattattattattattattattatotatotate -designed -instantactatactattaktattattattattattattattattattaki -skimpoisk -accumulation of the closest performances on November 1"&amp;"8: 00 Mascarad Premeseraikhail Lermontov3 hours with intermission16+ Buy Ticket November 16: 00ta -alert Star -inemo -united duration: 2 hours 45 minutes without intermission12+ buy a ticket November14 Tue 19: 00 theater star Synemono performance Duration"&amp;": 2 hours 45 minutes without intermission12+ Buy a ticket November15 CP 19: 00 Filmen Marturodo Eduardo de Philippo Translation from the Italian A. Gusev in 2 hours 2 hours 35 minutes with intermission. 16+ Buy a ticket November 115 Wed 19: 30 Bobok Premi"&amp;"ereings on the works of F.M. Dostoevsky director - Sergey Tonyshev16+ Buy a ticket to the ticket more playfulness of the PT theater on November 10, 2023 The anniversary of the creative activity of the People’s Artist Olga Bogdanova on behalf of the Minist"&amp;"er of Defense of the Russian Federation on November 10, 2023 before the play “Play Zoshchenko” by the Russian People's Artist Olga Bogdanova was awarded a valuable gift from named after the Minister of Defense of the Russian Federation, Army General Serge"&amp;"i Shoigu in honor of the anniversary of her creative activity ... Wed November 8, 2023Artists of the Army Theater, on November 7, artists of the Russian Army Theater made a concert in honor of the 82nd anniversary of the military parade on November 7 1941"&amp;" on Red Square. To see more news to subscribe to the newsletter, I agree to process personal data Ministry of Defense of the Russian Federation of the Ministry of Defense of the Russian Federation of the Russian Federation of the Ministry of Defense × Add"&amp;"ress 119160 Moscow Frunze Embankment 22/2 Phone 8 (495) 498 02 75 Strategic Partner: Information partners: Ticket partners: the Ministry of Defense of the Russian Federation of Culture of the Ministry of Defense of the Russian Federation we are at the add"&amp;"ress. Moscow Suvorovskaya Square D.2 (near the Dostoevskaya metro station) Contact television administrator: tel./Fax +7 (495) 681-51-20 Info@teatramii.ru Rubile Cashier: +7 (495) 681-10-43 + 7 (495) 681-24-08 CASS OPERATION: 11.00-19.00 Break from 15.00-"&amp;"16 Teatrarmii.rup issues of cooperation e-mail: teatr.armii@yandex.ru-on questions of tour tel. +7 (495) 681-51-20 Press Service of the theater: e-mail: Teatr.armii@yandex.ru corrected the purchase of tickets to the return of the ticket of the theater to "&amp;"subscribe to us on social networks: © Central Academic Theater of the Russian Army 2022 STR")</f>
        <v>Home :: Central Academic Theater of the Russian Army Afishetate -Projector -Project Kontakottattattattattattattattatotatotate -designed -instantactatactattaktattattattattattattattattattaki -skimpoisk -accumulation of the closest performances on November 18: 00 Mascarad Premeseraikhail Lermontov3 hours with intermission16+ Buy Ticket November 16: 00ta -alert Star -inemo -united duration: 2 hours 45 minutes without intermission12+ buy a ticket November14 Tue 19: 00 theater star Synemono performance Duration: 2 hours 45 minutes without intermission12+ Buy a ticket November15 CP 19: 00 Filmen Marturodo Eduardo de Philippo Translation from the Italian A. Gusev in 2 hours 2 hours 35 minutes with intermission. 16+ Buy a ticket November 115 Wed 19: 30 Bobok Premiereings on the works of F.M. Dostoevsky director - Sergey Tonyshev16+ Buy a ticket to the ticket more playfulness of the PT theater on November 10, 2023 The anniversary of the creative activity of the People’s Artist Olga Bogdanova on behalf of the Minister of Defense of the Russian Federation on November 10, 2023 before the play “Play Zoshchenko” by the Russian People's Artist Olga Bogdanova was awarded a valuable gift from named after the Minister of Defense of the Russian Federation, Army General Sergei Shoigu in honor of the anniversary of her creative activity ... Wed November 8, 2023Artists of the Army Theater, on November 7, artists of the Russian Army Theater made a concert in honor of the 82nd anniversary of the military parade on November 7 1941 on Red Square. To see more news to subscribe to the newsletter, I agree to process personal data Ministry of Defense of the Russian Federation of the Ministry of Defense of the Russian Federation of the Russian Federation of the Ministry of Defense × Address 119160 Moscow Frunze Embankment 22/2 Phone 8 (495) 498 02 75 Strategic Partner: Information partners: Ticket partners: the Ministry of Defense of the Russian Federation of Culture of the Ministry of Defense of the Russian Federation we are at the address. Moscow Suvorovskaya Square D.2 (near the Dostoevskaya metro station) Contact television administrator: tel./Fax +7 (495) 681-51-20 Info@teatramii.ru Rubile Cashier: +7 (495) 681-10-43 + 7 (495) 681-24-08 CASS OPERATION: 11.00-19.00 Break from 15.00-16 Teatrarmii.rup issues of cooperation e-mail: teatr.armii@yandex.ru-on questions of tour tel. +7 (495) 681-51-20 Press Service of the theater: e-mail: Teatr.armii@yandex.ru corrected the purchase of tickets to the return of the ticket of the theater to subscribe to us on social networks: © Central Academic Theater of the Russian Army 2022 STR</v>
      </c>
    </row>
    <row r="569">
      <c r="A569" s="1" t="s">
        <v>1847</v>
      </c>
      <c r="B569" s="1" t="s">
        <v>1911</v>
      </c>
      <c r="C569" s="1" t="s">
        <v>1912</v>
      </c>
      <c r="D569" s="1">
        <v>35.0</v>
      </c>
      <c r="E569" s="4" t="s">
        <v>1913</v>
      </c>
      <c r="F569" s="1" t="s">
        <v>16</v>
      </c>
      <c r="G569" s="1" t="s">
        <v>221</v>
      </c>
      <c r="H569" s="4" t="s">
        <v>222</v>
      </c>
      <c r="I569" s="2">
        <v>4.0</v>
      </c>
      <c r="J569" s="5" t="str">
        <f>IFERROR(__xludf.DUMMYFUNCTION("GOOGLETRANSLATE(A569)"),"classmates")</f>
        <v>classmates</v>
      </c>
      <c r="K569" s="6" t="str">
        <f>IFERROR(__xludf.DUMMYFUNCTION("GOOGLETRANSLATE(B569)"),"""Classmates"" presented the site update - ...")</f>
        <v>"Classmates" presented the site update - ...</v>
      </c>
      <c r="L569" s="5" t="str">
        <f>IFERROR(__xludf.DUMMYFUNCTION("GOOGLETRANSLATE(C569)"),"25 Sept. 2023. -")</f>
        <v>25 Sept. 2023. -</v>
      </c>
      <c r="M569" s="5" t="str">
        <f>IFERROR(__xludf.DUMMYFUNCTION("GOOGLETRANSLATE(G569)"),"Vedomosti is a leading business publication of Russia. The newspaper enter the article in the “Purreled Materials” to read when the time appears. To do this, enter or register. Determine, save the article in “Purreled Materials” to read when the time appe"&amp;"ars. To do this, enter or register. To expand the import of cars to Russia, the growth of utilsbor and domestic production will slow down this dynamics in 2024, save the article in “Postponed Materials” to read the time. To do this, enter or register. Det"&amp;"ermine the frame of the day, save the article in the “Purreled Materials” to read when the time appears. To do this, enter or register. To expand back the Central Bank spoke about the expansion of the presence of insurers in the new regions, save the arti"&amp;"cle in “Purchase Materials” to read when the time appears. To do this, enter or register. The new film by Anna Melikyan about a woman who began to hear alien voices, keep an article in “Post -Posted Materials” came out to expand the “Feelings of Anna” fro"&amp;"m the Cosmos with love. To read the time. To do this, enter or register. Determine, save the article in “Purreled Materials” to read when the time appears. To do this, enter or register. To expand back the Minister of Education of Russia personally showed"&amp;" the head of Chechnya a new textbook of history, save the article in “Purchase Materials” to read when the time appears. To do this, enter or register. Patients and government agencies have stopped expanding the sales of insulin in Russia in Russia, exper"&amp;"ts consider to buy the drug to save the article in “Post -Executed Materials” to read out when there is time. To do this, enter or register. To expand the “Magic Plot” fantastic creatures and the magical police on the Okko video service started showing th"&amp;"e series about modern Moscow and its fairy -tale inhabitants, save the article in “Postponed Materials” to read the time. To do this, enter or register. To expand back the zhora of gooseberries “to lure them to spoll” the screenwriter and producer about t"&amp;"he “adult” spectators and new realities of serial production in Russia, save the article in “Delayed Materials” to read when the time appears. To do this, enter or register. To expand back to Russian investors will be paid equally when exchanging assets w"&amp;"ith foreigners to assess the Central Bank of the funds to all whose portfolio does not exceed 100,000 rubles, save the article in “Defed Materials” to read out when the time appears. To do this, enter or register. Expand the plot Partner Advertising Newto"&amp;"n Investment ERID: LDTKKN4FB in detail with information can be found on gazprombank.investments/broker/disclosure investment Reading all materials from UC Rusal, Sberbank for nine months, Sberbank received 133 billion rubles in October Trading by the eter"&amp;"nal futures on the Mosbirzhi index will begin on November 14, save the article in “Purchase Materials” to read when the time appears. To do this, enter or register. To expand the first group of Russian citizens at the exit from the Gaza to Egypt of 85 peo"&amp;"ple approved to the aisle through the Rafach 68 checkpoint 68 - women and children will save the article in “Postponed Materials” to read out when time appears. To do this, enter or register. To deploy Zhora Kryzhovnikov, he spoke about the new hierarchy "&amp;"in the chain “Producer - Director - Screenwriter” Save the article in “Post -Executed Materials” to read when the time appears. To do this, enter or register. The Director of the Department of Corporate Relations of the Central Bank, Elena Kuritsyna, will"&amp;" deploy the head of the Department of Corporate Relations, will interact with issuers and authorities to maintain the article in the “Mathered Materials” to read the time. To do this, enter or register. To expand back the natural decline of the population"&amp;" decreased in 9 months by almost a quarter, save the article in “Postponed Materials” to read when time appears. To do this, enter or register. Determine the plot partner Advertising I ERID: ldtckew5y gsb.hse.ru the main Russian IT trends 2024 Read all ma"&amp;"terials in the interests of traffic, the key to all doors is clear without seams, save the article in “Postponed Materials” to read out when time appears. To do this, enter or register. The Central Bank warned to expand about the accumulation of risks in "&amp;"the “garbage” bonds of individuals to the demand of individuals for such papers reduced the risk coating with profitability to save the article in “Postponed Materials” to read the time. To do this, enter or register. To expand back as state support helps"&amp;" exporters overcome boundaries and barriers why it is important for business to cooperate with the regions and federal authorities to maintain an article in “Postponed Materials” to read when time appears. To do this, enter or register. To expand the Cong"&amp;"ress of United Russia will be held on December 17 Save the article in “Postponed Materials” to read when the time appears. To do this, enter or register. The Central Bank does not plan to deploy lending through the Tsfa, save the article in “Postponed Mat"&amp;"erials” to read when time appears. To do this, enter or register. Determine, save the article in “Purreled Materials” to read when the time appears. To do this, enter or register. The Russian “exchanged” 85 million rubles for fake dollars in the Uralsib o"&amp;"ffice to expand back the businessman, the businessman came across a fraudster who allegedly was an employee of the bank, save the article in “Mattle Materials” to read out when the time appears. To do this, enter or register. Determine, save the article i"&amp;"n “Purreled Materials” to read when the time appears. To do this, enter or register. The drones will be expanded back to monitor the territories of the Federal Penitentiary Service, the Ministry of Justice included them in the draft regulation of technica"&amp;"l means of supervision of the prisoners, save the article in “Postponed Materials” to read the time. To do this, enter or register. Determine the plot of the exacerbation of the conflict between Israel and Palestine: what is happening to read all the mate"&amp;"rials of Israel promised Livana the fate of Gaza when involving the Palestinians, President Iran called the Islamic world to arm the Palestinians Erdogan said that Israel support the minority of the countries to keep the article in the “Milituted Material"&amp;"s” to read out When the time appears. To do this, enter or register. Putin visited the headquarters of the Armed Forces of the Russian Federation in Rostov-on-Don, keep the article in the “Postponed Materials” to read when the time appears. To do this, en"&amp;"ter or register. To expand back the gas sector will leave the first 85 citizens of Russia, save the article in “Postponed Materials” to read when the time appears. To do this, enter or register. To expand back why the personnel deficit has become the main"&amp;" problem of the Russian economy in the Central Bank believe that it can solve its increase in labor productivity save the article in “Postponed Materials” to read when time appears. To do this, enter or register. To expand back what the presidents of Russ"&amp;"ia and Kazakhstan spoke about in Astana, save the article in “Postponed Materials” to read when time appears. To do this, enter or register. Determine, save the article in “Purreled Materials” to read when the time appears. To do this, enter or register. "&amp;"To expand back the first sentence in Moscow in the case of the murder of Daria Dugina has been sentenced to save the article in “Purchase Materials” to read when the time appears. To do this, enter or register. Determine the frame of the day, save the art"&amp;"icle in the “Purreled Materials” to read when the time appears. To do this, enter or register. Determine, save the article in “Purreled Materials” to read when the time appears. To do this, enter or register. Determine the messages of the partners to watc"&amp;"h the company's directory save the article in “Postponed Materials” to read when the time appears. To do this, enter or register. Determining the business price for chipboard began to grow against the background of the peak of the production of Aeroflot f"&amp;"urniture will halve the number of aircraft in the Krasnoyarsk Hab of Inter RAO will take up the CHP in Kazakhstan Yuzhuralzoloto will place up to 5% of the shares on the TOBILISTRIC OF BUSINESS In the “Purchase Materials” to read when the time appears. To"&amp;" do this, enter or register. The Ministry of Labor Economics and the Ministry of Labor and the Ministry of Construction want to expand the family mortgage on the secondary in small cities what Nabiullina spoke about in the State Duma. The main thing for t"&amp;"he renovation of the Cosmonauts training center will be allocated more than 5 billion rubles by experts called five fundamental shortcomings of the regulation of the digital ruble to the “Economics” column, save the article in “Delayed Materials” to read "&amp;"out when time appears. To do this, enter or register. Determine, save the article in “Purreled Materials” to read when the time appears. To do this, enter or register. Determine the companies to watch the company's directory PSK PARMA PARMA, the 2023 empl"&amp;"oyer of the 2023 Product Product, supported Russian cycling Russia and China approved the cooperation plan for 2024 in the construction of the Russian Compliance Award Sitronics Group for information security for information security for information secur"&amp;"ity He became the speaker of the professional retraining course “Management of information security in the body (organization)” in the MSTU named after N.E. Baumanavsk Olga Sorokina in the fields of Finopolis 2023 spoke about the potential to use digital "&amp;"profile in insurance in the focus for online channels: the Far Eastern Regional Center ""Ingosstrakh"" spoke about the results of the half-year nostroy and the Chinese Civil Construction Society concluded an agreement on industrial investment and science "&amp;"of the Moscow Region Fund Microfinancing of the Moscow Region supported the business for 45 billion rubles, save the article in the “Posted Materials” to read when the time appears. To do this, enter or register. Determine the Central Bank’s finances want"&amp;"s to introduce a single QR code to pay for goods, the president signed a decree to launch the exchange of blocked assets of Russians “Sber” prohibited the Kandinsky AI to generate state symbols in Alfa Bank proposed “Sleep” to pay less dividends to the Fi"&amp;"nance section, save the article in the article in “Purchase materials” to read when time appears. To do this, enter or register. Investments to expand investments to Russian investors will pay equally when exchanging assets with foreigners of the Central "&amp;"Bank, warned the accumulation of risks in the “garbage” bonds of the Central Bank does not plan to regulate lending through the Yuzhuralzoloto TSFA up to 5% of the shares in the investment column, save the article in “delayed materials »To read when time "&amp;"appears. To do this, enter or register. Determine, save the article in “Purreled Materials” to read when the time appears. To do this, enter or register. The European Polish Political Politics urged the Russian politics from Russians as France is trying t"&amp;"o achieve a humanitarian pause in the gas sector Ukraine quarreled the Republican candidate of the State Duma approved the expert research plan in 2024 on the “Politician” section, save the article in “Mathered Materials” to read the time when the time ap"&amp;"pears. To do this, enter or register. To expand the technologies back the market of video conferences-communications in 2023 will reach $ 40 million to renovation of the Cosmonauts training center will allocate more than 5 billion rubles for garbage train"&amp;"ing grounds will be monitored using drones on pharmacy sites. Anomalous growth of dirty traffic in the “Technology” section, save the article In the “Purchase Materials” to read when the time appears. To do this, enter or register. Jora Kryzhovnikov spoke"&amp;" to expand the media about the new hierarchy in the chain “Producer -Screenwriter” Zhora Kryzhovnikov told about the reluctance to make full -length films the most cash films of Zhora Kryzhovnikov “Magic Plot”: Fantastic creatures and the magical police i"&amp;"n the Media section “Save the article in the article in” Delayed materials ”to read when time appears. To do this, enter or register. Determine, save the article in “Purreled Materials” to read when the time appears. To do this, enter or register. Determi"&amp;"ning the real estate on the site of the Topaz and Amethyst plants in the southeast of Moscow may appear housing next to Moscow City will appear about 2 million square meters. m Real Estate Apollax Space will open a flexible office in the building of the t"&amp;"radesinovye of the farmstead “The time of large -scale“ carpet buildings ”has already passed” as a “Real Estate” section, save the article in “Postponed Materials” to read when the time appears. To do this, enter or register. The Ministry of Industry and "&amp;"Trade revised the approaches to localization in the automobiles in October to expand the car, the UAZ raised prices for their cars due to the rise in the cost of logistics in the government supported the draft law on the localization of taxi vehicles to t"&amp;"he Auto section, save the article in “Postponed Materials »To read when time appears. To do this, enter or register. Determine, save the article in “Purreled Materials” to read when the time appears. To do this, enter or register. Many Russian companies d"&amp;"eclare the integrated care of the health of employees of personnel hunger dictates to Russian companies new methods of hiring and holding couriers will feed the comprehensive care of employees on the road for more than a third of vacancies in the IT Reman"&amp;"ders in the Office section, save the article in the “Malminated Materials” to read it to read When the time appears. To do this, enter or register. For more than 3,000 enterprises to expand the quarry, about 5,000 marketers in the field of industry, Russi"&amp;"ans still consider the most prestigious work in the field of IT the total income of Russian freelancers by 53% in the first half of the “career”. An article in “Purchase Materials” to read when time appears. To do this, enter or register. To expand back t"&amp;"he lifestyle of the most cash films of Zhora Kryzhovnikov “The Word of the Boanding”: Very terrible deeds Anatoly Shuliev: “The viewer needs catharsis“ Museum of the Spiritual Vanguard ”: Alternative thaw to the“ Lifestyle ”section, save the article in“ M"&amp;"athered Materials ”to read when it appears when to read time. To do this, enter or register. Determine the subscription -commercial of companies subscription for legal entity for the company. The company of the company editorial -management processing cen"&amp;"ter our projects Contacts 127018 Moscow st. Regimental d. 3 pp. 1 on the map +7 495 956-34-58 info@Vedomosti.ru Vedomosti newsletters-get the main business news by mail I want to subscribe to the VK VK VKi VKi Vedomosti Vedomosti Vedomosts in Flipboard Te"&amp;"nchat Mobile application Network edition of the Vedomosti (Vedomosti) Decision of the Federal Service for the Service of the Communications of Information Technologies and Mass Communications (Roskomnadzor) dated November 27, 2020 EL No. FS 77-79546 Found"&amp;"er: BUSINESS NUSEN MEDIA JSC editor-in-chief: Kazmina Irina Sergeevna Electronic Mail: News@Vedomosti.ru Phone: +7 495 956-34-58 The site uses IP addresses COOKIE and data geolocation of the conditions of use are contained in the Personal Data Protection "&amp;"Policy Any use of materials is allowed only if you comply Retrot Rules and if there are hyperlinks on vedomosti.ru News Analytics forecasts and other materials presented on this site are not an offer or a recommendation for the purchase or sale of any ass"&amp;"ets. The information resource uses recommendation technologies (information technologies for providing information based on the collection of systematization and analysis of information related to preferences of users of the Internet in the Russian Federa"&amp;"tion). The rules for applying recommendation technologies in the widgets of the Media2 advertising and exchange network ""posted on the website Vedomosti.ru are all rights protected © AO Business News Media TIN/CPP 7712108141/771501001 OGRN 1027739124775 "&amp;"127018 Moscow st. Regimental house 3 building 1 room I floor 2 room 21. 1999–2023 Any use of materials is allowed only if the reprint rules are observed and, if there are hyperlinks on vedomosti.ru news Analytics forecasts and other materials presented on"&amp;" this site are not an offer or recommendation for purchase or recommendation for purchase or recommendation sale of any assets. The information resource uses recommendation technologies (information technologies for providing information based on the coll"&amp;"ection of systematization and analysis of information related to preferences of users of the Internet in the Russian Federation). The rules for applying recommendation technologies in the widgets of the Media2 advertising and exchange network ""posted on "&amp;"the website Vedomosti.ru are all rights protected © AO Business News Media TIN/CPP 7712108141/771501001 OGRN 1027739124775 127018 Moscow st. Regimental house 3 Building 1 Premises I floor 2 room 21. 1999–2023 Network edition of the statement (Vedomosti) T"&amp;"he decision of the Federal Service for Supervision of Information Technologies and Mass Communications (Roskomnadzor) dated November 27, 2020 EL No. FS 77-79546 Founder : JSC ""Business News Media"" acting editor-in-chief: Kazmina Irina Sergeevna Electron"&amp;"ic Mail: News@Vedomosti.ru Phone: +7 495 956-34-58 The site uses IP addresses COOKIE and data geolocation of the conditions of use are contained in the Personal Data Protection Policy")</f>
        <v>Vedomosti is a leading business publication of Russia. The newspaper enter the article in the “Purreled Materials” to read when the time appears. To do this, enter or register. Determine, save the article in “Purreled Materials” to read when the time appears. To do this, enter or register. To expand the import of cars to Russia, the growth of utilsbor and domestic production will slow down this dynamics in 2024, save the article in “Postponed Materials” to read the time. To do this, enter or register. Determine the frame of the day, save the article in the “Purreled Materials” to read when the time appears. To do this, enter or register. To expand back the Central Bank spoke about the expansion of the presence of insurers in the new regions, save the article in “Purchase Materials” to read when the time appears. To do this, enter or register. The new film by Anna Melikyan about a woman who began to hear alien voices, keep an article in “Post -Posted Materials” came out to expand the “Feelings of Anna” from the Cosmos with love. To read the time. To do this, enter or register. Determine, save the article in “Purreled Materials” to read when the time appears. To do this, enter or register. To expand back the Minister of Education of Russia personally showed the head of Chechnya a new textbook of history, save the article in “Purchase Materials” to read when the time appears. To do this, enter or register. Patients and government agencies have stopped expanding the sales of insulin in Russia in Russia, experts consider to buy the drug to save the article in “Post -Executed Materials” to read out when there is time. To do this, enter or register. To expand the “Magic Plot” fantastic creatures and the magical police on the Okko video service started showing the series about modern Moscow and its fairy -tale inhabitants, save the article in “Postponed Materials” to read the time. To do this, enter or register. To expand back the zhora of gooseberries “to lure them to spoll” the screenwriter and producer about the “adult” spectators and new realities of serial production in Russia, save the article in “Delayed Materials” to read when the time appears. To do this, enter or register. To expand back to Russian investors will be paid equally when exchanging assets with foreigners to assess the Central Bank of the funds to all whose portfolio does not exceed 100,000 rubles, save the article in “Defed Materials” to read out when the time appears. To do this, enter or register. Expand the plot Partner Advertising Newton Investment ERID: LDTKKN4FB in detail with information can be found on gazprombank.investments/broker/disclosure investment Reading all materials from UC Rusal, Sberbank for nine months, Sberbank received 133 billion rubles in October Trading by the eternal futures on the Mosbirzhi index will begin on November 14, save the article in “Purchase Materials” to read when the time appears. To do this, enter or register. To expand the first group of Russian citizens at the exit from the Gaza to Egypt of 85 people approved to the aisle through the Rafach 68 checkpoint 68 - women and children will save the article in “Postponed Materials” to read out when time appears. To do this, enter or register. To deploy Zhora Kryzhovnikov, he spoke about the new hierarchy in the chain “Producer - Director - Screenwriter” Save the article in “Post -Executed Materials” to read when the time appears. To do this, enter or register. The Director of the Department of Corporate Relations of the Central Bank, Elena Kuritsyna, will deploy the head of the Department of Corporate Relations, will interact with issuers and authorities to maintain the article in the “Mathered Materials” to read the time. To do this, enter or register. To expand back the natural decline of the population decreased in 9 months by almost a quarter, save the article in “Postponed Materials” to read when time appears. To do this, enter or register. Determine the plot partner Advertising I ERID: ldtckew5y gsb.hse.ru the main Russian IT trends 2024 Read all materials in the interests of traffic, the key to all doors is clear without seams, save the article in “Postponed Materials” to read out when time appears. To do this, enter or register. The Central Bank warned to expand about the accumulation of risks in the “garbage” bonds of individuals to the demand of individuals for such papers reduced the risk coating with profitability to save the article in “Postponed Materials” to read the time. To do this, enter or register. To expand back as state support helps exporters overcome boundaries and barriers why it is important for business to cooperate with the regions and federal authorities to maintain an article in “Postponed Materials” to read when time appears. To do this, enter or register. To expand the Congress of United Russia will be held on December 17 Save the article in “Postponed Materials” to read when the time appears. To do this, enter or register. The Central Bank does not plan to deploy lending through the Tsfa, save the article in “Postponed Materials” to read when time appears. To do this, enter or register. Determine, save the article in “Purreled Materials” to read when the time appears. To do this, enter or register. The Russian “exchanged” 85 million rubles for fake dollars in the Uralsib office to expand back the businessman, the businessman came across a fraudster who allegedly was an employee of the bank, save the article in “Mattle Materials” to read out when the time appears. To do this, enter or register. Determine, save the article in “Purreled Materials” to read when the time appears. To do this, enter or register. The drones will be expanded back to monitor the territories of the Federal Penitentiary Service, the Ministry of Justice included them in the draft regulation of technical means of supervision of the prisoners, save the article in “Postponed Materials” to read the time. To do this, enter or register. Determine the plot of the exacerbation of the conflict between Israel and Palestine: what is happening to read all the materials of Israel promised Livana the fate of Gaza when involving the Palestinians, President Iran called the Islamic world to arm the Palestinians Erdogan said that Israel support the minority of the countries to keep the article in the “Milituted Materials” to read out When the time appears. To do this, enter or register. Putin visited the headquarters of the Armed Forces of the Russian Federation in Rostov-on-Don, keep the article in the “Postponed Materials” to read when the time appears. To do this, enter or register. To expand back the gas sector will leave the first 85 citizens of Russia, save the article in “Postponed Materials” to read when the time appears. To do this, enter or register. To expand back why the personnel deficit has become the main problem of the Russian economy in the Central Bank believe that it can solve its increase in labor productivity save the article in “Postponed Materials” to read when time appears. To do this, enter or register. To expand back what the presidents of Russia and Kazakhstan spoke about in Astana, save the article in “Postponed Materials” to read when time appears. To do this, enter or register. Determine, save the article in “Purreled Materials” to read when the time appears. To do this, enter or register. To expand back the first sentence in Moscow in the case of the murder of Daria Dugina has been sentenced to save the article in “Purchase Materials” to read when the time appears. To do this, enter or register. Determine the frame of the day, save the article in the “Purreled Materials” to read when the time appears. To do this, enter or register. Determine, save the article in “Purreled Materials” to read when the time appears. To do this, enter or register. Determine the messages of the partners to watch the company's directory save the article in “Postponed Materials” to read when the time appears. To do this, enter or register. Determining the business price for chipboard began to grow against the background of the peak of the production of Aeroflot furniture will halve the number of aircraft in the Krasnoyarsk Hab of Inter RAO will take up the CHP in Kazakhstan Yuzhuralzoloto will place up to 5% of the shares on the TOBILISTRIC OF BUSINESS In the “Purchase Materials” to read when the time appears. To do this, enter or register. The Ministry of Labor Economics and the Ministry of Labor and the Ministry of Construction want to expand the family mortgage on the secondary in small cities what Nabiullina spoke about in the State Duma. The main thing for the renovation of the Cosmonauts training center will be allocated more than 5 billion rubles by experts called five fundamental shortcomings of the regulation of the digital ruble to the “Economics” column, save the article in “Delayed Materials” to read out when time appears. To do this, enter or register. Determine, save the article in “Purreled Materials” to read when the time appears. To do this, enter or register. Determine the companies to watch the company's directory PSK PARMA PARMA, the 2023 employer of the 2023 Product Product, supported Russian cycling Russia and China approved the cooperation plan for 2024 in the construction of the Russian Compliance Award Sitronics Group for information security for information security for information security He became the speaker of the professional retraining course “Management of information security in the body (organization)” in the MSTU named after N.E. Baumanavsk Olga Sorokina in the fields of Finopolis 2023 spoke about the potential to use digital profile in insurance in the focus for online channels: the Far Eastern Regional Center "Ingosstrakh" spoke about the results of the half-year nostroy and the Chinese Civil Construction Society concluded an agreement on industrial investment and science of the Moscow Region Fund Microfinancing of the Moscow Region supported the business for 45 billion rubles, save the article in the “Posted Materials” to read when the time appears. To do this, enter or register. Determine the Central Bank’s finances wants to introduce a single QR code to pay for goods, the president signed a decree to launch the exchange of blocked assets of Russians “Sber” prohibited the Kandinsky AI to generate state symbols in Alfa Bank proposed “Sleep” to pay less dividends to the Finance section, save the article in the article in “Purchase materials” to read when time appears. To do this, enter or register. Investments to expand investments to Russian investors will pay equally when exchanging assets with foreigners of the Central Bank, warned the accumulation of risks in the “garbage” bonds of the Central Bank does not plan to regulate lending through the Yuzhuralzoloto TSFA up to 5% of the shares in the investment column, save the article in “delayed materials »To read when time appears. To do this, enter or register. Determine, save the article in “Purreled Materials” to read when the time appears. To do this, enter or register. The European Polish Political Politics urged the Russian politics from Russians as France is trying to achieve a humanitarian pause in the gas sector Ukraine quarreled the Republican candidate of the State Duma approved the expert research plan in 2024 on the “Politician” section, save the article in “Mathered Materials” to read the time when the time appears. To do this, enter or register. To expand the technologies back the market of video conferences-communications in 2023 will reach $ 40 million to renovation of the Cosmonauts training center will allocate more than 5 billion rubles for garbage training grounds will be monitored using drones on pharmacy sites. Anomalous growth of dirty traffic in the “Technology” section, save the article In the “Purchase Materials” to read when the time appears. To do this, enter or register. Jora Kryzhovnikov spoke to expand the media about the new hierarchy in the chain “Producer -Screenwriter” Zhora Kryzhovnikov told about the reluctance to make full -length films the most cash films of Zhora Kryzhovnikov “Magic Plot”: Fantastic creatures and the magical police in the Media section “Save the article in the article in” Delayed materials ”to read when time appears. To do this, enter or register. Determine, save the article in “Purreled Materials” to read when the time appears. To do this, enter or register. Determining the real estate on the site of the Topaz and Amethyst plants in the southeast of Moscow may appear housing next to Moscow City will appear about 2 million square meters. m Real Estate Apollax Space will open a flexible office in the building of the tradesinovye of the farmstead “The time of large -scale“ carpet buildings ”has already passed” as a “Real Estate” section, save the article in “Postponed Materials” to read when the time appears. To do this, enter or register. The Ministry of Industry and Trade revised the approaches to localization in the automobiles in October to expand the car, the UAZ raised prices for their cars due to the rise in the cost of logistics in the government supported the draft law on the localization of taxi vehicles to the Auto section, save the article in “Postponed Materials »To read when time appears. To do this, enter or register. Determine, save the article in “Purreled Materials” to read when the time appears. To do this, enter or register. Many Russian companies declare the integrated care of the health of employees of personnel hunger dictates to Russian companies new methods of hiring and holding couriers will feed the comprehensive care of employees on the road for more than a third of vacancies in the IT Remanders in the Office section, save the article in the “Malminated Materials” to read it to read When the time appears. To do this, enter or register. For more than 3,000 enterprises to expand the quarry, about 5,000 marketers in the field of industry, Russians still consider the most prestigious work in the field of IT the total income of Russian freelancers by 53% in the first half of the “career”. An article in “Purchase Materials” to read when time appears. To do this, enter or register. To expand back the lifestyle of the most cash films of Zhora Kryzhovnikov “The Word of the Boanding”: Very terrible deeds Anatoly Shuliev: “The viewer needs catharsis“ Museum of the Spiritual Vanguard ”: Alternative thaw to the“ Lifestyle ”section, save the article in“ Mathered Materials ”to read when it appears when to read time. To do this, enter or register. Determine the subscription -commercial of companies subscription for legal entity for the company. The company of the company editorial -management processing center our projects Contacts 127018 Moscow st. Regimental d. 3 pp. 1 on the map +7 495 956-34-58 info@Vedomosti.ru Vedomosti newsletters-get the main business news by mail I want to subscribe to the VK VK VKi VKi Vedomosti Vedomosti Vedomosts in Flipboard Tenchat Mobile application Network edition of the Vedomosti (Vedomosti) Decision of the Federal Service for the Service of the Communications of Information Technologies and Mass Communications (Roskomnadzor) dated November 27, 2020 EL No. FS 77-79546 Founder: BUSINESS NUSEN MEDIA JSC editor-in-chief: Kazmina Irina Sergeevna Electronic Mail: News@Vedomosti.ru Phone: +7 495 956-34-58 The site uses IP addresses COOKIE and data geolocation of the conditions of use are contained in the Personal Data Protection Policy Any use of materials is allowed only if you comply Retrot Rules and if there are hyperlinks on vedomosti.ru News Analytics forecasts and other materials presented on this site are not an offer or a recommendation for the purchase or sale of any assets. The information resource uses recommendation technologies (information technologies for providing information based on the collection of systematization and analysis of information related to preferences of users of the Internet in the Russian Federation). The rules for applying recommendation technologies in the widgets of the Media2 advertising and exchange network "posted on the website Vedomosti.ru are all rights protected © AO Business News Media TIN/CPP 7712108141/771501001 OGRN 1027739124775 127018 Moscow st. Regimental house 3 building 1 room I floor 2 room 21. 1999–2023 Any use of materials is allowed only if the reprint rules are observed and, if there are hyperlinks on vedomosti.ru news Analytics forecasts and other materials presented on this site are not an offer or recommendation for purchase or recommendation for purchase or recommendation sale of any assets. The information resource uses recommendation technologies (information technologies for providing information based on the collection of systematization and analysis of information related to preferences of users of the Internet in the Russian Federation). The rules for applying recommendation technologies in the widgets of the Media2 advertising and exchange network "posted on the website Vedomosti.ru are all rights protected © AO Business News Media TIN/CPP 7712108141/771501001 OGRN 1027739124775 127018 Moscow st. Regimental house 3 Building 1 Premises I floor 2 room 21. 1999–2023 Network edition of the statement (Vedomosti) The decision of the Federal Service for Supervision of Information Technologies and Mass Communications (Roskomnadzor) dated November 27, 2020 EL No. FS 77-79546 Founder : JSC "Business News Media" acting editor-in-chief: Kazmina Irina Sergeevna Electronic Mail: News@Vedomosti.ru Phone: +7 495 956-34-58 The site uses IP addresses COOKIE and data geolocation of the conditions of use are contained in the Personal Data Protection Policy</v>
      </c>
    </row>
    <row r="570">
      <c r="A570" s="1" t="s">
        <v>1847</v>
      </c>
      <c r="B570" s="1" t="s">
        <v>1914</v>
      </c>
      <c r="D570" s="1">
        <v>7.0</v>
      </c>
      <c r="E570" s="4" t="s">
        <v>1915</v>
      </c>
      <c r="F570" s="1" t="s">
        <v>43</v>
      </c>
      <c r="G570" s="1" t="s">
        <v>444</v>
      </c>
      <c r="H570" s="4" t="s">
        <v>445</v>
      </c>
      <c r="I570" s="2">
        <v>4.0</v>
      </c>
      <c r="J570" s="5" t="str">
        <f>IFERROR(__xludf.DUMMYFUNCTION("GOOGLETRANSLATE(A570)"),"classmates")</f>
        <v>classmates</v>
      </c>
      <c r="K570" s="6" t="str">
        <f>IFERROR(__xludf.DUMMYFUNCTION("GOOGLETRANSLATE(B570)"),"Ok.Ru (@odnoklassniki) / x")</f>
        <v>Ok.Ru (@odnoklassniki) / x</v>
      </c>
      <c r="L570" s="5" t="str">
        <f>IFERROR(__xludf.DUMMYFUNCTION("GOOGLETRANSLATE(C570)"),"#VALUE!")</f>
        <v>#VALUE!</v>
      </c>
      <c r="M570" s="5" t="str">
        <f>IFERROR(__xludf.DUMMYFUNCTION("GOOGLETRANSLATE(G570)"),"JavaScript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571">
      <c r="A571" s="1" t="s">
        <v>1847</v>
      </c>
      <c r="B571" s="1" t="s">
        <v>1916</v>
      </c>
      <c r="C571" s="1" t="s">
        <v>1917</v>
      </c>
      <c r="D571" s="1">
        <v>13.0</v>
      </c>
      <c r="E571" s="4" t="s">
        <v>1918</v>
      </c>
      <c r="F571" s="1" t="s">
        <v>43</v>
      </c>
      <c r="G571" s="1" t="s">
        <v>376</v>
      </c>
      <c r="H571" s="4" t="s">
        <v>377</v>
      </c>
      <c r="I571" s="2">
        <v>4.0</v>
      </c>
      <c r="J571" s="5" t="str">
        <f>IFERROR(__xludf.DUMMYFUNCTION("GOOGLETRANSLATE(A571)"),"classmates")</f>
        <v>classmates</v>
      </c>
      <c r="K571" s="6" t="str">
        <f>IFERROR(__xludf.DUMMYFUNCTION("GOOGLETRANSLATE(B571)"),"Odnoklassniki (2010)")</f>
        <v>Odnoklassniki (2010)</v>
      </c>
      <c r="L571" s="5" t="str">
        <f>IFERROR(__xludf.DUMMYFUNCTION("GOOGLETRANSLATE(C571)"),"Odnoklassniki: Directed by Sergey Solovyov. With Alyona Bondarchuk, Mikhail Efremov, Sonya Karpunina, Konstantin Kryukov. 3 Kids from Rich Families Finish ...")</f>
        <v>Odnoklassniki: Directed by Sergey Solovyov. With Alyona Bondarchuk, Mikhail Efremov, Sonya Karpunina, Konstantin Kryukov. 3 Kids from Rich Families Finish ...</v>
      </c>
      <c r="M571" s="5" t="str">
        <f>IFERROR(__xludf.DUMMYFUNCTION("GOOGLETRANSLATE(G571)"),"IMDb: Ratings Reviews and Where to Watch the Best Movies &amp; TV Shows MenuMoviesRelease CalendarTop 250 MoviesMost Popular MoviesBrowse Movies by GenreTop Box OfficeShowtimes &amp; TicketsMovie NewsIndia Movie SpotlightTV ShowsWhat's on TV &amp; StreamingTop 250 TV"&amp;" ShowsMost Popular TV ShowsBrowse TV Shows by GenreTV NewsWatchWhat to WatchLatest TrailersIMDb OriginalsIMDb PicksIMDb PodcastsAwards &amp; EventsOscarsEmmysHoliday PicksMAMISTARmeter AwardsAwards CentralFestival CentralAll EventsCelebsBorn TodayMost Popular"&amp;" CelebsCelebrity NewsCommunityHelp CenterContributor ZonePollsFor Industry ProfessionalsLanguageEnglish (United States)LanguageFully supportedEnglish (United States)Partially supportedFrançais (Canada)Français (France)Deutsch (Deutschland)हिंदी (भारत)Ital"&amp;"iano (Italia)Português (Brasil)Español (España)Español (México)AllAllTitlesTV EpisodesCelebsCompaniesKeywordsAdvanced SearchWatchlistSign InSign InNew Customer? Create accountENFully supportedEnglish (United States)Partially supportedFrançais (Canada)Fran"&amp;"çais (France)Deutsch (Deutschland)हिंदी (भारत)Italiano (Italia)Português (Brasil)Español (España)Español (México)Use app1:59Millie Bobby Brown Stars in 'Damsel'1:59Netflix Drops First Teaser2:46Ms. Marvel Needs Help2:46What Iman Learned From Brie and Teyo"&amp;"nah1:31Meet Riley's New Emotions in 'Inside Out 2'1:31Watch the New Pixar Teaser1:005 Streamable Sci-Fi Classics1:00Top Picks All Award-Winners2:00'Ghostbusters: Frozen Empire'2:00Watch the Teaser1:33What You Need to Know About 'The Color Purple'1:33Get D"&amp;"etails on the New Movie Musical2:01""Reacher"" Returns2:01Watch the Season 2 Trailer0:57What to Watch After ""Bodies""0:575 Top Picks Streaming Now2:01'The Marvels' Final Trailer Drops2:01See Tessa Thompson's Return as Valkyrie1:40""Avatar: The Last Airbe"&amp;"nder""1:40Netflix Shares the First Trailer2:17Eddie Murphy Is Going to 'Candy Cane Lane'2:17Watch the Trailer0:42Michelle Yeoh Stars in ""The Brothers Sun""0:42Watch the Series Teaser2:26Brie Larson Is Having a Year2:26Look Back at Her Career2:07'Mean Gir"&amp;"ls' Are Back2:07Watch the Fetch New Trailer1:20Swifties in Movies and TV1:20Watch Some Memorable MomentsUp next1:20Swifties in Movies and TVWatch Some Memorable Moments1:59Millie Bobby Brown Stars in 'Damsel'Netflix Drops First Teaser2:46Ms. Marvel Needs "&amp;"HelpWhat Iman Learned From Brie and Teyonah1:31Meet Riley's New Emotions in 'Inside Out 2'Watch the New Pixar Teaser1:005 Streamable Sci-Fi ClassicsTop Picks All Award-Winners2:00'Ghostbusters: Frozen Empire'Watch the TeaserBrowse trailersFeatured todayLi"&amp;"stNovember Picks: 'The Killer' 'The Marvels' and MoreSee the listListTV Tracker: Renewed and Canceled ShowsCheck the statusPhotosThe Best On-Screen AssassinsSee the galleryPhotosThe Latest (and Greatest) New PostersSee more postersPhotosEnter the IMDb Por"&amp;"trait Studio at MAMI 2023See the galleryPhotosAdorable Red Carpet PhotosSee the galleryListWho Are the 2024 Grammy Nominees?See the full listList2023 MAMI Mumbai Film Festival WinnersSee the winnersPhotos'Dream Scenario' and More New StillsSee more stills"&amp;"What to watchGet more recommendationsMore to watchIMDb helps you select the perfect next show or movie to watch.Watch GuideMost PopularExclusive videosIMDb OriginalsCelebrity interviews trending entertainment stories and expert analysis3:26Shah Rukh Khan "&amp;"on 'Jawan' and MoreWatch the video1:33Get Details on This New Movie MusicalWatch now2:26Brie Larson Is Having a YearWatch now2:15How Cailee and Jacob Became Priscilla and ElvisWatch the interview1:005 Award-Winning Sci-Fi PicksStream these now3:13Best Cha"&amp;"racter Moments in 'The Hunger Games'Watch nowExplore what’s streamingExplore Movies &amp; TV showsMore to exploreRecently viewedYou have no recently viewed pagesGet the IMDb AppSign in for more accessSign in for more accessGet the IMDb AppHelpSite IndexIMDbPr"&amp;"oBox Office MojoIMDb DeveloperPress RoomAdvertisingJobsConditions of UsePrivacy PolicyYour Ads Privacy ChoicesIMDb an Amazon company© 1990-2023 by IMDb.com Inc.Back to top")</f>
        <v>IMDb: Ratings Reviews and Where to Watch the Best Movies &amp; TV Shows MenuMoviesRelease CalendarTop 250 MoviesMost Popular MoviesBrowse Movies by GenreTop Box OfficeShowtimes &amp; TicketsMovie NewsIndia Movie SpotlightTV ShowsWhat's on TV &amp; StreamingTop 250 TV ShowsMost Popular TV ShowsBrowse TV Shows by GenreTV NewsWatchWhat to WatchLatest TrailersIMDb OriginalsIMDb PicksIMDb PodcastsAwards &amp; EventsOscarsEmmysHoliday PicksMAMISTARmeter AwardsAwards CentralFestival CentralAll EventsCelebsBorn TodayMost Popular CelebsCelebrity NewsCommunityHelp CenterContributor ZonePollsFor Industry ProfessionalsLanguageEnglish (United States)LanguageFully supportedEnglish (United States)Partially supportedFrançais (Canada)Français (France)Deutsch (Deutschland)हिंदी (भारत)Italiano (Italia)Português (Brasil)Español (España)Español (México)AllAllTitlesTV EpisodesCelebsCompaniesKeywordsAdvanced SearchWatchlistSign InSign InNew Customer? Create accountENFully supportedEnglish (United States)Partially supportedFrançais (Canada)Français (France)Deutsch (Deutschland)हिंदी (भारत)Italiano (Italia)Português (Brasil)Español (España)Español (México)Use app1:59Millie Bobby Brown Stars in 'Damsel'1:59Netflix Drops First Teaser2:46Ms. Marvel Needs Help2:46What Iman Learned From Brie and Teyonah1:31Meet Riley's New Emotions in 'Inside Out 2'1:31Watch the New Pixar Teaser1:005 Streamable Sci-Fi Classics1:00Top Picks All Award-Winners2:00'Ghostbusters: Frozen Empire'2:00Watch the Teaser1:33What You Need to Know About 'The Color Purple'1:33Get Details on the New Movie Musical2:01"Reacher" Returns2:01Watch the Season 2 Trailer0:57What to Watch After "Bodies"0:575 Top Picks Streaming Now2:01'The Marvels' Final Trailer Drops2:01See Tessa Thompson's Return as Valkyrie1:40"Avatar: The Last Airbender"1:40Netflix Shares the First Trailer2:17Eddie Murphy Is Going to 'Candy Cane Lane'2:17Watch the Trailer0:42Michelle Yeoh Stars in "The Brothers Sun"0:42Watch the Series Teaser2:26Brie Larson Is Having a Year2:26Look Back at Her Career2:07'Mean Girls' Are Back2:07Watch the Fetch New Trailer1:20Swifties in Movies and TV1:20Watch Some Memorable MomentsUp next1:20Swifties in Movies and TVWatch Some Memorable Moments1:59Millie Bobby Brown Stars in 'Damsel'Netflix Drops First Teaser2:46Ms. Marvel Needs HelpWhat Iman Learned From Brie and Teyonah1:31Meet Riley's New Emotions in 'Inside Out 2'Watch the New Pixar Teaser1:005 Streamable Sci-Fi ClassicsTop Picks All Award-Winners2:00'Ghostbusters: Frozen Empire'Watch the TeaserBrowse trailersFeatured todayListNovember Picks: 'The Killer' 'The Marvels' and MoreSee the listListTV Tracker: Renewed and Canceled ShowsCheck the statusPhotosThe Best On-Screen AssassinsSee the galleryPhotosThe Latest (and Greatest) New PostersSee more postersPhotosEnter the IMDb Portrait Studio at MAMI 2023See the galleryPhotosAdorable Red Carpet PhotosSee the galleryListWho Are the 2024 Grammy Nominees?See the full listList2023 MAMI Mumbai Film Festival WinnersSee the winnersPhotos'Dream Scenario' and More New StillsSee more stillsWhat to watchGet more recommendationsMore to watchIMDb helps you select the perfect next show or movie to watch.Watch GuideMost PopularExclusive videosIMDb OriginalsCelebrity interviews trending entertainment stories and expert analysis3:26Shah Rukh Khan on 'Jawan' and MoreWatch the video1:33Get Details on This New Movie MusicalWatch now2:26Brie Larson Is Having a YearWatch now2:15How Cailee and Jacob Became Priscilla and ElvisWatch the interview1:005 Award-Winning Sci-Fi PicksStream these now3:13Best Character Moments in 'The Hunger Games'Watch nowExplore what’s streamingExplore Movies &amp; TV showsMore to exploreRecently viewedYou have no recently viewed pagesGet the IMDb AppSign in for more accessSign in for more accessGet the IMDb AppHelpSite IndexIMDbProBox Office MojoIMDb DeveloperPress RoomAdvertisingJobsConditions of UsePrivacy PolicyYour Ads Privacy ChoicesIMDb an Amazon company© 1990-2023 by IMDb.com Inc.Back to top</v>
      </c>
    </row>
    <row r="572">
      <c r="A572" s="1" t="s">
        <v>1847</v>
      </c>
      <c r="B572" s="1" t="s">
        <v>1919</v>
      </c>
      <c r="C572" s="1" t="s">
        <v>1920</v>
      </c>
      <c r="D572" s="1">
        <v>16.0</v>
      </c>
      <c r="E572" s="4" t="s">
        <v>1921</v>
      </c>
      <c r="F572" s="1" t="s">
        <v>43</v>
      </c>
      <c r="G572" s="1" t="s">
        <v>1922</v>
      </c>
      <c r="H572" s="4" t="s">
        <v>1923</v>
      </c>
      <c r="I572" s="2">
        <v>2.0</v>
      </c>
      <c r="J572" s="5" t="str">
        <f>IFERROR(__xludf.DUMMYFUNCTION("GOOGLETRANSLATE(A572)"),"classmates")</f>
        <v>classmates</v>
      </c>
      <c r="K572" s="6" t="str">
        <f>IFERROR(__xludf.DUMMYFUNCTION("GOOGLETRANSLATE(B572)"),"Classmates - social network from Mail ru")</f>
        <v>Classmates - social network from Mail ru</v>
      </c>
      <c r="L572" s="5" t="str">
        <f>IFERROR(__xludf.DUMMYFUNCTION("GOOGLETRANSLATE(C572)"),"Classmates · To register the profile, open the OK.ru website and in the window on the right click on the word ""Registration"". Enter a mobile phone number with a code ...")</f>
        <v>Classmates · To register the profile, open the OK.ru website and in the window on the right click on the word "Registration". Enter a mobile phone number with a code ...</v>
      </c>
      <c r="M572" s="5" t="str">
        <f>IFERROR(__xludf.DUMMYFUNCTION("GOOGLETRANSLATE(G572)"),"Seonews: Site promotion all about search marketing and search engines of site promotion on the Internet - News of the SEO -industrial -resistant elaboraitriytliyt.gikataloglogatelogatelogatelogateli company Service -Service -Service -Glossariosetroseti an"&amp;"d AI × Invitias as users can enter the site if you are registered on one of these services. Twitter -up your Google account to enter the site . Use your vkontakte account for entering the site. Put your account on Twitter.com for entering the site. Seonew"&amp;"sseonews's device has announced the winners of the “SEO through clients of customers 2023” Neuro -colleges: how to use AI in the work of the Telegram Ads: who is suitable for an ad To the messenger at Seonewsovo1 Days ago, Bagbountyblogi is launched by th"&amp;"e second stage of the day of SAPE will select suitable pages for promotioning1 days of vast-absorptions in Telegram: labeling and legal risks 1 a day ago. Google is now available in 120 Stranahi in four additional languages ​​1 day ago703 Novostvk reporte"&amp;"d on finances for the third quarter of 2023 years of the company in nine months of 2023 increased by 37% compared to 2022 a year1 days ago 667 Blide -haired 404: how to delete and protect the site from the risk of the emergence of the appearance or error "&amp;"404 - frequent - frequent The problem is on the site. Learning it to solve Demis Group1 a day ago431 Minostilicni summed up the fame rating of the fame of SMM companies 202380 respondents determined the most popular brands of social media2 days ago848-Nov"&amp;"yandex Market launched a large-scale media campaign in Moscow by 11.11.11POLICADS SEED MEDIA FACADADS WITHING CHANGEMENTS WITHING CHANGEMENTS am 2 days ago874blogipoisk for goods: How Yandex helps the offers of online stores to get into an organic betraya"&amp;"l. Having gotten into a marketable search can help business and what you need to be in it to be in itb2b Click2 days ago491vs News → Seonews ratings → Popular on Seows product approach to SEO: the new era of search optimization 1025667 Scraper pays twice:"&amp;" History of History: History On the importance of the technical support of the site 0142246 contextual advertising trends in 2023 018522 in the search for truth: we analyze 7 myths about Telegram ADS 21808810 Services for working with text 532971 Examples"&amp;" of the use of ChatGPT in the SEO strategy of Article VK): On the marking of advertising and errors in the registration of creatives 13455Yuri Nikulin (MOS.ru): how is the grocery approach Changes SEO and SEO specialists 07091 Ruslan Osin (VK): answers to"&amp;" frequent questions of VK advertising 08229 Denis Saveliev (Textrra): Management of Projects and Startups in the conditions of risk and uncertainty 125617 ROMOMAN LOMOVSKAYA (Original Works): Agency or a regular unit whether analysts are worth hired in th"&amp;"e state 026536 Merges of industry events. Creative events11/November concept14/November Employment to improve the conversion in the online store or on the service website14/November Marketologist15/November-Bond-Brandovs in social networks and humble tech"&amp;"niques15/ November Podzel under the sight15/NovemberTeamly16/National Association of Personal Assistants 202316/North-Function of Accounting in IT companies16/November Tech Forum | Digital solutions and services for key business areas16/November Identity "&amp;"Day16/November errors when accommodating advertising by blogarovynternet-advertising16/Novemberamarkets and online store: how to effectively combine the sale of interpretation-advertising16/November Podza16/North-Bed Bryavzo Digital Day 2023 For represent"&amp;"atives of MFIs and Banks17/November Hack18/November-6 Po-Riscate Marketing22/November Blog with you: We explain everything about the marking of advertising at inflius-advertisement22/November-November Trends: As the neural networks of Telegram and influen"&amp;"tiers, they changed SMM to 2023 Engineering techniques 23/23/1N SAFENT OF THE Main Vindic Reclamum23/Novemberb2b Marketing Forum 202323/November to launch Collective Intelligence technology in your organization? 23/23/23/23/November Search advertising in "&amp;"Yandex Direct, taking into account the updates-practice-advertising 23/November HR market in the production field: Talents of talent-advertisements29/November Ecom Convention 202330/November 2008 vs 2023: How did the service change over 15 years of puns m"&amp;"arketing1/December Eurasian Marketing Week 2023Po marketing5/December how much the subscriber and other insights Telegram ads-advertising11/Decemberkpi-school of motivation and management of Alexander Lityagin14/Decembermarketing studies 202328/June Confe"&amp;"rence Summer Mergekatalog of companies577-approved4534 Cosmosmous The Cosmos-Sveb accountdigital agency was founded in 2004 and is leading ... approved by 3rr52.ru-reference account23 of experience in implementing effective advertising strategies. Optimal"&amp;" ... approved by the Akhontunicom-Digital emission of advertising solutions according to the CPA model. Agent ... Catalog of Services228 Zamseonewsunicom - more than a partner network of platform for monetizing the traffic of sites and mobile applications"&amp;". Unicom offers Free ... Vyesonewsaccsmarket store VKontakte accounts and other popular social networks. Electrosproxproxy store, profitable rental of a proxy server for the work and entertainment of the Enabulary Book of Seonewspopular Articles in your m"&amp;"ailbox. Sign Raemail is already in the bazeprevs the number of appeals with this mail. Contact with support! We get in touch every week. Procurement of the newsletter Seonews.ru Link already at the post office on the site on the site of advertising. What "&amp;"to do? Direct Eferserhii 1 day ago SEO specialists look for work? Seven tips from the experts to advise the new freelance Exchange Marketplais services Pricework.orgs I am already using a long ... MST Digital Agency 2 days Nazadakak to bring online offlin"&amp;"e with the example of Stars Coffee. Thank you for an interesting question. 1) As for the regions, not everyone was involved at once, but ... Elena for 2 days Nazadakak to bring online traffic to offline with the example of Stars Coffeespapasibi for the ar"&amp;"ticle! It was interesting to read. I would like to clarify a couple of points: 1) is it Moscow? Or that's it ... Tatyana 3 days ago28 ways to increase the conversion of online stores of a very effective recommendations are presented in the article! Everyt"&amp;"hing is clearly scheduled and easily introduced into the work of In ... Georgy Komissarov 3 days ago28 ways to increase the conversion of online stores is very timely. Sites of companies are significantly losing to market markets. And here the most ... Ti"&amp;"gran 3 days ago28 ways to increase the conversion of online store-risk info .. I would add a voice search ... It is also useful and fast ... Andrey 3 days ago28 ways to increase the conversion of online stores is very useful. Although I thought that there"&amp;" would be tips from the category ""integrate the site with ... Nikita 3 days ago28 ways to increase the conversion of online stores, it is affordable and useful. 3 days ago23 marketing myths you need to remember when making decisions hello! Thank you for "&amp;"such an interesting And most importantly, I am now starting to study the sphere M ... My general 4 days ago 5 ways to see the site through the eyes of the search engine: we analyze the hidden content and Cloaking the essence of the empathetic (well, not a"&amp;"ll of course but most) inefficient waste of resources for what? All that. .. Victor 4 days ago “dirty” competition: how to “cancel” the site from the Top Yandexa Secret sauce - these are behavioral on a request+company for the desired document? Google Yan"&amp;"dex Webmasters SEO SPEIDED SPRICTIONS Service Advertising Chilaut Advertising Conference Yandex.Direkt Google Adwords press releases to advertisers of Internet advertising Yahoo links Facebook Microsoft users VKontakte Runet Statistics Algorithms Webinars"&amp;" Found a typo? Ctrl+Enter © Seonews.ru All rights are protected. The 2023-net publication ""Internet site www.seonews.ru"" was registered by the Federal Service for Supervision of the Communications of Information Technologies and Mass Communications. Reg"&amp;"istration Certificate: EL No. FS 77-67910 dated December 6, 2016 Founder: CEO News LLC Email editorial office: Info@seonews Velphone editor: +7 (495) 139-20-33 Chairman: Letov Alexander Leonidovich Site SITE IS Protected by Recaptcha and the Google Privac"&amp;"y Policy and Terms of Service Apply. Companion of the auto-condition of the publication of the Kontaklacardi-mobile version of the Divisions of the SEOS-SECO SEOS Company of the Bubliotekliotekclopedia Service Internet Marketing Actralam on the website Su"&amp;"bscribe to contacttelegramazentwitterrs-recycling Site: Renaissance Art Propellation of the Site: Ingate12+Send the review!")</f>
        <v>Seonews: Site promotion all about search marketing and search engines of site promotion on the Internet - News of the SEO -industrial -resistant elaboraitriytliyt.gikataloglogatelogatelogatelogateli company Service -Service -Service -Glossariosetroseti and AI × Invitias as users can enter the site if you are registered on one of these services. Twitter -up your Google account to enter the site . Use your vkontakte account for entering the site. Put your account on Twitter.com for entering the site. Seonewsseonews's device has announced the winners of the “SEO through clients of customers 2023” Neuro -colleges: how to use AI in the work of the Telegram Ads: who is suitable for an ad To the messenger at Seonewsovo1 Days ago, Bagbountyblogi is launched by the second stage of the day of SAPE will select suitable pages for promotioning1 days of vast-absorptions in Telegram: labeling and legal risks 1 a day ago. Google is now available in 120 Stranahi in four additional languages ​​1 day ago703 Novostvk reported on finances for the third quarter of 2023 years of the company in nine months of 2023 increased by 37% compared to 2022 a year1 days ago 667 Blide -haired 404: how to delete and protect the site from the risk of the emergence of the appearance or error 404 - frequent - frequent The problem is on the site. Learning it to solve Demis Group1 a day ago431 Minostilicni summed up the fame rating of the fame of SMM companies 202380 respondents determined the most popular brands of social media2 days ago848-Novyandex Market launched a large-scale media campaign in Moscow by 11.11.11POLICADS SEED MEDIA FACADADS WITHING CHANGEMENTS WITHING CHANGEMENTS am 2 days ago874blogipoisk for goods: How Yandex helps the offers of online stores to get into an organic betrayal. Having gotten into a marketable search can help business and what you need to be in it to be in itb2b Click2 days ago491vs News → Seonews ratings → Popular on Seows product approach to SEO: the new era of search optimization 1025667 Scraper pays twice: History of History: History On the importance of the technical support of the site 0142246 contextual advertising trends in 2023 018522 in the search for truth: we analyze 7 myths about Telegram ADS 21808810 Services for working with text 532971 Examples of the use of ChatGPT in the SEO strategy of Article VK): On the marking of advertising and errors in the registration of creatives 13455Yuri Nikulin (MOS.ru): how is the grocery approach Changes SEO and SEO specialists 07091 Ruslan Osin (VK): answers to frequent questions of VK advertising 08229 Denis Saveliev (Textrra): Management of Projects and Startups in the conditions of risk and uncertainty 125617 ROMOMAN LOMOVSKAYA (Original Works): Agency or a regular unit whether analysts are worth hired in the state 026536 Merges of industry events. Creative events11/November concept14/November Employment to improve the conversion in the online store or on the service website14/November Marketologist15/November-Bond-Brandovs in social networks and humble techniques15/ November Podzel under the sight15/NovemberTeamly16/National Association of Personal Assistants 202316/North-Function of Accounting in IT companies16/November Tech Forum | Digital solutions and services for key business areas16/November Identity Day16/November errors when accommodating advertising by blogarovynternet-advertising16/Novemberamarkets and online store: how to effectively combine the sale of interpretation-advertising16/November Podza16/North-Bed Bryavzo Digital Day 2023 For representatives of MFIs and Banks17/November Hack18/November-6 Po-Riscate Marketing22/November Blog with you: We explain everything about the marking of advertising at inflius-advertisement22/November-November Trends: As the neural networks of Telegram and influentiers, they changed SMM to 2023 Engineering techniques 23/23/1N SAFENT OF THE Main Vindic Reclamum23/Novemberb2b Marketing Forum 202323/November to launch Collective Intelligence technology in your organization? 23/23/23/23/November Search advertising in Yandex Direct, taking into account the updates-practice-advertising 23/November HR market in the production field: Talents of talent-advertisements29/November Ecom Convention 202330/November 2008 vs 2023: How did the service change over 15 years of puns marketing1/December Eurasian Marketing Week 2023Po marketing5/December how much the subscriber and other insights Telegram ads-advertising11/Decemberkpi-school of motivation and management of Alexander Lityagin14/Decembermarketing studies 202328/June Conference Summer Mergekatalog of companies577-approved4534 Cosmosmous The Cosmos-Sveb accountdigital agency was founded in 2004 and is leading ... approved by 3rr52.ru-reference account23 of experience in implementing effective advertising strategies. Optimal ... approved by the Akhontunicom-Digital emission of advertising solutions according to the CPA model. Agent ... Catalog of Services228 Zamseonewsunicom - more than a partner network of platform for monetizing the traffic of sites and mobile applications. Unicom offers Free ... Vyesonewsaccsmarket store VKontakte accounts and other popular social networks. Electrosproxproxy store, profitable rental of a proxy server for the work and entertainment of the Enabulary Book of Seonewspopular Articles in your mailbox. Sign Raemail is already in the bazeprevs the number of appeals with this mail. Contact with support! We get in touch every week. Procurement of the newsletter Seonews.ru Link already at the post office on the site on the site of advertising. What to do? Direct Eferserhii 1 day ago SEO specialists look for work? Seven tips from the experts to advise the new freelance Exchange Marketplais services Pricework.orgs I am already using a long ... MST Digital Agency 2 days Nazadakak to bring online offline with the example of Stars Coffee. Thank you for an interesting question. 1) As for the regions, not everyone was involved at once, but ... Elena for 2 days Nazadakak to bring online traffic to offline with the example of Stars Coffeespapasibi for the article! It was interesting to read. I would like to clarify a couple of points: 1) is it Moscow? Or that's it ... Tatyana 3 days ago28 ways to increase the conversion of online stores of a very effective recommendations are presented in the article! Everything is clearly scheduled and easily introduced into the work of In ... Georgy Komissarov 3 days ago28 ways to increase the conversion of online stores is very timely. Sites of companies are significantly losing to market markets. And here the most ... Tigran 3 days ago28 ways to increase the conversion of online store-risk info .. I would add a voice search ... It is also useful and fast ... Andrey 3 days ago28 ways to increase the conversion of online stores is very useful. Although I thought that there would be tips from the category "integrate the site with ... Nikita 3 days ago28 ways to increase the conversion of online stores, it is affordable and useful. 3 days ago23 marketing myths you need to remember when making decisions hello! Thank you for such an interesting And most importantly, I am now starting to study the sphere M ... My general 4 days ago 5 ways to see the site through the eyes of the search engine: we analyze the hidden content and Cloaking the essence of the empathetic (well, not all of course but most) inefficient waste of resources for what? All that. .. Victor 4 days ago “dirty” competition: how to “cancel” the site from the Top Yandexa Secret sauce - these are behavioral on a request+company for the desired document? Google Yandex Webmasters SEO SPEIDED SPRICTIONS Service Advertising Chilaut Advertising Conference Yandex.Direkt Google Adwords press releases to advertisers of Internet advertising Yahoo links Facebook Microsoft users VKontakte Runet Statistics Algorithms Webinars Found a typo? Ctrl+Enter © Seonews.ru All rights are protected. The 2023-net publication "Internet site www.seonews.ru" was registered by the Federal Service for Supervision of the Communications of Information Technologies and Mass Communications. Registration Certificate: EL No. FS 77-67910 dated December 6, 2016 Founder: CEO News LLC Email editorial office: Info@seonews Velphone editor: +7 (495) 139-20-33 Chairman: Letov Alexander Leonidovich Site SITE IS Protected by Recaptcha and the Google Privacy Policy and Terms of Service Apply. Companion of the auto-condition of the publication of the Kontaklacardi-mobile version of the Divisions of the SEOS-SECO SEOS Company of the Bubliotekliotekclopedia Service Internet Marketing Actralam on the website Subscribe to contacttelegramazentwitterrs-recycling Site: Renaissance Art Propellation of the Site: Ingate12+Send the review!</v>
      </c>
    </row>
    <row r="573">
      <c r="A573" s="1" t="s">
        <v>1847</v>
      </c>
      <c r="B573" s="1" t="s">
        <v>1924</v>
      </c>
      <c r="C573" s="1" t="s">
        <v>1925</v>
      </c>
      <c r="D573" s="1">
        <v>17.0</v>
      </c>
      <c r="E573" s="4" t="s">
        <v>1926</v>
      </c>
      <c r="F573" s="1" t="s">
        <v>43</v>
      </c>
      <c r="I573" s="2">
        <v>4.0</v>
      </c>
      <c r="J573" s="5" t="str">
        <f>IFERROR(__xludf.DUMMYFUNCTION("GOOGLETRANSLATE(A573)"),"classmates")</f>
        <v>classmates</v>
      </c>
      <c r="K573" s="6" t="str">
        <f>IFERROR(__xludf.DUMMYFUNCTION("GOOGLETRANSLATE(B573)"),"Classmates: Social Network")</f>
        <v>Classmates: Social Network</v>
      </c>
      <c r="L573" s="5" t="str">
        <f>IFERROR(__xludf.DUMMYFUNCTION("GOOGLETRANSLATE(C573)"),"Classmates: a social network from the VK developer in the Rustore catalog. Download ""Classmates: Social Network"" for Android, free - rustore.")</f>
        <v>Classmates: a social network from the VK developer in the Rustore catalog. Download "Classmates: Social Network" for Android, free - rustore.</v>
      </c>
      <c r="M573" s="5" t="str">
        <f>IFERROR(__xludf.DUMMYFUNCTION("GOOGLETRANSLATE(G573)"),"#VALUE!")</f>
        <v>#VALUE!</v>
      </c>
    </row>
    <row r="574">
      <c r="A574" s="1" t="s">
        <v>1847</v>
      </c>
      <c r="B574" s="1" t="s">
        <v>1927</v>
      </c>
      <c r="C574" s="1" t="s">
        <v>1928</v>
      </c>
      <c r="D574" s="1">
        <v>22.0</v>
      </c>
      <c r="E574" s="4" t="s">
        <v>1929</v>
      </c>
      <c r="F574" s="1" t="s">
        <v>43</v>
      </c>
      <c r="G574" s="1" t="s">
        <v>27</v>
      </c>
      <c r="H574" s="4" t="s">
        <v>28</v>
      </c>
      <c r="I574" s="2">
        <v>2.0</v>
      </c>
      <c r="J574" s="5" t="str">
        <f>IFERROR(__xludf.DUMMYFUNCTION("GOOGLETRANSLATE(A574)"),"classmates")</f>
        <v>classmates</v>
      </c>
      <c r="K574" s="6" t="str">
        <f>IFERROR(__xludf.DUMMYFUNCTION("GOOGLETRANSLATE(B574)"),"Odnoklassniki")</f>
        <v>Odnoklassniki</v>
      </c>
      <c r="L574" s="5" t="str">
        <f>IFERROR(__xludf.DUMMYFUNCTION("GOOGLETRANSLATE(C574)"),"Odnoklassniki (Russian: Одноклассники, lit. 'Classmates'), abbreviated as OK or OK.ru, is a social network service used mainly in Russia and former Soviet ...")</f>
        <v>Odnoklassniki (Russian: Одноклассники, lit. 'Classmates'), abbreviated as OK or OK.ru, is a social network service used mainly in Russia and former Soviet ...</v>
      </c>
      <c r="M574" s="5" t="str">
        <f>IFERROR(__xludf.DUMMYFUNCTION("GOOGLETRANSLATE(G574)"),"Wikipedia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575">
      <c r="A575" s="1" t="s">
        <v>1847</v>
      </c>
      <c r="B575" s="1" t="s">
        <v>1930</v>
      </c>
      <c r="D575" s="1">
        <v>25.0</v>
      </c>
      <c r="E575" s="4" t="s">
        <v>1931</v>
      </c>
      <c r="F575" s="1" t="s">
        <v>43</v>
      </c>
      <c r="G575" s="1" t="s">
        <v>273</v>
      </c>
      <c r="H575" s="4" t="s">
        <v>579</v>
      </c>
      <c r="I575" s="2">
        <v>4.0</v>
      </c>
      <c r="J575" s="5" t="str">
        <f>IFERROR(__xludf.DUMMYFUNCTION("GOOGLETRANSLATE(A575)"),"classmates")</f>
        <v>classmates</v>
      </c>
      <c r="K575" s="6" t="str">
        <f>IFERROR(__xludf.DUMMYFUNCTION("GOOGLETRANSLATE(B575)"),"The official page of classmates")</f>
        <v>The official page of classmates</v>
      </c>
      <c r="L575" s="5" t="str">
        <f>IFERROR(__xludf.DUMMYFUNCTION("GOOGLETRANSLATE(C575)"),"#VALUE!")</f>
        <v>#VALUE!</v>
      </c>
      <c r="M575" s="5" t="str">
        <f>IFERROR(__xludf.DUMMYFUNCTION("GOOGLETRANSLATE(G575)"),"Update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576">
      <c r="A576" s="1" t="s">
        <v>1847</v>
      </c>
      <c r="B576" s="1" t="s">
        <v>1932</v>
      </c>
      <c r="C576" s="1" t="s">
        <v>153</v>
      </c>
      <c r="D576" s="1">
        <v>31.0</v>
      </c>
      <c r="E576" s="4" t="s">
        <v>1933</v>
      </c>
      <c r="F576" s="1" t="s">
        <v>43</v>
      </c>
      <c r="G576" s="1" t="s">
        <v>135</v>
      </c>
      <c r="H576" s="4" t="s">
        <v>136</v>
      </c>
      <c r="I576" s="2">
        <v>4.0</v>
      </c>
      <c r="J576" s="5" t="str">
        <f>IFERROR(__xludf.DUMMYFUNCTION("GOOGLETRANSLATE(A576)"),"classmates")</f>
        <v>classmates</v>
      </c>
      <c r="K576" s="6" t="str">
        <f>IFERROR(__xludf.DUMMYFUNCTION("GOOGLETRANSLATE(B576)"),"Open access to the service analytics and search for errors ...")</f>
        <v>Open access to the service analytics and search for errors ...</v>
      </c>
      <c r="L576" s="5" t="str">
        <f>IFERROR(__xludf.DUMMYFUNCTION("GOOGLETRANSLATE(C576)"),"3 days ago -")</f>
        <v>3 days ago -</v>
      </c>
      <c r="M576" s="5" t="str">
        <f>IFERROR(__xludf.DUMMYFUNCTION("GOOGLETRANSLATE(G576)"),"Forbes.ru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577">
      <c r="A577" s="1" t="s">
        <v>1847</v>
      </c>
      <c r="B577" s="1" t="s">
        <v>1860</v>
      </c>
      <c r="D577" s="1">
        <v>32.0</v>
      </c>
      <c r="E577" s="4" t="s">
        <v>1934</v>
      </c>
      <c r="F577" s="1" t="s">
        <v>43</v>
      </c>
      <c r="G577" s="1" t="s">
        <v>1935</v>
      </c>
      <c r="H577" s="4" t="s">
        <v>1936</v>
      </c>
      <c r="I577" s="2">
        <v>4.0</v>
      </c>
      <c r="J577" s="5" t="str">
        <f>IFERROR(__xludf.DUMMYFUNCTION("GOOGLETRANSLATE(A577)"),"classmates")</f>
        <v>classmates</v>
      </c>
      <c r="K577" s="6" t="str">
        <f>IFERROR(__xludf.DUMMYFUNCTION("GOOGLETRANSLATE(B577)"),"Classmates")</f>
        <v>Classmates</v>
      </c>
      <c r="L577" s="5" t="str">
        <f>IFERROR(__xludf.DUMMYFUNCTION("GOOGLETRANSLATE(C577)"),"#VALUE!")</f>
        <v>#VALUE!</v>
      </c>
      <c r="M577" s="5" t="str">
        <f>IFERROR(__xludf.DUMMYFUNCTION("GOOGLETRANSLATE(G577)"),"Netflix - Watch TV Shows Online Watch Movies OnlineNetflixSign InUnlimited movies TV shows and moreWatch anywhere. Cancel anytime.Ready to watch? Enter your email to create or restart your membership.Email addressGet StartedThe Netflix you love for just $"&amp;"6.99.Get the Standard with ads plan.Learn MoreEnjoy on your TVWatch on Smart TVs Playstation Xbox Chromecast Apple TV Blu-ray players and more.Watch everywhereStream unlimited movies and TV shows on your phone tablet laptop and TV.Create profiles for kids"&amp;"Send kids on adventures with their favorite characters in a space made just for them—free with your membership.Download your shows to watch offlineWatch on a plane train or submarine...Stranger ThingsDownloading...Frequently Asked QuestionsWhat is Netflix"&amp;"?Netflix is a streaming service that offers a wide variety of award-winning TV shows movies anime documentaries and more on thousands of internet-connected devices.You can watch as much as you want whenever you want – all for one low monthly price. There'"&amp;"s always something new to discover and new TV shows and movies are added every week!How much does Netflix cost?Watch Netflix on your smartphone tablet Smart TV laptop or streaming device all for one fixed monthly fee. Plans range from $6.99 to $22.99 a mo"&amp;"nth. No extra costs no contracts.Where can I watch?Watch anywhere anytime. Sign in with your Netflix account to watch instantly on the web at netflix.com from your personal computer or on any internet-connected device that offers the Netflix app including"&amp;" smart TVs smartphones tablets streaming media players and game consoles.You can also download your favorite shows with the iOS Android or Windows 10 app. Use downloads to watch while you're on the go and without an internet connection. Take Netflix with "&amp;"you anywhere.How do I cancel?Netflix is flexible. There are no pesky contracts and no commitments. You can easily cancel your account online in two clicks. There are no cancellation fees – start or stop your account anytime.What can I watch on Netflix?Net"&amp;"flix has an extensive library of feature films documentaries TV shows anime award-winning Netflix originals and more. Watch as much as you want anytime you want.Is Netflix good for kids?The Netflix Kids experience is included in your membership to give pa"&amp;"rents control while kids enjoy family-friendly TV shows and movies in their own space.Kids profiles come with PIN-protected parental controls that let you restrict the maturity rating of content kids can watch and block specific titles you don’t want kids"&amp;" to see.Ready to watch? Enter your email to create or restart your membership.Email addressGet StartedQuestions? Call 1-844-505-2993FAQHelp CenterAccountMedia CenterInvestor RelationsJobsNetflix ShopRedeem Gift CardsBuy Gift CardsWays to WatchTerms of Use"&amp;"PrivacyCookie PreferencesCorporate InformationContact UsSpeed TestLegal NoticesOnly on NetflixDo Not Sell or Share My Personal InformationAd ChoicesSelect LanguageEnglishEspañol")</f>
        <v>Netflix - Watch TV Shows Online Watch Movies OnlineNetflixSign InUnlimited movies TV shows and moreWatch anywhere. Cancel anytime.Ready to watch? Enter your email to create or restart your membership.Email addressGet StartedThe Netflix you love for just $6.99.Get the Standard with ads plan.Learn MoreEnjoy on your TVWatch on Smart TVs Playstation Xbox Chromecast Apple TV Blu-ray players and more.Watch everywhereStream unlimited movies and TV shows on your phone tablet laptop and TV.Create profiles for kidsSend kids on adventures with their favorite characters in a space made just for them—free with your membership.Download your shows to watch offlineWatch on a plane train or submarine...Stranger ThingsDownloading...Frequently Asked QuestionsWhat is Netflix?Netflix is a streaming service that offers a wide variety of award-winning TV shows movies anime documentaries and more on thousands of internet-connected devices.You can watch as much as you want whenever you want – all for one low monthly price. There's always something new to discover and new TV shows and movies are added every week!How much does Netflix cost?Watch Netflix on your smartphone tablet Smart TV laptop or streaming device all for one fixed monthly fee. Plans range from $6.99 to $22.99 a month. No extra costs no contracts.Where can I watch?Watch anywhere anytime. Sign in with your Netflix account to watch instantly on the web at netflix.com from your personal computer or on any internet-connected device that offers the Netflix app including smart TVs smartphones tablets streaming media players and game consoles.You can also download your favorite shows with the iOS Android or Windows 10 app. Use downloads to watch while you're on the go and without an internet connection. Take Netflix with you anywhere.How do I cancel?Netflix is flexible. There are no pesky contracts and no commitments. You can easily cancel your account online in two clicks. There are no cancellation fees – start or stop your account anytime.What can I watch on Netflix?Netflix has an extensive library of feature films documentaries TV shows anime award-winning Netflix originals and more. Watch as much as you want anytime you want.Is Netflix good for kids?The Netflix Kids experience is included in your membership to give parents control while kids enjoy family-friendly TV shows and movies in their own space.Kids profiles come with PIN-protected parental controls that let you restrict the maturity rating of content kids can watch and block specific titles you don’t want kids to see.Ready to watch? Enter your email to create or restart your membership.Email addressGet StartedQuestions? Call 1-844-505-2993FAQHelp CenterAccountMedia CenterInvestor RelationsJobsNetflix ShopRedeem Gift CardsBuy Gift CardsWays to WatchTerms of UsePrivacyCookie PreferencesCorporate InformationContact UsSpeed TestLegal NoticesOnly on NetflixDo Not Sell or Share My Personal InformationAd ChoicesSelect LanguageEnglishEspañol</v>
      </c>
    </row>
    <row r="578">
      <c r="A578" s="1" t="s">
        <v>1937</v>
      </c>
      <c r="B578" s="1" t="s">
        <v>1938</v>
      </c>
      <c r="C578" s="1" t="s">
        <v>1939</v>
      </c>
      <c r="D578" s="1">
        <v>1.0</v>
      </c>
      <c r="E578" s="4" t="s">
        <v>1940</v>
      </c>
      <c r="F578" s="1" t="s">
        <v>16</v>
      </c>
      <c r="I578" s="2">
        <v>0.0</v>
      </c>
      <c r="J578" s="5" t="str">
        <f>IFERROR(__xludf.DUMMYFUNCTION("GOOGLETRANSLATE(A578)"),"ozone")</f>
        <v>ozone</v>
      </c>
      <c r="K578" s="6" t="str">
        <f>IFERROR(__xludf.DUMMYFUNCTION("GOOGLETRANSLATE(B578)"),"Ozon is an online store. Millions of goods on ...")</f>
        <v>Ozon is an online store. Millions of goods on ...</v>
      </c>
      <c r="L578" s="5" t="str">
        <f>IFERROR(__xludf.DUMMYFUNCTION("GOOGLETRANSLATE(C578)"),"Ozon online store-low prices for millions of goods! Electronics, clothing, cosmetics, books, zotovars, products and much more. Fast home delivery ...")</f>
        <v>Ozon online store-low prices for millions of goods! Electronics, clothing, cosmetics, books, zotovars, products and much more. Fast home delivery ...</v>
      </c>
      <c r="M578" s="5" t="str">
        <f>IFERROR(__xludf.DUMMYFUNCTION("GOOGLETRANSLATE(G578)"),"#VALUE!")</f>
        <v>#VALUE!</v>
      </c>
    </row>
    <row r="579">
      <c r="A579" s="1" t="s">
        <v>1937</v>
      </c>
      <c r="B579" s="1" t="s">
        <v>1941</v>
      </c>
      <c r="C579" s="1" t="s">
        <v>1942</v>
      </c>
      <c r="D579" s="1">
        <v>2.0</v>
      </c>
      <c r="E579" s="4" t="s">
        <v>1943</v>
      </c>
      <c r="F579" s="1" t="s">
        <v>16</v>
      </c>
      <c r="G579" s="1" t="s">
        <v>120</v>
      </c>
      <c r="H579" s="4" t="s">
        <v>121</v>
      </c>
      <c r="I579" s="2">
        <v>0.0</v>
      </c>
      <c r="J579" s="5" t="str">
        <f>IFERROR(__xludf.DUMMYFUNCTION("GOOGLETRANSLATE(A579)"),"ozone")</f>
        <v>ozone</v>
      </c>
      <c r="K579" s="6" t="str">
        <f>IFERROR(__xludf.DUMMYFUNCTION("GOOGLETRANSLATE(B579)"),"Ozon: goods, products, tickets - Apps on ...")</f>
        <v>Ozon: goods, products, tickets - Apps on ...</v>
      </c>
      <c r="L579" s="5" t="str">
        <f>IFERROR(__xludf.DUMMYFUNCTION("GOOGLETRANSLATE(C579)"),"Ozon is the most famous and largest marketplace in Russia. Everything you need can be ordered on Ozon: electronics and home appliances, baby products and ...")</f>
        <v>Ozon is the most famous and largest marketplace in Russia. Everything you need can be ordered on Ozon: electronics and home appliances, baby products and ...</v>
      </c>
      <c r="M579" s="5" t="str">
        <f>IFERROR(__xludf.DUMMYFUNCTION("GOOGLETRANSLATE(G579)"),"Android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580">
      <c r="A580" s="1" t="s">
        <v>1937</v>
      </c>
      <c r="B580" s="1" t="s">
        <v>1944</v>
      </c>
      <c r="C580" s="1" t="s">
        <v>1945</v>
      </c>
      <c r="D580" s="1">
        <v>3.0</v>
      </c>
      <c r="E580" s="4" t="s">
        <v>1946</v>
      </c>
      <c r="F580" s="1" t="s">
        <v>16</v>
      </c>
      <c r="G580" s="1" t="s">
        <v>34</v>
      </c>
      <c r="H580" s="4" t="s">
        <v>35</v>
      </c>
      <c r="I580" s="2">
        <v>1.0</v>
      </c>
      <c r="J580" s="5" t="str">
        <f>IFERROR(__xludf.DUMMYFUNCTION("GOOGLETRANSLATE(A580)"),"ozone")</f>
        <v>ozone</v>
      </c>
      <c r="K580" s="6" t="str">
        <f>IFERROR(__xludf.DUMMYFUNCTION("GOOGLETRANSLATE(B580)"),"OZONE")</f>
        <v>OZONE</v>
      </c>
      <c r="L580" s="5" t="str">
        <f>IFERROR(__xludf.DUMMYFUNCTION("GOOGLETRANSLATE(C580)"),"The official accountplace account Ozon. | 647333 subscribers. 10280 records. 39 photos.")</f>
        <v>The official accountplace account Ozon. | 647333 subscribers. 10280 records. 39 photos.</v>
      </c>
      <c r="M580" s="5" t="str">
        <f>IFERROR(__xludf.DUMMYFUNCTION("GOOGLETRANSLATE(G580)"),"VK.com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581">
      <c r="A581" s="1" t="s">
        <v>1937</v>
      </c>
      <c r="B581" s="1" t="s">
        <v>1947</v>
      </c>
      <c r="C581" s="1" t="s">
        <v>1948</v>
      </c>
      <c r="D581" s="1">
        <v>4.0</v>
      </c>
      <c r="E581" s="4" t="s">
        <v>1949</v>
      </c>
      <c r="F581" s="1" t="s">
        <v>16</v>
      </c>
      <c r="G581" s="1" t="s">
        <v>31</v>
      </c>
      <c r="H581" s="4" t="s">
        <v>32</v>
      </c>
      <c r="I581" s="2">
        <v>1.0</v>
      </c>
      <c r="J581" s="5" t="str">
        <f>IFERROR(__xludf.DUMMYFUNCTION("GOOGLETRANSLATE(A581)"),"ozone")</f>
        <v>ozone</v>
      </c>
      <c r="K581" s="6" t="str">
        <f>IFERROR(__xludf.DUMMYFUNCTION("GOOGLETRANSLATE(B581)"),"Ozone - Wikipedia")</f>
        <v>Ozone - Wikipedia</v>
      </c>
      <c r="L581" s="5" t="str">
        <f>IFERROR(__xludf.DUMMYFUNCTION("GOOGLETRANSLATE(C581)"),"Ozone (from other Greek. Ὄζω-smell)-consisting of trihatic molecules O3, allotropic modification of oxygen. Under normal conditions - blue gas.")</f>
        <v>Ozone (from other Greek. Ὄζω-smell)-consisting of trihatic molecules O3, allotropic modification of oxygen. Under normal conditions - blue gas.</v>
      </c>
      <c r="M581" s="5" t="str">
        <f>IFERROR(__xludf.DUMMYFUNCTION("GOOGLETRANSLATE(G581)"),"Wikipedia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582">
      <c r="A582" s="1" t="s">
        <v>1937</v>
      </c>
      <c r="B582" s="1" t="s">
        <v>1950</v>
      </c>
      <c r="C582" s="1" t="s">
        <v>1951</v>
      </c>
      <c r="D582" s="1">
        <v>5.0</v>
      </c>
      <c r="E582" s="4" t="s">
        <v>1952</v>
      </c>
      <c r="F582" s="1" t="s">
        <v>16</v>
      </c>
      <c r="G582" s="1" t="s">
        <v>31</v>
      </c>
      <c r="H582" s="4" t="s">
        <v>32</v>
      </c>
      <c r="I582" s="2">
        <v>1.0</v>
      </c>
      <c r="J582" s="5" t="str">
        <f>IFERROR(__xludf.DUMMYFUNCTION("GOOGLETRANSLATE(A582)"),"ozone")</f>
        <v>ozone</v>
      </c>
      <c r="K582" s="6" t="str">
        <f>IFERROR(__xludf.DUMMYFUNCTION("GOOGLETRANSLATE(B582)"),"Ozone")</f>
        <v>Ozone</v>
      </c>
      <c r="L582" s="5" t="str">
        <f>IFERROR(__xludf.DUMMYFUNCTION("GOOGLETRANSLATE(C582)"),"“Ozon” (“Ozon”)-the oldest Russian universal online store; According to the Data Insight Research Agency, the second on the turnover online store ...")</f>
        <v>“Ozon” (“Ozon”)-the oldest Russian universal online store; According to the Data Insight Research Agency, the second on the turnover online store ...</v>
      </c>
      <c r="M582" s="5" t="str">
        <f>IFERROR(__xludf.DUMMYFUNCTION("GOOGLETRANSLATE(G582)"),"Wikipedia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583">
      <c r="A583" s="1" t="s">
        <v>1937</v>
      </c>
      <c r="B583" s="1" t="s">
        <v>1953</v>
      </c>
      <c r="C583" s="1" t="s">
        <v>179</v>
      </c>
      <c r="D583" s="1">
        <v>6.0</v>
      </c>
      <c r="E583" s="4" t="s">
        <v>1954</v>
      </c>
      <c r="F583" s="1" t="s">
        <v>16</v>
      </c>
      <c r="G583" s="1" t="s">
        <v>120</v>
      </c>
      <c r="H583" s="4" t="s">
        <v>121</v>
      </c>
      <c r="I583" s="2">
        <v>0.0</v>
      </c>
      <c r="J583" s="5" t="str">
        <f>IFERROR(__xludf.DUMMYFUNCTION("GOOGLETRANSLATE(A583)"),"ozone")</f>
        <v>ozone</v>
      </c>
      <c r="K583" s="6" t="str">
        <f>IFERROR(__xludf.DUMMYFUNCTION("GOOGLETRANSLATE(B583)"),"Ozon: goods, products, tickets")</f>
        <v>Ozon: goods, products, tickets</v>
      </c>
      <c r="L583" s="5" t="str">
        <f>IFERROR(__xludf.DUMMYFUNCTION("GOOGLETRANSLATE(C583)"),"4 days ago -")</f>
        <v>4 days ago -</v>
      </c>
      <c r="M583" s="5" t="str">
        <f>IFERROR(__xludf.DUMMYFUNCTION("GOOGLETRANSLATE(G583)"),"Android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584">
      <c r="A584" s="1" t="s">
        <v>1937</v>
      </c>
      <c r="B584" s="1" t="s">
        <v>1955</v>
      </c>
      <c r="C584" s="1" t="s">
        <v>1956</v>
      </c>
      <c r="D584" s="1">
        <v>7.0</v>
      </c>
      <c r="E584" s="4" t="s">
        <v>1957</v>
      </c>
      <c r="F584" s="1" t="s">
        <v>16</v>
      </c>
      <c r="G584" s="1" t="s">
        <v>97</v>
      </c>
      <c r="H584" s="4" t="s">
        <v>98</v>
      </c>
      <c r="I584" s="2">
        <v>0.0</v>
      </c>
      <c r="J584" s="5" t="str">
        <f>IFERROR(__xludf.DUMMYFUNCTION("GOOGLETRANSLATE(A584)"),"ozone")</f>
        <v>ozone</v>
      </c>
      <c r="K584" s="6" t="str">
        <f>IFERROR(__xludf.DUMMYFUNCTION("GOOGLETRANSLATE(B584)"),"Ozon: goods, hotels, tickets - App Store")</f>
        <v>Ozon: goods, hotels, tickets - App Store</v>
      </c>
      <c r="L584" s="5" t="str">
        <f>IFERROR(__xludf.DUMMYFUNCTION("GOOGLETRANSLATE(C584)"),"Ozon is the most famous and large marketplace in Russia. On Ozon you can order everything you need: electronics and household appliances, children's goods and children's ...")</f>
        <v>Ozon is the most famous and large marketplace in Russia. On Ozon you can order everything you need: electronics and household appliances, children's goods and children's ...</v>
      </c>
      <c r="M584" s="5" t="str">
        <f>IFERROR(__xludf.DUMMYFUNCTION("GOOGLETRANSLATE(G584)"),"App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585">
      <c r="A585" s="1" t="s">
        <v>1937</v>
      </c>
      <c r="B585" s="1" t="s">
        <v>1958</v>
      </c>
      <c r="C585" s="1" t="s">
        <v>1959</v>
      </c>
      <c r="D585" s="1">
        <v>8.0</v>
      </c>
      <c r="E585" s="4" t="s">
        <v>1960</v>
      </c>
      <c r="F585" s="1" t="s">
        <v>16</v>
      </c>
      <c r="G585" s="1" t="s">
        <v>1961</v>
      </c>
      <c r="H585" s="4" t="s">
        <v>1962</v>
      </c>
      <c r="I585" s="2">
        <v>1.0</v>
      </c>
      <c r="J585" s="5" t="str">
        <f>IFERROR(__xludf.DUMMYFUNCTION("GOOGLETRANSLATE(A585)"),"ozone")</f>
        <v>ozone</v>
      </c>
      <c r="K585" s="6" t="str">
        <f>IFERROR(__xludf.DUMMYFUNCTION("GOOGLETRANSLATE(B585)"),"Catalog of goods of the OZON online store")</f>
        <v>Catalog of goods of the OZON online store</v>
      </c>
      <c r="L585" s="5" t="str">
        <f>IFERROR(__xludf.DUMMYFUNCTION("GOOGLETRANSLATE(C585)"),"Catalog of goods of the OZON online store. Official site. Millions of goods. Delivery throughout Russia!")</f>
        <v>Catalog of goods of the OZON online store. Official site. Millions of goods. Delivery throughout Russia!</v>
      </c>
      <c r="M585" s="5" t="str">
        <f>IFERROR(__xludf.DUMMYFUNCTION("GOOGLETRANSLATE(G585)"),"Ozon is an online store. Millions of goods at favorable prices by Minsk • Indicate the delivery address to be a seller to buy as a mobile application company Help items Catalog EVERYTHOOD 0VARTITITITION 0VACAL 0-CACAZ 0 Elected 0 Coresinode and Saddete Pr"&amp;"oducts Power Office of the Interpores Ombcans for the School of Office and Rest 2 days to the end to the end of the Promotion 12 .11 c 11:00 Moscow time remind 1 unit. In the hands of 44.82 Byn-61%will cost 19.91 BYN4500 pcs. 1 unit. 53.45 Byn-71%in the h"&amp;"ands will cost15.84 BYN5000 pcs. 1 unit. In the hands of 172.50 BYN-65%will cost 62.08 BYN1300 pcs. New products every day see full conditions of the promotion all products hot sailovita!")</f>
        <v>Ozon is an online store. Millions of goods at favorable prices by Minsk • Indicate the delivery address to be a seller to buy as a mobile application company Help items Catalog EVERYTHOOD 0VARTITITITION 0VACAL 0-CACAZ 0 Elected 0 Coresinode and Saddete Products Power Office of the Interpores Ombcans for the School of Office and Rest 2 days to the end to the end of the Promotion 12 .11 c 11:00 Moscow time remind 1 unit. In the hands of 44.82 Byn-61%will cost 19.91 BYN4500 pcs. 1 unit. 53.45 Byn-71%in the hands will cost15.84 BYN5000 pcs. 1 unit. In the hands of 172.50 BYN-65%will cost 62.08 BYN1300 pcs. New products every day see full conditions of the promotion all products hot sailovita!</v>
      </c>
    </row>
    <row r="586">
      <c r="A586" s="1" t="s">
        <v>1937</v>
      </c>
      <c r="B586" s="1" t="s">
        <v>1963</v>
      </c>
      <c r="C586" s="1" t="s">
        <v>1964</v>
      </c>
      <c r="D586" s="1">
        <v>9.0</v>
      </c>
      <c r="E586" s="4" t="s">
        <v>1965</v>
      </c>
      <c r="F586" s="1" t="s">
        <v>16</v>
      </c>
      <c r="G586" s="1" t="s">
        <v>273</v>
      </c>
      <c r="H586" s="4" t="s">
        <v>274</v>
      </c>
      <c r="I586" s="2">
        <v>1.0</v>
      </c>
      <c r="J586" s="5" t="str">
        <f>IFERROR(__xludf.DUMMYFUNCTION("GOOGLETRANSLATE(A586)"),"ozone")</f>
        <v>ozone</v>
      </c>
      <c r="K586" s="6" t="str">
        <f>IFERROR(__xludf.DUMMYFUNCTION("GOOGLETRANSLATE(B586)"),"OZON.ru (@ozonru) • Instagram photos and videos")</f>
        <v>OZON.ru (@ozonru) • Instagram photos and videos</v>
      </c>
      <c r="L586" s="5" t="str">
        <f>IFERROR(__xludf.DUMMYFUNCTION("GOOGLETRANSLATE(C586)"),"Wait! Again-habits! Sale 11.11 on Ozon began! From November 1 to 13, discounts up to 90% · Here it is - the perfect time for those who love to read!")</f>
        <v>Wait! Again-habits! Sale 11.11 on Ozon began! From November 1 to 13, discounts up to 90% · Here it is - the perfect time for those who love to read!</v>
      </c>
      <c r="M586" s="5" t="str">
        <f>IFERROR(__xludf.DUMMYFUNCTION("GOOGLETRANSLATE(G586)"),"Update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587">
      <c r="A587" s="1" t="s">
        <v>1937</v>
      </c>
      <c r="B587" s="1" t="s">
        <v>1966</v>
      </c>
      <c r="C587" s="1" t="s">
        <v>1967</v>
      </c>
      <c r="D587" s="1">
        <v>10.0</v>
      </c>
      <c r="E587" s="4" t="s">
        <v>1968</v>
      </c>
      <c r="F587" s="1" t="s">
        <v>16</v>
      </c>
      <c r="G587" s="1" t="s">
        <v>528</v>
      </c>
      <c r="H587" s="4" t="s">
        <v>529</v>
      </c>
      <c r="I587" s="2">
        <v>3.0</v>
      </c>
      <c r="J587" s="5" t="str">
        <f>IFERROR(__xludf.DUMMYFUNCTION("GOOGLETRANSLATE(A587)"),"ozone")</f>
        <v>ozone</v>
      </c>
      <c r="K587" s="6" t="str">
        <f>IFERROR(__xludf.DUMMYFUNCTION("GOOGLETRANSLATE(B587)"),"Ozon - trading network")</f>
        <v>Ozon - trading network</v>
      </c>
      <c r="L587" s="5" t="str">
        <f>IFERROR(__xludf.DUMMYFUNCTION("GOOGLETRANSLATE(C587)"),"Ozon is a Russian online store that provides its customers with more than 100 million product names in 20 categories, including electronics, ...")</f>
        <v>Ozon is a Russian online store that provides its customers with more than 100 million product names in 20 categories, including electronics, ...</v>
      </c>
      <c r="M587" s="5" t="str">
        <f>IFERROR(__xludf.DUMMYFUNCTION("GOOGLETRANSLATE(G587)"),"Retail.ru - Portal for retailers and suppliers of please Click her IF YOU ARDIRERected Within A Few Seconds. Custom user! We discovered that you use the adblock and block the advertising show on our site, we ask our content as our content is provided as o"&amp;"ur content is provided as our content is provided as our content is provided as our content is provided A free basis and our only income is advertising on the site. This is necessary for the further development of the project. Instructions to the disconne"&amp;"ction of the Adblock. Spasibo for understanding! Version of the site for the visually impaired cabinet (0). TETAIL.ru Events Business Center Teaching Book Book Advertising News Articles Cases Interview Video Products on Polls Polls Glossary Glossary Perso"&amp;"na Persona Automation on 1 Testamaaga-Automatization on 1C Themesyatail.ru and Supply Mikhail Goncharov “Teremok”: “I was sure that the business with pancakes will take place” about what the 25-year history of the network of the pancakes of development an"&amp;"d technologies began. Caces are less than loans and below interest payments: Il de Bota experience in using online -INNISSISSIONS CHOOSS CALES WHY WHY A company uses Adm for processing cash revenue. Caches of the Pyaterochka Wine regiment: how to create a"&amp;"n exclusive offer51% is the proportion of exclusive brands in the sales of Russian wine from retailer and will grow up ecotrandas of the eastern and southeastern Asian Roads. Ecodaccepts and projects as well as organic products of Asian retailers. Mikhail"&amp;" Goncharov “Teremok”: “I was sure that the business with pancakes would take place” less loans and below interest payments: the experience “il de Bota” in the use of online irrigation with the Monirion regiment “Pentaroque” regiment : How to create an exc"&amp;"lusive proposal of eastern and southeastern Asia, an interview with a Caisytovar interview with a shelter of the eastern and southeastern Asia, the reviews and projects as well as organic products of Asian retailers. Topics: Foreign experience in trading "&amp;"sustainable development marketing and trade economics on November 4939, 2023 Walgreens History: How did the pharmacy chain benefit from the dry law and suffered from pandemia? Why does one of the largest world retailers close shops? Topics: Foreign experi"&amp;"ence in trading large world retailers pharmacy retail. Optics Crisis. The Bifurcation Point Marketing and the trade economy November 14576, 2023 Confectionery: new trends and products in turbulent time-Russian people like to seize stress, but not all swee"&amp;"ts-novice will be successful. Topic: FMCG. Grocery retail. Alcohol marketing and trade economics on November 22373, 2023 Logists are preparing to increase sales in e-commerce experts give forecasts of demand and transportation prices on the eve of sales a"&amp;"nd holidays indicate trends. Topic: Logistics Logistics in Retail E-Commerce. Marketplaces Marketing and Economics of Trade Delivery of Products. Courier delivery on October 308930, 2023 Practical analytics - what should it be? The solution for the growth"&amp;" of trade and reduction of write -offs in HoReCa Retail distribution. Topic: Analytics Automation of Trade: On the cash desk scanners scales FMCG. Grocery retail. Alcohol restaurants fast food. Food Contracts. Network restaurants on October 248124, 2023 W"&amp;"hy didn’t the “Future Store” appear in retail? Where is the retail-revolution now and what will it bring to physical stores. Topic: FMCG. Grocery retail. Alcohol Automation of Trade: on the cash desk scanners scales are general-shaped e-commerce. Marketpl"&amp;"aces Marketing and Trade Economics October 211620, 2023 Infoline: “Coin” will help the “Ribbon” with a mini-formatamatamics transaction will change the position of the “tape” in the ranking of the largest FMCG networks and what will the retailer do next? "&amp;"Topic: FMCG. Grocery retail. Exploring alcohol and marketing ratings and trade economics on October 370418, 2023 STM or its own brand: how can a manufacturer maneurate the market? History of SDOBS Foods that creates desserts for retailers and successfully"&amp;" develops its brand. Topic: FMCG. Grocery retail. Alcohol has its own trademark. IPLS. Contract production of Mark. Brand brand management. Advertising. PR 342217 October 2023 Research: How do Russians get acquainted with new brands and decide on buying t"&amp;"hat stimulates to buy goods to an unfamiliar brand and what prevents? Topics: Research and ratings E-Commerce. Marketplaces of Mark. Brand brand management. Advertising. PR 294316 October 2023 How does the Luxury market change the approach to working with"&amp;" customers for the best offers and technological service instead of champagne and parties? Topics: Loyalty in Retail Marketing and Trade Economics October 30134, 2023 All articles → Mikhail Goncharov “Teremok”: “I was sure that the business with pancakes "&amp;"would take place” about what the 25-year history of the network of pancakes of development and technology began. Topic: restaurants of fast food. Food Contracts. Network restaurants Marketing and the Trade economy November 14888, 2023 Ilya Pudyda Floris: "&amp;"“Expanding distribution and working with marketplaces will allow us to become closer to the audience” about the promotion of tisans and herbal drinks output to the markets of China and the UAE of healthy lifestyle and online sales. Topic: FMCG. Grocery re"&amp;"tail. Alcohol Mark. The brand is its own trademark. IPLS. Contract production Marketing and E-Commerce Trade Economics. Marketplaces on November 22702, 2023 Yuri Semenov Dixy: “The most important task is to quickly and effectively update the network for b"&amp;"uyers” by the end of 2024, the retailer plans to make a brown of 40% of stores. Topic: FMCG. Grocery retail. Alcohol Creating the atmosphere of the Marketing store and the trade economy on November 41691, 2023 Tatyana Kornienko Staldogs: “We open three ex"&amp;"perimental points of sales of hot dogs in Georgia” about the development of healthy lifestyle and new projects abroad. Topic: fast food. Food Contracts. Network restaurants Marketing and Trade Economics October 371027, 2023 Ilya Dudkovsky Avito: “The spee"&amp;"d of equipment supply and saving when equipping stores has become more important than ever” why it becomes normal for business to sell complex equipment online and how traditional selection schemes have changed trading equipment. Topic: Trade equipment. F"&amp;"urniture for stores Trade refrigeration equipment Equipment for E-Commerce stores. Markets Marketing and Trade Economics October 20824, 2023 Julia Agaltsova “Health Technique”: “We strive to increase the share of premium goods in the assortment in some st"&amp;"ores, it reaches 28%” about the features of the business of orthopedic salons to teach consultants of the client path and the future of this niche. Topic: Crisis. Bifurcation Point of Mark. Brand Marketing and Fashion Trade Economics. Cloth. Shoes. Access"&amp;"ories Creating the atmosphere of the store on October 185923, 2023 Denis Shubenok “Ashmanov and partners”: “Marketplais is the Cherkizov market in the 90s. It is impossible to ignore but you can only bet on them-it’s dangerous ”about how buyers choose bra"&amp;"nds in return for those who have left why the Internet channel is important where to start promotion in it how to provide goods with reviews and not to drain budgets. Topic: E-commerce. Marketplaces Marketing and the Economics of Mark Trade. Brand brand m"&amp;"anagement. Advertising. PR October 893818, 2023 Mikhail Aleshin “Perekhanok”: “We plan to remove the human factor from routine processes as much as possible and make focus on robotization” about changes in supplies and new projects to increase efficiency."&amp;" Topic: FMCG. Grocery retail. Alcohol Logistics in Retail Logistics Automation of trade: according to the cash desk scanners Libra 417617 October 2023 Stanislav Bogdanov X5 Group: “We feel responsibility - our initiatives often affect the industry” about "&amp;"priorities in cooperation with authorities to support small businesses and local manufacturers. Subject: Quality Security State regulation of state regulation of general -industrial FMCG. Grocery retail. Alcohol on October 244917, 2023 Maria Podkopaeva X5"&amp;" Group: “Our goal is to bring the share of the processed packaging in STM to 60%” about cooperation with suppliers on environmentally friendly packaging of new ROP requirements and changes in sustainable development strategy. Topics: Sustainable developme"&amp;"nt of own trademark. IPLS. FMCG contract production. Grocery retail. Alcohol 1961116, 2023 All interviews → Viola plant: Life with the new owner of the manufacturer invests in the production and promotion of new brands and products. Topic: FMCG. Grocery r"&amp;"etail. Alcohol Mark. The brand marketing and the trade economy on November 6527, 2023 Mascotte opened in Moscow its first salon in the new concept -based creation of a stylish and bright space for prisoners of shopping. Topic: Fashion. Cloth. Shoes. Acces"&amp;"sories of the opening and closing of stores Creating an atmosphere of the store 314325 October 2023 Production of a natural cider: raw materials technology, the process that the safety of products at a large enterprise? Topic: Quality Security Gosregulati"&amp;"on of Mark. Brand 78020 October 2023 Adyghe cheese: where and how do they make real? The subtleties of production and sale of fresh soft cheese and who weaves Chevil-Koschka? Topic: FMCG. Grocery retail. Alcohol has its own trademark. IPLS. Contract produ"&amp;"ction quality security state regulation on October 29593, 2023 Berezka: “Sales have grown 4 times in 6 years” a network of 6 DIY stores in Tatarstan plans to quickly develop in small cities and open 5 more points in 2024. Topic: DIY. Household products. F"&amp;"urniture marketing and economics of trading loyalty in retail practice#expedition Retail 250920 September 2023 “Matur”: “We are striving to receive 85 thousand rubles of revenue from a square meter per month” The Bashkir network attracts customers with ho"&amp;"t bread with finished food and chak-chack. Topic: FMCG. Grocery retail. Alcohol Practice of Mark. Brand Marketing and Trade Economics Own brand. IPLS. Contract production September 30386, 2023 How to turn the production of weapons into a tourist facility:"&amp;" the experience of AIR from Zlatovostablagiad Tourism 10 times increased by the number of buyers of a company store. Topic: DIY. Household products. Furniture Mark. Brand Marketing and Economics of Trade Sales Management Brand Management. Advertising. PR "&amp;"256923 August 2023 Fish House: Travel to the Baltic Coast where and how are sea cabbage imitated caviar smoked fish and preserves from seafood for STM Pyaterochka? Topic: Own trademark. IPLS. FMCG contract production. Grocery retail. Alcohol Mark. The bra"&amp;"nd large world retailers on August 362810, 2023 flagship Gloria Jeans in modern Street-Rythilevs details of the concept of the store in Tverskaya in Moscow. Topic: Fashion. Cloth. Shoes. Accessories of the opening and closing of stores marketing and the e"&amp;"conomy of brand trade. Brand Merchendiding. Layout. Shoes 42734 August 2023 Where Pyatyrochka makes pickled cucumbers for STM? From Bachch to the shelf. Topic: Own trademark. IPLS. Contract production Own production. Ready food. FMCG kitchen factories. Gr"&amp;"ocery retail. Alcohol 52805 July 2023 All photo reports → Pyaterochka wine regiment: how to create an exclusive offer51% is the share of exclusive brands in the sales of Russian wine from the retailer and will grow. Topic: FMCG. Grocery retail. Alcohol ha"&amp;"s its own trademark. IPLS. Contract production marketing and an economy of brand trade. The brand 42310 November 2023 is less loans and the interest payments below: Il de BotE experience in using online irrigation with monitoring the reasons why the compa"&amp;"ny uses Adm for processing cash proceeds. Topics: Finance in retail Marketing and the Droggery trade economy. Cosmetics. Perfumeria Automation of Trade: on the cash desks of the scales on November 11487, 2023 Experience “Crossroads” in the development of "&amp;"the mobile application of the express delivery: TOP-5 insight and successful cases of development teams. Topic: E-commerce. FMCG markets. Grocery retail. Alcohol Automation of Trade: according to the cash desks scales Libra practice on November 14143, 202"&amp;"3 Why develop food sales in a beer store: the experience of “beer &amp; ko” Sneckes of deep fry and ready food allow you to generate traffic and attract new segments of customers. Topic: FMCG. Grocery retail. Alcohol Practice Marketing and Trade Economics Own"&amp;" Production. Ready food. Kitchen factories have its own brand. IPLS. Contract production on October 223830, 2023 Appendix for KCENTR.ru: moved from PWA and studio development to the cloud solution of the project plans for the development of application an"&amp;"d integration with the CRM system. Topic: E-commerce. Marketplairs Automation of Trade: on cash desks scanners scales marketing and economics of trade practice Electronics technique. The cell retail on October 175526, 2023, as a service partner, rebuilt a"&amp;"nd strengthened the technical support of the Tvyato - and Point network “CROC” serves about 700 users in the central office of the network and remotely processes up to 800 applications per month. Topic: Trade automation: on cash desks scanners Libra are h"&amp;"igh -grade fast food. Food Contracts. Network restaurants on October 203423, 2023 How to expand the Massporren funnel three times and maintain a conversion into a hiring - in two months: the Betaonline case in the submissivee 232% managed to increase the "&amp;"incoming stream of applicants in the midst of the season. Topic: Trade personnel Human Resources Management in Retail FMCG. Grocery retail. Alcohol Automation of trade: on the cash desk of scales Libra 193219 October 2023 Marking of water and sweet drinks"&amp;": how to save up to 2 billion rubles of the annual water producer of water. Topic: Marking goods Quality Security Gos regulation General -industrial FMCG. Grocery retail. Alcohol on October 190718, 2023 Online Automatization: as the Yakut Hormolzavod remo"&amp;"tely introduced 1C: ERP by 5% of the production cost of production costs-10% of the production of products increased by 15%. Topic: Automation for 1C Mark. Brand Marketing and Trade Economics Automation of Trade: On the Cashier Scanners Libra 187213 Octob"&amp;"er 2023 Uppetit experience: Ready food - what to prepare and sell the specialization of the specialization of the finished food store. Topic: Own production. Ready food. FMCG kitchen factories. Grocery retail. Alcohol Practice Marketing and the Franchisin"&amp;"g Trade Economics October 244511, 2023 All cases → Branded retail becomes hybridsposobes to expand the proposal and strengthen the attractiveness of the format. Topic: FMCG. Grocery retail. Alcohol Fashion. Cloth. Shoes. Accessories marketing and trade ec"&amp;"onomics on October 214231, 2023 How has the search demand for household appliances and electronics over 2 years have changed? Study of the search interest in BTIE in Russia. Topic: Electronics technique. Cell retail Marketing and the research economy and "&amp;"ratings on October 134623, 2023 Fruits and vegetables: how to earn and develop a category? Experience of the “Magnit” “Auchana” “Ski” “Red Yar” “Baton” and the manufacturer “My summer”. Topic: Categorical management Own brand. IPLS. Contract production Ow"&amp;"n production. Ready food. Kitchen factories on October 194313, 2023 German condoms Glt-Group: Focus for diversity European quality and wide line in the categories: Elite Premium and Middle-Low. Topic: FMCG. Grocery retail. Alcohol goods on the marketing s"&amp;"helf and the economy of brand trade. Brand 221028 September 2023 Business on marketplaces: new services from MTS Bank Analyst of procurement from China Fulfilment and Warehouse Management. Topics: Finance in Retail E-Commerce. Marketplaces Logistics in Re"&amp;"tail Logistics 201521 September 2023 What difficulties arise on the path of products from China and where to “lay straw” the nuances and difficulties of railway transport in 2023. Topics: Logistics Logistics in retail practice September 211120, 2023 Oat c"&amp;"ollection of KF ""Bread Spas"": from the idea to a bestsellarakak, the company studies consumer tastes and develops successful products. Topic: FMCG. Grocery retail. Alcohol Mark. Brand Marketing and Trade Economics Practice Loyalty in retail 240411 Septe"&amp;"mber 2023 The Yandex study: Fashion-buyer starts with a search on the Internet and loves a branding for omnichanality or how to win a client race. Topic: E-commerce. Fashion markets. Cloth. Shoes. Accessories on September 30911, 2023 The ice cream market "&amp;"in July 2023: Russian manufacturers dominant production: Sales dynamics Popular TOP Brand formats. Topics: Research and FMCG ratings. Grocery retail. Alcohol marketing and trade economics 533824 August 2023 How to create your own marketplace? It is benefi"&amp;"cial for the expert man and why prepare for? Topic: E-commerce. Marketplaces Marketing and Economics of Trading Self -Self -Slender August 413621 August 2023 All goods on the shelf → News -based news 11: 57 Warehouse in Moscow and the region may fall to t"&amp;"he record for 15 years 01% 275 10: 30 Russian -Russian people ignored the beginning of the November Sales 663 09: 30 numbers of the new creative director of Moschino David Renne 46 Earlier, 110.11 of the Russian Federation approved the rules for compensat"&amp;"ion by foreign holdings for Russian assets 1329 10.11 in the Russian Federation may allow the sale of unmarked caviar 817 10.11, IT specialists, the demand for technical support and information security 8419 10.11 Police will not be able to initiate admin"&amp;"istrative affairs 6902 10.11nikoliers: Unsatisfied demand for warehouses in St. Petersburg exceeds 500 thousand square meters. m 2539 10.11 -German OBI filed a lawsuit against the former Russian unit 1778 10.11NOVABEV Group: for 9 months of 2023, the comp"&amp;"any's revenue increased by 17% 1537 10.11 Seller Veypov proposed to fine parents for smoking children 1072 10.11ozon: Russians began to make major purchases for large purchases for Sales 911 10.11 Magnit will open a brewery in the super -starter in Moscow"&amp;" 1582 10.11 MTS Bank: Russians actively buy electronics and shoes during the sales period 1438 10.11v 2023. The consumption of domestic wines will grow to 90 million, 757 10.11 Producer Tchibo will change the name “ Tibio ”623 10.1111 The HP began to elim"&amp;"inate the Russian legal entity“ Eichpi Inc ”746 10.11“ Yandex Lavka ”plans to open Darkmalls 1738 09.11 Sades refused to satisfy the claim of the owner of the Samara shopping center against the Retail H&amp;M 1862 09/09/11 Fix PRICE approved the change Kazakh"&amp;"stan 944 everything News → Companies of the Companies of Yandex Markets Yandex Market Products from charitable foundations and their wards 196 Supplier Essen Production Agnchups and jams ""Maheev"" again became laureates of the Mark No. 1 in Russia-2023 3"&amp;"45 Supplier Trinity Events Group23 Summit of the REMODIC The Retail Business Russia industry was held on October 26-27 in New Moscow-to Imperial Park Hotel &amp; SPA 254 Supplier MVK-International Exhibition Company Exhibitions Parking Russia 2023 already the"&amp;" next week on November 14-16 in the ex-center. 281 Supplier 1SKOCHONGENT “DIFFORRATING Day” 454 Supplier LLC “SP Group” announced laureates of the XIV Prize “Quality of Service and Consumer Rights” 538 Supplier Altaseils23–24 in Moscow in the Central Hous"&amp;"e of Center will host a large business forum from niche experts-main 835 supplier Retail . Crownline conference on the topic ""Trade equipment in retail: how has the pool of suppliers have changed what solutions are the retail?"" 695 Supplier Tanuki “Tanu"&amp;"ki” launched the new astrological menu 721 supplier “Retail of those” megaphorum - the territory of cooperation between the exchange of views and ideas! The Victory Victory Tails Network is tested by industrial exoskeletons 898 Tails Network Corporation G"&amp;"rinn Dolkin - a friendly discount opened in Tula 6164 Supplier of the GRASSASSV Russian CASS monitoring in stores 5364 Supplier Grassgrass: Consumer selection 1105 All news of the companies → Calendar of events14 - November 16, 2023 Networks Procurement C"&amp;"enter ™ 14 - 16 - 16, 2023 32nd International Food Exhibition ""Pet ... get a free ticket on November 16, 2023"" Trade equipment in retail ""to receive a free ticket on November 21 - 22, 2023 Bee -Together. ru receive a free ticket on November 23 - 24, 20"&amp;"23 Sales Main - November 30 - 30, 2023 International Forum Universe Ecom Convention 2023 ... Get free ticket all events → We recommend visiting a Center 4213 Supplier Register in our catalog: Supplier of the Dixie Supplier 2595kak “promote” the regional n"&amp;"etwork of orthopedic salons: secrets from “health techniques” 2443 -visitor Burmatova - “my summer” on #Worldfoodmoscow 20232132 Video Ryabova Angela Director of the Magnita Discounters format Fedyakov Ivan Founder and head of the Infoline group of compan"&amp;"ies all persons → Books of Books was added to the basket Practice ... 1,200 rubles. Build sales in numbers: Planning ... 590 rubles. Buy arithmetic of the categorical manager ... 1,100 rubles. Buy food trade in ... 1,490 rubles. Buy a successful way to th"&amp;"e retail network. ..590 rub. Buy a workman’s workshop: like a sore ... 699 rub. Buy all books → Video on Retail.ru new concept “Dixie” 2590 How to “promote” the regional network of orthopedic salons: Secrets from “Health Technology” 2438 Tatyana Kornienko"&amp;" - ""Staldogs"" on #Worldfood Moscow 2023 2084 All videos → Seminars30.11 Category Management- The first course according to the International Standard Catman 2.04retail Business School30.11 Opress and Management STM 4retal Business School30.11 Empress co"&amp;"urse ""Construction"" Construction ""Construction"" Construction ""Construction"" Construction Effective promo ”(specialist tariff) 4retail Business Schoolves Seminars → Obsoscot now dictates the conditions in the equipment market - sellers or buyers? The"&amp;" sellers of the Kuppetelina I know did not think of research and surveys of the news agaric for a week1. Russian manufacturers of household appliances began to transfer contract production from Turkey to China 62815 2. The second Russian supported the bil"&amp;"l on the translation of all inscriptions and signs into Russian 47182 3. Ozon saw the threat of death of all business Models in the bill on the regulation of marketplaces 17697 4.Marks &amp; spencer increased net profit in the first half of the year by 75% 14"&amp;"753 5. The Russian Federations began to spend more borrowed money on the Gadgets 10131 top materials for the week1. Interview: Mikhail Goncharov “Teremok”: “I was I am sure that the business with pancakes will take place ”1485 2. Straight: the story of Wa"&amp;"lgreens: How did the pharmacy chain benefit from the dry law and suffered from pandemia? 1454 3. Case: Less loans and below interest payments: Il de Bote experience in using online tokassation C Moniron 1145 4. Recordication: Viola factory: Life with the "&amp;"new owner 650 5. Starts: ecotrandas of eastern and southeastern Asia 491 Read the News News Interview Cases Master classes Events Calendar Organizers of the Conference Exhibition Special Projects Transeminars Catalog of Educational Companies Teachers Vide"&amp;"o Books Top 10 Traffic without discounts? How to buy? Business Center for the business center Catalog of retail chains Catalog of suppliers Advertising for posting through banners Printed version Paid Content goods on the shelf personal cabinet purchases "&amp;"Subscription Reading Articles Interview Calers Calendar Organizers of the Conference Exhibition Special Projectives Teaching Teachers Catalogs of Video Books Books 10 traffic without discounts? How to buy? Business Center Business Center Business Center C"&amp;"atalog Catalog of Suppliers Advertising Advertising Application for Testy Banners Printed Version Paid Content Products on the Shelf Personal Account your purchases Subscribes Read Articles News Interview Calers Calendar Organizers Calendar Conference Spe"&amp;"cial Projectives Teaching Seminaries Catalog of Educational Compans Video Books of the novelty top 10 traffic without discounts? How to buy? Business Center Business Center Business Center Catalog Catalog of Suppliers Advertising Advertising Application f"&amp;"or Testy Banners Printing Version Paid Content Products to the Personal Account Personal Access Personal Subscribes to the retailer: Register the news of the trading network: Register the company's news: Register the news of the company Rorganizers of eve"&amp;"nts: register the organizer Metest the Part of the Retail.ru project! VKontaktelegramyoutubeubeubeubeum-graders. Podkastyandyandx podcastle podcastss subscription to the use of materials from the website Retail.ru include video materials and materials fro"&amp;"m online measures are allowed only if the hyperchi is allowed On the material page on retail.ru in the first paragraph of the published text. © 1999–2023RETAIL.ru DECHEMISTICTION PRODUCTION INTRODUCTION OF THE Industry of retail industry The first! Choose"&amp;" that you are interested in and leave emails subscriptions daily newsstands of the Materials of the month of the month of the month and the event-a-term mailing houses for teaching smell *Subscribe to the button you give consent to the processing of your "&amp;"personal data. Using materials from the site Tail.ru Including video materials and materials from online events is allowed only if there is a hyperlink on the material page on retail.ru in the first paragraph of the published text. Want to receive the new"&amp;"s of the retail industry? Choose that you are interested in leaving your email daily newsstands of the month of the month of the month of the month and the event-a-term mailing houses for training in the button, you consent to the processing of personnel "&amp;"datapublic-4028F2D809A09A040040052MI We use cookie files to make the use of our site more convenient. If you continue to use the site, we will assume that it suits you")</f>
        <v>Retail.ru - Portal for retailers and suppliers of please Click her IF YOU ARDIRERected Within A Few Seconds. Custom user! We discovered that you use the adblock and block the advertising show on our site, we ask our content as our content is provided as our content is provided as our content is provided as our content is provided as our content is provided A free basis and our only income is advertising on the site. This is necessary for the further development of the project. Instructions to the disconnection of the Adblock. Spasibo for understanding! Version of the site for the visually impaired cabinet (0). TETAIL.ru Events Business Center Teaching Book Book Advertising News Articles Cases Interview Video Products on Polls Polls Glossary Glossary Persona Persona Automation on 1 Testamaaga-Automatization on 1C Themesyatail.ru and Supply Mikhail Goncharov “Teremok”: “I was sure that the business with pancakes will take place” about what the 25-year history of the network of the pancakes of development and technologies began. Caces are less than loans and below interest payments: Il de Bota experience in using online -INNISSISSIONS CHOOSS CALES WHY WHY A company uses Adm for processing cash revenue. Caches of the Pyaterochka Wine regiment: how to create an exclusive offer51% is the proportion of exclusive brands in the sales of Russian wine from retailer and will grow up ecotrandas of the eastern and southeastern Asian Roads. Ecodaccepts and projects as well as organic products of Asian retailers. Mikhail Goncharov “Teremok”: “I was sure that the business with pancakes would take place” less loans and below interest payments: the experience “il de Bota” in the use of online irrigation with the Monirion regiment “Pentaroque” regiment : How to create an exclusive proposal of eastern and southeastern Asia, an interview with a Caisytovar interview with a shelter of the eastern and southeastern Asia, the reviews and projects as well as organic products of Asian retailers. Topics: Foreign experience in trading sustainable development marketing and trade economics on November 4939, 2023 Walgreens History: How did the pharmacy chain benefit from the dry law and suffered from pandemia? Why does one of the largest world retailers close shops? Topics: Foreign experience in trading large world retailers pharmacy retail. Optics Crisis. The Bifurcation Point Marketing and the trade economy November 14576, 2023 Confectionery: new trends and products in turbulent time-Russian people like to seize stress, but not all sweets-novice will be successful. Topic: FMCG. Grocery retail. Alcohol marketing and trade economics on November 22373, 2023 Logists are preparing to increase sales in e-commerce experts give forecasts of demand and transportation prices on the eve of sales and holidays indicate trends. Topic: Logistics Logistics in Retail E-Commerce. Marketplaces Marketing and Economics of Trade Delivery of Products. Courier delivery on October 308930, 2023 Practical analytics - what should it be? The solution for the growth of trade and reduction of write -offs in HoReCa Retail distribution. Topic: Analytics Automation of Trade: On the cash desk scanners scales FMCG. Grocery retail. Alcohol restaurants fast food. Food Contracts. Network restaurants on October 248124, 2023 Why didn’t the “Future Store” appear in retail? Where is the retail-revolution now and what will it bring to physical stores. Topic: FMCG. Grocery retail. Alcohol Automation of Trade: on the cash desk scanners scales are general-shaped e-commerce. Marketplaces Marketing and Trade Economics October 211620, 2023 Infoline: “Coin” will help the “Ribbon” with a mini-formatamatamics transaction will change the position of the “tape” in the ranking of the largest FMCG networks and what will the retailer do next? Topic: FMCG. Grocery retail. Exploring alcohol and marketing ratings and trade economics on October 370418, 2023 STM or its own brand: how can a manufacturer maneurate the market? History of SDOBS Foods that creates desserts for retailers and successfully develops its brand. Topic: FMCG. Grocery retail. Alcohol has its own trademark. IPLS. Contract production of Mark. Brand brand management. Advertising. PR 342217 October 2023 Research: How do Russians get acquainted with new brands and decide on buying that stimulates to buy goods to an unfamiliar brand and what prevents? Topics: Research and ratings E-Commerce. Marketplaces of Mark. Brand brand management. Advertising. PR 294316 October 2023 How does the Luxury market change the approach to working with customers for the best offers and technological service instead of champagne and parties? Topics: Loyalty in Retail Marketing and Trade Economics October 30134, 2023 All articles → Mikhail Goncharov “Teremok”: “I was sure that the business with pancakes would take place” about what the 25-year history of the network of pancakes of development and technology began. Topic: restaurants of fast food. Food Contracts. Network restaurants Marketing and the Trade economy November 14888, 2023 Ilya Pudyda Floris: “Expanding distribution and working with marketplaces will allow us to become closer to the audience” about the promotion of tisans and herbal drinks output to the markets of China and the UAE of healthy lifestyle and online sales. Topic: FMCG. Grocery retail. Alcohol Mark. The brand is its own trademark. IPLS. Contract production Marketing and E-Commerce Trade Economics. Marketplaces on November 22702, 2023 Yuri Semenov Dixy: “The most important task is to quickly and effectively update the network for buyers” by the end of 2024, the retailer plans to make a brown of 40% of stores. Topic: FMCG. Grocery retail. Alcohol Creating the atmosphere of the Marketing store and the trade economy on November 41691, 2023 Tatyana Kornienko Staldogs: “We open three experimental points of sales of hot dogs in Georgia” about the development of healthy lifestyle and new projects abroad. Topic: fast food. Food Contracts. Network restaurants Marketing and Trade Economics October 371027, 2023 Ilya Dudkovsky Avito: “The speed of equipment supply and saving when equipping stores has become more important than ever” why it becomes normal for business to sell complex equipment online and how traditional selection schemes have changed trading equipment. Topic: Trade equipment. Furniture for stores Trade refrigeration equipment Equipment for E-Commerce stores. Markets Marketing and Trade Economics October 20824, 2023 Julia Agaltsova “Health Technique”: “We strive to increase the share of premium goods in the assortment in some stores, it reaches 28%” about the features of the business of orthopedic salons to teach consultants of the client path and the future of this niche. Topic: Crisis. Bifurcation Point of Mark. Brand Marketing and Fashion Trade Economics. Cloth. Shoes. Accessories Creating the atmosphere of the store on October 185923, 2023 Denis Shubenok “Ashmanov and partners”: “Marketplais is the Cherkizov market in the 90s. It is impossible to ignore but you can only bet on them-it’s dangerous ”about how buyers choose brands in return for those who have left why the Internet channel is important where to start promotion in it how to provide goods with reviews and not to drain budgets. Topic: E-commerce. Marketplaces Marketing and the Economics of Mark Trade. Brand brand management. Advertising. PR October 893818, 2023 Mikhail Aleshin “Perekhanok”: “We plan to remove the human factor from routine processes as much as possible and make focus on robotization” about changes in supplies and new projects to increase efficiency. Topic: FMCG. Grocery retail. Alcohol Logistics in Retail Logistics Automation of trade: according to the cash desk scanners Libra 417617 October 2023 Stanislav Bogdanov X5 Group: “We feel responsibility - our initiatives often affect the industry” about priorities in cooperation with authorities to support small businesses and local manufacturers. Subject: Quality Security State regulation of state regulation of general -industrial FMCG. Grocery retail. Alcohol on October 244917, 2023 Maria Podkopaeva X5 Group: “Our goal is to bring the share of the processed packaging in STM to 60%” about cooperation with suppliers on environmentally friendly packaging of new ROP requirements and changes in sustainable development strategy. Topics: Sustainable development of own trademark. IPLS. FMCG contract production. Grocery retail. Alcohol 1961116, 2023 All interviews → Viola plant: Life with the new owner of the manufacturer invests in the production and promotion of new brands and products. Topic: FMCG. Grocery retail. Alcohol Mark. The brand marketing and the trade economy on November 6527, 2023 Mascotte opened in Moscow its first salon in the new concept -based creation of a stylish and bright space for prisoners of shopping. Topic: Fashion. Cloth. Shoes. Accessories of the opening and closing of stores Creating an atmosphere of the store 314325 October 2023 Production of a natural cider: raw materials technology, the process that the safety of products at a large enterprise? Topic: Quality Security Gosregulation of Mark. Brand 78020 October 2023 Adyghe cheese: where and how do they make real? The subtleties of production and sale of fresh soft cheese and who weaves Chevil-Koschka? Topic: FMCG. Grocery retail. Alcohol has its own trademark. IPLS. Contract production quality security state regulation on October 29593, 2023 Berezka: “Sales have grown 4 times in 6 years” a network of 6 DIY stores in Tatarstan plans to quickly develop in small cities and open 5 more points in 2024. Topic: DIY. Household products. Furniture marketing and economics of trading loyalty in retail practice#expedition Retail 250920 September 2023 “Matur”: “We are striving to receive 85 thousand rubles of revenue from a square meter per month” The Bashkir network attracts customers with hot bread with finished food and chak-chack. Topic: FMCG. Grocery retail. Alcohol Practice of Mark. Brand Marketing and Trade Economics Own brand. IPLS. Contract production September 30386, 2023 How to turn the production of weapons into a tourist facility: the experience of AIR from Zlatovostablagiad Tourism 10 times increased by the number of buyers of a company store. Topic: DIY. Household products. Furniture Mark. Brand Marketing and Economics of Trade Sales Management Brand Management. Advertising. PR 256923 August 2023 Fish House: Travel to the Baltic Coast where and how are sea cabbage imitated caviar smoked fish and preserves from seafood for STM Pyaterochka? Topic: Own trademark. IPLS. FMCG contract production. Grocery retail. Alcohol Mark. The brand large world retailers on August 362810, 2023 flagship Gloria Jeans in modern Street-Rythilevs details of the concept of the store in Tverskaya in Moscow. Topic: Fashion. Cloth. Shoes. Accessories of the opening and closing of stores marketing and the economy of brand trade. Brand Merchendiding. Layout. Shoes 42734 August 2023 Where Pyatyrochka makes pickled cucumbers for STM? From Bachch to the shelf. Topic: Own trademark. IPLS. Contract production Own production. Ready food. FMCG kitchen factories. Grocery retail. Alcohol 52805 July 2023 All photo reports → Pyaterochka wine regiment: how to create an exclusive offer51% is the share of exclusive brands in the sales of Russian wine from the retailer and will grow. Topic: FMCG. Grocery retail. Alcohol has its own trademark. IPLS. Contract production marketing and an economy of brand trade. The brand 42310 November 2023 is less loans and the interest payments below: Il de BotE experience in using online irrigation with monitoring the reasons why the company uses Adm for processing cash proceeds. Topics: Finance in retail Marketing and the Droggery trade economy. Cosmetics. Perfumeria Automation of Trade: on the cash desks of the scales on November 11487, 2023 Experience “Crossroads” in the development of the mobile application of the express delivery: TOP-5 insight and successful cases of development teams. Topic: E-commerce. FMCG markets. Grocery retail. Alcohol Automation of Trade: according to the cash desks scales Libra practice on November 14143, 2023 Why develop food sales in a beer store: the experience of “beer &amp; ko” Sneckes of deep fry and ready food allow you to generate traffic and attract new segments of customers. Topic: FMCG. Grocery retail. Alcohol Practice Marketing and Trade Economics Own Production. Ready food. Kitchen factories have its own brand. IPLS. Contract production on October 223830, 2023 Appendix for KCENTR.ru: moved from PWA and studio development to the cloud solution of the project plans for the development of application and integration with the CRM system. Topic: E-commerce. Marketplairs Automation of Trade: on cash desks scanners scales marketing and economics of trade practice Electronics technique. The cell retail on October 175526, 2023, as a service partner, rebuilt and strengthened the technical support of the Tvyato - and Point network “CROC” serves about 700 users in the central office of the network and remotely processes up to 800 applications per month. Topic: Trade automation: on cash desks scanners Libra are high -grade fast food. Food Contracts. Network restaurants on October 203423, 2023 How to expand the Massporren funnel three times and maintain a conversion into a hiring - in two months: the Betaonline case in the submissivee 232% managed to increase the incoming stream of applicants in the midst of the season. Topic: Trade personnel Human Resources Management in Retail FMCG. Grocery retail. Alcohol Automation of trade: on the cash desk of scales Libra 193219 October 2023 Marking of water and sweet drinks: how to save up to 2 billion rubles of the annual water producer of water. Topic: Marking goods Quality Security Gos regulation General -industrial FMCG. Grocery retail. Alcohol on October 190718, 2023 Online Automatization: as the Yakut Hormolzavod remotely introduced 1C: ERP by 5% of the production cost of production costs-10% of the production of products increased by 15%. Topic: Automation for 1C Mark. Brand Marketing and Trade Economics Automation of Trade: On the Cashier Scanners Libra 187213 October 2023 Uppetit experience: Ready food - what to prepare and sell the specialization of the specialization of the finished food store. Topic: Own production. Ready food. FMCG kitchen factories. Grocery retail. Alcohol Practice Marketing and the Franchising Trade Economics October 244511, 2023 All cases → Branded retail becomes hybridsposobes to expand the proposal and strengthen the attractiveness of the format. Topic: FMCG. Grocery retail. Alcohol Fashion. Cloth. Shoes. Accessories marketing and trade economics on October 214231, 2023 How has the search demand for household appliances and electronics over 2 years have changed? Study of the search interest in BTIE in Russia. Topic: Electronics technique. Cell retail Marketing and the research economy and ratings on October 134623, 2023 Fruits and vegetables: how to earn and develop a category? Experience of the “Magnit” “Auchana” “Ski” “Red Yar” “Baton” and the manufacturer “My summer”. Topic: Categorical management Own brand. IPLS. Contract production Own production. Ready food. Kitchen factories on October 194313, 2023 German condoms Glt-Group: Focus for diversity European quality and wide line in the categories: Elite Premium and Middle-Low. Topic: FMCG. Grocery retail. Alcohol goods on the marketing shelf and the economy of brand trade. Brand 221028 September 2023 Business on marketplaces: new services from MTS Bank Analyst of procurement from China Fulfilment and Warehouse Management. Topics: Finance in Retail E-Commerce. Marketplaces Logistics in Retail Logistics 201521 September 2023 What difficulties arise on the path of products from China and where to “lay straw” the nuances and difficulties of railway transport in 2023. Topics: Logistics Logistics in retail practice September 211120, 2023 Oat collection of KF "Bread Spas": from the idea to a bestsellarakak, the company studies consumer tastes and develops successful products. Topic: FMCG. Grocery retail. Alcohol Mark. Brand Marketing and Trade Economics Practice Loyalty in retail 240411 September 2023 The Yandex study: Fashion-buyer starts with a search on the Internet and loves a branding for omnichanality or how to win a client race. Topic: E-commerce. Fashion markets. Cloth. Shoes. Accessories on September 30911, 2023 The ice cream market in July 2023: Russian manufacturers dominant production: Sales dynamics Popular TOP Brand formats. Topics: Research and FMCG ratings. Grocery retail. Alcohol marketing and trade economics 533824 August 2023 How to create your own marketplace? It is beneficial for the expert man and why prepare for? Topic: E-commerce. Marketplaces Marketing and Economics of Trading Self -Self -Slender August 413621 August 2023 All goods on the shelf → News -based news 11: 57 Warehouse in Moscow and the region may fall to the record for 15 years 01% 275 10: 30 Russian -Russian people ignored the beginning of the November Sales 663 09: 30 numbers of the new creative director of Moschino David Renne 46 Earlier, 110.11 of the Russian Federation approved the rules for compensation by foreign holdings for Russian assets 1329 10.11 in the Russian Federation may allow the sale of unmarked caviar 817 10.11, IT specialists, the demand for technical support and information security 8419 10.11 Police will not be able to initiate administrative affairs 6902 10.11nikoliers: Unsatisfied demand for warehouses in St. Petersburg exceeds 500 thousand square meters. m 2539 10.11 -German OBI filed a lawsuit against the former Russian unit 1778 10.11NOVABEV Group: for 9 months of 2023, the company's revenue increased by 17% 1537 10.11 Seller Veypov proposed to fine parents for smoking children 1072 10.11ozon: Russians began to make major purchases for large purchases for Sales 911 10.11 Magnit will open a brewery in the super -starter in Moscow 1582 10.11 MTS Bank: Russians actively buy electronics and shoes during the sales period 1438 10.11v 2023. The consumption of domestic wines will grow to 90 million, 757 10.11 Producer Tchibo will change the name “ Tibio ”623 10.1111 The HP began to eliminate the Russian legal entity“ Eichpi Inc ”746 10.11“ Yandex Lavka ”plans to open Darkmalls 1738 09.11 Sades refused to satisfy the claim of the owner of the Samara shopping center against the Retail H&amp;M 1862 09/09/11 Fix PRICE approved the change Kazakhstan 944 everything News → Companies of the Companies of Yandex Markets Yandex Market Products from charitable foundations and their wards 196 Supplier Essen Production Agnchups and jams "Maheev" again became laureates of the Mark No. 1 in Russia-2023 345 Supplier Trinity Events Group23 Summit of the REMODIC The Retail Business Russia industry was held on October 26-27 in New Moscow-to Imperial Park Hotel &amp; SPA 254 Supplier MVK-International Exhibition Company Exhibitions Parking Russia 2023 already the next week on November 14-16 in the ex-center. 281 Supplier 1SKOCHONGENT “DIFFORRATING Day” 454 Supplier LLC “SP Group” announced laureates of the XIV Prize “Quality of Service and Consumer Rights” 538 Supplier Altaseils23–24 in Moscow in the Central House of Center will host a large business forum from niche experts-main 835 supplier Retail . Crownline conference on the topic "Trade equipment in retail: how has the pool of suppliers have changed what solutions are the retail?" 695 Supplier Tanuki “Tanuki” launched the new astrological menu 721 supplier “Retail of those” megaphorum - the territory of cooperation between the exchange of views and ideas! The Victory Victory Tails Network is tested by industrial exoskeletons 898 Tails Network Corporation Grinn Dolkin - a friendly discount opened in Tula 6164 Supplier of the GRASSASSV Russian CASS monitoring in stores 5364 Supplier Grassgrass: Consumer selection 1105 All news of the companies → Calendar of events14 - November 16, 2023 Networks Procurement Center ™ 14 - 16 - 16, 2023 32nd International Food Exhibition "Pet ... get a free ticket on November 16, 2023" Trade equipment in retail "to receive a free ticket on November 21 - 22, 2023 Bee -Together. ru receive a free ticket on November 23 - 24, 2023 Sales Main - November 30 - 30, 2023 International Forum Universe Ecom Convention 2023 ... Get free ticket all events → We recommend visiting a Center 4213 Supplier Register in our catalog: Supplier of the Dixie Supplier 2595kak “promote” the regional network of orthopedic salons: secrets from “health techniques” 2443 -visitor Burmatova - “my summer” on #Worldfoodmoscow 20232132 Video Ryabova Angela Director of the Magnita Discounters format Fedyakov Ivan Founder and head of the Infoline group of companies all persons → Books of Books was added to the basket Practice ... 1,200 rubles. Build sales in numbers: Planning ... 590 rubles. Buy arithmetic of the categorical manager ... 1,100 rubles. Buy food trade in ... 1,490 rubles. Buy a successful way to the retail network. ..590 rub. Buy a workman’s workshop: like a sore ... 699 rub. Buy all books → Video on Retail.ru new concept “Dixie” 2590 How to “promote” the regional network of orthopedic salons: Secrets from “Health Technology” 2438 Tatyana Kornienko - "Staldogs" on #Worldfood Moscow 2023 2084 All videos → Seminars30.11 Category Management- The first course according to the International Standard Catman 2.04retail Business School30.11 Opress and Management STM 4retal Business School30.11 Empress course "Construction" Construction "Construction" Construction "Construction" Construction Effective promo ”(specialist tariff) 4retail Business Schoolves Seminars → Obsoscot now dictates the conditions in the equipment market - sellers or buyers? The sellers of the Kuppetelina I know did not think of research and surveys of the news agaric for a week1. Russian manufacturers of household appliances began to transfer contract production from Turkey to China 62815 2. The second Russian supported the bill on the translation of all inscriptions and signs into Russian 47182 3. Ozon saw the threat of death of all business Models in the bill on the regulation of marketplaces 17697 4.Marks &amp; spencer increased net profit in the first half of the year by 75% 14753 5. The Russian Federations began to spend more borrowed money on the Gadgets 10131 top materials for the week1. Interview: Mikhail Goncharov “Teremok”: “I was I am sure that the business with pancakes will take place ”1485 2. Straight: the story of Walgreens: How did the pharmacy chain benefit from the dry law and suffered from pandemia? 1454 3. Case: Less loans and below interest payments: Il de Bote experience in using online tokassation C Moniron 1145 4. Recordication: Viola factory: Life with the new owner 650 5. Starts: ecotrandas of eastern and southeastern Asia 491 Read the News News Interview Cases Master classes Events Calendar Organizers of the Conference Exhibition Special Projects Transeminars Catalog of Educational Companies Teachers Video Books Top 10 Traffic without discounts? How to buy? Business Center for the business center Catalog of retail chains Catalog of suppliers Advertising for posting through banners Printed version Paid Content goods on the shelf personal cabinet purchases Subscription Reading Articles Interview Calers Calendar Organizers of the Conference Exhibition Special Projectives Teaching Teachers Catalogs of Video Books Books 10 traffic without discounts? How to buy? Business Center Business Center Business Center Catalog Catalog of Suppliers Advertising Advertising Application for Testy Banners Printed Version Paid Content Products on the Shelf Personal Account your purchases Subscribes Read Articles News Interview Calers Calendar Organizers Calendar Conference Special Projectives Teaching Seminaries Catalog of Educational Compans Video Books of the novelty top 10 traffic without discounts? How to buy? Business Center Business Center Business Center Catalog Catalog of Suppliers Advertising Advertising Application for Testy Banners Printing Version Paid Content Products to the Personal Account Personal Access Personal Subscribes to the retailer: Register the news of the trading network: Register the company's news: Register the news of the company Rorganizers of events: register the organizer Metest the Part of the Retail.ru project! VKontaktelegramyoutubeubeubeubeum-graders. Podkastyandyandx podcastle podcastss subscription to the use of materials from the website Retail.ru include video materials and materials from online measures are allowed only if the hyperchi is allowed On the material page on retail.ru in the first paragraph of the published text. © 1999–2023RETAIL.ru DECHEMISTICTION PRODUCTION INTRODUCTION OF THE Industry of retail industry The first! Choose that you are interested in and leave emails subscriptions daily newsstands of the Materials of the month of the month of the month and the event-a-term mailing houses for teaching smell *Subscribe to the button you give consent to the processing of your personal data. Using materials from the site Tail.ru Including video materials and materials from online events is allowed only if there is a hyperlink on the material page on retail.ru in the first paragraph of the published text. Want to receive the news of the retail industry? Choose that you are interested in leaving your email daily newsstands of the month of the month of the month of the month and the event-a-term mailing houses for training in the button, you consent to the processing of personnel datapublic-4028F2D809A09A040040052MI We use cookie files to make the use of our site more convenient. If you continue to use the site, we will assume that it suits you</v>
      </c>
    </row>
    <row r="588">
      <c r="A588" s="1" t="s">
        <v>1937</v>
      </c>
      <c r="B588" s="1" t="s">
        <v>1969</v>
      </c>
      <c r="C588" s="1" t="s">
        <v>1970</v>
      </c>
      <c r="D588" s="1">
        <v>11.0</v>
      </c>
      <c r="E588" s="4" t="s">
        <v>1971</v>
      </c>
      <c r="F588" s="1" t="s">
        <v>16</v>
      </c>
      <c r="I588" s="2">
        <v>3.0</v>
      </c>
      <c r="J588" s="5" t="str">
        <f>IFERROR(__xludf.DUMMYFUNCTION("GOOGLETRANSLATE(A588)"),"ozone")</f>
        <v>ozone</v>
      </c>
      <c r="K588" s="6" t="str">
        <f>IFERROR(__xludf.DUMMYFUNCTION("GOOGLETRANSLATE(B588)"),"Ozon - Latest news today")</f>
        <v>Ozon - Latest news today</v>
      </c>
      <c r="L588" s="5" t="str">
        <f>IFERROR(__xludf.DUMMYFUNCTION("GOOGLETRANSLATE(C588)"),"Ozon. Read the latest news on the topic in the news feed on the RIA Novosti website. Marketplais ""Megamarket"" presented an apartment from the group on its site ...")</f>
        <v>Ozon. Read the latest news on the topic in the news feed on the RIA Novosti website. Marketplais "Megamarket" presented an apartment from the group on its site ...</v>
      </c>
      <c r="M588" s="5" t="str">
        <f>IFERROR(__xludf.DUMMYFUNCTION("GOOGLETRANSLATE(G588)"),"#VALUE!")</f>
        <v>#VALUE!</v>
      </c>
    </row>
    <row r="589">
      <c r="A589" s="1" t="s">
        <v>1937</v>
      </c>
      <c r="B589" s="1" t="s">
        <v>1972</v>
      </c>
      <c r="C589" s="1" t="s">
        <v>1973</v>
      </c>
      <c r="D589" s="1">
        <v>12.0</v>
      </c>
      <c r="E589" s="4" t="s">
        <v>1974</v>
      </c>
      <c r="F589" s="1" t="s">
        <v>16</v>
      </c>
      <c r="G589" s="1" t="s">
        <v>336</v>
      </c>
      <c r="H589" s="4" t="s">
        <v>515</v>
      </c>
      <c r="I589" s="2">
        <v>3.0</v>
      </c>
      <c r="J589" s="5" t="str">
        <f>IFERROR(__xludf.DUMMYFUNCTION("GOOGLETRANSLATE(A589)"),"ozone")</f>
        <v>ozone</v>
      </c>
      <c r="K589" s="6" t="str">
        <f>IFERROR(__xludf.DUMMYFUNCTION("GOOGLETRANSLATE(B589)"),"Reviews about the store Ozon.ru")</f>
        <v>Reviews about the store Ozon.ru</v>
      </c>
      <c r="L589" s="5" t="str">
        <f>IFERROR(__xludf.DUMMYFUNCTION("GOOGLETRANSLATE(C589)"),"Reviews about the Ozon.ru store ... A week later, an order was canceled due to price raising? So the prices are constantly rising, that, cancel further. And I was waiting and did not know about the abolition ...")</f>
        <v>Reviews about the Ozon.ru store ... A week later, an order was canceled due to price raising? So the prices are constantly rising, that, cancel further. And I was waiting and did not know about the abolition ...</v>
      </c>
      <c r="M589" s="5" t="str">
        <f>IFERROR(__xludf.DUMMYFUNCTION("GOOGLETRANSLATE(G589)"),"Oh!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590">
      <c r="A590" s="1" t="s">
        <v>1937</v>
      </c>
      <c r="B590" s="1" t="s">
        <v>1975</v>
      </c>
      <c r="D590" s="1">
        <v>13.0</v>
      </c>
      <c r="E590" s="4" t="s">
        <v>1976</v>
      </c>
      <c r="F590" s="1" t="s">
        <v>16</v>
      </c>
      <c r="G590" s="1" t="s">
        <v>1977</v>
      </c>
      <c r="H590" s="1" t="s">
        <v>1978</v>
      </c>
      <c r="I590" s="2">
        <v>1.0</v>
      </c>
      <c r="J590" s="5" t="str">
        <f>IFERROR(__xludf.DUMMYFUNCTION("GOOGLETRANSLATE(A590)"),"ozone")</f>
        <v>ozone</v>
      </c>
      <c r="K590" s="6" t="str">
        <f>IFERROR(__xludf.DUMMYFUNCTION("GOOGLETRANSLATE(B590)"),"All about the OZON development team")</f>
        <v>All about the OZON development team</v>
      </c>
      <c r="L590" s="5" t="str">
        <f>IFERROR(__xludf.DUMMYFUNCTION("GOOGLETRANSLATE(C590)"),"#VALUE!")</f>
        <v>#VALUE!</v>
      </c>
      <c r="M590" s="5" t="str">
        <f>IFERROR(__xludf.DUMMYFUNCTION("GOOGLETRANSLATE(G590)"),"All about the development team of Ozon who is the Masten Sourceleration of the experience of the development of the development of the development and the Route 256 Vacasias who waspen Source is the experience of the development of the development of the "&amp;"development and the Route 256 Vacacation of the OZON Tech Development We do cool pieces and we are talking about this Conferences are a blog on Habre Conceptite in Open Source and much more. Enjoy! We use cookies to improve user experience. You can find o"&amp;"ut more about cookies here. Okhoklose we make a leading e-com in Russia so that millions of users can make hundreds of thousands of orders a day and receive them on time IT infrastructure and specialists who support all this. We solve really interesting h"&amp;"igh-haloads and use the best practices to build infrastructure that allows you to maintain projects beautifully and effectively. We confess the concept of a minimum of manual actions maximum automation. We confess the concept of a minimum of manual action"&amp;"s maximum automation. We confess the concept of a minimum of manual actions maximum automation. We confess the concept of a minimum of manual actions maximum automation. CTO Ozon Anton Stepanenko Center 3 microservice 4k during the days of sales 76K RPS t"&amp;"o permissible loads on microservice 300K RPS metrics collect from services and systems of 230m unique users 90M orders per minute during the sale of 60,000 goods per day sends a warehouse up to 3.7m orders per day 620k total The volume of analytical stora"&amp;"ge facilities PB 35 servers 6.1k 4000 ~ engineers in the team under our hood are all -backendfrontendmobileqainfrastrunservabservabylityjsx typescript vue.js java c# go python Swift Allelure Ci/ CD Nginx S3 K8S Docker MemCache Clickhouse PostgreSQL Kafka "&amp;"Airflow Hadoop Vertica Ceph Redis Opentelemetry 20 Graylog Grafana Jaeger 1c TSX Java C# Go JSX Typescript vue.js node.js tsx kotlin swift allpescript C# Pythinx S3 K8S Docker Kafka Airflow Hadoop Vertica Ceph Redis MemCeched Clickhouse PostgreSQL Graylog"&amp;" Grafana Jaeger Opentelemetry THNOS Prometheus tell Video chatting about all the six reasons why your A/B tests do not work what phasing is and why is it needed? View the All-Chide Guide for Ergonomics for the Workers of the IT industry Write Techno-Strac"&amp;"ks Misha Podgorny Head of the FrontenD-Platform Department Lev Savelyev Product Manager Samarina Samarina Samarina Samarina Samarina Samarina Samarina Platform BI Articles Articles QA GO MOBILOOD HIGHOHOLOAD DEVELOPMENT IT-IT-infrastructure IT- Infrastruc"&amp;"ture Development Management Highload articles Data We develop the internal communities Ozon Tech TuesdaysnoZon Tech All Handshakatons and contestive technical tacks and workshops of the engineering team for their own. We are talking about projects of tech"&amp;"nology processes and tools with moderate immersion in technical details. Ozon Tech Tuesdays Technical reports for internal communities (Go .NET FrontenD QA Product Data Science &amp; Ml Design Platform) where experts share their experience and talk about the "&amp;"latest innovations and plans. Inner mitaps are monthly short updates from managers and STO. Only the most important news for each Ozon Tech employee is aware of current processes and plans. Ozon Tech All Hands is arranging a challenge for our own: to draw"&amp;" a draw to sink ideas. Winners win worthy prizes and it is still fun and useful. Hakatons and competitions we perform and support mitaps and conferences organize mitaps for our Frontend Platform • JS in the marketing service • Video in the FrontenD Meetup"&amp;" Web October 27 View Record Set of Microservices “Need” Kafka component approach; The principles of the work of the source code of C# Meetup 24 to see the entry prioritization of projects • Analytical tools • Calculation of the potential of new initiative"&amp;"s Product Meetup 28 July Learning to learn themselves and teach others all those who are already growing, we work where we are conveniently working where we are conveniently working where we are conveniently working where we are convenient for us to make "&amp;"all the plush fact that Fakvs is still a buffet ... ... I will come to you to work for you: to send the idea by clicking “Send” I give consent to process personal data consent to compliance with the processing of personal data, I give consent To Ozon Tech"&amp;"nologies LLC (TIN 7703475603 123112, Moscow Presnenskaya Nab. 10 Public premises I of et. 41 rooms 7) (hereinafter referred to as the Operator) for automated as well as without using automation tools for the processing of the following personal data (here"&amp;"inafter in the text-consent): filled in the form of a fee (application with a questionnaire, etc.) under which a link to this consent is placed (hereinafter referred to as the form); my identifier (ID) as a user of the corresponding OZON web service (if a"&amp;"ny) . Personal data processing - feedback with me based on the results of filling the form. I am informed (a) that the processing of personal data refers to actions (operations) with personal data, including the collection record systematization, accumula"&amp;"tion storage clarification (renewal change) extraction use transfer (provision of access ) Blocking removal destruction of personal data. By transmitting personal data of a third party I confirm and guarantee the existence of a third party for such a data"&amp;" provision. Surgery is valid from the day it is submitted to the day of the recall in writing, but in any case no more than 1 (one) year from the date of provision. Consent can be used by direction Applications in the free form at the above address of the"&amp;" operator indicating in the text: data; data allowing to unambiguously identify the subject of personal data; information confirming participation in relations with the operator or in otherwise confirming the fact of processing personal data by the operat"&amp;"or; signature of a citizen (or his legal representative). Directions Development of LogisticsIzon growing multiplies from year to year. We are continuously scaling the technological support for this growth in particular we increase the business functional"&amp;"ity of logistics microservices and applications. In our department, more than 500 IT specialists who work to make millions of goods per day reach buyers along the fastest and optimal routes: from the moment the parcel in the warehouse to the courier is pr"&amp;"esented. Our tasks: couriers routing and mobile application for them; sorting on iron automated sorters; main traffic flows ""First Mile""; return stream; route card and calculation of delivery time; parcel control center; Sorting centers and TSD; a shipm"&amp;"ent zone at full films. Our systems should have a high degree of reliability. After all, any failure can lead to the fact that users will not receive their parcels, and a large number of employees of the warehouses of the sorting centers of the PVZ Courie"&amp;"rs of drivers and a number of others will not be able to do their work. High requirements for the level of load and failure tolerance are involved in the highest standards for the development and operation of services. We have modern stack: the main langu"&amp;"ages-C# and Go We live in several Data centers work with K8S PostgreSQL REDIS and MEMCACHED. We actively use asynchronous queues (namely Kafka) closely monitor the aircraft and metrics of service stability. Some components work under a high load (up to se"&amp;"veral tens of thousands of RPS) that forces us to think in advance about the correct architecture and horizontal scales. In more detail, the development of people make orders on the site and in the OZON application and receive their premises. Products are"&amp;" stored in dozens of warehouses. Take to store quickly collecting orders and send them to customers helps the warehouse management system - WMS (Warehouse Management System) which we have developed from scratch. WMS is a complex system that controls the o"&amp;"peration of many warehouses. Thousands of employees work with it and how understandable interfaces depends on the number of errors and, ultimately, the performance of the warehouse. Our warehouse management system is built on microservice architecture and"&amp;" works on the K8S cluster distributed between several dates-prets. It consists of more than a hundred services on the .NET CORE that store data in the PostgreSQL databases interact through GRPC and exchange messages through Kafka. Separate components of t"&amp;"he system are processed from 1000 to 100,000 requests per second. The system operates 24/7 and in warehouses under its management, goods are stored for billions of rubles, therefore, the stability and speed of WMS are very important. Read the development "&amp;"of search technologies we develop services that form search results and recommendations for customers and provide analytical tools to sellers. Our team has a bacand-developers (Java C# Python) front-end developers Datasentists Analysts Testers (GO Python "&amp;"Typescript) and product managers. They are working on different parts of one large task: with a radimen search by indexation of goods by ranking the issuance of commodity recommendations by search prompts with the correction of typos. Search is a highly l"&amp;"oaded and fault -resistant system. We devote a lot of time to the design of architecture and optimize algorithms to maintain a business growth, preserving high quality. In 2021, we completed the development of our own O2 search engine, which improved perf"&amp;"ormance by an order of magnitude and provided more flexibility in the development of our own solutions. But architecture is far from what is the search team. We are constantly improving the product and UX we invest a lot of effort in the development of ML"&amp;"-rating we instilate into analytics and carry out many A/B experiments. We have many tasks that use interesting data structures and algorithms, for example, Bloom filters Lru Trie Hyperloglog and Ringbuffers. In addition to the main tasks of improving the"&amp;" search and ranking of goods, there are many related ones: fixing typos search clues (Suggests) predicting the product category for search queries and other NLP elements. We do not dwell on what has been achieved - there are still many ambitious tasks ahe"&amp;"ad of us. The development of the platform of the Platform is a backend for backend: we are developing our own projects for colleague developers and managing the OZON infrastructure. What does the platform consist of? Basic infrastructure. We solve a low-l"&amp;"evel problem: we open the data centers purchase servers, we provide their logistics switch the switching of the network architecture. We have one of the largest IT infrastructures in Russia: our server park consists of more than 2500 servers, several tens"&amp;" of thousands of nuclei of which execute the code of more than a thousand applications. Virtualization and containerization. On top of iron machines, we build a virtual layer that allows you to use the resources more efficiently using Kubernetes for State"&amp;"less Applications and our own virtualization and a seduler for databases. Services. We develop technological products the purpose of which is to ensure autonomy when using them by developers without involving system administrators and other specialists: d"&amp;"ata storage database of data exchange tire analytical tools. Private examples of the technologies that we bring to the inner cloud are postgreSQL Clickhouse CepH Redis Memcted Kafka. Landing platforms and telemetry. We are developing basic libraries and f"&amp;"rameworks (on Go C# Typescript) which are used by thousands of developers of employees in Ozon projects and also create and develop effective means of tracing logging and working with distributed databases. Applications. Our customers are the developers o"&amp;"f the company. We create internal services with convenient interfaces for automating different tasks of engineers for example: an internal cloud - for ordering internal resources and infrastructure; Main - for route work; and a number of others. In additi"&amp;"on to the development of services, we build soldering codes from DEV-A to sell with unified Floo as well as with the addition of various kinds of features such as Canary Deployment. Analyst. In the direction of the analytics, the main functions for buildi"&amp;"ng automated data collection and the provision of windows to the customer have united. We operate and develop the Hadoop Vertica Superset create data delivery and storage tools. Our department has more than 350 specialists, among whom there are many exper"&amp;"ts with experience in building public clouds of storage and databases. Our solutions are checked in battle by one of the largest E-Com services in Russia. It is easy to imagine how promising such work is in the sense of professional and personal growth. W"&amp;"e are developing in more details and accounting systems for the ERP system for taking into account business transactions of calculations with counterparties and customers of the formation of IFRS/RUSSUs. Key users are the financial department for us. For "&amp;"many OZON systems, we provide interfaces for interaction. Given the fact that Ozon has dozens of large warehouse complexes across the country as well as thousands of mini-sustrades Ozon Fresh points for issuing orders of the couriers postmates Cleaning of"&amp;" accounting and significant events for goods are turned into an interesting and difficult task both from the engineering side and from the business logo . For example, we help the company keep granular accounting at the level of copies. That is, for each "&amp;"pencil on the shelf of the warehouse, we can tell its accounting story: where did it come from how it moved between the warehouses where it was ultimately delivered. The result of our work is the correct initial data on which the financial and management "&amp;"reporting of the company is built. We have assembled a strong engineering team. We switched to microservice architecture to support the fast -growing Ozon business. Horizontal scaling of failure tolerance Domain Driven Design Event Sourcing CQRS Highload "&amp;"is what we really work with every day. Read more Tuning School Administration is responsible for the development of tools that our buyers and sellers actively use. This includes absolutely everything you need so that the seller can offer the goods or serv"&amp;"ice and the buyer is to make an order. After placing the order, the site resorts to the services of warehouse and logistics infrastructure to ensure the transfer of goods from hand to hand. The trading platform includes: website and mobile application Ozo"&amp;"n; Search and recommendations of the seller’s tools collected in the Unified office of the management; marketing tools; tools for the interaction of a trading platform with logistics and warehouse operators; tools for number centers; tools for third parti"&amp;"es on the marketplace who are not sellers or buyers; platform for completing tasks self -employed; Analysis of the prices and assortment of competitors; and much more. Ahead of us is a lot of ambitious tasks: to enter foreign markets that implies great pr"&amp;"eparatory work - from storing personal data to support for document management, taking into account legislations of different countries. To release a CRM system for the teams of attracting and developing sellers. Improve chat bout. We introduce a new reco"&amp;"gnition of the text and increase the share of tasks closed by the chatbot and also reduce the volume of operators due to the integration of the CRM system with the knowledge base and ML technologies. Accelerate the seller’s path: give the opportunity to s"&amp;"ell your goods five minutes after registration. Ensure the safety of transactions on the site due to automatic suppression of illegal actions of users. Expand the list and depth of market monitoring. This leads to an increase in the volume of data that we"&amp;" process in stream mode. Details Service Service Team for Internal Services are working on incident management specialists developers Technical writers Administrators JIRA and specialists in monitoring information systems Ozon Travel. Incident management "&amp;"specialists around the clock support the operation of OZON systems and eliminate the causes of failures. They help employees of the company if they have questions regarding internal services or errors happen. In the Department of Internal Services, the sy"&amp;"stems and portals are developed by OZON employees, for example, the system for the selection and adaptation of personnel of the internal portal of the company and the training platform. Technical writers create instructions for both OZON users and for dev"&amp;"elopers within the company. The department is engaged in the development of documentation platforms and supports stylgaids for the texts of the company. Jira administrators help employees automate personnel logistics and other processes using Jira and Con"&amp;"fluence. Ozon Travel information monitoring specialists create and update dashboards for monitoring systems. With their help, the dynamics of ticket sales are monitored and the receipt of payments is monitored by the operation of the servers and work with"&amp;" the GDS (global distribution system). In the work, we use Groovy Python PowerShell Prometheus Grama Git Jira SQL. Details of the unit IT-system is the task of the unit-ensuring the non-precise operation of internal IT systems of user and production equip"&amp;"ment. Our team carries out technical support of local employees in the administration of internal systems is responsible for the full life cycle of corporate equipment and software. Subject to the products and technologies of its own saleswoman provides b"&amp;"usiness management tools at all stages of the life cycle of goods: Conclusion on the market content Consistent Marketing Purchases of Sales Internal accounting and much more. Work in the department is underway in grocery teams. A relatively young unit wil"&amp;"l be interesting to those who want to create architecture from scratch and participate in building processes. There are several departments in the structure of the Department: Content and Trade Management; departments of inventories; management of foreign"&amp;" economic activity; external relations management; automation of business processes; data modeling and processing. More information security of information security is defending data from unauthorized access of disclosure of destruction of destruction. We"&amp;" are working in several areas: product security; infrastructure safety; compliance with regulators; Automation of security services and SOC. More details of Route Start’s more detailed tests are the ability to immerse yourself in product development to wo"&amp;"rk on living tasks and adopt the experience of mentors. According to the results of the paid internship, we offer to join the team. Route 256 Free training for Middle developers from Ozon Tech mentors in the areas of Go C# Vue.js Qa Mobile. At the results"&amp;" of training the offfer are the best graduates. View Ozon Tech Vacancies almost 4,000 engineers in hundreds of cross-functional teams. We continue to grow in Ozon Tech, almost 4,000 engineers in hundreds of cross-functional teams work and we continue to g"&amp;"row in Ozon Tech engineers in hundreds of cross-functional teams, we continue to grow © 1998 - Route 256 internship materials Ozon Tech Ozon Job Conditions for Personal Data Processing 2025 Information about the company Ozon Technology LLC. All rights are"&amp;" protected *Personal data are published in accordance with Article 10.1 of the Federal Law of the Russian Federation No. 152-ФЗ dated July 27, 2006. ""On personal data"" with the consent of the subject. Any other processing, including the further distribu"&amp;"tion of personal data, is prohibited by third parties.")</f>
        <v>All about the development team of Ozon who is the Masten Sourceleration of the experience of the development of the development of the development and the Route 256 Vacasias who waspen Source is the experience of the development of the development of the development and the Route 256 Vacacation of the OZON Tech Development We do cool pieces and we are talking about this Conferences are a blog on Habre Conceptite in Open Source and much more. Enjoy! We use cookies to improve user experience. You can find out more about cookies here. Okhoklose we make a leading e-com in Russia so that millions of users can make hundreds of thousands of orders a day and receive them on time IT infrastructure and specialists who support all this. We solve really interesting high-haloads and use the best practices to build infrastructure that allows you to maintain projects beautifully and effectively. We confess the concept of a minimum of manual actions maximum automation. We confess the concept of a minimum of manual actions maximum automation. We confess the concept of a minimum of manual actions maximum automation. We confess the concept of a minimum of manual actions maximum automation. CTO Ozon Anton Stepanenko Center 3 microservice 4k during the days of sales 76K RPS to permissible loads on microservice 300K RPS metrics collect from services and systems of 230m unique users 90M orders per minute during the sale of 60,000 goods per day sends a warehouse up to 3.7m orders per day 620k total The volume of analytical storage facilities PB 35 servers 6.1k 4000 ~ engineers in the team under our hood are all -backendfrontendmobileqainfrastrunservabservabylityjsx typescript vue.js java c# go python Swift Allelure Ci/ CD Nginx S3 K8S Docker MemCache Clickhouse PostgreSQL Kafka Airflow Hadoop Vertica Ceph Redis Opentelemetry 20 Graylog Grafana Jaeger 1c TSX Java C# Go JSX Typescript vue.js node.js tsx kotlin swift allpescript C# Pythinx S3 K8S Docker Kafka Airflow Hadoop Vertica Ceph Redis MemCeched Clickhouse PostgreSQL Graylog Grafana Jaeger Opentelemetry THNOS Prometheus tell Video chatting about all the six reasons why your A/B tests do not work what phasing is and why is it needed? View the All-Chide Guide for Ergonomics for the Workers of the IT industry Write Techno-Stracks Misha Podgorny Head of the FrontenD-Platform Department Lev Savelyev Product Manager Samarina Samarina Samarina Samarina Samarina Samarina Samarina Platform BI Articles Articles QA GO MOBILOOD HIGHOHOLOAD DEVELOPMENT IT-IT-infrastructure IT- Infrastructure Development Management Highload articles Data We develop the internal communities Ozon Tech TuesdaysnoZon Tech All Handshakatons and contestive technical tacks and workshops of the engineering team for their own. We are talking about projects of technology processes and tools with moderate immersion in technical details. Ozon Tech Tuesdays Technical reports for internal communities (Go .NET FrontenD QA Product Data Science &amp; Ml Design Platform) where experts share their experience and talk about the latest innovations and plans. Inner mitaps are monthly short updates from managers and STO. Only the most important news for each Ozon Tech employee is aware of current processes and plans. Ozon Tech All Hands is arranging a challenge for our own: to draw a draw to sink ideas. Winners win worthy prizes and it is still fun and useful. Hakatons and competitions we perform and support mitaps and conferences organize mitaps for our Frontend Platform • JS in the marketing service • Video in the FrontenD Meetup Web October 27 View Record Set of Microservices “Need” Kafka component approach; The principles of the work of the source code of C# Meetup 24 to see the entry prioritization of projects • Analytical tools • Calculation of the potential of new initiatives Product Meetup 28 July Learning to learn themselves and teach others all those who are already growing, we work where we are conveniently working where we are conveniently working where we are conveniently working where we are convenient for us to make all the plush fact that Fakvs is still a buffet ... ... I will come to you to work for you: to send the idea by clicking “Send” I give consent to process personal data consent to compliance with the processing of personal data, I give consent To Ozon Technologies LLC (TIN 7703475603 123112, Moscow Presnenskaya Nab. 10 Public premises I of et. 41 rooms 7) (hereinafter referred to as the Operator) for automated as well as without using automation tools for the processing of the following personal data (hereinafter in the text-consent): filled in the form of a fee (application with a questionnaire, etc.) under which a link to this consent is placed (hereinafter referred to as the form); my identifier (ID) as a user of the corresponding OZON web service (if any) . Personal data processing - feedback with me based on the results of filling the form. I am informed (a) that the processing of personal data refers to actions (operations) with personal data, including the collection record systematization, accumulation storage clarification (renewal change) extraction use transfer (provision of access ) Blocking removal destruction of personal data. By transmitting personal data of a third party I confirm and guarantee the existence of a third party for such a data provision. Surgery is valid from the day it is submitted to the day of the recall in writing, but in any case no more than 1 (one) year from the date of provision. Consent can be used by direction Applications in the free form at the above address of the operator indicating in the text: data; data allowing to unambiguously identify the subject of personal data; information confirming participation in relations with the operator or in otherwise confirming the fact of processing personal data by the operator; signature of a citizen (or his legal representative). Directions Development of LogisticsIzon growing multiplies from year to year. We are continuously scaling the technological support for this growth in particular we increase the business functionality of logistics microservices and applications. In our department, more than 500 IT specialists who work to make millions of goods per day reach buyers along the fastest and optimal routes: from the moment the parcel in the warehouse to the courier is presented. Our tasks: couriers routing and mobile application for them; sorting on iron automated sorters; main traffic flows "First Mile"; return stream; route card and calculation of delivery time; parcel control center; Sorting centers and TSD; a shipment zone at full films. Our systems should have a high degree of reliability. After all, any failure can lead to the fact that users will not receive their parcels, and a large number of employees of the warehouses of the sorting centers of the PVZ Couriers of drivers and a number of others will not be able to do their work. High requirements for the level of load and failure tolerance are involved in the highest standards for the development and operation of services. We have modern stack: the main languages-C# and Go We live in several Data centers work with K8S PostgreSQL REDIS and MEMCACHED. We actively use asynchronous queues (namely Kafka) closely monitor the aircraft and metrics of service stability. Some components work under a high load (up to several tens of thousands of RPS) that forces us to think in advance about the correct architecture and horizontal scales. In more detail, the development of people make orders on the site and in the OZON application and receive their premises. Products are stored in dozens of warehouses. Take to store quickly collecting orders and send them to customers helps the warehouse management system - WMS (Warehouse Management System) which we have developed from scratch. WMS is a complex system that controls the operation of many warehouses. Thousands of employees work with it and how understandable interfaces depends on the number of errors and, ultimately, the performance of the warehouse. Our warehouse management system is built on microservice architecture and works on the K8S cluster distributed between several dates-prets. It consists of more than a hundred services on the .NET CORE that store data in the PostgreSQL databases interact through GRPC and exchange messages through Kafka. Separate components of the system are processed from 1000 to 100,000 requests per second. The system operates 24/7 and in warehouses under its management, goods are stored for billions of rubles, therefore, the stability and speed of WMS are very important. Read the development of search technologies we develop services that form search results and recommendations for customers and provide analytical tools to sellers. Our team has a bacand-developers (Java C# Python) front-end developers Datasentists Analysts Testers (GO Python Typescript) and product managers. They are working on different parts of one large task: with a radimen search by indexation of goods by ranking the issuance of commodity recommendations by search prompts with the correction of typos. Search is a highly loaded and fault -resistant system. We devote a lot of time to the design of architecture and optimize algorithms to maintain a business growth, preserving high quality. In 2021, we completed the development of our own O2 search engine, which improved performance by an order of magnitude and provided more flexibility in the development of our own solutions. But architecture is far from what is the search team. We are constantly improving the product and UX we invest a lot of effort in the development of ML-rating we instilate into analytics and carry out many A/B experiments. We have many tasks that use interesting data structures and algorithms, for example, Bloom filters Lru Trie Hyperloglog and Ringbuffers. In addition to the main tasks of improving the search and ranking of goods, there are many related ones: fixing typos search clues (Suggests) predicting the product category for search queries and other NLP elements. We do not dwell on what has been achieved - there are still many ambitious tasks ahead of us. The development of the platform of the Platform is a backend for backend: we are developing our own projects for colleague developers and managing the OZON infrastructure. What does the platform consist of? Basic infrastructure. We solve a low-level problem: we open the data centers purchase servers, we provide their logistics switch the switching of the network architecture. We have one of the largest IT infrastructures in Russia: our server park consists of more than 2500 servers, several tens of thousands of nuclei of which execute the code of more than a thousand applications. Virtualization and containerization. On top of iron machines, we build a virtual layer that allows you to use the resources more efficiently using Kubernetes for Stateless Applications and our own virtualization and a seduler for databases. Services. We develop technological products the purpose of which is to ensure autonomy when using them by developers without involving system administrators and other specialists: data storage database of data exchange tire analytical tools. Private examples of the technologies that we bring to the inner cloud are postgreSQL Clickhouse CepH Redis Memcted Kafka. Landing platforms and telemetry. We are developing basic libraries and frameworks (on Go C# Typescript) which are used by thousands of developers of employees in Ozon projects and also create and develop effective means of tracing logging and working with distributed databases. Applications. Our customers are the developers of the company. We create internal services with convenient interfaces for automating different tasks of engineers for example: an internal cloud - for ordering internal resources and infrastructure; Main - for route work; and a number of others. In addition to the development of services, we build soldering codes from DEV-A to sell with unified Floo as well as with the addition of various kinds of features such as Canary Deployment. Analyst. In the direction of the analytics, the main functions for building automated data collection and the provision of windows to the customer have united. We operate and develop the Hadoop Vertica Superset create data delivery and storage tools. Our department has more than 350 specialists, among whom there are many experts with experience in building public clouds of storage and databases. Our solutions are checked in battle by one of the largest E-Com services in Russia. It is easy to imagine how promising such work is in the sense of professional and personal growth. We are developing in more details and accounting systems for the ERP system for taking into account business transactions of calculations with counterparties and customers of the formation of IFRS/RUSSUs. Key users are the financial department for us. For many OZON systems, we provide interfaces for interaction. Given the fact that Ozon has dozens of large warehouse complexes across the country as well as thousands of mini-sustrades Ozon Fresh points for issuing orders of the couriers postmates Cleaning of accounting and significant events for goods are turned into an interesting and difficult task both from the engineering side and from the business logo . For example, we help the company keep granular accounting at the level of copies. That is, for each pencil on the shelf of the warehouse, we can tell its accounting story: where did it come from how it moved between the warehouses where it was ultimately delivered. The result of our work is the correct initial data on which the financial and management reporting of the company is built. We have assembled a strong engineering team. We switched to microservice architecture to support the fast -growing Ozon business. Horizontal scaling of failure tolerance Domain Driven Design Event Sourcing CQRS Highload is what we really work with every day. Read more Tuning School Administration is responsible for the development of tools that our buyers and sellers actively use. This includes absolutely everything you need so that the seller can offer the goods or service and the buyer is to make an order. After placing the order, the site resorts to the services of warehouse and logistics infrastructure to ensure the transfer of goods from hand to hand. The trading platform includes: website and mobile application Ozon; Search and recommendations of the seller’s tools collected in the Unified office of the management; marketing tools; tools for the interaction of a trading platform with logistics and warehouse operators; tools for number centers; tools for third parties on the marketplace who are not sellers or buyers; platform for completing tasks self -employed; Analysis of the prices and assortment of competitors; and much more. Ahead of us is a lot of ambitious tasks: to enter foreign markets that implies great preparatory work - from storing personal data to support for document management, taking into account legislations of different countries. To release a CRM system for the teams of attracting and developing sellers. Improve chat bout. We introduce a new recognition of the text and increase the share of tasks closed by the chatbot and also reduce the volume of operators due to the integration of the CRM system with the knowledge base and ML technologies. Accelerate the seller’s path: give the opportunity to sell your goods five minutes after registration. Ensure the safety of transactions on the site due to automatic suppression of illegal actions of users. Expand the list and depth of market monitoring. This leads to an increase in the volume of data that we process in stream mode. Details Service Service Team for Internal Services are working on incident management specialists developers Technical writers Administrators JIRA and specialists in monitoring information systems Ozon Travel. Incident management specialists around the clock support the operation of OZON systems and eliminate the causes of failures. They help employees of the company if they have questions regarding internal services or errors happen. In the Department of Internal Services, the systems and portals are developed by OZON employees, for example, the system for the selection and adaptation of personnel of the internal portal of the company and the training platform. Technical writers create instructions for both OZON users and for developers within the company. The department is engaged in the development of documentation platforms and supports stylgaids for the texts of the company. Jira administrators help employees automate personnel logistics and other processes using Jira and Confluence. Ozon Travel information monitoring specialists create and update dashboards for monitoring systems. With their help, the dynamics of ticket sales are monitored and the receipt of payments is monitored by the operation of the servers and work with the GDS (global distribution system). In the work, we use Groovy Python PowerShell Prometheus Grama Git Jira SQL. Details of the unit IT-system is the task of the unit-ensuring the non-precise operation of internal IT systems of user and production equipment. Our team carries out technical support of local employees in the administration of internal systems is responsible for the full life cycle of corporate equipment and software. Subject to the products and technologies of its own saleswoman provides business management tools at all stages of the life cycle of goods: Conclusion on the market content Consistent Marketing Purchases of Sales Internal accounting and much more. Work in the department is underway in grocery teams. A relatively young unit will be interesting to those who want to create architecture from scratch and participate in building processes. There are several departments in the structure of the Department: Content and Trade Management; departments of inventories; management of foreign economic activity; external relations management; automation of business processes; data modeling and processing. More information security of information security is defending data from unauthorized access of disclosure of destruction of destruction. We are working in several areas: product security; infrastructure safety; compliance with regulators; Automation of security services and SOC. More details of Route Start’s more detailed tests are the ability to immerse yourself in product development to work on living tasks and adopt the experience of mentors. According to the results of the paid internship, we offer to join the team. Route 256 Free training for Middle developers from Ozon Tech mentors in the areas of Go C# Vue.js Qa Mobile. At the results of training the offfer are the best graduates. View Ozon Tech Vacancies almost 4,000 engineers in hundreds of cross-functional teams. We continue to grow in Ozon Tech, almost 4,000 engineers in hundreds of cross-functional teams work and we continue to grow in Ozon Tech engineers in hundreds of cross-functional teams, we continue to grow © 1998 - Route 256 internship materials Ozon Tech Ozon Job Conditions for Personal Data Processing 2025 Information about the company Ozon Technology LLC. All rights are protected *Personal data are published in accordance with Article 10.1 of the Federal Law of the Russian Federation No. 152-ФЗ dated July 27, 2006. "On personal data" with the consent of the subject. Any other processing, including the further distribution of personal data, is prohibited by third parties.</v>
      </c>
    </row>
    <row r="591">
      <c r="A591" s="1" t="s">
        <v>1937</v>
      </c>
      <c r="B591" s="1" t="s">
        <v>1979</v>
      </c>
      <c r="D591" s="1">
        <v>14.0</v>
      </c>
      <c r="E591" s="4" t="s">
        <v>1980</v>
      </c>
      <c r="F591" s="1" t="s">
        <v>16</v>
      </c>
      <c r="I591" s="2">
        <v>1.0</v>
      </c>
      <c r="J591" s="5" t="str">
        <f>IFERROR(__xludf.DUMMYFUNCTION("GOOGLETRANSLATE(A591)"),"ozone")</f>
        <v>ozone</v>
      </c>
      <c r="K591" s="6" t="str">
        <f>IFERROR(__xludf.DUMMYFUNCTION("GOOGLETRANSLATE(B591)"),"Reviews about Ozon.ru - online store")</f>
        <v>Reviews about Ozon.ru - online store</v>
      </c>
      <c r="L591" s="5" t="str">
        <f>IFERROR(__xludf.DUMMYFUNCTION("GOOGLETRANSLATE(C591)"),"#VALUE!")</f>
        <v>#VALUE!</v>
      </c>
      <c r="M591" s="5" t="str">
        <f>IFERROR(__xludf.DUMMYFUNCTION("GOOGLETRANSLATE(G591)"),"#VALUE!")</f>
        <v>#VALUE!</v>
      </c>
    </row>
    <row r="592">
      <c r="A592" s="1" t="s">
        <v>1937</v>
      </c>
      <c r="B592" s="1" t="s">
        <v>1981</v>
      </c>
      <c r="C592" s="1" t="s">
        <v>153</v>
      </c>
      <c r="D592" s="1">
        <v>15.0</v>
      </c>
      <c r="E592" s="4" t="s">
        <v>1982</v>
      </c>
      <c r="F592" s="1" t="s">
        <v>16</v>
      </c>
      <c r="G592" s="1" t="s">
        <v>38</v>
      </c>
      <c r="H592" s="4" t="s">
        <v>39</v>
      </c>
      <c r="I592" s="2">
        <v>1.0</v>
      </c>
      <c r="J592" s="5" t="str">
        <f>IFERROR(__xludf.DUMMYFUNCTION("GOOGLETRANSLATE(A592)"),"ozone")</f>
        <v>ozone</v>
      </c>
      <c r="K592" s="6" t="str">
        <f>IFERROR(__xludf.DUMMYFUNCTION("GOOGLETRANSLATE(B592)"),"Successful purchases for home with Ozon")</f>
        <v>Successful purchases for home with Ozon</v>
      </c>
      <c r="L592" s="5" t="str">
        <f>IFERROR(__xludf.DUMMYFUNCTION("GOOGLETRANSLATE(C592)"),"3 days ago -")</f>
        <v>3 days ago -</v>
      </c>
      <c r="M592" s="5" t="str">
        <f>IFERROR(__xludf.DUMMYFUNCTION("GOOGLETRANSLATE(G592)"),"YouTubeAboutPressCopyrightContact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593">
      <c r="A593" s="1" t="s">
        <v>1937</v>
      </c>
      <c r="B593" s="1" t="s">
        <v>1983</v>
      </c>
      <c r="C593" s="1" t="s">
        <v>1984</v>
      </c>
      <c r="D593" s="1">
        <v>16.0</v>
      </c>
      <c r="E593" s="4" t="s">
        <v>1985</v>
      </c>
      <c r="F593" s="1" t="s">
        <v>16</v>
      </c>
      <c r="G593" s="1" t="s">
        <v>614</v>
      </c>
      <c r="H593" s="4" t="s">
        <v>615</v>
      </c>
      <c r="I593" s="2">
        <v>0.0</v>
      </c>
      <c r="J593" s="5" t="str">
        <f>IFERROR(__xludf.DUMMYFUNCTION("GOOGLETRANSLATE(A593)"),"ozone")</f>
        <v>ozone</v>
      </c>
      <c r="K593" s="6" t="str">
        <f>IFERROR(__xludf.DUMMYFUNCTION("GOOGLETRANSLATE(B593)"),"Buy Ozon Holdings PLC (Ozon) shares")</f>
        <v>Buy Ozon Holdings PLC (Ozon) shares</v>
      </c>
      <c r="L593" s="5" t="str">
        <f>IFERROR(__xludf.DUMMYFUNCTION("GOOGLETRANSLATE(C593)"),"Ozon Holdings PLC (OZON) shares for today. The price of the purchase and sale of securities (OZON) to individuals online. Ozon Holdings PLC quotes on ...")</f>
        <v>Ozon Holdings PLC (OZON) shares for today. The price of the purchase and sale of securities (OZON) to individuals online. Ozon Holdings PLC quotes on ...</v>
      </c>
      <c r="M593" s="5" t="str">
        <f>IFERROR(__xludf.DUMMYFUNCTION("GOOGLETRANSLATE(G593)"),"Tinkoff - credit and debit cards loans for business and individuals for the correct operation of the bank’s services, it is necessary to enable support to JavaScript persons for life to miss the cardcredit cards of the Card Card Card Signature Procedure O"&amp;"rphanage Simcoelectronic Simcatararifferavity Iat the money to any purpose on the collateral of real estate machine Real Estate Refine the credit under the key to the key to the auto -tank -raising accountant to investing score -core -scatalog Market teac"&amp;"hing for investors in terms of Terminaline Cooppyl Culpcrapel Pauls of therass Rousscadolicadolmark is to install insurance cascaps of the Keep -coat -alerture producers for the Roads of the Products of the Khvakinotyatryasalons of the Beauty Bliblogdliyb"&amp;"ildliybildliybildiytatelnatorskii/D Tylets for Travelers of the Stuffing Part Kavtovtsymokhoplivoykhovykhovo-Sobeskoye under DTKART for automotivelistovatokreditovanovanimi business BUSINESS BUSINESS BUSINESSE for the Small Business Account IPROMENTARY AN"&amp;"DPORT OF LLCTIRARIBYBUSTALUTALITARY OF CARTALUTALITARY BUSTSITS AND OVERNAITION OF BUSINESS PROGRASTION OF SUPPLISTION OF THE CROP For OOO, turn-the-road crediterderdraftate-reception lines of the payment of the Paying Acquiringinternet-AC Payments on Qro"&amp;"nline Casserosrossymochdolyamitinkoff Paybonuses for BUSINESS BUSINESS PARTERICIAL STORMARICARTSISTRICARTYSELLERSELLERALLERALLERARETER OF SAITS-ZAKUPEKIKELECTRONAL signature of counterparties for a large business accounting-card of cardiacs according to 1"&amp;"15-fostering reinforcements and Ecommercezerzelznitsa-Credituitual Project vehicle payments for self-employees with self-employees of individuals payments of taxi parking of a pawnshopposure of Mfogogoskupkupkipper account of the payroll ecviringinterinet"&amp;"-ACCOVIRINGPOS-TRADING PAYOFF PAYFF PAYABLIA Resolve Koruskoff will be responding to a partner density and overnights for business verification of counterparty premium-dimensor-premium to miss the card-to-the-service investment for life for life, the help"&amp;" of the help of the investment on taxprivate services for life consumption for Private Talksheposhepo Leznoecurs Valyutbankomata Tinkoffinkoff Pay Payage Continuations Tinkofoff is correctly entrusted by the current situations for product workings for Tin"&amp;"koff work to ITBUSTRISS AND Processing with client -Tink -dealerships of the Options of the Ovoltable Verozhot. What is the newcomer all the construction of customers Cabinetinernet-Bankinvestincoff Mobilltinkoff businessform to Tinkoff with a profitabili"&amp;"ty of up to 15% of the per annum of the annual sub-terminal card recommended by your friends of the ruble up to 30% to 5% per annum of the annual translations without commissioning cardcredit cards of the Credit of the Credit. the attachment of the recomm"&amp;"ended product card with free maintenance of Tinkoff Platinum until November 30 and do not pay for Serving the CartoTinkoff investment of the investment tariffs and the convenient attach to the investor card Tinkoff-patch for free: the telephone secretary "&amp;"Oleg 600 minutes 20 GB vocabulary, start a contribution with replenishment and partial withdrawal. Each month, receive interest on a card or deposit insemination of an inspections with an online calculator and discounts (KBM) for trouble-free, the cost of"&amp;" the products is trusted by more than 38 million customers of the Bank of the Year Bank Bank. Rutinkoff was recognized as the best in the following categories: “Care of Client ""Digital Bank of the Year"" ""Investment Company of the Year"" ""Investment Pr"&amp;"oduct of the Year"" ""Folk rating of insurance companies"" Details and Currency Curries between their accounts Payment for services and the removal of cash services Tinkoff examination of cash with Tinkoff ATss without a commission. И без карты если у вас"&amp;"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кэшб"&amp;"экаПопробоватьМобильное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Decem"&amp;"ber 31 and participate in the rally in details of deposits in rubles up to 141% how to get the maximum headquarters of cashback of the day, Tinkyfr »IPhone and returned to 100% expenditure1 000 000 ₽ for a trip to the trip, form a tourist insurance in Tin"&amp;"koff and participate in the drawing of priestly articles and news - on the blog Tinkoff work and developing your or other city, to take a vacancies, the formation of educational courses and paid development programs for the development F magazine Secret U"&amp;"nions of how to conduct business in Russia to be more fully fulfilled by the filling of full-wrapping in all products on all products in the product in the product of Tinkoff products Restaurants Services and Brands based on real reviews of retrieval holi"&amp;"days in 2023 year-Great Line for providing vacation for participants in their families: 8,800 555-89-77 more in more and more Correct. SK answers to questions of the Po-UskiSkakak write to the chatenstac to download the appendix to enter the personal tran"&amp;"smission of the transmission of the transfer of the transfer to write off the certificate or extract8 800 333-33-33-33 days of calls on the Russian-loop card-densium cards-refuketing, the Automobile Credit of the Authority of the Pro Tinkoff Private -Over"&amp;"puts of Opeling Oo -Sochasco on subscription to the border of Russia -Keep -Classure Predructions Apri -Bi -Vevybiytytytychitotnaturezh/D ticketsTinkoff Software, speech -making, business -consumer counter -regional Skupkupkupkuphkuphightihgaliyabovnia -C"&amp;"artadesityrassprochochkrochkroke of counterparties for businesscaedal-building products of food and orienteatrateatrateratechystavsalones of Beautiful-fuel-Avtopoiliblogloglogloglogs collection collection Pulcollectic collection Juniorfino T-monopolis Tin"&amp;"koffcoforo Tinkoff Gorodbol Shoy Business accountservices for paymentcore ecrings-editions-eedgosykupovusiness-regulations-regions-tinkoff datatinkoff Idtinkoff Casseter-Acquirital cassation, re-investment grab dulls for card-free-grade solutions for QR-c"&amp;"odes-inspection transpondumure KOFF PAIT COMPORTANT TINKOFF IDDENTIONS with Tinkoff Id Paypery Card-Cardioblog Polar-West Carrier-Brinder accounting auspremacy of the vocal-vileagstiligo-pupil of therapils Strategramminolcademia of investment-cardsimtarif"&amp;"ymarifystyumenos. Number-painting Number-sabotage number of Olegtktktkom Zhelnizhnizhnizhnizhchikatimi or refusal money-wrapping in the ITS Entamio Bankenovostiglobrabotatchki replenishment of the Bank of the Currency Counsers of the Contact Serving of th"&amp;"e Investors Centers Center of Corporate Information Information on interest rates under bank deposit agreements from the physical personnel of information by a professional participant in the market, the securities of a large online bank in the world Chan"&amp;"ging the conditions of products and services of the bankcartics of the Remote service of the remote service for the Distilled Democularation of compliance of working conditions by state regulatory requirements of labor protection of Tinkoff Bank JSC Infor"&amp;"mation on the duration of operating rooms of the Haval Automobile Automobile Automobile Automobile Automobile Automobile Automobile Automobile Automobile Automobile Automobile Automobile Automobile Autonom Credit card "" Based on the results of the online"&amp;" voting of the ""Compare"" service of the Service, INNITY.RU in 2023. Among 3 credit organizations in parameters: a) a large grace period for users of card b) Operational service and communication with a client B) Convenient receipt of the card. Tinkoff B"&amp;"ank uses Cookie files to personalize services and improving the convenience of using a website. ""Cookie"" are small files containing information about previous visits to the website. If you do not want to use the Cookie files change the browser settings."&amp;" © 2006–2023 Tinkoff Bank JSC Official Universal License Central Bank of the Russian Federation No. 2673english")</f>
        <v>Tinkoff - credit and debit cards loans for business and individuals for the correct operation of the bank’s services, it is necessary to enable support to JavaScript persons for life to miss the cardcredit cards of the Card Card Card Signature Procedure Orphanage Simcoelectronic Simcatararifferavity Iat the money to any purpose on the collateral of real estate machine Real Estate Refine the credit under the key to the key to the auto -tank -raising accountant to investing score -core -scatalog Market teaching for investors in terms of Terminaline Cooppyl Culpcrapel Pauls of therass Rousscadolicadolmark is to install insurance cascaps of the Keep -coat -alerture producers for the Roads of the Products of the Khvakinotyatryasalons of the Beauty Bliblogdliybildliybildliybildiytatelnatorskii/D Tylets for Travelers of the Stuffing Part Kavtovtsymokhoplivoykhovykhovo-Sobeskoye under DTKART for automotivelistovatokreditovanovanimi business BUSINESS BUSINESS BUSINESSE for the Small Business Account IPROMENTARY ANDPORT OF LLCTIRARIBYBUSTALUTALITARY OF CARTALUTALITARY BUSTSITS AND OVERNAITION OF BUSINESS PROGRASTION OF SUPPLISTION OF THE CROP For OOO, turn-the-road crediterderdraftate-reception lines of the payment of the Paying Acquiringinternet-AC Payments on Qronline Casserosrossymochdolyamitinkoff Paybonuses for BUSINESS BUSINESS PARTERICIAL STORMARICARTSISTRICARTYSELLERSELLERALLERALLERARETER OF SAITS-ZAKUPEKIKELECTRONAL signature of counterparties for a large business accounting-card of cardiacs according to 115-fostering reinforcements and Ecommercezerzelznitsa-Credituitual Project vehicle payments for self-employees with self-employees of individuals payments of taxi parking of a pawnshopposure of Mfogogoskupkupkipper account of the payroll ecviringinterinet-ACCOVIRINGPOS-TRADING PAYOFF PAYFF PAYABLIA Resolve Koruskoff will be responding to a partner density and overnights for business verification of counterparty premium-dimensor-premium to miss the card-to-the-service investment for life for life, the help of the help of the investment on taxprivate services for life consumption for Private Talksheposhepo Leznoecurs Valyutbankomata Tinkoffinkoff Pay Payage Continuations Tinkofoff is correctly entrusted by the current situations for product workings for Tinkoff work to ITBUSTRISS AND Processing with client -Tink -dealerships of the Options of the Ovoltable Verozhot. What is the newcomer all the construction of customers Cabinetinernet-Bankinvestincoff Mobilltinkoff businessform to Tinkoff with a profitability of up to 15% of the per annum of the annual sub-terminal card recommended by your friends of the ruble up to 30% to 5% per annum of the annual translations without commissioning cardcredit cards of the Credit of the Credit. the attachment of the recommended product card with free maintenance of Tinkoff Platinum until November 30 and do not pay for Serving the CartoTinkoff investment of the investment tariffs and the convenient attach to the investor card Tinkoff-patch for free: the telephone secretary Oleg 600 minutes 20 GB vocabulary, start a contribution with replenishment and partial withdrawal. Each month, receive interest on a card or deposit insemination of an inspections with an online calculator and discounts (KBM) for trouble-free, the cost of the products is trusted by more than 38 million customers of the Bank of the Year Bank Bank. Rutinkoff was recognized as the best in the following categories: “Care of Client "Digital Bank of the Year" "Investment Company of the Year" "Investment Product of the Year" "Folk rating of insurance companies" Details and Currency Curries between their accounts Payment for services and the removal of cash services Tinkoff examination of cash with Tinkoff ATss without a commission. И без карты если у вас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December 31 and participate in the rally in details of deposits in rubles up to 141% how to get the maximum headquarters of cashback of the day, Tinkyfr »IPhone and returned to 100% expenditure1 000 000 ₽ for a trip to the trip, form a tourist insurance in Tinkoff and participate in the drawing of priestly articles and news - on the blog Tinkoff work and developing your or other city, to take a vacancies, the formation of educational courses and paid development programs for the development F magazine Secret Unions of how to conduct business in Russia to be more fully fulfilled by the filling of full-wrapping in all products on all products in the product in the product of Tinkoff products Restaurants Services and Brands based on real reviews of retrieval holidays in 2023 year-Great Line for providing vacation for participants in their families: 8,800 555-89-77 more in more and more Correct. SK answers to questions of the Po-UskiSkakak write to the chatenstac to download the appendix to enter the personal transmission of the transmission of the transfer of the transfer to write off the certificate or extract8 800 333-33-33-33 days of calls on the Russian-loop card-densium cards-refuketing, the Automobile Credit of the Authority of the Pro Tinkoff Private -Overputs of Opeling Oo -Sochasco on subscription to the border of Russia -Keep -Classure Predructions Apri -Bi -Vevybiytytytychitotnaturezh/D ticketsTinkoff Software, speech -making, business -consumer counter -regional Skupkupkupkuphkuphightihgaliyabovnia -Cartadesityrassprochochkrochkroke of counterparties for businesscaedal-building products of food and orienteatrateatrateratechystavsalones of Beautiful-fuel-Avtopoiliblogloglogloglogs collection collection Pulcollectic collection Juniorfino T-monopolis Tinkoffcoforo Tinkoff Gorodbol Shoy Business accountservices for paymentcore ecrings-editions-eedgosykupovusiness-regulations-regions-tinkoff datatinkoff Idtinkoff Casseter-Acquirital cassation, re-investment grab dulls for card-free-grade solutions for QR-codes-inspection transpondumure KOFF PAIT COMPORTANT TINKOFF IDDENTIONS with Tinkoff Id Paypery Card-Cardioblog Polar-West Carrier-Brinder accounting auspremacy of the vocal-vileagstiligo-pupil of therapils Strategramminolcademia of investment-cardsimtarifymarifystyumenos. Number-painting Number-sabotage number of Olegtktktkom Zhelnizhnizhnizhnizhchikatimi or refusal money-wrapping in the ITS Entamio Bankenovostiglobrabotatchki replenishment of the Bank of the Currency Counsers of the Contact Serving of the Investors Centers Center of Corporate Information Information on interest rates under bank deposit agreements from the physical personnel of information by a professional participant in the market, the securities of a large online bank in the world Changing the conditions of products and services of the bankcartics of the Remote service of the remote service for the Distilled Democularation of compliance of working conditions by state regulatory requirements of labor protection of Tinkoff Bank JSC Information on the duration of operating rooms of the Haval Automobile Automobile Automobile Automobile Automobile Automobile Automobile Automobile Automobile Automobile Automobile Automobile Automobile Autonom Credit card " Based on the results of the online voting of the "Compare" service of the Service, INNITY.RU in 2023. Among 3 credit organizations in parameters: a) a large grace period for users of card b) Operational service and communication with a client B) Convenient receipt of the card. Tinkoff Bank uses Cookie files to personalize services and improving the convenience of using a website. "Cookie" are small files containing information about previous visits to the website. If you do not want to use the Cookie files change the browser settings. © 2006–2023 Tinkoff Bank JSC Official Universal License Central Bank of the Russian Federation No. 2673english</v>
      </c>
    </row>
    <row r="594">
      <c r="A594" s="1" t="s">
        <v>1937</v>
      </c>
      <c r="B594" s="1" t="s">
        <v>1986</v>
      </c>
      <c r="C594" s="1" t="s">
        <v>1987</v>
      </c>
      <c r="D594" s="1">
        <v>17.0</v>
      </c>
      <c r="E594" s="4" t="s">
        <v>1988</v>
      </c>
      <c r="F594" s="1" t="s">
        <v>16</v>
      </c>
      <c r="I594" s="2">
        <v>3.0</v>
      </c>
      <c r="J594" s="5" t="str">
        <f>IFERROR(__xludf.DUMMYFUNCTION("GOOGLETRANSLATE(A594)"),"ozone")</f>
        <v>ozone</v>
      </c>
      <c r="K594" s="6" t="str">
        <f>IFERROR(__xludf.DUMMYFUNCTION("GOOGLETRANSLATE(B594)"),"Ozon in Volgograd: branches")</f>
        <v>Ozon in Volgograd: branches</v>
      </c>
      <c r="L594" s="5" t="str">
        <f>IFERROR(__xludf.DUMMYFUNCTION("GOOGLETRANSLATE(C594)"),"Ozon: All addresses on the map, phones, working hours, photos and reviews. Put the route to the branch you need.")</f>
        <v>Ozon: All addresses on the map, phones, working hours, photos and reviews. Put the route to the branch you need.</v>
      </c>
      <c r="M594" s="5" t="str">
        <f>IFERROR(__xludf.DUMMYFUNCTION("GOOGLETRANSLATE(G594)"),"#VALUE!")</f>
        <v>#VALUE!</v>
      </c>
    </row>
    <row r="595">
      <c r="A595" s="1" t="s">
        <v>1937</v>
      </c>
      <c r="B595" s="1" t="s">
        <v>1989</v>
      </c>
      <c r="C595" s="1" t="s">
        <v>1987</v>
      </c>
      <c r="D595" s="1">
        <v>18.0</v>
      </c>
      <c r="E595" s="4" t="s">
        <v>1990</v>
      </c>
      <c r="F595" s="1" t="s">
        <v>16</v>
      </c>
      <c r="I595" s="2">
        <v>3.0</v>
      </c>
      <c r="J595" s="5" t="str">
        <f>IFERROR(__xludf.DUMMYFUNCTION("GOOGLETRANSLATE(A595)"),"ozone")</f>
        <v>ozone</v>
      </c>
      <c r="K595" s="6" t="str">
        <f>IFERROR(__xludf.DUMMYFUNCTION("GOOGLETRANSLATE(B595)"),"Ozon in Kemerovo: branches")</f>
        <v>Ozon in Kemerovo: branches</v>
      </c>
      <c r="L595" s="5" t="str">
        <f>IFERROR(__xludf.DUMMYFUNCTION("GOOGLETRANSLATE(C595)"),"Ozon: All addresses on the map, phones, working hours, photos and reviews. Put the route to the branch you need.")</f>
        <v>Ozon: All addresses on the map, phones, working hours, photos and reviews. Put the route to the branch you need.</v>
      </c>
      <c r="M595" s="5" t="str">
        <f>IFERROR(__xludf.DUMMYFUNCTION("GOOGLETRANSLATE(G595)"),"#VALUE!")</f>
        <v>#VALUE!</v>
      </c>
    </row>
    <row r="596">
      <c r="A596" s="1" t="s">
        <v>1937</v>
      </c>
      <c r="B596" s="1" t="s">
        <v>1991</v>
      </c>
      <c r="D596" s="1">
        <v>4.0</v>
      </c>
      <c r="E596" s="4" t="s">
        <v>1992</v>
      </c>
      <c r="F596" s="1" t="s">
        <v>43</v>
      </c>
      <c r="G596" s="1" t="s">
        <v>1993</v>
      </c>
      <c r="H596" s="4" t="s">
        <v>1994</v>
      </c>
      <c r="I596" s="2">
        <v>0.0</v>
      </c>
      <c r="J596" s="5" t="str">
        <f>IFERROR(__xludf.DUMMYFUNCTION("GOOGLETRANSLATE(A596)"),"ozone")</f>
        <v>ozone</v>
      </c>
      <c r="K596" s="6" t="str">
        <f>IFERROR(__xludf.DUMMYFUNCTION("GOOGLETRANSLATE(B596)"),"Ozon - about the company")</f>
        <v>Ozon - about the company</v>
      </c>
      <c r="L596" s="5" t="str">
        <f>IFERROR(__xludf.DUMMYFUNCTION("GOOGLETRANSLATE(C596)"),"#VALUE!")</f>
        <v>#VALUE!</v>
      </c>
      <c r="M596" s="5" t="str">
        <f>IFERROR(__xludf.DUMMYFUNCTION("GOOGLETRANSLATE(G596)"),"  Ozon - about the company  About OzonKey FactsValues and missionHistoryAwardsMediaNewsPress about usMedia KitImages for PressMedia ContactsSustainabilitySustainability PoliciesInvestor ResourcesFinancialsSEC FilingShareholder Information Corporate Govern"&amp;"ance EventsConvertible BondsContactsRU  About OzonKey factsValues and missionHistoryAwards MediaNewsPress about usMedia KitImages for pressMedia contactsInvestor ResourcesFinancialsSEC FilingShareholder information Corporate Governance EventsConvertible B"&amp;"ondsContactsRussianSustainability Sustainability Policies  Fast growing online marketplace &amp; advanced logistics network   Leading online marketplace connecting millions of customers and sellersInnovative IT platform with services from express delivery to "&amp;"fintechAdvanced logistics network spanning 11 time zones  —  —  —    About Ozon    Popular e-commerce platform and visionary IT-company with its own technological infrastructure.  The Ozon marketplace is a gateway for small and medium enterprises to launc"&amp;"h and grow their business in Russia.    Our advanced logistics network is the key to processing hundreds of thousands of daily orders – and delivering them quickly – across the world's largest country.  Ozon is developing a system of services that complem"&amp;"ent our core business including fintech products under Ozon Bank the Ozon.Travel service and express delivery through Ozon fresh.    Marketplace &amp; IT platform20+ years in Russian e-commerce&gt;196 millionproducts across 20+ categories37 million active custom"&amp;"ers&gt;4000 IT engineersOzon offers one of the largest product range in Russian e-commerce. Our marketplace is a one-stop shop for the widest range of customer needs with an assortment that spans home goods electronics health and beauty products apparel and "&amp;"much more. We connect sellers with millions of customers and give them the tools to develop their business. Our growth is fueled by constant innovation led by an in-house tech team.E-commerce growthOzon had 37 million active customers in the first quarter"&amp;" of 2023 up from 28.7 million for the same period in 2022.The number of orders placed on Ozon grew by 93% year-over-year in 2022 to 179.3 million.During the same period sales turnover (as measured by Gross Merchandise Value or GMV) increased by 71% year-o"&amp;"ver-year to RUB 303 billion.Ozon reached more than 59.2 million monthly active users (MAU).60% of shoppers on the Russian internet use Ozon at least once per month according to Mediascope BrandPulse 2022.Tech at OzonMore than 4000 experts work at our in-h"&amp;"ouse tech lab Ozon Tech. They develop our IT platform warehouse management system and new products and services.Ozon Tech automates warehouse management and order tracking to support our e-commerce infrastructure which handles more than 2.4 million orders"&amp;" per day and up to 3.7 million products delivered to our warehouses daily.We believe in training the next generation of tech leaders. Ozon offers educational and internship programs for new and continuing tech professionals many of whom go on to join the "&amp;"Ozon team.Logistics &amp; delivery&gt;1400000 sqm of warehouse space  24 fulfillment centers across Russia and abroad&gt;30000 pick-up points and parcel lockers&gt;6500 couriers&gt;4500 settlements in Russia covered by Ozon delivery or with pick-up point nearbyOzon has t"&amp;"ripled its logistics infrastructure since 2020 offering next-day delivery on millions of items. Spanning from Kaliningrad in the West to the Russian Far East our network enables faster delivery to customers in the regions and gives local sellers access to"&amp;" new markets with no extra costs.Logistics highlightsOne of the largest logistics networks in Russia with more than 1.4 million square meters (sqm) of fulfillment sorting center and dark store space.25 high-tech fulfillment hubs and more than 80 sorting c"&amp;"enters in Russia and the CIS focused on efficiency and employee safety.Options for delivery by courier contactless door delivery and customer pick-up at Ozon-branded pick-up points and parcel lockers.Entrepreneurship&gt;250000 marketplace sellers8 out of 10 "&amp;"Ozon sellers are small and medium sized businesses (SMEs)&gt;79% marketplace sellers' share in total sales turnoverOne of Ozon's main priorities is to help new and experienced sellers – mainly local businesses across Russia – to grow and expand their busines"&amp;"s. By giving sellers access to a multi-million customer audience and an advanced logistics network we enable small enterprises to scale their business across all of Russia and beyond. Our seller offering includes a competitive rewards system a variety of "&amp;"training analytics and advertising tools and flexible payment and delivery options.Sellers on OzonThe number of sellers on the Ozon marketplace reached 250000 in the first quarter of 2023.Sellers today account for more than 79% of sales turnover on Ozon ("&amp;"by Gross Merchandise Value or GMV) – up from 1% in 2018 when Ozon began its transition to a marketplace model.The number of international sellers approached 30000 in 2022. Together they added approximately 24 million products to the Ozon assortmentService"&amp;"s ecosystemOzon is developing a system of additional services for marketplace customers and sellers including fintech products express delivery and travel booking.&gt;20 millionOzon Card users&lt;60-minutedelivery via Ozon Fresh ~1 million orders on Ozon Travel"&amp;" in 2022Ozon FintechOzon Fintech is a team of financial and IT specialists who design and develop new fintech products and services that complement our e-commerce business – mostly from scratch.On the basis of Ozon Bank the company's integrated bank with "&amp;"a universal banking license Ozon offers a number of unique financial services for marketplace customers and sellers. These include the Ozon Card banking card and the Ozon Installment deferred payment plan for customers and seller services like Ozon Credit"&amp;" a loan or credit securement platform and Ozon Factoring a service that enables sellers to receive money transfers without respite.Ozon FreshOzon Fresh (formerly Ozon Express) is an express delivery service for fresh products groceries and everyday items."&amp;"Currently available in 9 cities in Russia and growing Ozon Fresh offers delivery time up to 60 minutes on an assortment of more than 35000 products.The Ozon Fresh private label features more than 400 products in the food and non-food categories.Ozon Trave"&amp;"lA leading online travel platform Ozon.Travel features airfare and train ticket booking hotel reservations and access to other travel services directly on the Ozon marketplace.Ozon Travel offers special services for business customers including flexible p"&amp;"ayment options and seamless electronic documentation flow as well as products for small and medium businesses and their employees.    Values    Community   We believe in fostering a sustainable business that helps communities to grow along with us. We off"&amp;"er educational programs for marketplace sellers and beginning tech professionals support charitable foundations through Ozon Care and work to limit our impact on the environment.   Empowerment  We give local entrepreneurs a platform to grow their business"&amp;" while expanding access to new products and services for customers across Russia. Our logistics hubs create new opportunities for employment and development in the regions where we operate.   Innovation  We are constantly developing new services for custo"&amp;"mers and marketplace sellers from express delivery to fintech. This is made possible by our deep pool of top-notch talent and our embrace of cutting-edge technology.     Our mission  We aim to leverage technology logistics and innovation in order to stay "&amp;"one step ahead of our customers' needs. By connecting people and products from multinational suppliers and small local businesses alike we work to improve lives and create opportunities for all people in Russia regardless of their location ranging from th"&amp;"e most remote settlement to the capital.    History   1998  2006  2014  2011  2018  2007  2021    Ozon founded as an online book seller launching e-commercein Russia  Launches one-hour delivery with Ozon Express  Logistics infrastructure exceeds 1 mln sqm"&amp;"  Opens first logistics center in Tver  Launchof Ozon Travel  Acquires minority stake in e-book service Litres  Raises $100 mlnin largest private investment in Russian e-commerce to date  Expands assortment launches deliveryto 400 Russian cities  2001    "&amp;"         2020     2002  Opens first delivery pick-up point  Launches pick-up points via franchise model   2020  Begins international expansion   2021  Launches fintech services                 Rankings   2020  2020   Holds $1 billion IPO on NASDAQ   Begin"&amp;"s transition to marketplace model   #2  Forbes2022   Most Popular Franchise  #4  Forbes2022   Russian Company with Best Reputation  Habr2022  #2   Top 3 Best IT Employer Brands 2022  Rosaccreditationand Roskachestvo2022  Top Trusted Marketplace  #1   #1  "&amp;" bbdo group 2021  Most recognized brand in Russian e-commerce  Romir2021  Most trustedonline ecosystem in Russia  #1   #2  Data insight2021   Largest Russiane-commerceplatform by turnover  #3  Forbes2021   Most valuable Russian internet company    Awards "&amp;"  Most Attractive E-commerce Employer  2021  Randstad Employer Brand Research   Best Program for Young Specialists – 3rd place for Ozon Golang School  2020  Russian Graduate Awards   First place among IT and Internet companies with 5000+ employees  2021  "&amp;"Rating of Top Russian Employers   Top Manager - Ozon CEO Alexander Shulgin  2021  RBC Award   Person of the Year - Ozon CEO Alexander Shulgin  2021  E-Retail Tech Awards   Private Equity Market Deal of the Year - Ozon IPO  2021  Russia PE&amp;VC Awards   Pers"&amp;"on of the Year - Ozon CEO Alexander Shulgin Best Customer ServiceBest Last-Mile Solution  2021  ECOM Awards   Grand Prix for significant achievement and contributionto e-commerce development in Russia  2021  Big Turnover Award    Awards   Most Attractive "&amp;"E-commerce Employer  2021  Randstad Employer Brand Research   Best Program for Young Specialists – 3rd place for Ozon Golang School  2021  Russian Graduate Awards   First place among IT and Internet companies with 5000+ employees  2019  Rating of Top Russ"&amp;"ian Employers   Top Manager - Ozon CEO Alexander Shulgin  2019  RBC Award   Person of the Year - Ozon CEO Alexander Shulgin  2021  E-Retail Tech Awards   Private Equity Market Deal of the Year - Ozon IPO  2021  Russia PE&amp;VC Awards   Person of the Year - O"&amp;"zon CEO Alexander Shulgin Best Customer ServiceBest Last-Mile Solution  2021  ECOM Awards   Grand Prix for significant achievement and contributionto e-commerce development in Russia  2021  Big Turnover Award         Alexander Shulgin — СЕОAlexander Shulg"&amp;"in was appointed CEO of Ozon in December 2017. Under his leadership Ozon has focused on expanding its technological capabilities and on developing its marketplace and fulfillment service for merchants.  Prior to Ozon Alexander served as Chief Operating Of"&amp;"ficer (2014-2017) and earlier as CFO (2010-2014) of Yandex. Between 1997 and 2010 he held a number of positions at Coca-Cola Hellenic the latest being financial director for Russia.  He holds a degree in Management.Elena Shulgina — СEO of Ozon Express Ele"&amp;"na joined Ozon in 2019 as Business Development Director in the FMCG department where she and her team focus on expanding market share and generating profits in this category and develop Ozon Supermarket as a special project inside the company.  Prior to O"&amp;"zon Elena worked as a Purchasing Director at Yandex. From 2006–2012 Elena was a director at the joint venture of the AB InBev &amp; British American Tobacco (Agrega CEE).  She holds an MA in Economics from the Moscow State Institute of Motor Cars and Roads (M"&amp;"ADI) and is a Certified Management Accountant (CMA) with the Institute of Management Accountants (IMA) USA. Alexander Gehl — CEO of Ozon Fulfillment Services Andrey Pavlovich — Director of Ozon Logistics Andrey became Ozon's director of supply chain servi"&amp;"ces in 2018. Since then the company has formed a new supply chain team and more than doubled its logistics infrastructure in order to enhance its customer service.  Prior to joining Ozon Andrey worked at Coca-Cola HBC Russia from 2009-2018 where he served"&amp;" as manager for country planning and later as logistics director. Before that he spent six years overseeing logistics at an international brewing company.  Andrey graduated from the Volga State Academy of Water Transport in 2000 with a degree in transport"&amp;" operation. Maria Zaikina — Director of Public &amp; Industry Relations Since 2018 Maria has been responsible for communications at Ozon where she oversees relations with the media industry groups client service projects and international communications.  Mar"&amp;"ia worked for ten years in the automobile industry including at Russia's leading car dealership franchise Rolf Group and later at Svyaznoy Group a leading consumer electronic retail chain. She subsequently joined a nascent project by the payment service p"&amp;"rovider QIWI to develop a new installment card for the Russian market.  In addition to her role at Ozon Maria serves as the Dean of the Reputation Management Program at the Moscow Advanced Communications School (MACS).  She holds a degree in Sociology fro"&amp;"m St. Petersburg State University. Evgeny Shirinkin — Chief Product Officer Evgeny became Ozon's chief product officer in 2019. He oversees the development of client products (including the Ozon website and mobile apps) and leads a team of more than 200 p"&amp;"eople that is responsible for improving the shopping experience on Ozon.  Since 2000 Evgeny has held a range of positions in automation technical support and product development including at the companies ITSoft and S3. He served as chief technological of"&amp;"ficer and product director at one of Russia's largest fashion e-commerce projects BUTIK.RU before being appointed vice-president for product development at Lazada Group. There Evgeny implemented several large-scale projects including the complete overhaul"&amp;" of the company's website search platform.  Evgeny has developed and taught courses on Web Technologies and Systems and Webs at the Moscow Institute of Electronics and Mathematics (MIEM) part of the Higher School of Economics. He has completed post-gradua"&amp;"te MBA studies in addition to coursework in Project Management Body of Knowledge (PMBOK) and Information Technology Infrastructure Library (ITIL). Vahe Ovasapyan — СEO of Ozon Financial Services  Vahe took the helm of financial product development at Ozon"&amp;" in late 2019 where he and his team work to improve the company's financial services.  From 2017-2019 Vahe worked at Yandex as the head of its experimental projects group which was responsible for the corporate development of the company's business initia"&amp;"tives. Prior to that Vahe spent six years at Goldman Sachs where he rose from an intern in the bank's department of investment analysis to Senior Associate on the CEEMEA (Central and Eastern Europe Middle East and Africa) Metals &amp; Mining team.  He holds a"&amp;" master's degree from the International College of Economics and Finance at the Higher School of Economics in Moscow. Oleg Dorozhok — Chief Marketing Officer Oleg joined Ozon in 2018 as Head of marketing communications and was appointed Chief Marketing Of"&amp;"ficer in mid-2019.  From 2016 Oleg served as Chief Marketing Officer at Delivery Club where he contributed significantly to strengthening the company's position in the Russian food tech market.  From 2007–2016 Oleg held various positions in product market"&amp;"ing and marketing communications at Microsoft Disney and Yandex.  Oleg holds a degree from the Belarusian National Technical University.  Igor Gerasimov Chief Financial OfficerIgor serves as Corporate Finance Director he and his team develop corporate fin"&amp;"ance and strategy carry out fundraising and oversee investor relations.  From 2016–2019 Igor served as Investment Manager at Baring Vostok Capital Partners the largest and private equity fund in Russia where he specialised in investments in fintech e-comm"&amp;"erce mobility and food tech. He also served as a Board member and worked on the strategic development of a number of the fund's portfolio companies.  From 2014–2016 Igor worked in equity research at Goldman Sachs where he became Primary Analyst for CEEMEA"&amp;" Banks. Prior to that he worked in the infrastructure and project finance department of PricewaterhouseCoopers (PwC).  Igor holds an honors degree from the Graduate School of Management at St. Petersburg State University and has completed exchange studies"&amp;" at the Rotterdam School of Management at Erasmus University. Daniil Fedorov Chief Operating OfficerDaniil joined Ozon in early 2018 as head of corporate development became CFO in December 2018 and was appointed COO of Ozon in March 2021. He was nominated"&amp;" for Forbes Russia's ""30 Under 30"" list in the management category (2020).  From 2012–2018 Daniil worked in equity research at Goldman Sachs where he became Primary Analyst for CEEMEA Transportation Real Estate and Infrastructure as well as Primary Anal"&amp;"yst for European Airlines. Prior to joining Goldman Sachs he worked in the Investment Banking Department M&amp;A at Sberbank CIB and in Fixed Income Research at Renaissance Capital.  Daniil graduated from the Higher School of Economics in Moscow with a BA in "&amp;"Management in 2011. He completed the Summer Finance School at the London School of Economics and Political Science (LSE) at the University of London in 2010. Anton Stepanenko — Chief Technology OfficerAnton joined Ozon as Platform Development Director in "&amp;"2018 and became Ozon's Chief Technology Officer in early 2020 overseeing the company's software engineering and product development.Prior to joining Ozon Anton worked as head of technical projects at Yandex.Market where he was responsible for advancing th"&amp;"e platform's indexing data collection and analysis search performance and scalability and application speed.From 2012–2016 Anton managed the platform development department at the social networking website Badoo. He later became vice president of engineer"&amp;"ing at Lazada Group where he was involved in automating development processes and developing a separate cloud for the company. Anton graduated from the department of Radio Engineering and Cybernetics at the Moscow Institute of Physics and Technology.Stani"&amp;"slav Kondratyev — CEO of Ozon Rocket Ozon`s logistics serviceStanislav oversees Ozon`s logistics customer service and support.Prior to joining Ozon in 2019 Stanislav worked at Elbrus Capital as an investment professional focused on investments into Russia"&amp;"n internet media pharma and consumer companies. From 2013-2017 Stanislav worked in equity research at Goldman Sachs where he covered Russian CEEEMA and European internet and telecom companies. Prior to Goldman Sachs he worked for Uralsib Capital as a stoc"&amp;"k market analyst.Stanislav holds a master's degree in Economics from the New Economic School in Moscow.Anna Karpova — Business Development DirectorAnna joined Ozon as a purchasing manager in 2010 and became business development director in 2019 responsibl"&amp;"e for developing books home&amp;decor furniture DIY and automotive product categories.Prior to Ozon Anna worked as head of the book assortment department at Grand Fair publishing group from 2008–2010. She earlier served as a sales manager at the publishing ho"&amp;"use Rosman and worked at the book company Omega-L where she was involved in creating a logistics system for returns.Anna is a graduate of the Management Faculty of Moscow State University of Printing Arts and holds a degree in Foreign Economic Activity fr"&amp;"om the Higher School of Economics in Moscow. Alexander Gehl — Director of Ozon Fulfillment Services  Alexander joined the company as head of Ozon major fulfillment center in Tver in 2018 and was promoted to Director of Ozon Fulfillment Services in 2020.  "&amp;"Prior to Ozon Alexander held leading technical positions including as chief mechanic and chief engineer at a series of construction businesses. He earlier built a career with Coca-Cola HBC Eurasia starting as a distribution manager before rising to Countr"&amp;"y Transportation Manager and later Logistics Manager for the Moscow and North-West Region.  Alexander graduated from Ural State Technical University with a degree in engineering. Sergey Pankov — СЕО of Ozon Retail Sergey joined Ozon in 2019 as business de"&amp;"velopment director in the Fresh category where he oversees the development of the company's online supermarket.  Prior to Ozon beginning in 2015 he served as CEO of myToys.ru an online store for children's products. From 2014-2015 Sergey was CEO of the pa"&amp;"ckaging company VG Konturs where he managed several plants in Moscow and the Moscow region. Under his oversight the company developed a long-term strategy for the development and technical re-equipment of production processes.  Sergey holds a degree in In"&amp;"formational Systems in Economics from the Economics Department of Moscow Technical University of Communications and Informatics (MTUCI). Dmitry Mannanikov Corporate Security Director Dmitry joined Ozon in April 2020 where he is responsible for managing ri"&amp;"sk and maintaining assets as well as reducing collateral losses. Previously Dmitry was responsible for ensuring asset security in major corporations including OBI Russia SPSR Express and Energostream.  He has additional experience in banking and IT and te"&amp;"aches courses as part of the MBA programmes of the Russian Presidential Academy of National Economy and Public Administration (RANEPA). Maxim Melnichuk Corporate Security DirectorMaxim joined Ozon in November 2021 where he oversees company employee and as"&amp;"set security in addition to managing occupational health ecological and fire safety at the company.  Maxim has 20 years of experience working in the field of security in commercial and state sectors including significant expertise in maintaining commercia"&amp;"l security in large organizations. Artem Afanasiev — General Counsel Artem heads the Legal Affairs Department and GR function at Ozon since early 2020 where he is responsible for supporting and overseeing all of the Group's existing and new business proje"&amp;"cts.  Artem began his legal career at the British law firm Freshfields Bruckhaus Deringer (London Moscow) and went on to join the US law firm Skadden Arps Slate Meagher &amp; Flom (Moscow New York London).  In 2014 Artem joined the Mercury Group as Director f"&amp;"or Corporate Governance and Compliance at the Megapolis Trade Company (Moscow Amsterdam). In 2016 he was promoted to lead the legal compliance and M&amp;A functions at the Russian food retailer Dixy Group – another core asset of the Mercury Group where he als"&amp;"o served as Deputy Chairman of the Management Board and was a member of the Board of Directors.  In 2019 as the General Counsel to the major Russian automobile group AVTOVAZ Artem facilitated the acquisition of the GM-AVTOVAZ car manufacturer and managed "&amp;"a full audit of the entire consolidated legal function of the AVTOVAZ group.  Artem is consistently included in the GC Powerlist (formerly the Corporate Counsel 100) published by The Legal 500. He is a member of the Association of Antimonopoly Experts of "&amp;"Russia and a member of the Expert Council on Foreign Investment under the Federal Antimonopoly Service of Russia.  Artem is a graduate of the Faculty of Law at Lomonosov Moscow State University and the Law Faculty at Sorbonne University (Paris). Irina Kab"&amp;"urova — Director of Human Resources Irina was appointed director of human resources at Ozon in 2019 where she brings more than 15 years of experience in the HR industry.  Prior to Ozon Irina spent eight years as head of the Talent Acquisition Department a"&amp;"t Yandex where she created and led the company's executive search practice. During her time at Yandex Irina additionally established the company's business processes for recruitment. In 2008 she was responsible for recruitment at Luxoft a company speciali"&amp;"sing in software development and innovative IT solutions.  Irina holds a degree from the Department of Philology at Kaluga State University Tsiolkovsky. Iloanga Ershova — Business Development Director Iloanga joined Ozon as an intern in 2014 and was appoi"&amp;"nted Groceries manager in 2017. In 2019 she became Ozon's business development director overseeing the categories of Apparel and Shoes Beauty Health Products and Accessories. In addition she launched Ozon's Pharmacy offering from scratch after obtaining t"&amp;"he necessary wholesale and retail pharmaceutical licenses. Iloanga and her team develop marketing and promotion strategies across Ozon's product categories as well as overseeing the launch of new products.  Prior to 2010 Iloanga studied at an Olympic Rese"&amp;"rve School becoming a Master of Sports and a Champion of Russia in track and field.  She holds a BA in Management and an MA with honors in Innovation Management from Lomonosov Moscow State University.Sergey Belyakov — Managing Director Sergey joined Ozon "&amp;"in 2021 to oversee strategic projects and initiatives tied to the Company's e-commerce development.A longtime civil servant Sergey worked at the Russian Ministry of Economic Development from 2008 going on to serve as Deputy Minister from 2012 to 2014. Pri"&amp;"or to joining the Ministry he worked at the Russian Union of Industrialists and Entrepreneurs. In 2016 Sergey was elected President of the Alliance of Pension Funds an association of non-governmental pension funds. From 2018 to 2021 he headed the Russian "&amp;"Association of Retail Companies (AKORT).Sergey holds a degree in Law from the Academy of the Federal Security Service of Russia.Mikhail Osin — Director of Ozon TravelMikhail joined the Ozon team in 2008 as Head of PR &amp; Marketing Communications. Then in 20"&amp;"11 he took over digital sales of the online platform and in 2015 became Ozon's Web Director to oversee the company's website and mobile app development.  In 2018 Mikhail Osin was appointed CEO at Ozon Travel which became part of the Ozon Marketplace in 20"&amp;"21.  Named one of Russia's Top-250 managers in 2018 by Kommerstant.ABOUT THE COMPANY    © 2022 Ozon   MEDIA  News﻿﻿Press about us  Media Kit  Images for Press  Сontacts for Media  About  Values   History    AwardsContacts       INVESTOR RESOURCES      Fin"&amp;"ancials   SEC Filings    Shareholder information    Corporate Governance    Events  Convertible Bonds  PRIVACY POLICY    ")</f>
        <v>  Ozon - about the company  About OzonKey FactsValues and missionHistoryAwardsMediaNewsPress about usMedia KitImages for PressMedia ContactsSustainabilitySustainability PoliciesInvestor ResourcesFinancialsSEC FilingShareholder Information Corporate Governance EventsConvertible BondsContactsRU  About OzonKey factsValues and missionHistoryAwards MediaNewsPress about usMedia KitImages for pressMedia contactsInvestor ResourcesFinancialsSEC FilingShareholder information Corporate Governance EventsConvertible BondsContactsRussianSustainability Sustainability Policies  Fast growing online marketplace &amp; advanced logistics network   Leading online marketplace connecting millions of customers and sellersInnovative IT platform with services from express delivery to fintechAdvanced logistics network spanning 11 time zones  —  —  —    About Ozon    Popular e-commerce platform and visionary IT-company with its own technological infrastructure.  The Ozon marketplace is a gateway for small and medium enterprises to launch and grow their business in Russia.    Our advanced logistics network is the key to processing hundreds of thousands of daily orders – and delivering them quickly – across the world's largest country.  Ozon is developing a system of services that complement our core business including fintech products under Ozon Bank the Ozon.Travel service and express delivery through Ozon fresh.    Marketplace &amp; IT platform20+ years in Russian e-commerce&gt;196 millionproducts across 20+ categories37 million active customers&gt;4000 IT engineersOzon offers one of the largest product range in Russian e-commerce. Our marketplace is a one-stop shop for the widest range of customer needs with an assortment that spans home goods electronics health and beauty products apparel and much more. We connect sellers with millions of customers and give them the tools to develop their business. Our growth is fueled by constant innovation led by an in-house tech team.E-commerce growthOzon had 37 million active customers in the first quarter of 2023 up from 28.7 million for the same period in 2022.The number of orders placed on Ozon grew by 93% year-over-year in 2022 to 179.3 million.During the same period sales turnover (as measured by Gross Merchandise Value or GMV) increased by 71% year-over-year to RUB 303 billion.Ozon reached more than 59.2 million monthly active users (MAU).60% of shoppers on the Russian internet use Ozon at least once per month according to Mediascope BrandPulse 2022.Tech at OzonMore than 4000 experts work at our in-house tech lab Ozon Tech. They develop our IT platform warehouse management system and new products and services.Ozon Tech automates warehouse management and order tracking to support our e-commerce infrastructure which handles more than 2.4 million orders per day and up to 3.7 million products delivered to our warehouses daily.We believe in training the next generation of tech leaders. Ozon offers educational and internship programs for new and continuing tech professionals many of whom go on to join the Ozon team.Logistics &amp; delivery&gt;1400000 sqm of warehouse space  24 fulfillment centers across Russia and abroad&gt;30000 pick-up points and parcel lockers&gt;6500 couriers&gt;4500 settlements in Russia covered by Ozon delivery or with pick-up point nearbyOzon has tripled its logistics infrastructure since 2020 offering next-day delivery on millions of items. Spanning from Kaliningrad in the West to the Russian Far East our network enables faster delivery to customers in the regions and gives local sellers access to new markets with no extra costs.Logistics highlightsOne of the largest logistics networks in Russia with more than 1.4 million square meters (sqm) of fulfillment sorting center and dark store space.25 high-tech fulfillment hubs and more than 80 sorting centers in Russia and the CIS focused on efficiency and employee safety.Options for delivery by courier contactless door delivery and customer pick-up at Ozon-branded pick-up points and parcel lockers.Entrepreneurship&gt;250000 marketplace sellers8 out of 10 Ozon sellers are small and medium sized businesses (SMEs)&gt;79% marketplace sellers' share in total sales turnoverOne of Ozon's main priorities is to help new and experienced sellers – mainly local businesses across Russia – to grow and expand their business. By giving sellers access to a multi-million customer audience and an advanced logistics network we enable small enterprises to scale their business across all of Russia and beyond. Our seller offering includes a competitive rewards system a variety of training analytics and advertising tools and flexible payment and delivery options.Sellers on OzonThe number of sellers on the Ozon marketplace reached 250000 in the first quarter of 2023.Sellers today account for more than 79% of sales turnover on Ozon (by Gross Merchandise Value or GMV) – up from 1% in 2018 when Ozon began its transition to a marketplace model.The number of international sellers approached 30000 in 2022. Together they added approximately 24 million products to the Ozon assortmentServices ecosystemOzon is developing a system of additional services for marketplace customers and sellers including fintech products express delivery and travel booking.&gt;20 millionOzon Card users&lt;60-minutedelivery via Ozon Fresh ~1 million orders on Ozon Travel in 2022Ozon FintechOzon Fintech is a team of financial and IT specialists who design and develop new fintech products and services that complement our e-commerce business – mostly from scratch.On the basis of Ozon Bank the company's integrated bank with a universal banking license Ozon offers a number of unique financial services for marketplace customers and sellers. These include the Ozon Card banking card and the Ozon Installment deferred payment plan for customers and seller services like Ozon Credit a loan or credit securement platform and Ozon Factoring a service that enables sellers to receive money transfers without respite.Ozon FreshOzon Fresh (formerly Ozon Express) is an express delivery service for fresh products groceries and everyday items.Currently available in 9 cities in Russia and growing Ozon Fresh offers delivery time up to 60 minutes on an assortment of more than 35000 products.The Ozon Fresh private label features more than 400 products in the food and non-food categories.Ozon TravelA leading online travel platform Ozon.Travel features airfare and train ticket booking hotel reservations and access to other travel services directly on the Ozon marketplace.Ozon Travel offers special services for business customers including flexible payment options and seamless electronic documentation flow as well as products for small and medium businesses and their employees.    Values    Community   We believe in fostering a sustainable business that helps communities to grow along with us. We offer educational programs for marketplace sellers and beginning tech professionals support charitable foundations through Ozon Care and work to limit our impact on the environment.   Empowerment  We give local entrepreneurs a platform to grow their business while expanding access to new products and services for customers across Russia. Our logistics hubs create new opportunities for employment and development in the regions where we operate.   Innovation  We are constantly developing new services for customers and marketplace sellers from express delivery to fintech. This is made possible by our deep pool of top-notch talent and our embrace of cutting-edge technology.     Our mission  We aim to leverage technology logistics and innovation in order to stay one step ahead of our customers' needs. By connecting people and products from multinational suppliers and small local businesses alike we work to improve lives and create opportunities for all people in Russia regardless of their location ranging from the most remote settlement to the capital.    History   1998  2006  2014  2011  2018  2007  2021    Ozon founded as an online book seller launching e-commercein Russia  Launches one-hour delivery with Ozon Express  Logistics infrastructure exceeds 1 mln sqm  Opens first logistics center in Tver  Launchof Ozon Travel  Acquires minority stake in e-book service Litres  Raises $100 mlnin largest private investment in Russian e-commerce to date  Expands assortment launches deliveryto 400 Russian cities  2001             2020     2002  Opens first delivery pick-up point  Launches pick-up points via franchise model   2020  Begins international expansion   2021  Launches fintech services                 Rankings   2020  2020   Holds $1 billion IPO on NASDAQ   Begins transition to marketplace model   #2  Forbes2022   Most Popular Franchise  #4  Forbes2022   Russian Company with Best Reputation  Habr2022  #2   Top 3 Best IT Employer Brands 2022  Rosaccreditationand Roskachestvo2022  Top Trusted Marketplace  #1   #1   bbdo group 2021  Most recognized brand in Russian e-commerce  Romir2021  Most trustedonline ecosystem in Russia  #1   #2  Data insight2021   Largest Russiane-commerceplatform by turnover  #3  Forbes2021   Most valuable Russian internet company    Awards   Most Attractive E-commerce Employer  2021  Randstad Employer Brand Research   Best Program for Young Specialists – 3rd place for Ozon Golang School  2020  Russian Graduate Awards   First place among IT and Internet companies with 5000+ employees  2021  Rating of Top Russian Employers   Top Manager - Ozon CEO Alexander Shulgin  2021  RBC Award   Person of the Year - Ozon CEO Alexander Shulgin  2021  E-Retail Tech Awards   Private Equity Market Deal of the Year - Ozon IPO  2021  Russia PE&amp;VC Awards   Person of the Year - Ozon CEO Alexander Shulgin Best Customer ServiceBest Last-Mile Solution  2021  ECOM Awards   Grand Prix for significant achievement and contributionto e-commerce development in Russia  2021  Big Turnover Award    Awards   Most Attractive E-commerce Employer  2021  Randstad Employer Brand Research   Best Program for Young Specialists – 3rd place for Ozon Golang School  2021  Russian Graduate Awards   First place among IT and Internet companies with 5000+ employees  2019  Rating of Top Russian Employers   Top Manager - Ozon CEO Alexander Shulgin  2019  RBC Award   Person of the Year - Ozon CEO Alexander Shulgin  2021  E-Retail Tech Awards   Private Equity Market Deal of the Year - Ozon IPO  2021  Russia PE&amp;VC Awards   Person of the Year - Ozon CEO Alexander Shulgin Best Customer ServiceBest Last-Mile Solution  2021  ECOM Awards   Grand Prix for significant achievement and contributionto e-commerce development in Russia  2021  Big Turnover Award         Alexander Shulgin — СЕОAlexander Shulgin was appointed CEO of Ozon in December 2017. Under his leadership Ozon has focused on expanding its technological capabilities and on developing its marketplace and fulfillment service for merchants.  Prior to Ozon Alexander served as Chief Operating Officer (2014-2017) and earlier as CFO (2010-2014) of Yandex. Between 1997 and 2010 he held a number of positions at Coca-Cola Hellenic the latest being financial director for Russia.  He holds a degree in Management.Elena Shulgina — СEO of Ozon Express Elena joined Ozon in 2019 as Business Development Director in the FMCG department where she and her team focus on expanding market share and generating profits in this category and develop Ozon Supermarket as a special project inside the company.  Prior to Ozon Elena worked as a Purchasing Director at Yandex. From 2006–2012 Elena was a director at the joint venture of the AB InBev &amp; British American Tobacco (Agrega CEE).  She holds an MA in Economics from the Moscow State Institute of Motor Cars and Roads (MADI) and is a Certified Management Accountant (CMA) with the Institute of Management Accountants (IMA) USA. Alexander Gehl — CEO of Ozon Fulfillment Services Andrey Pavlovich — Director of Ozon Logistics Andrey became Ozon's director of supply chain services in 2018. Since then the company has formed a new supply chain team and more than doubled its logistics infrastructure in order to enhance its customer service.  Prior to joining Ozon Andrey worked at Coca-Cola HBC Russia from 2009-2018 where he served as manager for country planning and later as logistics director. Before that he spent six years overseeing logistics at an international brewing company.  Andrey graduated from the Volga State Academy of Water Transport in 2000 with a degree in transport operation. Maria Zaikina — Director of Public &amp; Industry Relations Since 2018 Maria has been responsible for communications at Ozon where she oversees relations with the media industry groups client service projects and international communications.  Maria worked for ten years in the automobile industry including at Russia's leading car dealership franchise Rolf Group and later at Svyaznoy Group a leading consumer electronic retail chain. She subsequently joined a nascent project by the payment service provider QIWI to develop a new installment card for the Russian market.  In addition to her role at Ozon Maria serves as the Dean of the Reputation Management Program at the Moscow Advanced Communications School (MACS).  She holds a degree in Sociology from St. Petersburg State University. Evgeny Shirinkin — Chief Product Officer Evgeny became Ozon's chief product officer in 2019. He oversees the development of client products (including the Ozon website and mobile apps) and leads a team of more than 200 people that is responsible for improving the shopping experience on Ozon.  Since 2000 Evgeny has held a range of positions in automation technical support and product development including at the companies ITSoft and S3. He served as chief technological officer and product director at one of Russia's largest fashion e-commerce projects BUTIK.RU before being appointed vice-president for product development at Lazada Group. There Evgeny implemented several large-scale projects including the complete overhaul of the company's website search platform.  Evgeny has developed and taught courses on Web Technologies and Systems and Webs at the Moscow Institute of Electronics and Mathematics (MIEM) part of the Higher School of Economics. He has completed post-graduate MBA studies in addition to coursework in Project Management Body of Knowledge (PMBOK) and Information Technology Infrastructure Library (ITIL). Vahe Ovasapyan — СEO of Ozon Financial Services  Vahe took the helm of financial product development at Ozon in late 2019 where he and his team work to improve the company's financial services.  From 2017-2019 Vahe worked at Yandex as the head of its experimental projects group which was responsible for the corporate development of the company's business initiatives. Prior to that Vahe spent six years at Goldman Sachs where he rose from an intern in the bank's department of investment analysis to Senior Associate on the CEEMEA (Central and Eastern Europe Middle East and Africa) Metals &amp; Mining team.  He holds a master's degree from the International College of Economics and Finance at the Higher School of Economics in Moscow. Oleg Dorozhok — Chief Marketing Officer Oleg joined Ozon in 2018 as Head of marketing communications and was appointed Chief Marketing Officer in mid-2019.  From 2016 Oleg served as Chief Marketing Officer at Delivery Club where he contributed significantly to strengthening the company's position in the Russian food tech market.  From 2007–2016 Oleg held various positions in product marketing and marketing communications at Microsoft Disney and Yandex.  Oleg holds a degree from the Belarusian National Technical University.  Igor Gerasimov Chief Financial OfficerIgor serves as Corporate Finance Director he and his team develop corporate finance and strategy carry out fundraising and oversee investor relations.  From 2016–2019 Igor served as Investment Manager at Baring Vostok Capital Partners the largest and private equity fund in Russia where he specialised in investments in fintech e-commerce mobility and food tech. He also served as a Board member and worked on the strategic development of a number of the fund's portfolio companies.  From 2014–2016 Igor worked in equity research at Goldman Sachs where he became Primary Analyst for CEEMEA Banks. Prior to that he worked in the infrastructure and project finance department of PricewaterhouseCoopers (PwC).  Igor holds an honors degree from the Graduate School of Management at St. Petersburg State University and has completed exchange studies at the Rotterdam School of Management at Erasmus University. Daniil Fedorov Chief Operating OfficerDaniil joined Ozon in early 2018 as head of corporate development became CFO in December 2018 and was appointed COO of Ozon in March 2021. He was nominated for Forbes Russia's "30 Under 30" list in the management category (2020).  From 2012–2018 Daniil worked in equity research at Goldman Sachs where he became Primary Analyst for CEEMEA Transportation Real Estate and Infrastructure as well as Primary Analyst for European Airlines. Prior to joining Goldman Sachs he worked in the Investment Banking Department M&amp;A at Sberbank CIB and in Fixed Income Research at Renaissance Capital.  Daniil graduated from the Higher School of Economics in Moscow with a BA in Management in 2011. He completed the Summer Finance School at the London School of Economics and Political Science (LSE) at the University of London in 2010. Anton Stepanenko — Chief Technology OfficerAnton joined Ozon as Platform Development Director in 2018 and became Ozon's Chief Technology Officer in early 2020 overseeing the company's software engineering and product development.Prior to joining Ozon Anton worked as head of technical projects at Yandex.Market where he was responsible for advancing the platform's indexing data collection and analysis search performance and scalability and application speed.From 2012–2016 Anton managed the platform development department at the social networking website Badoo. He later became vice president of engineering at Lazada Group where he was involved in automating development processes and developing a separate cloud for the company. Anton graduated from the department of Radio Engineering and Cybernetics at the Moscow Institute of Physics and Technology.Stanislav Kondratyev — CEO of Ozon Rocket Ozon`s logistics serviceStanislav oversees Ozon`s logistics customer service and support.Prior to joining Ozon in 2019 Stanislav worked at Elbrus Capital as an investment professional focused on investments into Russian internet media pharma and consumer companies. From 2013-2017 Stanislav worked in equity research at Goldman Sachs where he covered Russian CEEEMA and European internet and telecom companies. Prior to Goldman Sachs he worked for Uralsib Capital as a stock market analyst.Stanislav holds a master's degree in Economics from the New Economic School in Moscow.Anna Karpova — Business Development DirectorAnna joined Ozon as a purchasing manager in 2010 and became business development director in 2019 responsible for developing books home&amp;decor furniture DIY and automotive product categories.Prior to Ozon Anna worked as head of the book assortment department at Grand Fair publishing group from 2008–2010. She earlier served as a sales manager at the publishing house Rosman and worked at the book company Omega-L where she was involved in creating a logistics system for returns.Anna is a graduate of the Management Faculty of Moscow State University of Printing Arts and holds a degree in Foreign Economic Activity from the Higher School of Economics in Moscow. Alexander Gehl — Director of Ozon Fulfillment Services  Alexander joined the company as head of Ozon major fulfillment center in Tver in 2018 and was promoted to Director of Ozon Fulfillment Services in 2020.  Prior to Ozon Alexander held leading technical positions including as chief mechanic and chief engineer at a series of construction businesses. He earlier built a career with Coca-Cola HBC Eurasia starting as a distribution manager before rising to Country Transportation Manager and later Logistics Manager for the Moscow and North-West Region.  Alexander graduated from Ural State Technical University with a degree in engineering. Sergey Pankov — СЕО of Ozon Retail Sergey joined Ozon in 2019 as business development director in the Fresh category where he oversees the development of the company's online supermarket.  Prior to Ozon beginning in 2015 he served as CEO of myToys.ru an online store for children's products. From 2014-2015 Sergey was CEO of the packaging company VG Konturs where he managed several plants in Moscow and the Moscow region. Under his oversight the company developed a long-term strategy for the development and technical re-equipment of production processes.  Sergey holds a degree in Informational Systems in Economics from the Economics Department of Moscow Technical University of Communications and Informatics (MTUCI). Dmitry Mannanikov Corporate Security Director Dmitry joined Ozon in April 2020 where he is responsible for managing risk and maintaining assets as well as reducing collateral losses. Previously Dmitry was responsible for ensuring asset security in major corporations including OBI Russia SPSR Express and Energostream.  He has additional experience in banking and IT and teaches courses as part of the MBA programmes of the Russian Presidential Academy of National Economy and Public Administration (RANEPA). Maxim Melnichuk Corporate Security DirectorMaxim joined Ozon in November 2021 where he oversees company employee and asset security in addition to managing occupational health ecological and fire safety at the company.  Maxim has 20 years of experience working in the field of security in commercial and state sectors including significant expertise in maintaining commercial security in large organizations. Artem Afanasiev — General Counsel Artem heads the Legal Affairs Department and GR function at Ozon since early 2020 where he is responsible for supporting and overseeing all of the Group's existing and new business projects.  Artem began his legal career at the British law firm Freshfields Bruckhaus Deringer (London Moscow) and went on to join the US law firm Skadden Arps Slate Meagher &amp; Flom (Moscow New York London).  In 2014 Artem joined the Mercury Group as Director for Corporate Governance and Compliance at the Megapolis Trade Company (Moscow Amsterdam). In 2016 he was promoted to lead the legal compliance and M&amp;A functions at the Russian food retailer Dixy Group – another core asset of the Mercury Group where he also served as Deputy Chairman of the Management Board and was a member of the Board of Directors.  In 2019 as the General Counsel to the major Russian automobile group AVTOVAZ Artem facilitated the acquisition of the GM-AVTOVAZ car manufacturer and managed a full audit of the entire consolidated legal function of the AVTOVAZ group.  Artem is consistently included in the GC Powerlist (formerly the Corporate Counsel 100) published by The Legal 500. He is a member of the Association of Antimonopoly Experts of Russia and a member of the Expert Council on Foreign Investment under the Federal Antimonopoly Service of Russia.  Artem is a graduate of the Faculty of Law at Lomonosov Moscow State University and the Law Faculty at Sorbonne University (Paris). Irina Kaburova — Director of Human Resources Irina was appointed director of human resources at Ozon in 2019 where she brings more than 15 years of experience in the HR industry.  Prior to Ozon Irina spent eight years as head of the Talent Acquisition Department at Yandex where she created and led the company's executive search practice. During her time at Yandex Irina additionally established the company's business processes for recruitment. In 2008 she was responsible for recruitment at Luxoft a company specialising in software development and innovative IT solutions.  Irina holds a degree from the Department of Philology at Kaluga State University Tsiolkovsky. Iloanga Ershova — Business Development Director Iloanga joined Ozon as an intern in 2014 and was appointed Groceries manager in 2017. In 2019 she became Ozon's business development director overseeing the categories of Apparel and Shoes Beauty Health Products and Accessories. In addition she launched Ozon's Pharmacy offering from scratch after obtaining the necessary wholesale and retail pharmaceutical licenses. Iloanga and her team develop marketing and promotion strategies across Ozon's product categories as well as overseeing the launch of new products.  Prior to 2010 Iloanga studied at an Olympic Reserve School becoming a Master of Sports and a Champion of Russia in track and field.  She holds a BA in Management and an MA with honors in Innovation Management from Lomonosov Moscow State University.Sergey Belyakov — Managing Director Sergey joined Ozon in 2021 to oversee strategic projects and initiatives tied to the Company's e-commerce development.A longtime civil servant Sergey worked at the Russian Ministry of Economic Development from 2008 going on to serve as Deputy Minister from 2012 to 2014. Prior to joining the Ministry he worked at the Russian Union of Industrialists and Entrepreneurs. In 2016 Sergey was elected President of the Alliance of Pension Funds an association of non-governmental pension funds. From 2018 to 2021 he headed the Russian Association of Retail Companies (AKORT).Sergey holds a degree in Law from the Academy of the Federal Security Service of Russia.Mikhail Osin — Director of Ozon TravelMikhail joined the Ozon team in 2008 as Head of PR &amp; Marketing Communications. Then in 2011 he took over digital sales of the online platform and in 2015 became Ozon's Web Director to oversee the company's website and mobile app development.  In 2018 Mikhail Osin was appointed CEO at Ozon Travel which became part of the Ozon Marketplace in 2021.  Named one of Russia's Top-250 managers in 2018 by Kommerstant.ABOUT THE COMPANY    © 2022 Ozon   MEDIA  News﻿﻿Press about us  Media Kit  Images for Press  Сontacts for Media  About  Values   History    AwardsContacts       INVESTOR RESOURCES      Financials   SEC Filings    Shareholder information    Corporate Governance    Events  Convertible Bonds  PRIVACY POLICY    </v>
      </c>
    </row>
    <row r="597">
      <c r="A597" s="1" t="s">
        <v>1937</v>
      </c>
      <c r="B597" s="1" t="s">
        <v>1995</v>
      </c>
      <c r="D597" s="1">
        <v>5.0</v>
      </c>
      <c r="E597" s="4" t="s">
        <v>1996</v>
      </c>
      <c r="F597" s="1" t="s">
        <v>43</v>
      </c>
      <c r="G597" s="1" t="s">
        <v>97</v>
      </c>
      <c r="H597" s="4" t="s">
        <v>98</v>
      </c>
      <c r="I597" s="2">
        <v>0.0</v>
      </c>
      <c r="J597" s="5" t="str">
        <f>IFERROR(__xludf.DUMMYFUNCTION("GOOGLETRANSLATE(A597)"),"ozone")</f>
        <v>ozone</v>
      </c>
      <c r="K597" s="6" t="str">
        <f>IFERROR(__xludf.DUMMYFUNCTION("GOOGLETRANSLATE(B597)"),"Ozone: online online store 17+ - App Store")</f>
        <v>Ozone: online online store 17+ - App Store</v>
      </c>
      <c r="L597" s="5" t="str">
        <f>IFERROR(__xludf.DUMMYFUNCTION("GOOGLETRANSLATE(C597)"),"#VALUE!")</f>
        <v>#VALUE!</v>
      </c>
      <c r="M597" s="5" t="str">
        <f>IFERROR(__xludf.DUMMYFUNCTION("GOOGLETRANSLATE(G597)"),"App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598">
      <c r="A598" s="1" t="s">
        <v>1937</v>
      </c>
      <c r="B598" s="1" t="s">
        <v>1997</v>
      </c>
      <c r="C598" s="1" t="s">
        <v>1998</v>
      </c>
      <c r="D598" s="1">
        <v>9.0</v>
      </c>
      <c r="E598" s="4" t="s">
        <v>1999</v>
      </c>
      <c r="F598" s="1" t="s">
        <v>43</v>
      </c>
      <c r="G598" s="1" t="s">
        <v>2000</v>
      </c>
      <c r="H598" s="4" t="s">
        <v>2001</v>
      </c>
      <c r="I598" s="2">
        <v>3.0</v>
      </c>
      <c r="J598" s="5" t="str">
        <f>IFERROR(__xludf.DUMMYFUNCTION("GOOGLETRANSLATE(A598)"),"ozone")</f>
        <v>ozone</v>
      </c>
      <c r="K598" s="6" t="str">
        <f>IFERROR(__xludf.DUMMYFUNCTION("GOOGLETRANSLATE(B598)"),"Ozon Holdings PLC (OZON) Stock Price, News, Quote &amp; ...")</f>
        <v>Ozon Holdings PLC (OZON) Stock Price, News, Quote &amp; ...</v>
      </c>
      <c r="L598" s="5" t="str">
        <f>IFERROR(__xludf.DUMMYFUNCTION("GOOGLETRANSLATE(C598)"),"Find the latest Ozon Holdings PLC (OZON) stock quote, history, news and other vital information to help you with your stock trading and investing.")</f>
        <v>Find the latest Ozon Holdings PLC (OZON) stock quote, history, news and other vital information to help you with your stock trading and investing.</v>
      </c>
      <c r="M598" s="5" t="str">
        <f>IFERROR(__xludf.DUMMYFUNCTION("GOOGLETRANSLATE(G598)"),"Yahoo Finance - Stock Market Live Quotes Business &amp; Finance NewsHomeMailNewsFinanceSportsEntertainmentSearchMobileMore...Yahoo FinanceSearchSkip to NavigationSkip to Main ContentSkip to Related ContentSign inMailSign in to view your mailFinance HomeWatchl"&amp;"istsMy PortfolioMarketsNewsVideosYahoo Finance PlusScreenersYahoo Finance InvestPersonal FinanceCryptoSectorsContact Us                  AdvertisementU.S. markets closedS&amp;P 5004415.24+67.89(+1.56%)Dow 3034283.10+391.16(+1.15%)Nasdaq13798.11+276.66(+2.05%)"&amp;"Russell 20001705.32+18.09(+1.07%)Crude Oil77.35+1.61(+2.13%)Gold1942.70-27.10(-1.38%)                  Advertisement                  Advertisement                  Advertisement                  AdvertisementWomen taking retirement saving seriously surve"&amp;"ys showThis year there has been a heady 48% growth in new women customers opening individual accounts compared to 2019.Yahoo FinanceHigh interest rates cool America's love for home remodeling Yahoo FinanceReview: Latest iMac packs solid performance and sl"&amp;"eek designYahoo FinanceHouse Speaker Johnson unveils a two-step stopgap billReuters13 : 30Boston Dynamics says robots could be in homes in 10 to 20 yearsYahoo Finance Video14 : 36Short-term gain is long-term failure: Olympian Lindsey VonnYahoo Finance Vid"&amp;"eoWhy Trump’s fraud trial feels underwhelmingYahoo FinanceHollywood actors to vote on strike dealYahoo FinanceI bonds just got more attractive in two key waysYahoo FinanceBusinessFortuneA grocery chain is removing self-checkout after realizing executives "&amp;"hate it as much as customers do: ‘We like to talk to people’The supermarket chain Booths says self-scan machines can be more trouble than they're worth.BusinessBarrons.comSchwab’s Unrealized Bond Losses Widened to $19.4 Billion. Why Investors Should Care."&amp;"The unrealized paper losses in a key part of its large bond portfolio widened in the third quarter to $19.4 billion.BusinessSmartAsset84% of Retirees Are Making This RMD Mistake. You Don't Have to Be One of ThemThough retirees are only required to take a "&amp;"certain portion of their retirement savings out as distributions each year a study from JPMorgan Chase shows that there is likely good reason to take out more. A withdrawal approach based solely on … Continue reading → The post 84% of Retirees Are Making "&amp;"This RMD Mistake appeared first on SmartAsset Blog.BusinessSmartAssetAmericans' Average Net Worth By AgeNet worth is the difference between your assets – what you own – and your liabilities – what you owe. This figure represents your financial health at a"&amp;" given point in time providing a snapshot of your current financial position. But understanding the distinction between average net worth and median net worth is crucial when […] The post Average vs. Median Net Worth appeared first on SmartReads by SmartA"&amp;"sset.My Portfolio &amp; MarketsCustomizeRecently ViewedYour list is empty.Latest Research ReportsPremium analysis from Morningstar &amp; ArgusQCOMNeutralQUALCOMM Incorporated: Qualcomm Earnings: A Slow and Steady Recovery in Smartphone Demand23 hours ago • Mornin"&amp;"gstarSENeutralSea Limited: New Proposed Indonesia Law Long-Term Incrementally Positive for GoTo and Sea but Questions Remain23 hours ago • MorningstarARNeutralAntero Resources Corporation: Antero Earnings: Stronger-Than-Expected Production Boosts Our Fair"&amp;" Value Estimate by 10%23 hours ago • MorningstarView all research reports                  AdvertisementMy WatchlistsSign-in to view your list and add symbols.Sign InCryptocurrenciesSymbolLast PriceChange% Change                  AdvertisementTrending Tic"&amp;"kersSymbolLast PriceChange% ChangeStocks: Most ActivesSymbolLast PriceChange% ChangeStocks: GainersSymbolLast PriceChange% ChangeStocks: LosersSymbolLast PriceChange% ChangeTop Mutual FundsSymbolLast PriceChange% ChangeTop ETFsSymbolLast PriceChange% Chan"&amp;"geCurrenciesSymbolLast PriceChange% ChangeFuturesSymbolLast PriceChange% ChangeOptions: Highest OISymbolLast PriceChange% ChangeOptions: Highest Implied VolatilitySymbolLast PriceChange% Change                   Advertisement Data DisclaimerHelpSuggestion"&amp;"sTermsandPrivacy PolicyPrivacy DashboardAbout Our AdsSitemap© 2023 Yahoo. All rights reserved.")</f>
        <v>Yahoo Finance - Stock Market Live Quotes Business &amp; Finance NewsHomeMailNewsFinanceSportsEntertainmentSearchMobileMore...Yahoo FinanceSearchSkip to NavigationSkip to Main ContentSkip to Related ContentSign inMailSign in to view your mailFinance HomeWatchlistsMy PortfolioMarketsNewsVideosYahoo Finance PlusScreenersYahoo Finance InvestPersonal FinanceCryptoSectorsContact Us                  AdvertisementU.S. markets closedS&amp;P 5004415.24+67.89(+1.56%)Dow 3034283.10+391.16(+1.15%)Nasdaq13798.11+276.66(+2.05%)Russell 20001705.32+18.09(+1.07%)Crude Oil77.35+1.61(+2.13%)Gold1942.70-27.10(-1.38%)                  Advertisement                  Advertisement                  Advertisement                  AdvertisementWomen taking retirement saving seriously surveys showThis year there has been a heady 48% growth in new women customers opening individual accounts compared to 2019.Yahoo FinanceHigh interest rates cool America's love for home remodeling Yahoo FinanceReview: Latest iMac packs solid performance and sleek designYahoo FinanceHouse Speaker Johnson unveils a two-step stopgap billReuters13 : 30Boston Dynamics says robots could be in homes in 10 to 20 yearsYahoo Finance Video14 : 36Short-term gain is long-term failure: Olympian Lindsey VonnYahoo Finance VideoWhy Trump’s fraud trial feels underwhelmingYahoo FinanceHollywood actors to vote on strike dealYahoo FinanceI bonds just got more attractive in two key waysYahoo FinanceBusinessFortuneA grocery chain is removing self-checkout after realizing executives hate it as much as customers do: ‘We like to talk to people’The supermarket chain Booths says self-scan machines can be more trouble than they're worth.BusinessBarrons.comSchwab’s Unrealized Bond Losses Widened to $19.4 Billion. Why Investors Should Care.The unrealized paper losses in a key part of its large bond portfolio widened in the third quarter to $19.4 billion.BusinessSmartAsset84% of Retirees Are Making This RMD Mistake. You Don't Have to Be One of ThemThough retirees are only required to take a certain portion of their retirement savings out as distributions each year a study from JPMorgan Chase shows that there is likely good reason to take out more. A withdrawal approach based solely on … Continue reading → The post 84% of Retirees Are Making This RMD Mistake appeared first on SmartAsset Blog.BusinessSmartAssetAmericans' Average Net Worth By AgeNet worth is the difference between your assets – what you own – and your liabilities – what you owe. This figure represents your financial health at a given point in time providing a snapshot of your current financial position. But understanding the distinction between average net worth and median net worth is crucial when […] The post Average vs. Median Net Worth appeared first on SmartReads by SmartAsset.My Portfolio &amp; MarketsCustomizeRecently ViewedYour list is empty.Latest Research ReportsPremium analysis from Morningstar &amp; ArgusQCOMNeutralQUALCOMM Incorporated: Qualcomm Earnings: A Slow and Steady Recovery in Smartphone Demand23 hours ago • MorningstarSENeutralSea Limited: New Proposed Indonesia Law Long-Term Incrementally Positive for GoTo and Sea but Questions Remain23 hours ago • MorningstarARNeutralAntero Resources Corporation: Antero Earnings: Stronger-Than-Expected Production Boosts Our Fair Value Estimate by 10%23 hours ago • MorningstarView all research reports                  AdvertisementMy WatchlistsSign-in to view your list and add symbols.Sign InCryptocurrenciesSymbolLast PriceChange% Change                  AdvertisementTrending TickersSymbolLast PriceChange% ChangeStocks: Most ActivesSymbolLast PriceChange% ChangeStocks: GainersSymbolLast PriceChange% ChangeStocks: LosersSymbolLast PriceChange% ChangeTop Mutual FundsSymbolLast PriceChange% ChangeTop ETFsSymbolLast PriceChange% ChangeCurrenciesSymbolLast PriceChange% ChangeFuturesSymbolLast PriceChange% ChangeOptions: Highest OISymbolLast PriceChange% ChangeOptions: Highest Implied VolatilitySymbolLast PriceChange% Change                   Advertisement Data DisclaimerHelpSuggestionsTermsandPrivacy PolicyPrivacy DashboardAbout Our AdsSitemap© 2023 Yahoo. All rights reserved.</v>
      </c>
    </row>
    <row r="599">
      <c r="A599" s="1" t="s">
        <v>1937</v>
      </c>
      <c r="B599" s="1" t="s">
        <v>2002</v>
      </c>
      <c r="D599" s="1">
        <v>10.0</v>
      </c>
      <c r="E599" s="4" t="s">
        <v>2003</v>
      </c>
      <c r="F599" s="1" t="s">
        <v>43</v>
      </c>
      <c r="G599" s="1" t="s">
        <v>302</v>
      </c>
      <c r="H599" s="4" t="s">
        <v>303</v>
      </c>
      <c r="I599" s="2">
        <v>4.0</v>
      </c>
      <c r="J599" s="5" t="str">
        <f>IFERROR(__xludf.DUMMYFUNCTION("GOOGLETRANSLATE(A599)"),"ozone")</f>
        <v>ozone</v>
      </c>
      <c r="K599" s="6" t="str">
        <f>IFERROR(__xludf.DUMMYFUNCTION("GOOGLETRANSLATE(B599)"),"The Great Book of Prophets 1 book. Seeing time. Ozone")</f>
        <v>The Great Book of Prophets 1 book. Seeing time. Ozone</v>
      </c>
      <c r="L599" s="5" t="str">
        <f>IFERROR(__xludf.DUMMYFUNCTION("GOOGLETRANSLATE(C599)"),"#VALUE!")</f>
        <v>#VALUE!</v>
      </c>
      <c r="M599" s="5" t="str">
        <f>IFERROR(__xludf.DUMMYFUNCTION("GOOGLETRANSLATE(G599)"),"Google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600">
      <c r="A600" s="1" t="s">
        <v>1937</v>
      </c>
      <c r="B600" s="1" t="s">
        <v>2004</v>
      </c>
      <c r="D600" s="1">
        <v>11.0</v>
      </c>
      <c r="E600" s="4" t="s">
        <v>2005</v>
      </c>
      <c r="F600" s="1" t="s">
        <v>43</v>
      </c>
      <c r="G600" s="1" t="s">
        <v>302</v>
      </c>
      <c r="H600" s="4" t="s">
        <v>303</v>
      </c>
      <c r="I600" s="2">
        <v>4.0</v>
      </c>
      <c r="J600" s="5" t="str">
        <f>IFERROR(__xludf.DUMMYFUNCTION("GOOGLETRANSLATE(A600)"),"ozone")</f>
        <v>ozone</v>
      </c>
      <c r="K600" s="6" t="str">
        <f>IFERROR(__xludf.DUMMYFUNCTION("GOOGLETRANSLATE(B600)"),"The great book of the prophets. 3 pr. Prophecies of the New Age. Ozone")</f>
        <v>The great book of the prophets. 3 pr. Prophecies of the New Age. Ozone</v>
      </c>
      <c r="L600" s="5" t="str">
        <f>IFERROR(__xludf.DUMMYFUNCTION("GOOGLETRANSLATE(C600)"),"#VALUE!")</f>
        <v>#VALUE!</v>
      </c>
      <c r="M600" s="5" t="str">
        <f>IFERROR(__xludf.DUMMYFUNCTION("GOOGLETRANSLATE(G600)"),"Google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601">
      <c r="A601" s="1" t="s">
        <v>1937</v>
      </c>
      <c r="B601" s="1" t="s">
        <v>1950</v>
      </c>
      <c r="D601" s="1">
        <v>12.0</v>
      </c>
      <c r="E601" s="4" t="s">
        <v>2006</v>
      </c>
      <c r="F601" s="1" t="s">
        <v>43</v>
      </c>
      <c r="G601" s="1" t="s">
        <v>38</v>
      </c>
      <c r="H601" s="4" t="s">
        <v>39</v>
      </c>
      <c r="I601" s="2">
        <v>1.0</v>
      </c>
      <c r="J601" s="5" t="str">
        <f>IFERROR(__xludf.DUMMYFUNCTION("GOOGLETRANSLATE(A601)"),"ozone")</f>
        <v>ozone</v>
      </c>
      <c r="K601" s="6" t="str">
        <f>IFERROR(__xludf.DUMMYFUNCTION("GOOGLETRANSLATE(B601)"),"Ozone")</f>
        <v>Ozone</v>
      </c>
      <c r="L601" s="5" t="str">
        <f>IFERROR(__xludf.DUMMYFUNCTION("GOOGLETRANSLATE(C601)"),"#VALUE!")</f>
        <v>#VALUE!</v>
      </c>
      <c r="M601" s="5" t="str">
        <f>IFERROR(__xludf.DUMMYFUNCTION("GOOGLETRANSLATE(G601)"),"YouTubeAboutPressCopyrightContact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602">
      <c r="A602" s="1" t="s">
        <v>1937</v>
      </c>
      <c r="B602" s="1" t="s">
        <v>2007</v>
      </c>
      <c r="D602" s="1">
        <v>13.0</v>
      </c>
      <c r="E602" s="4" t="s">
        <v>2008</v>
      </c>
      <c r="F602" s="1" t="s">
        <v>43</v>
      </c>
      <c r="G602" s="1" t="s">
        <v>376</v>
      </c>
      <c r="H602" s="4" t="s">
        <v>377</v>
      </c>
      <c r="I602" s="2">
        <v>3.0</v>
      </c>
      <c r="J602" s="5" t="str">
        <f>IFERROR(__xludf.DUMMYFUNCTION("GOOGLETRANSLATE(A602)"),"ozone")</f>
        <v>ozone</v>
      </c>
      <c r="K602" s="6" t="str">
        <f>IFERROR(__xludf.DUMMYFUNCTION("GOOGLETRANSLATE(B602)"),"François Ozon")</f>
        <v>François Ozon</v>
      </c>
      <c r="L602" s="5" t="str">
        <f>IFERROR(__xludf.DUMMYFUNCTION("GOOGLETRANSLATE(C602)"),"#VALUE!")</f>
        <v>#VALUE!</v>
      </c>
      <c r="M602" s="5" t="str">
        <f>IFERROR(__xludf.DUMMYFUNCTION("GOOGLETRANSLATE(G602)"),"IMDb: Ratings Reviews and Where to Watch the Best Movies &amp; TV Shows MenuMoviesRelease CalendarTop 250 MoviesMost Popular MoviesBrowse Movies by GenreTop Box OfficeShowtimes &amp; TicketsMovie NewsIndia Movie SpotlightTV ShowsWhat's on TV &amp; StreamingTop 250 TV"&amp;" ShowsMost Popular TV ShowsBrowse TV Shows by GenreTV NewsWatchWhat to WatchLatest TrailersIMDb OriginalsIMDb PicksIMDb PodcastsAwards &amp; EventsOscarsEmmysHoliday PicksMAMISTARmeter AwardsAwards CentralFestival CentralAll EventsCelebsBorn TodayMost Popular"&amp;" CelebsCelebrity NewsCommunityHelp CenterContributor ZonePollsFor Industry ProfessionalsLanguageEnglish (United States)LanguageFully supportedEnglish (United States)Partially supportedFrançais (Canada)Français (France)Deutsch (Deutschland)हिंदी (भारत)Ital"&amp;"iano (Italia)Português (Brasil)Español (España)Español (México)AllAllTitlesTV EpisodesCelebsCompaniesKeywordsAdvanced SearchWatchlistSign InSign InNew Customer? Create accountENFully supportedEnglish (United States)Partially supportedFrançais (Canada)Fran"&amp;"çais (France)Deutsch (Deutschland)हिंदी (भारत)Italiano (Italia)Português (Brasil)Español (España)Español (México)Use app1:59Millie Bobby Brown Stars in 'Damsel'1:59Netflix Drops First Teaser2:46Ms. Marvel Needs Help2:46What Iman Learned From Brie and Teyo"&amp;"nah1:31Meet Riley's New Emotions in 'Inside Out 2'1:31Watch the New Pixar Teaser1:005 Streamable Sci-Fi Classics1:00Top Picks All Award-Winners2:00'Ghostbusters: Frozen Empire'2:00Watch the Teaser1:33What You Need to Know About 'The Color Purple'1:33Get D"&amp;"etails on the New Movie Musical2:01""Reacher"" Returns2:01Watch the Season 2 Trailer0:57What to Watch After ""Bodies""0:575 Top Picks Streaming Now2:01'The Marvels' Final Trailer Drops2:01See Tessa Thompson's Return as Valkyrie1:40""Avatar: The Last Airbe"&amp;"nder""1:40Netflix Shares the First Trailer2:17Eddie Murphy Is Going to 'Candy Cane Lane'2:17Watch the Trailer0:42Michelle Yeoh Stars in ""The Brothers Sun""0:42Watch the Series Teaser2:26Brie Larson Is Having a Year2:26Look Back at Her Career2:07'Mean Gir"&amp;"ls' Are Back2:07Watch the Fetch New Trailer1:20Swifties in Movies and TV1:20Watch Some Memorable MomentsUp next1:20Swifties in Movies and TVWatch Some Memorable Moments1:59Millie Bobby Brown Stars in 'Damsel'Netflix Drops First Teaser2:46Ms. Marvel Needs "&amp;"HelpWhat Iman Learned From Brie and Teyonah1:31Meet Riley's New Emotions in 'Inside Out 2'Watch the New Pixar Teaser1:005 Streamable Sci-Fi ClassicsTop Picks All Award-Winners2:00'Ghostbusters: Frozen Empire'Watch the TeaserBrowse trailersFeatured todayLi"&amp;"stNovember Picks: 'The Killer' 'The Marvels' and MoreSee the listListTV Tracker: Renewed and Canceled ShowsCheck the statusPhotosThe Best On-Screen AssassinsSee the galleryPhotosThe Latest (and Greatest) New PostersSee more postersPhotosEnter the IMDb Por"&amp;"trait Studio at MAMI 2023See the galleryPhotosAdorable Red Carpet PhotosSee the galleryListWho Are the 2024 Grammy Nominees?See the full listList2023 MAMI Mumbai Film Festival WinnersSee the winnersPhotos'Dream Scenario' and More New StillsSee more stills"&amp;"What to watchGet more recommendationsMore to watchIMDb helps you select the perfect next show or movie to watch.Watch GuideMost PopularExclusive videosIMDb OriginalsCelebrity interviews trending entertainment stories and expert analysis3:26Shah Rukh Khan "&amp;"on 'Jawan' and MoreWatch the video1:33Get Details on This New Movie MusicalWatch now2:26Brie Larson Is Having a YearWatch now2:15How Cailee and Jacob Became Priscilla and ElvisWatch the interview1:005 Award-Winning Sci-Fi PicksStream these now3:13Best Cha"&amp;"racter Moments in 'The Hunger Games'Watch nowExplore what’s streamingExplore Movies &amp; TV showsMore to exploreRecently viewedYou have no recently viewed pagesGet the IMDb AppSign in for more accessSign in for more accessGet the IMDb AppHelpSite IndexIMDbPr"&amp;"oBox Office MojoIMDb DeveloperPress RoomAdvertisingJobsConditions of UsePrivacy PolicyYour Ads Privacy ChoicesIMDb an Amazon company© 1990-2023 by IMDb.com Inc.Back to top")</f>
        <v>IMDb: Ratings Reviews and Where to Watch the Best Movies &amp; TV Shows MenuMoviesRelease CalendarTop 250 MoviesMost Popular MoviesBrowse Movies by GenreTop Box OfficeShowtimes &amp; TicketsMovie NewsIndia Movie SpotlightTV ShowsWhat's on TV &amp; StreamingTop 250 TV ShowsMost Popular TV ShowsBrowse TV Shows by GenreTV NewsWatchWhat to WatchLatest TrailersIMDb OriginalsIMDb PicksIMDb PodcastsAwards &amp; EventsOscarsEmmysHoliday PicksMAMISTARmeter AwardsAwards CentralFestival CentralAll EventsCelebsBorn TodayMost Popular CelebsCelebrity NewsCommunityHelp CenterContributor ZonePollsFor Industry ProfessionalsLanguageEnglish (United States)LanguageFully supportedEnglish (United States)Partially supportedFrançais (Canada)Français (France)Deutsch (Deutschland)हिंदी (भारत)Italiano (Italia)Português (Brasil)Español (España)Español (México)AllAllTitlesTV EpisodesCelebsCompaniesKeywordsAdvanced SearchWatchlistSign InSign InNew Customer? Create accountENFully supportedEnglish (United States)Partially supportedFrançais (Canada)Français (France)Deutsch (Deutschland)हिंदी (भारत)Italiano (Italia)Português (Brasil)Español (España)Español (México)Use app1:59Millie Bobby Brown Stars in 'Damsel'1:59Netflix Drops First Teaser2:46Ms. Marvel Needs Help2:46What Iman Learned From Brie and Teyonah1:31Meet Riley's New Emotions in 'Inside Out 2'1:31Watch the New Pixar Teaser1:005 Streamable Sci-Fi Classics1:00Top Picks All Award-Winners2:00'Ghostbusters: Frozen Empire'2:00Watch the Teaser1:33What You Need to Know About 'The Color Purple'1:33Get Details on the New Movie Musical2:01"Reacher" Returns2:01Watch the Season 2 Trailer0:57What to Watch After "Bodies"0:575 Top Picks Streaming Now2:01'The Marvels' Final Trailer Drops2:01See Tessa Thompson's Return as Valkyrie1:40"Avatar: The Last Airbender"1:40Netflix Shares the First Trailer2:17Eddie Murphy Is Going to 'Candy Cane Lane'2:17Watch the Trailer0:42Michelle Yeoh Stars in "The Brothers Sun"0:42Watch the Series Teaser2:26Brie Larson Is Having a Year2:26Look Back at Her Career2:07'Mean Girls' Are Back2:07Watch the Fetch New Trailer1:20Swifties in Movies and TV1:20Watch Some Memorable MomentsUp next1:20Swifties in Movies and TVWatch Some Memorable Moments1:59Millie Bobby Brown Stars in 'Damsel'Netflix Drops First Teaser2:46Ms. Marvel Needs HelpWhat Iman Learned From Brie and Teyonah1:31Meet Riley's New Emotions in 'Inside Out 2'Watch the New Pixar Teaser1:005 Streamable Sci-Fi ClassicsTop Picks All Award-Winners2:00'Ghostbusters: Frozen Empire'Watch the TeaserBrowse trailersFeatured todayListNovember Picks: 'The Killer' 'The Marvels' and MoreSee the listListTV Tracker: Renewed and Canceled ShowsCheck the statusPhotosThe Best On-Screen AssassinsSee the galleryPhotosThe Latest (and Greatest) New PostersSee more postersPhotosEnter the IMDb Portrait Studio at MAMI 2023See the galleryPhotosAdorable Red Carpet PhotosSee the galleryListWho Are the 2024 Grammy Nominees?See the full listList2023 MAMI Mumbai Film Festival WinnersSee the winnersPhotos'Dream Scenario' and More New StillsSee more stillsWhat to watchGet more recommendationsMore to watchIMDb helps you select the perfect next show or movie to watch.Watch GuideMost PopularExclusive videosIMDb OriginalsCelebrity interviews trending entertainment stories and expert analysis3:26Shah Rukh Khan on 'Jawan' and MoreWatch the video1:33Get Details on This New Movie MusicalWatch now2:26Brie Larson Is Having a YearWatch now2:15How Cailee and Jacob Became Priscilla and ElvisWatch the interview1:005 Award-Winning Sci-Fi PicksStream these now3:13Best Character Moments in 'The Hunger Games'Watch nowExplore what’s streamingExplore Movies &amp; TV showsMore to exploreRecently viewedYou have no recently viewed pagesGet the IMDb AppSign in for more accessSign in for more accessGet the IMDb AppHelpSite IndexIMDbProBox Office MojoIMDb DeveloperPress RoomAdvertisingJobsConditions of UsePrivacy PolicyYour Ads Privacy ChoicesIMDb an Amazon company© 1990-2023 by IMDb.com Inc.Back to top</v>
      </c>
    </row>
    <row r="603">
      <c r="A603" s="1" t="s">
        <v>1937</v>
      </c>
      <c r="B603" s="1" t="s">
        <v>2009</v>
      </c>
      <c r="C603" s="1" t="s">
        <v>2010</v>
      </c>
      <c r="D603" s="1">
        <v>14.0</v>
      </c>
      <c r="E603" s="4" t="s">
        <v>2011</v>
      </c>
      <c r="F603" s="1" t="s">
        <v>43</v>
      </c>
      <c r="G603" s="1" t="s">
        <v>2012</v>
      </c>
      <c r="H603" s="4" t="s">
        <v>2013</v>
      </c>
      <c r="I603" s="2">
        <v>4.0</v>
      </c>
      <c r="J603" s="5" t="str">
        <f>IFERROR(__xludf.DUMMYFUNCTION("GOOGLETRANSLATE(A603)"),"ozone")</f>
        <v>ozone</v>
      </c>
      <c r="K603" s="6" t="str">
        <f>IFERROR(__xludf.DUMMYFUNCTION("GOOGLETRANSLATE(B603)"),"Tropospheric ozone | Coalition for the climate and clean ...")</f>
        <v>Tropospheric ozone | Coalition for the climate and clean ...</v>
      </c>
      <c r="L603" s="5" t="str">
        <f>IFERROR(__xludf.DUMMYFUNCTION("GOOGLETRANSLATE(C603)"),"In the stratosphere, ozone protects life on Earth from ultraviolet radiation of the sun. In the troposphere, this is a powerful greenhouse gas and air pollutant that is harmful ...")</f>
        <v>In the stratosphere, ozone protects life on Earth from ultraviolet radiation of the sun. In the troposphere, this is a powerful greenhouse gas and air pollutant that is harmful ...</v>
      </c>
      <c r="M603" s="5" t="str">
        <f>IFERROR(__xludf.DUMMYFUNCTION("GOOGLETRANSLATE(G603)"),"Climate and Clean Air Coalition | Homepage | Climate &amp; Clean Air CoalitionSkip to main contentWelcome to our new website! We've gotten a new look and added new features to provide more accurate up-to-date information on climate and clean air action. Main "&amp;"navigation            About SLCPs                About SLCPs                    Back                             About SLCPs                      Why we need to act now          Learn more            Short-lived climate pollutants                Short-liv"&amp;"ed climate pollutants                    Back                             Short-lived climate pollutants                      Methane              Hydrofluorocarbons              Black carbon              Tropospheric ozone                      Sector sol"&amp;"utions                Sector solutions                    Back                             Sector solutions                      Agriculture              Cooling              Fossil Fuels              Household Energy              Transport              W"&amp;"aste                      Benefits of action                Benefits of action                    Back                             Benefits of action                      Climate              Health              Food security              Economic develop"&amp;"ment              Global Goals                      Who we are                Who we are                    Back                             Who we are                      We are the only international body working to connect climate and clean air action"&amp;"          Our strategy            About us                About us                    Back                             About us                      History              Funding              Governance              Annual reports              Contact us  "&amp;"            Get involved                      Our partners                Our partners                    Back                             Our partners                      State              Non-state              Partner directory                      O"&amp;"ur hubs                Our hubs                    Back                             Our hubs                      Agriculture              Cooling              Fossil fuels              Heavy-duty vehicles              Household energy              Nation"&amp;"al planning              Waste                      Our work                Our work                    Back                             Our work                      Our work in over 70 countries delivers climate and clean air action where it is most nee"&amp;"ded          Our projects            Our approach                Our approach                    Back                             Our approach                      Policy development              Sector mitigation              Science policy              "&amp;"Political leadership &amp; cooperation              Climate commitments                      Project funding                Project funding                    Back                             Project funding                      Project portfolio             "&amp;" Key project figures              Our results              Calls for proposals              Applicant resources                      Technical assistance services                Technical assistance services                    Back                        "&amp;"     Technical assistance services                      Targeted expert assistance              National experts              GMP support                      Tools &amp; resources                Tools &amp; resources                    Back                      "&amp;"       Tools &amp; resources                      Our assessments help inform ambitious policies with social economic and environmental benefits          Learn more            CCAC assessments                CCAC assessments                    Back           "&amp;"                  CCAC assessments                      Global Methane Assessment              Africa Integrated Assessment              Asia Integrated Assessment              Resource library              Policy database                      News &amp; even"&amp;"ts                News &amp; events                    Back                             News &amp; events                      Sign up to our newsletter for updates from the partnership funding opportunities and job announcements          Read more    Media resou"&amp;"rces                      Global initiatives                Global initiatives                    Back                             Global initiatives                      Global Methane Pledge              BreatheLife campaign              International C"&amp;"lean Air Day              News &amp; updates              Newsletter                      Events &amp; meetings                Events &amp; meetings                    Back                             Events &amp; meetings                      Climate weeks and COP28    "&amp;"            Climate and Clean Air CoalitionWe are the only international body working to connect climate and air quality action                Learn more                   Global Methane Pledge supportThe CCAC acts as the Secretariat of the Global Methane"&amp;" Pledge to support countries in achieving their GMP commitments                  Our services                   Towards sustainable development objectives in AfricaOur new assessment shows how integrated climate and air quality measures can achieve substa"&amp;"ntial benefits for the African continent                Learn more                Why climate and clean air?Actions that address climate change and air pollution at the same time achieve greater results. We promote actions to reduce short-lived climate po"&amp;"llutants that have quick impacts on global warming air quality food security and human health.1/32/33/3 Previous   What are short-lived climate pollutants?Short-lived climate pollutants have a strong near-term warming effect on the climate and significant"&amp;" impacts on our health and the environment.                 About SLCPs                MethaneBlack carbonHydrofluorocarbonsTropospheric ozone   How can we reduce short-lived climate pollutants?Simple actions such as plugging methane leaks from oil and ga"&amp;"s production banning agricultural burning and composting food waste can drastically reduce emissions.                Solutions                  Implementing solutions available nowcan avoid up to 0.6°Cof warming by 2050   How we support actionThe Climate "&amp;"and Clean Air Coalition leverages science finance and political will to drive global action on short-lived climate pollutants.                 Our approach                Policy developmentSector mitigationScience-policyPolitical leadership and cooperatio"&amp;"n Previous Next News &amp; updatesSelect a topic of interestAgricultureBrick productionCoolingEmissions assessmentsFinanceFossil fuelsPublic healthHeavy-duty vehicles and enginesHousehold EnergyNational policy and planningWasteBosnia and Herzegovina Embarks O"&amp;"n SLCP Reductions Mission News          11 Nov 2023        Bosnia and Herzegovina Embarks On SLCP Reductions MissionClean Refrigeration Technology Rapidly Increasing in Supermarkets Around the World News          10 Nov 2023        Clean Refrigeration Tec"&amp;"hnology Rapidly Increasing in Supermarkets Around the WorldMeasurement Tools Accelerate Clean Cooking Potential In Nepal News          27 Oct 2023        Measurement Tools Accelerate Clean Cooking Potential In NepalUS EPA Releases New Food Waste Reports N"&amp;"ews          24 Oct 2023        US EPA Releases New Food Waste ReportsCCAC National Project Coordinator for Gabon Job opening          24 Oct 2023        CCAC National Project Coordinator for GabonEuro VI and beyond: What next for the mission to eliminate"&amp;" transport sector pollutants?  News          19 Oct 2023        Euro VI and beyond: What next for the mission to eliminate transport sector pollutants? See lessSee moreSee more news &amp; updates Events &amp; meetings CCAC governance meetingClimate and Clean Air "&amp;"Conference 202421 February 2024 - 23 February 202409:00 - 17:00(Nairobi) Reducing methane emissions in the oil and gas sector11 December 202310:00 - 11:00(Dubai)COP28 VenueDubaiUnited Arab EmiratesSide event ofCCAC at COP28 Side eventLaunch of UNEP Food W"&amp;"aste Index Report 202310 December 202311:45 - 12:30(Dubai)UNEP PavilionDubaiUnited Arab EmiratesSide event ofCCAC at COP28See more events &amp; meetingsSign up for our email alerts to receive regular updates on our work events and funding opportunities  Subsc"&amp;"ribeOUR PARTNERS AND PROJECTSThe Climate and Clean Air Coalition is a partnership of over 160 governments and organisations committed to reducing short-lived climate pollutants. We work in over 70 countries around the world.   PartnersProjectsSelect / Des"&amp;"elect AllState partners (80)Non-state partners (82)Select / Deselect All (226)Agriculture (31)Brick production (6)Cooling (16)Emissions assessments (3)Finance (3)Fossil fuels (6)Public health (7)Heavy-duty vehicles and engines (11)Household Energy (21)Nat"&amp;"ional policy and planning (89)Waste (45)Our impactOur projects and programmes span the globle delivering climate and clean air action where it is most needed.     80      state partners      82      non-state partners      50%      global SLCP mitigation "&amp;"potential within our partnership      75      countries supported by CCAC funding  Tools &amp; resourcesVisit our resource library to see all policies emissions calculation tools training materials and more.     Image      Reports Case Studies &amp; AssessmentsGl"&amp;"obal Methane Assessment: 2030 Baseline Report        Read more          Event Documents2023Event documents: Workshop on Preventing the Dumping of New Inefficient Cooling Equipment Using High-GWP Refrigerants 2023The Imperative of Cutting Methane from Foss"&amp;"il Fuels  2023MRAP Workshop Virtual Workshop Series - Building Block 1See more resourcesFooter menuAbout SLCPsShort-lived climate pollutantsSector solutionsBenefits of actionWho we areAbout usOur partnersOur hubsOur workOur approachProject fundingTechnica"&amp;"l assistance servicesTools &amp; resourcesCCAC assessmentsResource libraryPolicy databaseNews &amp; eventsMedia resourcesGlobal initiativesNews &amp; updatesNewsletterEvents &amp; meetings        This website is managed by the CCAC Secretariat and is hosted by the UN Env"&amp;"ironment Programme. The content on this site does not necessarily represent the views of the individual partners.              Follow us on                 NEWSLETTER                  Sign up for CCAC alerts to receive regular updates on our work events a"&amp;"nd opportunities for funding and collaboration.              Subscribe                Subscribe for updates                  If you would like to receive periodic updates about the CCAC please complete the form below.         Select your areas of interest"&amp;" to receive updates from our hubs about relevant events meetings and funding opportunities.Agriculture HubCooling HubFossil Fuels HubHeavy-Duty Vehicles and Engines HubHousehold Energy HubNational policy and planning hubWaste hubCaptchaYou need Javascript"&amp;" for CAPTCHA verification to submit this form.  Subscribe")</f>
        <v>Climate and Clean Air Coalition | Homepage | Climate &amp; Clean Air CoalitionSkip to main contentWelcome to our new website! We've gotten a new look and added new features to provide more accurate up-to-date information on climate and clean air action. Main navigation            About SLCPs                About SLCPs                    Back                             About SLCPs                      Why we need to act now          Learn more            Short-lived climate pollutants                Short-lived climate pollutants                    Back                             Short-lived climate pollutants                      Methane              Hydrofluorocarbons              Black carbon              Tropospheric ozone                      Sector solutions                Sector solutions                    Back                             Sector solutions                      Agriculture              Cooling              Fossil Fuels              Household Energy              Transport              Waste                      Benefits of action                Benefits of action                    Back                             Benefits of action                      Climate              Health              Food security              Economic development              Global Goals                      Who we are                Who we are                    Back                             Who we are                      We are the only international body working to connect climate and clean air action          Our strategy            About us                About us                    Back                             About us                      History              Funding              Governance              Annual reports              Contact us              Get involved                      Our partners                Our partners                    Back                             Our partners                      State              Non-state              Partner directory                      Our hubs                Our hubs                    Back                             Our hubs                      Agriculture              Cooling              Fossil fuels              Heavy-duty vehicles              Household energy              National planning              Waste                      Our work                Our work                    Back                             Our work                      Our work in over 70 countries delivers climate and clean air action where it is most needed          Our projects            Our approach                Our approach                    Back                             Our approach                      Policy development              Sector mitigation              Science policy              Political leadership &amp; cooperation              Climate commitments                      Project funding                Project funding                    Back                             Project funding                      Project portfolio              Key project figures              Our results              Calls for proposals              Applicant resources                      Technical assistance services                Technical assistance services                    Back                             Technical assistance services                      Targeted expert assistance              National experts              GMP support                      Tools &amp; resources                Tools &amp; resources                    Back                             Tools &amp; resources                      Our assessments help inform ambitious policies with social economic and environmental benefits          Learn more            CCAC assessments                CCAC assessments                    Back                             CCAC assessments                      Global Methane Assessment              Africa Integrated Assessment              Asia Integrated Assessment              Resource library              Policy database                      News &amp; events                News &amp; events                    Back                             News &amp; events                      Sign up to our newsletter for updates from the partnership funding opportunities and job announcements          Read more    Media resources                      Global initiatives                Global initiatives                    Back                             Global initiatives                      Global Methane Pledge              BreatheLife campaign              International Clean Air Day              News &amp; updates              Newsletter                      Events &amp; meetings                Events &amp; meetings                    Back                             Events &amp; meetings                      Climate weeks and COP28                Climate and Clean Air CoalitionWe are the only international body working to connect climate and air quality action                Learn more                   Global Methane Pledge supportThe CCAC acts as the Secretariat of the Global Methane Pledge to support countries in achieving their GMP commitments                  Our services                   Towards sustainable development objectives in AfricaOur new assessment shows how integrated climate and air quality measures can achieve substantial benefits for the African continent                Learn more                Why climate and clean air?Actions that address climate change and air pollution at the same time achieve greater results. We promote actions to reduce short-lived climate pollutants that have quick impacts on global warming air quality food security and human health.1/32/33/3 Previous   What are short-lived climate pollutants?Short-lived climate pollutants have a strong near-term warming effect on the climate and significant impacts on our health and the environment.                 About SLCPs                MethaneBlack carbonHydrofluorocarbonsTropospheric ozone   How can we reduce short-lived climate pollutants?Simple actions such as plugging methane leaks from oil and gas production banning agricultural burning and composting food waste can drastically reduce emissions.                Solutions                  Implementing solutions available nowcan avoid up to 0.6°Cof warming by 2050   How we support actionThe Climate and Clean Air Coalition leverages science finance and political will to drive global action on short-lived climate pollutants.                 Our approach                Policy developmentSector mitigationScience-policyPolitical leadership and cooperation Previous Next News &amp; updatesSelect a topic of interestAgricultureBrick productionCoolingEmissions assessmentsFinanceFossil fuelsPublic healthHeavy-duty vehicles and enginesHousehold EnergyNational policy and planningWasteBosnia and Herzegovina Embarks On SLCP Reductions Mission News          11 Nov 2023        Bosnia and Herzegovina Embarks On SLCP Reductions MissionClean Refrigeration Technology Rapidly Increasing in Supermarkets Around the World News          10 Nov 2023        Clean Refrigeration Technology Rapidly Increasing in Supermarkets Around the WorldMeasurement Tools Accelerate Clean Cooking Potential In Nepal News          27 Oct 2023        Measurement Tools Accelerate Clean Cooking Potential In NepalUS EPA Releases New Food Waste Reports News          24 Oct 2023        US EPA Releases New Food Waste ReportsCCAC National Project Coordinator for Gabon Job opening          24 Oct 2023        CCAC National Project Coordinator for GabonEuro VI and beyond: What next for the mission to eliminate transport sector pollutants?  News          19 Oct 2023        Euro VI and beyond: What next for the mission to eliminate transport sector pollutants? See lessSee moreSee more news &amp; updates Events &amp; meetings CCAC governance meetingClimate and Clean Air Conference 202421 February 2024 - 23 February 202409:00 - 17:00(Nairobi) Reducing methane emissions in the oil and gas sector11 December 202310:00 - 11:00(Dubai)COP28 VenueDubaiUnited Arab EmiratesSide event ofCCAC at COP28 Side eventLaunch of UNEP Food Waste Index Report 202310 December 202311:45 - 12:30(Dubai)UNEP PavilionDubaiUnited Arab EmiratesSide event ofCCAC at COP28See more events &amp; meetingsSign up for our email alerts to receive regular updates on our work events and funding opportunities  SubscribeOUR PARTNERS AND PROJECTSThe Climate and Clean Air Coalition is a partnership of over 160 governments and organisations committed to reducing short-lived climate pollutants. We work in over 70 countries around the world.   PartnersProjectsSelect / Deselect AllState partners (80)Non-state partners (82)Select / Deselect All (226)Agriculture (31)Brick production (6)Cooling (16)Emissions assessments (3)Finance (3)Fossil fuels (6)Public health (7)Heavy-duty vehicles and engines (11)Household Energy (21)National policy and planning (89)Waste (45)Our impactOur projects and programmes span the globle delivering climate and clean air action where it is most needed.     80      state partners      82      non-state partners      50%      global SLCP mitigation potential within our partnership      75      countries supported by CCAC funding  Tools &amp; resourcesVisit our resource library to see all policies emissions calculation tools training materials and more.     Image      Reports Case Studies &amp; AssessmentsGlobal Methane Assessment: 2030 Baseline Report        Read more          Event Documents2023Event documents: Workshop on Preventing the Dumping of New Inefficient Cooling Equipment Using High-GWP Refrigerants 2023The Imperative of Cutting Methane from Fossil Fuels  2023MRAP Workshop Virtual Workshop Series - Building Block 1See more resourcesFooter menuAbout SLCPsShort-lived climate pollutantsSector solutionsBenefits of actionWho we areAbout usOur partnersOur hubsOur workOur approachProject fundingTechnical assistance servicesTools &amp; resourcesCCAC assessmentsResource libraryPolicy databaseNews &amp; eventsMedia resourcesGlobal initiativesNews &amp; updatesNewsletterEvents &amp; meetings        This website is managed by the CCAC Secretariat and is hosted by the UN Environment Programme. The content on this site does not necessarily represent the views of the individual partners.              Follow us on                 NEWSLETTER                  Sign up for CCAC alerts to receive regular updates on our work events and opportunities for funding and collaboration.              Subscribe                Subscribe for updates                  If you would like to receive periodic updates about the CCAC please complete the form below.         Select your areas of interest to receive updates from our hubs about relevant events meetings and funding opportunities.Agriculture HubCooling HubFossil Fuels HubHeavy-Duty Vehicles and Engines HubHousehold Energy HubNational policy and planning hubWaste hubCaptchaYou need Javascript for CAPTCHA verification to submit this form.  Subscribe</v>
      </c>
    </row>
    <row r="604">
      <c r="A604" s="1" t="s">
        <v>1937</v>
      </c>
      <c r="B604" s="1" t="s">
        <v>1944</v>
      </c>
      <c r="C604" s="1" t="s">
        <v>2014</v>
      </c>
      <c r="D604" s="1">
        <v>15.0</v>
      </c>
      <c r="E604" s="4" t="s">
        <v>2015</v>
      </c>
      <c r="F604" s="1" t="s">
        <v>43</v>
      </c>
      <c r="G604" s="1" t="s">
        <v>273</v>
      </c>
      <c r="H604" s="4" t="s">
        <v>476</v>
      </c>
      <c r="I604" s="2">
        <v>2.0</v>
      </c>
      <c r="J604" s="5" t="str">
        <f>IFERROR(__xludf.DUMMYFUNCTION("GOOGLETRANSLATE(A604)"),"ozone")</f>
        <v>ozone</v>
      </c>
      <c r="K604" s="6" t="str">
        <f>IFERROR(__xludf.DUMMYFUNCTION("GOOGLETRANSLATE(B604)"),"OZONE")</f>
        <v>OZONE</v>
      </c>
      <c r="L604" s="5" t="str">
        <f>IFERROR(__xludf.DUMMYFUNCTION("GOOGLETRANSLATE(C604)"),"Ozon · Two reasons to wake up in the morning in a great mood: coffee and cats · Here it is - the perfect time for those who love to read! · Test for attentiveness. Who ...")</f>
        <v>Ozon · Two reasons to wake up in the morning in a great mood: coffee and cats · Here it is - the perfect time for those who love to read! · Test for attentiveness. Who ...</v>
      </c>
      <c r="M604" s="5" t="str">
        <f>IFERROR(__xludf.DUMMYFUNCTION("GOOGLETRANSLATE(G604)"),"Update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605">
      <c r="A605" s="1" t="s">
        <v>1937</v>
      </c>
      <c r="B605" s="1" t="s">
        <v>2016</v>
      </c>
      <c r="C605" s="1" t="s">
        <v>2017</v>
      </c>
      <c r="D605" s="1">
        <v>16.0</v>
      </c>
      <c r="E605" s="4" t="s">
        <v>2018</v>
      </c>
      <c r="F605" s="1" t="s">
        <v>43</v>
      </c>
      <c r="G605" s="1" t="s">
        <v>2019</v>
      </c>
      <c r="H605" s="4" t="s">
        <v>2020</v>
      </c>
      <c r="I605" s="2">
        <v>0.0</v>
      </c>
      <c r="J605" s="5" t="str">
        <f>IFERROR(__xludf.DUMMYFUNCTION("GOOGLETRANSLATE(A605)"),"ozone")</f>
        <v>ozone</v>
      </c>
      <c r="K605" s="6" t="str">
        <f>IFERROR(__xludf.DUMMYFUNCTION("GOOGLETRANSLATE(B605)"),"March 4, 2022 – Ozon Holdings PLC (NASDAQ and MOEX")</f>
        <v>March 4, 2022 – Ozon Holdings PLC (NASDAQ and MOEX</v>
      </c>
      <c r="L605" s="5" t="str">
        <f>IFERROR(__xludf.DUMMYFUNCTION("GOOGLETRANSLATE(C605)"),"On February 28, 2022, trading of the Ozon's ADSs on the NASDAQ was suspended by the NASDAQ. It is currently unknown when trading in the ADSs will resume.")</f>
        <v>On February 28, 2022, trading of the Ozon's ADSs on the NASDAQ was suspended by the NASDAQ. It is currently unknown when trading in the ADSs will resume.</v>
      </c>
      <c r="M605" s="5" t="str">
        <f>IFERROR(__xludf.DUMMYFUNCTION("GOOGLETRANSLATE(G605)"),"SEC.gov | HOME      Skip to main content    Search SEC.gov      Company Filings U.S. Securities and Exchange CommissionqAboutCareersCommissionersContactReports and PublicationsSecurities LawsMissionDivisions &amp; OfficesCorporation FinanceEnforcementInvestme"&amp;"nt ManagementEconomic and Risk AnalysisTrading and MarketsOffice of Administrative Law JudgesExaminationsRegional OfficesEnforcementLitigation ReleasesAdministrative ProceedingsOpinions and Adjudicatory OrdersAccounting and AuditingTrading SuspensionsHow "&amp;"Investigations WorkReceivershipsInformation for Harmed InvestorsRegulationRulemaking ActivityProposed RulesFinal RulesInterim Final Temporary RulesOther Orders and NoticesSelf-Regulatory OrganizationsStaff InterpretationsEducationInvestor EducationGlossar"&amp;"iesSmall Business Capital Raising FilingsEDGAR – Search &amp; AccessEDGAR – Information for FilersCompany Filing SearchHow to Search EDGARForms ListAbout EDGARNewsPress ReleasesSpeeches and StatementsSecurities TopicsUpcoming EventsWebcastsSEC in the NewsSEC "&amp;"VideosMedia GalleryBUILDING COMMUNITIESThe SEC protects investors in the $3.8 trillion municipal securities markets that cities and towns rely on to provide neighborhood schools local libraries and hospitals public parks safe drinking water and so much mo"&amp;"re. We Inform and Protect InvestorsWe Facilitate Capital FormationWe Enforce Federal Securities LawsWe Regulate Securities MarketsWe Provide Data  SEC Adopts Rules to Increase Transparency in Securities Lending and Short SalesThe Commission has adopted ru"&amp;"les to increase transparency in securities lending and short selling.   Q&amp;A with Disability Interests Advisory Committee Co-ChairIn honor of National Disability Employment Awareness Month one of the SEC’s Disability Interests Advisory Committee co-chairs "&amp;"shares on her thoughts on disability and accessibly in the workplace. See MoreFeatured Video  Office Hours with Gary Gensler: What Does the SEC Division of Examinations Do? When Congress passes laws or the SEC enacts rules for market participants you need"&amp;" someone to check for compliance. That’s where our Division of Examinations comes in: checking on investment advisers investment companies broker-dealers and other market participants.More VideosSpotlight On Diversity Equity Inclusion and Accessibility (D"&amp;"EIA) Strategic PlanThe SEC released its 2023-2026 Diversity Equity Inclusion and Accessibility (DEIA) Strategic Plan which builds on and advances our DEIA commitment and previous successes. More Spotlight Topicsb Submit a Tip orFile a ComplaintLatest News"&amp;" SEC Charges Former Co-CEOs of Tech Start-Up Bitwise Industries for Falsifying Documents While Raising $70 Million From Investors Nov. 9 2023 SEC Charges Royal Bank of Canada with Internal Accounting Controls Violations Nov. 2 2023 SEC Charges President/C"&amp;"CO of Prophecy Asset Management Advisory Firm with Multi-Year Fraud  Nov. 2 2023More NewsE-mail UpdatesSign up for emails that will deliver SEC News direct to your inbox.E-mail Updates We Inform and Protect InvestorsProtect Your Money!Check out an investm"&amp;"ent professional's registration status and background at Investor.gov.Check YourInvestmentProfessionalLearn more Advance Fee Fraud Exchange-Traded Funds (ETFs) Form 10-K Variable AnnuitiesBefore you invest Investor.govInvestor Alerts &amp; BulletinsThe SEC's "&amp;"Office of Investor Education and Advocacy issues Investor Alerts &amp; Bulletins as a service to investors. Investor Alerts typically warn investors about the latest investment frauds and scams. Investor Bulletins tend to educate investors about investment-re"&amp;"lated topics including the functions of the SEC. Investor Resilience Crypto Assets and Sustainable Finance: World Investor Week 2023 — Investor Bulletin Sept. 29 2023 Updated Investor Bulletin: An Introduction to ABLE Accounts Sept. 15 2023 Subscription-b"&amp;"ased Advisory Fees:  Investor Bulletin Sept. 6 2023More Investor Alerts &amp; Bulletins  OmbudsThe Ombuds will listen to your inquiries complaints and issues review the information you provide and help identify procedures options and resources. The Ombuds is "&amp;"also available to clarify certain SEC decisions policies and practices and serve as an alternate channel of communication between retail investors and the SEC.We Facilitate Capital Formation  Capital RaisingThe Office of the Advocate for Small Business Ca"&amp;"pital Formation and the Division of Corporation Finance’s Office of Small Business Policy launched an expanded Capital Raising Hub which includes all of the SEC’s small business educational resources for entrepreneurs and their investors.   FinHubThe SEC’"&amp;"s FinHub facilitates our active engagement with innovators developers and entrepreneurs of financial technology. Building BlocksExplore the fundamentals of capital raising with the SEC's Office of the Advocate for Small Business Capital Formation.We Enfor"&amp;"ce Federal Securities Lawsa CyberEnforcement Actionso AdministrativeProceedingDocuments  Office of the WhistleblowerSubmit a tip learn about the program or claim an award.Latest Federal Court ActionsLitigation ReleasesJohn A. Masanotti Jr. and Middlesex M"&amp;"ortgage Group LLCNov 9 2023Premium Point Investments LP et al.Nov 8 2023John HughesNov 2 2023SafeMoon LLC SafeMoon US LLC Kyle Nagy Braden John Karony Thomas Glenn SmithNov 1 2023SolarWinds Corporation and Timothy G. BrownOct 31 2023More Litigation Releas"&amp;"esLatest Administrative ProceedingsAdministrative ReleasesJeremy ShorNov 8 2023Ronald T. MoloNov 8 2023Red White &amp; Bloom Brands Inc. (f/k/a Tidal Royalty Corp.)Nov 7 2023Original Sixteen to One Mine Inc.Nov 6 2023Stoner Cats 2 LLCNov 3 2023More Administra"&amp;"tive ReleasesWe Regulate Securities Markets  Tell us about your experienceMaking Wall Street work for Main Street means getting your input. The U.S. Securities and Exchange Commission wants to hear from you! We want your input on proposals and other perti"&amp;"nent issues and topics. We want to know what information is important to you the investor. Credit Rating Agencies= SEC Proposed Rulesh View Final RulesWe Provide DataDeveloper ResourcesCheck out updates on the SEC open data program including best practice"&amp;"s that          make it more efficient to download data.View Developer ResourcesMoney Market Fund StatisticsOur Investment Management Analytics Office released an updated Money Market Fund Statistics report. The report reflects staff’s compilation and ana"&amp;"lysis of data reported to the Commission on Form N-MFP.Latest Data Sets Company Information About Active Broker-DealersThis text file contains the Central Index Key (CIK) numbers company names SEC reporting file numbers and addresses (business addresses a"&amp;"re provided when mailing addresses are not available) of active broker-dealers who are registered with the SEC.Updated Nov. 2023 Financial Statement and Notes Data SetsThe data sets provide the text and detailed numeric information in all financial statem"&amp;"ents and their notes extracted from exhibits to corporate financial reports filed with the Commission using eXtensible Business Reporting Language (XBRL). Updated Oct. 2023More Data Sets  SEC Enhances Access to Financial Disclosure DataThe SEC has release"&amp;"d Application Programming Interfaces (APIs) that aggregate financial statement data making corporate disclosures quicker and easier for developers and third-party services to use. APIs will allow developers to create web or mobile apps that directly serve"&amp;" retail investors.STAY CONNECTED1 Twitter 2 Facebook 3RSS 4YouTube6LinkedIn  8 Email Updates About The SECBudget &amp; PerformanceCareersCommission VotesContactContractsData ResourcesTransparencyAccessibility &amp; DisabilityDiversity &amp; InclusionFOIAInspector Gen"&amp;"eralNo FEAR Act &amp; EEO DataOmbudsWhistleblower ProtectionWebsitesInvestor.govRelated SitesUSA.govSite InformationPlain WritingPrivacy &amp; SecuritySite MapReturn to Top")</f>
        <v>SEC.gov | HOME      Skip to main content    Search SEC.gov      Company Filings U.S. Securities and Exchange CommissionqAboutCareersCommissionersContactReports and PublicationsSecurities LawsMissionDivisions &amp; OfficesCorporation FinanceEnforcementInvestment ManagementEconomic and Risk AnalysisTrading and MarketsOffice of Administrative Law JudgesExaminationsRegional OfficesEnforcementLitigation ReleasesAdministrative ProceedingsOpinions and Adjudicatory OrdersAccounting and AuditingTrading SuspensionsHow Investigations WorkReceivershipsInformation for Harmed InvestorsRegulationRulemaking ActivityProposed RulesFinal RulesInterim Final Temporary RulesOther Orders and NoticesSelf-Regulatory OrganizationsStaff InterpretationsEducationInvestor EducationGlossariesSmall Business Capital Raising FilingsEDGAR – Search &amp; AccessEDGAR – Information for FilersCompany Filing SearchHow to Search EDGARForms ListAbout EDGARNewsPress ReleasesSpeeches and StatementsSecurities TopicsUpcoming EventsWebcastsSEC in the NewsSEC VideosMedia GalleryBUILDING COMMUNITIESThe SEC protects investors in the $3.8 trillion municipal securities markets that cities and towns rely on to provide neighborhood schools local libraries and hospitals public parks safe drinking water and so much more. We Inform and Protect InvestorsWe Facilitate Capital FormationWe Enforce Federal Securities LawsWe Regulate Securities MarketsWe Provide Data  SEC Adopts Rules to Increase Transparency in Securities Lending and Short SalesThe Commission has adopted rules to increase transparency in securities lending and short selling.   Q&amp;A with Disability Interests Advisory Committee Co-ChairIn honor of National Disability Employment Awareness Month one of the SEC’s Disability Interests Advisory Committee co-chairs shares on her thoughts on disability and accessibly in the workplace. See MoreFeatured Video  Office Hours with Gary Gensler: What Does the SEC Division of Examinations Do? When Congress passes laws or the SEC enacts rules for market participants you need someone to check for compliance. That’s where our Division of Examinations comes in: checking on investment advisers investment companies broker-dealers and other market participants.More VideosSpotlight On Diversity Equity Inclusion and Accessibility (DEIA) Strategic PlanThe SEC released its 2023-2026 Diversity Equity Inclusion and Accessibility (DEIA) Strategic Plan which builds on and advances our DEIA commitment and previous successes. More Spotlight Topicsb Submit a Tip orFile a ComplaintLatest News SEC Charges Former Co-CEOs of Tech Start-Up Bitwise Industries for Falsifying Documents While Raising $70 Million From Investors Nov. 9 2023 SEC Charges Royal Bank of Canada with Internal Accounting Controls Violations Nov. 2 2023 SEC Charges President/CCO of Prophecy Asset Management Advisory Firm with Multi-Year Fraud  Nov. 2 2023More NewsE-mail UpdatesSign up for emails that will deliver SEC News direct to your inbox.E-mail Updates We Inform and Protect InvestorsProtect Your Money!Check out an investment professional's registration status and background at Investor.gov.Check YourInvestmentProfessionalLearn more Advance Fee Fraud Exchange-Traded Funds (ETFs) Form 10-K Variable AnnuitiesBefore you invest Investor.govInvestor Alerts &amp; BulletinsThe SEC's Office of Investor Education and Advocacy issues Investor Alerts &amp; Bulletins as a service to investors. Investor Alerts typically warn investors about the latest investment frauds and scams. Investor Bulletins tend to educate investors about investment-related topics including the functions of the SEC. Investor Resilience Crypto Assets and Sustainable Finance: World Investor Week 2023 — Investor Bulletin Sept. 29 2023 Updated Investor Bulletin: An Introduction to ABLE Accounts Sept. 15 2023 Subscription-based Advisory Fees:  Investor Bulletin Sept. 6 2023More Investor Alerts &amp; Bulletins  OmbudsThe Ombuds will listen to your inquiries complaints and issues review the information you provide and help identify procedures options and resources. The Ombuds is also available to clarify certain SEC decisions policies and practices and serve as an alternate channel of communication between retail investors and the SEC.We Facilitate Capital Formation  Capital RaisingThe Office of the Advocate for Small Business Capital Formation and the Division of Corporation Finance’s Office of Small Business Policy launched an expanded Capital Raising Hub which includes all of the SEC’s small business educational resources for entrepreneurs and their investors.   FinHubThe SEC’s FinHub facilitates our active engagement with innovators developers and entrepreneurs of financial technology. Building BlocksExplore the fundamentals of capital raising with the SEC's Office of the Advocate for Small Business Capital Formation.We Enforce Federal Securities Lawsa CyberEnforcement Actionso AdministrativeProceedingDocuments  Office of the WhistleblowerSubmit a tip learn about the program or claim an award.Latest Federal Court ActionsLitigation ReleasesJohn A. Masanotti Jr. and Middlesex Mortgage Group LLCNov 9 2023Premium Point Investments LP et al.Nov 8 2023John HughesNov 2 2023SafeMoon LLC SafeMoon US LLC Kyle Nagy Braden John Karony Thomas Glenn SmithNov 1 2023SolarWinds Corporation and Timothy G. BrownOct 31 2023More Litigation ReleasesLatest Administrative ProceedingsAdministrative ReleasesJeremy ShorNov 8 2023Ronald T. MoloNov 8 2023Red White &amp; Bloom Brands Inc. (f/k/a Tidal Royalty Corp.)Nov 7 2023Original Sixteen to One Mine Inc.Nov 6 2023Stoner Cats 2 LLCNov 3 2023More Administrative ReleasesWe Regulate Securities Markets  Tell us about your experienceMaking Wall Street work for Main Street means getting your input. The U.S. Securities and Exchange Commission wants to hear from you! We want your input on proposals and other pertinent issues and topics. We want to know what information is important to you the investor. Credit Rating Agencies= SEC Proposed Rulesh View Final RulesWe Provide DataDeveloper ResourcesCheck out updates on the SEC open data program including best practices that          make it more efficient to download data.View Developer ResourcesMoney Market Fund StatisticsOur Investment Management Analytics Office released an updated Money Market Fund Statistics report. The report reflects staff’s compilation and analysis of data reported to the Commission on Form N-MFP.Latest Data Sets Company Information About Active Broker-DealersThis text file contains the Central Index Key (CIK) numbers company names SEC reporting file numbers and addresses (business addresses are provided when mailing addresses are not available) of active broker-dealers who are registered with the SEC.Updated Nov. 2023 Financial Statement and Notes Data SetsThe data sets provide the text and detailed numeric information in all financial statements and their notes extracted from exhibits to corporate financial reports filed with the Commission using eXtensible Business Reporting Language (XBRL). Updated Oct. 2023More Data Sets  SEC Enhances Access to Financial Disclosure DataThe SEC has released Application Programming Interfaces (APIs) that aggregate financial statement data making corporate disclosures quicker and easier for developers and third-party services to use. APIs will allow developers to create web or mobile apps that directly serve retail investors.STAY CONNECTED1 Twitter 2 Facebook 3RSS 4YouTube6LinkedIn  8 Email Updates About The SECBudget &amp; PerformanceCareersCommission VotesContactContractsData ResourcesTransparencyAccessibility &amp; DisabilityDiversity &amp; InclusionFOIAInspector GeneralNo FEAR Act &amp; EEO DataOmbudsWhistleblower ProtectionWebsitesInvestor.govRelated SitesUSA.govSite InformationPlain WritingPrivacy &amp; SecuritySite MapReturn to Top</v>
      </c>
    </row>
    <row r="606">
      <c r="A606" s="1" t="s">
        <v>1937</v>
      </c>
      <c r="B606" s="1" t="s">
        <v>2021</v>
      </c>
      <c r="D606" s="1">
        <v>18.0</v>
      </c>
      <c r="E606" s="4" t="s">
        <v>2022</v>
      </c>
      <c r="F606" s="1" t="s">
        <v>43</v>
      </c>
      <c r="G606" s="1" t="s">
        <v>2023</v>
      </c>
      <c r="H606" s="4" t="s">
        <v>2024</v>
      </c>
      <c r="I606" s="2">
        <v>1.0</v>
      </c>
      <c r="J606" s="5" t="str">
        <f>IFERROR(__xludf.DUMMYFUNCTION("GOOGLETRANSLATE(A606)"),"ozone")</f>
        <v>ozone</v>
      </c>
      <c r="K606" s="6" t="str">
        <f>IFERROR(__xludf.DUMMYFUNCTION("GOOGLETRANSLATE(B606)"),"OZONWeb by OZON Magazine")</f>
        <v>OZONWeb by OZON Magazine</v>
      </c>
      <c r="L606" s="5" t="str">
        <f>IFERROR(__xludf.DUMMYFUNCTION("GOOGLETRANSLATE(C606)"),"#VALUE!")</f>
        <v>#VALUE!</v>
      </c>
      <c r="M606" s="5" t="str">
        <f>IFERROR(__xludf.DUMMYFUNCTION("GOOGLETRANSLATE(G606)"),"OZONWeb.com | Fashion Interviews Art Music Photos Videos &amp; More Ozon Magazine  Current Issue Past Issues Distribution Subscriptions   e-Shop EL EN  FacebookTwitterInstagramPinterestFashionInterviewsOzon NewsCultureLifestyleFASHIONFashion NewsTrendsHistor"&amp;"yFashion WeekOzon Fashion StoriesINTERVIEWSFashionArt &amp; DesignFilm &amp; TheatreOZON NEWSEventsWorkshopsCULTUREArt &amp; DesignFilm &amp; TheatreMusicLIFESTYLECelebsNewsWell BeingEnvironment                                      Generic selectors    Exact matches only"&amp;" Exact matches only   Search in title Search in title   Search in content Search in content  Search in excerpt  Post Type Selectors   Hidden [vc_row gap=”30″ equal_height=”yes” el_id=”top-latest”][vc_column width=”2/3″ offset=”vc_col-md-8″ el_class=”hp-to"&amp;"p-post”]  Fashion Homi Fashion &amp; Jewels Exhibition Returns The most amazing fashion trade show returns![/vc_column][vc_column width=”1/3″ offset=”vc_col-md-4″ el_class=”red-categories small-list”] THE LATEST Culture Athens Art Scene – The New Visionaries:"&amp;" Panos Fourtoulakis Culture Athens Art Scene – The New Visionaries: Kostas Prapoglou Fashion Homi Fashion &amp; Jewels Exhibition Returns Culture Broken Melody: A music video that depicts beauty in darkness Music Vinyl is spinning its way back into everyday l"&amp;"ife Fashion Because we are still in love with the 90s[/vc_column][/vc_row][vc_row el_id=”quote-1″][vc_column el_class=”large-title”] Culture Athens Art Scene – The New Visionaries: Panos Fourtoulakis Panos Fourtoulakis is a curator and producer with vigor"&amp;"ous activity in London and Amsterdam.[/vc_column][/vc_row][vc_row gap=”30″ equal_height=”yes”][vc_column width=”2/3″ offset=”vc_col-md-8″ el_class=”hp-top-post”]  Culture Athens Art Scene – The New Visionaries: Kostas Prapoglou It is more than obvious tha"&amp;"t during the three years of the pandemic the contemporary art scene in Athens was anything but idle.[/vc_column][vc_column width=”1/3″ offset=”vc_col-md-4″] Lifestyle Snack: A new dating app for Gen Z. Can we join too please? News TikTok challenge kills 1"&amp;"2-year-old[/vc_column][/vc_row][vc_row equal_height=”yes” el_id=”most-popular-with-ad”][vc_column width=”2/3″ el_class=”big-list numbered-list most-popular”] MOST POPULAR[/vc_column][vc_column width=”1/3″ css=”.vc_custom_1575251445013{padding-top: 30px !i"&amp;"mportant;}”][/vc_column][/vc_row][vc_row disable_element=”yes” el_id=”most-popular-without-ad”][vc_column offset=”vc_col-md-offset-2 vc_col-md-8″ el_class=”big-list numbered-list most-popular”] MOST POPULAR[/vc_column][/vc_row][vc_row gap=”30″ equal_heigh"&amp;"t=”yes” el_id=”fashion”][vc_column][vc_custom_heading text=”FASHION” font_container=”tag:h2|text_align:center” google_fonts=”font_family:Playfair%20Display%3Aregular%2Citalic%2C700%2C700italic%2C900%2C900italic|font_style:400%20regular%3A400%3Anormal” lin"&amp;"k=”url:%2Ffashion%2F|||” el_class=”ozonweb_block_heading”]  Fashion Homi Fashion &amp; Jewels Exhibition Returns The most amazing fashion trade show returns!  Trends Feeling fashion-nostalgic: Rihanna is leading vintage back to trend Who said vintage clothes "&amp;"belong in the past? Rihanna’s latest public look sure didn’t.   Fashion News Burberry’s new virtual replica store is right around the corner… or under your fingertips. Check out how you can visit and browse!  Fashion News Donatella Versace talks inclusivi"&amp;"ty in fashion We need to hear it now more than ever.[vc_row_inner][vc_column_inner el_class=”large-title”] Film &amp; Theatre What happens in the toilet cubicles of a Berlin club? The new film by George Markakis is a raw portrait of Berlin’s hedonistic club c"&amp;"ulture.[/vc_column_inner][/vc_row_inner][/vc_column][/vc_row][vc_row gap=”30″ el_id=”ad_homepage_3″][vc_column][/vc_column][/vc_row][vc_row el_id=”culture”][vc_column][vc_custom_heading text=”CULTURE” font_container=”tag:h2|text_align:center” google_fonts"&amp;"=”font_family:Playfair%20Display%3Aregular%2Citalic%2C700%2C700italic%2C900%2C900italic|font_style:400%20regular%3A400%3Anormal” link=”url:%2Fculture%2F|||” el_class=”ozonweb_block_heading”]  Culture Athens Art Scene – The New Visionaries: Kostas Prapoglo"&amp;"u It is more than obvious that during the three years of the pandemic the contemporary art scene in Athens was anything but idle.  Culture Athens Art Scene – The New Visionaries: Panos Fourtoulakis Panos Fourtoulakis is a curator and producer with vigorou"&amp;"s activity in London and Amsterdam.[/vc_column][/vc_row][vc_row][vc_column el_class=”featured-excerpt”]  Art &amp; Design Vintage PSAs are repurposed and reused for spreading the word on coronavirus safety Well it really is a war. The pandemic has violently c"&amp;"reated an unprecedented battlefield with front lines millions of casualties and everything. A Canadian design studio took the notion of war quite literally and in the search of courage to get through these coronavirus times it has found inspiration in old"&amp;" PSA posters from World War II. Shawn Murenbeeld Creative Director at Touchwood Design has spoken to Ozon about the repurposed design of some iconic images that we have been always connecting to another dark period of history. [/vc_column][/vc_row][vc_row"&amp;"][vc_column]  Film &amp; Theatre 10 years without Amy Winehouse: a new documentary celebrates her legacy Stories and memories…[/vc_column][/vc_row][vc_row disable_element=”yes” el_id=”ozonboutique”][vc_column][vc_custom_heading text=”OZONBOUTIQUE” font_contai"&amp;"ner=”tag:h2|font_size:23|text_align:left” use_theme_fonts=”yes” el_class=”ozonweb_block_heading”][vc_raw_html]JTNDZGl2JTIwaWQlM0QlMjdjb2xsZWN0aW9uLWNvbXBvbmVudC00NmU2YjBmYWY5YiUyNyUzRSUzQyUyRmRpdiUzRSUwQSUzQ3NjcmlwdCUyMHR5cGUlM0QlMjJ0ZXh0JTJGamF2YXNjcmlwd"&amp;"CUyMiUzRSUwQSUyRiUyQSUzQyUyMSU1QkNEQVRBJTVCJTJBJTJGJTBBJTBBJTI4ZnVuY3Rpb24lMjAlMjglMjklMjAlN0IlMEElMjAlMjB2YXIlMjBzY3JpcHRVUkwlMjAlM0QlMjAlMjdodHRwcyUzQSUyRiUyRnNka3Muc2hvcGlmeWNkbi5jb20lMkZidXktYnV0dG9uJTJGbGF0ZXN0JTJGYnV5LWJ1dHRvbi1zdG9yZWZyb250Lm1pbi5q"&amp;"cyUyNyUzQiUwQSUyMCUyMGlmJTIwJTI4d2luZG93LlNob3BpZnlCdXklMjklMjAlN0IlMEElMjAlMjAlMjAlMjBpZiUyMCUyOHdpbmRvdy5TaG9waWZ5QnV5LlVJJTI5JTIwJTdCJTBBJTIwJTIwJTIwJTIwJTIwJTIwU2hvcGlmeUJ1eUluaXQlMjglMjklM0IlMEElMjAlMjAlMjAlMjAlN0QlMjBlbHNlJTIwJTdCJTBBJTIwJTIwJTIwJTI"&amp;"wJTIwJTIwbG9hZFNjcmlwdCUyOCUyOSUzQiUwQSUyMCUyMCUyMCUyMCU3RCUwQSUyMCUyMCU3RCUyMGVsc2UlMjAlN0IlMEElMjAlMjAlMjAlMjBsb2FkU2NyaXB0JTI4JTI5JTNCJTBBJTIwJTIwJTdEJTBBJTBBJTIwJTIwZnVuY3Rpb24lMjBsb2FkU2NyaXB0JTI4JTI5JTIwJTdCJTBBJTIwJTIwJTIwJTIwdmFyJTIwc2NyaXB0JTIwJT"&amp;"NEJTIwZG9jdW1lbnQuY3JlYXRlRWxlbWVudCUyOCUyN3NjcmlwdCUyNyUyOSUzQiUwQSUyMCUyMCUyMCUyMHNjcmlwdC5hc3luYyUyMCUzRCUyMHRydWUlM0IlMEElMjAlMjAlMjAlMjBzY3JpcHQuc3JjJTIwJTNEJTIwc2NyaXB0VVJMJTNCJTBBJTIwJTIwJTIwJTIwJTI4ZG9jdW1lbnQuZ2V0RWxlbWVudHNCeVRhZ05hbWUlMjglMjdoZ"&amp;"WFkJTI3JTI5JTVCMCU1RCUyMCU3QyU3QyUyMGRvY3VtZW50LmdldEVsZW1lbnRzQnlUYWdOYW1lJTI4JTI3Ym9keSUyNyUyOSU1QjAlNUQlMjkuYXBwZW5kQ2hpbGQlMjhzY3JpcHQlMjklM0IlMEElMjAlMjAlMjAlMjBzY3JpcHQub25sb2FkJTIwJTNEJTIwU2hvcGlmeUJ1eUluaXQlM0IlMEElMjAlMjAlN0QlMEElMEElMjAlMjBmdW5j"&amp;"dGlvbiUyMFNob3BpZnlCdXlJbml0JTI4JTI5JTIwJTdCJTBBJTIwJTIwJTIwJTIwdmFyJTIwY2xpZW50JTIwJTNEJTIwU2hvcGlmeUJ1eS5idWlsZENsaWVudCUyOCU3QiUwQSUyMCUyMCUyMCUyMCUyMCUyMGRvbWFpbiUzQSUyMCUyN296b24tYm91dGlxdWUubXlzaG9waWZ5LmNvbSUyNyUyQyUwQSUyMCUyMCUyMCUyMCUyMCUyMGFwaUt"&amp;"leSUzQSUyMCUyN2Q4MGJjN2RlMGE0ODIyMWJkNGEyYjM4OGE0NDRlY2Q0JTI3JTJDJTBBJTIwJTIwJTIwJTIwJTIwJTIwYXBwSWQlM0ElMjAlMjc2JTI3JTJDJTBBJTIwJTIwJTIwJTIwJTdEJTI5JTNCJTBBJTBBJTIwJTIwJTIwJTIwU2hvcGlmeUJ1eS5VSS5vblJlYWR5JTI4Y2xpZW50JTI5LnRoZW4lMjhmdW5jdGlvbiUyMCUyOHVpJT"&amp;"I5JTIwJTdCJTBBJTIwJTIwJTIwJTIwJTIwJTIwdWkuY3JlYXRlQ29tcG9uZW50JTI4JTI3Y29sbGVjdGlvbiUyNyUyQyUyMCU3QiUwQSUyMCUyMCUyMCUyMCUyMCUyMCUyMCUyMGlkJTNBJTIwNDU0NTY5OTM1JTJDJTBBJTIwJTIwJTIwJTIwJTIwJTIwJTIwJTIwaWZyYW1lJTNBJTIwZmFsc2UlMkMlMEElMjAlMjAlMjAlMjAlMjAlMjAlM"&amp;"jAlMjBub2RlJTNBJTIwZG9jdW1lbnQuZ2V0RWxlbWVudEJ5SWQlMjglMjdjb2xsZWN0aW9uLWNvbXBvbmVudC00NmU2YjBmYWY5YiUyNyUyOSUyQyUwQSUyMCUyMCUyMCUyMCUyMCUyMCUyMCUyMG1vbmV5Rm9ybWF0JTNBJTIwJTI3JTI1RTIlMjU4MiUyNUFDJTI1N0IlMjU3QmFtb3VudCUyNTdEJTI1N0QlMjclMkMlMEElMjAlMjAlMjAl"&amp;"MjAlMjAlMjAlMjAlMjBvcHRpb25zJTNBJTIwJTdCJTBBJTIwJTIwJTIwJTIwJTIwJTIwJTIwJTIwJTIwJTIwJTIwJTIwJTIycHJvZHVjdFNldCUyMiUzQSUyMCU3QiUwQSUyMCUyMCUyMCUyMCUyMCUyMCUyMCUyMCUyMCUyMCUyMCUyMCUyMCUyMCUyMCUyMCUyMmlmcmFtZSUyMiUzQSUyMGZhbHNlJTJDJTBBJTIwJTIwJTIwJTIwJTIwJTI"&amp;"wJTIwJTIwJTIwJTIwJTIwJTIwJTIwJTIwJTIwJTIwJTIycGFnaW5hdGlvbiUyMiUzQSUyMGZhbHNlJTBBJTIwJTIwJTIwJTIwJTIwJTIwJTIwJTIwJTIwJTIwJTIwJTIwJTdEJTJDJTBBJTIwJTIwJTIwJTIwJTIwJTIwJTIwJTIwJTIwJTIwJTIwJTIwJTIycHJvZHVjdCUyMiUzQSUyMCU3QiUwQSUyMCUyMCUyMCUyMCUyMCUyMCUyMCUyMC"&amp;"UyMCUyMCUyMCUyMCUyMCUyMCUyMCUyMCUyMmlzQnV0dG9uJTIyJTNBJTIwdHJ1ZSUyQyUwQSUyMCUyMCUyMCUyMCUyMCUyMCUyMCUyMCUyMCUyMCUyMCUyMCUyMCUyMCUyMCUyMCUyMmJ1dHRvbkRlc3RpbmF0aW9uJTIyJTNBJTIwJTIyb25saW5lU3RvcmUlMjIlMkMlMEElMjAlMjAlMjAlMjAlMjAlMjAlMjAlMjAlMjAlMjAlMjAlMjAlM"&amp;"jAlMjAlMjAlMjAlMjJsYXlvdXQlMjIlM0ElMjAlMjJob3Jpem9udGFsJTIyJTJDJTBBJTIwJTIwJTIwJTIwJTIwJTIwJTIwJTIwJTIwJTIwJTIwJTIwJTIwJTIwJTIwJTIwJTIydmFyaWFudElkJTIyJTNBJTIwJTIyYWxsJTIyJTJDJTBBJTIwJTIwJTIwJTIwJTIwJTIwJTIwJTIwJTIwJTIwJTIwJTIwJTIwJTIwJTIwJTIwJTIyY29udGVu"&amp;"dHMlMjIlM0ElMjAlN0IlMEElMjAlMjAlMjAlMjAlMjAlMjAlMjAlMjAlMjAlMjAlMjAlMjAlMjAlMjAlMjAlMjAlMjAlMjAlMjAlMjAlMjJpbWdXaXRoQ2Fyb3VzZWwlMjIlM0ElMjBmYWxzZSUyQyUwQSUyMCUyMCUyMCUyMCUyMCUyMCUyMCUyMCUyMCUyMCUyMCUyMCUyMCUyMCUyMCUyMCUyMCUyMCUyMCUyMCUyMnZhcmlhbnRUaXRsZSU"&amp;"yMiUzQSUyMGZhbHNlJTJDJTBBJTIwJTIwJTIwJTIwJTIwJTIwJTIwJTIwJTIwJTIwJTIwJTIwJTIwJTIwJTIwJTIwJTIwJTIwJTIwJTIwJTIyb3B0aW9ucyUyMiUzQSUyMGZhbHNlJTJDJTBBJTIwJTIwJTIwJTIwJTIwJTIwJTIwJTIwJTIwJTIwJTIwJTIwJTIwJTIwJTIwJTIwJTIwJTIwJTIwJTIwJTIyZGVzY3JpcHRpb24lMjIlM0ElMj"&amp;"BmYWxzZSUyQyUwQSUyMCUyMCUyMCUyMCUyMCUyMCUyMCUyMCUyMCUyMCUyMCUyMCUyMCUyMCUyMCUyMCUyMCUyMCUyMCUyMCUyMmJ1dHRvbldpdGhRdWFudGl0eSUyMiUzQSUyMGZhbHNlJTJDJTBBJTIwJTIwJTIwJTIwJTIwJTIwJTIwJTIwJTIwJTIwJTIwJTIwJTIwJTIwJTIwJTIwJTIwJTIwJTIwJTIwJTIycXVhbnRpdHklMjIlM0ElM"&amp;"jBmYWxzZSUyQyUwQSUyMCUyMCUyMCUyMCUyMCUyMCUyMCUyMCUyMCUyMCUyMCUyMCUyMCUyMCUyMCUyMCUyMCUyMCUyMCUyMCUyMmJ1dHRvbiUyMiUzQSUyMGZhbHNlJTBBJTIwJTIwJTIwJTIwJTIwJTIwJTIwJTIwJTIwJTIwJTIwJTIwJTIwJTIwJTIwJTIwJTdEJTBBJTIwJTIwJTIwJTIwJTIwJTIwJTIwJTIwJTIwJTIwJTIwJTIwJTdE"&amp;"JTBBJTIwJTIwJTIwJTIwJTIwJTIwJTIwJTIwJTdEJTBBJTIwJTIwJTIwJTIwJTIwJTIwJTdEJTI5JTNCJTBBJTIwJTIwJTIwJTIwJTdEJTI5JTNCJTBBJTIwJTIwJTdEJTBBJTdEJTI5JTI4JTI5JTNCJTBBJTJGJTJBJTVEJTVEJTNFJTJBJTJGJTBBJTNDJTJGc2NyaXB0JTNF[/vc_raw_html][/vc_column][/vc_row][vc_row gap="&amp;"”30″ equal_height=”yes” el_id=”lifestyle”][vc_column][vc_custom_heading text=”LIFESTYLE” font_container=”tag:h2|text_align:center” google_fonts=”font_family:Playfair%20Display%3Aregular%2Citalic%2C700%2C700italic%2C900%2C900italic|font_style:400%20regular"&amp;"%3A400%3Anormal” link=”url:%2Flifestyle%2F|||” el_class=”ozonweb_block_heading”]  Well Being This university course can actually make you happier. Who could have thought? Where do we register?  News A viral TikTok video might help solve a decades long kid"&amp;"napping case After so many years light was shed[vc_row_inner][vc_column_inner el_class=”featured-excerpt featured-excerpt-no-image”]  Film &amp; Theatre These are the best documentaries of 2021 and you are going to love them Sometimes you just don’t want to s"&amp;"ee another action movie. You need a connection to reality you feel the need to find answers about things that bother you – or that you are just curious about. The documentary genre comes to the rescue those nights offering at times surprisingly fascinatin"&amp;"g perspectives of real life and larger-than-life situations and characters. From what’s fresh in documentaries this year we’ve gathered the best; from Britney Spears to Billie Eilish and from the years of Martin Luther King Jr. to the era of Donald Trump "&amp;"Ozon’s list has got a suggestion for every interest![/vc_column_inner][/vc_row_inner]  People The hidden power of a red dress What’s happened to all theese women?  Well Being Shadow work: the latest self-care trend on TikTok Are you ready to be healed?  P"&amp;"eople FKA Twigs speaks up against criminalizing sex work #sexworkiswork[/vc_column][/vc_row][vc_row el_id=”interviews”][vc_column][vc_custom_heading text=”INTERVIEWS” font_container=”tag:h2|text_align:center” google_fonts=”font_family:Playfair%20Display%3"&amp;"Aregular%2Citalic%2C700%2C700italic%2C900%2C900italic|font_style:400%20regular%3A400%3Anormal” link=”url:%2Finterviews%2F|||” el_class=”ozonweb_block_heading”][vc_row_inner][vc_column_inner el_class=”hp-top-post” width=”2/3″]  Culture Athens Art Scene – T"&amp;"he New Visionaries: Panos Fourtoulakis Panos Fourtoulakis is a curator and producer with vigorous activity in London and Amsterdam.[/vc_column_inner][vc_column_inner width=”1/3″] Art &amp; Design Artemis Baltoyanni’s “The Intermission” is changing the way con"&amp;"temporary art is presented Fashion Lily Bling speaks about gender fluidity and the future of fashion industry![/vc_column_inner][/vc_row_inner][vc_row_inner][vc_column_inner el_class=”featured-excerpt”][/vc_column_inner][/vc_row_inner][vc_column_text el_c"&amp;"lass=”more-link”]MORE[/vc_column_text][/vc_column][/vc_row][vc_row equal_height=”yes” disable_element=”yes” el_id=”ozon-news-with-ad”][vc_column][vc_custom_heading text=”OZON NEWS” font_container=”tag:h2|text_align:center” google_fonts=”font_family:Playfa"&amp;"ir%20Display%3Aregular%2Citalic%2C700%2C700italic%2C900%2C900italic|font_style:400%20regular%3A400%3Anormal” link=”url:%2Fozon-news%2F|||” el_class=”ozonweb_block_heading”][vc_row_inner][vc_column_inner width=”2/3″]  Events Fashion Room Service Wins Fashi"&amp;"on Event of the Year 2018 We are not accustomed to being spotlighted because we simply do not…  Events The Interpretation of the Greek Goddess Athena Through the Work of 50 Artists How do 50 Greek and foreign artists interpret the Ancient Goddess Athena? "&amp;"Klaus…[/vc_column_inner][vc_column_inner width=”1/3″][/vc_column_inner][/vc_row_inner][vc_row_inner][vc_column_inner el_class=”large-title”] Events Macaronut: A Donut-Sized Macaron that Went Viral! What’s a macaronut? If you analyze the word you can easil"&amp;"y understand it is the combination of a macaron and a donut. To be…[/vc_column_inner][/vc_row_inner][/vc_column][/vc_row][vc_row el_id=”ozon-news-without-ad”][vc_column][vc_custom_heading text=”OZON NEWS” font_container=”tag:h2|text_align:center” google_f"&amp;"onts=”font_family:Playfair%20Display%3Aregular%2Citalic%2C700%2C700italic%2C900%2C900italic|font_style:400%20regular%3A400%3Anormal” link=”url:%2Fozon-news%2F|||” el_class=”ozonweb_block_heading”]  Art &amp; Design Swab Barcelona is back! Everything you need "&amp;"to know about the contemporary art fair!  Fashion News Berlin Fashion Week enters 2021 with a new collective fashion format The 202030 Berlin Fashion Summit calls for transformation in fashion[vc_row_inner][vc_column_inner el_class=”large-title”][/vc_colu"&amp;"mn_inner][/vc_row_inner][/vc_column][/vc_row][vc_row el_id=”merch” css=”.vc_custom_1580881280762{margin-bottom: 60px !important;}”][vc_column][vc_custom_heading text=”SHOP” font_container=”tag:h2|text_align:center” google_fonts=”font_family:Playfair%20Dis"&amp;"play%3Aregular%2Citalic%2C700%2C700italic%2C900%2C900italic|font_style:400%20regular%3A400%3Anormal” link=”url:https%3A%2F%2Fozonboutique.com%2F||target:%20_blank|” el_class=”ozonweb_block_heading”][vc_row_inner][vc_column_inner width=”1/2″ offset=”vc_col"&amp;"-md-3″][vc_single_image image=”64331″ img_size=”large” onclick=”custom_link” img_link_target=”_blank” link=”https://ozonboutique.com/collections/wb”][/vc_column_inner][vc_column_inner width=”1/2″ offset=”vc_col-md-3″][vc_single_image image=”64332″ img_siz"&amp;"e=”large” onclick=”custom_link” img_link_target=”_blank” link=”https://ozonboutique.com/collections/mb”][/vc_column_inner][vc_column_inner width=”1/2″ offset=”vc_col-md-3″][vc_single_image image=”64333″ img_size=”large” onclick=”custom_link” img_link_targ"&amp;"et=”_blank” link=”https://ozonboutique.com/collections/all-bags”][/vc_column_inner][vc_column_inner width=”1/2″ offset=”vc_col-md-3″][vc_single_image image=”64334″ img_size=”large” onclick=”custom_link” img_link_target=”_blank” link=”https://ozonboutique."&amp;"com/collections/xxx”][/vc_column_inner][/vc_row_inner][/vc_column][/vc_row][vc_row gap=”30″ el_id=”ad_homepage_4″][vc_column][/vc_column][/vc_row][vc_row][vc_column]  Lifestyle Snack: A new dating app for Gen Z. Can we join too please? If Tinder and TikTo"&amp;"k had a baby…  Culture Carlota Guerrero’s sensual celebration of female bodies See the majestic female body through the eyes of an artist  Fashion Vibrant and colorful clothing is back in town! Time to throw away your pajamas  News Kim Kardashian smuggled"&amp;" an ancient roman sculpture? A luxury that many want  Music Billie Eilish: Her Vogue cover and opening up about abuse Shocking and relevant as always  Culture Is print journalism dead? Nope the trends say it’s not. Off to a great start  Interviews Elliot "&amp;"Page talks about his transition surgery  Load More  [/vc_column][/vc_row]   About Media Kit Contact E-shop FacebookTwitterInstagramPinterest   © 2020						  TopFASHIONFashion NewsTrendsHistoryFashion WeekOzon Fashion StoriesINTERVIEWSFashionArt &amp; DesignFi"&amp;"lm &amp; TheatreOZON NEWSEventsWorkshopsCULTUREArt &amp; DesignFilm &amp; TheatreMusicLIFESTYLECelebsNewsWell BeingEnvironment            Generic selectors  Exact matches only Exact matches only  Search in title Search in title  Search in content Search in content  S"&amp;"earch in excerptPost Type Selectors  Hidden")</f>
        <v>OZONWeb.com | Fashion Interviews Art Music Photos Videos &amp; More Ozon Magazine  Current Issue Past Issues Distribution Subscriptions   e-Shop EL EN  FacebookTwitterInstagramPinterestFashionInterviewsOzon NewsCultureLifestyleFASHIONFashion NewsTrendsHistoryFashion WeekOzon Fashion StoriesINTERVIEWSFashionArt &amp; DesignFilm &amp; TheatreOZON NEWSEventsWorkshopsCULTUREArt &amp; DesignFilm &amp; TheatreMusicLIFESTYLECelebsNewsWell BeingEnvironment                                      Generic selectors    Exact matches only Exact matches only   Search in title Search in title   Search in content Search in content  Search in excerpt  Post Type Selectors   Hidden [vc_row gap=”30″ equal_height=”yes” el_id=”top-latest”][vc_column width=”2/3″ offset=”vc_col-md-8″ el_class=”hp-top-post”]  Fashion Homi Fashion &amp; Jewels Exhibition Returns The most amazing fashion trade show returns![/vc_column][vc_column width=”1/3″ offset=”vc_col-md-4″ el_class=”red-categories small-list”] THE LATEST Culture Athens Art Scene – The New Visionaries: Panos Fourtoulakis Culture Athens Art Scene – The New Visionaries: Kostas Prapoglou Fashion Homi Fashion &amp; Jewels Exhibition Returns Culture Broken Melody: A music video that depicts beauty in darkness Music Vinyl is spinning its way back into everyday life Fashion Because we are still in love with the 90s[/vc_column][/vc_row][vc_row el_id=”quote-1″][vc_column el_class=”large-title”] Culture Athens Art Scene – The New Visionaries: Panos Fourtoulakis Panos Fourtoulakis is a curator and producer with vigorous activity in London and Amsterdam.[/vc_column][/vc_row][vc_row gap=”30″ equal_height=”yes”][vc_column width=”2/3″ offset=”vc_col-md-8″ el_class=”hp-top-post”]  Culture Athens Art Scene – The New Visionaries: Kostas Prapoglou It is more than obvious that during the three years of the pandemic the contemporary art scene in Athens was anything but idle.[/vc_column][vc_column width=”1/3″ offset=”vc_col-md-4″] Lifestyle Snack: A new dating app for Gen Z. Can we join too please? News TikTok challenge kills 12-year-old[/vc_column][/vc_row][vc_row equal_height=”yes” el_id=”most-popular-with-ad”][vc_column width=”2/3″ el_class=”big-list numbered-list most-popular”] MOST POPULAR[/vc_column][vc_column width=”1/3″ css=”.vc_custom_1575251445013{padding-top: 30px !important;}”][/vc_column][/vc_row][vc_row disable_element=”yes” el_id=”most-popular-without-ad”][vc_column offset=”vc_col-md-offset-2 vc_col-md-8″ el_class=”big-list numbered-list most-popular”] MOST POPULAR[/vc_column][/vc_row][vc_row gap=”30″ equal_height=”yes” el_id=”fashion”][vc_column][vc_custom_heading text=”FASHION” font_container=”tag:h2|text_align:center” google_fonts=”font_family:Playfair%20Display%3Aregular%2Citalic%2C700%2C700italic%2C900%2C900italic|font_style:400%20regular%3A400%3Anormal” link=”url:%2Ffashion%2F|||” el_class=”ozonweb_block_heading”]  Fashion Homi Fashion &amp; Jewels Exhibition Returns The most amazing fashion trade show returns!  Trends Feeling fashion-nostalgic: Rihanna is leading vintage back to trend Who said vintage clothes belong in the past? Rihanna’s latest public look sure didn’t.   Fashion News Burberry’s new virtual replica store is right around the corner… or under your fingertips. Check out how you can visit and browse!  Fashion News Donatella Versace talks inclusivity in fashion We need to hear it now more than ever.[vc_row_inner][vc_column_inner el_class=”large-title”] Film &amp; Theatre What happens in the toilet cubicles of a Berlin club? The new film by George Markakis is a raw portrait of Berlin’s hedonistic club culture.[/vc_column_inner][/vc_row_inner][/vc_column][/vc_row][vc_row gap=”30″ el_id=”ad_homepage_3″][vc_column][/vc_column][/vc_row][vc_row el_id=”culture”][vc_column][vc_custom_heading text=”CULTURE” font_container=”tag:h2|text_align:center” google_fonts=”font_family:Playfair%20Display%3Aregular%2Citalic%2C700%2C700italic%2C900%2C900italic|font_style:400%20regular%3A400%3Anormal” link=”url:%2Fculture%2F|||” el_class=”ozonweb_block_heading”]  Culture Athens Art Scene – The New Visionaries: Kostas Prapoglou It is more than obvious that during the three years of the pandemic the contemporary art scene in Athens was anything but idle.  Culture Athens Art Scene – The New Visionaries: Panos Fourtoulakis Panos Fourtoulakis is a curator and producer with vigorous activity in London and Amsterdam.[/vc_column][/vc_row][vc_row][vc_column el_class=”featured-excerpt”]  Art &amp; Design Vintage PSAs are repurposed and reused for spreading the word on coronavirus safety Well it really is a war. The pandemic has violently created an unprecedented battlefield with front lines millions of casualties and everything. A Canadian design studio took the notion of war quite literally and in the search of courage to get through these coronavirus times it has found inspiration in old PSA posters from World War II. Shawn Murenbeeld Creative Director at Touchwood Design has spoken to Ozon about the repurposed design of some iconic images that we have been always connecting to another dark period of history. [/vc_column][/vc_row][vc_row][vc_column]  Film &amp; Theatre 10 years without Amy Winehouse: a new documentary celebrates her legacy Stories and memories…[/vc_column][/vc_row][vc_row disable_element=”yes” el_id=”ozonboutique”][vc_column][vc_custom_heading text=”OZONBOUTIQUE” font_container=”tag:h2|font_size:23|text_align:left” use_theme_fonts=”yes” el_class=”ozonweb_block_heading”][vc_raw_html]JTNDZGl2JTIwaWQlM0QlMjdjb2xsZWN0aW9uLWNvbXBvbmVudC00NmU2YjBmYWY5YiUyNyUzRSUzQyUyRmRpdiUzRSUwQSUzQ3NjcmlwdCUyMHR5cGUlM0QlMjJ0ZXh0JTJGamF2YXNjcmlwdCUyMiUzRSUwQSUyRiUyQSUzQyUyMSU1QkNEQVRBJTVCJTJBJTJGJTBBJTBBJTI4ZnVuY3Rpb24lMjAlMjglMjklMjAlN0IlMEElMjAlMjB2YXIlMjBzY3JpcHRVUkwlMjAlM0QlMjAlMjdodHRwcyUzQSUyRiUyRnNka3Muc2hvcGlmeWNkbi5jb20lMkZidXktYnV0dG9uJTJGbGF0ZXN0JTJGYnV5LWJ1dHRvbi1zdG9yZWZyb250Lm1pbi5qcyUyNyUzQiUwQSUyMCUyMGlmJTIwJTI4d2luZG93LlNob3BpZnlCdXklMjklMjAlN0IlMEElMjAlMjAlMjAlMjBpZiUyMCUyOHdpbmRvdy5TaG9waWZ5QnV5LlVJJTI5JTIwJTdCJTBBJTIwJTIwJTIwJTIwJTIwJTIwU2hvcGlmeUJ1eUluaXQlMjglMjklM0IlMEElMjAlMjAlMjAlMjAlN0QlMjBlbHNlJTIwJTdCJTBBJTIwJTIwJTIwJTIwJTIwJTIwbG9hZFNjcmlwdCUyOCUyOSUzQiUwQSUyMCUyMCUyMCUyMCU3RCUwQSUyMCUyMCU3RCUyMGVsc2UlMjAlN0IlMEElMjAlMjAlMjAlMjBsb2FkU2NyaXB0JTI4JTI5JTNCJTBBJTIwJTIwJTdEJTBBJTBBJTIwJTIwZnVuY3Rpb24lMjBsb2FkU2NyaXB0JTI4JTI5JTIwJTdCJTBBJTIwJTIwJTIwJTIwdmFyJTIwc2NyaXB0JTIwJTNEJTIwZG9jdW1lbnQuY3JlYXRlRWxlbWVudCUyOCUyN3NjcmlwdCUyNyUyOSUzQiUwQSUyMCUyMCUyMCUyMHNjcmlwdC5hc3luYyUyMCUzRCUyMHRydWUlM0IlMEElMjAlMjAlMjAlMjBzY3JpcHQuc3JjJTIwJTNEJTIwc2NyaXB0VVJMJTNCJTBBJTIwJTIwJTIwJTIwJTI4ZG9jdW1lbnQuZ2V0RWxlbWVudHNCeVRhZ05hbWUlMjglMjdoZWFkJTI3JTI5JTVCMCU1RCUyMCU3QyU3QyUyMGRvY3VtZW50LmdldEVsZW1lbnRzQnlUYWdOYW1lJTI4JTI3Ym9keSUyNyUyOSU1QjAlNUQlMjkuYXBwZW5kQ2hpbGQlMjhzY3JpcHQlMjklM0IlMEElMjAlMjAlMjAlMjBzY3JpcHQub25sb2FkJTIwJTNEJTIwU2hvcGlmeUJ1eUluaXQlM0IlMEElMjAlMjAlN0QlMEElMEElMjAlMjBmdW5jdGlvbiUyMFNob3BpZnlCdXlJbml0JTI4JTI5JTIwJTdCJTBBJTIwJTIwJTIwJTIwdmFyJTIwY2xpZW50JTIwJTNEJTIwU2hvcGlmeUJ1eS5idWlsZENsaWVudCUyOCU3QiUwQSUyMCUyMCUyMCUyMCUyMCUyMGRvbWFpbiUzQSUyMCUyN296b24tYm91dGlxdWUubXlzaG9waWZ5LmNvbSUyNyUyQyUwQSUyMCUyMCUyMCUyMCUyMCUyMGFwaUtleSUzQSUyMCUyN2Q4MGJjN2RlMGE0ODIyMWJkNGEyYjM4OGE0NDRlY2Q0JTI3JTJDJTBBJTIwJTIwJTIwJTIwJTIwJTIwYXBwSWQlM0ElMjAlMjc2JTI3JTJDJTBBJTIwJTIwJTIwJTIwJTdEJTI5JTNCJTBBJTBBJTIwJTIwJTIwJTIwU2hvcGlmeUJ1eS5VSS5vblJlYWR5JTI4Y2xpZW50JTI5LnRoZW4lMjhmdW5jdGlvbiUyMCUyOHVpJTI5JTIwJTdCJTBBJTIwJTIwJTIwJTIwJTIwJTIwdWkuY3JlYXRlQ29tcG9uZW50JTI4JTI3Y29sbGVjdGlvbiUyNyUyQyUyMCU3QiUwQSUyMCUyMCUyMCUyMCUyMCUyMCUyMCUyMGlkJTNBJTIwNDU0NTY5OTM1JTJDJTBBJTIwJTIwJTIwJTIwJTIwJTIwJTIwJTIwaWZyYW1lJTNBJTIwZmFsc2UlMkMlMEElMjAlMjAlMjAlMjAlMjAlMjAlMjAlMjBub2RlJTNBJTIwZG9jdW1lbnQuZ2V0RWxlbWVudEJ5SWQlMjglMjdjb2xsZWN0aW9uLWNvbXBvbmVudC00NmU2YjBmYWY5YiUyNyUyOSUyQyUwQSUyMCUyMCUyMCUyMCUyMCUyMCUyMCUyMG1vbmV5Rm9ybWF0JTNBJTIwJTI3JTI1RTIlMjU4MiUyNUFDJTI1N0IlMjU3QmFtb3VudCUyNTdEJTI1N0QlMjclMkMlMEElMjAlMjAlMjAlMjAlMjAlMjAlMjAlMjBvcHRpb25zJTNBJTIwJTdCJTBBJTIwJTIwJTIwJTIwJTIwJTIwJTIwJTIwJTIwJTIwJTIwJTIwJTIycHJvZHVjdFNldCUyMiUzQSUyMCU3QiUwQSUyMCUyMCUyMCUyMCUyMCUyMCUyMCUyMCUyMCUyMCUyMCUyMCUyMCUyMCUyMCUyMCUyMmlmcmFtZSUyMiUzQSUyMGZhbHNlJTJDJTBBJTIwJTIwJTIwJTIwJTIwJTIwJTIwJTIwJTIwJTIwJTIwJTIwJTIwJTIwJTIwJTIwJTIycGFnaW5hdGlvbiUyMiUzQSUyMGZhbHNlJTBBJTIwJTIwJTIwJTIwJTIwJTIwJTIwJTIwJTIwJTIwJTIwJTIwJTdEJTJDJTBBJTIwJTIwJTIwJTIwJTIwJTIwJTIwJTIwJTIwJTIwJTIwJTIwJTIycHJvZHVjdCUyMiUzQSUyMCU3QiUwQSUyMCUyMCUyMCUyMCUyMCUyMCUyMCUyMCUyMCUyMCUyMCUyMCUyMCUyMCUyMCUyMCUyMmlzQnV0dG9uJTIyJTNBJTIwdHJ1ZSUyQyUwQSUyMCUyMCUyMCUyMCUyMCUyMCUyMCUyMCUyMCUyMCUyMCUyMCUyMCUyMCUyMCUyMCUyMmJ1dHRvbkRlc3RpbmF0aW9uJTIyJTNBJTIwJTIyb25saW5lU3RvcmUlMjIlMkMlMEElMjAlMjAlMjAlMjAlMjAlMjAlMjAlMjAlMjAlMjAlMjAlMjAlMjAlMjAlMjAlMjAlMjJsYXlvdXQlMjIlM0ElMjAlMjJob3Jpem9udGFsJTIyJTJDJTBBJTIwJTIwJTIwJTIwJTIwJTIwJTIwJTIwJTIwJTIwJTIwJTIwJTIwJTIwJTIwJTIwJTIydmFyaWFudElkJTIyJTNBJTIwJTIyYWxsJTIyJTJDJTBBJTIwJTIwJTIwJTIwJTIwJTIwJTIwJTIwJTIwJTIwJTIwJTIwJTIwJTIwJTIwJTIwJTIyY29udGVudHMlMjIlM0ElMjAlN0IlMEElMjAlMjAlMjAlMjAlMjAlMjAlMjAlMjAlMjAlMjAlMjAlMjAlMjAlMjAlMjAlMjAlMjAlMjAlMjAlMjAlMjJpbWdXaXRoQ2Fyb3VzZWwlMjIlM0ElMjBmYWxzZSUyQyUwQSUyMCUyMCUyMCUyMCUyMCUyMCUyMCUyMCUyMCUyMCUyMCUyMCUyMCUyMCUyMCUyMCUyMCUyMCUyMCUyMCUyMnZhcmlhbnRUaXRsZSUyMiUzQSUyMGZhbHNlJTJDJTBBJTIwJTIwJTIwJTIwJTIwJTIwJTIwJTIwJTIwJTIwJTIwJTIwJTIwJTIwJTIwJTIwJTIwJTIwJTIwJTIwJTIyb3B0aW9ucyUyMiUzQSUyMGZhbHNlJTJDJTBBJTIwJTIwJTIwJTIwJTIwJTIwJTIwJTIwJTIwJTIwJTIwJTIwJTIwJTIwJTIwJTIwJTIwJTIwJTIwJTIwJTIyZGVzY3JpcHRpb24lMjIlM0ElMjBmYWxzZSUyQyUwQSUyMCUyMCUyMCUyMCUyMCUyMCUyMCUyMCUyMCUyMCUyMCUyMCUyMCUyMCUyMCUyMCUyMCUyMCUyMCUyMCUyMmJ1dHRvbldpdGhRdWFudGl0eSUyMiUzQSUyMGZhbHNlJTJDJTBBJTIwJTIwJTIwJTIwJTIwJTIwJTIwJTIwJTIwJTIwJTIwJTIwJTIwJTIwJTIwJTIwJTIwJTIwJTIwJTIwJTIycXVhbnRpdHklMjIlM0ElMjBmYWxzZSUyQyUwQSUyMCUyMCUyMCUyMCUyMCUyMCUyMCUyMCUyMCUyMCUyMCUyMCUyMCUyMCUyMCUyMCUyMCUyMCUyMCUyMCUyMmJ1dHRvbiUyMiUzQSUyMGZhbHNlJTBBJTIwJTIwJTIwJTIwJTIwJTIwJTIwJTIwJTIwJTIwJTIwJTIwJTIwJTIwJTIwJTIwJTdEJTBBJTIwJTIwJTIwJTIwJTIwJTIwJTIwJTIwJTIwJTIwJTIwJTIwJTdEJTBBJTIwJTIwJTIwJTIwJTIwJTIwJTIwJTIwJTdEJTBBJTIwJTIwJTIwJTIwJTIwJTIwJTdEJTI5JTNCJTBBJTIwJTIwJTIwJTIwJTdEJTI5JTNCJTBBJTIwJTIwJTdEJTBBJTdEJTI5JTI4JTI5JTNCJTBBJTJGJTJBJTVEJTVEJTNFJTJBJTJGJTBBJTNDJTJGc2NyaXB0JTNF[/vc_raw_html][/vc_column][/vc_row][vc_row gap=”30″ equal_height=”yes” el_id=”lifestyle”][vc_column][vc_custom_heading text=”LIFESTYLE” font_container=”tag:h2|text_align:center” google_fonts=”font_family:Playfair%20Display%3Aregular%2Citalic%2C700%2C700italic%2C900%2C900italic|font_style:400%20regular%3A400%3Anormal” link=”url:%2Flifestyle%2F|||” el_class=”ozonweb_block_heading”]  Well Being This university course can actually make you happier. Who could have thought? Where do we register?  News A viral TikTok video might help solve a decades long kidnapping case After so many years light was shed[vc_row_inner][vc_column_inner el_class=”featured-excerpt featured-excerpt-no-image”]  Film &amp; Theatre These are the best documentaries of 2021 and you are going to love them Sometimes you just don’t want to see another action movie. You need a connection to reality you feel the need to find answers about things that bother you – or that you are just curious about. The documentary genre comes to the rescue those nights offering at times surprisingly fascinating perspectives of real life and larger-than-life situations and characters. From what’s fresh in documentaries this year we’ve gathered the best; from Britney Spears to Billie Eilish and from the years of Martin Luther King Jr. to the era of Donald Trump Ozon’s list has got a suggestion for every interest![/vc_column_inner][/vc_row_inner]  People The hidden power of a red dress What’s happened to all theese women?  Well Being Shadow work: the latest self-care trend on TikTok Are you ready to be healed?  People FKA Twigs speaks up against criminalizing sex work #sexworkiswork[/vc_column][/vc_row][vc_row el_id=”interviews”][vc_column][vc_custom_heading text=”INTERVIEWS” font_container=”tag:h2|text_align:center” google_fonts=”font_family:Playfair%20Display%3Aregular%2Citalic%2C700%2C700italic%2C900%2C900italic|font_style:400%20regular%3A400%3Anormal” link=”url:%2Finterviews%2F|||” el_class=”ozonweb_block_heading”][vc_row_inner][vc_column_inner el_class=”hp-top-post” width=”2/3″]  Culture Athens Art Scene – The New Visionaries: Panos Fourtoulakis Panos Fourtoulakis is a curator and producer with vigorous activity in London and Amsterdam.[/vc_column_inner][vc_column_inner width=”1/3″] Art &amp; Design Artemis Baltoyanni’s “The Intermission” is changing the way contemporary art is presented Fashion Lily Bling speaks about gender fluidity and the future of fashion industry![/vc_column_inner][/vc_row_inner][vc_row_inner][vc_column_inner el_class=”featured-excerpt”][/vc_column_inner][/vc_row_inner][vc_column_text el_class=”more-link”]MORE[/vc_column_text][/vc_column][/vc_row][vc_row equal_height=”yes” disable_element=”yes” el_id=”ozon-news-with-ad”][vc_column][vc_custom_heading text=”OZON NEWS” font_container=”tag:h2|text_align:center” google_fonts=”font_family:Playfair%20Display%3Aregular%2Citalic%2C700%2C700italic%2C900%2C900italic|font_style:400%20regular%3A400%3Anormal” link=”url:%2Fozon-news%2F|||” el_class=”ozonweb_block_heading”][vc_row_inner][vc_column_inner width=”2/3″]  Events Fashion Room Service Wins Fashion Event of the Year 2018 We are not accustomed to being spotlighted because we simply do not…  Events The Interpretation of the Greek Goddess Athena Through the Work of 50 Artists How do 50 Greek and foreign artists interpret the Ancient Goddess Athena? Klaus…[/vc_column_inner][vc_column_inner width=”1/3″][/vc_column_inner][/vc_row_inner][vc_row_inner][vc_column_inner el_class=”large-title”] Events Macaronut: A Donut-Sized Macaron that Went Viral! What’s a macaronut? If you analyze the word you can easily understand it is the combination of a macaron and a donut. To be…[/vc_column_inner][/vc_row_inner][/vc_column][/vc_row][vc_row el_id=”ozon-news-without-ad”][vc_column][vc_custom_heading text=”OZON NEWS” font_container=”tag:h2|text_align:center” google_fonts=”font_family:Playfair%20Display%3Aregular%2Citalic%2C700%2C700italic%2C900%2C900italic|font_style:400%20regular%3A400%3Anormal” link=”url:%2Fozon-news%2F|||” el_class=”ozonweb_block_heading”]  Art &amp; Design Swab Barcelona is back! Everything you need to know about the contemporary art fair!  Fashion News Berlin Fashion Week enters 2021 with a new collective fashion format The 202030 Berlin Fashion Summit calls for transformation in fashion[vc_row_inner][vc_column_inner el_class=”large-title”][/vc_column_inner][/vc_row_inner][/vc_column][/vc_row][vc_row el_id=”merch” css=”.vc_custom_1580881280762{margin-bottom: 60px !important;}”][vc_column][vc_custom_heading text=”SHOP” font_container=”tag:h2|text_align:center” google_fonts=”font_family:Playfair%20Display%3Aregular%2Citalic%2C700%2C700italic%2C900%2C900italic|font_style:400%20regular%3A400%3Anormal” link=”url:https%3A%2F%2Fozonboutique.com%2F||target:%20_blank|” el_class=”ozonweb_block_heading”][vc_row_inner][vc_column_inner width=”1/2″ offset=”vc_col-md-3″][vc_single_image image=”64331″ img_size=”large” onclick=”custom_link” img_link_target=”_blank” link=”https://ozonboutique.com/collections/wb”][/vc_column_inner][vc_column_inner width=”1/2″ offset=”vc_col-md-3″][vc_single_image image=”64332″ img_size=”large” onclick=”custom_link” img_link_target=”_blank” link=”https://ozonboutique.com/collections/mb”][/vc_column_inner][vc_column_inner width=”1/2″ offset=”vc_col-md-3″][vc_single_image image=”64333″ img_size=”large” onclick=”custom_link” img_link_target=”_blank” link=”https://ozonboutique.com/collections/all-bags”][/vc_column_inner][vc_column_inner width=”1/2″ offset=”vc_col-md-3″][vc_single_image image=”64334″ img_size=”large” onclick=”custom_link” img_link_target=”_blank” link=”https://ozonboutique.com/collections/xxx”][/vc_column_inner][/vc_row_inner][/vc_column][/vc_row][vc_row gap=”30″ el_id=”ad_homepage_4″][vc_column][/vc_column][/vc_row][vc_row][vc_column]  Lifestyle Snack: A new dating app for Gen Z. Can we join too please? If Tinder and TikTok had a baby…  Culture Carlota Guerrero’s sensual celebration of female bodies See the majestic female body through the eyes of an artist  Fashion Vibrant and colorful clothing is back in town! Time to throw away your pajamas  News Kim Kardashian smuggled an ancient roman sculpture? A luxury that many want  Music Billie Eilish: Her Vogue cover and opening up about abuse Shocking and relevant as always  Culture Is print journalism dead? Nope the trends say it’s not. Off to a great start  Interviews Elliot Page talks about his transition surgery  Load More  [/vc_column][/vc_row]   About Media Kit Contact E-shop FacebookTwitterInstagramPinterest   © 2020						  TopFASHIONFashion NewsTrendsHistoryFashion WeekOzon Fashion StoriesINTERVIEWSFashionArt &amp; DesignFilm &amp; TheatreOZON NEWSEventsWorkshopsCULTUREArt &amp; DesignFilm &amp; TheatreMusicLIFESTYLECelebsNewsWell BeingEnvironment            Generic selectors  Exact matches only Exact matches only  Search in title Search in title  Search in content Search in content  Search in excerptPost Type Selectors  Hidden</v>
      </c>
    </row>
    <row r="607">
      <c r="A607" s="1" t="s">
        <v>1937</v>
      </c>
      <c r="B607" s="1" t="s">
        <v>2025</v>
      </c>
      <c r="D607" s="1">
        <v>26.0</v>
      </c>
      <c r="E607" s="4" t="s">
        <v>2026</v>
      </c>
      <c r="F607" s="1" t="s">
        <v>43</v>
      </c>
      <c r="G607" s="1" t="s">
        <v>302</v>
      </c>
      <c r="H607" s="4" t="s">
        <v>303</v>
      </c>
      <c r="I607" s="2">
        <v>3.0</v>
      </c>
      <c r="J607" s="5" t="str">
        <f>IFERROR(__xludf.DUMMYFUNCTION("GOOGLETRANSLATE(A607)"),"ozone")</f>
        <v>ozone</v>
      </c>
      <c r="K607" s="6" t="str">
        <f>IFERROR(__xludf.DUMMYFUNCTION("GOOGLETRANSLATE(B607)"),"Ozone. Subseason - the result from Google Books")</f>
        <v>Ozone. Subseason - the result from Google Books</v>
      </c>
      <c r="L607" s="5" t="str">
        <f>IFERROR(__xludf.DUMMYFUNCTION("GOOGLETRANSLATE(C607)"),"#VALUE!")</f>
        <v>#VALUE!</v>
      </c>
      <c r="M607" s="5" t="str">
        <f>IFERROR(__xludf.DUMMYFUNCTION("GOOGLETRANSLATE(G607)"),"Google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608">
      <c r="A608" s="1" t="s">
        <v>1937</v>
      </c>
      <c r="B608" s="1" t="s">
        <v>2004</v>
      </c>
      <c r="D608" s="1">
        <v>28.0</v>
      </c>
      <c r="E608" s="4" t="s">
        <v>2027</v>
      </c>
      <c r="F608" s="1" t="s">
        <v>43</v>
      </c>
      <c r="G608" s="1" t="s">
        <v>302</v>
      </c>
      <c r="H608" s="4" t="s">
        <v>303</v>
      </c>
      <c r="I608" s="2">
        <v>3.0</v>
      </c>
      <c r="J608" s="5" t="str">
        <f>IFERROR(__xludf.DUMMYFUNCTION("GOOGLETRANSLATE(A608)"),"ozone")</f>
        <v>ozone</v>
      </c>
      <c r="K608" s="6" t="str">
        <f>IFERROR(__xludf.DUMMYFUNCTION("GOOGLETRANSLATE(B608)"),"The great book of the prophets. 3 pr. Prophecies of the New Age. Ozone")</f>
        <v>The great book of the prophets. 3 pr. Prophecies of the New Age. Ozone</v>
      </c>
      <c r="L608" s="5" t="str">
        <f>IFERROR(__xludf.DUMMYFUNCTION("GOOGLETRANSLATE(C608)"),"#VALUE!")</f>
        <v>#VALUE!</v>
      </c>
      <c r="M608" s="5" t="str">
        <f>IFERROR(__xludf.DUMMYFUNCTION("GOOGLETRANSLATE(G608)"),"Google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609">
      <c r="A609" s="1" t="s">
        <v>1937</v>
      </c>
      <c r="B609" s="1" t="s">
        <v>2028</v>
      </c>
      <c r="D609" s="1">
        <v>30.0</v>
      </c>
      <c r="E609" s="4" t="s">
        <v>2029</v>
      </c>
      <c r="F609" s="1" t="s">
        <v>43</v>
      </c>
      <c r="G609" s="1" t="s">
        <v>302</v>
      </c>
      <c r="H609" s="4" t="s">
        <v>303</v>
      </c>
      <c r="I609" s="2">
        <v>3.0</v>
      </c>
      <c r="J609" s="5" t="str">
        <f>IFERROR(__xludf.DUMMYFUNCTION("GOOGLETRANSLATE(A609)"),"ozone")</f>
        <v>ozone</v>
      </c>
      <c r="K609" s="6" t="str">
        <f>IFERROR(__xludf.DUMMYFUNCTION("GOOGLETRANSLATE(B609)"),"The great book of the prophets. 2 book. Looking into the future. Ozone")</f>
        <v>The great book of the prophets. 2 book. Looking into the future. Ozone</v>
      </c>
      <c r="L609" s="5" t="str">
        <f>IFERROR(__xludf.DUMMYFUNCTION("GOOGLETRANSLATE(C609)"),"#VALUE!")</f>
        <v>#VALUE!</v>
      </c>
      <c r="M609" s="5" t="str">
        <f>IFERROR(__xludf.DUMMYFUNCTION("GOOGLETRANSLATE(G609)"),"Google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610">
      <c r="A610" s="1" t="s">
        <v>1937</v>
      </c>
      <c r="B610" s="4" t="s">
        <v>2030</v>
      </c>
      <c r="C610" s="1" t="s">
        <v>2031</v>
      </c>
      <c r="D610" s="1">
        <v>33.0</v>
      </c>
      <c r="E610" s="4" t="s">
        <v>2032</v>
      </c>
      <c r="F610" s="1" t="s">
        <v>43</v>
      </c>
      <c r="G610" s="1" t="s">
        <v>1118</v>
      </c>
      <c r="H610" s="4" t="s">
        <v>1119</v>
      </c>
      <c r="I610" s="2">
        <v>1.0</v>
      </c>
      <c r="J610" s="5" t="str">
        <f>IFERROR(__xludf.DUMMYFUNCTION("GOOGLETRANSLATE(A610)"),"ozone")</f>
        <v>ozone</v>
      </c>
      <c r="K610" s="7" t="str">
        <f>IFERROR(__xludf.DUMMYFUNCTION("GOOGLETRANSLATE(B610)"),"OZON.ru")</f>
        <v>OZON.ru</v>
      </c>
      <c r="L610" s="5" t="str">
        <f>IFERROR(__xludf.DUMMYFUNCTION("GOOGLETRANSLATE(C610)"),"May 1, 2020, -")</f>
        <v>May 1, 2020, -</v>
      </c>
      <c r="M610" s="5" t="str">
        <f>IFERROR(__xludf.DUMMYFUNCTION("GOOGLETRANSLATE(G610)"),"LinkedIn: Log In or Sign Up       Skip to main content                    Agree &amp; Join LinkedIn                              By clicking Continue you agree to LinkedIn’s User Agreement Privacy Policy and Cookie Policy.              LinkedIn         Articl"&amp;"es              People              Learning              Jobs                      Join now                        Sign in                  Find jobs through your community                  Email or phone                  Password        Show Forgot pass"&amp;"word?          Sign in                    or                  By clicking Continue you agree to LinkedIn’s User Agreement Privacy Policy and Cookie Policy.                  New to LinkedIn? Join now                    Explore collaborative articles       "&amp;"           We’re unlocking community knowledge in a new way. Experts add insights directly into each article started with the help of AI.                                Marketing                                            Public Administration            "&amp;"                                Healthcare                                            Engineering                                            IT Services                                            Sustainability                                            B"&amp;"usiness Administration                                            Telecommunications                                            HR Management                                          Show all                            Find the right job or internship for"&amp;" you                  Suggested Searches                          Engineering                                    Business Development                                    Finance                                    Administrative Assistant                   "&amp;"                 Retail Associate                                    Customer Service                                    Operations                                    Information Technology                                    Marketing                     "&amp;"               Human Resources                                    Healthcare Service                                    Sales                                    Program and Project Management                                    Accounting                  "&amp;"                  Arts and Design                                    Community and Social Services                                    Consulting                                    Education                                    Entrepreneurship              "&amp;"                      Legal                                    Media and Communications                                    Military and Protective Services                                    Product Management                                    Purchasing"&amp;"                                    Quality Assurance                                    Real Estate                                    Research                                    Support                                    Administrative                  "&amp;"              Show more                              Show less                      Post your job for millions of people to see                        Post a job                        Discover the best software tools                    Connect with buyer"&amp;"s who have first-hand experience to find the best products for you.                    Suggested Tools                                E-Commerce Platforms                                                CRM Software                                         "&amp;"       Human Resources Management Systems                                                Recruiting Software                                                Sales Intelligence Software                                                Project Management Softw"&amp;"are                                                Help Desk Software                                                Social Networking Software                                                Desktop Publishing Software                                     "&amp;"         Show all                                     No more previous content                      Let the right people know you’re open to work      With the Open To Work feature you can privately tell recruiters or publicly share with the LinkedIn comm"&amp;"unity that you are looking for new job opportunities.        Conversations today could lead to opportunity tomorrow      Sending messages to people you know is a great way to strengthen relationships as you take the next step in your career.        Stay u"&amp;"p to date on your industry      From live videos to stories to newsletters and more LinkedIn is full of ways to stay up to date on the latest discussions in your industry.                No more next content                          Connect with people wh"&amp;"o can help                              Find people you know                            Learn the skills you need to succeed        Choose a topic to learn aboutBusiness Analysis and Strategy                        1030+ course                      Busine"&amp;"ss Software and Tools                        2100+ courses                      Career Development                        520+ courses                      Customer Service                        190+ courses                      Diversity Equity and Incl"&amp;"usion (DEI)                        250+ courses                      Finance and Accounting                        290+ courses                      Human Resources                        440+ courses                      Leadership and Management        "&amp;"                1550+ course                      Marketing                        890+ courses                      Professional Development                        1480+ course                      Project Management                        440+ courses  "&amp;"                    Sales                        280+ courses                      Small Business and Entrepreneurship                        330+ courses                      Training and Education                        290+ courses                     "&amp;" AEC                        1440+ course                      Animation and Illustration                        1720+ course                      Audio and Music                        420+ courses                      Graphic Design                      "&amp;"  960+ courses                      Motion Graphics and VFX                        900+ courses                      Photography                        1160+ course                      Product and Manufacturing                        1440+ course        "&amp;"              User Experience                        520+ courses                      Video                        610+ courses                      Visualization and Real-Time                        1310+ course                      Web Design          "&amp;"              530+ courses                      Artificial Intelligence (AI)                        290+ courses                      Cloud Computing                        1280+ course                      Data Science                        1070+ course"&amp;"                      Database Management                        390+ courses                      DevOps                        290+ courses                      IT Help Desk                        340+ courses                      Mobile Development    "&amp;"                    480+ courses                      Network and System Administration                        1460+ course                      Security                        830+ courses                      Software Development                        "&amp;"2350+ courses                      Web Development                        1500+ course                                   Who is LinkedIn for?                      Anyone looking to navigate their professional life.                          Find a coworker"&amp;" or classmate                              Find a new job                              Find a course or training                        Join your colleagues classmates and friends on LinkedIn.                                  Get started                  "&amp;"                  General                                  Sign Up                                          Help Center                                          About                                          Press                                          "&amp;"Blog                                          Careers                                          Developers                                  Browse LinkedIn                                  Learning                                          Jobs             "&amp;"                             Salary                                          Mobile                                          Services                                          Products                                          Top Companies Hub             "&amp;"                     Business Solutions                                  Talent                                          Marketing                                          Sales                                          Learning                            "&amp;"      Directories                                  Members                                          Jobs                                          Companies                                          Featured                                          Learning"&amp;"                                          Posts                                          Articles                                          Schools                                          News                                          News Letters         "&amp;"                                 Services                                          Products                                          Advice                                          People Search                    LinkedIn© 2023                    About  "&amp;"                                  Accessibility                                    User Agreement                                    Privacy Policy                                      Your California Privacy Choices                                      C"&amp;"ookie Policy                                    Copyright Policy                                    Brand Policy                                      Guest Controls                                      Community Guidelines                                ا"&amp;"لعربية (Arabic)                            Čeština (Czech)                            Dansk (Danish)                            Deutsch (German)            English (English)                Español (Spanish)                            Français (French)    "&amp;"                        हिंदी (Hindi)                            Bahasa Indonesia (Indonesian)                            Italiano (Italian)                            日本語 (Japanese)                            한국어 (Korean)                            Bahas"&amp;"a Malaysia (Malay)                            Nederlands (Dutch)                            Norsk (Norwegian)                            Polski (Polish)                            Português (Portuguese)                            Română (Romanian)        "&amp;"                    Русский (Russian)                            Svenska (Swedish)                            ภาษาไทย (Thai)                            Tagalog (Tagalog)                            Türkçe (Turkish)                            Українська (Uk"&amp;"rainian)                            简体中文 (Chinese (Simplified))                            正體中文 (Chinese (Traditional))                        Language")</f>
        <v>LinkedIn: Log In or Sign Up       Skip to main content                    Agree &amp; Join LinkedIn                              By clicking Continue you agree to LinkedIn’s User Agreement Privacy Policy and Cookie Policy.              LinkedIn         Articles              People              Learning              Jobs                      Join now                        Sign in                  Find jobs through your community                  Email or phone                  Password        Show Forgot password?          Sign in                    or                  By clicking Continue you agree to LinkedIn’s User Agreement Privacy Policy and Cookie Policy.                  New to LinkedIn? Join now                    Explore collaborative articles                  We’re unlocking community knowledge in a new way. Experts add insights directly into each article started with the help of AI.                                Marketing                                            Public Administration                                            Healthcare                                            Engineering                                            IT Services                                            Sustainability                                            Business Administration                                            Telecommunications                                            HR Management                                          Show all                            Find the right job or internship for you                  Suggested Searches                          Engineering                                    Business Development                                    Finance                                    Administrative Assistant                                    Retail Associate                                    Customer Service                                    Operations                                    Information Technology                                    Marketing                                    Human Resources                                    Healthcare Service                                    Sales                                    Program and Project Management                                    Accounting                                    Arts and Design                                    Community and Social Services                                    Consulting                                    Education                                    Entrepreneurship                                    Legal                                    Media and Communications                                    Military and Protective Services                                    Product Management                                    Purchasing                                    Quality Assurance                                    Real Estate                                    Research                                    Support                                    Administrative                                Show more                              Show less                      Post your job for millions of people to see                        Post a job                        Discover the best software tools                    Connect with buyers who have first-hand experience to find the best products for you.                    Suggested Tools                                E-Commerce Platforms                                                CRM Software                                                Human Resources Management Systems                                                Recruiting Software                                                Sales Intelligence Software                                                Project Management Software                                                Help Desk Software                                                Social Networking Software                                                Desktop Publishing Software                                              Show all                                     No more previous content                      Let the right people know you’re open to work      With the Open To Work feature you can privately tell recruiters or publicly share with the LinkedIn community that you are looking for new job opportunities.        Conversations today could lead to opportunity tomorrow      Sending messages to people you know is a great way to strengthen relationships as you take the next step in your career.        Stay up to date on your industry      From live videos to stories to newsletters and more LinkedIn is full of ways to stay up to date on the latest discussions in your industry.                No more next content                          Connect with people who can help                              Find people you know                            Learn the skills you need to succeed        Choose a topic to learn aboutBusiness Analysis and Strategy                        1030+ course                      Business Software and Tools                        2100+ courses                      Career Development                        520+ courses                      Customer Service                        190+ courses                      Diversity Equity and Inclusion (DEI)                        250+ courses                      Finance and Accounting                        290+ courses                      Human Resources                        440+ courses                      Leadership and Management                        1550+ course                      Marketing                        890+ courses                      Professional Development                        1480+ course                      Project Management                        440+ courses                      Sales                        280+ courses                      Small Business and Entrepreneurship                        330+ courses                      Training and Education                        290+ courses                      AEC                        1440+ course                      Animation and Illustration                        1720+ course                      Audio and Music                        420+ courses                      Graphic Design                        960+ courses                      Motion Graphics and VFX                        900+ courses                      Photography                        1160+ course                      Product and Manufacturing                        1440+ course                      User Experience                        520+ courses                      Video                        610+ courses                      Visualization and Real-Time                        1310+ course                      Web Design                        530+ courses                      Artificial Intelligence (AI)                        290+ courses                      Cloud Computing                        1280+ course                      Data Science                        1070+ course                      Database Management                        390+ courses                      DevOps                        290+ courses                      IT Help Desk                        340+ courses                      Mobile Development                        480+ courses                      Network and System Administration                        1460+ course                      Security                        830+ courses                      Software Development                        2350+ courses                      Web Development                        1500+ course                                   Who is LinkedIn for?                      Anyone looking to navigate their professional life.                          Find a coworker or classmate                              Find a new job                              Find a course or training                        Join your colleagues classmates and friends on LinkedIn.                                  Get started                                    General                                  Sign Up                                          Help Center                                          About                                          Press                                          Blog                                          Careers                                          Developers                                  Browse LinkedIn                                  Learning                                          Jobs                                          Salary                                          Mobile                                          Services                                          Products                                          Top Companies Hub                                  Business Solutions                                  Talent                                          Marketing                                          Sales                                          Learning                                  Directories                                  Members                                          Jobs                                          Companies                                          Featured                                          Learning                                          Posts                                          Articles                                          Schools                                          News                                          News Letters                                          Services                                          Products                                          Advice                                          People Search                    LinkedIn© 2023                    About                                    Accessibility                                    User Agreement                                    Privacy Policy                                      Your California Privacy Choices                                      Cookie Policy                                    Copyright Policy                                    Brand Policy                                      Guest Controls                                      Community Guidelines                                العربية (Arabic)                            Čeština (Czech)                            Dansk (Danish)                            Deutsch (German)            English (English)                Español (Spanish)                            Français (French)                            हिंदी (Hindi)                            Bahasa Indonesia (Indonesian)                            Italiano (Italian)                            日本語 (Japanese)                            한국어 (Korean)                            Bahasa Malaysia (Malay)                            Nederlands (Dutch)                            Norsk (Norwegian)                            Polski (Polish)                            Português (Portuguese)                            Română (Romanian)                            Русский (Russian)                            Svenska (Swedish)                            ภาษาไทย (Thai)                            Tagalog (Tagalog)                            Türkçe (Turkish)                            Українська (Ukrainian)                            简体中文 (Chinese (Simplified))                            正體中文 (Chinese (Traditional))                        Language</v>
      </c>
    </row>
    <row r="611">
      <c r="A611" s="1" t="s">
        <v>2033</v>
      </c>
      <c r="B611" s="1" t="s">
        <v>2034</v>
      </c>
      <c r="C611" s="1" t="s">
        <v>2035</v>
      </c>
      <c r="D611" s="1">
        <v>1.0</v>
      </c>
      <c r="E611" s="4" t="s">
        <v>2036</v>
      </c>
      <c r="F611" s="1" t="s">
        <v>43</v>
      </c>
      <c r="G611" s="1" t="s">
        <v>1728</v>
      </c>
      <c r="H611" s="4" t="s">
        <v>1729</v>
      </c>
      <c r="I611" s="2">
        <v>2.0</v>
      </c>
      <c r="J611" s="5" t="str">
        <f>IFERROR(__xludf.DUMMYFUNCTION("GOOGLETRANSLATE(A611)"),"Easter 2023")</f>
        <v>Easter 2023</v>
      </c>
      <c r="K611" s="6" t="str">
        <f>IFERROR(__xludf.DUMMYFUNCTION("GOOGLETRANSLATE(B611)"),"Easter 2023: what a holiday on April 16, what can not be done")</f>
        <v>Easter 2023: what a holiday on April 16, what can not be done</v>
      </c>
      <c r="L611" s="5" t="str">
        <f>IFERROR(__xludf.DUMMYFUNCTION("GOOGLETRANSLATE(C611)"),"11 Apr. 2023. -")</f>
        <v>11 Apr. 2023. -</v>
      </c>
      <c r="M611" s="5" t="str">
        <f>IFERROR(__xludf.DUMMYFUNCTION("GOOGLETRANSLATE(G611)"),"Izvestia - News of the Policy of the Sports Sports Economics | Iz.ru Russian-regoperation of Russia in Ukraine of the Palestinian-Israeli conflict-forum-forum “Russia” $ $ the special operation of Russia in Ukraine of the Palestinian-Israeli conflict-foru"&amp;"m “Russia” $ $ $ $ $ $ $ $ $ € $ € $ € $ € $ to malevostication MiRMIMIANAUKA and technicianism of the StranskultiRestor-Project and subscriptions of the subscription of the company Executive Press Central Centorification of the Important Agreement of Lab"&amp;"or Agreement, the site operates with financial support Ministry of Digital Development of Communications and Mass Communications of the Russian Federation. Registered by the Federal Service for Supervision of the Communications Field of Information Techno"&amp;"logies and Mass Communications. Certificates of registration of EL No. FS 77 - 76208 dated July 8, 2019 EL No. FS 77 - 72003 of December 26, 2019, all rights were protected © MIC Izvestia LLC 2023 Khgazeta Izvestia NMGNOSTIST RENNOVOST 5 Kanalanovosti 78 "&amp;"Canalport Express Sports The Express newspaper Subscription Fillon denies the organization of a meeting of the Lebanese businessman with Putin on March 20 on March 20, all the results go to the main content of the rejection of the Ethers and gunners hit t"&amp;"he assault groups of the Armed Forces of Ukraine in the LPRB House, rejected the financing project of the US government without the help of Kievudan Lag and OIS needed to investigate the military crimes of the Israeli Israeli The defeat of the control and"&amp;" shelter of the militants in Syriasinoptics predicted in Moscow to rain and up to +7 degrees on November 12, on November 12, the latest news, the doctor told about the ways to survive the magnetic storm 06:15 Ovechkin abandoned the 825th washer in the NHL"&amp;" regular championships 06:05 A earthquake of magnitude 54 occurred In Indonesia 05:50, the farmers of Europe were apprehensive reacted to the possibility of Ukraine’s entry into the EU 05:35 Army of the Russian Federation destroyed four mortar calculation"&amp;"s of the Armed Forces in the Kupyansk direction 05:20 Russian pilots and artillerymen hit the assault groups of the Armed Forces of Ukraine in the LPR 05:05 Bloomberg learned about the consent Germany to increase assistance to Ukraine by half to € 8 billi"&amp;"on 04:50 Three people died in a collision of a train with a truck in the Angara region 04:35 Biden needed to help the guard of honor during the cemetery at the cemetery 04:20 Army of Israel answered Syria with blows on terrorist infrastructure 04: 05 Woma"&amp;"n and her two -year -old daughter died in a fire in Podolsk 03:50 White House rejected the project to finance the work of the US government without the help of Kiev 03:40 Macron called the Gaza Conference to create a humanitarian coalition 03:25 Speaker o"&amp;"f the US Congress offered to financing the government without the help of Kiev 03:15 Foreign weather forecasters predicted in Moscow to rain and up to +7 degrees on November 12 03:00 a dog handler spoke about the reasons for the early death of dogs 02:50 "&amp;"The ex-adviser Kuchma pointed out the readiness of the slave and the Armed Forces of the Russian Federation with the Russian Federation 02:40 London police detained 150 participants Demonstrations in support of Palestine 02:27 Air Defense of Israel interc"&amp;"epted a suspicious goal from Gaza 02:15 In Brazil, football fans staged a mass fight during the championship 02:05 Three people died in an accident in the Pskov region 01:50 Visitors to Igor Dreviv shared with the Izvestia »Impressions of the stand 01:35 "&amp;"Brother Nurmagomedov were disqualified for six months due to doping 01:25 Ukrainian media reported on explosions in Kiev, the city of Kherson 01:14 Podolyak announced the readiness of Ukraine for economic disputes with the EU countries 01: 10 Sportovtochk"&amp;"in abandoned the 825th The puck in the regular championships of the NHLMIMELY House rejected the project to finance the work of the US government without the help of Kiev -Proserification of Magnitite 54 in Indonesia Mirpodolak announced the readiness of "&amp;"Ukraine for economic disputes with the countries of Emyrbloomberg, the consent of the Federal Republic of Germany was doubled to € 8 billion. The ceremonies at the cemetery of the parties predicted in Moscow to rain and up to +7 degrees on November 12, a "&amp;"person killed in an accident in the Pskov regional regional media, reported explosions in the city of the city of Khersonaarmiyarmiy of the Russian Federation destroyed four mortar calculations of the Armed Forces of the Armed Forces in the Kupyansk direc"&amp;"tion of the Gamanitarian CoA. Litius Israel answered Syria with blows on a terrorist infrastructureurinist of the defense of Ukraine Umarov told the head of the Pentagon about the needs of the Kievardocarman to pull: the mortgage demand for the secondary "&amp;"collapsed almost half the terms of high rates of the banks are looking for unusual ways to attract clientwarmia Dmitry Kornev Stratosfer: why Russia is a new intelligence and junction complex that will be combined if they are united Hostly mortal Devices "&amp;"and systems of shock weapons Society Dmitry Alekseev Residential Pont: Housing Housing, without the consent of the neighbors, will not work out a new bill is called to find a compromise between residents and those who want to receive rental income, Ivan P"&amp;"etrov Knock grievances: what rights the controller in transport in Moscow opened a case for a cruel The beating of the auditor on the bus Economics Dmitry Migunov Bomb at $ 33 trillion: the US public debt has become a world problem for the demand for Amer"&amp;"ican bonds began to lag behind the proposal of the Gladiator on wheels: Italian journalists recall Ayrton Senniveli racer continues to excite the public -Golongrid. Bovano before Still Samir Igor Karmazin change the orientation: why Armenia spoils relatio"&amp;"ns with Russia, the head of the Armenian General Staff met with American generals Viktor Nedelin Rainbow prospects: Latvia was forced to same-sex marriages. The International LGBBBI continues to work on the Baltic states of Mirizizdan: the world will boyc"&amp;"ott the produced ones that will happen that will happen with the economy of the Jewish state and is it worth waiting for a new wave of anti -Semitism on November 12, 2023 00: 01economics “Open Portfolio”: how much could private investors in October expert"&amp;"s analyzed the state of the Russian stock market on November 12, 2023 00: 02 Lessac and Technician Hope: Scientists created a wardrobe for premature Children as a development will reduce the risk of injuries and infections in newborns with a low body weig"&amp;"ht on November 12, 2023 00: 01 culture of energy: Mariinsky in China Talyzin in the Mossytt Tsiscaridze in the BDT about this week, fans of the beautiful SMI2.ru -Political School of Smi2.ru -Political Coasters said this week: What changes the status of i"&amp;"nternal for the Azov Sea as these changes will affect the economy of the region and Russia on August 16, 2023 18: 52 -rope land: how Ukraine has become one of the most mined countries in the world and how Russian sappers help to solve this problem on Augu"&amp;"st 17, 2023 17: 19 Little Democratic Republic and Technical Energy and Technician Approach: as Russian scientists create unique technologies of analogues to many developments, there is no one in the world on July 31, 2023 18: 52econs of their field: how t"&amp;"he food security in Russia is ensured and what influence Covid and sanctions on July 31, 2023 18: 52 Mirbaiden were required to help the guard of honor in The ceremony in the cemetery on November12 2023 04: 20Arm Israel answered Syria with blows to terror"&amp;"ist infrastructure on November 19, 2023 04: 05 School of the US Congress, proposed financing the government without the help of Kiev on November12, 2023: 15 by 15 by 15 by the U.S. financing project without the help of Kiev November 2023 03: 40Ex Kuchma a"&amp;"dviser pointed to the readiness of the Sulfa and the Armed Forces for negotiations with the Russian Federation on November 112, 2023: 403d model of the T-90M T-90M “Breakthrough” 3D model of the first test train of the Moscow metro “Panther” 3D model of t"&amp;"he Moscow Kremlin3D model of the dacha M. S. Gorbacheva in the Foros 3d model of the Ilya Muromets aircraft 3D model of the atomic cruiser “Peter the Great” 3D model of the Tiger tank 3D model “Worker and collective farm” 3D model of Russia “Russia” 3D mo"&amp;"del of the Grand Kremlin Palace3D3D -Model of the Cathedral of the Paris Mother of God ANT-20 ""Maxim Gorky"". 3D-model3d model of the Crimean bridge3d-model of the main temple of the Armed Forces of the Russian Federation of the Russian Federation3d 3d-m"&amp;"odel of the Boeing 747-1003d model of the monastery of the Kiev-Pechersk Laurus3d Model House of the House of the Watchtower of the Patrient Ship ""Emerald"" 3d-model of the St. Paul3d Model of the Rzhevsky Memorial Soviet soldier 3d-model of the Berlin T"&amp;"ank Tank IS-23D model of the Salisbury Cathedral3d Model of the passenger aircraft Tu-1043D-model of the Sukharevo Tower of the Il-763D motor ship ""Peter the Great"" 3D model of the Cathedral of Christ Savior 3d Model of Space Ships "" Union-19 ”and“ Apo"&amp;"llo ”3D model of the Sevastopol battleship, a member of“ Scarlet Sails ”-brig Tre Kronor Af Stockholm Kurchatov Specialized Synchrotron Radiation Speed ​​3D model“ Vostok-1 ”3D-model Titanic History in the dates: 12 November-consuming of the week in the p"&amp;"hotographs: a blow to Jabalia The deadly storm ""Kiaran"" and the choice of a dress for Miss Universe what was important in Russia and the world in the past days Super Bag: how do flour made of crickets a fresh look at the goods of the Stavropol Staropoli"&amp;"s category is not in a neighborly way: Pakistan is deporting the Afghan illegal measures to end until November 1, the photo of the day: Vulcan Klyuchevsky was assigned a “red” hazard code for aviation00: 24Magnetic storm will cover the earth on the night "&amp;"of November 12, 2023 19: 4600: 57v China, online for the occasion of the day of the Holy Day11 November 2023 18: 3000: 33th American strategic bomber B-21 made the first flight on November11, 2023 13: 53, the largest artificial ice rink in Europe. Video 3"&amp;"60 ° The Building Theater building celebrates the 195th anniversary. Video 360 ° in Moscow was held by the International Exhibition of Business Aviation Rubae. Video 360 ° Festival of military equipment ""Motors of War"". Video 360 ° in Moscow hosts the f"&amp;"estival of gardens and flowers. Video 360 ° the second for the year the tram parade was held in the capital. Video 360 ° PMEF. Video 360 ° Morning on May 9 in Moscow from the roof of the Typhoon armored car. Video 360 ° Evacuation of the aircraft. Video 3"&amp;"60 ° what they feed on an airplane: an excursion to the on -board power plant. Video 360 ° Exhibition ""Lada Always"": more than 100 most unusual models. Video 360 ° East. Another beauty: a large -scale exhibition. Video 360 ° Excursion on the legendary M"&amp;"osfilm pavilions. Video 360 ° how the coke is produced. Video 360 ° 90 years of Mickey Mouse: multimedia exhibition. Video 360 ° 120 previously unknown sculptures of Tsereteli. Video 360 ° Championship of Russia in the Higher aerobatics: unique shots from"&amp;" the wing of the aircraft. Video 360 ° Moscow Mint and Moscow Printing House ""Goznak"". Video 360 ° The World Cup in Kazan. Video 360 ° Cinema ""Illusion"" after reconstruction. Video 360 ° Crazy drift on the ""Lada"". Video 360 ° Excursion in Gorky Park"&amp;". Video 360 ° feeding sharks in Moskvarium. Video 360 ° World Wingsight jump record. Video 360 ° Luxurious train ""Imperial Russia"". Video 360 ° Driving T-80U tank under water. Video 360 ° Championship of the World football 2022 in Qatar: A unique show. "&amp;"Video 360 ° The test is not for the faint of heart: a stamina marathon. Video 360 ° Advertising of beauty: Ten products that will extend youth, doctors said that it is necessary to slow down the aging on November 11, 2023 00: 02 Iranian President gathered"&amp;" in Saudi Arabia Visit as part of the Summit on the situation in the gas sector will be the first after the reconciliation of the two countries on November 11 2023 00: 02 publication seal of communication: how to protect against theft of data through a VP"&amp;"N under a VPN service can be disguised as a Trojan-style on November 11, 2023 00:02 Opinion Olga Pozdnyakov “” In Russia, a register of debtors on alimony will appear in Russia. It will be possible to delete the surname from it only by repaying all obliga"&amp;"tions. In the future, it is possible to introduce sanctions against submitted to the register - a restriction on leaving the country with a driver’s license, etc. November 11, 2023 08: 00Aleksandra Babkin “” on the Internet you should not do anything that"&amp;" you do not allow yourself in real life. Technical tools can protect you from cyberbulling, however, we will not change the culture of our communication on the network, we will not be able to globally solve the problem on November11, 2023 08: 00valery Eme"&amp;"lyanov “” Positive factors that could not force the ruble to turn over now. Currency swings rush down until they find a U -turning point there and will not fly back 10th November 2023 08: 00maxim Dobromoslov “” In one we are ahead of the Hollywood film In"&amp;"dustry - small budgets. Our times less. Paradoxically, but this is a big plus November 9, 2023 20: 00vgenia Pimenov “” Cultural exchanges in the broadest sense of the word is a tool of peaceful and stable times. When the world spiral of conflicts begins t"&amp;"o spin all this “decor” begins to crumble on November9, 2023 14: 00leg Chamonaev “” This case affects not only Camille personally, but also the entire national team and even in the matter with Olympic gold. So no compromises (with their conscience and ant"&amp;"i -doping authorities) are impossible here on November 9, 2023 08: 00 George Mokhov “” Everywhere where there are budget money - especially when they are distributed on “lightweight” conditions: not through public procurements and competitive procedures, "&amp;"and highlighting subsidies essentially Under honestly, attackers always appear. This also happened in the field of tourism on November 9, 2023: 00port “The level of RPL fell a bit-more matches began to win on the classroom” SKA-Khabarovsk football player "&amp;"Vyacheslav Podberezkin-about the leadership of Krasnodar and the motivation of the new generation of players on November 12, 2023 00: 01 Products Her two -year -old daughter died in a fire in Podolsk November 112, 2023: 50 Mirmacron called the Gaza Confer"&amp;"ence in a step towards the creation of a humanitarian coalition November12, 2023 03: 25 Synoptics predicted rain in Moscow and up to +7 degrees on November 12, 2023 03: 00 Police of London, 150 participants in the demonstration in support Palestine Novemb"&amp;"er 19, 2023 02: 27pvo Israel, intercepted a suspicious goal from Gaza November 112, 2023: 15v Brazil, football fans staged a mass fight during the championship November 11, 2023 02: 05 sports weekend with Izvestia November 10, 2023 00: 00 Cultural Week: C"&amp;"hoosing Izvestia on November 9 2023 00: 01 advertising menu Advertising Subscribing to the RSS newspaper Send news about the company editorial-pre-re-renovation company about the immutation of the labor protection of labor copyright on the visualization s"&amp;"ystem of the contents of the portal iz.ru as well as on the initial data, including the texts of the audio and video materials, graphic images and product signs belongs ""MIC"" Izvestia "". The specified information is protected in accordance with the leg"&amp;"islation of the Russian Federation and international agreements. Partial citation is possible only if a hyperlink on iz.ru. AB AB ""Russia"" - partner of the section ""Economics"" The site functions with financial support from the Ministry of Digital Deve"&amp;"lopment of Communications and Mass Communications of the Russian Federation. Responsibility for the maintenance of any advertising materials placed on the portal is borne by the advertiser. Analytics News Forecasts and other materials presented on this si"&amp;"te are not an offer or a recommendation for the purchase or sale of any assets. Registered by the Federal Service for Supervision of the Communications of Information Technologies and Mass Communications. Certificate of registration of EL No. FS 77 - 7620"&amp;"8 dated July 8, 2019 EL No. FS 77 - 72003 of December 26, 2019 All rights are protected © MIC Izvestia 2023")</f>
        <v>Izvestia - News of the Policy of the Sports Sports Economics | Iz.ru Russian-regoperation of Russia in Ukraine of the Palestinian-Israeli conflict-forum-forum “Russia” $ $ the special operation of Russia in Ukraine of the Palestinian-Israeli conflict-forum “Russia” $ $ $ $ $ $ $ $ $ € $ € $ € $ € $ to malevostication MiRMIMIANAUKA and technicianism of the StranskultiRestor-Project and subscriptions of the subscription of the company Executive Press Central Centorification of the Important Agreement of Labor Agreement, the site operates with financial support Ministry of Digital Development of Communications and Mass Communications of the Russian Federation. Registered by the Federal Service for Supervision of the Communications Field of Information Technologies and Mass Communications. Certificates of registration of EL No. FS 77 - 76208 dated July 8, 2019 EL No. FS 77 - 72003 of December 26, 2019, all rights were protected © MIC Izvestia LLC 2023 Khgazeta Izvestia NMGNOSTIST RENNOVOST 5 Kanalanovosti 78 Canalport Express Sports The Express newspaper Subscription Fillon denies the organization of a meeting of the Lebanese businessman with Putin on March 20 on March 20, all the results go to the main content of the rejection of the Ethers and gunners hit the assault groups of the Armed Forces of Ukraine in the LPRB House, rejected the financing project of the US government without the help of Kievudan Lag and OIS needed to investigate the military crimes of the Israeli Israeli The defeat of the control and shelter of the militants in Syriasinoptics predicted in Moscow to rain and up to +7 degrees on November 12, on November 12, the latest news, the doctor told about the ways to survive the magnetic storm 06:15 Ovechkin abandoned the 825th washer in the NHL regular championships 06:05 A earthquake of magnitude 54 occurred In Indonesia 05:50, the farmers of Europe were apprehensive reacted to the possibility of Ukraine’s entry into the EU 05:35 Army of the Russian Federation destroyed four mortar calculations of the Armed Forces in the Kupyansk direction 05:20 Russian pilots and artillerymen hit the assault groups of the Armed Forces of Ukraine in the LPR 05:05 Bloomberg learned about the consent Germany to increase assistance to Ukraine by half to € 8 billion 04:50 Three people died in a collision of a train with a truck in the Angara region 04:35 Biden needed to help the guard of honor during the cemetery at the cemetery 04:20 Army of Israel answered Syria with blows on terrorist infrastructure 04: 05 Woman and her two -year -old daughter died in a fire in Podolsk 03:50 White House rejected the project to finance the work of the US government without the help of Kiev 03:40 Macron called the Gaza Conference to create a humanitarian coalition 03:25 Speaker of the US Congress offered to financing the government without the help of Kiev 03:15 Foreign weather forecasters predicted in Moscow to rain and up to +7 degrees on November 12 03:00 a dog handler spoke about the reasons for the early death of dogs 02:50 The ex-adviser Kuchma pointed out the readiness of the slave and the Armed Forces of the Russian Federation with the Russian Federation 02:40 London police detained 150 participants Demonstrations in support of Palestine 02:27 Air Defense of Israel intercepted a suspicious goal from Gaza 02:15 In Brazil, football fans staged a mass fight during the championship 02:05 Three people died in an accident in the Pskov region 01:50 Visitors to Igor Dreviv shared with the Izvestia »Impressions of the stand 01:35 Brother Nurmagomedov were disqualified for six months due to doping 01:25 Ukrainian media reported on explosions in Kiev, the city of Kherson 01:14 Podolyak announced the readiness of Ukraine for economic disputes with the EU countries 01: 10 Sportovtochkin abandoned the 825th The puck in the regular championships of the NHLMIMELY House rejected the project to finance the work of the US government without the help of Kiev -Proserification of Magnitite 54 in Indonesia Mirpodolak announced the readiness of Ukraine for economic disputes with the countries of Emyrbloomberg, the consent of the Federal Republic of Germany was doubled to € 8 billion. The ceremonies at the cemetery of the parties predicted in Moscow to rain and up to +7 degrees on November 12, a person killed in an accident in the Pskov regional regional media, reported explosions in the city of the city of Khersonaarmiyarmiy of the Russian Federation destroyed four mortar calculations of the Armed Forces of the Armed Forces in the Kupyansk direction of the Gamanitarian CoA. Litius Israel answered Syria with blows on a terrorist infrastructureurinist of the defense of Ukraine Umarov told the head of the Pentagon about the needs of the Kievardocarman to pull: the mortgage demand for the secondary collapsed almost half the terms of high rates of the banks are looking for unusual ways to attract clientwarmia Dmitry Kornev Stratosfer: why Russia is a new intelligence and junction complex that will be combined if they are united Hostly mortal Devices and systems of shock weapons Society Dmitry Alekseev Residential Pont: Housing Housing, without the consent of the neighbors, will not work out a new bill is called to find a compromise between residents and those who want to receive rental income, Ivan Petrov Knock grievances: what rights the controller in transport in Moscow opened a case for a cruel The beating of the auditor on the bus Economics Dmitry Migunov Bomb at $ 33 trillion: the US public debt has become a world problem for the demand for American bonds began to lag behind the proposal of the Gladiator on wheels: Italian journalists recall Ayrton Senniveli racer continues to excite the public -Golongrid. Bovano before Still Samir Igor Karmazin change the orientation: why Armenia spoils relations with Russia, the head of the Armenian General Staff met with American generals Viktor Nedelin Rainbow prospects: Latvia was forced to same-sex marriages. The International LGBBBI continues to work on the Baltic states of Mirizizdan: the world will boycott the produced ones that will happen that will happen with the economy of the Jewish state and is it worth waiting for a new wave of anti -Semitism on November 12, 2023 00: 01economics “Open Portfolio”: how much could private investors in October experts analyzed the state of the Russian stock market on November 12, 2023 00: 02 Lessac and Technician Hope: Scientists created a wardrobe for premature Children as a development will reduce the risk of injuries and infections in newborns with a low body weight on November 12, 2023 00: 01 culture of energy: Mariinsky in China Talyzin in the Mossytt Tsiscaridze in the BDT about this week, fans of the beautiful SMI2.ru -Political School of Smi2.ru -Political Coasters said this week: What changes the status of internal for the Azov Sea as these changes will affect the economy of the region and Russia on August 16, 2023 18: 52 -rope land: how Ukraine has become one of the most mined countries in the world and how Russian sappers help to solve this problem on August 17, 2023 17: 19 Little Democratic Republic and Technical Energy and Technician Approach: as Russian scientists create unique technologies of analogues to many developments, there is no one in the world on July 31, 2023 18: 52econs of their field: how the food security in Russia is ensured and what influence Covid and sanctions on July 31, 2023 18: 52 Mirbaiden were required to help the guard of honor in The ceremony in the cemetery on November12 2023 04: 20Arm Israel answered Syria with blows to terrorist infrastructure on November 19, 2023 04: 05 School of the US Congress, proposed financing the government without the help of Kiev on November12, 2023: 15 by 15 by 15 by the U.S. financing project without the help of Kiev November 2023 03: 40Ex Kuchma adviser pointed to the readiness of the Sulfa and the Armed Forces for negotiations with the Russian Federation on November 112, 2023: 403d model of the T-90M T-90M “Breakthrough” 3D model of the first test train of the Moscow metro “Panther” 3D model of the Moscow Kremlin3D model of the dacha M. S. Gorbacheva in the Foros 3d model of the Ilya Muromets aircraft 3D model of the atomic cruiser “Peter the Great” 3D model of the Tiger tank 3D model “Worker and collective farm” 3D model of Russia “Russia” 3D model of the Grand Kremlin Palace3D3D -Model of the Cathedral of the Paris Mother of God ANT-20 "Maxim Gorky". 3D-model3d model of the Crimean bridge3d-model of the main temple of the Armed Forces of the Russian Federation of the Russian Federation3d 3d-model of the Boeing 747-1003d model of the monastery of the Kiev-Pechersk Laurus3d Model House of the House of the Watchtower of the Patrient Ship "Emerald" 3d-model of the St. Paul3d Model of the Rzhevsky Memorial Soviet soldier 3d-model of the Berlin Tank Tank IS-23D model of the Salisbury Cathedral3d Model of the passenger aircraft Tu-1043D-model of the Sukharevo Tower of the Il-763D motor ship "Peter the Great" 3D model of the Cathedral of Christ Savior 3d Model of Space Ships " Union-19 ”and“ Apollo ”3D model of the Sevastopol battleship, a member of“ Scarlet Sails ”-brig Tre Kronor Af Stockholm Kurchatov Specialized Synchrotron Radiation Speed ​​3D model“ Vostok-1 ”3D-model Titanic History in the dates: 12 November-consuming of the week in the photographs: a blow to Jabalia The deadly storm "Kiaran" and the choice of a dress for Miss Universe what was important in Russia and the world in the past days Super Bag: how do flour made of crickets a fresh look at the goods of the Stavropol Staropolis category is not in a neighborly way: Pakistan is deporting the Afghan illegal measures to end until November 1, the photo of the day: Vulcan Klyuchevsky was assigned a “red” hazard code for aviation00: 24Magnetic storm will cover the earth on the night of November 12, 2023 19: 4600: 57v China, online for the occasion of the day of the Holy Day11 November 2023 18: 3000: 33th American strategic bomber B-21 made the first flight on November11, 2023 13: 53, the largest artificial ice rink in Europe. Video 360 ° The Building Theater building celebrates the 195th anniversary. Video 360 ° in Moscow was held by the International Exhibition of Business Aviation Rubae. Video 360 ° Festival of military equipment "Motors of War". Video 360 ° in Moscow hosts the festival of gardens and flowers. Video 360 ° the second for the year the tram parade was held in the capital. Video 360 ° PMEF. Video 360 ° Morning on May 9 in Moscow from the roof of the Typhoon armored car. Video 360 ° Evacuation of the aircraft. Video 360 ° what they feed on an airplane: an excursion to the on -board power plant. Video 360 ° Exhibition "Lada Always": more than 100 most unusual models. Video 360 ° East. Another beauty: a large -scale exhibition. Video 360 ° Excursion on the legendary Mosfilm pavilions. Video 360 ° how the coke is produced. Video 360 ° 90 years of Mickey Mouse: multimedia exhibition. Video 360 ° 120 previously unknown sculptures of Tsereteli. Video 360 ° Championship of Russia in the Higher aerobatics: unique shots from the wing of the aircraft. Video 360 ° Moscow Mint and Moscow Printing House "Goznak". Video 360 ° The World Cup in Kazan. Video 360 ° Cinema "Illusion" after reconstruction. Video 360 ° Crazy drift on the "Lada". Video 360 ° Excursion in Gorky Park. Video 360 ° feeding sharks in Moskvarium. Video 360 ° World Wingsight jump record. Video 360 ° Luxurious train "Imperial Russia". Video 360 ° Driving T-80U tank under water. Video 360 ° Championship of the World football 2022 in Qatar: A unique show. Video 360 ° The test is not for the faint of heart: a stamina marathon. Video 360 ° Advertising of beauty: Ten products that will extend youth, doctors said that it is necessary to slow down the aging on November 11, 2023 00: 02 Iranian President gathered in Saudi Arabia Visit as part of the Summit on the situation in the gas sector will be the first after the reconciliation of the two countries on November 11 2023 00: 02 publication seal of communication: how to protect against theft of data through a VPN under a VPN service can be disguised as a Trojan-style on November 11, 2023 00:02 Opinion Olga Pozdnyakov “” In Russia, a register of debtors on alimony will appear in Russia. It will be possible to delete the surname from it only by repaying all obligations. In the future, it is possible to introduce sanctions against submitted to the register - a restriction on leaving the country with a driver’s license, etc. November 11, 2023 08: 00Aleksandra Babkin “” on the Internet you should not do anything that you do not allow yourself in real life. Technical tools can protect you from cyberbulling, however, we will not change the culture of our communication on the network, we will not be able to globally solve the problem on November11, 2023 08: 00valery Emelyanov “” Positive factors that could not force the ruble to turn over now. Currency swings rush down until they find a U -turning point there and will not fly back 10th November 2023 08: 00maxim Dobromoslov “” In one we are ahead of the Hollywood film Industry - small budgets. Our times less. Paradoxically, but this is a big plus November 9, 2023 20: 00vgenia Pimenov “” Cultural exchanges in the broadest sense of the word is a tool of peaceful and stable times. When the world spiral of conflicts begins to spin all this “decor” begins to crumble on November9, 2023 14: 00leg Chamonaev “” This case affects not only Camille personally, but also the entire national team and even in the matter with Olympic gold. So no compromises (with their conscience and anti -doping authorities) are impossible here on November 9, 2023 08: 00 George Mokhov “” Everywhere where there are budget money - especially when they are distributed on “lightweight” conditions: not through public procurements and competitive procedures, and highlighting subsidies essentially Under honestly, attackers always appear. This also happened in the field of tourism on November 9, 2023: 00port “The level of RPL fell a bit-more matches began to win on the classroom” SKA-Khabarovsk football player Vyacheslav Podberezkin-about the leadership of Krasnodar and the motivation of the new generation of players on November 12, 2023 00: 01 Products Her two -year -old daughter died in a fire in Podolsk November 112, 2023: 50 Mirmacron called the Gaza Conference in a step towards the creation of a humanitarian coalition November12, 2023 03: 25 Synoptics predicted rain in Moscow and up to +7 degrees on November 12, 2023 03: 00 Police of London, 150 participants in the demonstration in support Palestine November 19, 2023 02: 27pvo Israel, intercepted a suspicious goal from Gaza November 112, 2023: 15v Brazil, football fans staged a mass fight during the championship November 11, 2023 02: 05 sports weekend with Izvestia November 10, 2023 00: 00 Cultural Week: Choosing Izvestia on November 9 2023 00: 01 advertising menu Advertising Subscribing to the RSS newspaper Send news about the company editorial-pre-re-renovation company about the immutation of the labor protection of labor copyright on the visualization system of the contents of the portal iz.ru as well as on the initial data, including the texts of the audio and video materials, graphic images and product signs belongs "MIC" Izvestia ". The specified information is protected in accordance with the legislation of the Russian Federation and international agreements. Partial citation is possible only if a hyperlink on iz.ru. AB AB "Russia" - partner of the section "Economics" The site functions with financial support from the Ministry of Digital Development of Communications and Mass Communications of the Russian Federation. Responsibility for the maintenance of any advertising materials placed on the portal is borne by the advertiser. Analytics News Forecasts and other materials presented on this site are not an offer or a recommendation for the purchase or sale of any assets. Registered by the Federal Service for Supervision of the Communications of Information Technologies and Mass Communications. Certificate of registration of EL No. FS 77 - 76208 dated July 8, 2019 EL No. FS 77 - 72003 of December 26, 2019 All rights are protected © MIC Izvestia 2023</v>
      </c>
    </row>
    <row r="612">
      <c r="A612" s="1" t="s">
        <v>2033</v>
      </c>
      <c r="B612" s="1" t="s">
        <v>2037</v>
      </c>
      <c r="C612" s="1" t="s">
        <v>2038</v>
      </c>
      <c r="D612" s="1">
        <v>2.0</v>
      </c>
      <c r="E612" s="4" t="s">
        <v>2039</v>
      </c>
      <c r="F612" s="1" t="s">
        <v>43</v>
      </c>
      <c r="G612" s="1" t="s">
        <v>2040</v>
      </c>
      <c r="H612" s="4" t="s">
        <v>2041</v>
      </c>
      <c r="I612" s="2">
        <v>2.0</v>
      </c>
      <c r="J612" s="5" t="str">
        <f>IFERROR(__xludf.DUMMYFUNCTION("GOOGLETRANSLATE(A612)"),"Easter 2023")</f>
        <v>Easter 2023</v>
      </c>
      <c r="K612" s="6" t="str">
        <f>IFERROR(__xludf.DUMMYFUNCTION("GOOGLETRANSLATE(B612)"),"Easter 2023: When we celebrate the Orthodox ...")</f>
        <v>Easter 2023: When we celebrate the Orthodox ...</v>
      </c>
      <c r="L612" s="5" t="str">
        <f>IFERROR(__xludf.DUMMYFUNCTION("GOOGLETRANSLATE(C612)"),"23 Sept. 2022 -")</f>
        <v>23 Sept. 2022 -</v>
      </c>
      <c r="M612" s="5" t="str">
        <f>IFERROR(__xludf.DUMMYFUNCTION("GOOGLETRANSLATE(G612)"),"News - the latest news of Ukraine today RBC-Ukraine UAENRUND November 12 NovembernewsDailystylrtravelvevin Russia from Ukraine Contramatic Zaporizle statements of Russian and Ukraine of Ukraine's War of Ukraine of Ukraine 'Wiscochka Vislongridautautautore"&amp;"altystystystystyleriva Personal Personal Sciences of Science Currency and Serials Orientation Help in Authorita -Territorial Aviation Aviation Invinational Bulletin 12.11.2023 In personal ~ 310650 +1130 -leggings32222224 tanks5342 +25BBM10041 +24 Artiller"&amp;"y7527 +38 PPP579 +1rsv879 +2 tattons from PMM1069 +99620. 1 News05: 22Dan will continue residence permits for refugees from Ukraine by 2025 04: 54kndr Strengthening relations with Russia, despite the warning of 04: 26 -ministers of defense of the US and I"&amp;"srael, spoke ways to prevent escalation in the Middle East, read us in Telegram. Subscribe to our channel03: 57 gur can be involved in the roasted territory in the last two days - ISW 03: 28 Russian ""with new force"" restored the offensive in Bakhmut dir"&amp;"ection - land troops 03: 00 Izrael surrounded gas and destroyed ""thousands of"" Hamas "". 02: 31 Ukrainian troops advanced in the Melitopol direction: maps of fights ISW 02: 03 -military aircraft of the United States crashed over the Mediterranean during"&amp;" training 01: 35 Johnson offered a project to avoid the US government and the assistance of Ukraine and Izrai The Russian Federation near its borders 00: 38 winter Ukraine will have enough energy - the Ministry of Energy 00: 10 waited for the border cross"&amp;"ing. In Poland, the driver of the truck died before the checkpoint on November 1123: 41ZSU per day eliminated 8 tanks of the Russian Federation in the Limano-Kupyansk direction of 23: 14th cheap but without advertising. Meta offers Facebook and Instagram "&amp;"22: 59U Kyiv on BMW Karavayev Dachas Runed Five Cars 22: 44Wh. The military destroyed the enemy rebves near Avdiivka (video) 22: 29 to seize Kupyansk and not only. In the Land Forces, the Russians' plans were told by the end of the year 22: 14, with the p"&amp;"lanned shutdowns of light more than half of Ukrainians will be with the Internet - the Ministry of Defense 22: 01 -Evacuated from the Gaza Sector Ukrainians have already arrived in Moldova 21: 46 Davbik and Tsigankov Guarantee 21: 32Merov told the head of"&amp;" the Pentagon about the current needs of Ukraine 21: 16 he was a combine and ran into a mine. In the Kharkiv region, a car of 21: 01U Black Sea was blown up in the Crimea and anywhere in the Armed Forces will get the occupier - Zelensky 20: 48 Fedorov tol"&amp;"d which Russian ships struck marine drones 20: 33 GRUSUSus Ukraine and Moldova will enter the EU at the same time - President of Georgia 20: 18 Russians fired at the highway in the Sumy region are dead 20:03 ""It would be fair."" In Ukraine, attacks on th"&amp;"e oil and gas system of the Russian Federation 19: 48 Premier of Croatia released the Minister of Defense through a deadly road accident 19: 33 Russia due The explosion 19: 04 situations on the front today on November 11, 18: 49, culling the house of the "&amp;"deputy of the Kherson Regional Council 18: 35Politico learned that the EU prevents the EU from putting a million shells in Ukraine 18: 21 by the EU and on motorcycles. The border guards detained 8 evastors who tried to leave Ukraine 18: 08. What is grants"&amp;" and how they help to open their own business Styler 18: 06 Ukrainians call not to go to the mountains because of the worsening weather 17: 52 -military Russian fired at Toretsk: there are victims 17: 37 -Nimenchyna will double the military assistance to "&amp;"Ukraine - Bild 17: 22 The Odessa region (video) 17: 07 Defense Minister of Croatia got in an accident 16: 52. Ambassador named the total number of evacuated 16: 24Ukraine and Poland will hold negotiations on unlocking the checkpoints: named date 16: 10 ma"&amp;"cron believes that December will be decisive for Ukraine but for negotiations not yet time 16: 05 Zelensky reminded the importance of Ukraine and Poland: together we are twice as much 16: 00 days in almost all of Ukraine in places of wind gusts: the weath"&amp;"er for tomorrow 15: 46 EC should be ready to support Ukraine If US assistance will decrease - Borrel 15: 39 Novot train to Warsaw. Why passengers complain about 15: 32 Russian children make Ukrainian children to report ""mining"" - Ombudsman 15: 17 israel"&amp;" destroyed the Hamas company commander who kept hostage hostages who pushed a man in a car will be held accountable 14: 31 border guards ""land"" drone under Bakhmut now he will destroy the occupiers 14: 16th, it is likely not possible to repeat the succe"&amp;"ss BBM and infantry. The SBU fighters showed work at the hottest points 13:32 ""Extremely successful operation"". Intelligence revealed the details of the destruction of ships in the Crimea 13: 18U Sumy region teenagers crashed the train they detained 13:"&amp;" 03 Rossia increased the militarization Ukraine 12: 22 can corruption in Ukraine be an obstacle to joining the EU: The Opinion of the Ambassador 12: 12V Ukraine has announced a large-scale air alarm by the Russians raised the Mig-31K (dumping) 12: 04 Russ"&amp;"ia never comes ""forever"". Zelensky congratulated Kherson 11: 50 SSU in the Tavriysk direction more than 600 invaders 9 Russians surrendered 11: 44 -Ukrainian students can return part of the amount for ""contract"": how to do the Styler 11: 35MVF. It was"&amp;" successfully 11: 29patriot knocked down a ballistic missile in the capital of the capital 11: 17 Budanov appealed to the Kherson on the anniversary Ukraine is restored faster than the expectation of the IMF: the Foundation improved the forecast 10: 38 Gu"&amp;"r staged a ""cotton"" at factories in Russia - sources 10: 21 Experts named the main stages of Kherson's release operation 10: 06 48 What a blow to Chernobayivtsi and bridges closer to Kherson's liberation: expert opinion 09: 33 formula of peace Middle Ea"&amp;"st and more. Yermak has telephone negotiations with Sullivan 09: 18U ""Actions"" creates a new business service: who can use 09: 03, in Kiev. Ignati confirmed that the occupiers released the balconika worked aircraft 09: 00.Na Railway of the Ryazan region"&amp;" of the Russian Federation ""Kappoli"" was heard 7 cars. In the Odessa region there is a hit 08: 49 life without a passport. What threatens the absence of documents during the war 08: 35 Occupants attacked the Dnipropetrovsk region with drones: there is a"&amp;" hit 08: 28U Lithuania announced the exchange The dollar falls on 08 and what to expect in the near future: Expert Forecast 08: 06V Kyiv has heard strong explosions: what is known 08: 00 Russia is preparing for a new wave The losses of the Russian Federat"&amp;"ion 07: 35 Russian at night beat drones and rockets: the air defense knocked down 19 ""Shahmed"" 07: 27 situations on the front today on November 11 07: 00th and even thunderstorms. The weather forecast has given a forecast today in Ukraine 06: 30PPO knoc"&amp;"ked all hostile targets during the last attack on Kiev 06: 00th Christmas? Will Ukraine quickly go to new dates and from where from January 7 05: 42ZSA counterattacked and reflected positions in the Avdiivsky direction: maps of fights ISW 05: 18 more than"&amp;" 100 thousand inhabitants of Gaza switched south - tann Belarus 04: 20 Tramphp suggested that in the case of election by the President he would use the FBI to massate opponents 03: 53dea to grant Ukraine 20 billion euros from the EU of the EU. : 55 world "&amp;"order in danger - SHOLC declared an increase in investments in defense 02: 27 Corbatage unfolds the Navy in the Middle East to strengthen the impact in the region - ISW 01: 59 israel updated data on losses due to Hamas invasion: the death Latvia arrived 1"&amp;"5 tanks Leopard 2 01: 02 Kanad's government in Parliament of $ 385 million for military support of Ukraine 00: 33 on the Powder Plant in the Tambov region a fire occurred: the day before, the explosions of 00: 20 were reported suspicion of the occupier on"&amp;" November 10. 52V of the Moscow region near the manufacturer of ""daggers"" there were explosions of 23: 43 were built a fabric salute. The SBU destroyed the ammunition composition of the Russians in the south of the country (video) 23: 14 Kharlan won ""S"&amp;"ilver"" in the first stage of the Fencing World Cup 23: 08V Odessa region. Ukraine's economy for military rails is impossible 22: 47 Glava of the US Treasury threatened China serious consequences in the case The border guards detained another Ukrainian wh"&amp;"o helped illegal migrants 22: 03 Zelensky at the Peace Forum: there are no several ""big"" which can decide for all in the world 22: 01. Ukraineua Akimova Corporal RBC-Ukrainian Lelichyn Political Viewer of RBC-Ukrainian Day on November 21 02:31 Ukrainian"&amp;" troops advanced in the Melitopol direction: maps of battles of Iswrosians ""with new force"". Energy resources - Ministry of Energy ND 12.11.2023 00:38 Israel surrounded gas and destroyed ""thousands"" of Hamas - Netanyahu fighters of ND ND 12.11.2023 RB"&amp;"C-Ukraine ""up to 30 wounded per day"". As a doctors of the 80th brigade, they rescue the military under Bakhmuldanilo Kramarenko examiner RBC-Ukraine in counter-courses. What important negotiations with Biden with Xi Jinping and what to wait for Ukraine "&amp;"to wait for RBC-Ukraine RBC-Ukraine risk of Avdiivka's surroundings and resource shortages. What happens on the front on the eve of Zimidmitro Levitsky Milan Lechn when Ukraine will join the EU and how will negotiates on the currency members of the curren"&amp;"cy and salesbankusd37.34 371 36.14 Eur40.13 40.32 'There are records from views 10.11.2023 Friday 2023 - something grand! 10.11.2023 Played the greatest jackpot in the history of mobile devices 09.11.202310 Moneyveo: we celebrate gifts and good points of "&amp;"investors Revived Hope on Lower States Alexander Martynenkolov Department of Corporate Analysis development of Ukrainian Ruslana Velichkov's ""defense"". The Executive Director of the Ukrainian Veterans Fund of Israel and why it is worth learning to Ukrai"&amp;"ne Bogdan Danylyshynishinekonistvis. As Frida Ukraine volunteers, with the support of the UN Development Program, they help victims of mines and shelling the main news ""it would be fair"". In Ukraine, the border guards raised the Ukrainian flag in the po"&amp;"plars of Kharkiv region in Ukraine. What are grants and how they help to open their own business of Ukrainians are not called to go to the mountains because of the deterioration of the weather by Styler22: 32 Extended directly from the pool. The scandalou"&amp;"s blogger who rolled out Lviv music was evicted from the Styler Hotel 22: 11 Friday: marketers have confessed as their schemes make you waste more money Styler 21: 53 Cross Ognevich in a candid rope on the table (video). Your body in space without a space"&amp;" suit: shocking scientific details of Styler 21: 01No week will hurt on the wallet and self -love of these signs of the Styler zodiac signs 20: 34alyona alanona. Styler 20: 00 pity or modesty? How much money to give for a wedding to be the perfect guest S"&amp;"tyler 19:30 ""I called you slaves and slaves."" Pugachova angrily addressed to the Hates from Russia Styler even news or modesty? How much money to give for a wedding to be the perfect guest will happen with your body in space without a space suit: the sh"&amp;"ocking scientific detail of the week will hurt the wallet and self -love of these signs of the zodiac. Stylists showed what sweaters should not be bought for the winter (photo) ""I called you slaves and slaves."" Pugachova angrily addressed to the haits f"&amp;"rom RussiaNews Ukrainian Russian Russian from Ukraine Kuronavirusvirusvirusvitolycanadancaniac events of the social economy of education Sportselichoffilms and serials needed help authorities Aviation Aviation in Ukraine Spacers Abroading RBC-Ukraine Info"&amp;"rmation Portal It has a three -language version (Ukrainian Russian and English) The main page of the portal - https: //www.rb.ua.ua photography of the image belong to their right holders. All the photos on this site by authors of RBC-Ukraine are posted on"&amp;" Creative Commons Attribution License 4.0 International. Appraisal judgments are not subject to refutation and proving their truth. The advertiser is responsible for the accuracy and content of advertising. Materials are noticed by Press Releases Press-Pr"&amp;"oject ""News of the Company"" ""Partnership Material"" ""Charity"" ""Charity"" are placed on advertising rights and are predominantly intended for persons aged 21 years of age. © UBT LLC 2006-2023. Continuing to view RBC.ua you confirm that you have famil"&amp;"iarized with the privacy of the Rules of Use of the Site using cookies. I will read")</f>
        <v>News - the latest news of Ukraine today RBC-Ukraine UAENRUND November 12 NovembernewsDailystylrtravelvevin Russia from Ukraine Contramatic Zaporizle statements of Russian and Ukraine of Ukraine's War of Ukraine of Ukraine 'Wiscochka Vislongridautautautorealtystystystystyleriva Personal Personal Sciences of Science Currency and Serials Orientation Help in Authorita -Territorial Aviation Aviation Invinational Bulletin 12.11.2023 In personal ~ 310650 +1130 -leggings32222224 tanks5342 +25BBM10041 +24 Artillery7527 +38 PPP579 +1rsv879 +2 tattons from PMM1069 +99620. 1 News05: 22Dan will continue residence permits for refugees from Ukraine by 2025 04: 54kndr Strengthening relations with Russia, despite the warning of 04: 26 -ministers of defense of the US and Israel, spoke ways to prevent escalation in the Middle East, read us in Telegram. Subscribe to our channel03: 57 gur can be involved in the roasted territory in the last two days - ISW 03: 28 Russian "with new force" restored the offensive in Bakhmut direction - land troops 03: 00 Izrael surrounded gas and destroyed "thousands of" Hamas ". 02: 31 Ukrainian troops advanced in the Melitopol direction: maps of fights ISW 02: 03 -military aircraft of the United States crashed over the Mediterranean during training 01: 35 Johnson offered a project to avoid the US government and the assistance of Ukraine and Izrai The Russian Federation near its borders 00: 38 winter Ukraine will have enough energy - the Ministry of Energy 00: 10 waited for the border crossing. In Poland, the driver of the truck died before the checkpoint on November 1123: 41ZSU per day eliminated 8 tanks of the Russian Federation in the Limano-Kupyansk direction of 23: 14th cheap but without advertising. Meta offers Facebook and Instagram 22: 59U Kyiv on BMW Karavayev Dachas Runed Five Cars 22: 44Wh. The military destroyed the enemy rebves near Avdiivka (video) 22: 29 to seize Kupyansk and not only. In the Land Forces, the Russians' plans were told by the end of the year 22: 14, with the planned shutdowns of light more than half of Ukrainians will be with the Internet - the Ministry of Defense 22: 01 -Evacuated from the Gaza Sector Ukrainians have already arrived in Moldova 21: 46 Davbik and Tsigankov Guarantee 21: 32Merov told the head of the Pentagon about the current needs of Ukraine 21: 16 he was a combine and ran into a mine. In the Kharkiv region, a car of 21: 01U Black Sea was blown up in the Crimea and anywhere in the Armed Forces will get the occupier - Zelensky 20: 48 Fedorov told which Russian ships struck marine drones 20: 33 GRUSUSus Ukraine and Moldova will enter the EU at the same time - President of Georgia 20: 18 Russians fired at the highway in the Sumy region are dead 20:03 "It would be fair." In Ukraine, attacks on the oil and gas system of the Russian Federation 19: 48 Premier of Croatia released the Minister of Defense through a deadly road accident 19: 33 Russia due The explosion 19: 04 situations on the front today on November 11, 18: 49, culling the house of the deputy of the Kherson Regional Council 18: 35Politico learned that the EU prevents the EU from putting a million shells in Ukraine 18: 21 by the EU and on motorcycles. The border guards detained 8 evastors who tried to leave Ukraine 18: 08. What is grants and how they help to open their own business Styler 18: 06 Ukrainians call not to go to the mountains because of the worsening weather 17: 52 -military Russian fired at Toretsk: there are victims 17: 37 -Nimenchyna will double the military assistance to Ukraine - Bild 17: 22 The Odessa region (video) 17: 07 Defense Minister of Croatia got in an accident 16: 52. Ambassador named the total number of evacuated 16: 24Ukraine and Poland will hold negotiations on unlocking the checkpoints: named date 16: 10 macron believes that December will be decisive for Ukraine but for negotiations not yet time 16: 05 Zelensky reminded the importance of Ukraine and Poland: together we are twice as much 16: 00 days in almost all of Ukraine in places of wind gusts: the weather for tomorrow 15: 46 EC should be ready to support Ukraine If US assistance will decrease - Borrel 15: 39 Novot train to Warsaw. Why passengers complain about 15: 32 Russian children make Ukrainian children to report "mining" - Ombudsman 15: 17 israel destroyed the Hamas company commander who kept hostage hostages who pushed a man in a car will be held accountable 14: 31 border guards "land" drone under Bakhmut now he will destroy the occupiers 14: 16th, it is likely not possible to repeat the success BBM and infantry. The SBU fighters showed work at the hottest points 13:32 "Extremely successful operation". Intelligence revealed the details of the destruction of ships in the Crimea 13: 18U Sumy region teenagers crashed the train they detained 13: 03 Rossia increased the militarization Ukraine 12: 22 can corruption in Ukraine be an obstacle to joining the EU: The Opinion of the Ambassador 12: 12V Ukraine has announced a large-scale air alarm by the Russians raised the Mig-31K (dumping) 12: 04 Russia never comes "forever". Zelensky congratulated Kherson 11: 50 SSU in the Tavriysk direction more than 600 invaders 9 Russians surrendered 11: 44 -Ukrainian students can return part of the amount for "contract": how to do the Styler 11: 35MVF. It was successfully 11: 29patriot knocked down a ballistic missile in the capital of the capital 11: 17 Budanov appealed to the Kherson on the anniversary Ukraine is restored faster than the expectation of the IMF: the Foundation improved the forecast 10: 38 Gur staged a "cotton" at factories in Russia - sources 10: 21 Experts named the main stages of Kherson's release operation 10: 06 48 What a blow to Chernobayivtsi and bridges closer to Kherson's liberation: expert opinion 09: 33 formula of peace Middle East and more. Yermak has telephone negotiations with Sullivan 09: 18U "Actions" creates a new business service: who can use 09: 03, in Kiev. Ignati confirmed that the occupiers released the balconika worked aircraft 09: 00.Na Railway of the Ryazan region of the Russian Federation "Kappoli" was heard 7 cars. In the Odessa region there is a hit 08: 49 life without a passport. What threatens the absence of documents during the war 08: 35 Occupants attacked the Dnipropetrovsk region with drones: there is a hit 08: 28U Lithuania announced the exchange The dollar falls on 08 and what to expect in the near future: Expert Forecast 08: 06V Kyiv has heard strong explosions: what is known 08: 00 Russia is preparing for a new wave The losses of the Russian Federation 07: 35 Russian at night beat drones and rockets: the air defense knocked down 19 "Shahmed" 07: 27 situations on the front today on November 11 07: 00th and even thunderstorms. The weather forecast has given a forecast today in Ukraine 06: 30PPO knocked all hostile targets during the last attack on Kiev 06: 00th Christmas? Will Ukraine quickly go to new dates and from where from January 7 05: 42ZSA counterattacked and reflected positions in the Avdiivsky direction: maps of fights ISW 05: 18 more than 100 thousand inhabitants of Gaza switched south - tann Belarus 04: 20 Tramphp suggested that in the case of election by the President he would use the FBI to massate opponents 03: 53dea to grant Ukraine 20 billion euros from the EU of the EU. : 55 world order in danger - SHOLC declared an increase in investments in defense 02: 27 Corbatage unfolds the Navy in the Middle East to strengthen the impact in the region - ISW 01: 59 israel updated data on losses due to Hamas invasion: the death Latvia arrived 15 tanks Leopard 2 01: 02 Kanad's government in Parliament of $ 385 million for military support of Ukraine 00: 33 on the Powder Plant in the Tambov region a fire occurred: the day before, the explosions of 00: 20 were reported suspicion of the occupier on November 10. 52V of the Moscow region near the manufacturer of "daggers" there were explosions of 23: 43 were built a fabric salute. The SBU destroyed the ammunition composition of the Russians in the south of the country (video) 23: 14 Kharlan won "Silver" in the first stage of the Fencing World Cup 23: 08V Odessa region. Ukraine's economy for military rails is impossible 22: 47 Glava of the US Treasury threatened China serious consequences in the case The border guards detained another Ukrainian who helped illegal migrants 22: 03 Zelensky at the Peace Forum: there are no several "big" which can decide for all in the world 22: 01. Ukraineua Akimova Corporal RBC-Ukrainian Lelichyn Political Viewer of RBC-Ukrainian Day on November 21 02:31 Ukrainian troops advanced in the Melitopol direction: maps of battles of Iswrosians "with new force". Energy resources - Ministry of Energy ND 12.11.2023 00:38 Israel surrounded gas and destroyed "thousands" of Hamas - Netanyahu fighters of ND ND 12.11.2023 RBC-Ukraine "up to 30 wounded per day". As a doctors of the 80th brigade, they rescue the military under Bakhmuldanilo Kramarenko examiner RBC-Ukraine in counter-courses. What important negotiations with Biden with Xi Jinping and what to wait for Ukraine to wait for RBC-Ukraine RBC-Ukraine risk of Avdiivka's surroundings and resource shortages. What happens on the front on the eve of Zimidmitro Levitsky Milan Lechn when Ukraine will join the EU and how will negotiates on the currency members of the currency and salesbankusd37.34 371 36.14 Eur40.13 40.32 'There are records from views 10.11.2023 Friday 2023 - something grand! 10.11.2023 Played the greatest jackpot in the history of mobile devices 09.11.202310 Moneyveo: we celebrate gifts and good points of investors Revived Hope on Lower States Alexander Martynenkolov Department of Corporate Analysis development of Ukrainian Ruslana Velichkov's "defense". The Executive Director of the Ukrainian Veterans Fund of Israel and why it is worth learning to Ukraine Bogdan Danylyshynishinekonistvis. As Frida Ukraine volunteers, with the support of the UN Development Program, they help victims of mines and shelling the main news "it would be fair". In Ukraine, the border guards raised the Ukrainian flag in the poplars of Kharkiv region in Ukraine. What are grants and how they help to open their own business of Ukrainians are not called to go to the mountains because of the deterioration of the weather by Styler22: 32 Extended directly from the pool. The scandalous blogger who rolled out Lviv music was evicted from the Styler Hotel 22: 11 Friday: marketers have confessed as their schemes make you waste more money Styler 21: 53 Cross Ognevich in a candid rope on the table (video). Your body in space without a space suit: shocking scientific details of Styler 21: 01No week will hurt on the wallet and self -love of these signs of the Styler zodiac signs 20: 34alyona alanona. Styler 20: 00 pity or modesty? How much money to give for a wedding to be the perfect guest Styler 19:30 "I called you slaves and slaves." Pugachova angrily addressed to the Hates from Russia Styler even news or modesty? How much money to give for a wedding to be the perfect guest will happen with your body in space without a space suit: the shocking scientific detail of the week will hurt the wallet and self -love of these signs of the zodiac. Stylists showed what sweaters should not be bought for the winter (photo) "I called you slaves and slaves." Pugachova angrily addressed to the haits from RussiaNews Ukrainian Russian Russian from Ukraine Kuronavirusvirusvirusvitolycanadancaniac events of the social economy of education Sportselichoffilms and serials needed help authorities Aviation Aviation in Ukraine Spacers Abroading RBC-Ukraine Information Portal It has a three -language version (Ukrainian Russian and English) The main page of the portal - https: //www.rb.ua.ua photography of the image belong to their right holders. All the photos on this site by authors of RBC-Ukraine are posted on Creative Commons Attribution License 4.0 International. Appraisal judgments are not subject to refutation and proving their truth. The advertiser is responsible for the accuracy and content of advertising. Materials are noticed by Press Releases Press-Project "News of the Company" "Partnership Material" "Charity" "Charity" are placed on advertising rights and are predominantly intended for persons aged 21 years of age. © UBT LLC 2006-2023. Continuing to view RBC.ua you confirm that you have familiarized with the privacy of the Rules of Use of the Site using cookies. I will read</v>
      </c>
    </row>
    <row r="613">
      <c r="A613" s="1" t="s">
        <v>2033</v>
      </c>
      <c r="B613" s="1" t="s">
        <v>2042</v>
      </c>
      <c r="C613" s="1" t="s">
        <v>2043</v>
      </c>
      <c r="D613" s="1">
        <v>3.0</v>
      </c>
      <c r="E613" s="4" t="s">
        <v>2044</v>
      </c>
      <c r="F613" s="1" t="s">
        <v>43</v>
      </c>
      <c r="G613" s="1" t="s">
        <v>2045</v>
      </c>
      <c r="H613" s="4" t="s">
        <v>2046</v>
      </c>
      <c r="I613" s="2">
        <v>2.0</v>
      </c>
      <c r="J613" s="5" t="str">
        <f>IFERROR(__xludf.DUMMYFUNCTION("GOOGLETRANSLATE(A613)"),"Easter 2023")</f>
        <v>Easter 2023</v>
      </c>
      <c r="K613" s="6" t="str">
        <f>IFERROR(__xludf.DUMMYFUNCTION("GOOGLETRANSLATE(B613)"),"Easter 2023 - Date, traditions, will there be a day off")</f>
        <v>Easter 2023 - Date, traditions, will there be a day off</v>
      </c>
      <c r="L613" s="5" t="str">
        <f>IFERROR(__xludf.DUMMYFUNCTION("GOOGLETRANSLATE(C613)"),"15 Apr. 2023. -")</f>
        <v>15 Apr. 2023. -</v>
      </c>
      <c r="M613" s="5" t="str">
        <f>IFERROR(__xludf.DUMMYFUNCTION("GOOGLETRANSLATE(G613)")," News of Ukraine - Latest News of Ukraine Today - Union Formation Agency ++ Main Wonderitics -Economic Project Project Projects Ecology -Superhovanavironavironavironavironavironavironavironavironavironavironaviergiagios of Kievlovnovnodes Sports Sportschy"&amp;"khniye and Communications -Grand Prosmovyturizminom -Deresomniystvideo RESSC-Center for Service on the website of the Central Center-Bobankmonary Subscription to the Enum-Kontaktypotteri of the enemy at 11.11.2023310650+1130-faced composition5342+25-tanks"&amp;"10041+24-armed machines 38 / 2Art. Systems / RSZO9925+49Aautics / tanks22+2KOKALE / KATE579+1 Air Defense Measurement1069+9 Speeting APU technician told about the situation under the bahmuth: the enemy is no longer in deaf defense 03: 09 12.1 09 12.11.202"&amp;"3VOVONA01: 50 12.11.2023 Massed attacks in Ukraine: The Minister of Energy suggested what is waiting for Russian Russian: 43 12.11.2023VSUs inflicted serious losses to the invaders in one of the directions: detailed22: 28 11.11.2023rf will pay for shots o"&amp;"n the Kherson: Zelensky promised the response of the forces of the defense : 33 11.11.2023washington Post found to whom the hearing “instructed to“ undermine ”the northern streams of war19: 36 11.11.2023 Anviation of Ukraine inflicted a dozen attacks on t"&amp;"he Russian Federation: that destroyed thelapped19: 18 11.11.2023EX-Geneseck NATO: Ukraine must be taken to the alliance but without occupied The territory of the Sulfyzheladovladiydir Fesenko “Dismissal” of the Saluzhnaya and Elections-2024: Political Pas"&amp;"kudism during the Kusava Israeli Iraeli war: Intermediate expenditures of Shaprannnnating money: Ukraine can receive assets of Russian Federation Konoshchukzachi again “Try” to sit with the Russian Federation at the Cosmic Cosmic Cosmic Control Department"&amp;", “Cosmic About: What Israel destroyed the Yemenic ballistic missile outside the atmosphermubaris Aslannenne Victory and Hope: why Azerbaijan does not doubt the victory of the Ukrainian Studies ""We do not have a super -armed forces. However, the war is v"&amp;"ery accelerating the process of developing weapons ” - military expert Alexander Musenkoretorist of the Center for Military Legal Research Alexander Musienko told UNIAN about the risks of the transition of the war between Ukraine and the Russian Federatio"&amp;"n to positional and what it is necessary to avoid this (Ukrainian). People” people realized that it might have realized that it might To fly a rocket and you will no longer be. Therefore, why do not you like to be next to a person? ” - sexologist Victoria"&amp;" Melnichuxex -consultant Victoria Melnichuk in an interview with UNIAN spoke about the main problem in relations during the war of sexual life by steam in separation and how to solve issues with a decrease or disappearance of libido. Funny Liberty Bear: B"&amp;"P accepted the state budget that the part-time countries should fill the budget for 2024. It is similar to the current one, but there is an unpleasant difference-uncertainty in sufficient international assistance that should fill it. (Ukr.) Popular video "&amp;"on YouTubevalka-Red panties closed. Matvienko The commotion of poverty rolled up and “solved” the problem of poverty in Russia: Putin has gathered in a retirement? The names of the continuity of the preeminos Putin sells Russia. China was offered to pull "&amp;"off Siberia. A new DEPORTARY LASTS “Gazprom”. Moscow is anxiety! In the execution, financial hole daddles are furious! Ukrainian “Shahda” - To Moscow. An explosive answer for the Russian Musienko Russian Musienkou is not super -armed. However, the war is "&amp;"very accelerating the process of developing weapons by the source -siblling Victoria Melnichucludi realized that the rocket might fly and you will no longer be. Therefore, why be a person who doesn’t like Viktor Molochkoodnya from the factors why the Russ"&amp;"ian Army confidently entered Ukraine, there was the dominance of the Moscow Patriarchate -Hasmacamaed attacks in Ukraine here: the Minister of Energy suggested what Russian: 50.11.2023 -oxed 40% of the recipients of Finnish for ITPs live only for these Me"&amp;"ans - Vereshchukfinans21: 14 11.11.2023sha for the second time in two months on the verge of Shatdown: the deadline for the next week 20: 43 11/11/2023katerina Zhirishkura of someone else's bear: BP accepted the state budget that Partners Tatyana Stepzali"&amp;"znya should be filled with Ukrainian business in hostages His ineffective policy "" - President of Ukrmetallurgprom Alexander Kalenkov Interviewers Poplivians - to the exit of the hardworking - take"" meets "". How the Western migration policy against Ukr"&amp;"ainians Dmitry Petrovsky is changing “Blackauts will not be too long and large -scale. Otherwise we will be left without communication” - telecom expert Roman Khimich Intervalgrides from “fraternal peoples” to the “war with the Nazis”: the evolution of th"&amp;"e Russian fate -billed salary in The Armed Forces of Ukraine and how he shot from Russians: the ex-member of Diesel Show spoke about the service departments16: 42 11.11.2023 nominated for Grammy -2024: are there any Ukrainians of Ukrainians15: 10 11.11.20"&amp;"23 ""Conscience burns them"": ex-member "" Diesel of the show ""Spoke out about the flight of Pisarenko and Nikishinzovets11: 32 11.11.2023 Blogger issued the details of the shameful escape of the grandson of Sofia Rotaru from Ukraine: where it lives on t"&amp;"he near -line10: 32 11.11.2023 Church Feast on November 11: what they ask for the Monk and what needs to be thrown out of the home holidays 07: 00: 00: 00 11/11/2023MIRIV Networks spoke about ""Frankenstein"" from the Leclerc and Leopard 204 tanks: 40 12."&amp;"11.2023 Lake Lake Lake turned into a bright pink color: scientists called the cause (video) 22:10 11.11.2023 Yaponia will cancel free air travel for Ukrainian refugees18: 33 11.111111111111111 .2023 INO MASK called for negotiations with Putin and sympathi"&amp;"zed with Russian soldiers17: 21 11.11.2023 sportMikolenko and Zinchenko were noted by goals in the matches of the aphalfootball19: 16 11.11.2023 Dovbik and the assistant Tsygankov helped Girona to win the Liga Liga (21 11/21/11.2023 Lugan. Suddenly, the c"&amp;"hief trainer-daybol was fired: 12 11.11.2023 Turisma Hawaii Lake Lake turned into a bright pink color: scientists called the cause (video) 22:10 11.11.2023 Card of: Airbaltic postponed the Starlink installation 20: 21 11.11.2023 Technology and the settlem"&amp;"ent of $ 25 million. One to Involve the scandal of discrimination on the discrimination 118: 41 11.11.2023 The best external SSD and HDDs that can be bought in 2023 year and communication19: 59 10.11.2023 Helpers are known when the first iPad and MacBook "&amp;"with OLED-display and communication18: 04 10.11.2023 of the GAVAIS ORAICA were painted in brightly in brightly -pine color: scientists called the cause (video) 22:10 11.11.2023 What happens to your body when you drink cucumber water every day21: 15 11.11."&amp;"2023Grynvidia will release new GEFORCE RTX 40th grades: there are known prices and characteristics16: 07 10.11.2023 Explosion PlayStation 5 console went on sale: what is its peculiarity12: 58 10.11.2023gta 6: everything that is known about one of the most"&amp;" anticipated games of the modernogra19: 46 09/09/2023 Class the situuracariomami Vikoristovymi files of the cookie. Vessacularly at the look at the site of Visima, our half-tintedenosti taumovi vicoristannnya-careers-central-centobankonoring subscription+"&amp;"23 support the last news: 40th Networks talked about ""Frankenstein"" from the Leclerc and Leopard 203 tanks: 35th stars are fleeing from our GA Lactics - Scientists 03: 09 in the Armed Forces of Armed Forces told about the situation under Bakhmut: the en"&amp;"emy no longer в глухой обороне02:25В Крыму растет дефицит лекарств больницы забиты ранеными оккупантами - ЦНС01:50Массированные атаки по Украине: министр энергетики предположил чего ждет РоссияРеклама01:15Россияне спрятали свои ракетоносители: в Силах обо"&amp;"роны назвали причину00:43ВСУ нанесли серьезные потери оккупантам на одном из направлений: детали00 : 02v Yakutia, the security forces “celebrated” the police day with a fight: the head of the regional department in a coma (video) UNIAN in Telegram - Ukrai"&amp;"nian News Online Online November11 Saturday23: 49 Zelensky promised revenge: the airborne air defense - journalist (photo) 23: 31izo A tigress (video) 23: 22 on the Kiev region worsens the weather conditions for the morning attack on Kiev. Weather conditi"&amp;"ons deteriorate: the level of danger is declared 22: 52 Open Kiev by the BMW driver made an accident with five cars: a fight started on the spot22: 46u Zelensky called what Ukraine needs to win In the war22: 28rf he will pay for blows to Kherson: Zelensky"&amp;" promised the answer of the defense forces22: 21v Chisinau arrived 145 Ukrainians evacuated from Gaza (photo) 22: 10 Hawaii Lake in bright pink: scientists called the reason (video) 22: 03: 03: 03: 03: 03: 03: 03. 31 create two problems for Ukraine - the "&amp;"ex -employee of the SBU21: 33washington Post found to whom the hearing “instructed to“ undermine the “Northern Streams” 21: 29Mayor of the NSU reserve, whether the exit of the troops from Avdeevka at the front at the front21: 14OOLOLOL 40% of the recipien"&amp;"ts Only at these funds - the news in the ""Special_topic"" 21: 06 would order to shoot at peaceful demonstrators: the commandant of the new Kakhovka received a prison term of 20: 51 Russia fired on the road in Sumy: there are dead (photo) 20: 43sha for tw"&amp;"o months on the verge of two months on the verge Shatdown: The deadline for the next week 20: 27 months of attacks and unsuccessful assault actions: how “fought” Russia today20: 21redd is postponed: Airbaltic postponed the installation of Starlink for its"&amp;" airplanes19: 58v melitopol explosion: the security forces of the Russian Federation rushed through the city19: 53 ""The world"" The world ""The world"" Flapses Blood ”: in OP they reacted to the proposal to make concessions of the Russian Federation19: 5"&amp;"0rizotto from the“ hellish cuisine ”of Gordon Ramsi: how to prepare19: 36 -Aviation of Ukraine inflicted a dozen blows to the army of the Russian Federation: what was destroyed by19: 21VSPIS and explosions: air forces showed how they protected Odessa at n"&amp;"ight (video ) 19: 18EX-Geneseck NATO: Ukraine needs to be taken into an alliance but without occupied territories19: 17-first in history: Ukraine entered the winter without imports of gas19: 16Mikolenko and Zinchenko noted goals in the matches of the APL1"&amp;"8: 58VROGRAGUS OF KHERSON: there is a dead and wounded18: 41Apple $ 25 million to hush up the scandal of discriminations of news in the AnnounceMent block 18: 38, Kiev region: Ova clarified the consequences of the morning explosion18: 33 Yaponia will canc"&amp;"el free air travel for Ukrainian refugees18: 12 “Begin” the scandalous “scandalous cone”-communist from the Russian Federation: he fought against Ukraine against Ukraine It was accused of rape of a foreigner17: 44RF inflicted another powerful blow to Tore"&amp;"tsk: two of the dead17: 30, the gas station prices for Avtogaz17: 29 Germanicania doubles military assistance to Ukraine - BILD17: 21 INOLOL MASK called for negotiations with Putin and sympathized with Russian soldiers17: 21gol of Dovbik and the Assistan "&amp;"of Tsygankov helped Giro. Win in the La League match (video) 17: 01, Greenland is melting at an unprecedented speed: scientists are alarmed16: 54MVF changed the growth forecast of Ukrainian economics16: 47 Russian Russian children are massively recruited "&amp;"by Ukrainian children for telephone terrorism - ombudsman16: 42 -term salary in the Armed Forces and how to shoot from Russians: Member ""Diesel Show"" spoke about the service16: 27rings hits the energy system: six regions of Ukraine are partially de -ene"&amp;"rgized16: 23rf hit Kiev with ballistics: in intelligence, they declared this to be considered the beginning of terror16: 19 in Ukraine has grown tax revenues from the tourism industry: who brought most15: 52x Milana to Paris: ""New Mail"" opens off branch"&amp;"es in other countries (list) 15: 39 in the Ministry of Defense invented how to protect fuel for the front from theft15: 23 rubles will reduce the assistance of Ukraine, so the EU must maintain supplies - Borrel15: 20 Capital of weapons producers in Ukrain"&amp;"e four times15 : 19u Ombudsman spoke about the Ukrainian prisoners of which the Russian Federation wants to abandon the front15: 10 is nominated for Grammy -2024: are there Ukrainians among the applicants14: 56 ""I do not agree that this is the first worl"&amp;"d"": the expert explained the essence of the sulfate about the positional war14: 52thness is intensified : weather forecasters increased the level of hazard in Ukraine to Orange14: 51 Chechia showed the “strange” list of weapons transferred to Ukraine14: "&amp;"42 in the GUR revealed the details of the operation to destroy Russian ships in Crimea14: 35 EU for military assistance to Ukraine by 20 billion euros met resistance - Reuters14: 17th Kiev will conduct the 17th place of Kiev: The weekend without heating a"&amp;"nd hot water (list of districts) 14: 12 Lugan dawn unexpectedly fired the head coach14: 10v Kiev and the region announced an increased level of danger13: 47rf uses the story for zombie the population and intimidation of neighbors - reconnaissance of Briti"&amp;"sh Russian: 43 Chinese companies are helped by the army of the Russian Federation - the US Army13: 40 Ukrainian defenders destroyed the valuable Russian “resident” 13: 26 Lunov can leave Real Madrid for the sake of the Bundesliga top club - media13: 18moo"&amp;"dy's reduced the forecast for the US public debt to the “negative”: 12: 12 Situration in the Avdeevsky direction worsened: they said how it “came out in the Armed Forces Speed ​​""Russians12: 58 they have centimeters in the waist: the nutritionist named t"&amp;"wo products that you can’t eat for breakfast12: 35 Zelensky on the anniversary of the Kherson's de -Ukrainian de -Ukrainian de -capacity and called for thanking the defenders12: 32rf found a"" rescue circle "": the observer explained why the APU does not "&amp;"have rapid breakthroughs12: 02 grade Dozddi Wet snow and powerful wind: the weather forecaster warns of bad weather in Ukraine11: 32 “Conscience Gnaws them”: Ex-participant “Diesel Show” spoke about the flight of Pisarenko and Nikishinova in Ukrainian, a "&amp;"white ticket is not subject to the calls for the demobilization of Ukraine of Ukraine, Lviveta will change from November 1, Kievanovo Odessynovo Dnepravo Kharkivosti Kharkivosta, Economic course dollarbitcoin - Kurstariffs for electricity tariffs for gazu"&amp;"rzaliznyakyakak to change ""old"" dollars in exchangers of the weather of the weather for tomorrow for a month of Kyivgoroskogoroscope for tomorrow SKOP for a weekly calendar of haircuts for October -free days for the wedding 2023 luncture calendar for No"&amp;"vember 2023 Corrosist Tarot cards for October 2023 KARTHOUS TO FELLOW THE POPLICARY 2023: new Dacolendar of Orthodox holidays of PCU 2023NOT CALENTARY OF HEETS 2024NOM CANDARY 2023 Festivals and weekends in November 2023 Orthodox calendar for November 202"&amp;"3 Gallifhakakak remove the smell Moliko is better to canned cucumbers and check tomato The freshness of eggs in the store in the store to grow dill houseslite-receptorology dampinghakimodamodamagmagimagnetic Bouring calendarzoveykinozdovye, what to do if "&amp;"a person choked on the prophetes of magnetic storms for November 2023 kap to reduce the distance-ohgorodluna calendar for November 2023 to process the apple tree for the Zimkakak In potatoes, the leaves turn yellow at the tomato to store potatoes at home "&amp;"Rules for using the site of confidentiality about us editorial Politics We in social networks we use cookies")</f>
        <v> News of Ukraine - Latest News of Ukraine Today - Union Formation Agency ++ Main Wonderitics -Economic Project Project Projects Ecology -Superhovanavironavironavironavironavironavironavironavironavironavironaviergiagios of Kievlovnovnodes Sports Sportschykhniye and Communications -Grand Prosmovyturizminom -Deresomniystvideo RESSC-Center for Service on the website of the Central Center-Bobankmonary Subscription to the Enum-Kontaktypotteri of the enemy at 11.11.2023310650+1130-faced composition5342+25-tanks10041+24-armed machines 38 / 2Art. Systems / RSZO9925+49Aautics / tanks22+2KOKALE / KATE579+1 Air Defense Measurement1069+9 Speeting APU technician told about the situation under the bahmuth: the enemy is no longer in deaf defense 03: 09 12.1 09 12.11.2023VOVONA01: 50 12.11.2023 Massed attacks in Ukraine: The Minister of Energy suggested what is waiting for Russian Russian: 43 12.11.2023VSUs inflicted serious losses to the invaders in one of the directions: detailed22: 28 11.11.2023rf will pay for shots on the Kherson: Zelensky promised the response of the forces of the defense : 33 11.11.2023washington Post found to whom the hearing “instructed to“ undermine ”the northern streams of war19: 36 11.11.2023 Anviation of Ukraine inflicted a dozen attacks on the Russian Federation: that destroyed thelapped19: 18 11.11.2023EX-Geneseck NATO: Ukraine must be taken to the alliance but without occupied The territory of the Sulfyzheladovladiydir Fesenko “Dismissal” of the Saluzhnaya and Elections-2024: Political Paskudism during the Kusava Israeli Iraeli war: Intermediate expenditures of Shaprannnnating money: Ukraine can receive assets of Russian Federation Konoshchukzachi again “Try” to sit with the Russian Federation at the Cosmic Cosmic Cosmic Control Department, “Cosmic About: What Israel destroyed the Yemenic ballistic missile outside the atmosphermubaris Aslannenne Victory and Hope: why Azerbaijan does not doubt the victory of the Ukrainian Studies "We do not have a super -armed forces. However, the war is very accelerating the process of developing weapons ” - military expert Alexander Musenkoretorist of the Center for Military Legal Research Alexander Musienko told UNIAN about the risks of the transition of the war between Ukraine and the Russian Federation to positional and what it is necessary to avoid this (Ukrainian). People” people realized that it might have realized that it might To fly a rocket and you will no longer be. Therefore, why do not you like to be next to a person? ” - sexologist Victoria Melnichuxex -consultant Victoria Melnichuk in an interview with UNIAN spoke about the main problem in relations during the war of sexual life by steam in separation and how to solve issues with a decrease or disappearance of libido. Funny Liberty Bear: BP accepted the state budget that the part-time countries should fill the budget for 2024. It is similar to the current one, but there is an unpleasant difference-uncertainty in sufficient international assistance that should fill it. (Ukr.) Popular video on YouTubevalka-Red panties closed. Matvienko The commotion of poverty rolled up and “solved” the problem of poverty in Russia: Putin has gathered in a retirement? The names of the continuity of the preeminos Putin sells Russia. China was offered to pull off Siberia. A new DEPORTARY LASTS “Gazprom”. Moscow is anxiety! In the execution, financial hole daddles are furious! Ukrainian “Shahda” - To Moscow. An explosive answer for the Russian Musienko Russian Musienkou is not super -armed. However, the war is very accelerating the process of developing weapons by the source -siblling Victoria Melnichucludi realized that the rocket might fly and you will no longer be. Therefore, why be a person who doesn’t like Viktor Molochkoodnya from the factors why the Russian Army confidently entered Ukraine, there was the dominance of the Moscow Patriarchate -Hasmacamaed attacks in Ukraine here: the Minister of Energy suggested what Russian: 50.11.2023 -oxed 40% of the recipients of Finnish for ITPs live only for these Means - Vereshchukfinans21: 14 11.11.2023sha for the second time in two months on the verge of Shatdown: the deadline for the next week 20: 43 11/11/2023katerina Zhirishkura of someone else's bear: BP accepted the state budget that Partners Tatyana Stepzaliznya should be filled with Ukrainian business in hostages His ineffective policy " - President of Ukrmetallurgprom Alexander Kalenkov Interviewers Poplivians - to the exit of the hardworking - take" meets ". How the Western migration policy against Ukrainians Dmitry Petrovsky is changing “Blackauts will not be too long and large -scale. Otherwise we will be left without communication” - telecom expert Roman Khimich Intervalgrides from “fraternal peoples” to the “war with the Nazis”: the evolution of the Russian fate -billed salary in The Armed Forces of Ukraine and how he shot from Russians: the ex-member of Diesel Show spoke about the service departments16: 42 11.11.2023 nominated for Grammy -2024: are there any Ukrainians of Ukrainians15: 10 11.11.2023 "Conscience burns them": ex-member " Diesel of the show "Spoke out about the flight of Pisarenko and Nikishinzovets11: 32 11.11.2023 Blogger issued the details of the shameful escape of the grandson of Sofia Rotaru from Ukraine: where it lives on the near -line10: 32 11.11.2023 Church Feast on November 11: what they ask for the Monk and what needs to be thrown out of the home holidays 07: 00: 00: 00 11/11/2023MIRIV Networks spoke about "Frankenstein" from the Leclerc and Leopard 204 tanks: 40 12.11.2023 Lake Lake Lake turned into a bright pink color: scientists called the cause (video) 22:10 11.11.2023 Yaponia will cancel free air travel for Ukrainian refugees18: 33 11.111111111111111 .2023 INO MASK called for negotiations with Putin and sympathized with Russian soldiers17: 21 11.11.2023 sportMikolenko and Zinchenko were noted by goals in the matches of the aphalfootball19: 16 11.11.2023 Dovbik and the assistant Tsygankov helped Girona to win the Liga Liga (21 11/21/11.2023 Lugan. Suddenly, the chief trainer-daybol was fired: 12 11.11.2023 Turisma Hawaii Lake Lake turned into a bright pink color: scientists called the cause (video) 22:10 11.11.2023 Card of: Airbaltic postponed the Starlink installation 20: 21 11.11.2023 Technology and the settlement of $ 25 million. One to Involve the scandal of discrimination on the discrimination 118: 41 11.11.2023 The best external SSD and HDDs that can be bought in 2023 year and communication19: 59 10.11.2023 Helpers are known when the first iPad and MacBook with OLED-display and communication18: 04 10.11.2023 of the GAVAIS ORAICA were painted in brightly in brightly -pine color: scientists called the cause (video) 22:10 11.11.2023 What happens to your body when you drink cucumber water every day21: 15 11.11.2023Grynvidia will release new GEFORCE RTX 40th grades: there are known prices and characteristics16: 07 10.11.2023 Explosion PlayStation 5 console went on sale: what is its peculiarity12: 58 10.11.2023gta 6: everything that is known about one of the most anticipated games of the modernogra19: 46 09/09/2023 Class the situuracariomami Vikoristovymi files of the cookie. Vessacularly at the look at the site of Visima, our half-tintedenosti taumovi vicoristannnya-careers-central-centobankonoring subscription+23 support the last news: 40th Networks talked about "Frankenstein" from the Leclerc and Leopard 203 tanks: 35th stars are fleeing from our GA Lactics - Scientists 03: 09 in the Armed Forces of Armed Forces told about the situation under Bakhmut: the enemy no longer в глухой обороне02:25В Крыму растет дефицит лекарств больницы забиты ранеными оккупантами - ЦНС01:50Массированные атаки по Украине: министр энергетики предположил чего ждет РоссияРеклама01:15Россияне спрятали свои ракетоносители: в Силах обороны назвали причину00:43ВСУ нанесли серьезные потери оккупантам на одном из направлений: детали00 : 02v Yakutia, the security forces “celebrated” the police day with a fight: the head of the regional department in a coma (video) UNIAN in Telegram - Ukrainian News Online Online November11 Saturday23: 49 Zelensky promised revenge: the airborne air defense - journalist (photo) 23: 31izo A tigress (video) 23: 22 on the Kiev region worsens the weather conditions for the morning attack on Kiev. Weather conditions deteriorate: the level of danger is declared 22: 52 Open Kiev by the BMW driver made an accident with five cars: a fight started on the spot22: 46u Zelensky called what Ukraine needs to win In the war22: 28rf he will pay for blows to Kherson: Zelensky promised the answer of the defense forces22: 21v Chisinau arrived 145 Ukrainians evacuated from Gaza (photo) 22: 10 Hawaii Lake in bright pink: scientists called the reason (video) 22: 03: 03: 03: 03: 03: 03: 03. 31 create two problems for Ukraine - the ex -employee of the SBU21: 33washington Post found to whom the hearing “instructed to“ undermine the “Northern Streams” 21: 29Mayor of the NSU reserve, whether the exit of the troops from Avdeevka at the front at the front21: 14OOLOLOL 40% of the recipients Only at these funds - the news in the "Special_topic" 21: 06 would order to shoot at peaceful demonstrators: the commandant of the new Kakhovka received a prison term of 20: 51 Russia fired on the road in Sumy: there are dead (photo) 20: 43sha for two months on the verge of two months on the verge Shatdown: The deadline for the next week 20: 27 months of attacks and unsuccessful assault actions: how “fought” Russia today20: 21redd is postponed: Airbaltic postponed the installation of Starlink for its airplanes19: 58v melitopol explosion: the security forces of the Russian Federation rushed through the city19: 53 "The world" The world "The world" Flapses Blood ”: in OP they reacted to the proposal to make concessions of the Russian Federation19: 50rizotto from the“ hellish cuisine ”of Gordon Ramsi: how to prepare19: 36 -Aviation of Ukraine inflicted a dozen blows to the army of the Russian Federation: what was destroyed by19: 21VSPIS and explosions: air forces showed how they protected Odessa at night (video ) 19: 18EX-Geneseck NATO: Ukraine needs to be taken into an alliance but without occupied territories19: 17-first in history: Ukraine entered the winter without imports of gas19: 16Mikolenko and Zinchenko noted goals in the matches of the APL18: 58VROGRAGUS OF KHERSON: there is a dead and wounded18: 41Apple $ 25 million to hush up the scandal of discriminations of news in the AnnounceMent block 18: 38, Kiev region: Ova clarified the consequences of the morning explosion18: 33 Yaponia will cancel free air travel for Ukrainian refugees18: 12 “Begin” the scandalous “scandalous cone”-communist from the Russian Federation: he fought against Ukraine against Ukraine It was accused of rape of a foreigner17: 44RF inflicted another powerful blow to Toretsk: two of the dead17: 30, the gas station prices for Avtogaz17: 29 Germanicania doubles military assistance to Ukraine - BILD17: 21 INOLOL MASK called for negotiations with Putin and sympathized with Russian soldiers17: 21gol of Dovbik and the Assistan of Tsygankov helped Giro. Win in the La League match (video) 17: 01, Greenland is melting at an unprecedented speed: scientists are alarmed16: 54MVF changed the growth forecast of Ukrainian economics16: 47 Russian Russian children are massively recruited by Ukrainian children for telephone terrorism - ombudsman16: 42 -term salary in the Armed Forces and how to shoot from Russians: Member "Diesel Show" spoke about the service16: 27rings hits the energy system: six regions of Ukraine are partially de -energized16: 23rf hit Kiev with ballistics: in intelligence, they declared this to be considered the beginning of terror16: 19 in Ukraine has grown tax revenues from the tourism industry: who brought most15: 52x Milana to Paris: "New Mail" opens off branches in other countries (list) 15: 39 in the Ministry of Defense invented how to protect fuel for the front from theft15: 23 rubles will reduce the assistance of Ukraine, so the EU must maintain supplies - Borrel15: 20 Capital of weapons producers in Ukraine four times15 : 19u Ombudsman spoke about the Ukrainian prisoners of which the Russian Federation wants to abandon the front15: 10 is nominated for Grammy -2024: are there Ukrainians among the applicants14: 56 "I do not agree that this is the first world": the expert explained the essence of the sulfate about the positional war14: 52thness is intensified : weather forecasters increased the level of hazard in Ukraine to Orange14: 51 Chechia showed the “strange” list of weapons transferred to Ukraine14: 42 in the GUR revealed the details of the operation to destroy Russian ships in Crimea14: 35 EU for military assistance to Ukraine by 20 billion euros met resistance - Reuters14: 17th Kiev will conduct the 17th place of Kiev: The weekend without heating and hot water (list of districts) 14: 12 Lugan dawn unexpectedly fired the head coach14: 10v Kiev and the region announced an increased level of danger13: 47rf uses the story for zombie the population and intimidation of neighbors - reconnaissance of British Russian: 43 Chinese companies are helped by the army of the Russian Federation - the US Army13: 40 Ukrainian defenders destroyed the valuable Russian “resident” 13: 26 Lunov can leave Real Madrid for the sake of the Bundesliga top club - media13: 18moody's reduced the forecast for the US public debt to the “negative”: 12: 12 Situration in the Avdeevsky direction worsened: they said how it “came out in the Armed Forces Speed ​​"Russians12: 58 they have centimeters in the waist: the nutritionist named two products that you can’t eat for breakfast12: 35 Zelensky on the anniversary of the Kherson's de -Ukrainian de -Ukrainian de -capacity and called for thanking the defenders12: 32rf found a" rescue circle ": the observer explained why the APU does not have rapid breakthroughs12: 02 grade Dozddi Wet snow and powerful wind: the weather forecaster warns of bad weather in Ukraine11: 32 “Conscience Gnaws them”: Ex-participant “Diesel Show” spoke about the flight of Pisarenko and Nikishinova in Ukrainian, a white ticket is not subject to the calls for the demobilization of Ukraine of Ukraine, Lviveta will change from November 1, Kievanovo Odessynovo Dnepravo Kharkivosti Kharkivosta, Economic course dollarbitcoin - Kurstariffs for electricity tariffs for gazurzaliznyakyakak to change "old" dollars in exchangers of the weather of the weather for tomorrow for a month of Kyivgoroskogoroscope for tomorrow SKOP for a weekly calendar of haircuts for October -free days for the wedding 2023 luncture calendar for November 2023 Corrosist Tarot cards for October 2023 KARTHOUS TO FELLOW THE POPLICARY 2023: new Dacolendar of Orthodox holidays of PCU 2023NOT CALENTARY OF HEETS 2024NOM CANDARY 2023 Festivals and weekends in November 2023 Orthodox calendar for November 2023 Gallifhakakak remove the smell Moliko is better to canned cucumbers and check tomato The freshness of eggs in the store in the store to grow dill houseslite-receptorology dampinghakimodamodamagmagimagnetic Bouring calendarzoveykinozdovye, what to do if a person choked on the prophetes of magnetic storms for November 2023 kap to reduce the distance-ohgorodluna calendar for November 2023 to process the apple tree for the Zimkakak In potatoes, the leaves turn yellow at the tomato to store potatoes at home Rules for using the site of confidentiality about us editorial Politics We in social networks we use cookies</v>
      </c>
    </row>
    <row r="614">
      <c r="A614" s="1" t="s">
        <v>2033</v>
      </c>
      <c r="B614" s="1" t="s">
        <v>2047</v>
      </c>
      <c r="C614" s="1" t="s">
        <v>2048</v>
      </c>
      <c r="D614" s="1">
        <v>4.0</v>
      </c>
      <c r="E614" s="4" t="s">
        <v>2049</v>
      </c>
      <c r="F614" s="1" t="s">
        <v>43</v>
      </c>
      <c r="G614" s="1" t="s">
        <v>1728</v>
      </c>
      <c r="H614" s="4" t="s">
        <v>1729</v>
      </c>
      <c r="I614" s="2">
        <v>1.0</v>
      </c>
      <c r="J614" s="5" t="str">
        <f>IFERROR(__xludf.DUMMYFUNCTION("GOOGLETRANSLATE(A614)"),"Easter 2023")</f>
        <v>Easter 2023</v>
      </c>
      <c r="K614" s="6" t="str">
        <f>IFERROR(__xludf.DUMMYFUNCTION("GOOGLETRANSLATE(B614)"),"Easter 2023: Date, essence, tradition, which can and cannot")</f>
        <v>Easter 2023: Date, essence, tradition, which can and cannot</v>
      </c>
      <c r="L614" s="5" t="str">
        <f>IFERROR(__xludf.DUMMYFUNCTION("GOOGLETRANSLATE(C614)"),"16 Apr. 2023. -")</f>
        <v>16 Apr. 2023. -</v>
      </c>
      <c r="M614" s="5" t="str">
        <f>IFERROR(__xludf.DUMMYFUNCTION("GOOGLETRANSLATE(G614)"),"Izvestia - News of the Policy of the Sports Sports Economics | Iz.ru Russian-regoperation of Russia in Ukraine of the Palestinian-Israeli conflict-forum-forum “Russia” $ $ the special operation of Russia in Ukraine of the Palestinian-Israeli conflict-foru"&amp;"m “Russia” $ $ $ $ $ $ $ $ $ € $ € $ € $ € $ to malevostication MiRMIMIANAUKA and technicianism of the StranskultiRestor-Project and subscriptions of the subscription of the company Executive Press Central Centorification of the Important Agreement of Lab"&amp;"or Agreement, the site operates with financial support Ministry of Digital Development of Communications and Mass Communications of the Russian Federation. Registered by the Federal Service for Supervision of the Communications Field of Information Techno"&amp;"logies and Mass Communications. Certificates of registration of EL No. FS 77 - 76208 dated July 8, 2019 EL No. FS 77 - 72003 of December 26, 2019, all rights were protected © MIC Izvestia LLC 2023 Khgazeta Izvestia NMGNOSTIST RENNOVOST 5 Kanalanovosti 78 "&amp;"Canalport Express Sports The Express newspaper Subscription Fillon denies the organization of a meeting of the Lebanese businessman with Putin on March 20 on March 20, all the results go to the main content of the rejection of the Ethers and gunners hit t"&amp;"he assault groups of the Armed Forces of Ukraine in the LPRB House, rejected the financing project of the US government without the help of Kievudan Lag and OIS needed to investigate the military crimes of the Israeli Israeli The defeat of the control and"&amp;" shelter of the militants in Syriasinoptics predicted in Moscow to rain and up to +7 degrees on November 12, on November 12, the latest news, the doctor told about the ways to survive the magnetic storm 06:15 Ovechkin abandoned the 825th washer in the NHL"&amp;" regular championships 06:05 A earthquake of magnitude 54 occurred In Indonesia 05:50, the farmers of Europe were apprehensive reacted to the possibility of Ukraine’s entry into the EU 05:35 Army of the Russian Federation destroyed four mortar calculation"&amp;"s of the Armed Forces in the Kupyansk direction 05:20 Russian pilots and artillerymen hit the assault groups of the Armed Forces of Ukraine in the LPR 05:05 Bloomberg learned about the consent Germany to increase assistance to Ukraine by half to € 8 billi"&amp;"on 04:50 Three people died in a collision of a train with a truck in the Angara region 04:35 Biden needed to help the guard of honor during the cemetery at the cemetery 04:20 Army of Israel answered Syria with blows on terrorist infrastructure 04: 05 Woma"&amp;"n and her two -year -old daughter died in a fire in Podolsk 03:50 White House rejected the project to finance the work of the US government without the help of Kiev 03:40 Macron called the Gaza Conference to create a humanitarian coalition 03:25 Speaker o"&amp;"f the US Congress offered to financing the government without the help of Kiev 03:15 Foreign weather forecasters predicted in Moscow to rain and up to +7 degrees on November 12 03:00 a dog handler spoke about the reasons for the early death of dogs 02:50 "&amp;"The ex-adviser Kuchma pointed out the readiness of the slave and the Armed Forces of the Russian Federation with the Russian Federation 02:40 London police detained 150 participants Demonstrations in support of Palestine 02:27 Air Defense of Israel interc"&amp;"epted a suspicious goal from Gaza 02:15 In Brazil, football fans staged a mass fight during the championship 02:05 Three people died in an accident in the Pskov region 01:50 Visitors to Igor Dreviv shared with the Izvestia »Impressions of the stand 01:35 "&amp;"Brother Nurmagomedov were disqualified for six months due to doping 01:25 Ukrainian media reported on explosions in Kiev, the city of Kherson 01:14 Podolyak announced the readiness of Ukraine for economic disputes with the EU countries 01: 10 Sportovtochk"&amp;"in abandoned the 825th The puck in the regular championships of the NHLMIMELY House rejected the project to finance the work of the US government without the help of Kiev -Proserification of Magnitite 54 in Indonesia Mirpodolak announced the readiness of "&amp;"Ukraine for economic disputes with the countries of Emyrbloomberg, the consent of the Federal Republic of Germany was doubled to € 8 billion. The ceremonies at the cemetery of the parties predicted in Moscow to rain and up to +7 degrees on November 12, a "&amp;"person killed in an accident in the Pskov regional regional media, reported explosions in the city of the city of Khersonaarmiyarmiy of the Russian Federation destroyed four mortar calculations of the Armed Forces of the Armed Forces in the Kupyansk direc"&amp;"tion of the Gamanitarian CoA. Litius Israel answered Syria with blows on a terrorist infrastructureurinist of the defense of Ukraine Umarov told the head of the Pentagon about the needs of the Kievardocarman to pull: the mortgage demand for the secondary "&amp;"collapsed almost half the terms of high rates of the banks are looking for unusual ways to attract clientwarmia Dmitry Kornev Stratosfer: why Russia is a new intelligence and junction complex that will be combined if they are united Hostly mortal Devices "&amp;"and systems of shock weapons Society Dmitry Alekseev Residential Pont: Housing Housing, without the consent of the neighbors, will not work out a new bill is called to find a compromise between residents and those who want to receive rental income, Ivan P"&amp;"etrov Knock grievances: what rights the controller in transport in Moscow opened a case for a cruel The beating of the auditor on the bus Economics Dmitry Migunov Bomb at $ 33 trillion: the US public debt has become a world problem for the demand for Amer"&amp;"ican bonds began to lag behind the proposal of the Gladiator on wheels: Italian journalists recall Ayrton Senniveli racer continues to excite the public -Golongrid. Bovano before Still Samir Igor Karmazin change the orientation: why Armenia spoils relatio"&amp;"ns with Russia, the head of the Armenian General Staff met with American generals Viktor Nedelin Rainbow prospects: Latvia was forced to same-sex marriages. The International LGBBBI continues to work on the Baltic states of Mirizizdan: the world will boyc"&amp;"ott the produced ones that will happen that will happen with the economy of the Jewish state and is it worth waiting for a new wave of anti -Semitism on November 12, 2023 00: 01economics “Open Portfolio”: how much could private investors in October expert"&amp;"s analyzed the state of the Russian stock market on November 12, 2023 00: 02 Lessac and Technician Hope: Scientists created a wardrobe for premature Children as a development will reduce the risk of injuries and infections in newborns with a low body weig"&amp;"ht on November 12, 2023 00: 01 culture of energy: Mariinsky in China Talyzin in the Mossytt Tsiscaridze in the BDT about this week, fans of the beautiful SMI2.ru -Political School of Smi2.ru -Political Coasters said this week: What changes the status of i"&amp;"nternal for the Azov Sea as these changes will affect the economy of the region and Russia on August 16, 2023 18: 52 -rope land: how Ukraine has become one of the most mined countries in the world and how Russian sappers help to solve this problem on Augu"&amp;"st 17, 2023 17: 19 Little Democratic Republic and Technical Energy and Technician Approach: as Russian scientists create unique technologies of analogues to many developments, there is no one in the world on July 31, 2023 18: 52econs of their field: how t"&amp;"he food security in Russia is ensured and what influence Covid and sanctions on July 31, 2023 18: 52 Mirbaiden were required to help the guard of honor in The ceremony in the cemetery on November12 2023 04: 20Arm Israel answered Syria with blows to terror"&amp;"ist infrastructure on November 19, 2023 04: 05 School of the US Congress, proposed financing the government without the help of Kiev on November12, 2023: 15 by 15 by 15 by the U.S. financing project without the help of Kiev November 2023 03: 40Ex Kuchma a"&amp;"dviser pointed to the readiness of the Sulfa and the Armed Forces for negotiations with the Russian Federation on November 112, 2023: 403d model of the T-90M T-90M “Breakthrough” 3D model of the first test train of the Moscow metro “Panther” 3D model of t"&amp;"he Moscow Kremlin3D model of the dacha M. S. Gorbacheva in the Foros 3d model of the Ilya Muromets aircraft 3D model of the atomic cruiser “Peter the Great” 3D model of the Tiger tank 3D model “Worker and collective farm” 3D model of Russia “Russia” 3D mo"&amp;"del of the Grand Kremlin Palace3D3D -Model of the Cathedral of the Paris Mother of God ANT-20 ""Maxim Gorky"". 3D-model3d model of the Crimean bridge3d-model of the main temple of the Armed Forces of the Russian Federation of the Russian Federation3d 3d-m"&amp;"odel of the Boeing 747-1003d model of the monastery of the Kiev-Pechersk Laurus3d Model House of the House of the Watchtower of the Patrient Ship ""Emerald"" 3d-model of the St. Paul3d Model of the Rzhevsky Memorial Soviet soldier 3d-model of the Berlin T"&amp;"ank Tank IS-23D model of the Salisbury Cathedral3d Model of the passenger aircraft Tu-1043D-model of the Sukharevo Tower of the Il-763D motor ship ""Peter the Great"" 3D model of the Cathedral of Christ Savior 3d Model of Space Ships "" Union-19 ”and“ Apo"&amp;"llo ”3D model of the Sevastopol battleship, a member of“ Scarlet Sails ”-brig Tre Kronor Af Stockholm Kurchatov Specialized Synchrotron Radiation Speed ​​3D model“ Vostok-1 ”3D-model Titanic History in the dates: 12 November-consuming of the week in the p"&amp;"hotographs: a blow to Jabalia The deadly storm ""Kiaran"" and the choice of a dress for Miss Universe what was important in Russia and the world in the past days Super Bag: how do flour made of crickets a fresh look at the goods of the Stavropol Staropoli"&amp;"s category is not in a neighborly way: Pakistan is deporting the Afghan illegal measures to end until November 1, the photo of the day: Vulcan Klyuchevsky was assigned a “red” hazard code for aviation00: 24Magnetic storm will cover the earth on the night "&amp;"of November 12, 2023 19: 4600: 57v China, online for the occasion of the day of the Holy Day11 November 2023 18: 3000: 33th American strategic bomber B-21 made the first flight on November11, 2023 13: 53, the largest artificial ice rink in Europe. Video 3"&amp;"60 ° The Building Theater building celebrates the 195th anniversary. Video 360 ° in Moscow was held by the International Exhibition of Business Aviation Rubae. Video 360 ° Festival of military equipment ""Motors of War"". Video 360 ° in Moscow hosts the f"&amp;"estival of gardens and flowers. Video 360 ° the second for the year the tram parade was held in the capital. Video 360 ° PMEF. Video 360 ° Morning on May 9 in Moscow from the roof of the Typhoon armored car. Video 360 ° Evacuation of the aircraft. Video 3"&amp;"60 ° what they feed on an airplane: an excursion to the on -board power plant. Video 360 ° Exhibition ""Lada Always"": more than 100 most unusual models. Video 360 ° East. Another beauty: a large -scale exhibition. Video 360 ° Excursion on the legendary M"&amp;"osfilm pavilions. Video 360 ° how the coke is produced. Video 360 ° 90 years of Mickey Mouse: multimedia exhibition. Video 360 ° 120 previously unknown sculptures of Tsereteli. Video 360 ° Championship of Russia in the Higher aerobatics: unique shots from"&amp;" the wing of the aircraft. Video 360 ° Moscow Mint and Moscow Printing House ""Goznak"". Video 360 ° The World Cup in Kazan. Video 360 ° Cinema ""Illusion"" after reconstruction. Video 360 ° Crazy drift on the ""Lada"". Video 360 ° Excursion in Gorky Park"&amp;". Video 360 ° feeding sharks in Moskvarium. Video 360 ° World Wingsight jump record. Video 360 ° Luxurious train ""Imperial Russia"". Video 360 ° Driving T-80U tank under water. Video 360 ° Championship of the World football 2022 in Qatar: A unique show. "&amp;"Video 360 ° The test is not for the faint of heart: a stamina marathon. Video 360 ° Advertising of beauty: Ten products that will extend youth, doctors said that it is necessary to slow down the aging on November 11, 2023 00: 02 Iranian President gathered"&amp;" in Saudi Arabia Visit as part of the Summit on the situation in the gas sector will be the first after the reconciliation of the two countries on November 11 2023 00: 02 publication seal of communication: how to protect against theft of data through a VP"&amp;"N under a VPN service can be disguised as a Trojan-style on November 11, 2023 00:02 Opinion Olga Pozdnyakov “” In Russia, a register of debtors on alimony will appear in Russia. It will be possible to delete the surname from it only by repaying all obliga"&amp;"tions. In the future, it is possible to introduce sanctions against submitted to the register - a restriction on leaving the country with a driver’s license, etc. November 11, 2023 08: 00Aleksandra Babkin “” on the Internet you should not do anything that"&amp;" you do not allow yourself in real life. Technical tools can protect you from cyberbulling, however, we will not change the culture of our communication on the network, we will not be able to globally solve the problem on November11, 2023 08: 00valery Eme"&amp;"lyanov “” Positive factors that could not force the ruble to turn over now. Currency swings rush down until they find a U -turning point there and will not fly back 10th November 2023 08: 00maxim Dobromoslov “” In one we are ahead of the Hollywood film In"&amp;"dustry - small budgets. Our times less. Paradoxically, but this is a big plus November 9, 2023 20: 00vgenia Pimenov “” Cultural exchanges in the broadest sense of the word is a tool of peaceful and stable times. When the world spiral of conflicts begins t"&amp;"o spin all this “decor” begins to crumble on November9, 2023 14: 00leg Chamonaev “” This case affects not only Camille personally, but also the entire national team and even in the matter with Olympic gold. So no compromises (with their conscience and ant"&amp;"i -doping authorities) are impossible here on November 9, 2023 08: 00 George Mokhov “” Everywhere where there are budget money - especially when they are distributed on “lightweight” conditions: not through public procurements and competitive procedures, "&amp;"and highlighting subsidies essentially Under honestly, attackers always appear. This also happened in the field of tourism on November 9, 2023: 00port “The level of RPL fell a bit-more matches began to win on the classroom” SKA-Khabarovsk football player "&amp;"Vyacheslav Podberezkin-about the leadership of Krasnodar and the motivation of the new generation of players on November 12, 2023 00: 01 Products Her two -year -old daughter died in a fire in Podolsk November 112, 2023: 50 Mirmacron called the Gaza Confer"&amp;"ence in a step towards the creation of a humanitarian coalition November12, 2023 03: 25 Synoptics predicted rain in Moscow and up to +7 degrees on November 12, 2023 03: 00 Police of London, 150 participants in the demonstration in support Palestine Novemb"&amp;"er 19, 2023 02: 27pvo Israel, intercepted a suspicious goal from Gaza November 112, 2023: 15v Brazil, football fans staged a mass fight during the championship November 11, 2023 02: 05 sports weekend with Izvestia November 10, 2023 00: 00 Cultural Week: C"&amp;"hoosing Izvestia on November 9 2023 00: 01 advertising menu Advertising Subscribing to the RSS newspaper Send news about the company editorial-pre-re-renovation company about the immutation of the labor protection of labor copyright on the visualization s"&amp;"ystem of the contents of the portal iz.ru as well as on the initial data, including the texts of the audio and video materials, graphic images and product signs belongs ""MIC"" Izvestia "". The specified information is protected in accordance with the leg"&amp;"islation of the Russian Federation and international agreements. Partial citation is possible only if a hyperlink on iz.ru. AB AB ""Russia"" - partner of the section ""Economics"" The site functions with financial support from the Ministry of Digital Deve"&amp;"lopment of Communications and Mass Communications of the Russian Federation. Responsibility for the maintenance of any advertising materials placed on the portal is borne by the advertiser. Analytics News Forecasts and other materials presented on this si"&amp;"te are not an offer or a recommendation for the purchase or sale of any assets. Registered by the Federal Service for Supervision of the Communications of Information Technologies and Mass Communications. Certificate of registration of EL No. FS 77 - 7620"&amp;"8 dated July 8, 2019 EL No. FS 77 - 72003 of December 26, 2019 All rights are protected © MIC Izvestia 2023")</f>
        <v>Izvestia - News of the Policy of the Sports Sports Economics | Iz.ru Russian-regoperation of Russia in Ukraine of the Palestinian-Israeli conflict-forum-forum “Russia” $ $ the special operation of Russia in Ukraine of the Palestinian-Israeli conflict-forum “Russia” $ $ $ $ $ $ $ $ $ € $ € $ € $ € $ to malevostication MiRMIMIANAUKA and technicianism of the StranskultiRestor-Project and subscriptions of the subscription of the company Executive Press Central Centorification of the Important Agreement of Labor Agreement, the site operates with financial support Ministry of Digital Development of Communications and Mass Communications of the Russian Federation. Registered by the Federal Service for Supervision of the Communications Field of Information Technologies and Mass Communications. Certificates of registration of EL No. FS 77 - 76208 dated July 8, 2019 EL No. FS 77 - 72003 of December 26, 2019, all rights were protected © MIC Izvestia LLC 2023 Khgazeta Izvestia NMGNOSTIST RENNOVOST 5 Kanalanovosti 78 Canalport Express Sports The Express newspaper Subscription Fillon denies the organization of a meeting of the Lebanese businessman with Putin on March 20 on March 20, all the results go to the main content of the rejection of the Ethers and gunners hit the assault groups of the Armed Forces of Ukraine in the LPRB House, rejected the financing project of the US government without the help of Kievudan Lag and OIS needed to investigate the military crimes of the Israeli Israeli The defeat of the control and shelter of the militants in Syriasinoptics predicted in Moscow to rain and up to +7 degrees on November 12, on November 12, the latest news, the doctor told about the ways to survive the magnetic storm 06:15 Ovechkin abandoned the 825th washer in the NHL regular championships 06:05 A earthquake of magnitude 54 occurred In Indonesia 05:50, the farmers of Europe were apprehensive reacted to the possibility of Ukraine’s entry into the EU 05:35 Army of the Russian Federation destroyed four mortar calculations of the Armed Forces in the Kupyansk direction 05:20 Russian pilots and artillerymen hit the assault groups of the Armed Forces of Ukraine in the LPR 05:05 Bloomberg learned about the consent Germany to increase assistance to Ukraine by half to € 8 billion 04:50 Three people died in a collision of a train with a truck in the Angara region 04:35 Biden needed to help the guard of honor during the cemetery at the cemetery 04:20 Army of Israel answered Syria with blows on terrorist infrastructure 04: 05 Woman and her two -year -old daughter died in a fire in Podolsk 03:50 White House rejected the project to finance the work of the US government without the help of Kiev 03:40 Macron called the Gaza Conference to create a humanitarian coalition 03:25 Speaker of the US Congress offered to financing the government without the help of Kiev 03:15 Foreign weather forecasters predicted in Moscow to rain and up to +7 degrees on November 12 03:00 a dog handler spoke about the reasons for the early death of dogs 02:50 The ex-adviser Kuchma pointed out the readiness of the slave and the Armed Forces of the Russian Federation with the Russian Federation 02:40 London police detained 150 participants Demonstrations in support of Palestine 02:27 Air Defense of Israel intercepted a suspicious goal from Gaza 02:15 In Brazil, football fans staged a mass fight during the championship 02:05 Three people died in an accident in the Pskov region 01:50 Visitors to Igor Dreviv shared with the Izvestia »Impressions of the stand 01:35 Brother Nurmagomedov were disqualified for six months due to doping 01:25 Ukrainian media reported on explosions in Kiev, the city of Kherson 01:14 Podolyak announced the readiness of Ukraine for economic disputes with the EU countries 01: 10 Sportovtochkin abandoned the 825th The puck in the regular championships of the NHLMIMELY House rejected the project to finance the work of the US government without the help of Kiev -Proserification of Magnitite 54 in Indonesia Mirpodolak announced the readiness of Ukraine for economic disputes with the countries of Emyrbloomberg, the consent of the Federal Republic of Germany was doubled to € 8 billion. The ceremonies at the cemetery of the parties predicted in Moscow to rain and up to +7 degrees on November 12, a person killed in an accident in the Pskov regional regional media, reported explosions in the city of the city of Khersonaarmiyarmiy of the Russian Federation destroyed four mortar calculations of the Armed Forces of the Armed Forces in the Kupyansk direction of the Gamanitarian CoA. Litius Israel answered Syria with blows on a terrorist infrastructureurinist of the defense of Ukraine Umarov told the head of the Pentagon about the needs of the Kievardocarman to pull: the mortgage demand for the secondary collapsed almost half the terms of high rates of the banks are looking for unusual ways to attract clientwarmia Dmitry Kornev Stratosfer: why Russia is a new intelligence and junction complex that will be combined if they are united Hostly mortal Devices and systems of shock weapons Society Dmitry Alekseev Residential Pont: Housing Housing, without the consent of the neighbors, will not work out a new bill is called to find a compromise between residents and those who want to receive rental income, Ivan Petrov Knock grievances: what rights the controller in transport in Moscow opened a case for a cruel The beating of the auditor on the bus Economics Dmitry Migunov Bomb at $ 33 trillion: the US public debt has become a world problem for the demand for American bonds began to lag behind the proposal of the Gladiator on wheels: Italian journalists recall Ayrton Senniveli racer continues to excite the public -Golongrid. Bovano before Still Samir Igor Karmazin change the orientation: why Armenia spoils relations with Russia, the head of the Armenian General Staff met with American generals Viktor Nedelin Rainbow prospects: Latvia was forced to same-sex marriages. The International LGBBBI continues to work on the Baltic states of Mirizizdan: the world will boycott the produced ones that will happen that will happen with the economy of the Jewish state and is it worth waiting for a new wave of anti -Semitism on November 12, 2023 00: 01economics “Open Portfolio”: how much could private investors in October experts analyzed the state of the Russian stock market on November 12, 2023 00: 02 Lessac and Technician Hope: Scientists created a wardrobe for premature Children as a development will reduce the risk of injuries and infections in newborns with a low body weight on November 12, 2023 00: 01 culture of energy: Mariinsky in China Talyzin in the Mossytt Tsiscaridze in the BDT about this week, fans of the beautiful SMI2.ru -Political School of Smi2.ru -Political Coasters said this week: What changes the status of internal for the Azov Sea as these changes will affect the economy of the region and Russia on August 16, 2023 18: 52 -rope land: how Ukraine has become one of the most mined countries in the world and how Russian sappers help to solve this problem on August 17, 2023 17: 19 Little Democratic Republic and Technical Energy and Technician Approach: as Russian scientists create unique technologies of analogues to many developments, there is no one in the world on July 31, 2023 18: 52econs of their field: how the food security in Russia is ensured and what influence Covid and sanctions on July 31, 2023 18: 52 Mirbaiden were required to help the guard of honor in The ceremony in the cemetery on November12 2023 04: 20Arm Israel answered Syria with blows to terrorist infrastructure on November 19, 2023 04: 05 School of the US Congress, proposed financing the government without the help of Kiev on November12, 2023: 15 by 15 by 15 by the U.S. financing project without the help of Kiev November 2023 03: 40Ex Kuchma adviser pointed to the readiness of the Sulfa and the Armed Forces for negotiations with the Russian Federation on November 112, 2023: 403d model of the T-90M T-90M “Breakthrough” 3D model of the first test train of the Moscow metro “Panther” 3D model of the Moscow Kremlin3D model of the dacha M. S. Gorbacheva in the Foros 3d model of the Ilya Muromets aircraft 3D model of the atomic cruiser “Peter the Great” 3D model of the Tiger tank 3D model “Worker and collective farm” 3D model of Russia “Russia” 3D model of the Grand Kremlin Palace3D3D -Model of the Cathedral of the Paris Mother of God ANT-20 "Maxim Gorky". 3D-model3d model of the Crimean bridge3d-model of the main temple of the Armed Forces of the Russian Federation of the Russian Federation3d 3d-model of the Boeing 747-1003d model of the monastery of the Kiev-Pechersk Laurus3d Model House of the House of the Watchtower of the Patrient Ship "Emerald" 3d-model of the St. Paul3d Model of the Rzhevsky Memorial Soviet soldier 3d-model of the Berlin Tank Tank IS-23D model of the Salisbury Cathedral3d Model of the passenger aircraft Tu-1043D-model of the Sukharevo Tower of the Il-763D motor ship "Peter the Great" 3D model of the Cathedral of Christ Savior 3d Model of Space Ships " Union-19 ”and“ Apollo ”3D model of the Sevastopol battleship, a member of“ Scarlet Sails ”-brig Tre Kronor Af Stockholm Kurchatov Specialized Synchrotron Radiation Speed ​​3D model“ Vostok-1 ”3D-model Titanic History in the dates: 12 November-consuming of the week in the photographs: a blow to Jabalia The deadly storm "Kiaran" and the choice of a dress for Miss Universe what was important in Russia and the world in the past days Super Bag: how do flour made of crickets a fresh look at the goods of the Stavropol Staropolis category is not in a neighborly way: Pakistan is deporting the Afghan illegal measures to end until November 1, the photo of the day: Vulcan Klyuchevsky was assigned a “red” hazard code for aviation00: 24Magnetic storm will cover the earth on the night of November 12, 2023 19: 4600: 57v China, online for the occasion of the day of the Holy Day11 November 2023 18: 3000: 33th American strategic bomber B-21 made the first flight on November11, 2023 13: 53, the largest artificial ice rink in Europe. Video 360 ° The Building Theater building celebrates the 195th anniversary. Video 360 ° in Moscow was held by the International Exhibition of Business Aviation Rubae. Video 360 ° Festival of military equipment "Motors of War". Video 360 ° in Moscow hosts the festival of gardens and flowers. Video 360 ° the second for the year the tram parade was held in the capital. Video 360 ° PMEF. Video 360 ° Morning on May 9 in Moscow from the roof of the Typhoon armored car. Video 360 ° Evacuation of the aircraft. Video 360 ° what they feed on an airplane: an excursion to the on -board power plant. Video 360 ° Exhibition "Lada Always": more than 100 most unusual models. Video 360 ° East. Another beauty: a large -scale exhibition. Video 360 ° Excursion on the legendary Mosfilm pavilions. Video 360 ° how the coke is produced. Video 360 ° 90 years of Mickey Mouse: multimedia exhibition. Video 360 ° 120 previously unknown sculptures of Tsereteli. Video 360 ° Championship of Russia in the Higher aerobatics: unique shots from the wing of the aircraft. Video 360 ° Moscow Mint and Moscow Printing House "Goznak". Video 360 ° The World Cup in Kazan. Video 360 ° Cinema "Illusion" after reconstruction. Video 360 ° Crazy drift on the "Lada". Video 360 ° Excursion in Gorky Park. Video 360 ° feeding sharks in Moskvarium. Video 360 ° World Wingsight jump record. Video 360 ° Luxurious train "Imperial Russia". Video 360 ° Driving T-80U tank under water. Video 360 ° Championship of the World football 2022 in Qatar: A unique show. Video 360 ° The test is not for the faint of heart: a stamina marathon. Video 360 ° Advertising of beauty: Ten products that will extend youth, doctors said that it is necessary to slow down the aging on November 11, 2023 00: 02 Iranian President gathered in Saudi Arabia Visit as part of the Summit on the situation in the gas sector will be the first after the reconciliation of the two countries on November 11 2023 00: 02 publication seal of communication: how to protect against theft of data through a VPN under a VPN service can be disguised as a Trojan-style on November 11, 2023 00:02 Opinion Olga Pozdnyakov “” In Russia, a register of debtors on alimony will appear in Russia. It will be possible to delete the surname from it only by repaying all obligations. In the future, it is possible to introduce sanctions against submitted to the register - a restriction on leaving the country with a driver’s license, etc. November 11, 2023 08: 00Aleksandra Babkin “” on the Internet you should not do anything that you do not allow yourself in real life. Technical tools can protect you from cyberbulling, however, we will not change the culture of our communication on the network, we will not be able to globally solve the problem on November11, 2023 08: 00valery Emelyanov “” Positive factors that could not force the ruble to turn over now. Currency swings rush down until they find a U -turning point there and will not fly back 10th November 2023 08: 00maxim Dobromoslov “” In one we are ahead of the Hollywood film Industry - small budgets. Our times less. Paradoxically, but this is a big plus November 9, 2023 20: 00vgenia Pimenov “” Cultural exchanges in the broadest sense of the word is a tool of peaceful and stable times. When the world spiral of conflicts begins to spin all this “decor” begins to crumble on November9, 2023 14: 00leg Chamonaev “” This case affects not only Camille personally, but also the entire national team and even in the matter with Olympic gold. So no compromises (with their conscience and anti -doping authorities) are impossible here on November 9, 2023 08: 00 George Mokhov “” Everywhere where there are budget money - especially when they are distributed on “lightweight” conditions: not through public procurements and competitive procedures, and highlighting subsidies essentially Under honestly, attackers always appear. This also happened in the field of tourism on November 9, 2023: 00port “The level of RPL fell a bit-more matches began to win on the classroom” SKA-Khabarovsk football player Vyacheslav Podberezkin-about the leadership of Krasnodar and the motivation of the new generation of players on November 12, 2023 00: 01 Products Her two -year -old daughter died in a fire in Podolsk November 112, 2023: 50 Mirmacron called the Gaza Conference in a step towards the creation of a humanitarian coalition November12, 2023 03: 25 Synoptics predicted rain in Moscow and up to +7 degrees on November 12, 2023 03: 00 Police of London, 150 participants in the demonstration in support Palestine November 19, 2023 02: 27pvo Israel, intercepted a suspicious goal from Gaza November 112, 2023: 15v Brazil, football fans staged a mass fight during the championship November 11, 2023 02: 05 sports weekend with Izvestia November 10, 2023 00: 00 Cultural Week: Choosing Izvestia on November 9 2023 00: 01 advertising menu Advertising Subscribing to the RSS newspaper Send news about the company editorial-pre-re-renovation company about the immutation of the labor protection of labor copyright on the visualization system of the contents of the portal iz.ru as well as on the initial data, including the texts of the audio and video materials, graphic images and product signs belongs "MIC" Izvestia ". The specified information is protected in accordance with the legislation of the Russian Federation and international agreements. Partial citation is possible only if a hyperlink on iz.ru. AB AB "Russia" - partner of the section "Economics" The site functions with financial support from the Ministry of Digital Development of Communications and Mass Communications of the Russian Federation. Responsibility for the maintenance of any advertising materials placed on the portal is borne by the advertiser. Analytics News Forecasts and other materials presented on this site are not an offer or a recommendation for the purchase or sale of any assets. Registered by the Federal Service for Supervision of the Communications of Information Technologies and Mass Communications. Certificate of registration of EL No. FS 77 - 76208 dated July 8, 2019 EL No. FS 77 - 72003 of December 26, 2019 All rights are protected © MIC Izvestia 2023</v>
      </c>
    </row>
    <row r="615">
      <c r="A615" s="1" t="s">
        <v>2033</v>
      </c>
      <c r="B615" s="1" t="s">
        <v>2050</v>
      </c>
      <c r="C615" s="1" t="s">
        <v>2051</v>
      </c>
      <c r="D615" s="1">
        <v>5.0</v>
      </c>
      <c r="E615" s="4" t="s">
        <v>2052</v>
      </c>
      <c r="F615" s="1" t="s">
        <v>43</v>
      </c>
      <c r="G615" s="1" t="s">
        <v>2053</v>
      </c>
      <c r="H615" s="1" t="s">
        <v>2054</v>
      </c>
      <c r="I615" s="2">
        <v>1.0</v>
      </c>
      <c r="J615" s="5" t="str">
        <f>IFERROR(__xludf.DUMMYFUNCTION("GOOGLETRANSLATE(A615)"),"Easter 2023")</f>
        <v>Easter 2023</v>
      </c>
      <c r="K615" s="6" t="str">
        <f>IFERROR(__xludf.DUMMYFUNCTION("GOOGLETRANSLATE(B615)"),"Easter in 2023")</f>
        <v>Easter in 2023</v>
      </c>
      <c r="L615" s="5" t="str">
        <f>IFERROR(__xludf.DUMMYFUNCTION("GOOGLETRANSLATE(C615)"),"How to calculate the date of Easter? Consider, on the example of 2023. Easter rule has the following wording: Easter is celebrated on the first Sunday day after the first ...")</f>
        <v>How to calculate the date of Easter? Consider, on the example of 2023. Easter rule has the following wording: Easter is celebrated on the first Sunday day after the first ...</v>
      </c>
      <c r="M615" s="5" t="str">
        <f>IFERROR(__xludf.DUMMYFUNCTION("GOOGLETRANSLATE(G615)"),"Bible online to the contents of online biblia to read the Bible Reading plans for reading all translations of audio bible video bible -bible answers to questions Librariages all tools video library download / and the word of the Lord distributed throughou"&amp;"t the country. (Bible of the Acts of the Holy Apostles) Read the Bible version of the site online the word of the Lord spread the whole country. (Acts of the Holy Apostolov) Our Sitynesh Blogbish Tree Bible Bible Bible refreshment of the Proceedings of Pr"&amp;"oject Popular Contractor Support for the Basis of Knowledge of the Knowledge-Baporsocial Investigation Investigation Environmental Center online 2003-2023. Donate the Bible online 2003-2023.https: //bibleonline.ru/")</f>
        <v>Bible online to the contents of online biblia to read the Bible Reading plans for reading all translations of audio bible video bible -bible answers to questions Librariages all tools video library download / and the word of the Lord distributed throughout the country. (Bible of the Acts of the Holy Apostles) Read the Bible version of the site online the word of the Lord spread the whole country. (Acts of the Holy Apostolov) Our Sitynesh Blogbish Tree Bible Bible Bible refreshment of the Proceedings of Project Popular Contractor Support for the Basis of Knowledge of the Knowledge-Baporsocial Investigation Investigation Environmental Center online 2003-2023. Donate the Bible online 2003-2023.https: //bibleonline.ru/</v>
      </c>
    </row>
    <row r="616">
      <c r="A616" s="1" t="s">
        <v>2033</v>
      </c>
      <c r="B616" s="1" t="s">
        <v>2055</v>
      </c>
      <c r="C616" s="1" t="s">
        <v>2056</v>
      </c>
      <c r="D616" s="1">
        <v>6.0</v>
      </c>
      <c r="E616" s="4" t="s">
        <v>2057</v>
      </c>
      <c r="F616" s="1" t="s">
        <v>43</v>
      </c>
      <c r="I616" s="2">
        <v>1.0</v>
      </c>
      <c r="J616" s="5" t="str">
        <f>IFERROR(__xludf.DUMMYFUNCTION("GOOGLETRANSLATE(A616)"),"Easter 2023")</f>
        <v>Easter 2023</v>
      </c>
      <c r="K616" s="6" t="str">
        <f>IFERROR(__xludf.DUMMYFUNCTION("GOOGLETRANSLATE(B616)"),"Easter: When it will be in 2023, the essence and tradition ...")</f>
        <v>Easter: When it will be in 2023, the essence and tradition ...</v>
      </c>
      <c r="L616" s="5" t="str">
        <f>IFERROR(__xludf.DUMMYFUNCTION("GOOGLETRANSLATE(C616)"),"27 Mar. 2023. -")</f>
        <v>27 Mar. 2023. -</v>
      </c>
      <c r="M616" s="5" t="str">
        <f>IFERROR(__xludf.DUMMYFUNCTION("GOOGLETRANSLATE(G616)"),"#VALUE!")</f>
        <v>#VALUE!</v>
      </c>
    </row>
    <row r="617">
      <c r="A617" s="1" t="s">
        <v>2033</v>
      </c>
      <c r="B617" s="1" t="s">
        <v>2058</v>
      </c>
      <c r="C617" s="1" t="s">
        <v>2059</v>
      </c>
      <c r="D617" s="1">
        <v>7.0</v>
      </c>
      <c r="E617" s="4" t="s">
        <v>2060</v>
      </c>
      <c r="F617" s="1" t="s">
        <v>43</v>
      </c>
      <c r="G617" s="1" t="s">
        <v>359</v>
      </c>
      <c r="H617" s="4" t="s">
        <v>360</v>
      </c>
      <c r="I617" s="2">
        <v>1.0</v>
      </c>
      <c r="J617" s="5" t="str">
        <f>IFERROR(__xludf.DUMMYFUNCTION("GOOGLETRANSLATE(A617)"),"Easter 2023")</f>
        <v>Easter 2023</v>
      </c>
      <c r="K617" s="6" t="str">
        <f>IFERROR(__xludf.DUMMYFUNCTION("GOOGLETRANSLATE(B617)"),"Easter in 2024: what date is it ...")</f>
        <v>Easter in 2024: what date is it ...</v>
      </c>
      <c r="L617" s="5" t="str">
        <f>IFERROR(__xludf.DUMMYFUNCTION("GOOGLETRANSLATE(C617)"),"The bright resurrection of Christ, Easter is the greatest Christian holiday. Look when the Orthodox and Catholic Easter is noted in 2024.")</f>
        <v>The bright resurrection of Christ, Easter is the greatest Christian holiday. Look when the Orthodox and Catholic Easter is noted in 2024.</v>
      </c>
      <c r="M617" s="5" t="str">
        <f>IFERROR(__xludf.DUMMYFUNCTION("GOOGLETRANSLATE(G617)")," News of Russia and the world. Komsomolskaya Pravda in the Russian Federation - Radio and Site newspaper // www.kp.ru - kp.ru menyurossia and therapy Politics Political Economics and Economy Political Economics Miraverazdovsdovykoronavironavironavironavir"&amp;"onavironavironavirals of the Russian experts of experts, I know the family secretary of the Secretary Projects of Zhelezturism-Center-Center of Consciousness Consumer-Consumer Consumer-Consumer-Consumer Consumer Conductions and Tytynovoye on the website o"&amp;"f the website of the Ministry of Digital Communications and Mass Communications of the Russian Federation of the Russian Federation of the Russian Federation Political Economics Economy MIPRESVESSDOROVEVESSOSOSTROSKANAKORONAVISTYARITARIATARIATARY STRISTRI"&amp;"CAL Projects of Russia Expertocrofinance Semovyzhensky secret-core percussialyspecepsprojects of iron venue-central lecture-lecture VOE on the website of the website of the Radio -Rossiyamoskva today: Russian News Exhibition ""Russia"" War in Israeli -Gre"&amp;"at -Ryncorynash of Kinocrain: Summary of the County Cast in the Rossiyeschekkiy Day -Keekpa in Telegrampersi, they say that the first month of the Ukrainian ""counteratus"" was difficult - enemy peris Not sparing their own. Politicsciscence Kp.ru of our s"&amp;"oldiers of prayers and feats under shelling: the honest story of the fighters who stopped the Armed Forces of the Armed Forces under the Pyatikhatkamifoto -Vosvoslotets with the call sign “Baby” took out the wounded comrades from the BMP without caterpill"&amp;"ar2 days ago Politics Square of the KP.ru Mirav -American called the guilty “Northern Streams”: with this version, all the NOT COPHCES OF APU Chervinsky could not be the coordinator of the attack on the “northern streams” of the Moscow Policy in Europe, t"&amp;"he “funeral” of the Kiev regime began to plan: what will happen to Ukraine without the help of the USARELLEAL that Ukraine could not defeat Russia in the nearest Time of Politics and Economics Square Kp.ru will not become targeted for everyone: what will "&amp;"happen next with a preferential mortgage in the Russianarieltor Aprelev: a preferential mortgage can be limited to people with high incomes of the economics of the economics of the KP.ru Politics Politics who surrendered their surrenders: the Hero of Russ"&amp;"ia told how the Hero of Russia told how he captivated 11 Ukrainian marine marines. The military personnel of the 36th Brigade of the Marine Corps of the Armed Forces of Ukraine subsided “mobilized” the Politics and Academy of Sciences of the giants and po"&amp;"rtal to other worlds yesterday: as the occultists from the Nazi “Anenerbe” were looking for Shambhala in the mountains of the KP KP Nikolay and Natalya Varsgovs followed the footsteps Military special operation on Ukraine on November 12, 2023: the direct "&amp;"online transaction of KP.ru publishes the latest news about the military special operation of Russia in Ukraine on November 12, 2023, the Policy-Politics of the Political Education “No one is jealous of slander only in you”: the Russians answered the rebu"&amp;"ke of Alla Pugacheva Pugacheva The artists who accused her of the collapse of their career outsseers spreads through the Kp.ru -suffering her beloved husband Alexander Pakhmutov holds the hero: gives joy to the children from Donetsk looks like a queenfote"&amp;" -vydovideoAleksandra Pakhmutov met with children from Donetsk and sang her her own songs -eupsquilizes Kp.ru son and medical error were crushed by Boris Klyuyev: published The recording of the last interview of the artist before the death of the Health o"&amp;"f Boris Klyuyeva crushed the sudden death of the only son -in -lawsujauccaeukecluse Kp.ru, do you want the child to grow as poor? Do not tell him phrases that program poverty psychologist Musokhranov called phrases that programs us for poverty valiyuyaku "&amp;"Kp.ru Sports Speak of Valieva in a red dress brought her victory in the short program of Russia in Kazani that happened in a short program of women at the Russian Grand Prix in Kazanivotnutnutnuakaphoto Brides with three hands on the network dubbed the de"&amp;"vilry: what was not so with a mysterious wedding picture of the picture of the scorestone, she took a photo with three different positions of her hands at the same time at the same time as a manacdoresdorye -ethnic shuttle of kp.rumagnetic storms: on the "&amp;"night of November 12, a serious “storm” Denisenko is expected: before magnetic storms, it is worth refusing to refuse from magnetic storms Fatty food of the end of the end of the Kp.ru, 2411 minutes ago Politicalsohu: the United States provoked the Poland"&amp;" conflict with Ukraine, this is profitable for Russia backwards back to the Political Russian military destroyed up to 50 APU militants in the Kupyansk direction of the Black United Studies: in Russia, the VPN2 hours ago Political Political Political Poli"&amp;"tical Political Complex announced the readiness of Kiev for trade candidates for trade candidate liquids inside the EU3 hours ago Politicia Congress Johnson proposed financing the government without the help of Kiev -Kyamolikuardian: the sanctions could n"&amp;"ot affect the success of Russia in the production of weapons of the Czech Republic of Czech Republic 384 cases against the citizens of the countries of the countries of the countries of the world: the world with Israel is possible when the Palestinian and"&amp;" Arab lands of the MiracNN: Three Dispensers were killed in the hospital in the hospital Gases The siege of Israeli -equal for Miraceron: France was faced with the revival of the unbridled anti -Semitismavs of the political science of the city of Kherson,"&amp;" controlled by the explosive Mireliga of the Arab states: gas should remain as part of the Palestine after the war of the world under the world, the large lion escaped from the circus to catch the bill of prisoners: the plane of the US The crash in the Me"&amp;"diterranean Morevs of the News of the Hot in Moskvestyeznotra+4 ° is felt like+2 ° in the morning+4 ° after day+5 ° in the evening+8 ° weather in Moscow Trada+4 ° is felt as+2 ° in the morning+4 ° in the evening+8 ° Co-Ho. -Ho: At the bottom of the Caribb"&amp;"ean - twenty billion dollars and a bottle of Romar government of Colombia until 2026 expects to raise the inconspicuous treasures of Galeon San Jose from the bottom. We decided to recall what other sunken wealth hides the oceanic community")</f>
        <v> News of Russia and the world. Komsomolskaya Pravda in the Russian Federation - Radio and Site newspaper // www.kp.ru - kp.ru menyurossia and therapy Politics Political Economics and Economy Political Economics Miraverazdovsdovykoronavironavironavironavironavironavironavirals of the Russian experts of experts, I know the family secretary of the Secretary Projects of Zhelezturism-Center-Center of Consciousness Consumer-Consumer Consumer-Consumer-Consumer Consumer Conductions and Tytynovoye on the website of the website of the Ministry of Digital Communications and Mass Communications of the Russian Federation of the Russian Federation of the Russian Federation Political Economics Economy MIPRESVESSDOROVEVESSOSOSTROSKANAKORONAVISTYARITARIATARIATARY STRISTRICAL Projects of Russia Expertocrofinance Semovyzhensky secret-core percussialyspecepsprojects of iron venue-central lecture-lecture VOE on the website of the website of the Radio -Rossiyamoskva today: Russian News Exhibition "Russia" War in Israeli -Great -Ryncorynash of Kinocrain: Summary of the County Cast in the Rossiyeschekkiy Day -Keekpa in Telegrampersi, they say that the first month of the Ukrainian "counteratus" was difficult - enemy peris Not sparing their own. Politicsciscence Kp.ru of our soldiers of prayers and feats under shelling: the honest story of the fighters who stopped the Armed Forces of the Armed Forces under the Pyatikhatkamifoto -Vosvoslotets with the call sign “Baby” took out the wounded comrades from the BMP without caterpillar2 days ago Politics Square of the KP.ru Mirav -American called the guilty “Northern Streams”: with this version, all the NOT COPHCES OF APU Chervinsky could not be the coordinator of the attack on the “northern streams” of the Moscow Policy in Europe, the “funeral” of the Kiev regime began to plan: what will happen to Ukraine without the help of the USARELLEAL that Ukraine could not defeat Russia in the nearest Time of Politics and Economics Square Kp.ru will not become targeted for everyone: what will happen next with a preferential mortgage in the Russianarieltor Aprelev: a preferential mortgage can be limited to people with high incomes of the economics of the economics of the KP.ru Politics Politics who surrendered their surrenders: the Hero of Russia told how the Hero of Russia told how he captivated 11 Ukrainian marine marines. The military personnel of the 36th Brigade of the Marine Corps of the Armed Forces of Ukraine subsided “mobilized” the Politics and Academy of Sciences of the giants and portal to other worlds yesterday: as the occultists from the Nazi “Anenerbe” were looking for Shambhala in the mountains of the KP KP Nikolay and Natalya Varsgovs followed the footsteps Military special operation on Ukraine on November 12, 2023: the direct online transaction of KP.ru publishes the latest news about the military special operation of Russia in Ukraine on November 12, 2023, the Policy-Politics of the Political Education “No one is jealous of slander only in you”: the Russians answered the rebuke of Alla Pugacheva Pugacheva The artists who accused her of the collapse of their career outsseers spreads through the Kp.ru -suffering her beloved husband Alexander Pakhmutov holds the hero: gives joy to the children from Donetsk looks like a queenfote -vydovideoAleksandra Pakhmutov met with children from Donetsk and sang her her own songs -eupsquilizes Kp.ru son and medical error were crushed by Boris Klyuyev: published The recording of the last interview of the artist before the death of the Health of Boris Klyuyeva crushed the sudden death of the only son -in -lawsujauccaeukecluse Kp.ru, do you want the child to grow as poor? Do not tell him phrases that program poverty psychologist Musokhranov called phrases that programs us for poverty valiyuyaku Kp.ru Sports Speak of Valieva in a red dress brought her victory in the short program of Russia in Kazani that happened in a short program of women at the Russian Grand Prix in Kazanivotnutnutnuakaphoto Brides with three hands on the network dubbed the devilry: what was not so with a mysterious wedding picture of the picture of the scorestone, she took a photo with three different positions of her hands at the same time at the same time as a manacdoresdorye -ethnic shuttle of kp.rumagnetic storms: on the night of November 12, a serious “storm” Denisenko is expected: before magnetic storms, it is worth refusing to refuse from magnetic storms Fatty food of the end of the end of the Kp.ru, 2411 minutes ago Politicalsohu: the United States provoked the Poland conflict with Ukraine, this is profitable for Russia backwards back to the Political Russian military destroyed up to 50 APU militants in the Kupyansk direction of the Black United Studies: in Russia, the VPN2 hours ago Political Political Political Political Political Complex announced the readiness of Kiev for trade candidates for trade candidate liquids inside the EU3 hours ago Politicia Congress Johnson proposed financing the government without the help of Kiev -Kyamolikuardian: the sanctions could not affect the success of Russia in the production of weapons of the Czech Republic of Czech Republic 384 cases against the citizens of the countries of the countries of the countries of the world: the world with Israel is possible when the Palestinian and Arab lands of the MiracNN: Three Dispensers were killed in the hospital in the hospital Gases The siege of Israeli -equal for Miraceron: France was faced with the revival of the unbridled anti -Semitismavs of the political science of the city of Kherson, controlled by the explosive Mireliga of the Arab states: gas should remain as part of the Palestine after the war of the world under the world, the large lion escaped from the circus to catch the bill of prisoners: the plane of the US The crash in the Mediterranean Morevs of the News of the Hot in Moskvestyeznotra+4 ° is felt like+2 ° in the morning+4 ° after day+5 ° in the evening+8 ° weather in Moscow Trada+4 ° is felt as+2 ° in the morning+4 ° in the evening+8 ° Co-Ho. -Ho: At the bottom of the Caribbean - twenty billion dollars and a bottle of Romar government of Colombia until 2026 expects to raise the inconspicuous treasures of Galeon San Jose from the bottom. We decided to recall what other sunken wealth hides the oceanic community</v>
      </c>
    </row>
    <row r="618">
      <c r="A618" s="1" t="s">
        <v>2033</v>
      </c>
      <c r="B618" s="1" t="s">
        <v>2061</v>
      </c>
      <c r="C618" s="1" t="s">
        <v>2062</v>
      </c>
      <c r="D618" s="1">
        <v>8.0</v>
      </c>
      <c r="E618" s="4" t="s">
        <v>2063</v>
      </c>
      <c r="F618" s="1" t="s">
        <v>43</v>
      </c>
      <c r="I618" s="2">
        <v>1.0</v>
      </c>
      <c r="J618" s="5" t="str">
        <f>IFERROR(__xludf.DUMMYFUNCTION("GOOGLETRANSLATE(A618)"),"Easter 2023")</f>
        <v>Easter 2023</v>
      </c>
      <c r="K618" s="6" t="str">
        <f>IFERROR(__xludf.DUMMYFUNCTION("GOOGLETRANSLATE(B618)"),"When Easter in 2023 is Orthodox and ... - vikna.tv")</f>
        <v>When Easter in 2023 is Orthodox and ... - vikna.tv</v>
      </c>
      <c r="L618" s="5" t="str">
        <f>IFERROR(__xludf.DUMMYFUNCTION("GOOGLETRANSLATE(C618)"),"9 Apr. 2023. -")</f>
        <v>9 Apr. 2023. -</v>
      </c>
      <c r="M618" s="5" t="str">
        <f>IFERROR(__xludf.DUMMYFUNCTION("GOOGLETRANSLATE(G618)"),"#VALUE!")</f>
        <v>#VALUE!</v>
      </c>
    </row>
    <row r="619">
      <c r="A619" s="1" t="s">
        <v>2033</v>
      </c>
      <c r="B619" s="1" t="s">
        <v>2064</v>
      </c>
      <c r="C619" s="1" t="s">
        <v>2048</v>
      </c>
      <c r="D619" s="1">
        <v>9.0</v>
      </c>
      <c r="E619" s="4" t="s">
        <v>2065</v>
      </c>
      <c r="F619" s="1" t="s">
        <v>43</v>
      </c>
      <c r="G619" s="1" t="s">
        <v>2066</v>
      </c>
      <c r="H619" s="4" t="s">
        <v>2067</v>
      </c>
      <c r="I619" s="2">
        <v>2.0</v>
      </c>
      <c r="J619" s="5" t="str">
        <f>IFERROR(__xludf.DUMMYFUNCTION("GOOGLETRANSLATE(A619)"),"Easter 2023")</f>
        <v>Easter 2023</v>
      </c>
      <c r="K619" s="6" t="str">
        <f>IFERROR(__xludf.DUMMYFUNCTION("GOOGLETRANSLATE(B619)"),"Easter 2023: traditions and symbols of the main Christian ...")</f>
        <v>Easter 2023: traditions and symbols of the main Christian ...</v>
      </c>
      <c r="L619" s="5" t="str">
        <f>IFERROR(__xludf.DUMMYFUNCTION("GOOGLETRANSLATE(C619)"),"16 Apr. 2023. -")</f>
        <v>16 Apr. 2023. -</v>
      </c>
      <c r="M619" s="5" t="str">
        <f>IFERROR(__xludf.DUMMYFUNCTION("GOOGLETRANSLATE(G619)"),"vtomske.ru - News of Tomsk Russia and the world today vvtomske.ru renovation of the work of the work of the work of 3333 dome -retinant to remind me of the password? Ilivites through the TwitteTerevo through Facebooks through Google Registration for vtoms"&amp;"ke.ru and privacy policies. 10: 45 Sunday November 113ARARARIVARAVARAVARAVARAYARAYARAYARAMARAYAMARAYAYAYAYAYAYAIAYAYAIAYAYAYAYAYAYAYAYAYAKEKTYAKYEKTYARYANYABRARYARYARYARARARY202320222120202020 was Line -navigation of vision of interviews and projects to b"&amp;"e projected by The news of the news of the Political Economics of the Economics of the Technology of the Cleaning of the Cleaning Military Disarmers in the Network for a day of the day in the day12: 53 two inhabitants of the Tomsk region died during the f"&amp;"ire at the Altai campasis 114: 40 minibuses No. 4 began to carry volumes to the pine forest 140: 00 cold water will not be in the part Residents of the Tomsk region built More than half of the total housing in 2023 1 Pollar: 53 Two residents of the Tomsk "&amp;"Region died in a fire at the Altai camp site 476214: 40 minibuses No. 4 began to carry Tomsk citizens to pine bora281109: 00 cold water will not be in the part of the Oktyabrsky district of Tomsk97110: 00 residents of the Tomsk region built more Half of t"&amp;"he total housing in 2023g172VS Materials: 40 minibuses No. 4 began to carry volumes to the pine forest 1409: 00 cold water will not be in the part of the Oktyabrsky district of Tomsk 110: 00 residents of the Tomsk region built more than half of all introd"&amp;"uced housing in 2023 112: 53 Two two Residents of the Tomsk Region died in a fire at the Altai Tourbaz 1VA Materials and special projects of the films and serches of the historical settlement 10:00 residents of the Tomsk Region built more than half of the"&amp;" entered housing in 2023 109: 00 cold water will not be in the part of the Oktyabrsky district of Tomsk 114: 40 minibuses No. 4 began to carry Tomsk citizens to pine forest 1412: 53 Two residents of the Tomsk region died in a fire at the Altai camp site 1"&amp;"10: 30 competitions in sports aerobics will be held in Tomsk09: 00 World Watch Day and Black Friday 2023: History of the Discount date How to save 318: 30 Folk Folk Rusty water from the tap 418: 05 multi -kilometer traffic jams accumulated at the entrance"&amp;" to Tomsk 1217: 25 Makhini decided to disband the Sanitary police Tomsk 1616: 56 in Tomsk, two people broke up to death from a height of 1816: 25 Firefighters pulled out the victims of the Sports Palace. In Tomsk 516: 00 What is the weather in the Tomsk r"&amp;"egion in mid -November? Plus the forecast for the news of the news Office November 9 21888emm Stone - 35: five films and one series with the Kriella star “Service” “Moon Light Magic” and other projects with Emma Stone + New Films and Series November 3 520"&amp;"45 To be studied to heaven: as in Tomsk they study Atmosphere and what does the ""star wars"" have to do with it? The work of the Tomsk Institute of Optics of the atmosphere today. About lasers of the Forest Fire Laboratory in the aerosol chamber and Russ"&amp;"ian science problems on October30, October 323523 Methe Matthew Perry-Five films and one series with the star of “Friends” “Make a haste” “Strange couple” “Nine yards” and other projects with Matthew Perry. We will also tell you about the novelties of fil"&amp;"m production on October 27 251319 by the traces of the “Fall of the House of the Aherov”: 5 mystical series that is worth seeing the mystical projects + new films and serial details on October 26 11713 DECHIET SHARS What are the parents of insulin -depend"&amp;"ent children? The history of the Tomsk family on October 20, 16503, was running from Showsenka: 6 good films with Tim Robbins to the actor’s anniversary “Road to Arlington” “There is nothing to lose” and other projects with actor Tim Robbins. Plus, we wil"&amp;"l tell you about new films and TV shows. Lesson Calm October 46602 Old memory: the arrival of Stolypin’s robbery through the dig and a vibrant chronicle of the events of the pre -revolutionary Tomskstaty18 October 15553POTET? Experts from the builder and "&amp;"banks about the trends and prospects of preferential mortgage programs on October 134, October 134 580 price instability is happening today With the prices in stores and why the chicken is so much rise in price on October 108, 5508 times in the Tomsk regi"&amp;"on, debts for gas are accumulated and how it can be solved for gas from heat supplying organizations is a serious problem for many regions. The possible ways of its decisions in the Tomsk region spoke in Gazprom Mezhregiongaz Novosibirsk detail11 October "&amp;"1010073 Beauty from the eye: Photo of the Taiga and Swamps of the Tomsk Region Photo report from the Vasyugansky swamps and Tomsk Tomskiy Vige on October 1112, only Wolverine: 7 films with Hugh Jackman that you could miss the projects that you could miss "&amp;"the projects that you could miss the project With Hugh Jackman + New TV shows and films of this Nednovani in Russia and Mirevser 09: 00ovo -family shopping day and Black Friday 2023: History of Discount Dates how to save on November 39 15: 58SB does not e"&amp;"xclude another increase in the key rate until the end of the year 179 November 11: 15 Verul for issuance for issuing They want to increase the passport by 20% on November 178 10: 23 tests: Interest in new buildings in the Russian Federation fell by 12%. I"&amp;"n Tomsk, the demand increased slightly on November 127, 15: 38MTS will cancel the fee for the distribution of Internet traffic November 16: 45-l. In the sky, the polar radiance was observed on November 54 21: 28 Tomsk Region opened at the Russian exhibiti"&amp;"on in Moscow. Here's what it looks like November 114: 00 Eat of popular unity 2023: what about the History of History How will they celebrate in Tomsk on November 282 10: Russia, they want to increase the birth rate with the help of “Fatherland” capital 4"&amp;"7VS newspertyPaegip -fucked ones pulled out the victims from the “burning” building of the Sports Palace in Tomsk. To heaven: how do they study the atmosphere in Tomsk and what does the “star wars” have to do with it? In Tomsk, the situation with garbage "&amp;"collection again worsened. How will the problem be solved? We continue to depend on imports: Patrushev at a meeting in Tomsk spoke about the problems of technological sovereignty, the Tolklitza Patrushev, the development of Tomsk universities and companie"&amp;"s “We will surprise!”: The roof and the Great Hall of the Tomsk Youth Theater restored the news of the company of the company of the Siberian food week From 15 to 17, the media in the media 18+ found a typo-CTRL+ ENTERDODICATION OF News: (3822) 902-904 © "&amp;"2007-2023OOO Redvix Media Registration Number No. FS 77-72404 It was registered by the Roskomnadzor-mobility of advertising by the User Agreement for Children. 18+vtomske.ru, the work of the work of the 333 couponagoroscopy financial assignment with the m"&amp;"ark “On the Rights of Advertising” “News of the Company” “Source: Press Service” “Partnership Material” “Information Cooperation” is published on commercial conditions and paid for advertisers. The editors of the site are not responsible for the reliabili"&amp;"ty of the information contained in advertising materials. The use of the site materials is allowed only with the written resolution of the editorial office. When using materials, it is necessary to indicate the source of vtomske.ru. Hyperlink is required."&amp;" × Page: Error: Comment: Post sent. Thanks for participating! Send ×")</f>
        <v>vtomske.ru - News of Tomsk Russia and the world today vvtomske.ru renovation of the work of the work of the work of 3333 dome -retinant to remind me of the password? Ilivites through the TwitteTerevo through Facebooks through Google Registration for vtomske.ru and privacy policies. 10: 45 Sunday November 113ARARARIVARAVARAVARAVARAYARAYARAYARAMARAYAMARAYAYAYAYAYAYAIAYAYAIAYAYAYAYAYAYAYAYAYAKEKTYAKYEKTYARYANYABRARYARYARYARARARY202320222120202020 was Line -navigation of vision of interviews and projects to be projected by The news of the news of the Political Economics of the Economics of the Technology of the Cleaning of the Cleaning Military Disarmers in the Network for a day of the day in the day12: 53 two inhabitants of the Tomsk region died during the fire at the Altai campasis 114: 40 minibuses No. 4 began to carry volumes to the pine forest 140: 00 cold water will not be in the part Residents of the Tomsk region built More than half of the total housing in 2023 1 Pollar: 53 Two residents of the Tomsk Region died in a fire at the Altai camp site 476214: 40 minibuses No. 4 began to carry Tomsk citizens to pine bora281109: 00 cold water will not be in the part of the Oktyabrsky district of Tomsk97110: 00 residents of the Tomsk region built more Half of the total housing in 2023g172VS Materials: 40 minibuses No. 4 began to carry volumes to the pine forest 1409: 00 cold water will not be in the part of the Oktyabrsky district of Tomsk 110: 00 residents of the Tomsk region built more than half of all introduced housing in 2023 112: 53 Two two Residents of the Tomsk Region died in a fire at the Altai Tourbaz 1VA Materials and special projects of the films and serches of the historical settlement 10:00 residents of the Tomsk Region built more than half of the entered housing in 2023 109: 00 cold water will not be in the part of the Oktyabrsky district of Tomsk 114: 40 minibuses No. 4 began to carry Tomsk citizens to pine forest 1412: 53 Two residents of the Tomsk region died in a fire at the Altai camp site 110: 30 competitions in sports aerobics will be held in Tomsk09: 00 World Watch Day and Black Friday 2023: History of the Discount date How to save 318: 30 Folk Folk Rusty water from the tap 418: 05 multi -kilometer traffic jams accumulated at the entrance to Tomsk 1217: 25 Makhini decided to disband the Sanitary police Tomsk 1616: 56 in Tomsk, two people broke up to death from a height of 1816: 25 Firefighters pulled out the victims of the Sports Palace. In Tomsk 516: 00 What is the weather in the Tomsk region in mid -November? Plus the forecast for the news of the news Office November 9 21888emm Stone - 35: five films and one series with the Kriella star “Service” “Moon Light Magic” and other projects with Emma Stone + New Films and Series November 3 52045 To be studied to heaven: as in Tomsk they study Atmosphere and what does the "star wars" have to do with it? The work of the Tomsk Institute of Optics of the atmosphere today. About lasers of the Forest Fire Laboratory in the aerosol chamber and Russian science problems on October30, October 323523 Methe Matthew Perry-Five films and one series with the star of “Friends” “Make a haste” “Strange couple” “Nine yards” and other projects with Matthew Perry. We will also tell you about the novelties of film production on October 27 251319 by the traces of the “Fall of the House of the Aherov”: 5 mystical series that is worth seeing the mystical projects + new films and serial details on October 26 11713 DECHIET SHARS What are the parents of insulin -dependent children? The history of the Tomsk family on October 20, 16503, was running from Showsenka: 6 good films with Tim Robbins to the actor’s anniversary “Road to Arlington” “There is nothing to lose” and other projects with actor Tim Robbins. Plus, we will tell you about new films and TV shows. Lesson Calm October 46602 Old memory: the arrival of Stolypin’s robbery through the dig and a vibrant chronicle of the events of the pre -revolutionary Tomskstaty18 October 15553POTET? Experts from the builder and banks about the trends and prospects of preferential mortgage programs on October 134, October 134 580 price instability is happening today With the prices in stores and why the chicken is so much rise in price on October 108, 5508 times in the Tomsk region, debts for gas are accumulated and how it can be solved for gas from heat supplying organizations is a serious problem for many regions. The possible ways of its decisions in the Tomsk region spoke in Gazprom Mezhregiongaz Novosibirsk detail11 October 1010073 Beauty from the eye: Photo of the Taiga and Swamps of the Tomsk Region Photo report from the Vasyugansky swamps and Tomsk Tomskiy Vige on October 1112, only Wolverine: 7 films with Hugh Jackman that you could miss the projects that you could miss the projects that you could miss the project With Hugh Jackman + New TV shows and films of this Nednovani in Russia and Mirevser 09: 00ovo -family shopping day and Black Friday 2023: History of Discount Dates how to save on November 39 15: 58SB does not exclude another increase in the key rate until the end of the year 179 November 11: 15 Verul for issuance for issuing They want to increase the passport by 20% on November 178 10: 23 tests: Interest in new buildings in the Russian Federation fell by 12%. In Tomsk, the demand increased slightly on November 127, 15: 38MTS will cancel the fee for the distribution of Internet traffic November 16: 45-l. In the sky, the polar radiance was observed on November 54 21: 28 Tomsk Region opened at the Russian exhibition in Moscow. Here's what it looks like November 114: 00 Eat of popular unity 2023: what about the History of History How will they celebrate in Tomsk on November 282 10: Russia, they want to increase the birth rate with the help of “Fatherland” capital 47VS newspertyPaegip -fucked ones pulled out the victims from the “burning” building of the Sports Palace in Tomsk. To heaven: how do they study the atmosphere in Tomsk and what does the “star wars” have to do with it? In Tomsk, the situation with garbage collection again worsened. How will the problem be solved? We continue to depend on imports: Patrushev at a meeting in Tomsk spoke about the problems of technological sovereignty, the Tolklitza Patrushev, the development of Tomsk universities and companies “We will surprise!”: The roof and the Great Hall of the Tomsk Youth Theater restored the news of the company of the company of the Siberian food week From 15 to 17, the media in the media 18+ found a typo-CTRL+ ENTERDODICATION OF News: (3822) 902-904 © 2007-2023OOO Redvix Media Registration Number No. FS 77-72404 It was registered by the Roskomnadzor-mobility of advertising by the User Agreement for Children. 18+vtomske.ru, the work of the work of the 333 couponagoroscopy financial assignment with the mark “On the Rights of Advertising” “News of the Company” “Source: Press Service” “Partnership Material” “Information Cooperation” is published on commercial conditions and paid for advertisers. The editors of the site are not responsible for the reliability of the information contained in advertising materials. The use of the site materials is allowed only with the written resolution of the editorial office. When using materials, it is necessary to indicate the source of vtomske.ru. Hyperlink is required. × Page: Error: Comment: Post sent. Thanks for participating! Send ×</v>
      </c>
    </row>
    <row r="620">
      <c r="A620" s="1" t="s">
        <v>2033</v>
      </c>
      <c r="B620" s="1" t="s">
        <v>2068</v>
      </c>
      <c r="C620" s="1" t="s">
        <v>2069</v>
      </c>
      <c r="D620" s="1">
        <v>10.0</v>
      </c>
      <c r="E620" s="4" t="s">
        <v>2070</v>
      </c>
      <c r="F620" s="1" t="s">
        <v>43</v>
      </c>
      <c r="G620" s="1" t="s">
        <v>2071</v>
      </c>
      <c r="H620" s="4" t="s">
        <v>2072</v>
      </c>
      <c r="I620" s="2">
        <v>1.0</v>
      </c>
      <c r="J620" s="5" t="str">
        <f>IFERROR(__xludf.DUMMYFUNCTION("GOOGLETRANSLATE(A620)"),"Easter 2023")</f>
        <v>Easter 2023</v>
      </c>
      <c r="K620" s="6" t="str">
        <f>IFERROR(__xludf.DUMMYFUNCTION("GOOGLETRANSLATE(B620)"),"Orthodox Easter-2023: how much will pass, how ...")</f>
        <v>Orthodox Easter-2023: how much will pass, how ...</v>
      </c>
      <c r="L620" s="5" t="str">
        <f>IFERROR(__xludf.DUMMYFUNCTION("GOOGLETRANSLATE(C620)"),"12 Mar. 2023. -")</f>
        <v>12 Mar. 2023. -</v>
      </c>
      <c r="M620" s="5" t="str">
        <f>IFERROR(__xludf.DUMMYFUNCTION("GOOGLETRANSLATE(G620)"),"Vesti -Tomsk - News of Tomsk and the region of the television and broadcasting company Tomsk Information Portal. The latest news of Tomsk and the region. Direct broadcasts. Photo reports and videos from the scene. Interesting podcasts. Interviews and proj"&amp;"ects. Yakovleva 5 Tomsktomsk region 634050 Phone: 8 (382) 260-25-25 × news Rhostelia Rhostrado Kontakkansiyahdogoda.Totsk3 ° Cyandex.PREVICISHICHICHICHICHICHICHICHISHICHICHICHISHICHIPSISHICS IN TOMSKA Siberia 24 Excursions on television-stroke-design of t"&amp;"he company Kontaktypogoda. Tomsk3 ° Cyandex. 1 graphic shutdown of DHW 2022 in Tomsk Siberia 24 Excursions on Television “State Internet channel"" Russia "". 2001-2018. Certificate of registration of EL No. FS 77-59166 dated 08/22/2014 issued by the Feder"&amp;"al Service for Supervision of the Communications of Information Technologies and Mass Communications. Founder of the Federal State Unitary Enterprise ""All -Russian State Television and Radio Broadcasting Company"". Main editor Panina Elena Valerievna (Mo"&amp;"scow) Senior editor of the Tomsk State Health Institute - Koshkarova Maria Nikolaevna. Email of editorial office: Vesti.gtrktomsk@gmail.com Editor's phone: 8 (3822) 60 24 40 for children over 16 years of the right to materials published on the site are pr"&amp;"otected in accordance with Russian and international intellectual property legislation. Any use of text photos of audio and video materials is possible only with the consent of the copyright holder (VGTRK).#The main straight etherradiore of Russia ►RADIO "&amp;"LANEAK ►VIAK ►SNIPTICIPTICISNYSINISINCHINCHINCHINED day 2023: why are the feathereds knocking out the window and how their whistle predicts the weather, 30: 30 Tomsk Issue 14:30 November 10 ►VAS OPEN OF THE COMPLIARY OF THE COMPLIARY OF THE ALRACTION was "&amp;"handed over a resident of the Tomsk region of the Oblast of the Kolpashevovovo13: 57 Militia of the Fully Command of Fisheries in 2024 allowed to catch 440 tons of large -wire -bore -bonds12: 45th news: 45th the news {{News [0] [1] [0] .Date2}} {{News [0]"&amp;" [1] [0] .title}} {{(News [0] [1] [1])? News [0] [1] [1] .Date2: News [1] [1] [0] .Date2}} {{(News [0] [1] [1])? News [0] [1] .title: News [1] [1] [0] .title}} {{(News [0] [1] [2])? News [0] [1] .Date2: News [1] [1] [1] .Date2}} {{(News [0] [1] [2])? News"&amp;" [0] [1] [2] .title: News [1] [1] .title}} {{n [0] | DATETITLE}} {{ln.Date2}} {{ln.title}} More news#Ribbon Novostitomsk regionraiyonomskseversk-#accident #fire#Fire#fraudsters#Coronavirus#Coronavirus#incident#Weather #Holiday#School#School#Summer#Summer#"&amp;"Children#Sport Monydepdzdravto doctor said in What cases of a cold can go to pneumonia on November0916: 50 shutdownship -water supply of cold water will be disconnected in some houses of the Oktyabrsky district of Tomsk at Monday of Monday10: 39 Syptian -"&amp;"Lygrandnikstoriyasinichkin Day 2023: Why are the birds knocking out the window and how their whistle predicts the weather 10. Davtomosksknozhdogidrometzentrnex rain and up to +3 ° C is expected in Tomsk in Sunday -Gold 09 : 00 -picked -minute -stratum -st"&amp;"ratification -stratums warn about the danger of snow mating from the roofs18: 30 navigation of the Russian rivers of Tomsk rivers ended the navigation season of navigation17: 25 universal deposits of dehabilitation is asked to help the boy who needs a res"&amp;"ource center -aged16: 14mat -math -seesimity -house -householders. Polesyaphi 350 Tomsk families this year sent a regional uterus to pay off the mortgage of the day15: 05 weapons of the Kolopashevarsyasenal of Weapons was handed over by a resident of the "&amp;"Tomsk region by the V -City Council13: 57 Militia of the Up of Commission Fishermen in 2024 were allowed to catch 440 tons of the Bolshevikhe as 440 tons of the Bolshevik12: 45 Podgybiprebazarbazaagazaaldeid Tomsk citizens died in a fire at the Tourbase u"&amp;"nder construction at the Altaever11: 38 Vaccinations of Pravivkvivkripps than 38% of the residents of the Tomsk region are vaccinated against the CRIPARPA Graduer 700 communal excavations have not yet been closed to Tomskeva09: 30 a little -like -bassopro"&amp;"gnoz -gydro -drift -cross -regenerate cloudy and up to +2 ° C : Weather in Tomsk on Saturday: 00 Epavkavdnchiyahnchiya of the exhibition ""Russia"" joined the Tomsk project ""Technician"" November 20: 30 {n.title}}} {{tag.tag}}} {{n.title}}}}}}}}}}}}}} } "&amp;"{{n.date2}} ivipneumoniaddzdravom doctor told in what cases a cold can go to pneumonia on November0916: 50 Kazakhgubernamazurgubermaner Vladimir Mazur discussed the development of the Cossacks with the Siberian attack on November0819: 09exenystreiss consu"&amp;"ltation of the psycho -psychologist and do not go crazy and do not go crazy and do not go crazy : Tips for parents from the Tomsk doctor November 10612: 00 Expedivia Zapavkavdnhbumbernator Vladimir Mazur opened the Tomsk stand at the Russian exhibition on"&amp;" November 0420: 50tpoltekhforumtomo Polytechnic presented its developments at the International Gas Forum November04 November 104: 34 Technolacolacyphra technologies of the Central Schoolchildren underwent the career guidance quest ""Technolab"" November "&amp;"03: 27 Marshrut -Busmarchrosmarshrutruta. Route No. 4 was adjusted for the convenience of Tomachi November 1920: 00 Sanitarian Minor -Roblaglaglaglagia -Unitary Enterprise Police in Tomsk decided disbanded November1019: 25 Deecadacada -Housingoprognosznoz"&amp;"hodyny, warm weather for mid -November is expected in Tomsk on November1018: 53 Tuberculosaurias with a bureaulum of 250 cases of tuberculosis, recorded in the Tomsk region on November 1018: 20 bouquet -combat -muddy voluminous Tomichi nearly cut his frie"&amp;"nd November 11017: 45onlineshopinghopinghoping -Kucking fifth volume prefers to purchases online November1017: 16 member of the fire -fired fucked -fingered ""fired"" fire in the Tomsk Palace spectacles and sports November 11016: 50 {{tag.tag}} {{n.title}"&amp;"} {{n.date1}} {{n.date2}} {{tag.tag}} {n.title} {{{{{{{{{{{{{{{{{{{{{{{{{{{{{ N.Date1}} {{n.date2}} more news-stripping-fired firing “fired” the fire in the Tomsk palace of spectacles and a sports-2023 sport-2023 was a photographed Tomsk: a photorepectazh"&amp;"master-classes of the quests and exhibition: photo report from the opening of the festival of the Tomskoye “Tomsk” Tomskoye The draftees were carried out for service in the army: photo reporting on the winter rhythm: Tomsk was covered with first snow. Pho"&amp;"to report ""The mysterious masks of Tomsk"": how the project ""Liki of Siberia"" turns the city into a palette of art ""Bogatyr battles and competitions in cycling: how did Tomicich-2023PES REM come to Tomsk and met with the new owner {ErrorMessage}}}}} P"&amp;"otato -crankcase -crankcase -shoe -zimasenzimapogradacadogorodkak properly store potatoes in winter: advice of experts September11 September 09: 38 Bolshebol -Baszdzdninninninawar -Yever -Military Personaries of the north of the north ""Big Fish"" took pl"&amp;"ace on a white lake in Tomsk26 Augusta17: 13 Tomskoye Establishment. Roadostoma of the birthday of Tomsk region: seven natural attractions of the region August 113: 00pavelvolksude -honeymoon business of the head of the Department of Culture of the Tomsk "&amp;"Region went into Court July 2712: 30 Prosecutor Generalkargaskoyan -Ryanaptekkan -Khradskiyavs of four remote settlements of the Tomsk region should appear pharmacy points 27 July11: 16 Vyborameramera -Konkankamyandidathordgoredhor Makhinya submitted docu"&amp;"ments for participation in the election of the mayor of Tomsk27 July09: 59th Public Property Schools The Tomsk region by 72% decreased emissions of harmful substances into the atmosphere July 2613: 49 Communal Monthrrhmarmunal Modasfaltinecontistoltomsky "&amp;"authorities plan to 1 September Open a full -fledged movement on the communal bridge July 26: 51 -Konagoning Musiasimabyujetkommunal landfill, preparation of the northern regions of the Tomsk region for winter allocated additional money 26 July10: 55 Sama"&amp;"tulopiytotravmyletts Tomsk, cases of collision of cyclists and pedestrians July 25 July13: 25 Brandinakultincult The tourist festival of Cossack culture ""Bratina"" will be held in the Tomsk region on Saturday 25 July12: 06 { {n.title}} {{tag.tag}} {{n.ti"&amp;"tle}} {{n.date1}} {{n.date2}} more news therapy of the radio project of the company ""State Internet channel"" Russia "". 2001-2023. Execution of registration of EL No. FS 77-59166 dated 08/22/2014 issued by the Federal Service for Supervision of Informat"&amp;"ion Technologies and Mass Communications. Founder Federal State Unitary Enterprise ""All-Russian State Television and Radio Broadcasting Company"". Main editor-Panina Elena Valerievna (Moscow) Senior editor of the Tomsk GRTRK - Vorontsova Margarita Vladim"&amp;"irovnaEmail editorial office: Vesti.gtrk@tvtomsk.ru Editor's phone: 8 (3822) 60 24 40 people older than 16 years old all rights to materials published on the site are protected in accordance Russian and international intellectual property legislation. Any"&amp;" use of text photos of audio and video materials is possible only with the consent of the copyright holder (VGTRK). © 2019 GTRK Tomsk The results of conducting a special assessment of working conditions × offer news: send the news: your message is accepte"&amp;"d for the appeal!")</f>
        <v>Vesti -Tomsk - News of Tomsk and the region of the television and broadcasting company Tomsk Information Portal. The latest news of Tomsk and the region. Direct broadcasts. Photo reports and videos from the scene. Interesting podcasts. Interviews and projects. Yakovleva 5 Tomsktomsk region 634050 Phone: 8 (382) 260-25-25 × news Rhostelia Rhostrado Kontakkansiyahdogoda.Totsk3 ° Cyandex.PREVICISHICHICHICHICHICHICHICHISHICHICHICHISHICHIPSISHICS IN TOMSKA Siberia 24 Excursions on television-stroke-design of the company Kontaktypogoda. Tomsk3 ° Cyandex. 1 graphic shutdown of DHW 2022 in Tomsk Siberia 24 Excursions on Television “State Internet channel" Russia ". 2001-2018. Certificate of registration of EL No. FS 77-59166 dated 08/22/2014 issued by the Federal Service for Supervision of the Communications of Information Technologies and Mass Communications. Founder of the Federal State Unitary Enterprise "All -Russian State Television and Radio Broadcasting Company". Main editor Panina Elena Valerievna (Moscow) Senior editor of the Tomsk State Health Institute - Koshkarova Maria Nikolaevna. Email of editorial office: Vesti.gtrktomsk@gmail.com Editor's phone: 8 (3822) 60 24 40 for children over 16 years of the right to materials published on the site are protected in accordance with Russian and international intellectual property legislation. Any use of text photos of audio and video materials is possible only with the consent of the copyright holder (VGTRK).#The main straight etherradiore of Russia ►RADIO LANEAK ►VIAK ►SNIPTICIPTICISNYSINISINCHINCHINCHINED day 2023: why are the feathereds knocking out the window and how their whistle predicts the weather, 30: 30 Tomsk Issue 14:30 November 10 ►VAS OPEN OF THE COMPLIARY OF THE COMPLIARY OF THE ALRACTION was handed over a resident of the Tomsk region of the Oblast of the Kolpashevovovo13: 57 Militia of the Fully Command of Fisheries in 2024 allowed to catch 440 tons of large -wire -bore -bonds12: 45th news: 45th the news {{News [0] [1] [0] .Date2}} {{News [0] [1] [0] .title}} {{(News [0] [1] [1])? News [0] [1] [1] .Date2: News [1] [1] [0] .Date2}} {{(News [0] [1] [1])? News [0] [1] .title: News [1] [1] [0] .title}} {{(News [0] [1] [2])? News [0] [1] .Date2: News [1] [1] [1] .Date2}} {{(News [0] [1] [2])? News [0] [1] [2] .title: News [1] [1] .title}} {{n [0] | DATETITLE}} {{ln.Date2}} {{ln.title}} More news#Ribbon Novostitomsk regionraiyonomskseversk-#accident #fire#Fire#fraudsters#Coronavirus#Coronavirus#incident#Weather #Holiday#School#School#Summer#Summer#Children#Sport Monydepdzdravto doctor said in What cases of a cold can go to pneumonia on November0916: 50 shutdownship -water supply of cold water will be disconnected in some houses of the Oktyabrsky district of Tomsk at Monday of Monday10: 39 Syptian -Lygrandnikstoriyasinichkin Day 2023: Why are the birds knocking out the window and how their whistle predicts the weather 10. Davtomosksknozhdogidrometzentrnex rain and up to +3 ° C is expected in Tomsk in Sunday -Gold 09 : 00 -picked -minute -stratum -stratification -stratums warn about the danger of snow mating from the roofs18: 30 navigation of the Russian rivers of Tomsk rivers ended the navigation season of navigation17: 25 universal deposits of dehabilitation is asked to help the boy who needs a resource center -aged16: 14mat -math -seesimity -house -householders. Polesyaphi 350 Tomsk families this year sent a regional uterus to pay off the mortgage of the day15: 05 weapons of the Kolopashevarsyasenal of Weapons was handed over by a resident of the Tomsk region by the V -City Council13: 57 Militia of the Up of Commission Fishermen in 2024 were allowed to catch 440 tons of the Bolshevikhe as 440 tons of the Bolshevik12: 45 Podgybiprebazarbazaagazaaldeid Tomsk citizens died in a fire at the Tourbase under construction at the Altaever11: 38 Vaccinations of Pravivkvivkripps than 38% of the residents of the Tomsk region are vaccinated against the CRIPARPA Graduer 700 communal excavations have not yet been closed to Tomskeva09: 30 a little -like -bassoprognoz -gydro -drift -cross -regenerate cloudy and up to +2 ° C : Weather in Tomsk on Saturday: 00 Epavkavdnchiyahnchiya of the exhibition "Russia" joined the Tomsk project "Technician" November 20: 30 {n.title}}} {{tag.tag}}} {{n.title}}}}}}}}}}}}}} } {{n.date2}} ivipneumoniaddzdravom doctor told in what cases a cold can go to pneumonia on November0916: 50 Kazakhgubernamazurgubermaner Vladimir Mazur discussed the development of the Cossacks with the Siberian attack on November0819: 09exenystreiss consultation of the psycho -psychologist and do not go crazy and do not go crazy and do not go crazy : Tips for parents from the Tomsk doctor November 10612: 00 Expedivia Zapavkavdnhbumbernator Vladimir Mazur opened the Tomsk stand at the Russian exhibition on November 0420: 50tpoltekhforumtomo Polytechnic presented its developments at the International Gas Forum November04 November 104: 34 Technolacolacyphra technologies of the Central Schoolchildren underwent the career guidance quest "Technolab" November 03: 27 Marshrut -Busmarchrosmarshrutruta. Route No. 4 was adjusted for the convenience of Tomachi November 1920: 00 Sanitarian Minor -Roblaglaglaglagia -Unitary Enterprise Police in Tomsk decided disbanded November1019: 25 Deecadacada -Housingoprognosznozhodyny, warm weather for mid -November is expected in Tomsk on November1018: 53 Tuberculosaurias with a bureaulum of 250 cases of tuberculosis, recorded in the Tomsk region on November 1018: 20 bouquet -combat -muddy voluminous Tomichi nearly cut his friend November 11017: 45onlineshopinghopinghoping -Kucking fifth volume prefers to purchases online November1017: 16 member of the fire -fired fucked -fingered "fired" fire in the Tomsk Palace spectacles and sports November 11016: 50 {{tag.tag}} {{n.title}} {{n.date1}} {{n.date2}} {{tag.tag}} {n.title} {{{{{{{{{{{{{{{{{{{{{{{{{{{{{ N.Date1}} {{n.date2}} more news-stripping-fired firing “fired” the fire in the Tomsk palace of spectacles and a sports-2023 sport-2023 was a photographed Tomsk: a photorepectazhmaster-classes of the quests and exhibition: photo report from the opening of the festival of the Tomskoye “Tomsk” Tomskoye The draftees were carried out for service in the army: photo reporting on the winter rhythm: Tomsk was covered with first snow. Photo report "The mysterious masks of Tomsk": how the project "Liki of Siberia" turns the city into a palette of art "Bogatyr battles and competitions in cycling: how did Tomicich-2023PES REM come to Tomsk and met with the new owner {ErrorMessage}}}}} Potato -crankcase -crankcase -shoe -zimasenzimapogradacadogorodkak properly store potatoes in winter: advice of experts September11 September 09: 38 Bolshebol -Baszdzdninninninawar -Yever -Military Personaries of the north of the north "Big Fish" took place on a white lake in Tomsk26 Augusta17: 13 Tomskoye Establishment. Roadostoma of the birthday of Tomsk region: seven natural attractions of the region August 113: 00pavelvolksude -honeymoon business of the head of the Department of Culture of the Tomsk Region went into Court July 2712: 30 Prosecutor Generalkargaskoyan -Ryanaptekkan -Khradskiyavs of four remote settlements of the Tomsk region should appear pharmacy points 27 July11: 16 Vyborameramera -Konkankamyandidathordgoredhor Makhinya submitted documents for participation in the election of the mayor of Tomsk27 July09: 59th Public Property Schools The Tomsk region by 72% decreased emissions of harmful substances into the atmosphere July 2613: 49 Communal Monthrrhmarmunal Modasfaltinecontistoltomsky authorities plan to 1 September Open a full -fledged movement on the communal bridge July 26: 51 -Konagoning Musiasimabyujetkommunal landfill, preparation of the northern regions of the Tomsk region for winter allocated additional money 26 July10: 55 Samatulopiytotravmyletts Tomsk, cases of collision of cyclists and pedestrians July 25 July13: 25 Brandinakultincult The tourist festival of Cossack culture "Bratina" will be held in the Tomsk region on Saturday 25 July12: 06 { {n.title}} {{tag.tag}} {{n.title}} {{n.date1}} {{n.date2}} more news therapy of the radio project of the company "State Internet channel" Russia ". 2001-2023. Execution of registration of EL No. FS 77-59166 dated 08/22/2014 issued by the Federal Service for Supervision of Information Technologies and Mass Communications. Founder Federal State Unitary Enterprise "All-Russian State Television and Radio Broadcasting Company". Main editor-Panina Elena Valerievna (Moscow) Senior editor of the Tomsk GRTRK - Vorontsova Margarita VladimirovnaEmail editorial office: Vesti.gtrk@tvtomsk.ru Editor's phone: 8 (3822) 60 24 40 people older than 16 years old all rights to materials published on the site are protected in accordance Russian and international intellectual property legislation. Any use of text photos of audio and video materials is possible only with the consent of the copyright holder (VGTRK). © 2019 GTRK Tomsk The results of conducting a special assessment of working conditions × offer news: send the news: your message is accepted for the appeal!</v>
      </c>
    </row>
    <row r="621">
      <c r="A621" s="1" t="s">
        <v>2033</v>
      </c>
      <c r="B621" s="1" t="s">
        <v>2073</v>
      </c>
      <c r="C621" s="1" t="s">
        <v>2048</v>
      </c>
      <c r="D621" s="1">
        <v>11.0</v>
      </c>
      <c r="E621" s="4" t="s">
        <v>2074</v>
      </c>
      <c r="F621" s="1" t="s">
        <v>43</v>
      </c>
      <c r="G621" s="1" t="s">
        <v>2075</v>
      </c>
      <c r="H621" s="4" t="s">
        <v>2076</v>
      </c>
      <c r="I621" s="2">
        <v>2.0</v>
      </c>
      <c r="J621" s="5" t="str">
        <f>IFERROR(__xludf.DUMMYFUNCTION("GOOGLETRANSLATE(A621)"),"Easter 2023")</f>
        <v>Easter 2023</v>
      </c>
      <c r="K621" s="6" t="str">
        <f>IFERROR(__xludf.DUMMYFUNCTION("GOOGLETRANSLATE(B621)"),"When Orthodox Easter 2023")</f>
        <v>When Orthodox Easter 2023</v>
      </c>
      <c r="L621" s="5" t="str">
        <f>IFERROR(__xludf.DUMMYFUNCTION("GOOGLETRANSLATE(C621)"),"16 Apr. 2023. -")</f>
        <v>16 Apr. 2023. -</v>
      </c>
      <c r="M621" s="5" t="str">
        <f>IFERROR(__xludf.DUMMYFUNCTION("GOOGLETRANSLATE(G621)"),"Alarm clock online-Budilki.ru an alarm clock online-alarm clock.rizniknikiytilite bonds-dummer-dimensional dummers-dimensional time of the full functionality of this site, you need to enable JavaScript. Instructions How to enable JavaScript in your browse"&amp;"r6: 45: 21 Testism. read the alarm clock to put the alarm for a certain time 4: 00 4:30 5:00 5:15 5:30 5:45 6:00 6:15 6:30:45 7:00 7:00 7:30:30 7:45:00 8:00 8:15 8:30 8 : 45 9:00 10:00 11:00 12:00 p.m. You can press the “Test” button to see how the alert "&amp;"of the alarm clock will look and with what volume the music will play. You can configure the design of the alarm (the type and size of the inscriptions) and these settings will be saved and will be used at the next opening your browser. Online an alarm cl"&amp;"ock It will not work if you close the browser or turn off the computer but it can work without connecting to the Internet. You can add links to the online boils with different time settings to the Browser. When you open the necessary link, the alarm clock"&amp;" will immediately set at a certain time. HTML-kodnastroycifre font12-hour (AM/PM) Show the datnoal missile system an alarm clock. OkKontacts | Using conditions | Confidentiality | © 2023 Budilki.ru")</f>
        <v>Alarm clock online-Budilki.ru an alarm clock online-alarm clock.rizniknikiytilite bonds-dummer-dimensional dummers-dimensional time of the full functionality of this site, you need to enable JavaScript. Instructions How to enable JavaScript in your browser6: 45: 21 Testism. read the alarm clock to put the alarm for a certain time 4: 00 4:30 5:00 5:15 5:30 5:45 6:00 6:15 6:30:45 7:00 7:00 7:30:30 7:45:00 8:00 8:15 8:30 8 : 45 9:00 10:00 11:00 12:00 p.m. You can press the “Test” button to see how the alert of the alarm clock will look and with what volume the music will play. You can configure the design of the alarm (the type and size of the inscriptions) and these settings will be saved and will be used at the next opening your browser. Online an alarm clock It will not work if you close the browser or turn off the computer but it can work without connecting to the Internet. You can add links to the online boils with different time settings to the Browser. When you open the necessary link, the alarm clock will immediately set at a certain time. HTML-kodnastroycifre font12-hour (AM/PM) Show the datnoal missile system an alarm clock. OkKontacts | Using conditions | Confidentiality | © 2023 Budilki.ru</v>
      </c>
    </row>
    <row r="622">
      <c r="A622" s="1" t="s">
        <v>2033</v>
      </c>
      <c r="B622" s="1" t="s">
        <v>2077</v>
      </c>
      <c r="C622" s="1" t="s">
        <v>2078</v>
      </c>
      <c r="D622" s="1">
        <v>12.0</v>
      </c>
      <c r="E622" s="4" t="s">
        <v>2079</v>
      </c>
      <c r="F622" s="1" t="s">
        <v>43</v>
      </c>
      <c r="G622" s="1" t="s">
        <v>2080</v>
      </c>
      <c r="H622" s="4" t="s">
        <v>2081</v>
      </c>
      <c r="I622" s="2">
        <v>1.0</v>
      </c>
      <c r="J622" s="5" t="str">
        <f>IFERROR(__xludf.DUMMYFUNCTION("GOOGLETRANSLATE(A622)"),"Easter 2023")</f>
        <v>Easter 2023</v>
      </c>
      <c r="K622" s="6" t="str">
        <f>IFERROR(__xludf.DUMMYFUNCTION("GOOGLETRANSLATE(B622)"),"Easter in 2024")</f>
        <v>Easter in 2024</v>
      </c>
      <c r="L622" s="5" t="str">
        <f>IFERROR(__xludf.DUMMYFUNCTION("GOOGLETRANSLATE(C622)"),"If a person did not fast, this does not mean that he is forbidden to enter the temple on Easter in 2023. Easter is a holiday for both fasting and for those who came to the temple ...")</f>
        <v>If a person did not fast, this does not mean that he is forbidden to enter the temple on Easter in 2023. Easter is a holiday for both fasting and for those who came to the temple ...</v>
      </c>
      <c r="M622" s="5" t="str">
        <f>IFERROR(__xludf.DUMMYFUNCTION("GOOGLETRANSLATE(G622)"),"Pravmir to help Pravmir the Foundation of Verabeships about the main thing for the templeshpost -Orthodox holidays in 2023 Church of the Church of the Church of Church Churchocultism and the mythyskobuyel -human secrecy of the vicinity of vicinity of the "&amp;"vicinity of the Politopatrioticism of the Politics and Summarians in the family of children Mena. Divoride family family children's Association. Planning seven -strokes of the formation of the Acadriculture of the Claus -Emotorchytographer's domestic war "&amp;"of the Church of the Church of the History -Mummic -Mumy -Musary Living Summary of the History -Bestwoods about the main road to the templers of the Code of the Church of the Church of the Church of the Church of Church of Church the nastybelazobalism of "&amp;"the infection with vitality of the Localismism, Politicologists of the Ecologen -Yashemiavmiabes in the family, and the kindergarten of children's children's marriage. Divoride family family children's Association. Planning seven -stubborn formation of an"&amp;"ekulturchitecture of aquinhematographer -made domestic war -Chiroistoria Church of the Church of the Pro -Mummicom -Mumy Musary living rooms of history of the Pravmir Pravdomir Foundation Photo -Audiotes of specialistanaries Cinematogeter History PravmiRA"&amp;"PRAVMIR.COMMTRONS. RUNAVALIADALIDAVIDARONAVIRUS Additional settings of search for filter by date to sort dislodes with the new Data with old exclude news the main pneumonia in children and adults : Knowledge that the doctor will save the life - about how "&amp;"not to get sick and how to treat and what is collected in your class? Parents-anonymously and honestly about school fees what will happen if you do not pay for repairs and expensive gifts “At 38, I found out that I have a twin sister” The child was injure"&amp;"d at school. How to recover compensation for treatment? ""For a friend, nothing sorry!"" The best photos of the dogs in 2023 photo news on November 10 Russian doctors saved the teenager from paralysis by putting him a 3D-implant17: 14 PESS named Kus Savio"&amp;"r a single pensioner in Tver16: 25noy scheme of swindlers: scammers began to call Russians through ads of ads15: 29 “Day of the fight against cyberbilling "": Pupils are more often subjected to schoolchildren15: 02 AN-2 plane, all alive on the Chukotka wa"&amp;"s found13: 44 in the Stavropol Territory, a 3-year-old girl fell under the wheels of minibuses12: 38 Tomsk scientists proposed a way to combat global warming with the help of artificial swamps11: 08 in the Moscow Region School The students arranged a figh"&amp;"t with a teacher in front of the class of class10: the 16th a Chukotka made an emergency landing An-2 aircraft cannot find him due to bad weather09: November 16 9 in the Crimea, a schoolboy with a doctor’s heart will be judged in the Crimea17: 48 Speech H"&amp;"h.ru: almost Half of the working Russians The main expense item - food16: 38 Lifewoman Altai survived after 29 train wagons swept over her14: 53 -Russian scientists discovered an anti -scenery mechanism in the body of women13: 12 American tried to remove "&amp;"the cubs of red -blinking Servylavo from Russia under the guise of a kitten12: 40 Deuts to allow the police to open cars with locked animals11: 48 November 10, Russian doctors saved from a teenager’s paralysis, putting him a 3D-implant17: 14 Pesa named Ku"&amp;"s Savior a single pensioner in Tver16: 25noy scheme of swindlers: scammers began to call Russians through advertisement services15: 29 “Day of the fight against cyberbilling”: Herring Schoolchildren are more often subjected to schoolchildren15: 02 An-2-pr"&amp;"otected AN-2 plane found all alive13: 44VS News your question to the best specialists issue to the best specialists about the education and education of children. Respted answers the child was injured at school. How to recover compensation for treatment? "&amp;"Read the answer I study at the philological faculty and dream of working at school. Can I start now? Read the answer ""The daughter is afraid of the teacher so that he does not sleep at night."" 5 steps to solve the problem to read the answer, the neighbo"&amp;"rs complain that my children stomp loudly. Are we violating the law? Read the answer of my child's health features. Can a teacher less strictly evaluate his work? Read a branch of questions and answers new on the site ""The Son spent 10 thousand dollars o"&amp;"n the online group."" Gamers and their loved ones - about the dependence of ""second - and the child falls on hot coals."" The burial department doctor - about parental carelessness and severe treatment of photos, help Dasha lost his hearing in infancy, w"&amp;"hat to go to a university if you are not a genius or a millionaire? Teacher Konstantin Polivanov-About the exam and unreadable children, help Pravmir the most readable ""Son spent 10 thousand dollars on the online group."" Gamers and their loved ones - ab"&amp;"out addiction1 896 ""Nothing sorry for a friend!"" The best photos of dogs in 202311 713 ""second - and the child falls on hot coals."" The burial department doctor - about parental carelessness and severe treatment27 998v Crimea in the competition, a sch"&amp;"oolboy died with a doctor’s heart will be judged1 20001020304 Temak board! The best video interview “To the board” is a video project “Pravmir” about modern education. Anna Danilova takes an interview with the best teachers of psychologists and doctors. "&amp;"""At school, mathematics was turned into a race for speed."" Zhenya Katskor's work of the schoolchild: what do parents need to know? Vyacheslav Dubyninumny is the one who knows mathematics well? Complex questions to the dean of Matfaka Vyshkikak do not pr"&amp;"epare children for the day before yesterday. Lyudmila Petranovskaya ""The child was a sweet bunny but suddenly deteriorated."" Instructions for a teenager from the teacher Irina Lukyanovoyrek is swollen from dates and does not know a story. Teacher Leonid"&amp;" Katskva-about how to teach her differently ""Do not stand in a draft-you will catch a cold!"" The doctor Vladimir Korshk analyzes the main myths about the health of children of the Chube hates mathematics - how to change it? Teacher Lidia Bychkovaat is r"&amp;"eally spoiled by vision in children. 20 questions of an ophthalmologist of a teenager - which alarming calls cannot be missed. Pediatrician Natalia Belova ""At school, mathematics was turned into a race for speed."" Zhenya Katskor's work of the schoolchil"&amp;"d: what do parents need to know? Vyacheslav Dubyninumny is the one who knows mathematics well? Complex questions to the dean of Matfaka Vyshkikak do not prepare children for the day before yesterday. Lyudmila Petranovskaya ""The child was a sweet bunny bu"&amp;"t suddenly deteriorated."" Instructions for a teenager from the teacher Irina Lukyanovoyrek is swollen from dates and does not know a story. Teacher Leonid Katskva-about how to teach her differently ""Do not stand in a draft-you will catch a cold!"" The d"&amp;"octor Vladimir Korshk analyzes the main myths about the health of children of the Chube hates mathematics - how to change it? Teacher Lidia Bychkovaat is really spoiled by vision in children. 20 questions of an ophthalmologist of a teenager - which alarmi"&amp;"ng calls cannot be missed. Pediatrician Natalia Belovavsa Pramir's materials explains the dealership of the grinelessly, whether to transfer her first-grader son to family education if the school refuses? Daria Roshchenyakak correctly encourage the child?"&amp;" Daria Roshchenya how to behave with a teenager so that he does not rude, but respect and appreciate? We need help await the Russian economy. Natalya Zubarevich due to what social payments are growing do not miss the materials that change the life of the "&amp;"Orthodox wall newspaper Orthodox wall newspaper No. 45 (725) (PDF) 157 MB What is it? All the release materials of David Holmes - the guy who survived. The story of the understudy from Harry Potter's films about the trauma on the set of friendship with th"&amp;"e actors and the future of the future of Dasha fell through the flu and the doctors still do not know the exact diagnosis of the geometry with the designer and the task about kittens. 5 mathematical games from Zhenya Katz you yourself will not be able to "&amp;"break away from them violates the borders rude and does not go to the supervisor. 5 signs that the psychologist is not suitable for Pravmir answers the questions of the readers “Take me a turtle!” Funny photos of wild animals - 2023 charming cubs dancing "&amp;"penguins and a cheerful kangaroo ""We are increasingly studying candidates through social networks."" 5 facts that the employer learns from your profile is it worth deleting a page before an interview. Children learn foreign languages ​​faster than adults"&amp;"? 5 Scientific research on bilingualism what will happen if we talk with a baby in a Chinese-like Pravmir, our projects of the Pravmir charitable foundation help all the world of Matrona.ru Conservative Women's Journal of Living Communication Interesting "&amp;"interlocutors of the meeting of the discussion not disabled. The Orthodox PDF-Vengazet for church parishes Pravmir.com the publication in English functions with financial support from the Ministry of Digital Development of Communications and Mass Communic"&amp;"ations of the Portlekontacttactryuza and Partneriacs Service Polish Police of RSS to help Pravmir be friends! Memory of the founder © 2003–2023. The network edition of Pravir was registered in the Federal Service for Supervision of the Communications of I"&amp;"nformation Technologies and Mass Communications (Roskomnadzor). The registry recording of EL No. FS 77-85438 dated 06/13/2023 (amending the certificate of EL FS 77-44847 dated 05.05.2011) Founder: Autonomous Non-Profit Cognitive Center ""Pravmir"" (ANO Pr"&amp;"avmir) ( OGRN 11077799036730) editor -in -chief: Danilova A.A. Email address of the editorial office: info@pravmir.ru Phone: +7 929 952 59 99 To contact the editors or report all the mistakes noticed. Use the feedback form. The recovery of the site materi"&amp;"als in print publications (books by the press) is possible only with the written resolution of the editorial office. The opinion of the authors of the articles of the portal may not coincide with the editorial office.")</f>
        <v>Pravmir to help Pravmir the Foundation of Verabeships about the main thing for the templeshpost -Orthodox holidays in 2023 Church of the Church of the Church of Church Churchocultism and the mythyskobuyel -human secrecy of the vicinity of vicinity of the vicinity of the Politopatrioticism of the Politics and Summarians in the family of children Mena. Divoride family family children's Association. Planning seven -strokes of the formation of the Acadriculture of the Claus -Emotorchytographer's domestic war of the Church of the Church of the History -Mummic -Mumy -Musary Living Summary of the History -Bestwoods about the main road to the templers of the Code of the Church of the Church of the Church of the Church of Church of Church the nastybelazobalism of the infection with vitality of the Localismism, Politicologists of the Ecologen -Yashemiavmiabes in the family, and the kindergarten of children's children's marriage. Divoride family family children's Association. Planning seven -stubborn formation of anekulturchitecture of aquinhematographer -made domestic war -Chiroistoria Church of the Church of the Pro -Mummicom -Mumy Musary living rooms of history of the Pravmir Pravdomir Foundation Photo -Audiotes of specialistanaries Cinematogeter History PravmiRAPRAVMIR.COMMTRONS. RUNAVALIADALIDAVIDARONAVIRUS Additional settings of search for filter by date to sort dislodes with the new Data with old exclude news the main pneumonia in children and adults : Knowledge that the doctor will save the life - about how not to get sick and how to treat and what is collected in your class? Parents-anonymously and honestly about school fees what will happen if you do not pay for repairs and expensive gifts “At 38, I found out that I have a twin sister” The child was injured at school. How to recover compensation for treatment? "For a friend, nothing sorry!" The best photos of the dogs in 2023 photo news on November 10 Russian doctors saved the teenager from paralysis by putting him a 3D-implant17: 14 PESS named Kus Savior a single pensioner in Tver16: 25noy scheme of swindlers: scammers began to call Russians through ads of ads15: 29 “Day of the fight against cyberbilling ": Pupils are more often subjected to schoolchildren15: 02 AN-2 plane, all alive on the Chukotka was found13: 44 in the Stavropol Territory, a 3-year-old girl fell under the wheels of minibuses12: 38 Tomsk scientists proposed a way to combat global warming with the help of artificial swamps11: 08 in the Moscow Region School The students arranged a fight with a teacher in front of the class of class10: the 16th a Chukotka made an emergency landing An-2 aircraft cannot find him due to bad weather09: November 16 9 in the Crimea, a schoolboy with a doctor’s heart will be judged in the Crimea17: 48 Speech Hh.ru: almost Half of the working Russians The main expense item - food16: 38 Lifewoman Altai survived after 29 train wagons swept over her14: 53 -Russian scientists discovered an anti -scenery mechanism in the body of women13: 12 American tried to remove the cubs of red -blinking Servylavo from Russia under the guise of a kitten12: 40 Deuts to allow the police to open cars with locked animals11: 48 November 10, Russian doctors saved from a teenager’s paralysis, putting him a 3D-implant17: 14 Pesa named Kus Savior a single pensioner in Tver16: 25noy scheme of swindlers: scammers began to call Russians through advertisement services15: 29 “Day of the fight against cyberbilling”: Herring Schoolchildren are more often subjected to schoolchildren15: 02 An-2-protected AN-2 plane found all alive13: 44VS News your question to the best specialists issue to the best specialists about the education and education of children. Respted answers the child was injured at school. How to recover compensation for treatment? Read the answer I study at the philological faculty and dream of working at school. Can I start now? Read the answer "The daughter is afraid of the teacher so that he does not sleep at night." 5 steps to solve the problem to read the answer, the neighbors complain that my children stomp loudly. Are we violating the law? Read the answer of my child's health features. Can a teacher less strictly evaluate his work? Read a branch of questions and answers new on the site "The Son spent 10 thousand dollars on the online group." Gamers and their loved ones - about the dependence of "second - and the child falls on hot coals." The burial department doctor - about parental carelessness and severe treatment of photos, help Dasha lost his hearing in infancy, what to go to a university if you are not a genius or a millionaire? Teacher Konstantin Polivanov-About the exam and unreadable children, help Pravmir the most readable "Son spent 10 thousand dollars on the online group." Gamers and their loved ones - about addiction1 896 "Nothing sorry for a friend!" The best photos of dogs in 202311 713 "second - and the child falls on hot coals." The burial department doctor - about parental carelessness and severe treatment27 998v Crimea in the competition, a schoolboy died with a doctor’s heart will be judged1 20001020304 Temak board! The best video interview “To the board” is a video project “Pravmir” about modern education. Anna Danilova takes an interview with the best teachers of psychologists and doctors. "At school, mathematics was turned into a race for speed." Zhenya Katskor's work of the schoolchild: what do parents need to know? Vyacheslav Dubyninumny is the one who knows mathematics well? Complex questions to the dean of Matfaka Vyshkikak do not prepare children for the day before yesterday. Lyudmila Petranovskaya "The child was a sweet bunny but suddenly deteriorated." Instructions for a teenager from the teacher Irina Lukyanovoyrek is swollen from dates and does not know a story. Teacher Leonid Katskva-about how to teach her differently "Do not stand in a draft-you will catch a cold!" The doctor Vladimir Korshk analyzes the main myths about the health of children of the Chube hates mathematics - how to change it? Teacher Lidia Bychkovaat is really spoiled by vision in children. 20 questions of an ophthalmologist of a teenager - which alarming calls cannot be missed. Pediatrician Natalia Belova "At school, mathematics was turned into a race for speed." Zhenya Katskor's work of the schoolchild: what do parents need to know? Vyacheslav Dubyninumny is the one who knows mathematics well? Complex questions to the dean of Matfaka Vyshkikak do not prepare children for the day before yesterday. Lyudmila Petranovskaya "The child was a sweet bunny but suddenly deteriorated." Instructions for a teenager from the teacher Irina Lukyanovoyrek is swollen from dates and does not know a story. Teacher Leonid Katskva-about how to teach her differently "Do not stand in a draft-you will catch a cold!" The doctor Vladimir Korshk analyzes the main myths about the health of children of the Chube hates mathematics - how to change it? Teacher Lidia Bychkovaat is really spoiled by vision in children. 20 questions of an ophthalmologist of a teenager - which alarming calls cannot be missed. Pediatrician Natalia Belovavsa Pramir's materials explains the dealership of the grinelessly, whether to transfer her first-grader son to family education if the school refuses? Daria Roshchenyakak correctly encourage the child? Daria Roshchenya how to behave with a teenager so that he does not rude, but respect and appreciate? We need help await the Russian economy. Natalya Zubarevich due to what social payments are growing do not miss the materials that change the life of the Orthodox wall newspaper Orthodox wall newspaper No. 45 (725) (PDF) 157 MB What is it? All the release materials of David Holmes - the guy who survived. The story of the understudy from Harry Potter's films about the trauma on the set of friendship with the actors and the future of the future of Dasha fell through the flu and the doctors still do not know the exact diagnosis of the geometry with the designer and the task about kittens. 5 mathematical games from Zhenya Katz you yourself will not be able to break away from them violates the borders rude and does not go to the supervisor. 5 signs that the psychologist is not suitable for Pravmir answers the questions of the readers “Take me a turtle!” Funny photos of wild animals - 2023 charming cubs dancing penguins and a cheerful kangaroo "We are increasingly studying candidates through social networks." 5 facts that the employer learns from your profile is it worth deleting a page before an interview. Children learn foreign languages ​​faster than adults? 5 Scientific research on bilingualism what will happen if we talk with a baby in a Chinese-like Pravmir, our projects of the Pravmir charitable foundation help all the world of Matrona.ru Conservative Women's Journal of Living Communication Interesting interlocutors of the meeting of the discussion not disabled. The Orthodox PDF-Vengazet for church parishes Pravmir.com the publication in English functions with financial support from the Ministry of Digital Development of Communications and Mass Communications of the Portlekontacttactryuza and Partneriacs Service Polish Police of RSS to help Pravmir be friends! Memory of the founder © 2003–2023. The network edition of Pravir was registered in the Federal Service for Supervision of the Communications of Information Technologies and Mass Communications (Roskomnadzor). The registry recording of EL No. FS 77-85438 dated 06/13/2023 (amending the certificate of EL FS 77-44847 dated 05.05.2011) Founder: Autonomous Non-Profit Cognitive Center "Pravmir" (ANO Pravmir) ( OGRN 11077799036730) editor -in -chief: Danilova A.A. Email address of the editorial office: info@pravmir.ru Phone: +7 929 952 59 99 To contact the editors or report all the mistakes noticed. Use the feedback form. The recovery of the site materials in print publications (books by the press) is possible only with the written resolution of the editorial office. The opinion of the authors of the articles of the portal may not coincide with the editorial office.</v>
      </c>
    </row>
    <row r="623">
      <c r="A623" s="1" t="s">
        <v>2033</v>
      </c>
      <c r="B623" s="1" t="s">
        <v>2082</v>
      </c>
      <c r="C623" s="1" t="s">
        <v>2083</v>
      </c>
      <c r="D623" s="1">
        <v>13.0</v>
      </c>
      <c r="E623" s="4" t="s">
        <v>2084</v>
      </c>
      <c r="F623" s="1" t="s">
        <v>43</v>
      </c>
      <c r="G623" s="1" t="s">
        <v>2085</v>
      </c>
      <c r="H623" s="4" t="s">
        <v>2086</v>
      </c>
      <c r="I623" s="2">
        <v>2.0</v>
      </c>
      <c r="J623" s="5" t="str">
        <f>IFERROR(__xludf.DUMMYFUNCTION("GOOGLETRANSLATE(A623)"),"Easter 2023")</f>
        <v>Easter 2023</v>
      </c>
      <c r="K623" s="6" t="str">
        <f>IFERROR(__xludf.DUMMYFUNCTION("GOOGLETRANSLATE(B623)"),"When in 2023 Easter was for the Orthodox and Catholics?")</f>
        <v>When in 2023 Easter was for the Orthodox and Catholics?</v>
      </c>
      <c r="L623" s="5" t="str">
        <f>IFERROR(__xludf.DUMMYFUNCTION("GOOGLETRANSLATE(C623)"),"9 Mar. 2023. -")</f>
        <v>9 Mar. 2023. -</v>
      </c>
      <c r="M623" s="5" t="str">
        <f>IFERROR(__xludf.DUMMYFUNCTION("GOOGLETRANSLATE(G623)"),"Belarusian portal 1PROF.BY - News of the FPB of Belarus of the World of Trade Unions of Belarus of Belarusian Trade Unions of Belarus of Professor -Judaurus a Help of countries of the world community and trade union -economy and business of the Sportsaido"&amp;" Radio New Radio Folk Radio Find Search in categories: In the countries of the World, the world community and trade union -owned and businessman s Vs sanction for trade union capture The Council of FPBPROFGID Law Help worked out a year and they do not giv"&amp;"e a vacation. What to do? Minus 20% of the salary monthly as a fine. Is the employer right? How much will you have to pay for those who do not want to be distributed after studying on the budget can they remove from work if a physical examination has not "&amp;"passed? The advice of lawyers went on a business trip - he did not read the money. In the case, the trade union sorted out the choice of the editorial office of Mikhail Horde: “The main force of Belarusians - in creative work” in the country of delivery o"&amp;"f family capital funds to receive medical care: what changed in 2023 in the countries of January 1, 2024. The base rate will grow by 64%. How will this affect the salaries of state employees? The economy and business is less than two months later in Belar"&amp;"us will change the procedure for payments for hospital society and trade union control over the chairman and the liquidation of Dead Souls. What will change for the partnerships of homeowners? Tractorists and road workers are wounded. Who else will be off"&amp;"ered work during the day of the enterprise in Minsk in the country worked for a year and do not give a vacation. What to do? Minus 20% of the salary monthly as a fine. Is the employer right? How much will you have to pay for those who do not want to be di"&amp;"stributed after studying on the budget can they remove from work if a physical examination has not passed? The advice of lawyers went on a business trip - he did not read the money. The Mitso trade union sorted out the open day of the open door on Novembe"&amp;"r 11. What other universities invite applicants to visit the time of the time when it is necessary to work with elbows in domestic and foreign markets. Oleg Fedorov Gazeta ""Belarusian Hour"" of some state employees in Belarus is waiting for optimization."&amp;" How will it go? To the elderly to restore the lost rights and what threatens to ride without a driver’s license in the country, it is relevant where to go on a Saturday evening and on the only way of life without a sofa this week in December Belarusians "&amp;"are waiting for a large weekend. How many additional days of rest will be in 2024? The lifestyle has been updated by the rules of lending and international translations. What else is the economy and business for Belarusian banks without exams or after an "&amp;"interview. Who can go to the university in 2024 in this way? In the stranger, there is still gratitude for the work. The action “We are together for Belarus” - in the Slutsk region on November 10, 2023 Secrets of Beauty. Exhibition ""Interstil-2023 ″ Nove"&amp;"mber 09, 2023YURIDIC CONCLUSION from 1PROF.by. How can a young specialist resign on November 08, 2023 financial literacy. What can interest the tax? November 06, 2023 “We are together -” We are together - for Belarus! ”. Novolukoml on November 03, 2023v B"&amp;"obruisk honored the best workers as part of the People’s Promotion on November 02, 2023 jurisure consultant from 1prof.by. During what period you are considered a young specialist? On October 31, 2023 they were in force but not words. October 29, 2023 DRI"&amp;"S October 2023 DRASTIC October Championship for another 7 miles, the Trade Union Star Way helped the difference among their own in the country: two coffee houses were versed in court whether their Belarusians are confused on November 2023 Fund for Culture"&amp;" and Art Support and Art will help Patriotic projects Education November 111, 2023 in apartments, heating was included a month ago. When will the batteries become warm in the entrance? November 11, 2023, the Moscow Ring Road will become faster and more co"&amp;"nvenient? The traffic police proposes to increase the number of transition-speed lanes on November11, 2023 Society and Trade Unions, the Belarusian Banking Trade Union, expands cooperation with Vietnamese colleagues on November11, 2023, the chairman of th"&amp;"e agricultural union of the Slutsk region on November11, 2023, Housing and Communal Union concluded a Tarful agreement1 November 1, 2023 Socialist Partners of the Brestchina's prosecutors are preparing for the upcoming Winter November 110, 2023 In the wor"&amp;"ld, Polish women for equality in the labor market and in raising children on November 111, 2023 in Poland, the number of infection with coronavirus is growing on November11, 2023 Infant, has become the third most popular country among European tourists on"&amp;" November 2023 Verification in Polish stores, it becomes a social problem November 19, 2023, still what is worth Delivery of parcels to Black Friday? November 11, 2023, new undertakings for twins to deep introspection in fish. Horoscope from November 13 t"&amp;"o 19 November, 2023 Bending work schedule can significantly improve health on November 111, 2023v Worm Saturday, contestants of the Star Way project will compete for going out to the semifinals on November11, 2023 Economics and Business, Red Caviar, may b"&amp;"ecome cheaper - Rosrybolovstvo on November 2023 The Finance Minor shared his plans for the plans Increase the salaries of state employees in 2024 on November 19, 2023, write off a penalty for debts for paying for housing and communal services? November 09"&amp;", 2023 sales of new cars have grown markedly. In the leaders ""Chinese"" on November 09, 2023 Sports are still on the finish line. How the 27th round of the Belarusian Football Championship in the High League on November06, 2023, it is never too late for "&amp;"you, even if you are on November 6003, 2023, 2023 Olympics-2024 in Paris: Belarusian athletes are in spite of anything on November 02, 2023 “Golden Ball” -2023. Who received prizes except Messi? On October 31, 2023, Mediates are still gratitude for the wo"&amp;"rk. The action “We are together for Belarus” - in the Slutsk region on November 10, 2023 Secrets of Beauty. Exhibition ""Interstil-2023 ″ November 09, 2023YURIDIC CONCLUSION from 1PROF.by. How can a young specialist resign on November 08, 2023 financial l"&amp;"iteracy. What can interest the tax? November 06, 2023 “We are together -” We are together - for Belarus! ”. Novolukoml on November 03, 2023v Bobruisk honored the best workers as part of the People’s Promotion on November 02, 2023 jurisure consultant from "&amp;"1prof.by. During what period you are considered a young specialist? On October 31, 2023 they were in force but not words. The Kolytka Kolka Championship among journalists October 29, 2023 Military time is when it is necessary to work with elbows in domest"&amp;"ic and foreign markets. Oleg Fedorov Gazeta Belaruski Hour Contact Kontakts of the Federation of Trade Unions of Belarusocontacts editorial office of the portal 1Prof.Byremodators of personal derivatives of the countries of the world economics and the Bus"&amp;"iness Social Sports Sports Project Legal Assistance Counstraffgis helped trade union enterprise © Profit-PROSKEN S »News Tape listen to the radio new Radio Folk Radio Radio Tape November 111, 202319: 57th Poland Miraventions for equality in the labor mark"&amp;"et and in raising children19: 03 community and trade union -Russian banking trade union expands cooperation with Vietnamese colleagues18: 35V Postranip the difference: two coffee houses are sorted out in the court to confuse their Belarusia18: 02 of life,"&amp;" the life of life is worth the life of life. For the delivery of parcels to Black Friday? 17: 11 community and trade union of the agricultural union of the agro-industrial complex honored agricultural experts of the Slutsky district16: 34 community and tr"&amp;"ade union of housing and communal services and the industry trade union concluded a tariff agreement16: 19 in the country's country to support culture and art will help projects on patriotic education Niyu15 : 09 Plant of life with new undertakings for tw"&amp;"ins to deep introspection in fish. Horoscope from 13 to 19 November 1914: 26 in the countries of the apartments, heating was included a month ago. When they become warm batteries in the entrance? 13: 59 Life, the bending work schedule can significantly im"&amp;"prove health13: 26 in the country of delivery of family capital funds to receive medical care: what changed in 202312: 52 in the Moscow Ring Road country will become faster and more convenient? The traffic police proposes to increase the number of transit"&amp;"ional-speed stripes12: 02economics and businesses on January 1, 2024. The base rate will grow by 64%. How will this affect the salaries of state employees? 11: 03 in countrybeloruses will be provided with fresh domestic cucumbers in winter. What else is t"&amp;"hey growing in the country in the offseason? 10: 14 Wind -up without a sofa, go on Saturday night and on the only weekend this week: The 2023v Working Sabbath Contestants of the Star Way project will get a bit down to go to the semi -finals08: 51 in the c"&amp;"ountries of the National Bank told how much money is stored by the Belarusia On deposits 08: 11v Mirrev Poland, the number of infection with coronavirus is growing on November 10, 202322: 25Blagodarity for labor. Promotion “We are together for Belarus”-in"&amp;" the Slutsk region 20: 01stil of the life-grained date of 11.11.23, Voveyan is with mysticism: how to attract good luck and money19: 19 in the country's house in Minsk moved in Minsk18: 02V Lessacock will build housing in satellite cities and why the emph"&amp;"asis is made on Smolevichi17: 49 -style life of a man and when to quarrel cabbage according to the lunar calendar in November 2023. The best days and varieties are the secrets of skilled housewives17: 33 community and trade union more than two months in B"&amp;"elarus, the procedure for sickness will change17: 04 community and trade unionsocenters of the subfordials of the Brest region are prepared for the coming winter16: 3 3v Miraition has become the third most popular country among European tourists15: 52stil"&amp;" of life more than the vodka more liqueur: that Belarusians drank in 202315: 50V weird -item over the chairman and the elimination of Dead Souls. What will change for the partnerships of housing owners? 15: 46V Strenimihail Horde: “The main force of Belar"&amp;"usians - in creative work” 15: 36 community and trade unions “Belprofmash” conducts a dialogue with employers on social partnerism15: 17V Miracle in Polish stores becomes a social problem14: 36V countrybelorussian universities and colleges will increase t"&amp;"he set of applicants in 202414: 11v, a weird to restore the lost rights and what threatens to drive without a driver’s license13: 18th countries of the property taxes with one payment will appear specially by13: 04economics and businesses with the end of "&amp;"the year Red Caviar - Rosrybolov Capacity12: 03 Economics and business minister of finances and business minister of finance He shared his plans to increase the salaries of state employees in 2024.11: 48 in the country, the Logo of a single voting day was"&amp;" affirmed. How preparations are for an important event10: 57 community and the trade union industry -Union and the Novgorod Regional Federation of Trade Unions signed an agreement on mutual cooperation10: 07 steaming a neighboring country, the Hong Kong C"&amp;"ombine came. What is it and how not to get sick? 09: 35 steaming life to save electricity and save resources? Useful tips from the Department of Energy Efficiency08: 57V MIREKAK in Sweden reached the balance between work and personal life08: 11 steaming l"&amp;"ife, getting dressed for an interview to get a job? November 9, 202320: 05, and trade unions are prepared for work in winter19: 07 in Miragollywood actors stop the strike18: 33v countries of countries. Dry Since the beginning of the year, from the beginni"&amp;"ng of the year, from neighboring countries, the State Border Committee has been told in the State Border Committee17: 55 in the world of the world, the inhabitants of Madrid live longer than anyone in the EU? 17: 37 Secrets of Beauty. The exhibition ""Int"&amp;"erstil-2023 ″ 17: 33 community and trade union uno-unions of the Mogilev region promise to carefully monitor the socio-economic development of the region17: 05 steaming of life, a fine thrown at a stop-a fine. And what threatens if you throw out the garba"&amp;"ge from the car window? 16: 50economics and businesscock, write off a penalty for debts for paying for housing complex? All news")</f>
        <v>Belarusian portal 1PROF.BY - News of the FPB of Belarus of the World of Trade Unions of Belarus of Belarusian Trade Unions of Belarus of Professor -Judaurus a Help of countries of the world community and trade union -economy and business of the Sportsaido Radio New Radio Folk Radio Find Search in categories: In the countries of the World, the world community and trade union -owned and businessman s Vs sanction for trade union capture The Council of FPBPROFGID Law Help worked out a year and they do not give a vacation. What to do? Minus 20% of the salary monthly as a fine. Is the employer right? How much will you have to pay for those who do not want to be distributed after studying on the budget can they remove from work if a physical examination has not passed? The advice of lawyers went on a business trip - he did not read the money. In the case, the trade union sorted out the choice of the editorial office of Mikhail Horde: “The main force of Belarusians - in creative work” in the country of delivery of family capital funds to receive medical care: what changed in 2023 in the countries of January 1, 2024. The base rate will grow by 64%. How will this affect the salaries of state employees? The economy and business is less than two months later in Belarus will change the procedure for payments for hospital society and trade union control over the chairman and the liquidation of Dead Souls. What will change for the partnerships of homeowners? Tractorists and road workers are wounded. Who else will be offered work during the day of the enterprise in Minsk in the country worked for a year and do not give a vacation. What to do? Minus 20% of the salary monthly as a fine. Is the employer right? How much will you have to pay for those who do not want to be distributed after studying on the budget can they remove from work if a physical examination has not passed? The advice of lawyers went on a business trip - he did not read the money. The Mitso trade union sorted out the open day of the open door on November 11. What other universities invite applicants to visit the time of the time when it is necessary to work with elbows in domestic and foreign markets. Oleg Fedorov Gazeta "Belarusian Hour" of some state employees in Belarus is waiting for optimization. How will it go? To the elderly to restore the lost rights and what threatens to ride without a driver’s license in the country, it is relevant where to go on a Saturday evening and on the only way of life without a sofa this week in December Belarusians are waiting for a large weekend. How many additional days of rest will be in 2024? The lifestyle has been updated by the rules of lending and international translations. What else is the economy and business for Belarusian banks without exams or after an interview. Who can go to the university in 2024 in this way? In the stranger, there is still gratitude for the work. The action “We are together for Belarus” - in the Slutsk region on November 10, 2023 Secrets of Beauty. Exhibition "Interstil-2023 ″ November 09, 2023YURIDIC CONCLUSION from 1PROF.by. How can a young specialist resign on November 08, 2023 financial literacy. What can interest the tax? November 06, 2023 “We are together -” We are together - for Belarus! ”. Novolukoml on November 03, 2023v Bobruisk honored the best workers as part of the People’s Promotion on November 02, 2023 jurisure consultant from 1prof.by. During what period you are considered a young specialist? On October 31, 2023 they were in force but not words. October 29, 2023 DRIS October 2023 DRASTIC October Championship for another 7 miles, the Trade Union Star Way helped the difference among their own in the country: two coffee houses were versed in court whether their Belarusians are confused on November 2023 Fund for Culture and Art Support and Art will help Patriotic projects Education November 111, 2023 in apartments, heating was included a month ago. When will the batteries become warm in the entrance? November 11, 2023, the Moscow Ring Road will become faster and more convenient? The traffic police proposes to increase the number of transition-speed lanes on November11, 2023 Society and Trade Unions, the Belarusian Banking Trade Union, expands cooperation with Vietnamese colleagues on November11, 2023, the chairman of the agricultural union of the Slutsk region on November11, 2023, Housing and Communal Union concluded a Tarful agreement1 November 1, 2023 Socialist Partners of the Brestchina's prosecutors are preparing for the upcoming Winter November 110, 2023 In the world, Polish women for equality in the labor market and in raising children on November 111, 2023 in Poland, the number of infection with coronavirus is growing on November11, 2023 Infant, has become the third most popular country among European tourists on November 2023 Verification in Polish stores, it becomes a social problem November 19, 2023, still what is worth Delivery of parcels to Black Friday? November 11, 2023, new undertakings for twins to deep introspection in fish. Horoscope from November 13 to 19 November, 2023 Bending work schedule can significantly improve health on November 111, 2023v Worm Saturday, contestants of the Star Way project will compete for going out to the semifinals on November11, 2023 Economics and Business, Red Caviar, may become cheaper - Rosrybolovstvo on November 2023 The Finance Minor shared his plans for the plans Increase the salaries of state employees in 2024 on November 19, 2023, write off a penalty for debts for paying for housing and communal services? November 09, 2023 sales of new cars have grown markedly. In the leaders "Chinese" on November 09, 2023 Sports are still on the finish line. How the 27th round of the Belarusian Football Championship in the High League on November06, 2023, it is never too late for you, even if you are on November 6003, 2023, 2023 Olympics-2024 in Paris: Belarusian athletes are in spite of anything on November 02, 2023 “Golden Ball” -2023. Who received prizes except Messi? On October 31, 2023, Mediates are still gratitude for the work. The action “We are together for Belarus” - in the Slutsk region on November 10, 2023 Secrets of Beauty. Exhibition "Interstil-2023 ″ November 09, 2023YURIDIC CONCLUSION from 1PROF.by. How can a young specialist resign on November 08, 2023 financial literacy. What can interest the tax? November 06, 2023 “We are together -” We are together - for Belarus! ”. Novolukoml on November 03, 2023v Bobruisk honored the best workers as part of the People’s Promotion on November 02, 2023 jurisure consultant from 1prof.by. During what period you are considered a young specialist? On October 31, 2023 they were in force but not words. The Kolytka Kolka Championship among journalists October 29, 2023 Military time is when it is necessary to work with elbows in domestic and foreign markets. Oleg Fedorov Gazeta Belaruski Hour Contact Kontakts of the Federation of Trade Unions of Belarusocontacts editorial office of the portal 1Prof.Byremodators of personal derivatives of the countries of the world economics and the Business Social Sports Sports Project Legal Assistance Counstraffgis helped trade union enterprise © Profit-PROSKEN S »News Tape listen to the radio new Radio Folk Radio Radio Tape November 111, 202319: 57th Poland Miraventions for equality in the labor market and in raising children19: 03 community and trade union -Russian banking trade union expands cooperation with Vietnamese colleagues18: 35V Postranip the difference: two coffee houses are sorted out in the court to confuse their Belarusia18: 02 of life, the life of life is worth the life of life. For the delivery of parcels to Black Friday? 17: 11 community and trade union of the agricultural union of the agro-industrial complex honored agricultural experts of the Slutsky district16: 34 community and trade union of housing and communal services and the industry trade union concluded a tariff agreement16: 19 in the country's country to support culture and art will help projects on patriotic education Niyu15 : 09 Plant of life with new undertakings for twins to deep introspection in fish. Horoscope from 13 to 19 November 1914: 26 in the countries of the apartments, heating was included a month ago. When they become warm batteries in the entrance? 13: 59 Life, the bending work schedule can significantly improve health13: 26 in the country of delivery of family capital funds to receive medical care: what changed in 202312: 52 in the Moscow Ring Road country will become faster and more convenient? The traffic police proposes to increase the number of transitional-speed stripes12: 02economics and businesses on January 1, 2024. The base rate will grow by 64%. How will this affect the salaries of state employees? 11: 03 in countrybeloruses will be provided with fresh domestic cucumbers in winter. What else is they growing in the country in the offseason? 10: 14 Wind -up without a sofa, go on Saturday night and on the only weekend this week: The 2023v Working Sabbath Contestants of the Star Way project will get a bit down to go to the semi -finals08: 51 in the countries of the National Bank told how much money is stored by the Belarusia On deposits 08: 11v Mirrev Poland, the number of infection with coronavirus is growing on November 10, 202322: 25Blagodarity for labor. Promotion “We are together for Belarus”-in the Slutsk region 20: 01stil of the life-grained date of 11.11.23, Voveyan is with mysticism: how to attract good luck and money19: 19 in the country's house in Minsk moved in Minsk18: 02V Lessacock will build housing in satellite cities and why the emphasis is made on Smolevichi17: 49 -style life of a man and when to quarrel cabbage according to the lunar calendar in November 2023. The best days and varieties are the secrets of skilled housewives17: 33 community and trade union more than two months in Belarus, the procedure for sickness will change17: 04 community and trade unionsocenters of the subfordials of the Brest region are prepared for the coming winter16: 3 3v Miraition has become the third most popular country among European tourists15: 52stil of life more than the vodka more liqueur: that Belarusians drank in 202315: 50V weird -item over the chairman and the elimination of Dead Souls. What will change for the partnerships of housing owners? 15: 46V Strenimihail Horde: “The main force of Belarusians - in creative work” 15: 36 community and trade unions “Belprofmash” conducts a dialogue with employers on social partnerism15: 17V Miracle in Polish stores becomes a social problem14: 36V countrybelorussian universities and colleges will increase the set of applicants in 202414: 11v, a weird to restore the lost rights and what threatens to drive without a driver’s license13: 18th countries of the property taxes with one payment will appear specially by13: 04economics and businesses with the end of the year Red Caviar - Rosrybolov Capacity12: 03 Economics and business minister of finances and business minister of finance He shared his plans to increase the salaries of state employees in 2024.11: 48 in the country, the Logo of a single voting day was affirmed. How preparations are for an important event10: 57 community and the trade union industry -Union and the Novgorod Regional Federation of Trade Unions signed an agreement on mutual cooperation10: 07 steaming a neighboring country, the Hong Kong Combine came. What is it and how not to get sick? 09: 35 steaming life to save electricity and save resources? Useful tips from the Department of Energy Efficiency08: 57V MIREKAK in Sweden reached the balance between work and personal life08: 11 steaming life, getting dressed for an interview to get a job? November 9, 202320: 05, and trade unions are prepared for work in winter19: 07 in Miragollywood actors stop the strike18: 33v countries of countries. Dry Since the beginning of the year, from the beginning of the year, from neighboring countries, the State Border Committee has been told in the State Border Committee17: 55 in the world of the world, the inhabitants of Madrid live longer than anyone in the EU? 17: 37 Secrets of Beauty. The exhibition "Interstil-2023 ″ 17: 33 community and trade union uno-unions of the Mogilev region promise to carefully monitor the socio-economic development of the region17: 05 steaming of life, a fine thrown at a stop-a fine. And what threatens if you throw out the garbage from the car window? 16: 50economics and businesscock, write off a penalty for debts for paying for housing complex? All news</v>
      </c>
    </row>
    <row r="624">
      <c r="A624" s="1" t="s">
        <v>2033</v>
      </c>
      <c r="B624" s="1" t="s">
        <v>2087</v>
      </c>
      <c r="C624" s="1" t="s">
        <v>2048</v>
      </c>
      <c r="D624" s="1">
        <v>14.0</v>
      </c>
      <c r="E624" s="4" t="s">
        <v>2088</v>
      </c>
      <c r="F624" s="1" t="s">
        <v>43</v>
      </c>
      <c r="I624" s="2">
        <v>1.0</v>
      </c>
      <c r="J624" s="5" t="str">
        <f>IFERROR(__xludf.DUMMYFUNCTION("GOOGLETRANSLATE(A624)"),"Easter 2023")</f>
        <v>Easter 2023</v>
      </c>
      <c r="K624" s="6" t="str">
        <f>IFERROR(__xludf.DUMMYFUNCTION("GOOGLETRANSLATE(B624)"),"When Easter 2023: the date of celebration in Ukraine")</f>
        <v>When Easter 2023: the date of celebration in Ukraine</v>
      </c>
      <c r="L624" s="5" t="str">
        <f>IFERROR(__xludf.DUMMYFUNCTION("GOOGLETRANSLATE(C624)"),"16 Apr. 2023. -")</f>
        <v>16 Apr. 2023. -</v>
      </c>
      <c r="M624" s="5" t="str">
        <f>IFERROR(__xludf.DUMMYFUNCTION("GOOGLETRANSLATE(G624)"),"#VALUE!")</f>
        <v>#VALUE!</v>
      </c>
    </row>
    <row r="625">
      <c r="A625" s="1" t="s">
        <v>2033</v>
      </c>
      <c r="B625" s="1" t="s">
        <v>2089</v>
      </c>
      <c r="C625" s="1" t="s">
        <v>2090</v>
      </c>
      <c r="D625" s="1">
        <v>15.0</v>
      </c>
      <c r="E625" s="4" t="s">
        <v>2091</v>
      </c>
      <c r="F625" s="1" t="s">
        <v>43</v>
      </c>
      <c r="G625" s="1" t="s">
        <v>2092</v>
      </c>
      <c r="H625" s="4" t="s">
        <v>2093</v>
      </c>
      <c r="I625" s="2">
        <v>1.0</v>
      </c>
      <c r="J625" s="5" t="str">
        <f>IFERROR(__xludf.DUMMYFUNCTION("GOOGLETRANSLATE(A625)"),"Easter 2023")</f>
        <v>Easter 2023</v>
      </c>
      <c r="K625" s="6" t="str">
        <f>IFERROR(__xludf.DUMMYFUNCTION("GOOGLETRANSLATE(B625)"),"Easter 2023: Date, traditions, history of the holiday - TSN")</f>
        <v>Easter 2023: Date, traditions, history of the holiday - TSN</v>
      </c>
      <c r="L625" s="5" t="str">
        <f>IFERROR(__xludf.DUMMYFUNCTION("GOOGLETRANSLATE(C625)"),"So, according to the Julian calendar, according to which the entire Holy Orthodox Church celebrates, Easter 2023 falls on April 16. According to the Gregorian calendar ...")</f>
        <v>So, according to the Julian calendar, according to which the entire Holy Orthodox Church celebrates, Easter 2023 falls on April 16. According to the Gregorian calendar ...</v>
      </c>
      <c r="M625" s="5" t="str">
        <f>IFERROR(__xludf.DUMMYFUNCTION("GOOGLETRANSLATE(G625)"),"News of Ukraine and the world today • The main and recent news of the day on the TSNUS publication is best with the YouTubeekly disciplinary Aruena -armed and armyrussian invasion Apolitical IDPRAPRAPRAPRAPRAPRAIR Yaastrologyviorepticcepticuskivlivvlyvliv"&amp;"tsiokyvykivvikivvin -Popular Tygipus of TSNSVITRURURRURARURIMAVATACA and IT ARRESTION CONTRACTION SIT POINTS Tsi23: 21 11.11.23 ""blackmailing the rebellion and terrorist attacks"": OP answered what threatens Ukraine and other countries ""Tired of the War"&amp;""" Date of Publication21: 24 11.11.23 The two pro -Russian countries are waiting for a change in the regime: Western political scientist described Europe after the end of the war. There will be a light date of publication16: 02 11.11.23 Ukrainians return "&amp;"from the Gaza Sector - photos and videos from the Chisinau Airport Date of Publication23: 21.11.23.23 Ukrainian ""Blackmail Rolts and Terroact Date of publication21: 24 11.11.23 world two pro -Russian countries are waiting for a change in the regime: West"&amp;"ern political scientist described Europe after the end of the warfare of the publication17: 33 11.11.23.23. War with Ukraine Personal composition ~ 308720 Litigation3222224 Galiccotters5316 -Armed Machines10014 systems of artillery7475 ""Administrative au"&amp;"thorities"" to issue more Russian passports Date of publication05: 28.11.23 Views 44 enemies teach collaborators from temporarily occupied territories in Siberia Date of publication05: 02 12.11.23 Views 152 Astrological Forecast for November 12 The date o"&amp;"f publication05: 00 12.11.23 Views 159 In the Carpathian region, the weather is expected: locals and tourists call to refrain from hiking in the mountains. Resistance to the invaders and liberated the city date of publication03: 52 12.11.23 Views 71 In Uk"&amp;"raine the weather will worsen: SESU reminded the rules of conduct Date of publication 03: 26 12.11.23 12.11.23 Views 643 became aware of how many displaced persons are published in Ukraine. : Tarot Horoscope on November 12, 2023 Date of publication01: 28 "&amp;"12.11.23 Views 676 Expert explained why explosions in Kiev was heard before the start of the alarm date of publication00: 58 12.11.23 Views 938 in Mykolaiv region. 23 Views 941 La Liga: Schedule and Results of Matches of the 13th round of Spanish Champion"&amp;"ships for Football Updated Publication00: 23 12.11.23 Views 1643 Ukraine is spreading air alarm: stay in shelters ""Yaremchuk and approached"" Girona ""in the Prymer (Video) Date of Publication23: 56 11.11.23 Views 351 broke five cars and fought with driv"&amp;"ers: in Kiev a large -scale accident turned into a fight (photo) Series A: Schedule and results of matches of the 12th round of the Italian Championships for Football Updated Publication 23: 50 11.11.23 Views 1097 What plans the Russian Federation at the "&amp;"front by the end of the year: in the Armed Forces command on the agenda of the enemy. 1092 “We can do the same in Gas in Beirut”: Minister of Defense of Israel made a terrible statement Date of publication23: 26 11.11.23 Views 1585 Ukrainians return from "&amp;"the Gaza Sector - photos and videos from Chisinau Airport. Seriously: Ukrainians have been warned about the hardest winter in the history of publication23: 05 11.11.23 Views 16k ""Take away everything ..."": The Russian begs home and refuses to participat"&amp;"e in the assault (interception) Winter: Minister recalled who frightened the Ukrainians with ""fan shutdowns"" Date of publication22: 41.11.23 Views of 1499 tragedy in the 128th brigade overgrown with strange details: who ""Rat"" and what was not so with "&amp;"the commander of publication22: 30.11.11.23.23.23.23. In Albania, a football player who was interested in Shakhtar and Zorya (video) Date of publication22: 21 11.11.23 Views 2645 How the Russian Federation tries to attack the energy system of Ukraine and "&amp;"what to expect: Galushchenko - about the tactics of the enemy of publication22: 11 11.11 died during the match. 23 Views 539 In a dress with openwork sleeves and outfit with floral applications: gentle images of Oli Polyakova on a mono -play Date of publi"&amp;"cation22: 07 11.11.23 Views 1426 in golden lingerie with chains: model was swayed with an ideal figure and sexual. November 12 for all zodiac signs: Day when you need to avoid collisions with close publication 21: 59.11.23 Views 18k ""Get the occupier"": "&amp;"Zelensky promised to retal The slim figure and bracelet for 174 thousand hryvnias were the date NGO CHAPTER OF THE CHABILITIES OF THE FIFACE TABLE TABLE OF THE Publication21: 37 11.11.23 Views of 1125 ""Blackmail Rebellions and Terctivities"": OP answered"&amp;" what threatens Ukraine and other countries the problem of ""fatigue from the war"" June lipstick: Tilda Swinton in a stylish bow appeared on the mystical drama Date of publication21: 22 11.11.23 Views 783 Posters for Russian ships: Ukrainian Navy of Mari"&amp;"ne Drones per year attacked 7 enemy vessels (video) : Schedule and results of matches of the 11th round of the German football championship Table of the Updated publication21: 21.11.23 Views 644 Zelensky told about the loss of the Armed Forces Doctor of p"&amp;"ublication 21: 16 11.11.23 Views 4154 without a bra: American model in a red dress flashed with lush breasts Date of publication21: 14 11.11.23 Views 1588 Look 44 Politicians teach collaborators from temporarily occupied territories in the Siberudate of t"&amp;"he publication05: 02 12.11.23 Views 152 Ukrarparpatti expected the worsening of the weather: locals and tourists call to refrain from hiking 88: 28.11.11.11.11.11.11.11.11.11.11.11. tsiv that resisted The invaders and liberated the city's city: 52 12.11.2"&amp;"3 Views 71 Ukraine will worsen the weather: the SES reminded the rules of publication behavior 03: 26 12.11.23 DI 46 The latest popular Ukraine - ""Red"". Russia has laid in Odessa. Останні новини про повітряну атакуДата публікації22:51 10.11.23Перегляди "&amp;"       451    Кордони заблоковані - наслідки страйку перевізників відчули всіДата публікації19:37 10.11.23Перегляди        456    Шуфричу продовжили перебування у СІЗО - хто хотів узяти нардепа на порукиДата публікації20:04 10.11.23Перегляди        434   "&amp;" Коли закінчиться війна – Exit to the borders of 1991 and the diplomatic way of liberation of Ukraine of publication00: 32 26.03.23 Views of 1103 terrorist countries at the Olympic Games: whether the Russian publication will be released 11: 45.03.23 570 M"&amp;"ore Video Trendson showed Lifegak how herself heals whole rooms from only two things from the garden center - a photodate The show ""Ivanitsa sharply spoke about Pisarenko and Nikishin who fled to the Russian publication15: 33 11.11.23 Views 103k Alla Pug"&amp;"acheva for the first до скандалу через російську мову на фронтіДата публікації08:23 11.11.23Перегляди        90к    Коханка короля та утриманка: історія прабабусі королеви Камілли – Аліси КеппелДата публікації16:05 11.11.23Перегляди        45к    Публікац"&amp;"іїЕксклюзив ТСНМодель українського ""залізного купола"": що допоможе ефективно збивати дрони і чому не вийде As in Israelilidate of publication11: 02 23.10.23 Views 54K Exclusive TSngglobal settlement of Ukrainians after the war: six metropolises where th"&amp;"e life of the publication will be cut16: 29.10.23 09/25/23 Views 125k SpecialMarakhet attack on Kiev: GUR commented on a rocket attack in Kiev: in the Russian Federation declared ""hit"" in the RF ""in the ammunition of the Susphan Attack on Kiev: The GUR"&amp;" commented on a rocket attack in Kiev: in the Russian Federation declared ""hit"" in the ammunition of the wedding publication15: 11.11.23. "": Zelensky About merciless shelling of the occupation of the publication12: 43 11.11.23 Lediastrological forecast"&amp;" for November 12 of the publication05: 00 12.11.23 Views 159 In dresses with openwork sleeves and outfit with floral applique that Linen with chains: the model was swayed by the ideal figure and sexy buttocks Figure and bracelet for 174 thousand hryvnias "&amp;"of publication21: 57 11.11.23 Views 1381 In Tweest suit and with June lipstick: Tilda Swinton appeared in a stylish bow at the mystical drama of the publication21: .23 Views 159 In a dress with openwork sleeves and outfit with floral applications: gentle "&amp;"images of Oli Polyakova on mono -exhibit of publication22: 07 11.11.23 Views 1426 in golden lingerie with chains: the model was swayed by an ideal figure and a sexual figure. November for all zodiac signs: the day when it is necessary to avoid collisions "&amp;"from the close -up of the publication21: 59 11.11.23 Views 18k of the beloved football player of England in a chocolate swimsuit was swayed : Tilda Swinton appeared in a stylish bow on the mystical drama of the publication21: 22 11.11.23 Views 783 Astrolo"&amp;"gical prognosis for November 12 of the publication05: 00 12.11.23 Views 159 in a dress with openwork sleeves and an outfit with flower appliques. : 07 11.11.23 Views 1426 In golden lingerie with chains: the model swayed the ideal figure and sexy buttocks "&amp;"The footballer of England in a chocolate swimsuit stopped with a slim figure and bracelet for 174 thousand UAH Partner's Demilitarization of Ukraine: How Russia justifies its aggression by supplying Western weapons of publication19: 52 03.11.23 Views 1159"&amp;" Ukrina -dezinformation about mobilization in Ukraine: why and how Russia tries to disrupt recruitment to the fact Brand ""Zhivchyk"" joined the family festival ""Mamazlit on the waterfront"" news of the company of the publication 08: 00 22.09.23 Views 15"&amp;"82 Kiev Expert news explained why explosions in Kiev was heard before the start of the publication of the publication: 58 12.11.23. : In Kiev, a large -scale road accident turned into a fight (photo) of the publication23: 55 11.11.23 Views 1545 in Kiev fo"&amp;"r 15 million UAH sell the smallest apartment: what it looks like (photo) the date of publication21: 05 11.11.23 : During the rocket shelling of the Kyiv region, Tigulus (video) Date of publication20: 14 11.11.23 Views 4823 Consequences of rocket attack on"&amp;" the Kyiv region: local authorities voiced losses (photo) Publication Azan Network18: 25 11.11.23 Views 1308 Expert explained why explosions in Kiev was heard before the start of the publication of the publication00: 58 12.11.23 Views 938 broke up five ca"&amp;"rs and fought with drivers: in Kiev a large -scale accident turned into a fight (photo) 55 11.11.23 Views 1545 in Kiev for 15 million UAH sold the smallest apartment: what it looks like (photo) the date of publication21: 05 11.11.23 Views 3433 fell and st"&amp;"ill cannot be able : 14 11.11.23 Views 4823 The consequences of a rocket attack on the Kyiv region: local authorities voiced the losses (photo) Date of publication18: 48 11.11.23 Views Kyiv was heard before the start of the publication of the publication0"&amp;"0: 58.11.23 Views 938 broke up five cars and fought with drivers: in Kiev a large -scale road accident turned into a fight (photo) : What does it look like (photo) of the publication21: 05 11.11.23 Views 3433 have fallen and can still not be raised: durin"&amp;"g the missile shelling of the Kyiv region, the Tigulle (video) Date of publication20: 14 11.11.23 Views 4823 Damage (photo) Date of publication18: 48 11.11.23 Views 3784 in Ukraine continue to rise prices for auto gas: monitoring By force, a man was stuff"&amp;"ed into the bead: in the shopping center they reacted to video with forced mobilization in the Lviv Publication15: 17 11.11.23 Views of 1603 in Lviv region a mobilized woman was not in service for almost a year: as her punishment of publication 08: 03 11."&amp;"11.23. The Russian missile kissed: which it looks like publication19: 35 10.11.23 Views 5323 in Ukraine continue to rise prices for autogas: monitoring : 17 11.11.23 Views 1603 In Lviv region, a mobilized woman was not in the service for almost a year: as"&amp;" her penalty of publication 08: 03 11.11.23 Views 19k 19k In Lviv restore the house in which the Russian rocket kissed: what it looks like19: 35.11.11.23.23.11.23.23 Prices for motorways continue to rise: monitoring of publication of the publication of th"&amp;"e publication18: 25 11.11.23 Views 1308 Powered by a man in the bus: in the shopping center they reacted to video with forced mobilization in Lviv publication15: 17.11.23. As its penalty of publication 08: 03 11.11.23 Views 19k In Lviv restore the house i"&amp;"n which the Russian missile kissed: which it looks like publication19: 35 10.11.23 Views .11 .23 Views 286 CHIME.com.ua Online Store spoke about the top 5 trends of security systems in Ukraine for 2023 News of the Company of the Publication15: 18 29.09.23"&amp;" Views 473 Top 3 Reasons to place the article of the publication 11: 58 27.09.23 Helps to clear air and disinfect the news of the company of the publication 10: 49.09.23 Views 571 5 The most popular air conditioning air condition Twin news Publication Com"&amp;"pany17: 30 08/15/23 Views 595 In Kiev there will be a presentation of the mobile surgical and stabilization point KEEP LIFE: Details The Year of the News of the Publication Company15: 18 09/29/23 Views 473 Top 3 Reasons to place article of the publication"&amp;"11: 58 09/27/23 Views 4588 Healthy atmosphere: how ozonation helps to clear air and disinfect the premises ICU from the company ""Air conditioning of Ukraine"" Publication Date 07: 00 09/20/23 Views 1663 Whitebit and Visa signed a memorandum of intentions"&amp;" to cooperate to increase the convenience Li news of the company Publications18: 56 08.11.23 Views 286 Online Store Chime.com.ua told about top 5 trends of security systems in Ukraine for 2023 News of the Company of the Publication15: 18 29.09.23 Views 47"&amp;"3 Top 3 Reasons to place the article 488 Atmosphere: As ozonation helps to clean air and disinfect the premises of the news company 10: 49.27.23 Views 571 5 of the most popular air conditioning for heating in winter from the company ""Air conditioners of "&amp;"Ukraine"" rise Ease of use of cryptoactive news of the company of the publication17: 30 08/15/23 Views 595 Protected League: Schedule and results of matches of the 13th round ""In the table (video) Publication Date23: 56 11.11.23 Views 351 Series A: Sched"&amp;"ule and results of matches of the 12th round Shakhtar and Zorya (Video) Publication Date22: 21.11.23 Views 2645 La Liga: Schedule and Results of Matches of the 13th round Yaremchuk and approached the ""Girona"" in the Prymer Table (Video) Publication Date"&amp;"23: 56 11.11.23 Views 351 Series A: Schedule and results of matches of the 12th round Time of the match died of a football player who was interested in Shakhtar and Zorya (Video) Date With Lunin destroyed ""Valencia"" Yaremchuk and approached ""Gironi"" i"&amp;"n the Prymer Table (Video) Date of publication23: 56 11.11.23 Views 351 Series A: Schedule and results of matches of the 12th round of the Italian Championship in football 1097 Heart stopped: Albania died during the match a football player was interested "&amp;"in Shakhtar and Zorya (video) Date of publication22: 21 11.11.23 Views 2645 I allow TSN.ua to use KOOKIEGE FIELS Valery Zhimir Zelensky Tips of War of Israel all publications with a YouTubeeclyus of TSNUKRAINAINAGEAGLICAL SPECRAPRAPRAPRAPRAPRAPROPEPEPEPRO"&amp;"PARTPEPROPHETY EUMBER -EUMBERDRAZHAZDIVIASHIVAZKOVIASHIVACIASHIRSHIVSHIRSKIVARDIVRAKRAKINGS Livatian families of authotte-view of the sight-with-a-partnerships on TSNFacebookbookyouutubeinstagramtelegramtelegramvibertwitterpush-notation of CLOSSTRSSTRSTRA"&amp;"CEACEMENTALLATIONALLATIONALLYASHIASHERNOGRAPHRACEAGRAPHER Pionate of Spaniardia France BundeseligaupligaUkuvrachnaya is today Angel Day Day Angel Today is today © 2023 TSNMOVA SITTUAKRIAN VERCIA Confidential Writer Files of cookies Financial Assistance Si"&amp;"tyuplicy Treaty-Pointer Development and Site design-")</f>
        <v>News of Ukraine and the world today • The main and recent news of the day on the TSNUS publication is best with the YouTubeekly disciplinary Aruena -armed and armyrussian invasion Apolitical IDPRAPRAPRAPRAPRAPRAIR Yaastrologyviorepticcepticuskivlivvlyvlivtsiokyvykivvikivvin -Popular Tygipus of TSNSVITRURURRURARURIMAVATACA and IT ARRESTION CONTRACTION SIT POINTS Tsi23: 21 11.11.23 "blackmailing the rebellion and terrorist attacks": OP answered what threatens Ukraine and other countries "Tired of the War" Date of Publication21: 24 11.11.23 The two pro -Russian countries are waiting for a change in the regime: Western political scientist described Europe after the end of the war. There will be a light date of publication16: 02 11.11.23 Ukrainians return from the Gaza Sector - photos and videos from the Chisinau Airport Date of Publication23: 21.11.23.23 Ukrainian "Blackmail Rolts and Terroact Date of publication21: 24 11.11.23 world two pro -Russian countries are waiting for a change in the regime: Western political scientist described Europe after the end of the warfare of the publication17: 33 11.11.23.23. War with Ukraine Personal composition ~ 308720 Litigation3222224 Galiccotters5316 -Armed Machines10014 systems of artillery7475 "Administrative authorities" to issue more Russian passports Date of publication05: 28.11.23 Views 44 enemies teach collaborators from temporarily occupied territories in Siberia Date of publication05: 02 12.11.23 Views 152 Astrological Forecast for November 12 The date of publication05: 00 12.11.23 Views 159 In the Carpathian region, the weather is expected: locals and tourists call to refrain from hiking in the mountains. Resistance to the invaders and liberated the city date of publication03: 52 12.11.23 Views 71 In Ukraine the weather will worsen: SESU reminded the rules of conduct Date of publication 03: 26 12.11.23 12.11.23 Views 643 became aware of how many displaced persons are published in Ukraine. : Tarot Horoscope on November 12, 2023 Date of publication01: 28 12.11.23 Views 676 Expert explained why explosions in Kiev was heard before the start of the alarm date of publication00: 58 12.11.23 Views 938 in Mykolaiv region. 23 Views 941 La Liga: Schedule and Results of Matches of the 13th round of Spanish Championships for Football Updated Publication00: 23 12.11.23 Views 1643 Ukraine is spreading air alarm: stay in shelters "Yaremchuk and approached" Girona "in the Prymer (Video) Date of Publication23: 56 11.11.23 Views 351 broke five cars and fought with drivers: in Kiev a large -scale accident turned into a fight (photo) Series A: Schedule and results of matches of the 12th round of the Italian Championships for Football Updated Publication 23: 50 11.11.23 Views 1097 What plans the Russian Federation at the front by the end of the year: in the Armed Forces command on the agenda of the enemy. 1092 “We can do the same in Gas in Beirut”: Minister of Defense of Israel made a terrible statement Date of publication23: 26 11.11.23 Views 1585 Ukrainians return from the Gaza Sector - photos and videos from Chisinau Airport. Seriously: Ukrainians have been warned about the hardest winter in the history of publication23: 05 11.11.23 Views 16k "Take away everything ...": The Russian begs home and refuses to participate in the assault (interception) Winter: Minister recalled who frightened the Ukrainians with "fan shutdowns" Date of publication22: 41.11.23 Views of 1499 tragedy in the 128th brigade overgrown with strange details: who "Rat" and what was not so with the commander of publication22: 30.11.11.23.23.23.23. In Albania, a football player who was interested in Shakhtar and Zorya (video) Date of publication22: 21 11.11.23 Views 2645 How the Russian Federation tries to attack the energy system of Ukraine and what to expect: Galushchenko - about the tactics of the enemy of publication22: 11 11.11 died during the match. 23 Views 539 In a dress with openwork sleeves and outfit with floral applications: gentle images of Oli Polyakova on a mono -play Date of publication22: 07 11.11.23 Views 1426 in golden lingerie with chains: model was swayed with an ideal figure and sexual. November 12 for all zodiac signs: Day when you need to avoid collisions with close publication 21: 59.11.23 Views 18k "Get the occupier": Zelensky promised to retal The slim figure and bracelet for 174 thousand hryvnias were the date NGO CHAPTER OF THE CHABILITIES OF THE FIFACE TABLE TABLE OF THE Publication21: 37 11.11.23 Views of 1125 "Blackmail Rebellions and Terctivities": OP answered what threatens Ukraine and other countries the problem of "fatigue from the war" June lipstick: Tilda Swinton in a stylish bow appeared on the mystical drama Date of publication21: 22 11.11.23 Views 783 Posters for Russian ships: Ukrainian Navy of Marine Drones per year attacked 7 enemy vessels (video) : Schedule and results of matches of the 11th round of the German football championship Table of the Updated publication21: 21.11.23 Views 644 Zelensky told about the loss of the Armed Forces Doctor of publication 21: 16 11.11.23 Views 4154 without a bra: American model in a red dress flashed with lush breasts Date of publication21: 14 11.11.23 Views 1588 Look 44 Politicians teach collaborators from temporarily occupied territories in the Siberudate of the publication05: 02 12.11.23 Views 152 Ukrarparpatti expected the worsening of the weather: locals and tourists call to refrain from hiking 88: 28.11.11.11.11.11.11.11.11.11.11.11. tsiv that resisted The invaders and liberated the city's city: 52 12.11.23 Views 71 Ukraine will worsen the weather: the SES reminded the rules of publication behavior 03: 26 12.11.23 DI 46 The latest popular Ukraine - "Red". Russia has laid in Odessa. Останні новини про повітряну атакуДата публікації22:51 10.11.23Перегляди        451    Кордони заблоковані - наслідки страйку перевізників відчули всіДата публікації19:37 10.11.23Перегляди        456    Шуфричу продовжили перебування у СІЗО - хто хотів узяти нардепа на порукиДата публікації20:04 10.11.23Перегляди        434    Коли закінчиться війна – Exit to the borders of 1991 and the diplomatic way of liberation of Ukraine of publication00: 32 26.03.23 Views of 1103 terrorist countries at the Olympic Games: whether the Russian publication will be released 11: 45.03.23 570 More Video Trendson showed Lifegak how herself heals whole rooms from only two things from the garden center - a photodate The show "Ivanitsa sharply spoke about Pisarenko and Nikishin who fled to the Russian publication15: 33 11.11.23 Views 103k Alla Pugacheva for the first до скандалу через російську мову на фронтіДата публікації08:23 11.11.23Перегляди        90к    Коханка короля та утриманка: історія прабабусі королеви Камілли – Аліси КеппелДата публікації16:05 11.11.23Перегляди        45к    ПублікаціїЕксклюзив ТСНМодель українського "залізного купола": що допоможе ефективно збивати дрони і чому не вийде As in Israelilidate of publication11: 02 23.10.23 Views 54K Exclusive TSngglobal settlement of Ukrainians after the war: six metropolises where the life of the publication will be cut16: 29.10.23 09/25/23 Views 125k SpecialMarakhet attack on Kiev: GUR commented on a rocket attack in Kiev: in the Russian Federation declared "hit" in the RF "in the ammunition of the Susphan Attack on Kiev: The GUR commented on a rocket attack in Kiev: in the Russian Federation declared "hit" in the ammunition of the wedding publication15: 11.11.23. ": Zelensky About merciless shelling of the occupation of the publication12: 43 11.11.23 Lediastrological forecast for November 12 of the publication05: 00 12.11.23 Views 159 In dresses with openwork sleeves and outfit with floral applique that Linen with chains: the model was swayed by the ideal figure and sexy buttocks Figure and bracelet for 174 thousand hryvnias of publication21: 57 11.11.23 Views 1381 In Tweest suit and with June lipstick: Tilda Swinton appeared in a stylish bow at the mystical drama of the publication21: .23 Views 159 In a dress with openwork sleeves and outfit with floral applications: gentle images of Oli Polyakova on mono -exhibit of publication22: 07 11.11.23 Views 1426 in golden lingerie with chains: the model was swayed by an ideal figure and a sexual figure. November for all zodiac signs: the day when it is necessary to avoid collisions from the close -up of the publication21: 59 11.11.23 Views 18k of the beloved football player of England in a chocolate swimsuit was swayed : Tilda Swinton appeared in a stylish bow on the mystical drama of the publication21: 22 11.11.23 Views 783 Astrological prognosis for November 12 of the publication05: 00 12.11.23 Views 159 in a dress with openwork sleeves and an outfit with flower appliques. : 07 11.11.23 Views 1426 In golden lingerie with chains: the model swayed the ideal figure and sexy buttocks The footballer of England in a chocolate swimsuit stopped with a slim figure and bracelet for 174 thousand UAH Partner's Demilitarization of Ukraine: How Russia justifies its aggression by supplying Western weapons of publication19: 52 03.11.23 Views 1159 Ukrina -dezinformation about mobilization in Ukraine: why and how Russia tries to disrupt recruitment to the fact Brand "Zhivchyk" joined the family festival "Mamazlit on the waterfront" news of the company of the publication 08: 00 22.09.23 Views 1582 Kiev Expert news explained why explosions in Kiev was heard before the start of the publication of the publication: 58 12.11.23. : In Kiev, a large -scale road accident turned into a fight (photo) of the publication23: 55 11.11.23 Views 1545 in Kiev for 15 million UAH sell the smallest apartment: what it looks like (photo) the date of publication21: 05 11.11.23 : During the rocket shelling of the Kyiv region, Tigulus (video) Date of publication20: 14 11.11.23 Views 4823 Consequences of rocket attack on the Kyiv region: local authorities voiced losses (photo) Publication Azan Network18: 25 11.11.23 Views 1308 Expert explained why explosions in Kiev was heard before the start of the publication of the publication00: 58 12.11.23 Views 938 broke up five cars and fought with drivers: in Kiev a large -scale accident turned into a fight (photo) 55 11.11.23 Views 1545 in Kiev for 15 million UAH sold the smallest apartment: what it looks like (photo) the date of publication21: 05 11.11.23 Views 3433 fell and still cannot be able : 14 11.11.23 Views 4823 The consequences of a rocket attack on the Kyiv region: local authorities voiced the losses (photo) Date of publication18: 48 11.11.23 Views Kyiv was heard before the start of the publication of the publication00: 58.11.23 Views 938 broke up five cars and fought with drivers: in Kiev a large -scale road accident turned into a fight (photo) : What does it look like (photo) of the publication21: 05 11.11.23 Views 3433 have fallen and can still not be raised: during the missile shelling of the Kyiv region, the Tigulle (video) Date of publication20: 14 11.11.23 Views 4823 Damage (photo) Date of publication18: 48 11.11.23 Views 3784 in Ukraine continue to rise prices for auto gas: monitoring By force, a man was stuffed into the bead: in the shopping center they reacted to video with forced mobilization in the Lviv Publication15: 17 11.11.23 Views of 1603 in Lviv region a mobilized woman was not in service for almost a year: as her punishment of publication 08: 03 11.11.23. The Russian missile kissed: which it looks like publication19: 35 10.11.23 Views 5323 in Ukraine continue to rise prices for autogas: monitoring : 17 11.11.23 Views 1603 In Lviv region, a mobilized woman was not in the service for almost a year: as her penalty of publication 08: 03 11.11.23 Views 19k 19k In Lviv restore the house in which the Russian rocket kissed: what it looks like19: 35.11.11.23.23.11.23.23 Prices for motorways continue to rise: monitoring of publication of the publication of the publication18: 25 11.11.23 Views 1308 Powered by a man in the bus: in the shopping center they reacted to video with forced mobilization in Lviv publication15: 17.11.23. As its penalty of publication 08: 03 11.11.23 Views 19k In Lviv restore the house in which the Russian missile kissed: which it looks like publication19: 35 10.11.23 Views .11 .23 Views 286 CHIME.com.ua Online Store spoke about the top 5 trends of security systems in Ukraine for 2023 News of the Company of the Publication15: 18 29.09.23 Views 473 Top 3 Reasons to place the article of the publication 11: 58 27.09.23 Helps to clear air and disinfect the news of the company of the publication 10: 49.09.23 Views 571 5 The most popular air conditioning air condition Twin news Publication Company17: 30 08/15/23 Views 595 In Kiev there will be a presentation of the mobile surgical and stabilization point KEEP LIFE: Details The Year of the News of the Publication Company15: 18 09/29/23 Views 473 Top 3 Reasons to place article of the publication11: 58 09/27/23 Views 4588 Healthy atmosphere: how ozonation helps to clear air and disinfect the premises ICU from the company "Air conditioning of Ukraine" Publication Date 07: 00 09/20/23 Views 1663 Whitebit and Visa signed a memorandum of intentions to cooperate to increase the convenience Li news of the company Publications18: 56 08.11.23 Views 286 Online Store Chime.com.ua told about top 5 trends of security systems in Ukraine for 2023 News of the Company of the Publication15: 18 29.09.23 Views 473 Top 3 Reasons to place the article 488 Atmosphere: As ozonation helps to clean air and disinfect the premises of the news company 10: 49.27.23 Views 571 5 of the most popular air conditioning for heating in winter from the company "Air conditioners of Ukraine" rise Ease of use of cryptoactive news of the company of the publication17: 30 08/15/23 Views 595 Protected League: Schedule and results of matches of the 13th round "In the table (video) Publication Date23: 56 11.11.23 Views 351 Series A: Schedule and results of matches of the 12th round Shakhtar and Zorya (Video) Publication Date22: 21.11.23 Views 2645 La Liga: Schedule and Results of Matches of the 13th round Yaremchuk and approached the "Girona" in the Prymer Table (Video) Publication Date23: 56 11.11.23 Views 351 Series A: Schedule and results of matches of the 12th round Time of the match died of a football player who was interested in Shakhtar and Zorya (Video) Date With Lunin destroyed "Valencia" Yaremchuk and approached "Gironi" in the Prymer Table (Video) Date of publication23: 56 11.11.23 Views 351 Series A: Schedule and results of matches of the 12th round of the Italian Championship in football 1097 Heart stopped: Albania died during the match a football player was interested in Shakhtar and Zorya (video) Date of publication22: 21 11.11.23 Views 2645 I allow TSN.ua to use KOOKIEGE FIELS Valery Zhimir Zelensky Tips of War of Israel all publications with a YouTubeeclyus of TSNUKRAINAINAGEAGLICAL SPECRAPRAPRAPRAPRAPRAPROPEPEPEPROPARTPEPROPHETY EUMBER -EUMBERDRAZHAZDIVIASHIVAZKOVIASHIVACIASHIRSHIVSHIRSKIVARDIVRAKRAKINGS Livatian families of authotte-view of the sight-with-a-partnerships on TSNFacebookbookyouutubeinstagramtelegramtelegramvibertwitterpush-notation of CLOSSTRSSTRSTRACEACEMENTALLATIONALLATIONALLYASHIASHERNOGRAPHRACEAGRAPHER Pionate of Spaniardia France BundeseligaupligaUkuvrachnaya is today Angel Day Day Angel Today is today © 2023 TSNMOVA SITTUAKRIAN VERCIA Confidential Writer Files of cookies Financial Assistance Sityuplicy Treaty-Pointer Development and Site design-</v>
      </c>
    </row>
    <row r="626">
      <c r="A626" s="1" t="s">
        <v>2033</v>
      </c>
      <c r="B626" s="1" t="s">
        <v>2094</v>
      </c>
      <c r="C626" s="1" t="s">
        <v>2095</v>
      </c>
      <c r="D626" s="1">
        <v>16.0</v>
      </c>
      <c r="E626" s="4" t="s">
        <v>2096</v>
      </c>
      <c r="F626" s="1" t="s">
        <v>43</v>
      </c>
      <c r="I626" s="2">
        <v>2.0</v>
      </c>
      <c r="J626" s="5" t="str">
        <f>IFERROR(__xludf.DUMMYFUNCTION("GOOGLETRANSLATE(A626)"),"Easter 2023")</f>
        <v>Easter 2023</v>
      </c>
      <c r="K626" s="6" t="str">
        <f>IFERROR(__xludf.DUMMYFUNCTION("GOOGLETRANSLATE(B626)"),"Easter - 2023: when and how the main ...")</f>
        <v>Easter - 2023: when and how the main ...</v>
      </c>
      <c r="L626" s="5" t="str">
        <f>IFERROR(__xludf.DUMMYFUNCTION("GOOGLETRANSLATE(C626)"),"5 Apr. 2023. -")</f>
        <v>5 Apr. 2023. -</v>
      </c>
      <c r="M626" s="5" t="str">
        <f>IFERROR(__xludf.DUMMYFUNCTION("GOOGLETRANSLATE(G626)"),"#VALUE!")</f>
        <v>#VALUE!</v>
      </c>
    </row>
    <row r="627">
      <c r="A627" s="1" t="s">
        <v>2033</v>
      </c>
      <c r="B627" s="1" t="s">
        <v>2097</v>
      </c>
      <c r="C627" s="1" t="s">
        <v>2098</v>
      </c>
      <c r="D627" s="1">
        <v>17.0</v>
      </c>
      <c r="E627" s="4" t="s">
        <v>2099</v>
      </c>
      <c r="F627" s="1" t="s">
        <v>43</v>
      </c>
      <c r="I627" s="2">
        <v>1.0</v>
      </c>
      <c r="J627" s="5" t="str">
        <f>IFERROR(__xludf.DUMMYFUNCTION("GOOGLETRANSLATE(A627)"),"Easter 2023")</f>
        <v>Easter 2023</v>
      </c>
      <c r="K627" s="6" t="str">
        <f>IFERROR(__xludf.DUMMYFUNCTION("GOOGLETRANSLATE(B627)"),"When is the Orthodox Easter noted in 2023?")</f>
        <v>When is the Orthodox Easter noted in 2023?</v>
      </c>
      <c r="L627" s="5" t="str">
        <f>IFERROR(__xludf.DUMMYFUNCTION("GOOGLETRANSLATE(C627)"),"12 Apr. 2023. -")</f>
        <v>12 Apr. 2023. -</v>
      </c>
      <c r="M627" s="5" t="str">
        <f>IFERROR(__xludf.DUMMYFUNCTION("GOOGLETRANSLATE(G627)"),"#VALUE!")</f>
        <v>#VALUE!</v>
      </c>
    </row>
    <row r="628">
      <c r="A628" s="1" t="s">
        <v>2033</v>
      </c>
      <c r="B628" s="1" t="s">
        <v>2100</v>
      </c>
      <c r="C628" s="1" t="s">
        <v>2101</v>
      </c>
      <c r="D628" s="1">
        <v>18.0</v>
      </c>
      <c r="E628" s="4" t="s">
        <v>2102</v>
      </c>
      <c r="F628" s="1" t="s">
        <v>43</v>
      </c>
      <c r="G628" s="1" t="s">
        <v>2103</v>
      </c>
      <c r="H628" s="4" t="s">
        <v>2104</v>
      </c>
      <c r="I628" s="2">
        <v>2.0</v>
      </c>
      <c r="J628" s="5" t="str">
        <f>IFERROR(__xludf.DUMMYFUNCTION("GOOGLETRANSLATE(A628)"),"Easter 2023")</f>
        <v>Easter 2023</v>
      </c>
      <c r="K628" s="6" t="str">
        <f>IFERROR(__xludf.DUMMYFUNCTION("GOOGLETRANSLATE(B628)"),"Easter 2023: traditions and customs of celebration")</f>
        <v>Easter 2023: traditions and customs of celebration</v>
      </c>
      <c r="L628" s="5" t="str">
        <f>IFERROR(__xludf.DUMMYFUNCTION("GOOGLETRANSLATE(C628)"),"What number is Easter noted in 2023? As we already mentioned above, this bright celebration does not have a single date of celebration. How is it determined in each ...")</f>
        <v>What number is Easter noted in 2023? As we already mentioned above, this bright celebration does not have a single date of celebration. How is it determined in each ...</v>
      </c>
      <c r="M628" s="5" t="str">
        <f>IFERROR(__xludf.DUMMYFUNCTION("GOOGLETRANSLATE(G628)"),"New Year's goods in Moscow | Buy New Year products in the online store ""Winter Story - Eli.ru"" Home Catalog of the Khvyurovoye Helpers made of needlewood and glass balloon decorations decorine -free -free gifts of gifts and accessories. Svyatiut-registr"&amp;"ation Kontaktyo Nasoptovikamdavka-Popazopavlarani and the conditions of return and review of the review is empty 8,495 787-29- 50 8 800 511-83-598 495 787-29-50 Basket empty 8 495 787-29-508 800 511-83-59g. Moscow Electrolytte Pr-D 3C33 Mon-Fri 09: 00-20:"&amp;" 00 SB-Sun 10: 00-17: 00 Wit / register the main guarantee to wholesalers. Delivery payment contacts online store of New Year's goods / Register desktop up to 0.8 small ones 90 cm 1 мЕлки 1.2 - 1.4 мЕлки 1.5 - 1.7 мЕлки 1.8 - 1.9 мЕлки 2.0 - 2.2 мЕлки 2.3"&amp;" - 2.6 мЕлки 2.7 - 2.9 мЕлки 3.0 мЕлки 3.5 - 5.0 мЕлки выше 5.5 мУличные высотные елки100% литая хвояБелые елкиЗаснеженные елкиЕлки с лампочкамиОптоволоконные елкиПристенные угловые 2D настенные и потолочныеКомпактные Harly -shaped Christmas trees of bask"&amp;"ets and bedspreads of global branded -free garlands and swageenscous compositions of the Ceiling composition of the vegetable decor with light bulbs of plastic balls with decorated balls of plastic balls with diluted balls with decorprefined balls with de"&amp;"corpremiuu. m sets of kolba with compositions of mini-shaws on wire-cookerlandes-pendants from sharovkruchka and accessories symbol of the year 2024 expenses Christmas tree toys -shuserhushkushkushkushki -baches for street Christmas trees for decorating f"&amp;"ir -up toys for the toy for fir -shaft flowers and shiski -generating table and interiors of so -skinaclemes for choppering for decoration for decorative decorations of the suspended decorations and ramparts of Moro PS and Snow Maiden under the Helkunoye "&amp;"Panel and stretching offices for designers and floristers ""Country"" inflatable figurative figurators Girlands for the Elkugirland curtains (rain) garlands of fringe (icicles) garlands of gross -spacing figures for trees clip Light (spidder) melting oskl"&amp;"okigirlava dew on the wire -coal -cookerlanda lamps on the batteryworms Frost -resistant garlandacials for garland -eagle treasure -free projectors of the distribution and lamps on the sunny battery decorative lamps on the jacket -brow -brown -haired Domi"&amp;"kisaDDIDEND Picture -free lamps on the celestial figurative bouquets and branches of the interior gyrlandyrendarererlandigirlanda droplets of tint projects of the era -free symbol of the year 2024 -spacing and animated compositions of the chill sharynum f"&amp;"igurine ginkles High -lubricing painting the Christmas Christmas Suvenry for gifts for gifts of interiorship and serving children's gifts for the festival of Chinese horoscope -darassopias. Children's costume costumes of Santa Claus and Snegurochkamyakama"&amp;"ski rims For a puppet Theater-Social Theater Sandtti Pneumokhlopushkushkiyravy, candles of LEDs of LEDs Classical Sesnels aromatic sub-lights from glass lights of Metal sub-lights ""flashlights"" flashlights with candles with candles of candles and access"&amp;"ories with coniferous design of the-world-gap-and-gap. Thirsty artificial plants and bloomszykashpo and stands for plants of plants and serving interiors, interiors and figures for interiors, flashlights of diskosharythantans for home -wrapping for homele"&amp;"ssness. Easter February 19 Marthadekor on Halloween Garden Furniture Kabemkashpo and stands for flowering lightsature lighting and servo -prunes for color -reicuate florary garlands of barbecue barbecue and picnic exploring artificial firing products made"&amp;" New Year's decoreylectrogyrlas -light post -papornavalic costumes and accessories and candlesticks interior decorsed furniture and decor News 10.2023 graphics in work in Holidays and holidays our store will work in the following mode: November 4: from 10"&amp;":00 to 17: 005 November: November 6: from 10:00 to 17:00 and from 11/07/2023 we renew the store on weekdays and start Work without days off - making purchases will become even more convenient! Mon-Ft: from 09:00 to 20: 00sb-Sun: from 10:00 to 17: 00VS New"&amp;"s ”Articles review for the New Year 2024KA to make a jack-background: a galloween pumpkin with his own hands on Halloween with your own hands with your own hands: how to decorate a Christmas tree In 2024, articles »Methods of payment for paying buyers-art"&amp;"istic Christmas trees Vancouver, snow-covered 150 cm fishing line + Pvicarticul: ID12812 BRAND: KAEMINGKCENA: 8 530 rub. Buy1 Consistent Carolina pine with cones 183 cm castle + pvharticula: 31capc60/Cap3-40 1-60 brand: National Tree Companycens: 24,610 r"&amp;"ub. Buy4 recall the Snowfield 28 cm red glass art: C2050-red brand: 520 rub. Build a fairy tale 30 cm with cones and berries Pvharticula: 31FRW12/FRB3-12W BRAND: NATIONAL TREAE COM Panytsena: 1 95 Forest beauty 60 See Leskearticul: 73668 Brand: Triumph Tr"&amp;"eezen: 2 990 rub. Buy1 Reviewed garland on batteries 20 multi-colored minilad lamps 2 m silver wire IP20Articula: ldm020m-but With cones, snow -covered 155 cm fish caraarticula: 73116 Brand: Triumph Treyezen: 14 990 rub. Buy5 reviews you may like Rozhdest"&amp;"vensky 35 cm Pvicarticul: V-2 brand: Morozcoles: 608 rub. Buy4 recusial garland northern lights on batteries 20 multi-colored LED lamps 2 m transpressure PVC IP20Articul 32738 Brand: Koopmanensen: 260 rub. Buyfigura from foil bell 20 cm gold-red-pink arti"&amp;"cula: h81662M Brand: HOLIDAY CLASSICSEN: 90 rub. Build of aromatic candles 4 cm 6 guitors: 001827-light brand: Omsk candlestick: 190 rub. Diode tape Ledstrip On batteries of 1 m 30 multi-colored LED lamps on Velcro IP20Articula: ID32896 Brand: Koopmanatse"&amp;"n: 280 rub. Buy customer reviews about the Winter Story Eli.ruz. Visa No. 1127642 Commentary: great gratitude to the courier to Alexei Semin. Over my fault, there was a delay in payment and the ordering of the ordering of 11.11.2023 order No. 1126879 comp"&amp;"ensation: there was an unpleasant situation with order No. 1126879, thanks to the attentive attitude to my problem of customer manager Saida Mustafaeva, she successfully resolved. Thank you! Rada that the store holds the brand and cares about its reputati"&amp;"on. 11/09/2023 Read all Winter Story - Eli.ru - New Year's goods in the Russian market: the online store ""Winter Story - Eli.ru"" updated the assortment on the eve of the main holiday and offers New Year's goods from European manufacturers. On our virtua"&amp;"l shelves you will find an elegant decor for Masquerade costumes for the New Year's carnival LED products and more than 9,000 items of accessories and souvenirs. General toys are the main attribute of the holiday! The first thing to do is the New Year's g"&amp;"oods is to buy suitable jewelry for the “Christmas tree”. The choice of vintage style will be liked by porcelain figures and glass balls of “Rod from childhood”, connoisseurs of a modern style will prefer exclusive author’s models of Christmas tree decora"&amp;"tions. Our catalog contains balls with a pattern and smooth balls with compositions of Christmas toys - miniatures in the form of snow -capped houses and ancient mechanical watches and even portraits of angels in bronze frames. Bruttered fur beasts with r"&amp;"eal feathers gilded sculptures stars are tiny skates with a real edges and a real edges Other New Year products from Holland and Belgium will help create a New Year's mood and decorate a house in a given style: Retro “Shabby Shik” ar-nuvo and of course et"&amp;"ernal classics. More than light! To disperse the dusk of a winter night and to bloom the holiday with cheerful lights will help electrogirlases or decor with LEDs . The luminous figures who are comfortably crushed on the windowsill or directly under the C"&amp;"hristmas tree will give the interior an atmosphere of mystery and will show passers -by that they are ready to celebrate the New Year in this house. Lying products are completely safe in operation: it will not be the reason for the fire and it is impossib"&amp;"le to burn about it. What can not be said about candles - they require very accurate handling. But for this, in our catalog there are special closed ceramic candlesticks: domesticated fire will bring only heat and light and always remain under control. Th"&amp;"e New Year's Eve - the most important thing is the magnificent artificial Christmas trees made so naturally that it is impossible to recognize the living Christmas tree or an artificial one from two steps. . No fallen needles of branches and other inconve"&amp;"niences that have beged under the carpet-your green beauty will simply go to Christmas and meet the old New Year as fresh and magnificent as on the day of purchase. In our online store there is everything to prepare for the New Year "" turnkey ” - Christm"&amp;"as trees and Christmas toys garlands and lamps many accessories for decor gifts are carnival costumes and much more. We love new collections with love every year and offer you those products that we decorate and our dwellings. The main partners Contacts y"&amp;"ou watched articles and reviews Certificates Catalogs of Hero -City Herringage of Hatiplastic and Glass Marticular Decoreli -Distributryworland Deadial Humanizers and Axials CHERTRIC INTERER WITHOULD FURNITURE and Decor Rules for Delivery Rules (Offer) of"&amp;" a guarantee and refund User Agreement Policy in relation to the processing and protection of personal data in the community -hazhadress community. Moscow Electrolyte Passage. 3 pp. 33 Remember work: Mon-Fri 09: 00-20: 00sb-Sun 10: 00-17: 00 8 495 787-29-"&amp;"50 © Winter Story-Eli.ru 2006-2023 Our site uses cookies data About your IP address and location. Continuing to work with the site, you are expressing consent to the processing of these data in accordance with the policy regarding the processing and prote"&amp;"ction of personal data. In case of disagreement with these conditions, you should refrain from using the Internet resource www.eli.ru. The use of any information and materials from the site can be possible only with the written permission of the site admi"&amp;"nistrator. Up × Authorization of a new password sent to the address you specified and in the SMS message to your mobile number indicated when registering on the site Name (e-mail) is mandatory e-mail, it is not a correct Poparol is sure to enter the field"&amp;" to fill in the: input password? Registration of passwords passwords (e-mail) It is imperative to incorrect the entrance in the entrance via Face___Book confirm that you are not a robot × order a call to control the question and send the data. Our manager"&amp;" will contact you in the near future. Please be sure to tell you e-mail, be sure to be introduced, not correctly telephone, must be introduced by the corrective-combination of button to “send” I accept the terms of the user agreement and give consent to t"&amp;"he processing of my personal data on the terms and for purposes defined by the policy of confidentiality Continuations you must accept the terms of the user agreement to fill in the field and send the data. Our manager will contact you in the near future."&amp;" The field is sure to fill it out for filling up ae-mail, be sure to fill up an incorrectly filter, be sure to fill the field of incorrectly, manduum of the order, must for filling out the text of the message, be sure to fill out the Pressure Case of the "&amp;"User Agreement and Give me and give Consent to the processing of my personal data on the terms and for purposes determined by the Privacy Policy of the continuation, you must accept the terms of the user agreement to recover outpasibi for the appeal, our "&amp;"manager will soon contact you × to place the order, fill out the form. Within a couple of hours, our manager will contact you and clarify the details of the order as well as the delivery time. If you send an application to a non -working time, then our ma"&amp;"nager will contact you in the first half of the nearest working day. For operation, see the site’s header. The phone number *Your name of the phone is set incorrectly. Example of the correct phone number: 8-916-123-45-67")</f>
        <v>New Year's goods in Moscow | Buy New Year products in the online store "Winter Story - Eli.ru" Home Catalog of the Khvyurovoye Helpers made of needlewood and glass balloon decorations decorine -free -free gifts of gifts and accessories. Svyatiut-registration Kontaktyo Nasoptovikamdavka-Popazopavlarani and the conditions of return and review of the review is empty 8,495 787-29- 50 8 800 511-83-598 495 787-29-50 Basket empty 8 495 787-29-508 800 511-83-59g. Moscow Electrolytte Pr-D 3C33 Mon-Fri 09: 00-20: 00 SB-Sun 10: 00-17: 00 Wit / register the main guarantee to wholesalers. Delivery payment contacts online store of New Year's goods / Register desktop up to 0.8 small ones 90 cm 1 мЕлки 1.2 - 1.4 мЕлки 1.5 - 1.7 мЕлки 1.8 - 1.9 мЕлки 2.0 - 2.2 мЕлки 2.3 - 2.6 мЕлки 2.7 - 2.9 мЕлки 3.0 мЕлки 3.5 - 5.0 мЕлки выше 5.5 мУличные высотные елки100% литая хвояБелые елкиЗаснеженные елкиЕлки с лампочкамиОптоволоконные елкиПристенные угловые 2D настенные и потолочныеКомпактные Harly -shaped Christmas trees of baskets and bedspreads of global branded -free garlands and swageenscous compositions of the Ceiling composition of the vegetable decor with light bulbs of plastic balls with decorated balls of plastic balls with diluted balls with decorprefined balls with decorpremiuu. m sets of kolba with compositions of mini-shaws on wire-cookerlandes-pendants from sharovkruchka and accessories symbol of the year 2024 expenses Christmas tree toys -shuserhushkushkushkushki -baches for street Christmas trees for decorating fir -up toys for the toy for fir -shaft flowers and shiski -generating table and interiors of so -skinaclemes for choppering for decoration for decorative decorations of the suspended decorations and ramparts of Moro PS and Snow Maiden under the Helkunoye Panel and stretching offices for designers and floristers "Country" inflatable figurative figurators Girlands for the Elkugirland curtains (rain) garlands of fringe (icicles) garlands of gross -spacing figures for trees clip Light (spidder) melting osklokigirlava dew on the wire -coal -cookerlanda lamps on the batteryworms Frost -resistant garlandacials for garland -eagle treasure -free projectors of the distribution and lamps on the sunny battery decorative lamps on the jacket -brow -brown -haired DomikisaDDIDEND Picture -free lamps on the celestial figurative bouquets and branches of the interior gyrlandyrendarererlandigirlanda droplets of tint projects of the era -free symbol of the year 2024 -spacing and animated compositions of the chill sharynum figurine ginkles High -lubricing painting the Christmas Christmas Suvenry for gifts for gifts of interiorship and serving children's gifts for the festival of Chinese horoscope -darassopias. Children's costume costumes of Santa Claus and Snegurochkamyakamaski rims For a puppet Theater-Social Theater Sandtti Pneumokhlopushkushkiyravy, candles of LEDs of LEDs Classical Sesnels aromatic sub-lights from glass lights of Metal sub-lights "flashlights" flashlights with candles with candles of candles and accessories with coniferous design of the-world-gap-and-gap. Thirsty artificial plants and bloomszykashpo and stands for plants of plants and serving interiors, interiors and figures for interiors, flashlights of diskosharythantans for home -wrapping for homelessness. Easter February 19 Marthadekor on Halloween Garden Furniture Kabemkashpo and stands for flowering lightsature lighting and servo -prunes for color -reicuate florary garlands of barbecue barbecue and picnic exploring artificial firing products made New Year's decoreylectrogyrlas -light post -papornavalic costumes and accessories and candlesticks interior decorsed furniture and decor News 10.2023 graphics in work in Holidays and holidays our store will work in the following mode: November 4: from 10:00 to 17: 005 November: November 6: from 10:00 to 17:00 and from 11/07/2023 we renew the store on weekdays and start Work without days off - making purchases will become even more convenient! Mon-Ft: from 09:00 to 20: 00sb-Sun: from 10:00 to 17: 00VS News ”Articles review for the New Year 2024KA to make a jack-background: a galloween pumpkin with his own hands on Halloween with your own hands with your own hands: how to decorate a Christmas tree In 2024, articles »Methods of payment for paying buyers-artistic Christmas trees Vancouver, snow-covered 150 cm fishing line + Pvicarticul: ID12812 BRAND: KAEMINGKCENA: 8 530 rub. Buy1 Consistent Carolina pine with cones 183 cm castle + pvharticula: 31capc60/Cap3-40 1-60 brand: National Tree Companycens: 24,610 rub. Buy4 recall the Snowfield 28 cm red glass art: C2050-red brand: 520 rub. Build a fairy tale 30 cm with cones and berries Pvharticula: 31FRW12/FRB3-12W BRAND: NATIONAL TREAE COM Panytsena: 1 95 Forest beauty 60 See Leskearticul: 73668 Brand: Triumph Treezen: 2 990 rub. Buy1 Reviewed garland on batteries 20 multi-colored minilad lamps 2 m silver wire IP20Articula: ldm020m-but With cones, snow -covered 155 cm fish caraarticula: 73116 Brand: Triumph Treyezen: 14 990 rub. Buy5 reviews you may like Rozhdestvensky 35 cm Pvicarticul: V-2 brand: Morozcoles: 608 rub. Buy4 recusial garland northern lights on batteries 20 multi-colored LED lamps 2 m transpressure PVC IP20Articul 32738 Brand: Koopmanensen: 260 rub. Buyfigura from foil bell 20 cm gold-red-pink articula: h81662M Brand: HOLIDAY CLASSICSEN: 90 rub. Build of aromatic candles 4 cm 6 guitors: 001827-light brand: Omsk candlestick: 190 rub. Diode tape Ledstrip On batteries of 1 m 30 multi-colored LED lamps on Velcro IP20Articula: ID32896 Brand: Koopmanatsen: 280 rub. Buy customer reviews about the Winter Story Eli.ruz. Visa No. 1127642 Commentary: great gratitude to the courier to Alexei Semin. Over my fault, there was a delay in payment and the ordering of the ordering of 11.11.2023 order No. 1126879 compensation: there was an unpleasant situation with order No. 1126879, thanks to the attentive attitude to my problem of customer manager Saida Mustafaeva, she successfully resolved. Thank you! Rada that the store holds the brand and cares about its reputation. 11/09/2023 Read all Winter Story - Eli.ru - New Year's goods in the Russian market: the online store "Winter Story - Eli.ru" updated the assortment on the eve of the main holiday and offers New Year's goods from European manufacturers. On our virtual shelves you will find an elegant decor for Masquerade costumes for the New Year's carnival LED products and more than 9,000 items of accessories and souvenirs. General toys are the main attribute of the holiday! The first thing to do is the New Year's goods is to buy suitable jewelry for the “Christmas tree”. The choice of vintage style will be liked by porcelain figures and glass balls of “Rod from childhood”, connoisseurs of a modern style will prefer exclusive author’s models of Christmas tree decorations. Our catalog contains balls with a pattern and smooth balls with compositions of Christmas toys - miniatures in the form of snow -capped houses and ancient mechanical watches and even portraits of angels in bronze frames. Bruttered fur beasts with real feathers gilded sculptures stars are tiny skates with a real edges and a real edges Other New Year products from Holland and Belgium will help create a New Year's mood and decorate a house in a given style: Retro “Shabby Shik” ar-nuvo and of course eternal classics. More than light! To disperse the dusk of a winter night and to bloom the holiday with cheerful lights will help electrogirlases or decor with LEDs . The luminous figures who are comfortably crushed on the windowsill or directly under the Christmas tree will give the interior an atmosphere of mystery and will show passers -by that they are ready to celebrate the New Year in this house. Lying products are completely safe in operation: it will not be the reason for the fire and it is impossible to burn about it. What can not be said about candles - they require very accurate handling. But for this, in our catalog there are special closed ceramic candlesticks: domesticated fire will bring only heat and light and always remain under control. The New Year's Eve - the most important thing is the magnificent artificial Christmas trees made so naturally that it is impossible to recognize the living Christmas tree or an artificial one from two steps. . No fallen needles of branches and other inconveniences that have beged under the carpet-your green beauty will simply go to Christmas and meet the old New Year as fresh and magnificent as on the day of purchase. In our online store there is everything to prepare for the New Year " turnkey ” - Christmas trees and Christmas toys garlands and lamps many accessories for decor gifts are carnival costumes and much more. We love new collections with love every year and offer you those products that we decorate and our dwellings. The main partners Contacts you watched articles and reviews Certificates Catalogs of Hero -City Herringage of Hatiplastic and Glass Marticular Decoreli -Distributryworland Deadial Humanizers and Axials CHERTRIC INTERER WITHOULD FURNITURE and Decor Rules for Delivery Rules (Offer) of a guarantee and refund User Agreement Policy in relation to the processing and protection of personal data in the community -hazhadress community. Moscow Electrolyte Passage. 3 pp. 33 Remember work: Mon-Fri 09: 00-20: 00sb-Sun 10: 00-17: 00 8 495 787-29-50 © Winter Story-Eli.ru 2006-2023 Our site uses cookies data About your IP address and location. Continuing to work with the site, you are expressing consent to the processing of these data in accordance with the policy regarding the processing and protection of personal data. In case of disagreement with these conditions, you should refrain from using the Internet resource www.eli.ru. The use of any information and materials from the site can be possible only with the written permission of the site administrator. Up × Authorization of a new password sent to the address you specified and in the SMS message to your mobile number indicated when registering on the site Name (e-mail) is mandatory e-mail, it is not a correct Poparol is sure to enter the field to fill in the: input password? Registration of passwords passwords (e-mail) It is imperative to incorrect the entrance in the entrance via Face___Book confirm that you are not a robot × order a call to control the question and send the data. Our manager will contact you in the near future. Please be sure to tell you e-mail, be sure to be introduced, not correctly telephone, must be introduced by the corrective-combination of button to “send” I accept the terms of the user agreement and give consent to the processing of my personal data on the terms and for purposes defined by the policy of confidentiality Continuations you must accept the terms of the user agreement to fill in the field and send the data. Our manager will contact you in the near future. The field is sure to fill it out for filling up ae-mail, be sure to fill up an incorrectly filter, be sure to fill the field of incorrectly, manduum of the order, must for filling out the text of the message, be sure to fill out the Pressure Case of the User Agreement and Give me and give Consent to the processing of my personal data on the terms and for purposes determined by the Privacy Policy of the continuation, you must accept the terms of the user agreement to recover outpasibi for the appeal, our manager will soon contact you × to place the order, fill out the form. Within a couple of hours, our manager will contact you and clarify the details of the order as well as the delivery time. If you send an application to a non -working time, then our manager will contact you in the first half of the nearest working day. For operation, see the site’s header. The phone number *Your name of the phone is set incorrectly. Example of the correct phone number: 8-916-123-45-67</v>
      </c>
    </row>
    <row r="629">
      <c r="A629" s="1" t="s">
        <v>2033</v>
      </c>
      <c r="B629" s="1" t="s">
        <v>2105</v>
      </c>
      <c r="C629" s="1" t="s">
        <v>2106</v>
      </c>
      <c r="D629" s="1">
        <v>19.0</v>
      </c>
      <c r="E629" s="4" t="s">
        <v>2107</v>
      </c>
      <c r="F629" s="1" t="s">
        <v>43</v>
      </c>
      <c r="G629" s="1" t="s">
        <v>2108</v>
      </c>
      <c r="H629" s="4" t="s">
        <v>2109</v>
      </c>
      <c r="I629" s="2">
        <v>1.0</v>
      </c>
      <c r="J629" s="5" t="str">
        <f>IFERROR(__xludf.DUMMYFUNCTION("GOOGLETRANSLATE(A629)"),"Easter 2023")</f>
        <v>Easter 2023</v>
      </c>
      <c r="K629" s="6" t="str">
        <f>IFERROR(__xludf.DUMMYFUNCTION("GOOGLETRANSLATE(B629)"),"Easter in 2023 (Catholic and Orthodox)")</f>
        <v>Easter in 2023 (Catholic and Orthodox)</v>
      </c>
      <c r="L629" s="5" t="str">
        <f>IFERROR(__xludf.DUMMYFUNCTION("GOOGLETRANSLATE(C629)"),"Orthodox and Catholic Easter in 2023. Easter date in 2023.")</f>
        <v>Orthodox and Catholic Easter in 2023. Easter date in 2023.</v>
      </c>
      <c r="M629" s="5" t="str">
        <f>IFERROR(__xludf.DUMMYFUNCTION("GOOGLETRANSLATE(G629)"),"Error!")</f>
        <v>Error!</v>
      </c>
    </row>
    <row r="630">
      <c r="A630" s="1" t="s">
        <v>2033</v>
      </c>
      <c r="B630" s="1" t="s">
        <v>2110</v>
      </c>
      <c r="C630" s="1" t="s">
        <v>2111</v>
      </c>
      <c r="D630" s="1">
        <v>20.0</v>
      </c>
      <c r="E630" s="4" t="s">
        <v>2112</v>
      </c>
      <c r="F630" s="1" t="s">
        <v>43</v>
      </c>
      <c r="G630" s="1" t="s">
        <v>2113</v>
      </c>
      <c r="H630" s="4" t="s">
        <v>2114</v>
      </c>
      <c r="I630" s="2">
        <v>1.0</v>
      </c>
      <c r="J630" s="5" t="str">
        <f>IFERROR(__xludf.DUMMYFUNCTION("GOOGLETRANSLATE(A630)"),"Easter 2023")</f>
        <v>Easter 2023</v>
      </c>
      <c r="K630" s="6" t="str">
        <f>IFERROR(__xludf.DUMMYFUNCTION("GOOGLETRANSLATE(B630)"),"When Easter 2023 in Ukraine: date, traditions, signs")</f>
        <v>When Easter 2023 in Ukraine: date, traditions, signs</v>
      </c>
      <c r="L630" s="5" t="str">
        <f>IFERROR(__xludf.DUMMYFUNCTION("GOOGLETRANSLATE(C630)"),"4 Fevr. 2023. -")</f>
        <v>4 Fevr. 2023. -</v>
      </c>
      <c r="M630" s="5" t="str">
        <f>IFERROR(__xludf.DUMMYFUNCTION("GOOGLETRANSLATE(G630)"),"Official site of Channel 1+1 Program of the program Show Series Movies Leading News #""People for Life"" - Interview #""People for Life"" - Tips #""People for Life"" - Heroes #Exclusive #Sports Front #Slush Ukrainian #+1+1 Video TV program UA RU Search sa"&amp;"ys the whole country people for the sake of life series day1+1 marathon says the whole country people for the life of series series day1+1 Marathon 11:53 | 10.11.2023. Kherson year after his release: in the project ""Year. Kherson ”Dmitry Komarov will sho"&amp;"w how Kherson lives today #year.Herson 13:25 | 22.12.2022 Instructions for setting up TV channel 1+1 Ukraine on the T2 #News 1+1 15:20 | 08/23/2023 The whole country of TV channel ""1+ 1 Ukraine"" continues to collect stories for the toxhou ""The whole co"&amp;"untry"" #says the whole country Mosichuk+ 18:11 | 09.11.2023 “There will be elections if there will be a willingness to fulfill 4 points of President of Zelensky”: Andriy Yermak in Mosaychuk+ #Mosaychuk+Breakfast with 1+1 10:41 | 10.11.2023 Who possesses "&amp;"information that better understands the world: the updated ""Breakfast with 1+1"" will be published in modern times #breakfast with 1+1 top News of ate -of -year -old people for life 10:05 | 06.11.2023 What is vertebrology and how to worry about muscle an"&amp;"d joint health: says the leading orthopedic doctor Fedir Oliynyk (Exclusive) #""People for Life"" - Interviews New Evening Quarter 12:00 | On 10.11.2023, the stars of the Quarter told about the Faisi during the performances the favorite numbers of the new"&amp;" concert and how important it is to help (exclusive) #quarter 95 Oman 10:49 | 10.11.2023 Bulling at school and how to confront it: actress of the series ""Circle of Oman"" on ""1+1 Ukraine"" Frosy Melnyk shared her own experience #Circle 10:01 | 09.11.202"&amp;"3 “I think this year I will hardly pass” - Timura Miroshnichenko's wife Inna exclusive for the site 1+1 told about the peculiarities of the process of adoption of the second child #exclusive now for 1+1 Ukraine 00:00.00 The only news 06:00 is the only new"&amp;"s 06:30 World Inside 07:00 Breakfast. Weekend 09:30 Life of famous people full issues 10:35 Life of famous people Full issues 11:40 World Inside 18:50 Plan Esight 21:00 Plan 2 22:55 Real history with Akima Galimov Full issues 23:25 Real history with Akima"&amp;" Galimova full releases All TV newspaper Breakfast with 1+1 14:50 | 10.11.2023 What skills are needed to become a barista? Explored in ""Breakfast with 1+1"" in conjunction with action. Education #Socium New Evening Quarter 12:00 | On 10.11.2023, the star"&amp;"s of the Quarter told about the Faisi during the performances, the favorite numbers of the new concert and how important it is to help (exclusive) #Quarter 95. Kherson 11:53 | 10.11.2023 after release: in the project ""Year. Kherson ”Dmitry Komarov will s"&amp;"how how Kherson lives today #year.Herson 11:25 | On 10.11.2023 it became known how the NMT will pass and whether the STA will be in 2024 #Socium Circle 10:49 | 10.11.2023 Bulling at school and how to confront it: actress of the series ""Circle of Oman"" o"&amp;"n ""1+1 Ukraine"" Frosy Melnyk shared her own experience #Circle Omana Breakfast with 1+1 10:41 | 10.11.2023 Who owns information that better understands the world: the updated ""Breakfast with 1+1"" will be published in modern times #breakfast with 1+1 0"&amp;"9:50 | 10.11.2023 Whether the hepatitis A epidemic threatens Ukraine: The Ministry of Health has been answered #health. Output 07:30 | 10.11.2023 The problem of overeating during the cold: how to eat properly in the fall (dietary advice) #Health 06:22 | 1"&amp;"0.11.2023 Astrologist told whose life will change the young month in November: named three signs #astrology 05:00 | 10.11.2023 What is the holiday today - November 10: What cannot be done #what a holiday today to read all the breakfast news with 1+1 break"&amp;"fast with 1+1 08:00 | 11/11/2023 The best aromas for autumn: we create comfort in the home (expert advice) #Helpful breakfast tips with 1+1 14:50 | 10.11.2023 What skills are needed to become a barista? Explored in ""Breakfast with 1+1"" in conjunction wi"&amp;"th action. Education #Socium Breakfast with 1+1 10:41 | 10.11.2023 Who possesses information that better understands the world: the updated ""Breakfast with 1+1"" will be published in modern times #breakfast with 1+1 Go to the page of the News Project #1+"&amp;"1 Marathon 15:10 | 08.11.2023 Natalia Ostrovskaya told about the attitude of Americans to the war in Ukraine and narratives spread Russian propaganda abroad #leading 1+1 TSN 20:02 | 07.11.2023 It is important to know: when the tariffs (Minister of Energy)"&amp;" #Socium 19:17 | 07.11.2023 How Ukrainians watched TV channels and news in October: Analytics from Kyivstar TV #News Go to the rubric We strong try to take away children. It seems that the sister of the so -called husband of our heroine wants to take chil"&amp;"dren to himself. For this purpose, she flew from Africa. Yana assures that it was used as an incubator. She believes that everything has long been planned by her husband who had a barren first wife. Why is it profitable for the father of children to give "&amp;"babies a childless woman from Africa? How to stop it? And for whom did these children really be born? The whole country is a story about a woman of Jan from Donetsk, who is trying to take away children. It seems that the sister of the so -called husband o"&amp;"f our heroine wants to take children to himself. For this purpose, she flew from Africa. Yana assures that it was used as an incubator. She believes that everything has long been planned by her husband who had a barren first wife. Why is it profitable for"&amp;" the father of children to give babies a childless woman from Africa? How to stop it? And for whom did these children really be born? Page Project News Project Full Release Playlist 1 out of 20 Video says the whole country 2 Season 20 Issue says all count"&amp;"ry 2 21 Issue says all country 2 season 2 22 Issue says the whole country 2 season 2 23 Issue says the whole country 2 season Season 2 Issue says the whole country 2 season 26 Issue says the whole country 2 season 27 Issue says the whole country 28 Season"&amp;" 28 Issue says the whole country 2 season 29 Issue says the whole country 2 season 2 season 30 Issue says the whole country 2 season 2 31 Issue says the whole country 2 Season 32 Issue says the whole country 2 season 33 Issue says the whole country 2 seas"&amp;"on 34 Issue says the whole country 2 season 35 Issue says the whole country 2 season 36 Issue says the whole country 2 season 2 season 37 Issue says the whole country 2 season 39 Issue full issues more news 06:30 | 11/11/2023 Young Month in November 2023:"&amp;" Horoscope for all zodiac signs for the new moon from Angela Pearl #Horoscope 06:03 | 11.11.2023 Significant gusts of wind and rain: weather conditions in Ukraine will worsen #weather forecast 05:30 | 11/11/2023 Wait a Wedding in November: Astrologue name"&amp;"d three zodiac signs that will marry at the end of autumn #Astrology 05:00 | 11/11/2023 What is the holiday today - November 11: Parental Saturday before the Christmas post (which cannot be done) Ukraine program to watch the right to power program to watc"&amp;"h the lives of famous people The program to watch Mosaychuk+ program to watch people for the sake of life to watch the real history of the program to watch all programs of coding of a satellite coding of a problem with a channel 1+ 1 catalog of Career Pro"&amp;"grams Leading Property Structure Rules of use of the site Editorial Statute LIMITED LIABILITY COMPANY ""TV Radio Company"" Studio 1 +1 ""Ukraine 04080 Kyiv 23 Kirillovsk in the field of media: TV channel ""1+1""-L10-00081 L10-00878 L10-00909 R10-00904; TV"&amp;" channel ""1+1 Ukraine"" - R10-00907 Continuing visiting the site you agree to the use of cookies and privacy policy I accept")</f>
        <v>Official site of Channel 1+1 Program of the program Show Series Movies Leading News #"People for Life" - Interview #"People for Life" - Tips #"People for Life" - Heroes #Exclusive #Sports Front #Slush Ukrainian #+1+1 Video TV program UA RU Search says the whole country people for the sake of life series day1+1 marathon says the whole country people for the life of series series day1+1 Marathon 11:53 | 10.11.2023. Kherson year after his release: in the project "Year. Kherson ”Dmitry Komarov will show how Kherson lives today #year.Herson 13:25 | 22.12.2022 Instructions for setting up TV channel 1+1 Ukraine on the T2 #News 1+1 15:20 | 08/23/2023 The whole country of TV channel "1+ 1 Ukraine" continues to collect stories for the toxhou "The whole country" #says the whole country Mosichuk+ 18:11 | 09.11.2023 “There will be elections if there will be a willingness to fulfill 4 points of President of Zelensky”: Andriy Yermak in Mosaychuk+ #Mosaychuk+Breakfast with 1+1 10:41 | 10.11.2023 Who possesses information that better understands the world: the updated "Breakfast with 1+1" will be published in modern times #breakfast with 1+1 top News of ate -of -year -old people for life 10:05 | 06.11.2023 What is vertebrology and how to worry about muscle and joint health: says the leading orthopedic doctor Fedir Oliynyk (Exclusive) #"People for Life" - Interviews New Evening Quarter 12:00 | On 10.11.2023, the stars of the Quarter told about the Faisi during the performances the favorite numbers of the new concert and how important it is to help (exclusive) #quarter 95 Oman 10:49 | 10.11.2023 Bulling at school and how to confront it: actress of the series "Circle of Oman" on "1+1 Ukraine" Frosy Melnyk shared her own experience #Circle 10:01 | 09.11.2023 “I think this year I will hardly pass” - Timura Miroshnichenko's wife Inna exclusive for the site 1+1 told about the peculiarities of the process of adoption of the second child #exclusive now for 1+1 Ukraine 00:00.00 The only news 06:00 is the only news 06:30 World Inside 07:00 Breakfast. Weekend 09:30 Life of famous people full issues 10:35 Life of famous people Full issues 11:40 World Inside 18:50 Plan Esight 21:00 Plan 2 22:55 Real history with Akima Galimov Full issues 23:25 Real history with Akima Galimova full releases All TV newspaper Breakfast with 1+1 14:50 | 10.11.2023 What skills are needed to become a barista? Explored in "Breakfast with 1+1" in conjunction with action. Education #Socium New Evening Quarter 12:00 | On 10.11.2023, the stars of the Quarter told about the Faisi during the performances, the favorite numbers of the new concert and how important it is to help (exclusive) #Quarter 95. Kherson 11:53 | 10.11.2023 after release: in the project "Year. Kherson ”Dmitry Komarov will show how Kherson lives today #year.Herson 11:25 | On 10.11.2023 it became known how the NMT will pass and whether the STA will be in 2024 #Socium Circle 10:49 | 10.11.2023 Bulling at school and how to confront it: actress of the series "Circle of Oman" on "1+1 Ukraine" Frosy Melnyk shared her own experience #Circle Omana Breakfast with 1+1 10:41 | 10.11.2023 Who owns information that better understands the world: the updated "Breakfast with 1+1" will be published in modern times #breakfast with 1+1 09:50 | 10.11.2023 Whether the hepatitis A epidemic threatens Ukraine: The Ministry of Health has been answered #health. Output 07:30 | 10.11.2023 The problem of overeating during the cold: how to eat properly in the fall (dietary advice) #Health 06:22 | 10.11.2023 Astrologist told whose life will change the young month in November: named three signs #astrology 05:00 | 10.11.2023 What is the holiday today - November 10: What cannot be done #what a holiday today to read all the breakfast news with 1+1 breakfast with 1+1 08:00 | 11/11/2023 The best aromas for autumn: we create comfort in the home (expert advice) #Helpful breakfast tips with 1+1 14:50 | 10.11.2023 What skills are needed to become a barista? Explored in "Breakfast with 1+1" in conjunction with action. Education #Socium Breakfast with 1+1 10:41 | 10.11.2023 Who possesses information that better understands the world: the updated "Breakfast with 1+1" will be published in modern times #breakfast with 1+1 Go to the page of the News Project #1+1 Marathon 15:10 | 08.11.2023 Natalia Ostrovskaya told about the attitude of Americans to the war in Ukraine and narratives spread Russian propaganda abroad #leading 1+1 TSN 20:02 | 07.11.2023 It is important to know: when the tariffs (Minister of Energy) #Socium 19:17 | 07.11.2023 How Ukrainians watched TV channels and news in October: Analytics from Kyivstar TV #News Go to the rubric We strong try to take away children. It seems that the sister of the so -called husband of our heroine wants to take children to himself. For this purpose, she flew from Africa. Yana assures that it was used as an incubator. She believes that everything has long been planned by her husband who had a barren first wife. Why is it profitable for the father of children to give babies a childless woman from Africa? How to stop it? And for whom did these children really be born? The whole country is a story about a woman of Jan from Donetsk, who is trying to take away children. It seems that the sister of the so -called husband of our heroine wants to take children to himself. For this purpose, she flew from Africa. Yana assures that it was used as an incubator. She believes that everything has long been planned by her husband who had a barren first wife. Why is it profitable for the father of children to give babies a childless woman from Africa? How to stop it? And for whom did these children really be born? Page Project News Project Full Release Playlist 1 out of 20 Video says the whole country 2 Season 20 Issue says all country 2 21 Issue says all country 2 season 2 22 Issue says the whole country 2 season 2 23 Issue says the whole country 2 season Season 2 Issue says the whole country 2 season 26 Issue says the whole country 2 season 27 Issue says the whole country 28 Season 28 Issue says the whole country 2 season 29 Issue says the whole country 2 season 2 season 30 Issue says the whole country 2 season 2 31 Issue says the whole country 2 Season 32 Issue says the whole country 2 season 33 Issue says the whole country 2 season 34 Issue says the whole country 2 season 35 Issue says the whole country 2 season 36 Issue says the whole country 2 season 2 season 37 Issue says the whole country 2 season 39 Issue full issues more news 06:30 | 11/11/2023 Young Month in November 2023: Horoscope for all zodiac signs for the new moon from Angela Pearl #Horoscope 06:03 | 11.11.2023 Significant gusts of wind and rain: weather conditions in Ukraine will worsen #weather forecast 05:30 | 11/11/2023 Wait a Wedding in November: Astrologue named three zodiac signs that will marry at the end of autumn #Astrology 05:00 | 11/11/2023 What is the holiday today - November 11: Parental Saturday before the Christmas post (which cannot be done) Ukraine program to watch the right to power program to watch the lives of famous people The program to watch Mosaychuk+ program to watch people for the sake of life to watch the real history of the program to watch all programs of coding of a satellite coding of a problem with a channel 1+ 1 catalog of Career Programs Leading Property Structure Rules of use of the site Editorial Statute LIMITED LIABILITY COMPANY "TV Radio Company" Studio 1 +1 "Ukraine 04080 Kyiv 23 Kirillovsk in the field of media: TV channel "1+1"-L10-00081 L10-00878 L10-00909 R10-00904; TV channel "1+1 Ukraine" - R10-00907 Continuing visiting the site you agree to the use of cookies and privacy policy I accept</v>
      </c>
    </row>
    <row r="631">
      <c r="A631" s="1" t="s">
        <v>2115</v>
      </c>
      <c r="B631" s="1" t="s">
        <v>1084</v>
      </c>
      <c r="C631" s="1" t="s">
        <v>1085</v>
      </c>
      <c r="D631" s="1">
        <v>1.0</v>
      </c>
      <c r="E631" s="4" t="s">
        <v>1086</v>
      </c>
      <c r="F631" s="1" t="s">
        <v>43</v>
      </c>
      <c r="G631" s="1" t="s">
        <v>1087</v>
      </c>
      <c r="H631" s="4" t="s">
        <v>1088</v>
      </c>
      <c r="I631" s="2">
        <v>0.0</v>
      </c>
      <c r="J631" s="5" t="str">
        <f>IFERROR(__xludf.DUMMYFUNCTION("GOOGLETRANSLATE(A631)"),"translation")</f>
        <v>translation</v>
      </c>
      <c r="K631" s="6" t="str">
        <f>IFERROR(__xludf.DUMMYFUNCTION("GOOGLETRANSLATE(B631)"),"Google Translate")</f>
        <v>Google Translate</v>
      </c>
      <c r="L631" s="5" t="str">
        <f>IFERROR(__xludf.DUMMYFUNCTION("GOOGLETRANSLATE(C631)"),"The free Google service allows you to instantly translate words, phrases and web pages. More than 100 languages ​​are supported.")</f>
        <v>The free Google service allows you to instantly translate words, phrases and web pages. More than 100 languages ​​are supported.</v>
      </c>
      <c r="M631" s="5" t="str">
        <f>IFERROR(__xludf.DUMMYFUNCTION("GOOGLETRANSLATE(G631)"),"Google TranslateTranslateSettings SettingsVoice speedNormalTestSlowTestSlowerTestSign inTranslateAbout Google TranslatePrivacy &amp; TermsHelpSend feedbackAbout GoogleTranslation typesTextImagesDocumentsWebsitesText translationDetect languageDetect languageEn"&amp;"glishSpanishFrenchswap_horizSwap languages (Ctrl+Shift+S)EnglishEnglishSpanishArabicClose pickerTranslate fromsearchSearch languagescloseClose pickerClose searchclearClear search textcheckhistoryDetect languageauto_awesomeRecent languagesAll languageschec"&amp;"khistoryAfrikaanscheckhistoryAlbaniancheckhistoryAmhariccheckhistoryArabiccheckhistoryArmeniancheckhistoryAssamesecheckhistoryAymaracheckhistoryAzerbaijanicheckhistoryBambaracheckhistoryBasquecheckhistoryBelarusiancheckhistoryBengalicheckhistoryBhojpurich"&amp;"eckhistoryBosniancheckhistoryBulgariancheckhistoryCatalancheckhistoryCebuanocheckhistoryChichewacheckhistoryChinese (Simplified)checkhistoryChinese (Traditional)checkhistoryCorsicancheckhistoryCroatiancheckhistoryCzechcheckhistoryDanishcheckhistoryDhivehi"&amp;"checkhistoryDogricheckhistoryDutchcheckhistoryEnglishcheckhistoryEsperantocheckhistoryEstoniancheckhistoryEwecheckhistoryFilipinocheckhistoryFinnishcheckhistoryFrenchcheckhistoryFrisiancheckhistoryGaliciancheckhistoryGeorgiancheckhistoryGermancheckhistory"&amp;"GreekcheckhistoryGuaranicheckhistoryGujaraticheckhistoryHaitian CreolecheckhistoryHausacheckhistoryHawaiiancheckhistoryHebrewcheckhistoryHindicheckhistoryHmongcheckhistoryHungariancheckhistoryIcelandiccheckhistoryIgbocheckhistoryIlocanocheckhistoryIndones"&amp;"iancheckhistoryIrishcheckhistoryItaliancheckhistoryJapanesecheckhistoryJavanesecheckhistoryKannadacheckhistoryKazakhcheckhistoryKhmercheckhistoryKinyarwandacheckhistoryKonkanicheckhistoryKoreancheckhistoryKriocheckhistoryKurdish (Kurmanji)checkhistoryKurd"&amp;"ish (Sorani)checkhistoryKyrgyzcheckhistoryLaocheckhistoryLatincheckhistoryLatviancheckhistoryLingalacheckhistoryLithuaniancheckhistoryLugandacheckhistoryLuxembourgishcheckhistoryMacedoniancheckhistoryMaithilicheckhistoryMalagasycheckhistoryMalaycheckhisto"&amp;"ryMalayalamcheckhistoryMaltesecheckhistoryMaoricheckhistoryMarathicheckhistoryMeiteilon (Manipuri)checkhistoryMizocheckhistoryMongoliancheckhistoryMyanmar (Burmese)checkhistoryNepalicheckhistoryNorwegiancheckhistoryOdia (Oriya)checkhistoryOromocheckhistor"&amp;"yPashtocheckhistoryPersiancheckhistoryPolishcheckhistoryPortuguesecheckhistoryPunjabicheckhistoryQuechuacheckhistoryRomaniancheckhistoryRussiancheckhistorySamoancheckhistorySanskritcheckhistoryScots GaeliccheckhistorySepedicheckhistorySerbiancheckhistoryS"&amp;"esothocheckhistoryShonacheckhistorySindhicheckhistorySinhalacheckhistorySlovakcheckhistorySloveniancheckhistorySomalicheckhistorySpanishcheckhistorySundanesecheckhistorySwahilicheckhistorySwedishcheckhistoryTajikcheckhistoryTamilcheckhistoryTatarcheckhist"&amp;"oryTelugucheckhistoryThaicheckhistoryTigrinyacheckhistoryTsongacheckhistoryTurkishcheckhistoryTurkmencheckhistoryTwicheckhistoryUkrainiancheckhistoryUrducheckhistoryUyghurcheckhistoryUzbekcheckhistoryVietnamesecheckhistoryWelshcheckhistoryXhosacheckhistor"&amp;"yYiddishcheckhistoryYorubacheckhistoryZuluClose pickerTranslate tosearchSearch languagescloseClose pickerClose searchclearClear search textRecent languagesAll languagescheckhistoryAfrikaanscheckhistoryAlbaniancheckhistoryAmhariccheckhistoryArabiccheckhist"&amp;"oryArmeniancheckhistoryAssamesecheckhistoryAymaracheckhistoryAzerbaijanicheckhistoryBambaracheckhistoryBasquecheckhistoryBelarusiancheckhistoryBengalicheckhistoryBhojpuricheckhistoryBosniancheckhistoryBulgariancheckhistoryCatalancheckhistoryCebuanocheckhi"&amp;"storyChichewacheckhistoryChinese (Simplified)checkhistoryChinese (Traditional)checkhistoryCorsicancheckhistoryCroatiancheckhistoryCzechcheckhistoryDanishcheckhistoryDhivehicheckhistoryDogricheckhistoryDutchcheckhistoryEnglishcheckhistoryEsperantocheckhist"&amp;"oryEstoniancheckhistoryEwecheckhistoryFilipinocheckhistoryFinnishcheckhistoryFrenchcheckhistoryFrisiancheckhistoryGaliciancheckhistoryGeorgiancheckhistoryGermancheckhistoryGreekcheckhistoryGuaranicheckhistoryGujaraticheckhistoryHaitian CreolecheckhistoryH"&amp;"ausacheckhistoryHawaiiancheckhistoryHebrewcheckhistoryHindicheckhistoryHmongcheckhistoryHungariancheckhistoryIcelandiccheckhistoryIgbocheckhistoryIlocanocheckhistoryIndonesiancheckhistoryIrishcheckhistoryItaliancheckhistoryJapanesecheckhistoryJavanesechec"&amp;"khistoryKannadacheckhistoryKazakhcheckhistoryKhmercheckhistoryKinyarwandacheckhistoryKonkanicheckhistoryKoreancheckhistoryKriocheckhistoryKurdish (Kurmanji)checkhistoryKurdish (Sorani)checkhistoryKyrgyzcheckhistoryLaocheckhistoryLatincheckhistoryLatvianch"&amp;"eckhistoryLingalacheckhistoryLithuaniancheckhistoryLugandacheckhistoryLuxembourgishcheckhistoryMacedoniancheckhistoryMaithilicheckhistoryMalagasycheckhistoryMalaycheckhistoryMalayalamcheckhistoryMaltesecheckhistoryMaoricheckhistoryMarathicheckhistoryMeite"&amp;"ilon (Manipuri)checkhistoryMizocheckhistoryMongoliancheckhistoryMyanmar (Burmese)checkhistoryNepalicheckhistoryNorwegiancheckhistoryOdia (Oriya)checkhistoryOromocheckhistoryPashtocheckhistoryPersiancheckhistoryPolishcheckhistoryPortuguesecheckhistoryPunja"&amp;"bicheckhistoryQuechuacheckhistoryRomaniancheckhistoryRussiancheckhistorySamoancheckhistorySanskritcheckhistoryScots GaeliccheckhistorySepedicheckhistorySerbiancheckhistorySesothocheckhistoryShonacheckhistorySindhicheckhistorySinhalacheckhistorySlovakcheck"&amp;"historySloveniancheckhistorySomalicheckhistorySpanishcheckhistorySundanesecheckhistorySwahilicheckhistorySwedishcheckhistoryTajikcheckhistoryTamilcheckhistoryTatarcheckhistoryTelugucheckhistoryThaicheckhistoryTigrinyacheckhistoryTsongacheckhistoryTurkishc"&amp;"heckhistoryTurkmencheckhistoryTwicheckhistoryUkrainiancheckhistoryUrducheckhistoryUyghurcheckhistoryUzbekcheckhistoryVietnamesecheckhistoryWelshcheckhistoryXhosacheckhistoryYiddishcheckhistoryYorubacheckhistoryZuluGetting translation...May contain sensiti"&amp;"ve languageMay contain disputed languageMay contain sensitive and disputed languageLearn moreDismissSource textclearClear source textShow moreShow lessVoice input isn't supported on this browserBusy...Translate by voiceLoading...Listen0 / 5000Loading...Tu"&amp;"rn on HandwritingSelect Input ToolkeyboardTranslation resultsTranslationTranslating...Translations are gender-specific. Learn moreSome sentences may contain gender-specific alternatives. Click a sentence to see alternatives. Learn moreGender-specific tran"&amp;"slations are limited. Learn moreerror_outlineTranslation errorTry againDocument translationDetect languageDetect languageEnglishSpanishFrenchswap_horizSwap languages (Ctrl+Shift+S)EnglishEnglishSpanishArabicClose pickerTranslate fromsearchSearch languages"&amp;"closeClose pickerClose searchclearClear search textcheckhistoryDetect languageauto_awesomeRecent languagesAll languagescheckhistoryAfrikaanscheckhistoryAlbaniancheckhistoryAmhariccheckhistoryArabiccheckhistoryArmeniancheckhistoryAssamesecheckhistoryAymara"&amp;"checkhistoryAzerbaijanicheckhistoryBambaracheckhistoryBasquecheckhistoryBelarusiancheckhistoryBengalicheckhistoryBhojpuricheckhistoryBosniancheckhistoryBulgariancheckhistoryCatalancheckhistoryCebuanocheckhistoryChichewacheckhistoryChinese (Simplified)chec"&amp;"khistoryChinese (Traditional)checkhistoryCorsicancheckhistoryCroatiancheckhistoryCzechcheckhistoryDanishcheckhistoryDhivehicheckhistoryDogricheckhistoryDutchcheckhistoryEnglishcheckhistoryEsperantocheckhistoryEstoniancheckhistoryEwecheckhistoryFilipinoche"&amp;"ckhistoryFinnishcheckhistoryFrenchcheckhistoryFrisiancheckhistoryGaliciancheckhistoryGeorgiancheckhistoryGermancheckhistoryGreekcheckhistoryGuaranicheckhistoryGujaraticheckhistoryHaitian CreolecheckhistoryHausacheckhistoryHawaiiancheckhistoryHebrewcheckhi"&amp;"storyHindicheckhistoryHmongcheckhistoryHungariancheckhistoryIcelandiccheckhistoryIgbocheckhistoryIlocanocheckhistoryIndonesiancheckhistoryIrishcheckhistoryItaliancheckhistoryJapanesecheckhistoryJavanesecheckhistoryKannadacheckhistoryKazakhcheckhistoryKhme"&amp;"rcheckhistoryKinyarwandacheckhistoryKonkanicheckhistoryKoreancheckhistoryKriocheckhistoryKurdish (Kurmanji)checkhistoryKurdish (Sorani)checkhistoryKyrgyzcheckhistoryLaocheckhistoryLatincheckhistoryLatviancheckhistoryLingalacheckhistoryLithuaniancheckhisto"&amp;"ryLugandacheckhistoryLuxembourgishcheckhistoryMacedoniancheckhistoryMaithilicheckhistoryMalagasycheckhistoryMalaycheckhistoryMalayalamcheckhistoryMaltesecheckhistoryMaoricheckhistoryMarathicheckhistoryMeiteilon (Manipuri)checkhistoryMizocheckhistoryMongol"&amp;"iancheckhistoryMyanmar (Burmese)checkhistoryNepalicheckhistoryNorwegiancheckhistoryOdia (Oriya)checkhistoryOromocheckhistoryPashtocheckhistoryPersiancheckhistoryPolishcheckhistoryPortuguesecheckhistoryPunjabicheckhistoryQuechuacheckhistoryRomaniancheckhis"&amp;"toryRussiancheckhistorySamoancheckhistorySanskritcheckhistoryScots GaeliccheckhistorySepedicheckhistorySerbiancheckhistorySesothocheckhistoryShonacheckhistorySindhicheckhistorySinhalacheckhistorySlovakcheckhistorySloveniancheckhistorySomalicheckhistorySpa"&amp;"nishcheckhistorySundanesecheckhistorySwahilicheckhistorySwedishcheckhistoryTajikcheckhistoryTamilcheckhistoryTatarcheckhistoryTelugucheckhistoryThaicheckhistoryTigrinyacheckhistoryTsongacheckhistoryTurkishcheckhistoryTurkmencheckhistoryTwicheckhistoryUkra"&amp;"iniancheckhistoryUrducheckhistoryUyghurcheckhistoryUzbekcheckhistoryVietnamesecheckhistoryWelshcheckhistoryXhosacheckhistoryYiddishcheckhistoryYorubacheckhistoryZuluClose pickerTranslate tosearchSearch languagescloseClose pickerClose searchclearClear sear"&amp;"ch textRecent languagesAll languagescheckhistoryAfrikaanscheckhistoryAlbaniancheckhistoryAmhariccheckhistoryArabiccheckhistoryArmeniancheckhistoryAssamesecheckhistoryAymaracheckhistoryAzerbaijanicheckhistoryBambaracheckhistoryBasquecheckhistoryBelarusianc"&amp;"heckhistoryBengalicheckhistoryBhojpuricheckhistoryBosniancheckhistoryBulgariancheckhistoryCatalancheckhistoryCebuanocheckhistoryChichewacheckhistoryChinese (Simplified)checkhistoryChinese (Traditional)checkhistoryCorsicancheckhistoryCroatiancheckhistoryCz"&amp;"echcheckhistoryDanishcheckhistoryDhivehicheckhistoryDogricheckhistoryDutchcheckhistoryEnglishcheckhistoryEsperantocheckhistoryEstoniancheckhistoryEwecheckhistoryFilipinocheckhistoryFinnishcheckhistoryFrenchcheckhistoryFrisiancheckhistoryGaliciancheckhisto"&amp;"ryGeorgiancheckhistoryGermancheckhistoryGreekcheckhistoryGuaranicheckhistoryGujaraticheckhistoryHaitian CreolecheckhistoryHausacheckhistoryHawaiiancheckhistoryHebrewcheckhistoryHindicheckhistoryHmongcheckhistoryHungariancheckhistoryIcelandiccheckhistoryIg"&amp;"bocheckhistoryIlocanocheckhistoryIndonesiancheckhistoryIrishcheckhistoryItaliancheckhistoryJapanesecheckhistoryJavanesecheckhistoryKannadacheckhistoryKazakhcheckhistoryKhmercheckhistoryKinyarwandacheckhistoryKonkanicheckhistoryKoreancheckhistoryKriocheckh"&amp;"istoryKurdish (Kurmanji)checkhistoryKurdish (Sorani)checkhistoryKyrgyzcheckhistoryLaocheckhistoryLatincheckhistoryLatviancheckhistoryLingalacheckhistoryLithuaniancheckhistoryLugandacheckhistoryLuxembourgishcheckhistoryMacedoniancheckhistoryMaithilicheckhi"&amp;"storyMalagasycheckhistoryMalaycheckhistoryMalayalamcheckhistoryMaltesecheckhistoryMaoricheckhistoryMarathicheckhistoryMeiteilon (Manipuri)checkhistoryMizocheckhistoryMongoliancheckhistoryMyanmar (Burmese)checkhistoryNepalicheckhistoryNorwegiancheckhistory"&amp;"Odia (Oriya)checkhistoryOromocheckhistoryPashtocheckhistoryPersiancheckhistoryPolishcheckhistoryPortuguesecheckhistoryPunjabicheckhistoryQuechuacheckhistoryRomaniancheckhistoryRussiancheckhistorySamoancheckhistorySanskritcheckhistoryScots Gaeliccheckhisto"&amp;"rySepedicheckhistorySerbiancheckhistorySesothocheckhistoryShonacheckhistorySindhicheckhistorySinhalacheckhistorySlovakcheckhistorySloveniancheckhistorySomalicheckhistorySpanishcheckhistorySundanesecheckhistorySwahilicheckhistorySwedishcheckhistoryTajikche"&amp;"ckhistoryTamilcheckhistoryTatarcheckhistoryTelugucheckhistoryThaicheckhistoryTigrinyacheckhistoryTsongacheckhistoryTurkishcheckhistoryTurkmencheckhistoryTwicheckhistoryUkrainiancheckhistoryUrducheckhistoryUyghurcheckhistoryUzbekcheckhistoryVietnamesecheck"&amp;"historyWelshcheckhistoryXhosacheckhistoryYiddishcheckhistoryYorubacheckhistoryZuluDrag and dropDrag and dropOr choose a fileBrowse your filesSupported file types: .docx .pdf .pptx .xlsx.   Learn moreDrop file herePowered by Google Cloud TranslationWebsite"&amp;" translationDetect languageDetect languageEnglishSpanishFrenchswap_horizSwap languages (Ctrl+Shift+S)EnglishEnglishSpanishArabicClose pickerTranslate fromsearchSearch languagescloseClose pickerClose searchclearClear search textcheckhistoryDetect languagea"&amp;"uto_awesomeRecent languagesAll languagescheckhistoryAfrikaanscheckhistoryAlbaniancheckhistoryAmhariccheckhistoryArabiccheckhistoryArmeniancheckhistoryAssamesecheckhistoryAymaracheckhistoryAzerbaijanicheckhistoryBambaracheckhistoryBasquecheckhistoryBelarus"&amp;"iancheckhistoryBengalicheckhistoryBhojpuricheckhistoryBosniancheckhistoryBulgariancheckhistoryCatalancheckhistoryCebuanocheckhistoryChichewacheckhistoryChinese (Simplified)checkhistoryChinese (Traditional)checkhistoryCorsicancheckhistoryCroatiancheckhisto"&amp;"ryCzechcheckhistoryDanishcheckhistoryDhivehicheckhistoryDogricheckhistoryDutchcheckhistoryEnglishcheckhistoryEsperantocheckhistoryEstoniancheckhistoryEwecheckhistoryFilipinocheckhistoryFinnishcheckhistoryFrenchcheckhistoryFrisiancheckhistoryGaliciancheckh"&amp;"istoryGeorgiancheckhistoryGermancheckhistoryGreekcheckhistoryGuaranicheckhistoryGujaraticheckhistoryHaitian CreolecheckhistoryHausacheckhistoryHawaiiancheckhistoryHebrewcheckhistoryHindicheckhistoryHmongcheckhistoryHungariancheckhistoryIcelandiccheckhisto"&amp;"ryIgbocheckhistoryIlocanocheckhistoryIndonesiancheckhistoryIrishcheckhistoryItaliancheckhistoryJapanesecheckhistoryJavanesecheckhistoryKannadacheckhistoryKazakhcheckhistoryKhmercheckhistoryKinyarwandacheckhistoryKonkanicheckhistoryKoreancheckhistoryKrioch"&amp;"eckhistoryKurdish (Kurmanji)checkhistoryKurdish (Sorani)checkhistoryKyrgyzcheckhistoryLaocheckhistoryLatincheckhistoryLatviancheckhistoryLingalacheckhistoryLithuaniancheckhistoryLugandacheckhistoryLuxembourgishcheckhistoryMacedoniancheckhistoryMaithiliche"&amp;"ckhistoryMalagasycheckhistoryMalaycheckhistoryMalayalamcheckhistoryMaltesecheckhistoryMaoricheckhistoryMarathicheckhistoryMeiteilon (Manipuri)checkhistoryMizocheckhistoryMongoliancheckhistoryMyanmar (Burmese)checkhistoryNepalicheckhistoryNorwegiancheckhis"&amp;"toryOdia (Oriya)checkhistoryOromocheckhistoryPashtocheckhistoryPersiancheckhistoryPolishcheckhistoryPortuguesecheckhistoryPunjabicheckhistoryQuechuacheckhistoryRomaniancheckhistoryRussiancheckhistorySamoancheckhistorySanskritcheckhistoryScots Gaeliccheckh"&amp;"istorySepedicheckhistorySerbiancheckhistorySesothocheckhistoryShonacheckhistorySindhicheckhistorySinhalacheckhistorySlovakcheckhistorySloveniancheckhistorySomalicheckhistorySpanishcheckhistorySundanesecheckhistorySwahilicheckhistorySwedishcheckhistoryTaji"&amp;"kcheckhistoryTamilcheckhistoryTatarcheckhistoryTelugucheckhistoryThaicheckhistoryTigrinyacheckhistoryTsongacheckhistoryTurkishcheckhistoryTurkmencheckhistoryTwicheckhistoryUkrainiancheckhistoryUrducheckhistoryUyghurcheckhistoryUzbekcheckhistoryVietnamesec"&amp;"heckhistoryWelshcheckhistoryXhosacheckhistoryYiddishcheckhistoryYorubacheckhistoryZuluClose pickerTranslate tosearchSearch languagescloseClose pickerClose searchclearClear search textRecent languagesAll languagescheckhistoryAfrikaanscheckhistoryAlbanianch"&amp;"eckhistoryAmhariccheckhistoryArabiccheckhistoryArmeniancheckhistoryAssamesecheckhistoryAymaracheckhistoryAzerbaijanicheckhistoryBambaracheckhistoryBasquecheckhistoryBelarusiancheckhistoryBengalicheckhistoryBhojpuricheckhistoryBosniancheckhistoryBulgarianc"&amp;"heckhistoryCatalancheckhistoryCebuanocheckhistoryChichewacheckhistoryChinese (Simplified)checkhistoryChinese (Traditional)checkhistoryCorsicancheckhistoryCroatiancheckhistoryCzechcheckhistoryDanishcheckhistoryDhivehicheckhistoryDogricheckhistoryDutchcheck"&amp;"historyEnglishcheckhistoryEsperantocheckhistoryEstoniancheckhistoryEwecheckhistoryFilipinocheckhistoryFinnishcheckhistoryFrenchcheckhistoryFrisiancheckhistoryGaliciancheckhistoryGeorgiancheckhistoryGermancheckhistoryGreekcheckhistoryGuaranicheckhistoryGuj"&amp;"araticheckhistoryHaitian CreolecheckhistoryHausacheckhistoryHawaiiancheckhistoryHebrewcheckhistoryHindicheckhistoryHmongcheckhistoryHungariancheckhistoryIcelandiccheckhistoryIgbocheckhistoryIlocanocheckhistoryIndonesiancheckhistoryIrishcheckhistoryItalian"&amp;"checkhistoryJapanesecheckhistoryJavanesecheckhistoryKannadacheckhistoryKazakhcheckhistoryKhmercheckhistoryKinyarwandacheckhistoryKonkanicheckhistoryKoreancheckhistoryKriocheckhistoryKurdish (Kurmanji)checkhistoryKurdish (Sorani)checkhistoryKyrgyzcheckhist"&amp;"oryLaocheckhistoryLatincheckhistoryLatviancheckhistoryLingalacheckhistoryLithuaniancheckhistoryLugandacheckhistoryLuxembourgishcheckhistoryMacedoniancheckhistoryMaithilicheckhistoryMalagasycheckhistoryMalaycheckhistoryMalayalamcheckhistoryMaltesecheckhist"&amp;"oryMaoricheckhistoryMarathicheckhistoryMeiteilon (Manipuri)checkhistoryMizocheckhistoryMongoliancheckhistoryMyanmar (Burmese)checkhistoryNepalicheckhistoryNorwegiancheckhistoryOdia (Oriya)checkhistoryOromocheckhistoryPashtocheckhistoryPersiancheckhistoryP"&amp;"olishcheckhistoryPortuguesecheckhistoryPunjabicheckhistoryQuechuacheckhistoryRomaniancheckhistoryRussiancheckhistorySamoancheckhistorySanskritcheckhistoryScots GaeliccheckhistorySepedicheckhistorySerbiancheckhistorySesothocheckhistoryShonacheckhistorySind"&amp;"hicheckhistorySinhalacheckhistorySlovakcheckhistorySloveniancheckhistorySomalicheckhistorySpanishcheckhistorySundanesecheckhistorySwahilicheckhistorySwedishcheckhistoryTajikcheckhistoryTamilcheckhistoryTatarcheckhistoryTelugucheckhistoryThaicheckhistoryTi"&amp;"grinyacheckhistoryTsongacheckhistoryTurkishcheckhistoryTurkmencheckhistoryTwicheckhistoryUkrainiancheckhistoryUrducheckhistoryUyghurcheckhistoryUzbekcheckhistoryVietnamesecheckhistoryWelshcheckhistoryXhosacheckhistoryYiddishcheckhistoryYorubacheckhistoryZ"&amp;"ulu WebsiteClear URLEnter a URLTranslateTranslatingImage translationDetect languageDetect languageEnglishSpanishFrenchswap_horizSwap languages (Ctrl+Shift+S)EnglishEnglishSpanishArabicClose pickerTranslate fromsearchSearch languagescloseClose pickerClose "&amp;"searchclearClear search textcheckhistoryDetect languageauto_awesomeRecent languagesAll languagescheckhistoryAfrikaanscheckhistoryAlbaniancheckhistoryAmhariccheckhistoryArabiccheckhistoryArmeniancheckhistoryAssamesecheckhistoryAymaracheckhistoryAzerbaijani"&amp;"checkhistoryBambaracheckhistoryBasquecheckhistoryBelarusiancheckhistoryBengalicheckhistoryBhojpuricheckhistoryBosniancheckhistoryBulgariancheckhistoryCatalancheckhistoryCebuanocheckhistoryChichewacheckhistoryChinese (Simplified)checkhistoryChinese (Tradit"&amp;"ional)checkhistoryCorsicancheckhistoryCroatiancheckhistoryCzechcheckhistoryDanishcheckhistoryDhivehicheckhistoryDogricheckhistoryDutchcheckhistoryEnglishcheckhistoryEsperantocheckhistoryEstoniancheckhistoryEwecheckhistoryFilipinocheckhistoryFinnishcheckhi"&amp;"storyFrenchcheckhistoryFrisiancheckhistoryGaliciancheckhistoryGeorgiancheckhistoryGermancheckhistoryGreekcheckhistoryGuaranicheckhistoryGujaraticheckhistoryHaitian CreolecheckhistoryHausacheckhistoryHawaiiancheckhistoryHebrewcheckhistoryHindicheckhistoryH"&amp;"mongcheckhistoryHungariancheckhistoryIcelandiccheckhistoryIgbocheckhistoryIlocanocheckhistoryIndonesiancheckhistoryIrishcheckhistoryItaliancheckhistoryJapanesecheckhistoryJavanesecheckhistoryKannadacheckhistoryKazakhcheckhistoryKhmercheckhistoryKinyarwand"&amp;"acheckhistoryKonkanicheckhistoryKoreancheckhistoryKriocheckhistoryKurdish (Kurmanji)checkhistoryKurdish (Sorani)checkhistoryKyrgyzcheckhistoryLaocheckhistoryLatincheckhistoryLatviancheckhistoryLingalacheckhistoryLithuaniancheckhistoryLugandacheckhistoryLu"&amp;"xembourgishcheckhistoryMacedoniancheckhistoryMaithilicheckhistoryMalagasycheckhistoryMalaycheckhistoryMalayalamcheckhistoryMaltesecheckhistoryMaoricheckhistoryMarathicheckhistoryMeiteilon (Manipuri)checkhistoryMizocheckhistoryMongoliancheckhistoryMyanmar "&amp;"(Burmese)checkhistoryNepalicheckhistoryNorwegiancheckhistoryOdia (Oriya)checkhistoryOromocheckhistoryPashtocheckhistoryPersiancheckhistoryPolishcheckhistoryPortuguesecheckhistoryPunjabicheckhistoryQuechuacheckhistoryRomaniancheckhistoryRussiancheckhistory"&amp;"SamoancheckhistorySanskritcheckhistoryScots GaeliccheckhistorySepedicheckhistorySerbiancheckhistorySesothocheckhistoryShonacheckhistorySindhicheckhistorySinhalacheckhistorySlovakcheckhistorySloveniancheckhistorySomalicheckhistorySpanishcheckhistorySundane"&amp;"secheckhistorySwahilicheckhistorySwedishcheckhistoryTajikcheckhistoryTamilcheckhistoryTatarcheckhistoryTelugucheckhistoryThaicheckhistoryTigrinyacheckhistoryTsongacheckhistoryTurkishcheckhistoryTurkmencheckhistoryTwicheckhistoryUkrainiancheckhistoryUrduch"&amp;"eckhistoryUyghurcheckhistoryUzbekcheckhistoryVietnamesecheckhistoryWelshcheckhistoryXhosacheckhistoryYiddishcheckhistoryYorubacheckhistoryZuluClose pickerTranslate tosearchSearch languagescloseClose pickerClose searchclearClear search textRecent languages"&amp;"All languagescheckhistoryAfrikaanscheckhistoryAlbaniancheckhistoryAmhariccheckhistoryArabiccheckhistoryArmeniancheckhistoryAssamesecheckhistoryAymaracheckhistoryAzerbaijanicheckhistoryBambaracheckhistoryBasquecheckhistoryBelarusiancheckhistoryBengalicheck"&amp;"historyBhojpuricheckhistoryBosniancheckhistoryBulgariancheckhistoryCatalancheckhistoryCebuanocheckhistoryChichewacheckhistoryChinese (Simplified)checkhistoryChinese (Traditional)checkhistoryCorsicancheckhistoryCroatiancheckhistoryCzechcheckhistoryDanishch"&amp;"eckhistoryDhivehicheckhistoryDogricheckhistoryDutchcheckhistoryEnglishcheckhistoryEsperantocheckhistoryEstoniancheckhistoryEwecheckhistoryFilipinocheckhistoryFinnishcheckhistoryFrenchcheckhistoryFrisiancheckhistoryGaliciancheckhistoryGeorgiancheckhistoryG"&amp;"ermancheckhistoryGreekcheckhistoryGuaranicheckhistoryGujaraticheckhistoryHaitian CreolecheckhistoryHausacheckhistoryHawaiiancheckhistoryHebrewcheckhistoryHindicheckhistoryHmongcheckhistoryHungariancheckhistoryIcelandiccheckhistoryIgbocheckhistoryIlocanoch"&amp;"eckhistoryIndonesiancheckhistoryIrishcheckhistoryItaliancheckhistoryJapanesecheckhistoryJavanesecheckhistoryKannadacheckhistoryKazakhcheckhistoryKhmercheckhistoryKinyarwandacheckhistoryKonkanicheckhistoryKoreancheckhistoryKriocheckhistoryKurdish (Kurmanji"&amp;")checkhistoryKurdish (Sorani)checkhistoryKyrgyzcheckhistoryLaocheckhistoryLatincheckhistoryLatviancheckhistoryLingalacheckhistoryLithuaniancheckhistoryLugandacheckhistoryLuxembourgishcheckhistoryMacedoniancheckhistoryMaithilicheckhistoryMalagasycheckhisto"&amp;"ryMalaycheckhistoryMalayalamcheckhistoryMaltesecheckhistoryMaoricheckhistoryMarathicheckhistoryMeiteilon (Manipuri)checkhistoryMizocheckhistoryMongoliancheckhistoryMyanmar (Burmese)checkhistoryNepalicheckhistoryNorwegiancheckhistoryOdia (Oriya)checkhistor"&amp;"yOromocheckhistoryPashtocheckhistoryPersiancheckhistoryPolishcheckhistoryPortuguesecheckhistoryPunjabicheckhistoryQuechuacheckhistoryRomaniancheckhistoryRussiancheckhistorySamoancheckhistorySanskritcheckhistoryScots GaeliccheckhistorySepedicheckhistorySer"&amp;"biancheckhistorySesothocheckhistoryShonacheckhistorySindhicheckhistorySinhalacheckhistorySlovakcheckhistorySloveniancheckhistorySomalicheckhistorySpanishcheckhistorySundanesecheckhistorySwahilicheckhistorySwedishcheckhistoryTajikcheckhistoryTamilcheckhist"&amp;"oryTatarcheckhistoryTelugucheckhistoryThaicheckhistoryTigrinyacheckhistoryTsongacheckhistoryTurkishcheckhistoryTurkmencheckhistoryTwicheckhistoryUkrainiancheckhistoryUrducheckhistoryUyghurcheckhistoryUzbekcheckhistoryVietnamesecheckhistoryWelshcheckhistor"&amp;"yXhosacheckhistoryYiddishcheckhistoryYorubacheckhistoryZuluDrag and dropDrag and dropOr choose a fileBrowse your filesPaste from clipboardSupported file types: .jpg .jpeg .png.   Learn moreDrop file hereSend feedbackSide panelsHistorySavedContribute5000 c"&amp;"haracter limit. Use the arrows to translate more.DoneSavedHistoryGoogle appsMain menu")</f>
        <v>Google TranslateTranslateSettings SettingsVoice speedNormalTestSlowTestSlowerTestSign inTranslateAbout Google TranslatePrivacy &amp; TermsHelpSend feedbackAbout GoogleTranslation typesTextImagesDocumentsWebsitesText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Getting translation...May contain sensitive languageMay contain disputed languageMay contain sensitive and disputed languageLearn moreDismissSource textclearClear source textShow moreShow lessVoice input isn't supported on this browserBusy...Translate by voiceLoading...Listen0 / 5000Loading...Turn on HandwritingSelect Input ToolkeyboardTranslation resultsTranslationTranslating...Translations are gender-specific. Learn moreSome sentences may contain gender-specific alternatives. Click a sentence to see alternatives. Learn moreGender-specific translations are limited. Learn moreerror_outlineTranslation errorTry againDocument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Drag and dropDrag and dropOr choose a fileBrowse your filesSupported file types: .docx .pdf .pptx .xlsx.   Learn moreDrop file herePowered by Google Cloud TranslationWebsite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 WebsiteClear URLEnter a URLTranslateTranslatingImage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Drag and dropDrag and dropOr choose a fileBrowse your filesPaste from clipboardSupported file types: .jpg .jpeg .png.   Learn moreDrop file hereSend feedbackSide panelsHistorySavedContribute5000 character limit. Use the arrows to translate more.DoneSavedHistoryGoogle appsMain menu</v>
      </c>
    </row>
    <row r="632">
      <c r="A632" s="1" t="s">
        <v>2115</v>
      </c>
      <c r="B632" s="1" t="s">
        <v>2116</v>
      </c>
      <c r="C632" s="1" t="s">
        <v>2117</v>
      </c>
      <c r="D632" s="1">
        <v>2.0</v>
      </c>
      <c r="E632" s="4" t="s">
        <v>2118</v>
      </c>
      <c r="F632" s="1" t="s">
        <v>43</v>
      </c>
      <c r="G632" s="1" t="s">
        <v>336</v>
      </c>
      <c r="H632" s="4" t="s">
        <v>2119</v>
      </c>
      <c r="I632" s="2">
        <v>0.0</v>
      </c>
      <c r="J632" s="5" t="str">
        <f>IFERROR(__xludf.DUMMYFUNCTION("GOOGLETRANSLATE(A632)"),"translation")</f>
        <v>translation</v>
      </c>
      <c r="K632" s="6" t="str">
        <f>IFERROR(__xludf.DUMMYFUNCTION("GOOGLETRANSLATE(B632)"),"Dictionary and online translation into English, Russian ...")</f>
        <v>Dictionary and online translation into English, Russian ...</v>
      </c>
      <c r="L632" s="5" t="str">
        <f>IFERROR(__xludf.DUMMYFUNCTION("GOOGLETRANSLATE(C632)"),"Free online translation from English and other languages ​​into Russian and back. The translator works with words, texts, as well as web pages and inscriptions ...")</f>
        <v>Free online translation from English and other languages ​​into Russian and back. The translator works with words, texts, as well as web pages and inscriptions ...</v>
      </c>
      <c r="M632" s="5" t="str">
        <f>IFERROR(__xludf.DUMMYFUNCTION("GOOGLETRANSLATE(G632)"),"Oh!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633">
      <c r="A633" s="1" t="s">
        <v>2115</v>
      </c>
      <c r="B633" s="1" t="s">
        <v>2120</v>
      </c>
      <c r="C633" s="1" t="s">
        <v>2121</v>
      </c>
      <c r="D633" s="1">
        <v>3.0</v>
      </c>
      <c r="E633" s="4" t="s">
        <v>2122</v>
      </c>
      <c r="F633" s="1" t="s">
        <v>43</v>
      </c>
      <c r="G633" s="1" t="s">
        <v>2123</v>
      </c>
      <c r="H633" s="4" t="s">
        <v>2124</v>
      </c>
      <c r="I633" s="2">
        <v>2.0</v>
      </c>
      <c r="J633" s="5" t="str">
        <f>IFERROR(__xludf.DUMMYFUNCTION("GOOGLETRANSLATE(A633)"),"translation")</f>
        <v>translation</v>
      </c>
      <c r="K633" s="6" t="str">
        <f>IFERROR(__xludf.DUMMYFUNCTION("GOOGLETRANSLATE(B633)"),"Deepl Translate - the most accurate translator in the world")</f>
        <v>Deepl Translate - the most accurate translator in the world</v>
      </c>
      <c r="L633" s="5" t="str">
        <f>IFERROR(__xludf.DUMMYFUNCTION("GOOGLETRANSLATE(C633)"),"Translate texts and entire documents instantly. Accurate translation for individual users and commands. Every day, millions of people perform translations from ...")</f>
        <v>Translate texts and entire documents instantly. Accurate translation for individual users and commands. Every day, millions of people perform translations from ...</v>
      </c>
      <c r="M633" s="5" t="str">
        <f>IFERROR(__xludf.DUMMYFUNCTION("GOOGLETRANSLATE(G633)"),"DeepL Translate: The world's most accurate translatorMillions translate with DeepL every day. Popular: Spanish to English French to English and Japanese to English.Translation modesTranslate text31 languagesTranslate files.pdf .docx .pptxDeepL WriteAI-pow"&amp;"ered editsTranslate textSelect source language. Currently selected:Detect languageSelect target language. Currently selected:English (US)Source textType to translate.Drag and drop to translate PDF Word (.docx) and PowerPoint (.pptx) files with our documen"&amp;"t translator.Translation resultsDictionaryThe dictionary is unavailable for this language pair.Perfect your writing with DeepL WritebetaFix grammar and punctuation mistakes rephrase sentences express nuances and find your perfect tone of voice.Start writi"&amp;"ngUnlock DeepL’s full potential – Try DeepL Pro for freeTry Pro for 30 days freeYou are using the free version of DeepLTranslate up to 3000 charactersTranslate 3 locked documents/month10 glossary entriesUnlock DeepL Pro featuresMaximum data securityUnlimi"&amp;"ted text translationTranslate and edit more documentsSee more featuresDeepL in the PressTech giants Google Microsoft and Facebook are all applying the lessons of machine learning to translation but a small company called DeepL has outdone them all and rai"&amp;"sed the bar for the field.&lt;br&gt;Its translation tool is just as quick as the outsized competition but more accurate and nuanced than any we’ve tried.Tech giants Google Microsoft and Facebook are all applying the lessons of machine learning to translation bu"&amp;"t a small company called DeepL has outdone them all and raised the bar for the field.Its translation tool is just as quick as the outsized competition but more accurate and nuanced than any we’ve tried.TechCrunchUSADeepL has also outperformed other servic"&amp;"es thanks to more ""French-sounding"" expressions.DeepL has also outperformed other services thanks to more ""French-sounding"" expressions.Le MondeFranceEven though the translations from English by Google and Microsoft are quite good DeepL still surpasse"&amp;"s them. We have translated a report from a French daily newspaper - the DeepL result was perfect.Even though the translations from English by Google and Microsoft are quite good DeepL still surpasses them. We have translated a report from a French daily n"&amp;"ewspaper - the DeepL result was perfect.Golem.deGermanyA quick test carried out for the combination English-Italian and vice versa even without any statistical pretensions allowed us to confirm that the quality of the translation is really good. Especiall"&amp;"y from Italian into English.A quick test carried out for the combination English-Italian and vice versa even without any statistical pretensions allowed us to confirm that the quality of the translation is really good. Especially from Italian into English"&amp;".La StampaItalyThe system recognizes the language quickly and automatically converting the words into the language you want and trying to add the particular linguistic nuances and expressions.The system recognizes the language quickly and automatically co"&amp;"nverting the words into the language you want and trying to add the particular linguistic nuances and expressions.ABCSpainIndeed a few tests show that DeepL Translator offers better translations than Google Translate when it comes to Dutch to English and "&amp;"vice versa.Indeed a few tests show that DeepL Translator offers better translations than Google Translate when it comes to Dutch to English and vice versa.RTL ZNetherlandsIn the first test - from English into Italian - it proved to be very accurate especi"&amp;"ally good at grasping the meaning of the sentence rather than being derailed by a literal translation.In the first test - from English into Italian - it proved to be very accurate especially good at grasping the meaning of the sentence rather than being d"&amp;"erailed by a literal translation.la RepubblicaItalyPersonally I'm very impressed by what DeepL is able to do and yes I think it's really great that this new stage in the evolution of machine translation was not achieved with software from Facebook Microso"&amp;"ft Apple or Google but by a German company. We like to make ourselves a little bit small and pretend that there is no one in this country who can stand up to the big players. DeepL is a good example that it is possible.Personally I'm very impressed by wha"&amp;"t DeepL is able to do and yes I think it's really great that this new stage in the evolution of machine translation was not achieved with software from Facebook Microsoft Apple or Google but by a German company. We like to make ourselves a little bit smal"&amp;"l and pretend that there is no one in this country who can stand up to the big players. DeepL is a good example that it is possible.Mobile GeeksGermanyDeepL from Germany could surpass Google Translate&lt;br&gt;WIRED's quick test shows that DeepL's results are i"&amp;"ndeed in no way inferior to those of the high-ranking competitors and in many cases even surpass them. The translated texts often read much more fluently; where Google Translate forms completely meaningless word chains DeepL can at least guess a connectio"&amp;"n.DeepL from Germany could surpass Google TranslateWIRED's quick test shows that DeepL's results are indeed in no way inferior to those of the high-ranking competitors and in many cases even surpass them. The translated texts often read much more fluently"&amp;"; where Google Translate forms completely meaningless word chains DeepL can at least guess a connection.WIRED.deGermanyDeepL an online translator that outperforms Google Microsoft and FacebookDeepL an online translator that outperforms Google Microsoft an"&amp;"d Facebookwwwhat's newLatin AmericaTech giants Google Microsoft and Facebook are all applying the lessons of machine learning to translation but a small company called DeepL has outdone them all and raised the bar for the field.&lt;br&gt;Its translation tool is"&amp;" just as quick as the outsized competition but more accurate and nuanced than any we’ve tried.DeepL has also outperformed other services thanks to more ""French-sounding"" expressions.Even though the translations from English by Google and Microsoft are q"&amp;"uite good DeepL still surpasses them. We have translated a report from a French daily newspaper - the DeepL result was perfect.A quick test carried out for the combination English-Italian and vice versa even without any statistical pretensions allowed us "&amp;"to confirm that the quality of the translation is really good. Especially from Italian into English.The system recognizes the language quickly and automatically converting the words into the language you want and trying to add the particular linguistic nu"&amp;"ances and expressions.Indeed a few tests show that DeepL Translator offers better translations than Google Translate when it comes to Dutch to English and vice versa.In the first test - from English into Italian - it proved to be very accurate especially "&amp;"good at grasping the meaning of the sentence rather than being derailed by a literal translation.Personally I'm very impressed by what DeepL is able to do and yes I think it's really great that this new stage in the evolution of machine translation was no"&amp;"t achieved with software from Facebook Microsoft Apple or Google but by a German company. We like to make ourselves a little bit small and pretend that there is no one in this country who can stand up to the big players. DeepL is a good example that it is"&amp;" possible.DeepL from Germany could surpass Google Translate&lt;br&gt;WIRED's quick test shows that DeepL's results are indeed in no way inferior to those of the high-ranking competitors and in many cases even surpass them. The translated texts often read much m"&amp;"ore fluently; where Google Translate forms completely meaningless word chains DeepL can at least guess a connection.DeepL an online translator that outperforms Google Microsoft and FacebookDeepL is hiring! Join us in breaking down language barriersSee ope"&amp;"n jobsMillions translate with DeepL every day.Popular:  English to Chinese English to French and Chinese to English.Other languages:BulgarianCzechDanishGermanGreekSpanishEstonianFinnishFrenchHungarianIndonesianItalianJapaneseKoreanLithuanianLatvianNorwegi"&amp;"anDutchPolishPortugueseRomanianRussianSlovakSlovenianSwedishTurkishUkrainianChineseLanguageEnglishDeutschEnglishEspañol日本語FrançaisItaliano한국어NederlandsPolskiPortuguês (Brasil)PortuguêsРусский简体中文ČeštinaSvenskaTürkçeBahasa IndonesiaУкраїнськаResourcesHelp "&amp;"CenterBlogAPI documentationAccessibilityData securityPrivacy policyTerms &amp; ConditionsProductFree translatorFeaturesDeepL ProTranslation APIDeepL WriteDownloadDeepL for AndroidDeepL for ChromeOSDeepL for iPhoneDeepL for iPadDeepL for MacDeepL for WindowsDe"&amp;"epL Chrome extensionDeepL Edge extensionCompanyContact SalesPressCareersPublisher")</f>
        <v>DeepL Translate: The world's most accurate translatorMillions translate with DeepL every day. Popular: Spanish to English French to English and Japanese to English.Translation modesTranslate text31 languagesTranslate files.pdf .docx .pptxDeepL WriteAI-powered editsTranslate textSelect source language. Currently selected:Detect languageSelect target language. Currently selected:English (US)Source textType to translate.Drag and drop to translate PDF Word (.docx) and PowerPoint (.pptx) files with our document translator.Translation resultsDictionaryThe dictionary is unavailable for this language pair.Perfect your writing with DeepL WritebetaFix grammar and punctuation mistakes rephrase sentences express nuances and find your perfect tone of voice.Start writingUnlock DeepL’s full potential – Try DeepL Pro for freeTry Pro for 30 days freeYou are using the free version of DeepLTranslate up to 3000 charactersTranslate 3 locked documents/month10 glossary entriesUnlock DeepL Pro featuresMaximum data securityUnlimited text translationTranslate and edit more documentsSee more featuresDeepL in the PressTech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tried.Tech giants Google Microsoft and Facebook are all applying the lessons of machine learning to translation but a small company called DeepL has outdone them all and raised the bar for the field.Its translation tool is just as quick as the outsized competition but more accurate and nuanced than any we’ve tried.TechCrunchUSADeepL has also outperformed other services thanks to more "French-sounding" expressions.DeepL has also outperformed other services thanks to more "French-sounding" expressions.Le MondeFranceEven though the translations from English by Google and Microsoft are quite good DeepL still surpasses them. We have translated a report from a French daily newspaper - the DeepL result was perfect.Even though the translations from English by Google and Microsoft are quite good DeepL still surpasses them. We have translated a report from a French daily newspaper - the DeepL result was perfect.Golem.deGermanyA quick test carried out for the combination English-Italian and vice versa even without any statistical pretensions allowed us to confirm that the quality of the translation is really good. Especially from Italian into English.A quick test carried out for the combination English-Italian and vice versa even without any statistical pretensions allowed us to confirm that the quality of the translation is really good. Especially from Italian into English.La StampaItalyThe system recognizes the language quickly and automatically converting the words into the language you want and trying to add the particular linguistic nuances and expressions.The system recognizes the language quickly and automatically converting the words into the language you want and trying to add the particular linguistic nuances and expressions.ABCSpainIndeed a few tests show that DeepL Translator offers better translations than Google Translate when it comes to Dutch to English and vice versa.Indeed a few tests show that DeepL Translator offers better translations than Google Translate when it comes to Dutch to English and vice versa.RTL ZNetherlandsIn the first test - from English into Italian - it proved to be very accurate especially good at grasping the meaning of the sentence rather than being derailed by a literal translation.In the first test - from English into Italian - it proved to be very accurate especially good at grasping the meaning of the sentence rather than being derailed by a literal translation.la RepubblicaItalyPersonally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possible.Mobile GeeksGermanyDeepL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from Germany could surpass Google TranslateWIRED's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connection.WIRED.deGermanyDeepL an online translator that outperforms Google Microsoft and FacebookDeepL an online translator that outperforms Google Microsoft and Facebookwwwhat's newLatin AmericaTech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tried.DeepL has also outperformed other services thanks to more "French-sounding" expressions.Even though the translations from English by Google and Microsoft are quite good DeepL still surpasses them. We have translated a report from a French daily newspaper - the DeepL result was perfect.A quick test carried out for the combination English-Italian and vice versa even without any statistical pretensions allowed us to confirm that the quality of the translation is really good. Especially from Italian into English.The system recognizes the language quickly and automatically converting the words into the language you want and trying to add the particular linguistic nuances and expressions.Indeed a few tests show that DeepL Translator offers better translations than Google Translate when it comes to Dutch to English and vice versa.In the first test - from English into Italian - it proved to be very accurate especially good at grasping the meaning of the sentence rather than being derailed by a literal translation.Personally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an online translator that outperforms Google Microsoft and FacebookDeepL is hiring! Join us in breaking down language barriersSee open jobsMillions translate with DeepL every day.Popular:  English to Chinese English to French and Chinese to English.Other languages:BulgarianCzechDanishGermanGreekSpanishEstonianFinnishFrenchHungarianIndonesianItalianJapaneseKoreanLithuanianLatvianNorwegianDutchPolishPortugueseRomanianRussianSlovakSlovenianSwedishTurkishUkrainianChineseLanguageEnglishDeutschEnglishEspañol日本語FrançaisItaliano한국어NederlandsPolskiPortuguês (Brasil)PortuguêsРусский简体中文ČeštinaSvenskaTürkçeBahasa IndonesiaУкраїнськаResourcesHelp CenterBlogAPI documentationAccessibilityData securityPrivacy policyTerms &amp; ConditionsProductFree translatorFeaturesDeepL ProTranslation APIDeepL WriteDownloadDeepL for AndroidDeepL for ChromeOSDeepL for iPhoneDeepL for iPadDeepL for MacDeepL for WindowsDeepL Chrome extensionDeepL Edge extensionCompanyContact SalesPressCareersPublisher</v>
      </c>
    </row>
    <row r="634">
      <c r="A634" s="1" t="s">
        <v>2115</v>
      </c>
      <c r="B634" s="1" t="s">
        <v>2125</v>
      </c>
      <c r="D634" s="1">
        <v>4.0</v>
      </c>
      <c r="E634" s="4" t="s">
        <v>2126</v>
      </c>
      <c r="F634" s="1" t="s">
        <v>43</v>
      </c>
      <c r="I634" s="2">
        <v>0.0</v>
      </c>
      <c r="J634" s="5" t="str">
        <f>IFERROR(__xludf.DUMMYFUNCTION("GOOGLETRANSLATE(A634)"),"translation")</f>
        <v>translation</v>
      </c>
      <c r="K634" s="6" t="str">
        <f>IFERROR(__xludf.DUMMYFUNCTION("GOOGLETRANSLATE(B634)"),"Reverso | Free translation, dictionary")</f>
        <v>Reverso | Free translation, dictionary</v>
      </c>
      <c r="L634" s="5" t="str">
        <f>IFERROR(__xludf.DUMMYFUNCTION("GOOGLETRANSLATE(C634)"),"#VALUE!")</f>
        <v>#VALUE!</v>
      </c>
      <c r="M634" s="5" t="str">
        <f>IFERROR(__xludf.DUMMYFUNCTION("GOOGLETRANSLATE(G634)"),"#VALUE!")</f>
        <v>#VALUE!</v>
      </c>
    </row>
    <row r="635">
      <c r="A635" s="1" t="s">
        <v>2115</v>
      </c>
      <c r="B635" s="1" t="s">
        <v>2127</v>
      </c>
      <c r="C635" s="1" t="s">
        <v>2128</v>
      </c>
      <c r="D635" s="1">
        <v>5.0</v>
      </c>
      <c r="E635" s="4" t="s">
        <v>2129</v>
      </c>
      <c r="F635" s="1" t="s">
        <v>43</v>
      </c>
      <c r="I635" s="2">
        <v>0.0</v>
      </c>
      <c r="J635" s="5" t="str">
        <f>IFERROR(__xludf.DUMMYFUNCTION("GOOGLETRANSLATE(A635)"),"translation")</f>
        <v>translation</v>
      </c>
      <c r="K635" s="6" t="str">
        <f>IFERROR(__xludf.DUMMYFUNCTION("GOOGLETRANSLATE(B635)"),"Translator context with Russian into English")</f>
        <v>Translator context with Russian into English</v>
      </c>
      <c r="L635" s="5" t="str">
        <f>IFERROR(__xludf.DUMMYFUNCTION("GOOGLETRANSLATE(C635)"),"Search translation into English in the context for Russian words, expressions and idioms; Free Russian-English dictionary with millions examples of translation.")</f>
        <v>Search translation into English in the context for Russian words, expressions and idioms; Free Russian-English dictionary with millions examples of translation.</v>
      </c>
      <c r="M635" s="5" t="str">
        <f>IFERROR(__xludf.DUMMYFUNCTION("GOOGLETRANSLATE(G635)"),"#VALUE!")</f>
        <v>#VALUE!</v>
      </c>
    </row>
    <row r="636">
      <c r="A636" s="1" t="s">
        <v>2115</v>
      </c>
      <c r="B636" s="1" t="s">
        <v>2130</v>
      </c>
      <c r="C636" s="1" t="s">
        <v>2131</v>
      </c>
      <c r="D636" s="1">
        <v>6.0</v>
      </c>
      <c r="E636" s="4" t="s">
        <v>2132</v>
      </c>
      <c r="F636" s="1" t="s">
        <v>43</v>
      </c>
      <c r="G636" s="1" t="s">
        <v>2133</v>
      </c>
      <c r="H636" s="4" t="s">
        <v>2134</v>
      </c>
      <c r="I636" s="2">
        <v>0.0</v>
      </c>
      <c r="J636" s="5" t="str">
        <f>IFERROR(__xludf.DUMMYFUNCTION("GOOGLETRANSLATE(A636)"),"translation")</f>
        <v>translation</v>
      </c>
      <c r="K636" s="6" t="str">
        <f>IFERROR(__xludf.DUMMYFUNCTION("GOOGLETRANSLATE(B636)"),"Promt.one Translator - Free online dictionary and ...")</f>
        <v>Promt.one Translator - Free online dictionary and ...</v>
      </c>
      <c r="L636" s="5" t="str">
        <f>IFERROR(__xludf.DUMMYFUNCTION("GOOGLETRANSLATE(C636)"),"Promt.one is a cloud application - a free online translator for translation from language on a language based on neural networks (Neural Machine Translation), Dictionary ...")</f>
        <v>Promt.one is a cloud application - a free online translator for translation from language on a language based on neural networks (Neural Machine Translation), Dictionary ...</v>
      </c>
      <c r="M636" s="5" t="str">
        <f>IFERROR(__xludf.DUMMYFUNCTION("GOOGLETRANSLATE(G636)"),"Promt.one Translator - Free online dictionary of texts Promt.one Translate.ru Translator online and dictionary of therapy content and declining Premium for free! Including the Help Link our blog translator online and Dictionary to determine the Languageiz"&amp;"er -English Greek Greek Iska -Kostyanskiyanskiysky Korean KiPortugal -Russian Tutar Tatar Tutaransky Uzbek -Building Ukrainian Franceusian Japanese 0/999999999999999abai -Brite -Greek Greek Icanese Ikatiskiysky Korekiykiynamo -Portuguese -Russian Tutar -T"&amp;"utar -Tutar -Tutecronsky Ukrainian Franceusian Francees Eyapo -ovapo -vene -vene. EN partially . You can translate no more than 999 characters at a time. Like or register for free on Promt.one and translate even more! &lt;&gt; Advertising examples of using word"&amp;"s in different contexts are provided exclusively for linguistic purposes, i.e., to study the use of words in one language and options for their translation into another. All samples are automatically assembled from open sources using the search technology"&amp;" based on bilingual data. If you find a spelling punctuation or other error in the original or translation, use the “Report the problem” option or write a navot -translator to Telegram to the transmission Master Nmt transfers to download the mobile applic"&amp;"ation PROMT.On the possibilities of the neural machine translated PROMT PROMT.ONE - this is a cloud application - this Free online translator for translation from language into neural networks (Neural Machine Translation) Dictionary with transcription phr"&amp;"asebooks and much more. Enjoy the correct and accurate translation into English German and another 20+ languages. Watch the translation of words and stable expressions transcription and pronunciation in the online clamp. Promt dictionaries for English Fre"&amp;"nch Russian Spanish Italian and Portuguese include millions of words and phrases the most modern conversational vocabulary that is constantly monitored and replenished by our linguists. Study the forms of the English verbs of the German verbs of the Spani"&amp;"sh verbs of the French verbs of the Portuguese verbs of the Italian verbs of Russian verbs and the case forms of nouns and adjectives in the conjugation and declension section. Learn the use of words and expressions in different contexts. Millions of real"&amp;" examples in the English German Spanish French will help you in learning foreign languages ​​and preparing homework. Translate anywhere and at any time using a free mobile translator Promt.one for iOS and Android. Try voice and photo transmission. Install"&amp;" language bags for offline transmission on mobile devices and a universal PROMT plugin Agent for Windows with a Premium subscription. To share the translation × is loading ... Direct link to the translation: × very sorry but now you can only translate 999"&amp;" characters at a time. Please enter or register to translate up to 5,000 characters at a time. enter / register on the service | Using conditions | Privacy Policy | Advertising with us | Help | Mobile version | RUSSIENGLISHDEUTSHFRANSAISESPASPAñolPortugUS"&amp;" © Promt LLC 2010 - 2023 Transportation English translation Russian translation German translation by Spanish translation Italian translation Azerbaijani translation by the Arabic translation of Kazakh translation of the Korean translation of the Tatar tr"&amp;"anslation by the Turkmen translation Estonian translation by Japanese capacity Text examples of consumption and huggish-paying applications PROMT.ONE for iOSPROMT.ONE for Androidpromt.one for huaweiibot translator in Telegram offerpremium subscriptions of"&amp;" the development of APP-Fest: the numbers and the results in the spring in the spring we took part in the project “Spring app -Fest ""which was conceived and implemented by the Association of Translation Teachers . The project is completed and here is its"&amp;" results. - To participate in the Olympiad “Language30.06.2023, you need to log in to the favorites to be authorized or register with COOKIE, we ensure the operation of our services. Using our site, you agree with our rules regarding these files. Read mor"&amp;"e")</f>
        <v>Promt.one Translator - Free online dictionary of texts Promt.one Translate.ru Translator online and dictionary of therapy content and declining Premium for free! Including the Help Link our blog translator online and Dictionary to determine the Languageizer -English Greek Greek Iska -Kostyanskiyanskiysky Korean KiPortugal -Russian Tutar Tatar Tutaransky Uzbek -Building Ukrainian Franceusian Japanese 0/999999999999999abai -Brite -Greek Greek Icanese Ikatiskiysky Korekiykiynamo -Portuguese -Russian Tutar -Tutar -Tutar -Tutecronsky Ukrainian Franceusian Francees Eyapo -ovapo -vene -vene. EN partially . You can translate no more than 999 characters at a time. Like or register for free on Promt.one and translate even more! &lt;&gt; Advertising examples of using words in different contexts are provided exclusively for linguistic purposes, i.e., to study the use of words in one language and options for their translation into another. All samples are automatically assembled from open sources using the search technology based on bilingual data. If you find a spelling punctuation or other error in the original or translation, use the “Report the problem” option or write a navot -translator to Telegram to the transmission Master Nmt transfers to download the mobile application PROMT.On the possibilities of the neural machine translated PROMT PROMT.ONE - this is a cloud application - this Free online translator for translation from language into neural networks (Neural Machine Translation) Dictionary with transcription phrasebooks and much more. Enjoy the correct and accurate translation into English German and another 20+ languages. Watch the translation of words and stable expressions transcription and pronunciation in the online clamp. Promt dictionaries for English French Russian Spanish Italian and Portuguese include millions of words and phrases the most modern conversational vocabulary that is constantly monitored and replenished by our linguists. Study the forms of the English verbs of the German verbs of the Spanish verbs of the French verbs of the Portuguese verbs of the Italian verbs of Russian verbs and the case forms of nouns and adjectives in the conjugation and declension section. Learn the use of words and expressions in different contexts. Millions of real examples in the English German Spanish French will help you in learning foreign languages ​​and preparing homework. Translate anywhere and at any time using a free mobile translator Promt.one for iOS and Android. Try voice and photo transmission. Install language bags for offline transmission on mobile devices and a universal PROMT plugin Agent for Windows with a Premium subscription. To share the translation × is loading ... Direct link to the translation: × very sorry but now you can only translate 999 characters at a time. Please enter or register to translate up to 5,000 characters at a time. enter / register on the service | Using conditions | Privacy Policy | Advertising with us | Help | Mobile version | RUSSIENGLISHDEUTSHFRANSAISESPASPAñolPortugUS © Promt LLC 2010 - 2023 Transportation English translation Russian translation German translation by Spanish translation Italian translation Azerbaijani translation by the Arabic translation of Kazakh translation of the Korean translation of the Tatar translation by the Turkmen translation Estonian translation by Japanese capacity Text examples of consumption and huggish-paying applications PROMT.ONE for iOSPROMT.ONE for Androidpromt.one for huaweiibot translator in Telegram offerpremium subscriptions of the development of APP-Fest: the numbers and the results in the spring in the spring we took part in the project “Spring app -Fest "which was conceived and implemented by the Association of Translation Teachers . The project is completed and here is its results. - To participate in the Olympiad “Language30.06.2023, you need to log in to the favorites to be authorized or register with COOKIE, we ensure the operation of our services. Using our site, you agree with our rules regarding these files. Read more</v>
      </c>
    </row>
    <row r="637">
      <c r="A637" s="1" t="s">
        <v>2115</v>
      </c>
      <c r="B637" s="1" t="s">
        <v>2135</v>
      </c>
      <c r="C637" s="1" t="s">
        <v>2136</v>
      </c>
      <c r="D637" s="1">
        <v>7.0</v>
      </c>
      <c r="E637" s="4" t="s">
        <v>2137</v>
      </c>
      <c r="F637" s="1" t="s">
        <v>43</v>
      </c>
      <c r="G637" s="1" t="s">
        <v>120</v>
      </c>
      <c r="H637" s="4" t="s">
        <v>121</v>
      </c>
      <c r="I637" s="2">
        <v>1.0</v>
      </c>
      <c r="J637" s="5" t="str">
        <f>IFERROR(__xludf.DUMMYFUNCTION("GOOGLETRANSLATE(A637)"),"translation")</f>
        <v>translation</v>
      </c>
      <c r="K637" s="6" t="str">
        <f>IFERROR(__xludf.DUMMYFUNCTION("GOOGLETRANSLATE(B637)"),"Applications in Google Play - Google Translator")</f>
        <v>Applications in Google Play - Google Translator</v>
      </c>
      <c r="L637" s="5" t="str">
        <f>IFERROR(__xludf.DUMMYFUNCTION("GOOGLETRANSLATE(C637)"),"Translation of the introduced text. The application added support for 108 languages. • Fast translation. Copy the text in any application and click on the Google icon ...")</f>
        <v>Translation of the introduced text. The application added support for 108 languages. • Fast translation. Copy the text in any application and click on the Google icon ...</v>
      </c>
      <c r="M637" s="5" t="str">
        <f>IFERROR(__xludf.DUMMYFUNCTION("GOOGLETRANSLATE(G637)"),"Android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638">
      <c r="A638" s="1" t="s">
        <v>2115</v>
      </c>
      <c r="B638" s="1" t="s">
        <v>2138</v>
      </c>
      <c r="C638" s="1" t="s">
        <v>2139</v>
      </c>
      <c r="D638" s="1">
        <v>8.0</v>
      </c>
      <c r="E638" s="4" t="s">
        <v>2140</v>
      </c>
      <c r="F638" s="1" t="s">
        <v>43</v>
      </c>
      <c r="G638" s="1" t="s">
        <v>2141</v>
      </c>
      <c r="H638" s="4" t="s">
        <v>2142</v>
      </c>
      <c r="I638" s="2">
        <v>2.0</v>
      </c>
      <c r="J638" s="5" t="str">
        <f>IFERROR(__xludf.DUMMYFUNCTION("GOOGLETRANSLATE(A638)"),"translation")</f>
        <v>translation</v>
      </c>
      <c r="K638" s="6" t="str">
        <f>IFERROR(__xludf.DUMMYFUNCTION("GOOGLETRANSLATE(B638)"),"Pons translator | Improved text translation")</f>
        <v>Pons translator | Improved text translation</v>
      </c>
      <c r="L638" s="5" t="str">
        <f>IFERROR(__xludf.DUMMYFUNCTION("GOOGLETRANSLATE(C638)"),"Translation of the PONS text - with new convenient functions. PONS users have been using our text translation for 10 years, already in 38 languages.")</f>
        <v>Translation of the PONS text - with new convenient functions. PONS users have been using our text translation for 10 years, already in 38 languages.</v>
      </c>
      <c r="M638" s="5" t="str">
        <f>IFERROR(__xludf.DUMMYFUNCTION("GOOGLETRANSLATE(G638)"),"Pons Dictionary | Definitions of translation and dictionary Russian Deutsch Blgarski ελληνικά english español français italiano polski Portugua Russian Slovenščina Srpski türkçe 中文 | Assistance FAQ Technical Questions Faq Text Translation Faq Vocabulary T"&amp;"rainer Faq Online Dictionary | Contact | B2B Entrance Hallo Welt. Online word online store Publishing house Dictionary of text conjugation Dictionary simulator of the Dictionary Application Dictionary Add to Starting Window Dictionary of Text Walking Walk"&amp;"ing In Dictionaries Search Review &amp; Information Help Supply System Private Confidentiality Settings Contact Contact Select the Deutsch Blings ελληνικά English Español français italiano polski portugu Russian Russian slovenščina srpski türkçe 中文 Entrance o"&amp;"nline pones is simple - to set and correctly transfer De Ru n »German English Hungarian Dutch Greek danim Italian Catalan Korean Creece (Haiti) Latvian Latvian German Norwegian Persian Polish Portuguese Romanian Russian Serbian Slovan Slovenian Thai Turki"&amp;"sh Ukrainian Finnish French Czech Czech Swedish Estonian Japanese German as a foreign spelling of the German language Elf Elven to Search in both linguistic directions to replace the Russian English Arabic Hungarian Vietnamese Drill. Greek Danish Hebrew I"&amp;"ndonesian Icelandic Spanish Italian Catalan Korean Creachesian Cretaceous (Haiti) Latvian Latvian German Norwegian Persian Portuguese Romanian Russian Slovenian Slovenian Taisky Turkish Ukrainian Croatian Czech Czech Swedish Elthian Elven History of Searc"&amp;"h to add vocabulary with free people to the starting window. vocabulary Online tranier Pons? He will teach you what you want to teach. Conduct a testraising of the text Search in dictionaries Popular popular English Arab Bulgarian Hungarian Dutch Greek Da"&amp;"nish Spanish Chinese Chinese Latin German Norwegian Persian Portuguese Russian Slovenian Finnish Finnish French Czech Czech Swedish Japanese Popular Russian ⇄ German Russian ⇄ English Russian ⇄ English Russian. chewing ⇄ Slovenian German ⇄ Polish English "&amp;"dictionaries English ⇄ Spanish English ⇄ Chinese Anglo ⇄ Arabic Anglo-Bulgarian Anglo ⇄ Italian Anglo ⇄ German Anglo ⇄ Polish Anglo ⇄ Russian Anglo → Serbian Anglo ⇄ Slovenian Arabic dictionaries Arabic German Bulgarian dictionaries of the Bulgarian-Engli"&amp;"sh Bulgarian-German dictionaries Hungarian ⇄ German Dutch dictionaries of Netherlandsko ⇄ German Greek dictionaries Greco ⇄ German Danish dictionaries Danish ⇄ German Spanish Spanish ⇄ English, Italian Spaniard ⇄ German Spanish ⇄ Portuguese ⇄ Slovenian Sp"&amp;"anish ⇄ Franceusian Italian dictionaries Italian ⇄ English Italian ⇄ Spanish Italian ⇄ German Italian ⇄ Polish Italian ⇄ Slovenian Italian ⇄ French Chinese dictionaries Chinese ⇄ Spanish Chinese ⇄ German Latin ⇄ German dictionaries German ⇄ Arabic German-"&amp;"Bulgarian German ⇄ Hungarian German ⇄ Greek German ⇄ Danish German → Icelandic German ⇄ Spanish German ⇄ Chinese German ⇄ Latin German ⇄ Nidenskaya German ⇄ Persian German ⇄ Portuguese German ⇄ Romanian German ⇄ Russian ⇄ Russian German → Serbian German ⇄"&amp;" Slovak German ⇄ Slovenian German ⇄ Turkish German ⇄ Finnish German ⇄ French German ⇄ Croatian German ⇄ Czech German ⇄ Swedish German ⇄ Japanese spelling of the German language Norwegian dictionaries Norwegian Persian Persian dictionaries Polsko English P"&amp;"olish ⇄ Spanish Polish ⇄ Italian Polish ⇄ German Polsko ⇄ Russian Polsko ⇄ French Portuguese Portuguese ⇄ English Portuguese ⇄ Spanish Portuguese ⇄ German Romanian dictionaries Romanian ⇄ German Russian dictionaries Russian ⇄ English Russian ⇄ Polish dict"&amp;"ionaries Slovako ⇄ German Slovenian dictionaries Slovenco ⇄ English Slovenco ⇄ Spanish Slovenco ⇄ Italian Slovenian ⇄ German Slovenco ⇄ French Turkish dictionaries Turkish ⇄ German Finnish dictionaries Finnish ⇄ German French dictionaries French ⇄ English"&amp;" French ⇄ Spanish French ⇄ Italian French ⇄ Chinese French ⇄ Polish French ⇄ Slovenian Corporate Documents Croatian ⇄ German Czech dictionaries Czech ⇄ German Swedish dictionaries Swedish ⇄ German elven dictionaries Elvensko ⇄ German Japanese dictionaries"&amp;" Japanco ⇄ German online word Dictionary of the text. Dictionary simulator Publishing house about us Contact. Complete Dictionary of the API B2B Sign in ... Facebook Instagram LinkedIn weekend | Help | General conditions for the conclusion of the transact"&amp;"ion | Confidentiality agreement | User agreement | Supply system | Privacy settings Copyright Pons Langenscheid GmbH Stuttgart © 2001 - 2023. With copyright. Deutsch interface | Blgarsky | Ελληνικά | English | Español | Français | Italiano | Polski | Port"&amp;"ugu ty | Russian | Slovenščina | Srpski | Türkçe |中文 × Other sources Close × Review here you can report an error in this article Pons or amend: Email message We are using the following form feld to Detect Spammers. Please Do Leave Them Untouchen. Otherwis"&amp;"e Your Message Will Be as SPAM. We are sorry for the Inconvenience. Thank you! Your message was sent by the editorial office of Pons. An error has occurred. Please repeat the attempt. close send a review × my search story Close")</f>
        <v>Pons Dictionary | Definitions of translation and dictionary Russian Deutsch Blgarski ελληνικά english español français italiano polski Portugua Russian Slovenščina Srpski türkçe 中文 | Assistance FAQ Technical Questions Faq Text Translation Faq Vocabulary Trainer Faq Online Dictionary | Contact | B2B Entrance Hallo Welt. Online word online store Publishing house Dictionary of text conjugation Dictionary simulator of the Dictionary Application Dictionary Add to Starting Window Dictionary of Text Walking Walking In Dictionaries Search Review &amp; Information Help Supply System Private Confidentiality Settings Contact Contact Select the Deutsch Blings ελληνικά English Español français italiano polski portugu Russian Russian slovenščina srpski türkçe 中文 Entrance online pones is simple - to set and correctly transfer De Ru n »German English Hungarian Dutch Greek danim Italian Catalan Korean Creece (Haiti) Latvian Latvian German Norwegian Persian Polish Portuguese Romanian Russian Serbian Slovan Slovenian Thai Turkish Ukrainian Finnish French Czech Czech Swedish Estonian Japanese German as a foreign spelling of the German language Elf Elven to Search in both linguistic directions to replace the Russian English Arabic Hungarian Vietnamese Drill. Greek Danish Hebrew Indonesian Icelandic Spanish Italian Catalan Korean Creachesian Cretaceous (Haiti) Latvian Latvian German Norwegian Persian Portuguese Romanian Russian Slovenian Slovenian Taisky Turkish Ukrainian Croatian Czech Czech Swedish Elthian Elven History of Search to add vocabulary with free people to the starting window. vocabulary Online tranier Pons? He will teach you what you want to teach. Conduct a testraising of the text Search in dictionaries Popular popular English Arab Bulgarian Hungarian Dutch Greek Danish Spanish Chinese Chinese Latin German Norwegian Persian Portuguese Russian Slovenian Finnish Finnish French Czech Czech Swedish Japanese Popular Russian ⇄ German Russian ⇄ English Russian ⇄ English Russian. chewing ⇄ Slovenian German ⇄ Polish English dictionaries English ⇄ Spanish English ⇄ Chinese Anglo ⇄ Arabic Anglo-Bulgarian Anglo ⇄ Italian Anglo ⇄ German Anglo ⇄ Polish Anglo ⇄ Russian Anglo → Serbian Anglo ⇄ Slovenian Arabic dictionaries Arabic German Bulgarian dictionaries of the Bulgarian-English Bulgarian-German dictionaries Hungarian ⇄ German Dutch dictionaries of Netherlandsko ⇄ German Greek dictionaries Greco ⇄ German Danish dictionaries Danish ⇄ German Spanish Spanish ⇄ English, Italian Spaniard ⇄ German Spanish ⇄ Portuguese ⇄ Slovenian Spanish ⇄ Franceusian Italian dictionaries Italian ⇄ English Italian ⇄ Spanish Italian ⇄ German Italian ⇄ Polish Italian ⇄ Slovenian Italian ⇄ French Chinese dictionaries Chinese ⇄ Spanish Chinese ⇄ German Latin ⇄ German dictionaries German ⇄ Arabic German-Bulgarian German ⇄ Hungarian German ⇄ Greek German ⇄ Danish German → Icelandic German ⇄ Spanish German ⇄ Chinese German ⇄ Latin German ⇄ Nidenskaya German ⇄ Persian German ⇄ Portuguese German ⇄ Romanian German ⇄ Russian ⇄ Russian German → Serbian German ⇄ Slovak German ⇄ Slovenian German ⇄ Turkish German ⇄ Finnish German ⇄ French German ⇄ Croatian German ⇄ Czech German ⇄ Swedish German ⇄ Japanese spelling of the German language Norwegian dictionaries Norwegian Persian Persian dictionaries Polsko English Polish ⇄ Spanish Polish ⇄ Italian Polish ⇄ German Polsko ⇄ Russian Polsko ⇄ French Portuguese Portuguese ⇄ English Portuguese ⇄ Spanish Portuguese ⇄ German Romanian dictionaries Romanian ⇄ German Russian dictionaries Russian ⇄ English Russian ⇄ Polish dictionaries Slovako ⇄ German Slovenian dictionaries Slovenco ⇄ English Slovenco ⇄ Spanish Slovenco ⇄ Italian Slovenian ⇄ German Slovenco ⇄ French Turkish dictionaries Turkish ⇄ German Finnish dictionaries Finnish ⇄ German French dictionaries French ⇄ English French ⇄ Spanish French ⇄ Italian French ⇄ Chinese French ⇄ Polish French ⇄ Slovenian Corporate Documents Croatian ⇄ German Czech dictionaries Czech ⇄ German Swedish dictionaries Swedish ⇄ German elven dictionaries Elvensko ⇄ German Japanese dictionaries Japanco ⇄ German online word Dictionary of the text. Dictionary simulator Publishing house about us Contact. Complete Dictionary of the API B2B Sign in ... Facebook Instagram LinkedIn weekend | Help | General conditions for the conclusion of the transaction | Confidentiality agreement | User agreement | Supply system | Privacy settings Copyright Pons Langenscheid GmbH Stuttgart © 2001 - 2023. With copyright. Deutsch interface | Blgarsky | Ελληνικά | English | Español | Français | Italiano | Polski | Portugu ty | Russian | Slovenščina | Srpski | Türkçe |中文 × Other sources Close × Review here you can report an error in this article Pons or amend: Email message We are using the following form feld to Detect Spammers. Please Do Leave Them Untouchen. Otherwise Your Message Will Be as SPAM. We are sorry for the Inconvenience. Thank you! Your message was sent by the editorial office of Pons. An error has occurred. Please repeat the attempt. close send a review × my search story Close</v>
      </c>
    </row>
    <row r="639">
      <c r="A639" s="1" t="s">
        <v>2115</v>
      </c>
      <c r="B639" s="1" t="s">
        <v>2143</v>
      </c>
      <c r="C639" s="1" t="s">
        <v>2144</v>
      </c>
      <c r="D639" s="1">
        <v>9.0</v>
      </c>
      <c r="E639" s="4" t="s">
        <v>2145</v>
      </c>
      <c r="F639" s="1" t="s">
        <v>43</v>
      </c>
      <c r="G639" s="1" t="s">
        <v>97</v>
      </c>
      <c r="H639" s="4" t="s">
        <v>98</v>
      </c>
      <c r="I639" s="2">
        <v>2.0</v>
      </c>
      <c r="J639" s="5" t="str">
        <f>IFERROR(__xludf.DUMMYFUNCTION("GOOGLETRANSLATE(A639)"),"translation")</f>
        <v>translation</v>
      </c>
      <c r="K639" s="6" t="str">
        <f>IFERROR(__xludf.DUMMYFUNCTION("GOOGLETRANSLATE(B639)"),"Google Translator 4+ - App Store - Apple")</f>
        <v>Google Translator 4+ - App Store - Apple</v>
      </c>
      <c r="L639" s="5" t="str">
        <f>IFERROR(__xludf.DUMMYFUNCTION("GOOGLETRANSLATE(C639)"),"The application allows you to perform translations (up to 133 languages). The list of supported functions depends on the language: • Text. Translation of the introduced text.")</f>
        <v>The application allows you to perform translations (up to 133 languages). The list of supported functions depends on the language: • Text. Translation of the introduced text.</v>
      </c>
      <c r="M639" s="5" t="str">
        <f>IFERROR(__xludf.DUMMYFUNCTION("GOOGLETRANSLATE(G639)"),"App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640">
      <c r="A640" s="1" t="s">
        <v>2115</v>
      </c>
      <c r="B640" s="1" t="s">
        <v>2146</v>
      </c>
      <c r="C640" s="1" t="s">
        <v>2147</v>
      </c>
      <c r="D640" s="1">
        <v>10.0</v>
      </c>
      <c r="E640" s="4" t="s">
        <v>2148</v>
      </c>
      <c r="F640" s="1" t="s">
        <v>43</v>
      </c>
      <c r="G640" s="1" t="s">
        <v>31</v>
      </c>
      <c r="H640" s="4" t="s">
        <v>32</v>
      </c>
      <c r="I640" s="2">
        <v>2.0</v>
      </c>
      <c r="J640" s="5" t="str">
        <f>IFERROR(__xludf.DUMMYFUNCTION("GOOGLETRANSLATE(A640)"),"translation")</f>
        <v>translation</v>
      </c>
      <c r="K640" s="6" t="str">
        <f>IFERROR(__xludf.DUMMYFUNCTION("GOOGLETRANSLATE(B640)"),"Translation")</f>
        <v>Translation</v>
      </c>
      <c r="L640" s="5" t="str">
        <f>IFERROR(__xludf.DUMMYFUNCTION("GOOGLETRANSLATE(C640)"),"Translation - activity on the interpretation of the meaning of the text in one language (the original language [Iya]) and the creation of a new text equivalent to it in another language ...")</f>
        <v>Translation - activity on the interpretation of the meaning of the text in one language (the original language [Iya]) and the creation of a new text equivalent to it in another language ...</v>
      </c>
      <c r="M640" s="5" t="str">
        <f>IFERROR(__xludf.DUMMYFUNCTION("GOOGLETRANSLATE(G640)"),"Wikipedia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641">
      <c r="A641" s="1" t="s">
        <v>2115</v>
      </c>
      <c r="B641" s="1" t="s">
        <v>2149</v>
      </c>
      <c r="C641" s="1" t="s">
        <v>2150</v>
      </c>
      <c r="D641" s="1">
        <v>11.0</v>
      </c>
      <c r="E641" s="4" t="s">
        <v>2151</v>
      </c>
      <c r="F641" s="1" t="s">
        <v>43</v>
      </c>
      <c r="I641" s="2">
        <v>2.0</v>
      </c>
      <c r="J641" s="5" t="str">
        <f>IFERROR(__xludf.DUMMYFUNCTION("GOOGLETRANSLATE(A641)"),"translation")</f>
        <v>translation</v>
      </c>
      <c r="K641" s="6" t="str">
        <f>IFERROR(__xludf.DUMMYFUNCTION("GOOGLETRANSLATE(B641)"),"Translation - translation into English")</f>
        <v>Translation - translation into English</v>
      </c>
      <c r="L641" s="5" t="str">
        <f>IFERROR(__xludf.DUMMYFUNCTION("GOOGLETRANSLATE(C641)"),"""Translation"" translation into English. volume_up. Translation {m. R.} ... Automatic translation {m.} ... Bank transfer {m.} ... accurate transfer {m.}.")</f>
        <v>"Translation" translation into English. volume_up. Translation {m. R.} ... Automatic translation {m.} ... Bank transfer {m.} ... accurate transfer {m.}.</v>
      </c>
      <c r="M641" s="5" t="str">
        <f>IFERROR(__xludf.DUMMYFUNCTION("GOOGLETRANSLATE(G641)"),"#VALUE!")</f>
        <v>#VALUE!</v>
      </c>
    </row>
    <row r="642">
      <c r="A642" s="1" t="s">
        <v>2115</v>
      </c>
      <c r="B642" s="1" t="s">
        <v>2115</v>
      </c>
      <c r="C642" s="1" t="s">
        <v>2152</v>
      </c>
      <c r="D642" s="1">
        <v>12.0</v>
      </c>
      <c r="E642" s="4" t="s">
        <v>2153</v>
      </c>
      <c r="F642" s="1" t="s">
        <v>43</v>
      </c>
      <c r="G642" s="1" t="s">
        <v>2154</v>
      </c>
      <c r="H642" s="4" t="s">
        <v>2155</v>
      </c>
      <c r="I642" s="2">
        <v>1.0</v>
      </c>
      <c r="J642" s="5" t="str">
        <f>IFERROR(__xludf.DUMMYFUNCTION("GOOGLETRANSLATE(A642)"),"translation")</f>
        <v>translation</v>
      </c>
      <c r="K642" s="6" t="str">
        <f>IFERROR(__xludf.DUMMYFUNCTION("GOOGLETRANSLATE(B642)"),"translation")</f>
        <v>translation</v>
      </c>
      <c r="L642" s="5" t="str">
        <f>IFERROR(__xludf.DUMMYFUNCTION("GOOGLETRANSLATE(C642)"),"Noun EDIT · Transfer, Transferation · Translation. Transfer from the Russian language to England - Perevód s rlexskovo jazyká na anglíjskij - Translation from Russian to ...")</f>
        <v>Noun EDIT · Transfer, Transferation · Translation. Transfer from the Russian language to England - Perevód s rlexskovo jazyká na anglíjskij - Translation from Russian to ...</v>
      </c>
      <c r="M642" s="5" t="str">
        <f>IFERROR(__xludf.DUMMYFUNCTION("GOOGLETRANSLATE(G642)"),"Wiktionary the free dictionaryWiktionary:Main PageFrom Wiktionary the free dictionaryJump to navigationJump to searchWiktionary the free dictionary7608706 entries with English definitions  from over 4300 languagesBrowse: All languages • List of topics • R"&amp;"andom word • New entriesAppendices • Abbreviations • Thesaurus • Rhymes • Frequency lists • Phrasebooks  Welcome to the English-language Wiktionary a collaborative project to produce a free-content multilingual dictionary. It aims to describe all words of"&amp;" all languages using definitions and descriptions in English.Wiktionary has grown beyond a standard dictionary and now includes a thesaurus a rhyme guide phrase books language statistics and extensive appendices.  We aim to include not only the definition"&amp;" of a word but also enough information to really understand it. Thus etymologies pronunciations sample quotations synonyms antonyms and translations are included.Wiktionary is a wiki which means that you can edit it and all the content is dual-licensed un"&amp;"der both the Creative Commons Attribution-ShareAlike 3.0 Unported License and the GNU Free Documentation License. Before you contribute you may wish to read through some of our help pages and bear in mind that we do things quite differently from other wik"&amp;"is. In particular we have strict layout conventions and inclusion criteria. Learn how to start a page how to edit entries experiment in the sandbox and visit our Community Portal to see how you can participate in the development of Wiktionary.edit · refre"&amp;"sh · viewWord of the dayfor November 12open world n(video games also attributive) A gameworld that the player may traverse freely rather than being restricted to certain predefined areas and quests. Tim Berners-Lee and Robert Cailliau published their form"&amp;"al proposal for the World Wide Web on this day in 1990.← yesterday | About Word of the Day • Nominate a word • Leave feedback | tomorrow →Foreign word of the day  in GermanGrufti noun(colloquial derogatory) coffin dodger old fart (old person)(originally y"&amp;"outh slang) goth (member of the goth subculture)About Foreign Word of the Day • Archive • Nominate a word • Leave feedbackBehind the scenesCommunity portalA page containing everything you wanted to know about Wiktionary.Discussion roomsA collection of pag"&amp;"es for the discussion of Wiktionary and the words it contains.Things to do • Help • GuidelinesWiktionaries in other languagesThis is the English-language Wiktionary where words from all languages are defined in English. For example see the entry for the F"&amp;"rench word dictionnaire. To find a French definition of that word visit the equivalent page in the French Wiktionary. 1000000+ entries: 中文 (Chinese) • Français (French) • Deutsch (German) • Ελληνικά (Greek) •Malagasy • Русский (Russian)100000+: Հայերեն (A"&amp;"rmenian) • Català (Catalan) • Čeština (Czech) • Nederlands (Dutch) • Suomi (Finnish) •  Español (Spanish) •  Esperanto • Eesti (Estonian) • हिन्दी (Hindi) • Magyar (Hungarian) • Ido • Bahasa Indonesia (Indonesian) • Italiano (Italian) • 日本語 (Japanese) • ಕ"&amp;"ನ್ನಡ (Kannada) • 한국어 (Korean) • Kurdî / كوردی (Kurdish) • Limburgs (Limburgish) •  Lietuvių (Lithuanian) • മലയാളം (Malayalam) • မြန်မာဘာသာ (Burmese) • Norsk Bokmål (Norwegian) • ଓଡ଼ିଆ (Odia) •  فارسى (Persian) • Polski (Polish) • Português (Portuguese) • "&amp;"Română (Romanian) • Srpskohrvatski (Serbo-Croatian) • Svenska (Swedish) • தமிழ் (Tamil) • తెలుగు (Telugu) • ไทย (Thai) • Türkçe (Turkish) • Tiếng Việt (Vietnamese) • Oʻzbekcha / Ўзбекча (Uzbek)10000+: Afrikaans • Shqip (Albanian) • العربية (Arabic) • Astu"&amp;"rianu (Asturian) • Azərbaycan (Azeri) • Bahasa Melayu (Malay) • Euskara (Basque) • বাংলা (Bengali) • Brezhoneg (Breton) • Български (Bulgarian) • Hrvatski (Croatian) • Dansk (Danish) • Frysk (West Frisian) • Galego (Galician) • ქართული (Georgian) •עברית ("&amp;"Hebrew) • Íslenska (Icelandic) • Basa Jawa (Javanese) • Кыргызча (Kyrgyz) • ລາວ (Lao) • Latina (Latin) • Latviešu (Latvian) • Lombard • Bân-lâm-gú (Min Nan) • ဘာသာမန် (Mon) • Nynorsk (Norwegian) • Occitan • Oromoo (Oromo) • پښتو (Pashto) • ਪੰਜਾਬੀ (Punjabi"&amp;") • Српски (Serbian) • လိၵ်ႈတႆ (Shan) • Sicilianu (Sicilian) • Simple English • Slovenčina (Slovak) • Kiswahili (Swahili) • Tagalog • Тоҷикӣ (Tajik) • Українська (Ukrainian) • اردو (Urdu) • Volapük • Walon (Walloon) • Cymraeg (Welsh)1000+: Armãneashce (Ar"&amp;"omanian) • Aymara • Беларуская (Belarusian) • Bosanski (Bosnian) • Bikol • Corsu (Corsican) • Føroyskt (Faroese) • Fiji Hindi • Kalaallisut (Greenlandic) • Avañe'ẽ (Guaraní) • Interlingua • Interlingue • Gaeilge (Irish) • كٲشُر (Kashmiri) • Kaszëbsczi (Ka"&amp;"shubian) • қазақша (Kazakh) • ភាសាខ្មែរ (Khmer) • Кыргызча (Kyrgyz) • Lëtzebuergesch (Luxembourgish) •Māori • Plattdüütsch (Low Saxon) • Македонски (Macedonian) • Malti (Maltese) • मराठी (Marathi) • Nahuatl • नेपाली (Nepali) • Li Niha (Nias) • Ænglisc (Ol"&amp;"d English) • Gàidhlig (Scottish Gaelic) • Tacawit (Shawiya) • سنڌي (Sindhi) • සිංහල (Sinhalese) • Slovenščina (Slovene) • Soomaaliga (Somali) • Hornjoserbsce (Upper Sorbian) • seSotho (Southern Sotho) • Basa Sunda (Sundanese) • Tatarça / Татарча (Tatar) •"&amp;" تركمن / Туркмен (Turkmen) • Uyghurche / ئۇيغۇرچە (Uyghur) • پنجابی (Western Punjabi) • Wollof (Wolof) • isiZulu (Zulu)100+: አማርኛ (Amharic) • Aragonés (Aragonese) • ᏣᎳᎩ (Cherokee) • Kernewek / Karnuack (Cornish) • ދިވެހިބަސް (Divehi) • ગુજરાતી (Gujarati) "&amp;"• Hausa / هَوُسَ (Hausa) • ʻŌlelo Hawaiʻi (Hawaiian) • ᐃᓄᒃᑎᑐᑦ (Inuktitut) • Ikinyarwanda (Kinyarwanda) • Lingala • Gaelg (Manx) • Монгол (Mongolian) • Runa Simi (Quechua) • Gagana Samoa (Samoan) • Sängö • Setswana • ትግርኛ (Tigrinya) • Tok Pisin • Xitsonga "&amp;"(Tsonga) • ייִדיש (Yiddish)Meta list + All WiktionariesOther Wikimedia projectsWiktionary is run by the Wikimedia Foundation a non-profit foundation headquartered in San Francisco California USA. Wikimedia operates several other multilingual and open-cont"&amp;"ent sister wiki projects:WikipediaThe free encyclopediaWikibooksFree textbooks and manualsWikinewsFree-content newsWikisourceThe free libraryWikispeciesDirectory of speciesWikiquoteCollection of quotationsCommonsShared media repositoryMeta-WikiWikimedia p"&amp;"roject coordinationWikiversityFree learning resourcesWikivoyageTravel informationWikidataThe free knowledge baseRetrieved from ""https://en.wiktionary.org/w/index.php?title=Wiktionary:Main_Page&amp;oldid=76595850""Navigation menuPersonal toolsNot logged inTal"&amp;"kContributionsCreate accountLog inNamespacesMain PageDiscussionEnglishViewsReadView sourceHistoryMoreSearchNavigationMain PageCommunity portalPreferencesRequested entriesRecent changesRandom entryHelpGlossaryDonationsContact usToolsWhat links hereRelated "&amp;"changesUpload fileSpecial pagesPermanent linkPage informationGet shortened URLWikidata itemPrint/exportCreate a bookDownload as PDFPrintable versionIn other projectsWikimedia CommonsWikimedia FoundationMediaWikiMeta-WikiWikimedia OutreachMultilingual Wiki"&amp;"sourceWikispeciesWikibooksWikidataWikifunctionsWikimaniaWikinewsWikipediaWikiquoteWikisourceWikiversityWikivoyageIn other languagesАдыгэбзэAfrikaansአማርኛÆngliscالعربيةAragonésArmãneashtiঅসমীয়াAsturianuAvañe'ẽAymar aruAzərbaycancaবাংলাBanjarBân-lâm-gúBân-l"&amp;"âm-gúБеларускаяBikol CentralБългарскиBosanskiBrezhonegCatalàČeštinaChiShonaCorsuCymraegDanskDeutschދިވެހިބަސްEbonEestiΕλληνικάEspañolEsperantoEuskaraفارسیFiji HindiFøroysktFrançaisFryskGaeilgeGaelgGàidhligGalegoગુજરાતીगोंयची कोंकणी / Gõychi KonknniGungbe한"&amp;"국어HausaՀայերենहिन्दीHornjoserbsceHrvatskiBahasa HulontaloIdoIgboBahasa IndonesiaInterlinguaInterlingueᐃᓄᒃᑎᑐᑦ / inuktitutIñupiatunIsiZuluÍslenskaItalianoעבריתJawaKalaallisutಕನ್ನಡქართულიकॉशुर / کٲشُرKaszëbscziҚазақшаKernowekIkinyarwandaKiswahiliKurdîКыргызч"&amp;"аລາວLatinaLatviešuLëtzebuergeschLietuviųLi NihaLimburgsLingálaLa .lojban.LombardMagyarМакедонскиMalagasyമലയാളംMaltiमराठीဘာသာ မန်Bahasa Melayuꯃꯤꯇꯩ ꯂꯣꯟMinangkabauМонголမြန်မာဘာသာNāhuatlDorerin NaoeroNa Vosa VakavitiNederlandsनेपाली日本語NorskNorsk nynorskOccit"&amp;"anଓଡ଼ିଆOromooOʻzbekcha / ўзбекчаਪੰਜਾਬੀپنجابیပအိုဝ်ႏဘာႏသာႏپښتوភាសាខ្មែរTok PisinPlattdüütschPolskiPortuguêsRomânăRuna SimiРусскийGagana Samoaसंस्कृतम्SängöسرائیکیSesothoSetswanaShqipSicilianuසිංහලSimple EnglishسنڌيSiSwatiSlovenčinaSlovenščinaSoomaaligaکورد"&amp;"یСрпски / srpskiSrpskohrvatski / српскохрватскиSundaSuomiSvenskaTacawitTagalogதமிழ்Татарча / tatarçaၽႃႇသႃႇတႆး తెలుగుไทยትግርኛТоҷикӣᏣᎳᎩTürkçeTürkmençeTyapУкраїнськаاردوئۇيغۇرچە / UyghurcheVahcuenghVènetoTiếng ViệtVolapükWalonWolofXitsongaייִדיש粵語中文Batak Mand"&amp;"ailingEdit links This page was last edited on 7 November 2023 at 14:51.Definitions and other text are available under the Creative Commons Attribution-ShareAlike License; additional terms may apply. By using this site you agree to the Terms of Use and Pri"&amp;"vacy Policy.Privacy policyAbout WiktionaryDisclaimersCode of ConductDevelopersStatisticsCookie statementMobile view")</f>
        <v>Wiktionary the free dictionaryWiktionary:Main PageFrom Wiktionary the free dictionaryJump to navigationJump to searchWiktionary the free dictionary7608706 entries with English definitions  from over 4300 languagesBrowse: All languages • List of topics • Random word • New entriesAppendices • Abbreviations • Thesaurus • Rhymes • Frequency lists • Phrasebooks  Welcome to the English-language Wiktionary a collaborative project to produce a free-content multilingual dictionary. It aims to describe all words of all languages using definitions and descriptions in English.Wiktionary has grown beyond a standard dictionary and now includes a thesaurus a rhyme guide phrase books language statistics and extensive appendices.  We aim to include not only the definition of a word but also enough information to really understand it. Thus etymologies pronunciations sample quotations synonyms antonyms and translations are included.Wiktionary is a wiki which means that you can edit it and all the content is dual-licensed under both the Creative Commons Attribution-ShareAlike 3.0 Unported License and the GNU Free Documentation License. Before you contribute you may wish to read through some of our help pages and bear in mind that we do things quite differently from other wikis. In particular we have strict layout conventions and inclusion criteria. Learn how to start a page how to edit entries experiment in the sandbox and visit our Community Portal to see how you can participate in the development of Wiktionary.edit · refresh · viewWord of the dayfor November 12open world n(video games also attributive) A gameworld that the player may traverse freely rather than being restricted to certain predefined areas and quests. Tim Berners-Lee and Robert Cailliau published their formal proposal for the World Wide Web on this day in 1990.← yesterday | About Word of the Day • Nominate a word • Leave feedback | tomorrow →Foreign word of the day  in GermanGrufti noun(colloquial derogatory) coffin dodger old fart (old person)(originally youth slang) goth (member of the goth subculture)About Foreign Word of the Day • Archive • Nominate a word • Leave feedbackBehind the scenesCommunity portalA page containing everything you wanted to know about Wiktionary.Discussion roomsA collection of pages for the discussion of Wiktionary and the words it contains.Things to do • Help • GuidelinesWiktionaries in other languagesThis is the English-language Wiktionary where words from all languages are defined in English. For example see the entry for the French word dictionnaire. To find a French definition of that word visit the equivalent page in the French Wiktionary. 1000000+ entries: 中文 (Chinese) • Français (French) • Deutsch (German) • Ελληνικά (Greek) •Malagasy • Русский (Russian)100000+: Հայերեն (Armenian) • Català (Catalan) • Čeština (Czech) • Nederlands (Dutch) • Suomi (Finnish) •  Español (Spanish) •  Esperanto • Eesti (Estonian) • हिन्दी (Hindi) • Magyar (Hungarian) • Ido • Bahasa Indonesia (Indonesian) • Italiano (Italian) • 日本語 (Japanese) • ಕನ್ನಡ (Kannada) • 한국어 (Korean) • Kurdî / كوردی (Kurdish) • Limburgs (Limburgish) •  Lietuvių (Lithuanian) • മലയാളം (Malayalam) • မြန်မာဘာသာ (Burmese) • Norsk Bokmål (Norwegian) • ଓଡ଼ିଆ (Odia) •  فارسى (Persian) • Polski (Polish) • Português (Portuguese) • Română (Romanian) • Srpskohrvatski (Serbo-Croatian) • Svenska (Swedish) • தமிழ் (Tamil) • తెలుగు (Telugu) • ไทย (Thai) • Türkçe (Turkish) • Tiếng Việt (Vietnamese) • Oʻzbekcha / Ўзбекча (Uzbek)10000+: Afrikaans • Shqip (Albanian) • العربية (Arabic) • Asturianu (Asturian) • Azərbaycan (Azeri) • Bahasa Melayu (Malay) • Euskara (Basque) • বাংলা (Bengali) • Brezhoneg (Breton) • Български (Bulgarian) • Hrvatski (Croatian) • Dansk (Danish) • Frysk (West Frisian) • Galego (Galician) • ქართული (Georgian) •עברית (Hebrew) • Íslenska (Icelandic) • Basa Jawa (Javanese) • Кыргызча (Kyrgyz) • ລາວ (Lao) • Latina (Latin) • Latviešu (Latvian) • Lombard • Bân-lâm-gú (Min Nan) • ဘာသာမန် (Mon) • Nynorsk (Norwegian) • Occitan • Oromoo (Oromo) • پښتو (Pashto) • ਪੰਜਾਬੀ (Punjabi) • Српски (Serbian) • လိၵ်ႈတႆ (Shan) • Sicilianu (Sicilian) • Simple English • Slovenčina (Slovak) • Kiswahili (Swahili) • Tagalog • Тоҷикӣ (Tajik) • Українська (Ukrainian) • اردو (Urdu) • Volapük • Walon (Walloon) • Cymraeg (Welsh)1000+: Armãneashce (Aromanian) • Aymara • Беларуская (Belarusian) • Bosanski (Bosnian) • Bikol • Corsu (Corsican) • Føroyskt (Faroese) • Fiji Hindi • Kalaallisut (Greenlandic) • Avañe'ẽ (Guaraní) • Interlingua • Interlingue • Gaeilge (Irish) • كٲشُر (Kashmiri) • Kaszëbsczi (Kashubian) • қазақша (Kazakh) • ភាសាខ្មែរ (Khmer) • Кыргызча (Kyrgyz) • Lëtzebuergesch (Luxembourgish) •Māori • Plattdüütsch (Low Saxon) • Македонски (Macedonian) • Malti (Maltese) • मराठी (Marathi) • Nahuatl • नेपाली (Nepali) • Li Niha (Nias) • Ænglisc (Old English) • Gàidhlig (Scottish Gaelic) • Tacawit (Shawiya) • سنڌي (Sindhi) • සිංහල (Sinhalese) • Slovenščina (Slovene) • Soomaaliga (Somali) • Hornjoserbsce (Upper Sorbian) • seSotho (Southern Sotho) • Basa Sunda (Sundanese) • Tatarça / Татарча (Tatar) • تركمن / Туркмен (Turkmen) • Uyghurche / ئۇيغۇرچە (Uyghur) • پنجابی (Western Punjabi) • Wollof (Wolof) • isiZulu (Zulu)100+: አማርኛ (Amharic) • Aragonés (Aragonese) • ᏣᎳᎩ (Cherokee) • Kernewek / Karnuack (Cornish) • ދިވެހިބަސް (Divehi) • ગુજરાતી (Gujarati) • Hausa / هَوُسَ (Hausa) • ʻŌlelo Hawaiʻi (Hawaiian) • ᐃᓄᒃᑎᑐᑦ (Inuktitut) • Ikinyarwanda (Kinyarwanda) • Lingala • Gaelg (Manx) • Монгол (Mongolian) • Runa Simi (Quechua) • Gagana Samoa (Samoan) • Sängö • Setswana • ትግርኛ (Tigrinya) • Tok Pisin • Xitsonga (Tsonga) • ייִדיש (Yiddish)Meta list + All WiktionariesOther Wikimedia projectsWiktionary is run by the Wikimedia Foundation a non-profit foundation headquartered in San Francisco California USA. Wikimedia operates several other multilingual and open-content sister wiki projects:WikipediaThe free encyclopediaWikibooksFree textbooks and manualsWikinewsFree-content newsWikisourceThe free libraryWikispeciesDirectory of speciesWikiquoteCollection of quotationsCommonsShared media repositoryMeta-WikiWikimedia project coordinationWikiversityFree learning resourcesWikivoyageTravel informationWikidataThe free knowledge baseRetrieved from "https://en.wiktionary.org/w/index.php?title=Wiktionary:Main_Page&amp;oldid=76595850"Navigation menuPersonal toolsNot logged inTalkContributionsCreate accountLog inNamespacesMain PageDiscussionEnglishViewsReadView sourceHistoryMoreSearchNavigationMain PageCommunity portalPreferencesRequested entriesRecent changesRandom entryHelpGlossaryDonationsContact usToolsWhat links hereRelated changesUpload fileSpecial pagesPermanent linkPage informationGet shortened URLWikidata itemPrint/exportCreate a bookDownload as PDFPrintable versionIn other projectsWikimedia CommonsWikimedia FoundationMediaWikiMeta-WikiWikimedia OutreachMultilingual WikisourceWikispeciesWikibooksWikidataWikifunctionsWikimaniaWikinewsWikipediaWikiquoteWikisourceWikiversityWikivoyageIn other languagesАдыгэбзэAfrikaansአማርኛÆngliscالعربيةAragonésArmãneashtiঅসমীয়াAsturianuAvañe'ẽAymar aruAzərbaycancaবাংলাBanjarBân-lâm-gúBân-lâm-gúБеларускаяBikol CentralБългарскиBosanskiBrezhonegCatalàČeštinaChiShonaCorsuCymraegDanskDeutschދިވެހިބަސްEbonEestiΕλληνικάEspañolEsperantoEuskaraفارسیFiji HindiFøroysktFrançaisFryskGaeilgeGaelgGàidhligGalegoગુજરાતીगोंयची कोंकणी / Gõychi KonknniGungbe한국어HausaՀայերենहिन्दीHornjoserbsceHrvatskiBahasa HulontaloIdoIgboBahasa IndonesiaInterlinguaInterlingueᐃᓄᒃᑎᑐᑦ / inuktitutIñupiatunIsiZuluÍslenskaItalianoעבריתJawaKalaallisutಕನ್ನಡქართულიकॉशुर / کٲشُرKaszëbscziҚазақшаKernowekIkinyarwandaKiswahiliKurdîКыргызчаລາວLatinaLatviešuLëtzebuergeschLietuviųLi NihaLimburgsLingálaLa .lojban.LombardMagyarМакедонскиMalagasyമലയാളംMaltiमराठीဘာသာ မန်Bahasa Melayuꯃꯤꯇꯩ ꯂꯣꯟMinangkabauМонголမြန်မာဘာသာNāhuatlDorerin NaoeroNa Vosa VakavitiNederlandsनेपाली日本語NorskNorsk nynorskOccitanଓଡ଼ିଆOromooOʻzbekcha / ўзбекчаਪੰਜਾਬੀپنجابیပအိုဝ်ႏဘာႏသာႏپښتوភាសាខ្មែរTok PisinPlattdüütschPolskiPortuguêsRomânăRuna SimiРусскийGagana Samoaसंस्कृतम्SängöسرائیکیSesothoSetswanaShqipSicilianuසිංහලSimple EnglishسنڌيSiSwatiSlovenčinaSlovenščinaSoomaaligaکوردیСрпски / srpskiSrpskohrvatski / српскохрватскиSundaSuomiSvenskaTacawitTagalogதமிழ்Татарча / tatarçaၽႃႇသႃႇတႆး తెలుగుไทยትግርኛТоҷикӣᏣᎳᎩTürkçeTürkmençeTyapУкраїнськаاردوئۇيغۇرچە / UyghurcheVahcuenghVènetoTiếng ViệtVolapükWalonWolofXitsongaייִדיש粵語中文Batak MandailingEdit links This page was last edited on 7 November 2023 at 14:51.Definitions and other text are available under the Creative Commons Attribution-ShareAlike License; additional terms may apply. By using this site you agree to the Terms of Use and Privacy Policy.Privacy policyAbout WiktionaryDisclaimersCode of ConductDevelopersStatisticsCookie statementMobile view</v>
      </c>
    </row>
    <row r="643">
      <c r="A643" s="1" t="s">
        <v>2115</v>
      </c>
      <c r="B643" s="1" t="s">
        <v>2156</v>
      </c>
      <c r="D643" s="1">
        <v>13.0</v>
      </c>
      <c r="E643" s="4" t="s">
        <v>2157</v>
      </c>
      <c r="F643" s="1" t="s">
        <v>43</v>
      </c>
      <c r="G643" s="1" t="s">
        <v>2158</v>
      </c>
      <c r="H643" s="4" t="s">
        <v>2159</v>
      </c>
      <c r="I643" s="2">
        <v>0.0</v>
      </c>
      <c r="J643" s="5" t="str">
        <f>IFERROR(__xludf.DUMMYFUNCTION("GOOGLETRANSLATE(A643)"),"translation")</f>
        <v>translation</v>
      </c>
      <c r="K643" s="6" t="str">
        <f>IFERROR(__xludf.DUMMYFUNCTION("GOOGLETRANSLATE(B643)"),"Translation - English Translation")</f>
        <v>Translation - English Translation</v>
      </c>
      <c r="L643" s="5" t="str">
        <f>IFERROR(__xludf.DUMMYFUNCTION("GOOGLETRANSLATE(C643)"),"#VALUE!")</f>
        <v>#VALUE!</v>
      </c>
      <c r="M643" s="5" t="str">
        <f>IFERROR(__xludf.DUMMYFUNCTION("GOOGLETRANSLATE(G643)"),"Linguee | Dictionary for German French Spanish and more Look up in LingueeSuggest as a translation of """"CopyDeepLTranslatorWriteDictionaryENOpen menuPlay Video English-German Dictionary. Search 1000000000 translations.Linguee[us] English &lt;-&gt; [de] German"&amp;"[us] English ---&gt; [de] German[de] German ---&gt; [us] English[us] English &lt;-&gt; [fr] French[us] English &lt;-&gt; [es] Spanish[us] English &lt;-&gt; [br] Portuguese[us] English &lt;-&gt; [it] Italian[us] English &lt;-&gt; [ru] Russian[us] English &lt;-&gt; [jp] Japanese[us] English &lt;-&gt; [cn"&amp;"] Chinese[us] English &lt;-&gt; [pl] Polish[us] English &lt;-&gt; [nl] Dutch[us] English &lt;-&gt; [se] Swedish[us] English &lt;-&gt; [dk] Danish[us] English &lt;-&gt; [fi] Finnish[us] English &lt;-&gt; [gr] Greek[us] English &lt;-&gt; [cz] Czech[us] English &lt;-&gt; [ro] Romanian[us] English &lt;-&gt; [hu]"&amp;" Hungarian[us] English &lt;-&gt; [sk] Slovak[us] English &lt;-&gt; [bg] Bulgarian[us] English &lt;-&gt; [si] Slovene[us] English &lt;-&gt; [lt] Lithuanian[us] English &lt;-&gt; [lv] Latvian[us] English &lt;-&gt; [ee] Estonian[us] English &lt;-&gt; [mt] MalteseMore languages����ENDETranslate textT"&amp;"ranslate filesImprove your writing  Use DeepL Translator to instantly translate texts and documentsTry DeepL TranslatorTranslate as you typeWorld-leading qualityDrag and drop documentsTranslate nowLinguee auf DeutschLoginPublisherTerms and ConditionsPriva"&amp;"cy ")</f>
        <v>Linguee | Dictionary for German French Spanish and more Look up in LingueeSuggest as a translation of ""CopyDeepLTranslatorWriteDictionaryENOpen menuPlay Video English-German Dictionary. Search 1000000000 translations.Linguee[us] English &lt;-&gt; [de] German[us] English ---&gt; [de] German[de] German ---&gt; [us] English[us] English &lt;-&gt; [fr] French[us] English &lt;-&gt; [es] Spanish[us] English &lt;-&gt; [br] Portuguese[us] English &lt;-&gt; [it] Italian[us] English &lt;-&gt; [ru] Russian[us] English &lt;-&gt; [jp] Japanese[us] English &lt;-&gt; [cn] Chinese[us] English &lt;-&gt; [pl] Polish[us] English &lt;-&gt; [nl] Dutch[us] English &lt;-&gt; [se] Swedish[us] English &lt;-&gt; [dk] Danish[us] English &lt;-&gt; [fi] Finnish[us] English &lt;-&gt; [gr] Greek[us] English &lt;-&gt; [cz] Czech[us] English &lt;-&gt; [ro] Romanian[us] English &lt;-&gt; [hu] Hungarian[us] English &lt;-&gt; [sk] Slovak[us] English &lt;-&gt; [bg] Bulgarian[us] English &lt;-&gt; [si] Slovene[us] English &lt;-&gt; [lt] Lithuanian[us] English &lt;-&gt; [lv] Latvian[us] English &lt;-&gt; [ee] Estonian[us] English &lt;-&gt; [mt] MalteseMore languages����ENDETranslate textTranslate filesImprove your writing  Use DeepL Translator to instantly translate texts and documentsTry DeepL TranslatorTranslate as you typeWorld-leading qualityDrag and drop documentsTranslate nowLinguee auf DeutschLoginPublisherTerms and ConditionsPrivacy </v>
      </c>
    </row>
    <row r="644">
      <c r="A644" s="1" t="s">
        <v>2115</v>
      </c>
      <c r="B644" s="1" t="s">
        <v>2160</v>
      </c>
      <c r="C644" s="1" t="s">
        <v>2161</v>
      </c>
      <c r="D644" s="1">
        <v>14.0</v>
      </c>
      <c r="E644" s="4" t="s">
        <v>2162</v>
      </c>
      <c r="F644" s="1" t="s">
        <v>43</v>
      </c>
      <c r="G644" s="1" t="s">
        <v>1302</v>
      </c>
      <c r="H644" s="4" t="s">
        <v>1303</v>
      </c>
      <c r="I644" s="2">
        <v>1.0</v>
      </c>
      <c r="J644" s="5" t="str">
        <f>IFERROR(__xludf.DUMMYFUNCTION("GOOGLETRANSLATE(A644)"),"translation")</f>
        <v>translation</v>
      </c>
      <c r="K644" s="6" t="str">
        <f>IFERROR(__xludf.DUMMYFUNCTION("GOOGLETRANSLATE(B644)"),"Amazon Translate - machine translation services")</f>
        <v>Amazon Translate - machine translation services</v>
      </c>
      <c r="L644" s="5" t="str">
        <f>IFERROR(__xludf.DUMMYFUNCTION("GOOGLETRANSLATE(C644)"),"How it works. Amazon Translate is a neural machine translation service that provides fast, high -quality, affordable transfer from ...")</f>
        <v>How it works. Amazon Translate is a neural machine translation service that provides fast, high -quality, affordable transfer from ...</v>
      </c>
      <c r="M644" s="5" t="str">
        <f>IFERROR(__xludf.DUMMYFUNCTION("GOOGLETRANSLATE(G644)"),"Cloud Computing Services - Amazon Web Services (AWS) Skip to main contentClick here to return to Amazon Web Services homepageContact Us Support  English My Account  Sign In  Create an AWS Account re:InventProductsSolutionsPricingDocumentationLearnPartner "&amp;"NetworkAWS MarketplaceCustomer EnablementEventsExplore More  Close عربيBahasa IndonesiaDeutschEnglishEspañolFrançaisItalianoPortuguêsTiếng ViệtTürkçeΡусскийไทย日本語한국어中文 (简体)中文 (繁體) Close My ProfileSign out of AWS Builder IDAWS Management ConsoleAccount Set"&amp;"tingsBilling &amp; Cost ManagementSecurity CredentialsAWS Personal Health Dashboard Close Support CenterExpert HelpKnowledge CenterAWS Support OverviewAWS re:PostClick here to return to Amazon Web Services homepage  Get Started for Free   Contact Us  re:Inven"&amp;"t  Products  Solutions  Pricing  Introduction to AWS  Getting Started  Documentation  Training and Certification  Developer Center  Customer Success  Partner Network  AWS Marketplace  Support  AWS re:Post  Log into Console  Download the Mobile App  Start "&amp;"Building on AWS Today               Whether you're looking for compute power database storage content delivery or other functionality AWS has the services to help you build sophisticated applications with increased flexibility scalability and reliability "&amp;"               Get Started for Free  Explore the AWS platform cloud products and capabilities               Get started                  Try Amazon Redshift for Free               Accelerate your time to insights with fast easy and secure cloud data wareh"&amp;"ousing at scale                             Get started                  Amazon S3 Object Lambda               Add your own code to process data retrieved from Amazon S3 before returning it to an application                             Learn more         "&amp;"         AWS Skill Builder - Learn AWS by Doing AWS               Access 100+ AWS Builder Labs that sharpen your cloud skills quickly in a safe sandbox environment                             Subscribe today                 PrevNext             Start Buil"&amp;"ding With Free Tier                         Use Amazon EC2 S3 and more— free for a full year                          Launch Your First App in Minutes                         Learn AWS fundamentals and start building with short step-by-step tutorials     "&amp;"                     Enable Remote Work &amp; Learning                         Support remote employees students and contact center agents                          Amazon Lightsail                         Everything you need to get started on AWS—for a low pr"&amp;"edictable price                           Solutions                           View our AWS Solutions library                            Products                           Explore our cloud-based products                            Training &amp; Certification"&amp;"                           Learn how to build on AWS                            Customer Innovation                           Read our customer success stories                            Solutions                           View our AWS Solutions library  "&amp;"                          Products                           Explore our cloud-based products                            Training &amp; Certification                           Learn how to build on AWS                            Customer Innovation           "&amp;"                Read our customer success stories               Explore Our Solutions By Industry  Advertising &amp; Marketing                Achieve cost-efficiency for petabyte-scale analytics and single-digit millisecond latency workloads.                 "&amp;" Financial Services                Less cost. More resiliency. Explore AWS solutions across banking payments capital markets and insurance.                  Game Tech                Create computationally ridiculous games across all genres and platforms. "&amp;"                 Education                Personalize student-learning experiences access applications from anywhere and improve learning.                 View All Industries  By Technology Category  Analytics &amp; Data Lakes                Securely store ca"&amp;"tegorize and analyze all your data in one centralized repository.                  Machine Learning                Build with powerful services and platforms and the broadest machine learning framework support anywhere.                  Serverless Computi"&amp;"ng                Build and run applications and services without thinking about servers.                  Storage                Durable cost-effective options for backup disaster recovery and data archiving at petabyte scale.                 View All So"&amp;"lutions  Explore Our Products              Featured Services                            Analytics                            Cloud Financial Management                            Compute                            Containers                            Dat"&amp;"abase                            Front-End Web &amp; Mobile                            Internet of Things                            Machine Learning                            Networking &amp; Content Delivery                            Security Identity &amp; Compl"&amp;"iance                            Serverless                            Storage              Featured Services Rank Featured Services Rank                  No products found for this category.                View All Product Categories  Service Name Servic"&amp;"e Name                  No products found for this category.                View All Analytics Products  Service Name Service Name                  No products found for this category.                View All Cloud Financial Management Products  Service N"&amp;"ame Service Name                  No products found for this category.                View All Compute Products  Service Name Service Name                  No products found for this category.                View All Containers Products  Service Name Serv"&amp;"ice Name                  No products found for this category.                View All Database Products  Featured Services Rank Featured Services Rank                  No products found for this category.                View All Front-end Web &amp; Mobile Pr"&amp;"oducts  Service Name Service Name                  No products found for this category.                View All Internet of Things Products  Service Name Service Name                  No products found for this category.                View All Machine Le"&amp;"arning Products  Service Name Service Name                  No products found for this category.                View All Networking &amp; Content Delivery Products  Service Name Service Name                  No products found for this category.               "&amp;" View All Security Identity &amp; Compliance Products  Service Name Service Name                  No products found for this category.                View All Serverless Products  Service Name Service Name                  No products found for this category."&amp;"                View All Storage Products   Training and Certification              For Builders                            For Decision Makers                           For Builders                           For developers data scientists solutions archi"&amp;"tects or anyone interested in learning how to build on AWS today                                Free Online Training                  Go from learning to doing with more than 500 free digital training courses built by AWS experts Take a Digital Course »  "&amp;"                  AWS Learning Recommendations                  Start building today with Ramp-Up guides featuring curated resources to grow your AWS knowledge Browse by Role or Solution »                    AWS Certification                  Grow your ca"&amp;"reer and business with industry-recognized credentials validating your cloud skills Learn More About AWS Certification »                For Decision Makers                           For technical and business leaders who develop cloud skills in their orga"&amp;"nization to enable innovation and transformation                                Upskill Your Teams                  Explore best practices to empower your teams with comprehensive training and certification programs Read the E-book»                    Vir"&amp;"tual Classroom Training                  Accelerate your cloud transformation with training from AWS experts familiar with your AWS use cases Learn More »                    AWS Certified Staff                  Learn how AWS Certification can help your or"&amp;"ganizations achieve business outcomes Download Whitepaper »   Powering Customer Innovation             Featured Customer Innovations                          Advertising &amp; Marketing                          Aerospace &amp; Satellite                          A"&amp;"griculture                          Automotive                          Education                          Energy                          Financial Services                          Government                          Healthcare &amp; Life Sciences          "&amp;"                Manufacturing                          Media &amp; Entertainment                          Retail | Consumer Packaged Goods                          Travel &amp; Hospitality             Customer Name Customer Name                 No products found "&amp;"for this category.               View All Customer Stories  Customer Name Customer Name                 No products found for this category.               View All Advertising &amp; Marketing Customer Stories  Customer Name Customer Name                 No pr"&amp;"oducts found for this category.               View All Aerospace &amp; Satellite Customer Stories  Customer Name Customer Name                 No products found for this category.               View All Agriculture Customer Stories  Customer Name Customer Nam"&amp;"e                 No products found for this category.               View All Automotive Customer Stories  Customer Name Customer Name                 No products found for this category.               View All Education Customer Stories  Customer Name Cu"&amp;"stomer Name                 No products found for this category.               View All Energy Customer Stories  Customer Name Customer Name                 No products found for this category.               View All Financial Services Customer Stories  C"&amp;"ustomer Name Customer Name                 No products found for this category.               View All Government Stories  Customer Name Customer Name                 No products found for this category.               View All Healthcare &amp; Life Sciences C"&amp;"ustomer Stories  Customer Name Customer Name                 No products found for this category.               View All Manufacturing Customer Stories  Customer Name Customer Name                 No products found for this category.               View Al"&amp;"l Media &amp; Entertainment Customer Stories  Customer Name Customer Name                 No products found for this category.               View All Retail &amp; Consumer Goods Customer Stories  Customer Name Customer Name                 No products found for t"&amp;"his category.               View All Travel &amp; Hospitality Customer Stories   Engineered for the Most Demanding Requirements              Secure                           Comprehensive security capabilities to satisfy the most demanding requirements.      "&amp;"                      Compliant                           Rich controls auditing and broad security accreditations.                            Hybrid                           Build hybrid architectures that extend your on-premises infrastructure to the C"&amp;"loud.                            Scalable                           Access as much or as little as you need and scale up and down as required with only a few minutes notice.               Global Network of AWS Regions          The AWS Cloud spans 102 Avai"&amp;"lability Zones within 32 geographic regions around the world with announced plans for 15 more Availability Zones and 5 more AWS Regions in Canada Germany Malaysia New Zealand and Thailand.          Skip Map  List view              Regions                 "&amp;"          Coming Soon              Learn more about AWS Regions  Close             Analyst Reports                       Read what top analysts such as Gartner and IDC are saying about AWS                        AWS Training                       Free dig"&amp;"ital courses to help you develop your skills                        AWS Partner Network                       Join AWS Partner Network to build and grow your cloud business                        The Amazon Builders' Library                       Learn ho"&amp;"w Amazon builds and operates software from the builders themselves              Sign In to the Console  Learn About AWSWhat Is AWS?What Is Cloud Computing?AWS Inclusion Diversity &amp; EquityWhat Is DevOps?What Is a Container?What Is a Data Lake?What is Gener"&amp;"ative AI?AWS Cloud SecurityWhat's NewBlogsPress Releases Resources for AWSGetting StartedTraining and CertificationAWS Solutions LibraryArchitecture CenterProduct and Technical FAQsAnalyst ReportsAWS Partners Developers on AWSDeveloper CenterSDKs &amp; Tools."&amp;"NET on AWSPython on AWSJava on AWSPHP on AWSJavaScript on AWS HelpContact UsGet Expert HelpFile a Support TicketAWS re:PostKnowledge CenterAWS Support OverviewLegalAWS Careers  Create an AWS Account                  Amazon is an Equal Opportunity Employer"&amp;":          Minority / Women / Disability / Veteran / Gender Identity / Sexual Orientation / Age.LanguageعربيBahasa IndonesiaDeutschEnglishEspañolFrançaisItalianoPortuguêsTiếng ViệtTürkçeΡусскийไทย日本語한국어中文 (简体)中文 (繁體)Privacy|Site Terms| Cookie Preferences "&amp;"|© 2023 Amazon Web Services Inc. or its affiliates. All rights reserved. Ending Support for Internet Explorer Got it        AWS support for Internet Explorer ends on 07/31/2022. Supported browsers are Chrome Firefox Edge and Safari.       Learn more »Got "&amp;"it")</f>
        <v>Cloud Computing Services - Amazon Web Services (AWS) Skip to main contentClick here to return to Amazon Web Services homepageContact Us Support  English My Account  Sign In  Create an AWS Account re:InventProductsSolutionsPricingDocumentationLearnPartner NetworkAWS MarketplaceCustomer EnablementEventsExplore More  Close عربيBahasa IndonesiaDeutschEnglishEspañolFrançaisItalianoPortuguêsTiếng ViệtTürkçeΡусскийไทย日本語한국어中文 (简体)中文 (繁體) Close My ProfileSign out of AWS Builder IDAWS Management ConsoleAccount SettingsBilling &amp; Cost ManagementSecurity CredentialsAWS Personal Health Dashboard Close Support CenterExpert HelpKnowledge CenterAWS Support OverviewAWS re:PostClick here to return to Amazon Web Services homepage  Get Started for Free   Contact Us  re:Invent  Products  Solutions  Pricing  Introduction to AWS  Getting Started  Documentation  Training and Certification  Developer Center  Customer Success  Partner Network  AWS Marketplace  Support  AWS re:Post  Log into Console  Download the Mobile App  Start Building on AWS Today               Whether you're looking for compute power database storage content delivery or other functionality AWS has the services to help you build sophisticated applications with increased flexibility scalability and reliability                Get Started for Free  Explore the AWS platform cloud products and capabilities               Get started                  Try Amazon Redshift for Free               Accelerate your time to insights with fast easy and secure cloud data warehousing at scale                             Get started                  Amazon S3 Object Lambda               Add your own code to process data retrieved from Amazon S3 before returning it to an application                             Learn more                  AWS Skill Builder - Learn AWS by Doing AWS               Access 100+ AWS Builder Labs that sharpen your cloud skills quickly in a safe sandbox environment                             Subscribe today                 PrevNext             Start Building With Free Tier                         Use Amazon EC2 S3 and more— free for a full year                          Launch Your First App in Minutes                         Learn AWS fundamentals and start building with short step-by-step tutorials                          Enable Remote Work &amp; Learning                         Support remote employees students and contact center agents                          Amazon Lightsail                         Everything you need to get started on AWS—for a low predictable price                           Solutions                           View our AWS Solutions library                            Products                           Explore our cloud-based products                            Training &amp; Certification                           Learn how to build on AWS                            Customer Innovation                           Read our customer success stories                            Solutions                           View our AWS Solutions library                            Products                           Explore our cloud-based products                            Training &amp; Certification                           Learn how to build on AWS                            Customer Innovation                           Read our customer success stories               Explore Our Solutions By Industry  Advertising &amp; Marketing                Achieve cost-efficiency for petabyte-scale analytics and single-digit millisecond latency workloads.                  Financial Services                Less cost. More resiliency. Explore AWS solutions across banking payments capital markets and insurance.                  Game Tech                Create computationally ridiculous games across all genres and platforms.                  Education                Personalize student-learning experiences access applications from anywhere and improve learning.                 View All Industries  By Technology Category  Analytics &amp; Data Lakes                Securely store categorize and analyze all your data in one centralized repository.                  Machine Learning                Build with powerful services and platforms and the broadest machine learning framework support anywhere.                  Serverless Computing                Build and run applications and services without thinking about servers.                  Storage                Durable cost-effective options for backup disaster recovery and data archiving at petabyte scale.                 View All Solutions  Explore Our Products              Featured Services                            Analytics                            Cloud Financial Management                            Compute                            Containers                            Database                            Front-End Web &amp; Mobile                            Internet of Things                            Machine Learning                            Networking &amp; Content Delivery                            Security Identity &amp; Compliance                            Serverless                            Storage              Featured Services Rank Featured Services Rank                  No products found for this category.                View All Product Categories  Service Name Service Name                  No products found for this category.                View All Analytics Products  Service Name Service Name                  No products found for this category.                View All Cloud Financial Management Products  Service Name Service Name                  No products found for this category.                View All Compute Products  Service Name Service Name                  No products found for this category.                View All Containers Products  Service Name Service Name                  No products found for this category.                View All Database Products  Featured Services Rank Featured Services Rank                  No products found for this category.                View All Front-end Web &amp; Mobile Products  Service Name Service Name                  No products found for this category.                View All Internet of Things Products  Service Name Service Name                  No products found for this category.                View All Machine Learning Products  Service Name Service Name                  No products found for this category.                View All Networking &amp; Content Delivery Products  Service Name Service Name                  No products found for this category.                View All Security Identity &amp; Compliance Products  Service Name Service Name                  No products found for this category.                View All Serverless Products  Service Name Service Name                  No products found for this category.                View All Storage Products   Training and Certification              For Builders                            For Decision Makers                           For Builders                           For developers data scientists solutions architects or anyone interested in learning how to build on AWS today                                Free Online Training                  Go from learning to doing with more than 500 free digital training courses built by AWS experts Take a Digital Course »                    AWS Learning Recommendations                  Start building today with Ramp-Up guides featuring curated resources to grow your AWS knowledge Browse by Role or Solution »                    AWS Certification                  Grow your career and business with industry-recognized credentials validating your cloud skills Learn More About AWS Certification »                For Decision Makers                           For technical and business leaders who develop cloud skills in their organization to enable innovation and transformation                                Upskill Your Teams                  Explore best practices to empower your teams with comprehensive training and certification programs Read the E-book»                    Virtual Classroom Training                  Accelerate your cloud transformation with training from AWS experts familiar with your AWS use cases Learn More »                    AWS Certified Staff                  Learn how AWS Certification can help your organizations achieve business outcomes Download Whitepaper »   Powering Customer Innovation             Featured Customer Innovations                          Advertising &amp; Marketing                          Aerospace &amp; Satellite                          Agriculture                          Automotive                          Education                          Energy                          Financial Services                          Government                          Healthcare &amp; Life Sciences                          Manufacturing                          Media &amp; Entertainment                          Retail | Consumer Packaged Goods                          Travel &amp; Hospitality             Customer Name Customer Name                 No products found for this category.               View All Customer Stories  Customer Name Customer Name                 No products found for this category.               View All Advertising &amp; Marketing Customer Stories  Customer Name Customer Name                 No products found for this category.               View All Aerospace &amp; Satellite Customer Stories  Customer Name Customer Name                 No products found for this category.               View All Agriculture Customer Stories  Customer Name Customer Name                 No products found for this category.               View All Automotive Customer Stories  Customer Name Customer Name                 No products found for this category.               View All Education Customer Stories  Customer Name Customer Name                 No products found for this category.               View All Energy Customer Stories  Customer Name Customer Name                 No products found for this category.               View All Financial Services Customer Stories  Customer Name Customer Name                 No products found for this category.               View All Government Stories  Customer Name Customer Name                 No products found for this category.               View All Healthcare &amp; Life Sciences Customer Stories  Customer Name Customer Name                 No products found for this category.               View All Manufacturing Customer Stories  Customer Name Customer Name                 No products found for this category.               View All Media &amp; Entertainment Customer Stories  Customer Name Customer Name                 No products found for this category.               View All Retail &amp; Consumer Goods Customer Stories  Customer Name Customer Name                 No products found for this category.               View All Travel &amp; Hospitality Customer Stories   Engineered for the Most Demanding Requirements              Secure                           Comprehensive security capabilities to satisfy the most demanding requirements.                            Compliant                           Rich controls auditing and broad security accreditations.                            Hybrid                           Build hybrid architectures that extend your on-premises infrastructure to the Cloud.                            Scalable                           Access as much or as little as you need and scale up and down as required with only a few minutes notice.               Global Network of AWS Regions          The AWS Cloud spans 102 Availability Zones within 32 geographic regions around the world with announced plans for 15 more Availability Zones and 5 more AWS Regions in Canada Germany Malaysia New Zealand and Thailand.          Skip Map  List view              Regions                           Coming Soon              Learn more about AWS Regions  Close             Analyst Reports                       Read what top analysts such as Gartner and IDC are saying about AWS                        AWS Training                       Free digital courses to help you develop your skills                        AWS Partner Network                       Join AWS Partner Network to build and grow your cloud business                        The Amazon Builders' Library                       Learn how Amazon builds and operates software from the builders themselves              Sign In to the Console  Learn About AWSWhat Is AWS?What Is Cloud Computing?AWS Inclusion Diversity &amp; EquityWhat Is DevOps?What Is a Container?What Is a Data Lake?What is Generative AI?AWS Cloud SecurityWhat's NewBlogsPress Releases Resources for AWSGetting StartedTraining and CertificationAWS Solutions LibraryArchitecture CenterProduct and Technical FAQsAnalyst ReportsAWS Partners Developers on AWSDeveloper CenterSDKs &amp; Tools.NET on AWSPython on AWSJava on AWSPHP on AWSJavaScript on AWS HelpContact UsGet Expert HelpFile a Support TicketAWS re:PostKnowledge CenterAWS Support OverviewLegalAWS Careers  Create an AWS Account                  Amazon is an Equal Opportunity Employer:          Minority / Women / Disability / Veteran / Gender Identity / Sexual Orientation / Age.LanguageعربيBahasa IndonesiaDeutschEnglishEspañolFrançaisItalianoPortuguêsTiếng ViệtTürkçeΡусскийไทย日本語한국어中文 (简体)中文 (繁體)Privacy|Site Terms| Cookie Preferences |© 2023 Amazon Web Services Inc. or its affiliates. All rights reserved. Ending Support for Internet Explorer Got it        AWS support for Internet Explorer ends on 07/31/2022. Supported browsers are Chrome Firefox Edge and Safari.       Learn more »Got it</v>
      </c>
    </row>
    <row r="645">
      <c r="A645" s="1" t="s">
        <v>2115</v>
      </c>
      <c r="B645" s="1" t="s">
        <v>2163</v>
      </c>
      <c r="C645" s="1" t="s">
        <v>2164</v>
      </c>
      <c r="D645" s="1">
        <v>15.0</v>
      </c>
      <c r="E645" s="4" t="s">
        <v>2165</v>
      </c>
      <c r="F645" s="1" t="s">
        <v>43</v>
      </c>
      <c r="G645" s="1" t="s">
        <v>2166</v>
      </c>
      <c r="H645" s="4" t="s">
        <v>2167</v>
      </c>
      <c r="I645" s="2">
        <v>2.0</v>
      </c>
      <c r="J645" s="5" t="str">
        <f>IFERROR(__xludf.DUMMYFUNCTION("GOOGLETRANSLATE(A645)"),"translation")</f>
        <v>translation</v>
      </c>
      <c r="K645" s="6" t="str">
        <f>IFERROR(__xludf.DUMMYFUNCTION("GOOGLETRANSLATE(B645)"),"Nitro - Professional translation service online")</f>
        <v>Nitro - Professional translation service online</v>
      </c>
      <c r="L645" s="5" t="str">
        <f>IFERROR(__xludf.DUMMYFUNCTION("GOOGLETRANSLATE(C645)"),"Nitro - a professional translation service online · more than 70 translation languages ​​· 60% of orders is ready within 2 hours, 96% - in less than 24 hours · no ... no ...")</f>
        <v>Nitro - a professional translation service online · more than 70 translation languages ​​· 60% of orders is ready within 2 hours, 96% - in less than 24 hours · no ... no ...</v>
      </c>
      <c r="M645" s="5" t="str">
        <f>IFERROR(__xludf.DUMMYFUNCTION("GOOGLETRANSLATE(G645)"),"Localization company multilingual videos and ads – Alconost info@alconost.comAlconost Inc. 901 N. Pitt Street  Suite 170 Alexandria VA 22314  USARequest a quoteEnglishEnglishDeutschEspañolFrançaisNederlandsРусскийУкраїнськаPortuguese日本語简体中文繁體中文한국어Türkçeال"&amp;"عربيةעבריתLocalization &amp; TranslationLocalization &amp; TranslationWhat we doEnterprise servicesContent localization servicesAppsGamesWebsitesSoftwareMarketingAudio and videoLocalization QATranslation servicesProofreadingPost-editing machine translation24/7 On"&amp;"line  translationQuality languages and pricingQualityCase studiesTools and solutionsContinuous localizationTranslation PlatformsLocalization of GitHub  projectsVideo ProductionVideo ProductionWhat we doCustom video productionFor appsFor gamesExplainersTut"&amp;"orialsLive action videosAdvertisingVoiceover servicesProcess pricingOur workflowPricing and termsExamplesCase studiesOur YouTube channelMultilingual MarketingMultilingual MarketingWhat we doMarketing servicesMultilingual SEOMultilingual SMMPPC managementC"&amp;"ontent promotionConsultingCase studiesToolsPikabanCompanyCompanyAbout UsAbout UsWe are hiringBlogOrder and paymentRequest a quotePayment methodsLegalTerms of servicePrivacy policyRequest a quoteinfo@alconost.comRequest a quoteEnglishEnglishDeutschEspañolF"&amp;"rançaisNederlandsРусскийУкраїнськаPortuguese日本語简体中文繁體中文한국어Türkçeالعربيةעבריתinfo@alconost.com info@alconost.comAlconost Inc. 901 N. Pitt Street  Suite 170 Alexandria VA 22314  USARequest a quoteQuality-first localization into 100+ languagesWe localize gam"&amp;"es apps websites software and other materials.We will help you implement better continuous localization workflows on frequently updated projects.Request a quote Learn moreVideos about apps games and companies Promotional trailers how-to’s YouTube pre-roll"&amp;"s Facebook or Instagram video ads trailers for App Store and Google Play ... Pick any. We will cover everything from idea and script to production and post-editing.Order a video Learn moreNitroType or paste your text select languages and receive translati"&amp;"ons to your email address. All translations are done by professional native-speaking linguists.Ideal for product descriptions letters messages and much more. Try Nitro More about NitroMultilingual promotion We will develop a global promotion strategy perf"&amp;"orm SEO and create a multilingual PPC advertising campaign for your website. Contact us Learn moreCase studiesWe have localized over 1500 projects and produced 1000+ videos. Let's make something special for you too!  Localization of the TikTok appClient: "&amp;"       TikTok      Services:        Localization and reviewing by the second linguist      Languages:        AR NL FI FR EL and 35 more      Volume:        more than 300 000 words      Learn more  CSATServices:        Localization      Developer / Publish"&amp;"er:        QS Solutions      Languages:        AR HE IT KO PL PT-BR PT TR ZH-CN      Volume:        200 000+ words      Learn more  DiscourseServices:        Localization Proofreading      Developer / Publisher:        Civilized Discourse Construction Kit"&amp;" Inc      Languages:        PT FR SP IT JA AR DE ZH-CN FI      Volume:        55 000 words      Learn more  InterSystemsServices:        Localization      Developer / Publisher:        InterSystems Corporation      Languages:        JA ZH-CN ES PT-BR FR  "&amp;"    Volume:        500 000+ words      Learn more  JetBrainsServices:        Localization Proofreading Editing      Developer / Publisher:        JetBrains      Languages:        JA ES ZH-CN KO PT-BR FR TR CS RU      Volume:        100 000+ words      Lea"&amp;"rn more  Localization of Bandsintown appClient:                Bandsintown            Services:              localization            Languages:                FR DE IT JA PT PT-BR ES            Volume:                27 000 words            Learn more  Lo"&amp;"calization of JoobleClient:                Jooble            Services:              Localization            Languages:                ES PT KO JA and 11 more            Volume:                10 000 words            Learn more  Localization of Xsolla prod"&amp;"uctsClient:        Xsolla      Services:        Localization      Languages:        FR ES JA KO and 14 more      Learn more  MovaviServices:        Localization Proofreading Editing      Developer / Publisher:        Movavi Software Limited      Languages"&amp;":        ZH-CN ZH-TW JA KO TR PL DE IT ES-ES FR IN PT-BR NL SV DA EL NO RO HE HU TH AR CS PT-PT      Volume:        100 000+ words      Learn more  ParimatchServices:        Localization Proofreading      Developer / Publisher:        Parimatch      Langu"&amp;"ages:        FR-FR FR-CA DE HI IT JA PL PT-BR PT-PT ES-MX ES-ES TR      Volume:        200 000+ words      Learn more  Petcube site localizationClient:        Petcube      Services:        localization      Languages:        KO FR HE RO Pt NL      Learn m"&amp;"ore  Planner 5DServices:        Localization Proofreading      Developer / Publisher:        Planner 5D      Languages:        AR FR JA RU ZH-TW ZH-CN DE PT-BR PT-PT ES-ES ES-MX IT DA ID KO NO TR NL LT PL SV VI EL MS TH      Volume:        20 000 words   "&amp;"   Learn more  PosterMyWallServices:        Localization      Developer / Publisher:        250 Mils LLC.      Languages:        ZH-CN DA NL FR DE ID IT PL PT RU ES TH      Volume:        25 000 words      Learn more  Sum &amp; SubstanceServices:        Local"&amp;"ization      Developer/Publisher:        Sum &amp; Substance Ltd.      Languages:        AR BN MY ZH-TW ZH-CN CS FL FR DE HI HU ID IT JA KM KO LO MS PT-BR PT-PT RO RU SK ES-ES TH UK UR VI      Volume:        7 000 words      Learn more  SwooServices:        L"&amp;"ocalization Proofreading      Developer / Publisher:        CARDSMOBILE B.V.      Languages:        ES IT PT      Volume:        30 000 words      Learn more  Translation of GitHub guides and materialsClient:        GitHub      Services:        Translatio"&amp;"n proofreading      Languages:        Japanese      Volume:        80 000 words and counting        Transporeon Visibility HubServices:        Localization Proofreading      Developer / Publisher:        Transporeon GmbH      Languages:        TR UK BG HR"&amp;" CS NL FI FR DE HU IT PL PT RU SK RO SV ES      Volume:        50 000 words      Learn more  Ultimate GuitarServices:        Localization Linguistic QA      Developer / Publisher:        Muse Group      Languages:        ES      Volume:        4 000 words"&amp;"      Learn more  2SolarServices:        Localization Proofreading      Developer / Publisher:        2Solar software B.V.      Languages:        DE      Volume:        10 500 words      Learn more  AiraloServices:        Localization Proofreading      De"&amp;"veloper / Publisher:        Airalo      Languages:        AR ZH-CN FR DE EL HE HI IT JA CS KO PL PT-BR RU ES TH TR UK FIL      Volume:        20 000 words      Learn more  AlvadiServices:        Localization      Developer / Publisher:        Alvadi      "&amp;"Languages:        UK SK SL BE MK ZH-CN NO AR JA NL FR KA EL BG TR TH MS VI HE IS HR IT ES-ES LT LV KO        DE HU CS PT-PT RO      Volume:        8 000 words      Learn more  ApptweakServices:        Localization      Developer / Publisher:        Apptwe"&amp;"ak      Languages:        JA KO ZH-CN FR      Volume:        100 000 words      Learn more  AwarefyServices:        Localization      Developer / Publisher:        Hakali      Languages:        Japanese –&gt; English      Volume:        30 000 characters    "&amp;"    Days AfterServices:        Localization Proofreading      Developer / Publisher:        Reaction Games LTD.      Languages:        EN ES-ES FR DE PT-BR KO ZH-CN ZH-TW      Volume:        20 000+      Learn more  FoodbackServices:        Localization P"&amp;"roofreading      Developer / Publisher:        Foodback      Languages:        SV FR FR-CA DE IT ES ZH-CN DA NL FI PT PT-BR      Volume:        50 000 words      Learn more  Grand Hotel ManiaServices:        Localization Continuous localization Proofreadi"&amp;"ng Editing      Developer / Publisher:        Deuscraft      Languages:        EN AR DA NL FI FR DE TH HI ID IT JA KO NO RU PL PT IS SV ZH-CN ZH-TW      Volume:        100 000  words      Learn more  Harvest Land Paris: City AdventureServices:        Loca"&amp;"lization Editing      Developer/Publisher:        MysteryTag      Languages:        EN FR ZH DE JA KO PT ES      Volume:        100 000+ words      Learn more  HUB ParkingServices:        Localization Proofreading      Developer / Publisher:        HUB Pa"&amp;"rking Technology      Languages:        RU      Volume:        62 000 words      Learn more  IQ Dungeon - Riddle Solving RPGServices:        Localization      Developer / Publisher:        Hirameku      Languages:        English –&gt; French German Italian K"&amp;"orean Russian Spanish Portuguese      Volume:        35 000 characters        KissflowServices:        Localization Proofreading      Developer / Publisher:        Kissflow Inc.      Languages:        IT TH      Volume:        140 000 words      Learn mor"&amp;"e  Localization of Charm Farm GameServices:        localization      Developer/Publisher:        Nevosoft      Languages:        PT-BR NL FR DE JA PL ES      Volume:        100 000 words      Learn more  Localization of Klondike: The Lost ExpeditionServic"&amp;"es:        Continuous localization      Developer / Publisher:        Vizor Interactive      Languages:        FR ES ZH-CN JA and 7 more      Learn more  Localization of Microsoft MakeCodeClient:        Microsoft Corporation      Services:        Localiza"&amp;"tion and linguistic QA      Languages:        FR JA PT-PT ZH-CN and 21 more      Volume:        48 000 words and counting        Localization of online courses for Harvard UniversityClient:                Harvard University            Services:           "&amp;"   Translation of course materials and subtitles            Languages:                Arabic Spanish            Volume:                200 000 words and counting              Localization of Smarty CRM platformClient:        Clouds Technologies      Servi"&amp;"ces:        localization      Languages:        ES PT-BR      Volume:        9 000 words      Learn more  Localization of the Goat Simulator gameServices:              Countinuous localization proofreading linguistic quality assurance            Developer"&amp;"/Publisher:                Coffee Stain Studios            Languages:                ZH-CN ZH-TW FR DE IT and 8 more            Volume:                35 000 words              Localization of the Mahjong Treasure Quest gameServices:        Countinuous lo"&amp;"calization linguistic quality assurance      Developer/Publisher:        Vizor Games      Languages:        ZH-CN ZH-TW FR DE IT and 5 more      Volume:        100 000 words        Localization of Viber messengerServices:        Product localization marke"&amp;"ting translation      Developer/Publisher:        Viber      Languages:        RU      Learn more  Mini Mini FarmServices:        Localization      Developer / Publisher:        CoffeeBreak      Languages:        Japanese –&gt; English      Volume:        8 "&amp;"500 characters        Parasite DaysServices:        Localization      Developer / Publisher:        Zxima      Languages:        Japanese –&gt; English      Volume:        70 000 characters        PillowServices:        Localization Proofreading      Develop"&amp;"er / Publisher:        Neybox      Languages:        ZH-CN ZH-TW CZ FR DE IT JA KO PT-BR RU ES TR PL      Volume:        100 000+ words      Learn more  Playwing projectsServices:        Localization      Developer / Publisher:        Playwing Ltd.      L"&amp;"anguages:        AF AR BN MY HR CS NL ET FR KA DE EL HU ID MS PL PT RU SK ES SV TH      Volume:        40 000+ words      Learn more  Punch Club localizationServices:        localization      Developer/Publisher:        Tiny Build      Languages:        Z"&amp;"H-CN PL      Volume:        20 000 words      Learn more  Raymy's AI pest weedServices:        Localization      Developer / Publisher:        Nihon Nohyaku      Languages:        Japanese –&gt; English Chinese (traditional)Vietnamese Hindi      Volume:     "&amp;"   80 000 characters        RICOH360 ToursServices:        Localization      Developer / Publisher:        RICOH      Languages:        Japanese –&gt; English German French Spanish Dutch      Volume:        18 000 characters        Ruins MagusServices:      "&amp;"  Localization      Developer / Publisher:        Character Bank      Languages:        Japanese –&gt; English      Volume:        38 000 characters        Sana Commerce CloudServices:        Continuous localization      Developer / Publisher:        Sana Co"&amp;"mmerce      Languages:        AR ZH-CN DA NL ET FI FR DE EL HU ID IT JA KO NO PL PT-PT RU ES-ES SV-SE TH TR      Volume:        8 000 words      Learn more  Swappy DogServices:        Localization      Developer / Publisher:        Diesel Puppet      Lang"&amp;"uages:        EN ES PT-BR FR AR IN VI TH PL DE IT ZH-CN ZH-TW TR MY MS RO NL SV      Volume:        25 000 words      Learn more  The Hotel Project: Merge GameServices:        Localization      Developer/Publisher:        Next Epic      Languages:        "&amp;"PT-BR      Volume:        5 012 words      Learn more  Localization of Aviasales Jetradar and Hotellook's websitesClient:                Jetradar            Services:              localization LQA            Languages:                FR ES DE            V"&amp;"olume:                100 000 words            Learn more  Localization of Bitrix24 websiteClient:        Bitrix24      Services:        Localization      Languages:        ES PT-BR JA ZH-CN and 11 more      Volume:        100 000 words and counting      "&amp;"  Have a project in mind?We’d like to learn more about it. In return we’ll get back to you with a solution and a quote. Fill the formBook a callHow can we help?*I need to localize my app into 40 languages (see full list below) and set up continuous locali"&amp;"zation for subsequent updates. Also I need a catchy trailer for the app and a series of YouTube pre-rollsThis field is requiredUpload filesYour name*This field is requiredYour e-mail*Please enter a valid email addressYour phone numberPlease enter a valid "&amp;"phone numberWhere did you learn about Alconost?*This field is requiredI agree to the Terms of Service and Privacy Policy. By submitting my contact information on this website I am consenting to receive calls SMS and emails from Alconost and its affiliates"&amp;". I certify that I am the owner of the contact information provided.This field is requiredSubmitMeow!Thank you! We are processing your request and will get back to you as soon as possible!Meow!Oops! Something went wrong...CompanyAbout UsWe are hiringBlogR"&amp;"equest a quotePayment methodsTerms of servicePrivacy policyLocalization &amp; TranslationEnterprise servicesContent localization servicesAppsGamesWebsitesSoftwareMarketingAudio and videoLocalization QATranslation servicesProofreadingPost-editing machine trans"&amp;"lation24/7 Online  translationQualityLanguages and ratesCase studiesContinuous localizationTranslation PlatformsLocalization of GitHub  projectsVideo ProductionCustom video productionFor appsFor gamesExplainersTutorialsLive action videosAdvertisingVoiceov"&amp;"er servicesOur workflowPricing and termsCase studiesOur YouTube channelMultilingual MarketingMarketing servicesMultilingual SEOMultilingual SMMPPC managementContent promotionConsultingCase studiesPikaban  Read our 133 reviews48 (12 Reviews)48 (12 Reviews)"&amp;"Trustpilot9001:201517100:201518587-2017Globalization and Localization AssociationAmerican Translators Association  ©2004-2023 Alconost Inc.USA | Poland | Japan | Portugal | China |   |  info@alconost.comTerms of service | Privacy policy")</f>
        <v>Localization company multilingual videos and ads – Alconost info@alconost.comAlconost Inc. 901 N. Pitt Street  Suite 170 Alexandria VA 22314  USARequest a quoteEnglishEnglishDeutschEspañolFrançaisNederlandsРусскийУкраїнськаPortuguese日本語简体中文繁體中文한국어TürkçeالعربيةעבריתLocalization &amp; TranslationLocalization &amp; TranslationWhat we doEnterprise servicesContent localization servicesAppsGamesWebsitesSoftwareMarketingAudio and videoLocalization QATranslation servicesProofreadingPost-editing machine translation24/7 Online  translationQuality languages and pricingQualityCase studiesTools and solutionsContinuous localizationTranslation PlatformsLocalization of GitHub  projectsVideo ProductionVideo ProductionWhat we doCustom video productionFor appsFor gamesExplainersTutorialsLive action videosAdvertisingVoiceover servicesProcess pricingOur workflowPricing and termsExamplesCase studiesOur YouTube channelMultilingual MarketingMultilingual MarketingWhat we doMarketing servicesMultilingual SEOMultilingual SMMPPC managementContent promotionConsultingCase studiesToolsPikabanCompanyCompanyAbout UsAbout UsWe are hiringBlogOrder and paymentRequest a quotePayment methodsLegalTerms of servicePrivacy policyRequest a quoteinfo@alconost.comRequest a quoteEnglishEnglishDeutschEspañolFrançaisNederlandsРусскийУкраїнськаPortuguese日本語简体中文繁體中文한국어Türkçeالعربيةעבריתinfo@alconost.com info@alconost.comAlconost Inc. 901 N. Pitt Street  Suite 170 Alexandria VA 22314  USARequest a quoteQuality-first localization into 100+ languagesWe localize games apps websites software and other materials.We will help you implement better continuous localization workflows on frequently updated projects.Request a quote Learn moreVideos about apps games and companies Promotional trailers how-to’s YouTube pre-rolls Facebook or Instagram video ads trailers for App Store and Google Play ... Pick any. We will cover everything from idea and script to production and post-editing.Order a video Learn moreNitroType or paste your text select languages and receive translations to your email address. All translations are done by professional native-speaking linguists.Ideal for product descriptions letters messages and much more. Try Nitro More about NitroMultilingual promotion We will develop a global promotion strategy perform SEO and create a multilingual PPC advertising campaign for your website. Contact us Learn moreCase studiesWe have localized over 1500 projects and produced 1000+ videos. Let's make something special for you too!  Localization of the TikTok appClient:        TikTok      Services:        Localization and reviewing by the second linguist      Languages:        AR NL FI FR EL and 35 more      Volume:        more than 300 000 words      Learn more  CSATServices:        Localization      Developer / Publisher:        QS Solutions      Languages:        AR HE IT KO PL PT-BR PT TR ZH-CN      Volume:        200 000+ words      Learn more  DiscourseServices:        Localization Proofreading      Developer / Publisher:        Civilized Discourse Construction Kit Inc      Languages:        PT FR SP IT JA AR DE ZH-CN FI      Volume:        55 000 words      Learn more  InterSystemsServices:        Localization      Developer / Publisher:        InterSystems Corporation      Languages:        JA ZH-CN ES PT-BR FR      Volume:        500 000+ words      Learn more  JetBrainsServices:        Localization Proofreading Editing      Developer / Publisher:        JetBrains      Languages:        JA ES ZH-CN KO PT-BR FR TR CS RU      Volume:        100 000+ words      Learn more  Localization of Bandsintown appClient:                Bandsintown            Services:              localization            Languages:                FR DE IT JA PT PT-BR ES            Volume:                27 000 words            Learn more  Localization of JoobleClient:                Jooble            Services:              Localization            Languages:                ES PT KO JA and 11 more            Volume:                10 000 words            Learn more  Localization of Xsolla productsClient:        Xsolla      Services:        Localization      Languages:        FR ES JA KO and 14 more      Learn more  MovaviServices:        Localization Proofreading Editing      Developer / Publisher:        Movavi Software Limited      Languages:        ZH-CN ZH-TW JA KO TR PL DE IT ES-ES FR IN PT-BR NL SV DA EL NO RO HE HU TH AR CS PT-PT      Volume:        100 000+ words      Learn more  ParimatchServices:        Localization Proofreading      Developer / Publisher:        Parimatch      Languages:        FR-FR FR-CA DE HI IT JA PL PT-BR PT-PT ES-MX ES-ES TR      Volume:        200 000+ words      Learn more  Petcube site localizationClient:        Petcube      Services:        localization      Languages:        KO FR HE RO Pt NL      Learn more  Planner 5DServices:        Localization Proofreading      Developer / Publisher:        Planner 5D      Languages:        AR FR JA RU ZH-TW ZH-CN DE PT-BR PT-PT ES-ES ES-MX IT DA ID KO NO TR NL LT PL SV VI EL MS TH      Volume:        20 000 words      Learn more  PosterMyWallServices:        Localization      Developer / Publisher:        250 Mils LLC.      Languages:        ZH-CN DA NL FR DE ID IT PL PT RU ES TH      Volume:        25 000 words      Learn more  Sum &amp; SubstanceServices:        Localization      Developer/Publisher:        Sum &amp; Substance Ltd.      Languages:        AR BN MY ZH-TW ZH-CN CS FL FR DE HI HU ID IT JA KM KO LO MS PT-BR PT-PT RO RU SK ES-ES TH UK UR VI      Volume:        7 000 words      Learn more  SwooServices:        Localization Proofreading      Developer / Publisher:        CARDSMOBILE B.V.      Languages:        ES IT PT      Volume:        30 000 words      Learn more  Translation of GitHub guides and materialsClient:        GitHub      Services:        Translation proofreading      Languages:        Japanese      Volume:        80 000 words and counting        Transporeon Visibility HubServices:        Localization Proofreading      Developer / Publisher:        Transporeon GmbH      Languages:        TR UK BG HR CS NL FI FR DE HU IT PL PT RU SK RO SV ES      Volume:        50 000 words      Learn more  Ultimate GuitarServices:        Localization Linguistic QA      Developer / Publisher:        Muse Group      Languages:        ES      Volume:        4 000 words      Learn more  2SolarServices:        Localization Proofreading      Developer / Publisher:        2Solar software B.V.      Languages:        DE      Volume:        10 500 words      Learn more  AiraloServices:        Localization Proofreading      Developer / Publisher:        Airalo      Languages:        AR ZH-CN FR DE EL HE HI IT JA CS KO PL PT-BR RU ES TH TR UK FIL      Volume:        20 000 words      Learn more  AlvadiServices:        Localization      Developer / Publisher:        Alvadi      Languages:        UK SK SL BE MK ZH-CN NO AR JA NL FR KA EL BG TR TH MS VI HE IS HR IT ES-ES LT LV KO        DE HU CS PT-PT RO      Volume:        8 000 words      Learn more  ApptweakServices:        Localization      Developer / Publisher:        Apptweak      Languages:        JA KO ZH-CN FR      Volume:        100 000 words      Learn more  AwarefyServices:        Localization      Developer / Publisher:        Hakali      Languages:        Japanese –&gt; English      Volume:        30 000 characters        Days AfterServices:        Localization Proofreading      Developer / Publisher:        Reaction Games LTD.      Languages:        EN ES-ES FR DE PT-BR KO ZH-CN ZH-TW      Volume:        20 000+      Learn more  FoodbackServices:        Localization Proofreading      Developer / Publisher:        Foodback      Languages:        SV FR FR-CA DE IT ES ZH-CN DA NL FI PT PT-BR      Volume:        50 000 words      Learn more  Grand Hotel ManiaServices:        Localization Continuous localization Proofreading Editing      Developer / Publisher:        Deuscraft      Languages:        EN AR DA NL FI FR DE TH HI ID IT JA KO NO RU PL PT IS SV ZH-CN ZH-TW      Volume:        100 000  words      Learn more  Harvest Land Paris: City AdventureServices:        Localization Editing      Developer/Publisher:        MysteryTag      Languages:        EN FR ZH DE JA KO PT ES      Volume:        100 000+ words      Learn more  HUB ParkingServices:        Localization Proofreading      Developer / Publisher:        HUB Parking Technology      Languages:        RU      Volume:        62 000 words      Learn more  IQ Dungeon - Riddle Solving RPGServices:        Localization      Developer / Publisher:        Hirameku      Languages:        English –&gt; French German Italian Korean Russian Spanish Portuguese      Volume:        35 000 characters        KissflowServices:        Localization Proofreading      Developer / Publisher:        Kissflow Inc.      Languages:        IT TH      Volume:        140 000 words      Learn more  Localization of Charm Farm GameServices:        localization      Developer/Publisher:        Nevosoft      Languages:        PT-BR NL FR DE JA PL ES      Volume:        100 000 words      Learn more  Localization of Klondike: The Lost ExpeditionServices:        Continuous localization      Developer / Publisher:        Vizor Interactive      Languages:        FR ES ZH-CN JA and 7 more      Learn more  Localization of Microsoft MakeCodeClient:        Microsoft Corporation      Services:        Localization and linguistic QA      Languages:        FR JA PT-PT ZH-CN and 21 more      Volume:        48 000 words and counting        Localization of online courses for Harvard UniversityClient:                Harvard University            Services:              Translation of course materials and subtitles            Languages:                Arabic Spanish            Volume:                200 000 words and counting              Localization of Smarty CRM platformClient:        Clouds Technologies      Services:        localization      Languages:        ES PT-BR      Volume:        9 000 words      Learn more  Localization of the Goat Simulator gameServices:              Countinuous localization proofreading linguistic quality assurance            Developer/Publisher:                Coffee Stain Studios            Languages:                ZH-CN ZH-TW FR DE IT and 8 more            Volume:                35 000 words              Localization of the Mahjong Treasure Quest gameServices:        Countinuous localization linguistic quality assurance      Developer/Publisher:        Vizor Games      Languages:        ZH-CN ZH-TW FR DE IT and 5 more      Volume:        100 000 words        Localization of Viber messengerServices:        Product localization marketing translation      Developer/Publisher:        Viber      Languages:        RU      Learn more  Mini Mini FarmServices:        Localization      Developer / Publisher:        CoffeeBreak      Languages:        Japanese –&gt; English      Volume:        8 500 characters        Parasite DaysServices:        Localization      Developer / Publisher:        Zxima      Languages:        Japanese –&gt; English      Volume:        70 000 characters        PillowServices:        Localization Proofreading      Developer / Publisher:        Neybox      Languages:        ZH-CN ZH-TW CZ FR DE IT JA KO PT-BR RU ES TR PL      Volume:        100 000+ words      Learn more  Playwing projectsServices:        Localization      Developer / Publisher:        Playwing Ltd.      Languages:        AF AR BN MY HR CS NL ET FR KA DE EL HU ID MS PL PT RU SK ES SV TH      Volume:        40 000+ words      Learn more  Punch Club localizationServices:        localization      Developer/Publisher:        Tiny Build      Languages:        ZH-CN PL      Volume:        20 000 words      Learn more  Raymy's AI pest weedServices:        Localization      Developer / Publisher:        Nihon Nohyaku      Languages:        Japanese –&gt; English Chinese (traditional)Vietnamese Hindi      Volume:        80 000 characters        RICOH360 ToursServices:        Localization      Developer / Publisher:        RICOH      Languages:        Japanese –&gt; English German French Spanish Dutch      Volume:        18 000 characters        Ruins MagusServices:        Localization      Developer / Publisher:        Character Bank      Languages:        Japanese –&gt; English      Volume:        38 000 characters        Sana Commerce CloudServices:        Continuous localization      Developer / Publisher:        Sana Commerce      Languages:        AR ZH-CN DA NL ET FI FR DE EL HU ID IT JA KO NO PL PT-PT RU ES-ES SV-SE TH TR      Volume:        8 000 words      Learn more  Swappy DogServices:        Localization      Developer / Publisher:        Diesel Puppet      Languages:        EN ES PT-BR FR AR IN VI TH PL DE IT ZH-CN ZH-TW TR MY MS RO NL SV      Volume:        25 000 words      Learn more  The Hotel Project: Merge GameServices:        Localization      Developer/Publisher:        Next Epic      Languages:        PT-BR      Volume:        5 012 words      Learn more  Localization of Aviasales Jetradar and Hotellook's websitesClient:                Jetradar            Services:              localization LQA            Languages:                FR ES DE            Volume:                100 000 words            Learn more  Localization of Bitrix24 websiteClient:        Bitrix24      Services:        Localization      Languages:        ES PT-BR JA ZH-CN and 11 more      Volume:        100 000 words and counting        Have a project in mind?We’d like to learn more about it. In return we’ll get back to you with a solution and a quote. Fill the formBook a callHow can we help?*I need to localize my app into 40 languages (see full list below) and set up continuous localization for subsequent updates. Also I need a catchy trailer for the app and a series of YouTube pre-rollsThis field is requiredUpload filesYour name*This field is requiredYour e-mail*Please enter a valid email addressYour phone numberPlease enter a valid phone numberWhere did you learn about Alconost?*This field is requiredI agree to the Terms of Service and Privacy Policy. By submitting my contact information on this website I am consenting to receive calls SMS and emails from Alconost and its affiliates. I certify that I am the owner of the contact information provided.This field is requiredSubmitMeow!Thank you! We are processing your request and will get back to you as soon as possible!Meow!Oops! Something went wrong...CompanyAbout UsWe are hiringBlogRequest a quotePayment methodsTerms of servicePrivacy policyLocalization &amp; TranslationEnterprise servicesContent localization servicesAppsGamesWebsitesSoftwareMarketingAudio and videoLocalization QATranslation servicesProofreadingPost-editing machine translation24/7 Online  translationQualityLanguages and ratesCase studiesContinuous localizationTranslation PlatformsLocalization of GitHub  projectsVideo ProductionCustom video productionFor appsFor gamesExplainersTutorialsLive action videosAdvertisingVoiceover servicesOur workflowPricing and termsCase studiesOur YouTube channelMultilingual MarketingMarketing servicesMultilingual SEOMultilingual SMMPPC managementContent promotionConsultingCase studiesPikaban  Read our 133 reviews48 (12 Reviews)48 (12 Reviews)Trustpilot9001:201517100:201518587-2017Globalization and Localization AssociationAmerican Translators Association  ©2004-2023 Alconost Inc.USA | Poland | Japan | Portugal | China |   |  info@alconost.comTerms of service | Privacy policy</v>
      </c>
    </row>
    <row r="646">
      <c r="A646" s="1" t="s">
        <v>2115</v>
      </c>
      <c r="B646" s="1" t="s">
        <v>2168</v>
      </c>
      <c r="C646" s="1" t="s">
        <v>2169</v>
      </c>
      <c r="D646" s="1">
        <v>16.0</v>
      </c>
      <c r="E646" s="4" t="s">
        <v>2170</v>
      </c>
      <c r="F646" s="1" t="s">
        <v>43</v>
      </c>
      <c r="G646" s="1" t="s">
        <v>216</v>
      </c>
      <c r="H646" s="4" t="s">
        <v>217</v>
      </c>
      <c r="I646" s="2">
        <v>2.0</v>
      </c>
      <c r="J646" s="5" t="str">
        <f>IFERROR(__xludf.DUMMYFUNCTION("GOOGLETRANSLATE(A646)"),"translation")</f>
        <v>translation</v>
      </c>
      <c r="K646" s="6" t="str">
        <f>IFERROR(__xludf.DUMMYFUNCTION("GOOGLETRANSLATE(B646)"),"How to translate web pages and change language ...")</f>
        <v>How to translate web pages and change language ...</v>
      </c>
      <c r="L646" s="5" t="str">
        <f>IFERROR(__xludf.DUMMYFUNCTION("GOOGLETRANSLATE(C646)"),"How to enable or disable the translation · Open the Chrome Chrome application on the Android phone or tablet. · To the right of the target line, click on the ""more"" icon ... more ...")</f>
        <v>How to enable or disable the translation · Open the Chrome Chrome application on the Android phone or tablet. · To the right of the target line, click on the "more" icon ... more ...</v>
      </c>
      <c r="M646" s="5" t="str">
        <f>IFERROR(__xludf.DUMMYFUNCTION("GOOGLETRANSLATE(G646)"),"Google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647">
      <c r="A647" s="1" t="s">
        <v>2115</v>
      </c>
      <c r="B647" s="1" t="s">
        <v>2171</v>
      </c>
      <c r="C647" s="1" t="s">
        <v>2172</v>
      </c>
      <c r="D647" s="1">
        <v>17.0</v>
      </c>
      <c r="E647" s="4" t="s">
        <v>2173</v>
      </c>
      <c r="F647" s="1" t="s">
        <v>43</v>
      </c>
      <c r="G647" s="1" t="s">
        <v>2174</v>
      </c>
      <c r="H647" s="4" t="s">
        <v>2175</v>
      </c>
      <c r="I647" s="2">
        <v>3.0</v>
      </c>
      <c r="J647" s="5" t="str">
        <f>IFERROR(__xludf.DUMMYFUNCTION("GOOGLETRANSLATE(A647)"),"translation")</f>
        <v>translation</v>
      </c>
      <c r="K647" s="6" t="str">
        <f>IFERROR(__xludf.DUMMYFUNCTION("GOOGLETRANSLATE(B647)"),"Written translation | Department of Affairs ...")</f>
        <v>Written translation | Department of Affairs ...</v>
      </c>
      <c r="L647" s="5" t="str">
        <f>IFERROR(__xludf.DUMMYFUNCTION("GOOGLETRANSLATE(C647)"),"Six services of a written transfer of the Department for the General Assembly and Conference Management are responsible for the preparation of documentation for ...")</f>
        <v>Six services of a written transfer of the Department for the General Assembly and Conference Management are responsible for the preparation of documentation for ...</v>
      </c>
      <c r="M647" s="5" t="str">
        <f>IFERROR(__xludf.DUMMYFUNCTION("GOOGLETRANSLATE(G647)"),"Welcome to the United Nations الأمius المتحدة联姈国视频© United Nationsnations Uniesон Naationes来到 Facebook in the United Nationsbenvenue Aux Nations Unia © United Nationsnations Uniesонnations Digidasمرحباً بكم في الأمm المحة迎来到联合国welcome to the United Nation"&amp;"sbeenue Aux Nations Uniesобро поаловать English Français русский Spanish Spanish")</f>
        <v>Welcome to the United Nations الأمius المتحدة联姈国视频© United Nationsnations Uniesон Naationes来到 Facebook in the United Nationsbenvenue Aux Nations Unia © United Nationsnations Uniesонnations Digidasمرحباً بكم في الأمm المحة迎来到联合国welcome to the United Nationsbeenue Aux Nations Uniesобро поаловать English Français русский Spanish Spanish</v>
      </c>
    </row>
    <row r="648">
      <c r="A648" s="1" t="s">
        <v>2115</v>
      </c>
      <c r="B648" s="1" t="s">
        <v>2176</v>
      </c>
      <c r="C648" s="1" t="s">
        <v>179</v>
      </c>
      <c r="D648" s="1">
        <v>18.0</v>
      </c>
      <c r="E648" s="4" t="s">
        <v>2177</v>
      </c>
      <c r="F648" s="1" t="s">
        <v>43</v>
      </c>
      <c r="G648" s="1" t="s">
        <v>2178</v>
      </c>
      <c r="H648" s="4" t="s">
        <v>2179</v>
      </c>
      <c r="I648" s="2">
        <v>3.0</v>
      </c>
      <c r="J648" s="5" t="str">
        <f>IFERROR(__xludf.DUMMYFUNCTION("GOOGLETRANSLATE(A648)"),"translation")</f>
        <v>translation</v>
      </c>
      <c r="K648" s="6" t="str">
        <f>IFERROR(__xludf.DUMMYFUNCTION("GOOGLETRANSLATE(B648)"),"Cambridge translator | English Russian")</f>
        <v>Cambridge translator | English Russian</v>
      </c>
      <c r="L648" s="5" t="str">
        <f>IFERROR(__xludf.DUMMYFUNCTION("GOOGLETRANSLATE(C648)"),"4 days ago -")</f>
        <v>4 days ago -</v>
      </c>
      <c r="M648" s="5" t="str">
        <f>IFERROR(__xludf.DUMMYFUNCTION("GOOGLETRANSLATE(G648)"),"Cambridge Dictionary | English Dictionary Translations &amp; Thesaurus   DictionaryTranslateGrammarThesaurus+PlusCambridge Dictionary +PlusCambridge Dictionary +PlusMy profile+Plus helpLog outCambridge Dictionary +PlusMy profile+Plus helpLog outLog in / Sign "&amp;"upEnglish (UK)Make your words meaningful                                                            English                                                Explore the Cambridge DictionaryEnglish dictionariesEnglishLearner’s DictionaryEssential British Eng"&amp;"lishEssential American EnglishGrammarThesaurusPronunciationTranslation dictionaries                                    Click on the arrows to change the translation direction.                                English–Chinese (Simplified)Chinese (Simplified)"&amp;"–EnglishEnglish–Chinese (Traditional)Chinese (Traditional)–EnglishEnglish–DutchDutch–EnglishEnglish–FrenchFrench–EnglishEnglish–GermanGerman–EnglishSee moreSee lessEnglish–IndonesianIndonesian–EnglishEnglish–ItalianItalian–EnglishEnglish–JapaneseJapanese–"&amp;"EnglishEnglish–NorwegianNorwegian–EnglishEnglish–PolishPolish–EnglishEnglish–PortuguesePortuguese–EnglishEnglish–SpanishSpanish–EnglishEnglish–ArabicEnglish–BengaliEnglish–CatalanEnglish–CzechEnglish–DanishEnglish–HindiEnglish–KoreanEnglish–MalayEnglish–M"&amp;"arathiEnglish–RussianEnglish–TamilEnglish–TeluguEnglish–ThaiEnglish–TurkishEnglish–UkrainianEnglish–UrduEnglish–VietnameseWord ScrambleChallenge yourself with word games from Cambridge Dictionary.Read the definition. Can you beat the clock and spell the w"&amp;"ord?                Play            BlogReunions and housewarmings (Words for different parties)November 08 2023                Read More            Word of the Daypoker-facedUKYour browser doesn't support HTML5 audio/ˈpəʊ.kəˌfeɪst/USYour browser doesn't "&amp;"support HTML5 audio/ˈpoʊ.kɚˌfeɪst/not showing what you are thinking or feeling in your faceAbout thisNew WordsSeptember SurgeNovember 06 2023            More new words                            Browse the English Dictionary                        0-9abcd"&amp;"efghijklmnopqrstuvwxyzOr browse the Cambridge Dictionary indexCambridgeDictionary +PlusFree word lists and quizzes to create download and share!Go to + Plus                or                Log inYou’re logged in. Start creating a word list or do a quiz!G"&amp;"o to + PlusGo to word lists © Cambridge University Press &amp; Assessment 2023                         Learn                        LearnLearnNew WordsHelpIn PrintWord of the Year 2021Word of the Year 2022                        Develop                       "&amp;" DevelopDevelopDictionary APIDouble-Click LookupSearch WidgetsLicense Data                        About                        AboutAboutAccessibilityCambridge EnglishCambridge University Press &amp; AssessmentConsent ManagementCookies and PrivacyCorpusTerms "&amp;"of Use© Cambridge University Press &amp; Assessment 2023 Cambridge Dictionary +PlusMy profile+Plus helpLog out                        Dictionary                        DefinitionsClear explanations of natural written and spoken EnglishEnglishLearner’s Diction"&amp;"aryEssential British EnglishEssential American EnglishTranslations                                    Click on the arrows to change the translation direction.                                                                    Bilingual Dictionaries       "&amp;"                         English–Chinese (Simplified)Chinese (Simplified)–EnglishEnglish–Chinese (Traditional)Chinese (Traditional)–EnglishEnglish–DutchDutch–EnglishEnglish–FrenchFrench–EnglishEnglish–GermanGerman–EnglishEnglish–IndonesianIndonesian–Engli"&amp;"shEnglish–ItalianItalian–EnglishEnglish–JapaneseJapanese–EnglishEnglish–NorwegianNorwegian–EnglishEnglish–PolishPolish–EnglishEnglish–PortuguesePortuguese–EnglishEnglish–SpanishSpanish–EnglishSemi-bilingual DictionariesEnglish–Arabic                      "&amp;"              English–Bengali                                    English–Catalan                                    English–Czech                                    English–Danish                                    English–Hindi                           "&amp;"         English–Korean                                    English–Malay                                    English–Marathi                                    English–Russian                                    English–Tamil                                "&amp;"    English–Telugu                                    English–Thai                                    English–Turkish                                    English–Ukrainian                                    English–Urdu                                    E"&amp;"nglish–Vietnamese                                    TranslateGrammarThesaurusPronunciationCambridge Dictionary +PlusCambridge Dictionary +PlusMy profile+Plus helpLog out Log in                     /                     Sign upEnglish (UK)  ChangeEnglish "&amp;"(UK)English (US)EspañolEspañol (Latinoamérica)РусскийPortuguêsDeutschFrançaisItaliano中文 (简体)正體中文 (繁體)Polski한국어Türkçe日本語Tiếng ViệtNederlandsNorskहिंदीবাঙ্গালিमराठीதமிழ்తెలుగుFollow us                Choose a dictionary            Recent and RecommendedDefi"&amp;"nitions                            Clear explanations of natural written and spoken English                        EnglishLearner’s DictionaryEssential British EnglishEssential American EnglishGrammar and thesaurus                            Usage explana"&amp;"tions of natural written and spoken English                        GrammarThesaurusPronunciation                            British and American pronunciations with audio                        English PronunciationTranslation                             "&amp;"   Click on the arrows to change the translation direction.                            Bilingual DictionariesEnglish–Chinese (Simplified)Chinese (Simplified)–EnglishEnglish–Chinese (Traditional)Chinese (Traditional)–EnglishEnglish–DutchDutch–EnglishEnglis"&amp;"h–FrenchFrench–EnglishEnglish–GermanGerman–EnglishEnglish–IndonesianIndonesian–EnglishEnglish–ItalianItalian–EnglishEnglish–JapaneseJapanese–EnglishEnglish–NorwegianNorwegian–EnglishEnglish–PolishPolish–EnglishEnglish–PortuguesePortuguese–EnglishEnglish–S"&amp;"panishSpanish–EnglishSemi-bilingual DictionariesEnglish–ArabicEnglish–BengaliEnglish–CatalanEnglish–CzechEnglish–DanishEnglish–HindiEnglish–KoreanEnglish–MalayEnglish–MarathiEnglish–RussianEnglish–TamilEnglish–TeluguEnglish–ThaiEnglish–TurkishEnglish–Ukra"&amp;"inianEnglish–UrduEnglish–VietnameseDictionary +PlusWord Lists                Choose your language            English (UK)  English (US)EspañolEspañol (Latinoamérica)РусскийPortuguêsDeutschFrançaisItaliano中文 (简体)正體中文 (繁體)Polski한국어Türkçe日本語Tiếng ViệtNederla"&amp;"ndsNorskहिंदीবাঙ্গালিमराठीதமிழ்తెలుగు")</f>
        <v>Cambridge Dictionary | English Dictionary Translations &amp; Thesaurus   DictionaryTranslateGrammarThesaurus+PlusCambridge Dictionary +PlusCambridge Dictionary +PlusMy profile+Plus helpLog outCambridge Dictionary +PlusMy profile+Plus helpLog outLog in / Sign upEnglish (UK)Make your words meaningful                                                            English                                                Explore the Cambridge DictionaryEnglish dictionariesEnglishLearner’s DictionaryEssential British EnglishEssential American EnglishGrammarThesaurusPronunciationTranslation dictionaries                                    Click on the arrows to change the translation direction.                                English–Chinese (Simplified)Chinese (Simplified)–EnglishEnglish–Chinese (Traditional)Chinese (Traditional)–EnglishEnglish–DutchDutch–EnglishEnglish–FrenchFrench–EnglishEnglish–GermanGerman–EnglishSee moreSee lessEnglish–IndonesianIndonesian–EnglishEnglish–ItalianItalian–EnglishEnglish–JapaneseJapanese–EnglishEnglish–NorwegianNorwegian–EnglishEnglish–PolishPolish–EnglishEnglish–PortuguesePortuguese–EnglishEnglish–SpanishSpanish–EnglishEnglish–ArabicEnglish–BengaliEnglish–CatalanEnglish–CzechEnglish–DanishEnglish–HindiEnglish–KoreanEnglish–MalayEnglish–MarathiEnglish–RussianEnglish–TamilEnglish–TeluguEnglish–ThaiEnglish–TurkishEnglish–UkrainianEnglish–UrduEnglish–VietnameseWord ScrambleChallenge yourself with word games from Cambridge Dictionary.Read the definition. Can you beat the clock and spell the word?                Play            BlogReunions and housewarmings (Words for different parties)November 08 2023                Read More            Word of the Daypoker-facedUKYour browser doesn't support HTML5 audio/ˈpəʊ.kəˌfeɪst/USYour browser doesn't support HTML5 audio/ˈpoʊ.kɚˌfeɪst/not showing what you are thinking or feeling in your faceAbout thisNew WordsSeptember SurgeNovember 06 2023            More new words                            Browse the English Dictionary                        0-9abcdefghijklmnopqrstuvwxyzOr browse the Cambridge Dictionary indexCambridgeDictionary +PlusFree word lists and quizzes to create download and share!Go to + Plus                or                Log inYou’re logged in. Start creating a word list or do a quiz!Go to + PlusGo to word lists © Cambridge University Press &amp; Assessment 2023                         Learn                        LearnLearnNew WordsHelpIn PrintWord of the Year 2021Word of the Year 2022                        Develop                        DevelopDevelopDictionary APIDouble-Click LookupSearch WidgetsLicense Data                        About                        AboutAboutAccessibilityCambridge EnglishCambridge University Press &amp; AssessmentConsent ManagementCookies and PrivacyCorpusTerms of Use© Cambridge University Press &amp; Assessment 2023 Cambridge Dictionary +PlusMy profile+Plus helpLog out                        Dictionary                        DefinitionsClear explanations of natural written and spoken EnglishEnglishLearner’s DictionaryEssential British EnglishEssential American EnglishTranslations                                    Click on the arrows to change the translation direction.                                                                    Bilingual Dictionaries                                English–Chinese (Simplified)Chinese (Simplified)–EnglishEnglish–Chinese (Traditional)Chinese (Traditional)–EnglishEnglish–DutchDutch–EnglishEnglish–FrenchFrench–EnglishEnglish–GermanGerman–EnglishEnglish–IndonesianIndonesian–EnglishEnglish–ItalianItalian–EnglishEnglish–JapaneseJapanese–EnglishEnglish–NorwegianNorwegian–EnglishEnglish–PolishPolish–EnglishEnglish–PortuguesePortuguese–EnglishEnglish–SpanishSpanish–EnglishSemi-bilingual DictionariesEnglish–Arabic                                    English–Bengali                                    English–Catalan                                    English–Czech                                    English–Danish                                    English–Hindi                                    English–Korean                                    English–Malay                                    English–Marathi                                    English–Russian                                    English–Tamil                                    English–Telugu                                    English–Thai                                    English–Turkish                                    English–Ukrainian                                    English–Urdu                                    English–Vietnamese                                    TranslateGrammarThesaurusPronunciationCambridge Dictionary +PlusCambridge Dictionary +PlusMy profile+Plus helpLog out Log in                     /                     Sign upEnglish (UK)  ChangeEnglish (UK)English (US)EspañolEspañol (Latinoamérica)РусскийPortuguêsDeutschFrançaisItaliano中文 (简体)正體中文 (繁體)Polski한국어Türkçe日本語Tiếng ViệtNederlandsNorskहिंदीবাঙ্গালিमराठीதமிழ்తెలుగుFollow us                Choose a dictionary            Recent and RecommendedDefinitions                            Clear explanations of natural written and spoken English                        EnglishLearner’s DictionaryEssential British EnglishEssential American EnglishGrammar and thesaurus                            Usage explanations of natural written and spoken English                        GrammarThesaurusPronunciation                            British and American pronunciations with audio                        English PronunciationTranslation                                Click on the arrows to change the translation direction.                            Bilingual DictionariesEnglish–Chinese (Simplified)Chinese (Simplified)–EnglishEnglish–Chinese (Traditional)Chinese (Traditional)–EnglishEnglish–DutchDutch–EnglishEnglish–FrenchFrench–EnglishEnglish–GermanGerman–EnglishEnglish–IndonesianIndonesian–EnglishEnglish–ItalianItalian–EnglishEnglish–JapaneseJapanese–EnglishEnglish–NorwegianNorwegian–EnglishEnglish–PolishPolish–EnglishEnglish–PortuguesePortuguese–EnglishEnglish–SpanishSpanish–EnglishSemi-bilingual DictionariesEnglish–ArabicEnglish–BengaliEnglish–CatalanEnglish–CzechEnglish–DanishEnglish–HindiEnglish–KoreanEnglish–MalayEnglish–MarathiEnglish–RussianEnglish–TamilEnglish–TeluguEnglish–ThaiEnglish–TurkishEnglish–UkrainianEnglish–UrduEnglish–VietnameseDictionary +PlusWord Lists                Choose your language            English (UK)  English (US)EspañolEspañol (Latinoamérica)РусскийPortuguêsDeutschFrançaisItaliano中文 (简体)正體中文 (繁體)Polski한국어Türkçe日本語Tiếng ViệtNederlandsNorskहिंदीবাঙ্গালিमराठीதமிழ்తెలుగు</v>
      </c>
    </row>
    <row r="649">
      <c r="A649" s="1" t="s">
        <v>2180</v>
      </c>
      <c r="B649" s="1" t="s">
        <v>1084</v>
      </c>
      <c r="D649" s="1">
        <v>1.0</v>
      </c>
      <c r="E649" s="4" t="s">
        <v>1086</v>
      </c>
      <c r="F649" s="1" t="s">
        <v>16</v>
      </c>
      <c r="G649" s="1" t="s">
        <v>1087</v>
      </c>
      <c r="H649" s="4" t="s">
        <v>1088</v>
      </c>
      <c r="I649" s="2">
        <v>0.0</v>
      </c>
      <c r="J649" s="5" t="str">
        <f>IFERROR(__xludf.DUMMYFUNCTION("GOOGLETRANSLATE(A649)"),"translator")</f>
        <v>translator</v>
      </c>
      <c r="K649" s="6" t="str">
        <f>IFERROR(__xludf.DUMMYFUNCTION("GOOGLETRANSLATE(B649)"),"Google Translate")</f>
        <v>Google Translate</v>
      </c>
      <c r="L649" s="5" t="str">
        <f>IFERROR(__xludf.DUMMYFUNCTION("GOOGLETRANSLATE(C649)"),"#VALUE!")</f>
        <v>#VALUE!</v>
      </c>
      <c r="M649" s="5" t="str">
        <f>IFERROR(__xludf.DUMMYFUNCTION("GOOGLETRANSLATE(G649)"),"Google TranslateTranslateSettings SettingsVoice speedNormalTestSlowTestSlowerTestSign inTranslateAbout Google TranslatePrivacy &amp; TermsHelpSend feedbackAbout GoogleTranslation typesTextImagesDocumentsWebsitesText translationDetect languageDetect languageEn"&amp;"glishSpanishFrenchswap_horizSwap languages (Ctrl+Shift+S)EnglishEnglishSpanishArabicClose pickerTranslate fromsearchSearch languagescloseClose pickerClose searchclearClear search textcheckhistoryDetect languageauto_awesomeRecent languagesAll languageschec"&amp;"khistoryAfrikaanscheckhistoryAlbaniancheckhistoryAmhariccheckhistoryArabiccheckhistoryArmeniancheckhistoryAssamesecheckhistoryAymaracheckhistoryAzerbaijanicheckhistoryBambaracheckhistoryBasquecheckhistoryBelarusiancheckhistoryBengalicheckhistoryBhojpurich"&amp;"eckhistoryBosniancheckhistoryBulgariancheckhistoryCatalancheckhistoryCebuanocheckhistoryChichewacheckhistoryChinese (Simplified)checkhistoryChinese (Traditional)checkhistoryCorsicancheckhistoryCroatiancheckhistoryCzechcheckhistoryDanishcheckhistoryDhivehi"&amp;"checkhistoryDogricheckhistoryDutchcheckhistoryEnglishcheckhistoryEsperantocheckhistoryEstoniancheckhistoryEwecheckhistoryFilipinocheckhistoryFinnishcheckhistoryFrenchcheckhistoryFrisiancheckhistoryGaliciancheckhistoryGeorgiancheckhistoryGermancheckhistory"&amp;"GreekcheckhistoryGuaranicheckhistoryGujaraticheckhistoryHaitian CreolecheckhistoryHausacheckhistoryHawaiiancheckhistoryHebrewcheckhistoryHindicheckhistoryHmongcheckhistoryHungariancheckhistoryIcelandiccheckhistoryIgbocheckhistoryIlocanocheckhistoryIndones"&amp;"iancheckhistoryIrishcheckhistoryItaliancheckhistoryJapanesecheckhistoryJavanesecheckhistoryKannadacheckhistoryKazakhcheckhistoryKhmercheckhistoryKinyarwandacheckhistoryKonkanicheckhistoryKoreancheckhistoryKriocheckhistoryKurdish (Kurmanji)checkhistoryKurd"&amp;"ish (Sorani)checkhistoryKyrgyzcheckhistoryLaocheckhistoryLatincheckhistoryLatviancheckhistoryLingalacheckhistoryLithuaniancheckhistoryLugandacheckhistoryLuxembourgishcheckhistoryMacedoniancheckhistoryMaithilicheckhistoryMalagasycheckhistoryMalaycheckhisto"&amp;"ryMalayalamcheckhistoryMaltesecheckhistoryMaoricheckhistoryMarathicheckhistoryMeiteilon (Manipuri)checkhistoryMizocheckhistoryMongoliancheckhistoryMyanmar (Burmese)checkhistoryNepalicheckhistoryNorwegiancheckhistoryOdia (Oriya)checkhistoryOromocheckhistor"&amp;"yPashtocheckhistoryPersiancheckhistoryPolishcheckhistoryPortuguesecheckhistoryPunjabicheckhistoryQuechuacheckhistoryRomaniancheckhistoryRussiancheckhistorySamoancheckhistorySanskritcheckhistoryScots GaeliccheckhistorySepedicheckhistorySerbiancheckhistoryS"&amp;"esothocheckhistoryShonacheckhistorySindhicheckhistorySinhalacheckhistorySlovakcheckhistorySloveniancheckhistorySomalicheckhistorySpanishcheckhistorySundanesecheckhistorySwahilicheckhistorySwedishcheckhistoryTajikcheckhistoryTamilcheckhistoryTatarcheckhist"&amp;"oryTelugucheckhistoryThaicheckhistoryTigrinyacheckhistoryTsongacheckhistoryTurkishcheckhistoryTurkmencheckhistoryTwicheckhistoryUkrainiancheckhistoryUrducheckhistoryUyghurcheckhistoryUzbekcheckhistoryVietnamesecheckhistoryWelshcheckhistoryXhosacheckhistor"&amp;"yYiddishcheckhistoryYorubacheckhistoryZuluClose pickerTranslate tosearchSearch languagescloseClose pickerClose searchclearClear search textRecent languagesAll languagescheckhistoryAfrikaanscheckhistoryAlbaniancheckhistoryAmhariccheckhistoryArabiccheckhist"&amp;"oryArmeniancheckhistoryAssamesecheckhistoryAymaracheckhistoryAzerbaijanicheckhistoryBambaracheckhistoryBasquecheckhistoryBelarusiancheckhistoryBengalicheckhistoryBhojpuricheckhistoryBosniancheckhistoryBulgariancheckhistoryCatalancheckhistoryCebuanocheckhi"&amp;"storyChichewacheckhistoryChinese (Simplified)checkhistoryChinese (Traditional)checkhistoryCorsicancheckhistoryCroatiancheckhistoryCzechcheckhistoryDanishcheckhistoryDhivehicheckhistoryDogricheckhistoryDutchcheckhistoryEnglishcheckhistoryEsperantocheckhist"&amp;"oryEstoniancheckhistoryEwecheckhistoryFilipinocheckhistoryFinnishcheckhistoryFrenchcheckhistoryFrisiancheckhistoryGaliciancheckhistoryGeorgiancheckhistoryGermancheckhistoryGreekcheckhistoryGuaranicheckhistoryGujaraticheckhistoryHaitian CreolecheckhistoryH"&amp;"ausacheckhistoryHawaiiancheckhistoryHebrewcheckhistoryHindicheckhistoryHmongcheckhistoryHungariancheckhistoryIcelandiccheckhistoryIgbocheckhistoryIlocanocheckhistoryIndonesiancheckhistoryIrishcheckhistoryItaliancheckhistoryJapanesecheckhistoryJavanesechec"&amp;"khistoryKannadacheckhistoryKazakhcheckhistoryKhmercheckhistoryKinyarwandacheckhistoryKonkanicheckhistoryKoreancheckhistoryKriocheckhistoryKurdish (Kurmanji)checkhistoryKurdish (Sorani)checkhistoryKyrgyzcheckhistoryLaocheckhistoryLatincheckhistoryLatvianch"&amp;"eckhistoryLingalacheckhistoryLithuaniancheckhistoryLugandacheckhistoryLuxembourgishcheckhistoryMacedoniancheckhistoryMaithilicheckhistoryMalagasycheckhistoryMalaycheckhistoryMalayalamcheckhistoryMaltesecheckhistoryMaoricheckhistoryMarathicheckhistoryMeite"&amp;"ilon (Manipuri)checkhistoryMizocheckhistoryMongoliancheckhistoryMyanmar (Burmese)checkhistoryNepalicheckhistoryNorwegiancheckhistoryOdia (Oriya)checkhistoryOromocheckhistoryPashtocheckhistoryPersiancheckhistoryPolishcheckhistoryPortuguesecheckhistoryPunja"&amp;"bicheckhistoryQuechuacheckhistoryRomaniancheckhistoryRussiancheckhistorySamoancheckhistorySanskritcheckhistoryScots GaeliccheckhistorySepedicheckhistorySerbiancheckhistorySesothocheckhistoryShonacheckhistorySindhicheckhistorySinhalacheckhistorySlovakcheck"&amp;"historySloveniancheckhistorySomalicheckhistorySpanishcheckhistorySundanesecheckhistorySwahilicheckhistorySwedishcheckhistoryTajikcheckhistoryTamilcheckhistoryTatarcheckhistoryTelugucheckhistoryThaicheckhistoryTigrinyacheckhistoryTsongacheckhistoryTurkishc"&amp;"heckhistoryTurkmencheckhistoryTwicheckhistoryUkrainiancheckhistoryUrducheckhistoryUyghurcheckhistoryUzbekcheckhistoryVietnamesecheckhistoryWelshcheckhistoryXhosacheckhistoryYiddishcheckhistoryYorubacheckhistoryZuluGetting translation...May contain sensiti"&amp;"ve languageMay contain disputed languageMay contain sensitive and disputed languageLearn moreDismissSource textclearClear source textShow moreShow lessVoice input isn't supported on this browserBusy...Translate by voiceLoading...Listen0 / 5000Loading...Tu"&amp;"rn on HandwritingSelect Input ToolkeyboardTranslation resultsTranslationTranslating...Translations are gender-specific. Learn moreSome sentences may contain gender-specific alternatives. Click a sentence to see alternatives. Learn moreGender-specific tran"&amp;"slations are limited. Learn moreerror_outlineTranslation errorTry againDocument translationDetect languageDetect languageEnglishSpanishFrenchswap_horizSwap languages (Ctrl+Shift+S)EnglishEnglishSpanishArabicClose pickerTranslate fromsearchSearch languages"&amp;"closeClose pickerClose searchclearClear search textcheckhistoryDetect languageauto_awesomeRecent languagesAll languagescheckhistoryAfrikaanscheckhistoryAlbaniancheckhistoryAmhariccheckhistoryArabiccheckhistoryArmeniancheckhistoryAssamesecheckhistoryAymara"&amp;"checkhistoryAzerbaijanicheckhistoryBambaracheckhistoryBasquecheckhistoryBelarusiancheckhistoryBengalicheckhistoryBhojpuricheckhistoryBosniancheckhistoryBulgariancheckhistoryCatalancheckhistoryCebuanocheckhistoryChichewacheckhistoryChinese (Simplified)chec"&amp;"khistoryChinese (Traditional)checkhistoryCorsicancheckhistoryCroatiancheckhistoryCzechcheckhistoryDanishcheckhistoryDhivehicheckhistoryDogricheckhistoryDutchcheckhistoryEnglishcheckhistoryEsperantocheckhistoryEstoniancheckhistoryEwecheckhistoryFilipinoche"&amp;"ckhistoryFinnishcheckhistoryFrenchcheckhistoryFrisiancheckhistoryGaliciancheckhistoryGeorgiancheckhistoryGermancheckhistoryGreekcheckhistoryGuaranicheckhistoryGujaraticheckhistoryHaitian CreolecheckhistoryHausacheckhistoryHawaiiancheckhistoryHebrewcheckhi"&amp;"storyHindicheckhistoryHmongcheckhistoryHungariancheckhistoryIcelandiccheckhistoryIgbocheckhistoryIlocanocheckhistoryIndonesiancheckhistoryIrishcheckhistoryItaliancheckhistoryJapanesecheckhistoryJavanesecheckhistoryKannadacheckhistoryKazakhcheckhistoryKhme"&amp;"rcheckhistoryKinyarwandacheckhistoryKonkanicheckhistoryKoreancheckhistoryKriocheckhistoryKurdish (Kurmanji)checkhistoryKurdish (Sorani)checkhistoryKyrgyzcheckhistoryLaocheckhistoryLatincheckhistoryLatviancheckhistoryLingalacheckhistoryLithuaniancheckhisto"&amp;"ryLugandacheckhistoryLuxembourgishcheckhistoryMacedoniancheckhistoryMaithilicheckhistoryMalagasycheckhistoryMalaycheckhistoryMalayalamcheckhistoryMaltesecheckhistoryMaoricheckhistoryMarathicheckhistoryMeiteilon (Manipuri)checkhistoryMizocheckhistoryMongol"&amp;"iancheckhistoryMyanmar (Burmese)checkhistoryNepalicheckhistoryNorwegiancheckhistoryOdia (Oriya)checkhistoryOromocheckhistoryPashtocheckhistoryPersiancheckhistoryPolishcheckhistoryPortuguesecheckhistoryPunjabicheckhistoryQuechuacheckhistoryRomaniancheckhis"&amp;"toryRussiancheckhistorySamoancheckhistorySanskritcheckhistoryScots GaeliccheckhistorySepedicheckhistorySerbiancheckhistorySesothocheckhistoryShonacheckhistorySindhicheckhistorySinhalacheckhistorySlovakcheckhistorySloveniancheckhistorySomalicheckhistorySpa"&amp;"nishcheckhistorySundanesecheckhistorySwahilicheckhistorySwedishcheckhistoryTajikcheckhistoryTamilcheckhistoryTatarcheckhistoryTelugucheckhistoryThaicheckhistoryTigrinyacheckhistoryTsongacheckhistoryTurkishcheckhistoryTurkmencheckhistoryTwicheckhistoryUkra"&amp;"iniancheckhistoryUrducheckhistoryUyghurcheckhistoryUzbekcheckhistoryVietnamesecheckhistoryWelshcheckhistoryXhosacheckhistoryYiddishcheckhistoryYorubacheckhistoryZuluClose pickerTranslate tosearchSearch languagescloseClose pickerClose searchclearClear sear"&amp;"ch textRecent languagesAll languagescheckhistoryAfrikaanscheckhistoryAlbaniancheckhistoryAmhariccheckhistoryArabiccheckhistoryArmeniancheckhistoryAssamesecheckhistoryAymaracheckhistoryAzerbaijanicheckhistoryBambaracheckhistoryBasquecheckhistoryBelarusianc"&amp;"heckhistoryBengalicheckhistoryBhojpuricheckhistoryBosniancheckhistoryBulgariancheckhistoryCatalancheckhistoryCebuanocheckhistoryChichewacheckhistoryChinese (Simplified)checkhistoryChinese (Traditional)checkhistoryCorsicancheckhistoryCroatiancheckhistoryCz"&amp;"echcheckhistoryDanishcheckhistoryDhivehicheckhistoryDogricheckhistoryDutchcheckhistoryEnglishcheckhistoryEsperantocheckhistoryEstoniancheckhistoryEwecheckhistoryFilipinocheckhistoryFinnishcheckhistoryFrenchcheckhistoryFrisiancheckhistoryGaliciancheckhisto"&amp;"ryGeorgiancheckhistoryGermancheckhistoryGreekcheckhistoryGuaranicheckhistoryGujaraticheckhistoryHaitian CreolecheckhistoryHausacheckhistoryHawaiiancheckhistoryHebrewcheckhistoryHindicheckhistoryHmongcheckhistoryHungariancheckhistoryIcelandiccheckhistoryIg"&amp;"bocheckhistoryIlocanocheckhistoryIndonesiancheckhistoryIrishcheckhistoryItaliancheckhistoryJapanesecheckhistoryJavanesecheckhistoryKannadacheckhistoryKazakhcheckhistoryKhmercheckhistoryKinyarwandacheckhistoryKonkanicheckhistoryKoreancheckhistoryKriocheckh"&amp;"istoryKurdish (Kurmanji)checkhistoryKurdish (Sorani)checkhistoryKyrgyzcheckhistoryLaocheckhistoryLatincheckhistoryLatviancheckhistoryLingalacheckhistoryLithuaniancheckhistoryLugandacheckhistoryLuxembourgishcheckhistoryMacedoniancheckhistoryMaithilicheckhi"&amp;"storyMalagasycheckhistoryMalaycheckhistoryMalayalamcheckhistoryMaltesecheckhistoryMaoricheckhistoryMarathicheckhistoryMeiteilon (Manipuri)checkhistoryMizocheckhistoryMongoliancheckhistoryMyanmar (Burmese)checkhistoryNepalicheckhistoryNorwegiancheckhistory"&amp;"Odia (Oriya)checkhistoryOromocheckhistoryPashtocheckhistoryPersiancheckhistoryPolishcheckhistoryPortuguesecheckhistoryPunjabicheckhistoryQuechuacheckhistoryRomaniancheckhistoryRussiancheckhistorySamoancheckhistorySanskritcheckhistoryScots Gaeliccheckhisto"&amp;"rySepedicheckhistorySerbiancheckhistorySesothocheckhistoryShonacheckhistorySindhicheckhistorySinhalacheckhistorySlovakcheckhistorySloveniancheckhistorySomalicheckhistorySpanishcheckhistorySundanesecheckhistorySwahilicheckhistorySwedishcheckhistoryTajikche"&amp;"ckhistoryTamilcheckhistoryTatarcheckhistoryTelugucheckhistoryThaicheckhistoryTigrinyacheckhistoryTsongacheckhistoryTurkishcheckhistoryTurkmencheckhistoryTwicheckhistoryUkrainiancheckhistoryUrducheckhistoryUyghurcheckhistoryUzbekcheckhistoryVietnamesecheck"&amp;"historyWelshcheckhistoryXhosacheckhistoryYiddishcheckhistoryYorubacheckhistoryZuluDrag and dropDrag and dropOr choose a fileBrowse your filesSupported file types: .docx .pdf .pptx .xlsx.   Learn moreDrop file herePowered by Google Cloud TranslationWebsite"&amp;" translationDetect languageDetect languageEnglishSpanishFrenchswap_horizSwap languages (Ctrl+Shift+S)EnglishEnglishSpanishArabicClose pickerTranslate fromsearchSearch languagescloseClose pickerClose searchclearClear search textcheckhistoryDetect languagea"&amp;"uto_awesomeRecent languagesAll languagescheckhistoryAfrikaanscheckhistoryAlbaniancheckhistoryAmhariccheckhistoryArabiccheckhistoryArmeniancheckhistoryAssamesecheckhistoryAymaracheckhistoryAzerbaijanicheckhistoryBambaracheckhistoryBasquecheckhistoryBelarus"&amp;"iancheckhistoryBengalicheckhistoryBhojpuricheckhistoryBosniancheckhistoryBulgariancheckhistoryCatalancheckhistoryCebuanocheckhistoryChichewacheckhistoryChinese (Simplified)checkhistoryChinese (Traditional)checkhistoryCorsicancheckhistoryCroatiancheckhisto"&amp;"ryCzechcheckhistoryDanishcheckhistoryDhivehicheckhistoryDogricheckhistoryDutchcheckhistoryEnglishcheckhistoryEsperantocheckhistoryEstoniancheckhistoryEwecheckhistoryFilipinocheckhistoryFinnishcheckhistoryFrenchcheckhistoryFrisiancheckhistoryGaliciancheckh"&amp;"istoryGeorgiancheckhistoryGermancheckhistoryGreekcheckhistoryGuaranicheckhistoryGujaraticheckhistoryHaitian CreolecheckhistoryHausacheckhistoryHawaiiancheckhistoryHebrewcheckhistoryHindicheckhistoryHmongcheckhistoryHungariancheckhistoryIcelandiccheckhisto"&amp;"ryIgbocheckhistoryIlocanocheckhistoryIndonesiancheckhistoryIrishcheckhistoryItaliancheckhistoryJapanesecheckhistoryJavanesecheckhistoryKannadacheckhistoryKazakhcheckhistoryKhmercheckhistoryKinyarwandacheckhistoryKonkanicheckhistoryKoreancheckhistoryKrioch"&amp;"eckhistoryKurdish (Kurmanji)checkhistoryKurdish (Sorani)checkhistoryKyrgyzcheckhistoryLaocheckhistoryLatincheckhistoryLatviancheckhistoryLingalacheckhistoryLithuaniancheckhistoryLugandacheckhistoryLuxembourgishcheckhistoryMacedoniancheckhistoryMaithiliche"&amp;"ckhistoryMalagasycheckhistoryMalaycheckhistoryMalayalamcheckhistoryMaltesecheckhistoryMaoricheckhistoryMarathicheckhistoryMeiteilon (Manipuri)checkhistoryMizocheckhistoryMongoliancheckhistoryMyanmar (Burmese)checkhistoryNepalicheckhistoryNorwegiancheckhis"&amp;"toryOdia (Oriya)checkhistoryOromocheckhistoryPashtocheckhistoryPersiancheckhistoryPolishcheckhistoryPortuguesecheckhistoryPunjabicheckhistoryQuechuacheckhistoryRomaniancheckhistoryRussiancheckhistorySamoancheckhistorySanskritcheckhistoryScots Gaeliccheckh"&amp;"istorySepedicheckhistorySerbiancheckhistorySesothocheckhistoryShonacheckhistorySindhicheckhistorySinhalacheckhistorySlovakcheckhistorySloveniancheckhistorySomalicheckhistorySpanishcheckhistorySundanesecheckhistorySwahilicheckhistorySwedishcheckhistoryTaji"&amp;"kcheckhistoryTamilcheckhistoryTatarcheckhistoryTelugucheckhistoryThaicheckhistoryTigrinyacheckhistoryTsongacheckhistoryTurkishcheckhistoryTurkmencheckhistoryTwicheckhistoryUkrainiancheckhistoryUrducheckhistoryUyghurcheckhistoryUzbekcheckhistoryVietnamesec"&amp;"heckhistoryWelshcheckhistoryXhosacheckhistoryYiddishcheckhistoryYorubacheckhistoryZuluClose pickerTranslate tosearchSearch languagescloseClose pickerClose searchclearClear search textRecent languagesAll languagescheckhistoryAfrikaanscheckhistoryAlbanianch"&amp;"eckhistoryAmhariccheckhistoryArabiccheckhistoryArmeniancheckhistoryAssamesecheckhistoryAymaracheckhistoryAzerbaijanicheckhistoryBambaracheckhistoryBasquecheckhistoryBelarusiancheckhistoryBengalicheckhistoryBhojpuricheckhistoryBosniancheckhistoryBulgarianc"&amp;"heckhistoryCatalancheckhistoryCebuanocheckhistoryChichewacheckhistoryChinese (Simplified)checkhistoryChinese (Traditional)checkhistoryCorsicancheckhistoryCroatiancheckhistoryCzechcheckhistoryDanishcheckhistoryDhivehicheckhistoryDogricheckhistoryDutchcheck"&amp;"historyEnglishcheckhistoryEsperantocheckhistoryEstoniancheckhistoryEwecheckhistoryFilipinocheckhistoryFinnishcheckhistoryFrenchcheckhistoryFrisiancheckhistoryGaliciancheckhistoryGeorgiancheckhistoryGermancheckhistoryGreekcheckhistoryGuaranicheckhistoryGuj"&amp;"araticheckhistoryHaitian CreolecheckhistoryHausacheckhistoryHawaiiancheckhistoryHebrewcheckhistoryHindicheckhistoryHmongcheckhistoryHungariancheckhistoryIcelandiccheckhistoryIgbocheckhistoryIlocanocheckhistoryIndonesiancheckhistoryIrishcheckhistoryItalian"&amp;"checkhistoryJapanesecheckhistoryJavanesecheckhistoryKannadacheckhistoryKazakhcheckhistoryKhmercheckhistoryKinyarwandacheckhistoryKonkanicheckhistoryKoreancheckhistoryKriocheckhistoryKurdish (Kurmanji)checkhistoryKurdish (Sorani)checkhistoryKyrgyzcheckhist"&amp;"oryLaocheckhistoryLatincheckhistoryLatviancheckhistoryLingalacheckhistoryLithuaniancheckhistoryLugandacheckhistoryLuxembourgishcheckhistoryMacedoniancheckhistoryMaithilicheckhistoryMalagasycheckhistoryMalaycheckhistoryMalayalamcheckhistoryMaltesecheckhist"&amp;"oryMaoricheckhistoryMarathicheckhistoryMeiteilon (Manipuri)checkhistoryMizocheckhistoryMongoliancheckhistoryMyanmar (Burmese)checkhistoryNepalicheckhistoryNorwegiancheckhistoryOdia (Oriya)checkhistoryOromocheckhistoryPashtocheckhistoryPersiancheckhistoryP"&amp;"olishcheckhistoryPortuguesecheckhistoryPunjabicheckhistoryQuechuacheckhistoryRomaniancheckhistoryRussiancheckhistorySamoancheckhistorySanskritcheckhistoryScots GaeliccheckhistorySepedicheckhistorySerbiancheckhistorySesothocheckhistoryShonacheckhistorySind"&amp;"hicheckhistorySinhalacheckhistorySlovakcheckhistorySloveniancheckhistorySomalicheckhistorySpanishcheckhistorySundanesecheckhistorySwahilicheckhistorySwedishcheckhistoryTajikcheckhistoryTamilcheckhistoryTatarcheckhistoryTelugucheckhistoryThaicheckhistoryTi"&amp;"grinyacheckhistoryTsongacheckhistoryTurkishcheckhistoryTurkmencheckhistoryTwicheckhistoryUkrainiancheckhistoryUrducheckhistoryUyghurcheckhistoryUzbekcheckhistoryVietnamesecheckhistoryWelshcheckhistoryXhosacheckhistoryYiddishcheckhistoryYorubacheckhistoryZ"&amp;"ulu WebsiteClear URLEnter a URLTranslateTranslatingImage translationDetect languageDetect languageEnglishSpanishFrenchswap_horizSwap languages (Ctrl+Shift+S)EnglishEnglishSpanishArabicClose pickerTranslate fromsearchSearch languagescloseClose pickerClose "&amp;"searchclearClear search textcheckhistoryDetect languageauto_awesomeRecent languagesAll languagescheckhistoryAfrikaanscheckhistoryAlbaniancheckhistoryAmhariccheckhistoryArabiccheckhistoryArmeniancheckhistoryAssamesecheckhistoryAymaracheckhistoryAzerbaijani"&amp;"checkhistoryBambaracheckhistoryBasquecheckhistoryBelarusiancheckhistoryBengalicheckhistoryBhojpuricheckhistoryBosniancheckhistoryBulgariancheckhistoryCatalancheckhistoryCebuanocheckhistoryChichewacheckhistoryChinese (Simplified)checkhistoryChinese (Tradit"&amp;"ional)checkhistoryCorsicancheckhistoryCroatiancheckhistoryCzechcheckhistoryDanishcheckhistoryDhivehicheckhistoryDogricheckhistoryDutchcheckhistoryEnglishcheckhistoryEsperantocheckhistoryEstoniancheckhistoryEwecheckhistoryFilipinocheckhistoryFinnishcheckhi"&amp;"storyFrenchcheckhistoryFrisiancheckhistoryGaliciancheckhistoryGeorgiancheckhistoryGermancheckhistoryGreekcheckhistoryGuaranicheckhistoryGujaraticheckhistoryHaitian CreolecheckhistoryHausacheckhistoryHawaiiancheckhistoryHebrewcheckhistoryHindicheckhistoryH"&amp;"mongcheckhistoryHungariancheckhistoryIcelandiccheckhistoryIgbocheckhistoryIlocanocheckhistoryIndonesiancheckhistoryIrishcheckhistoryItaliancheckhistoryJapanesecheckhistoryJavanesecheckhistoryKannadacheckhistoryKazakhcheckhistoryKhmercheckhistoryKinyarwand"&amp;"acheckhistoryKonkanicheckhistoryKoreancheckhistoryKriocheckhistoryKurdish (Kurmanji)checkhistoryKurdish (Sorani)checkhistoryKyrgyzcheckhistoryLaocheckhistoryLatincheckhistoryLatviancheckhistoryLingalacheckhistoryLithuaniancheckhistoryLugandacheckhistoryLu"&amp;"xembourgishcheckhistoryMacedoniancheckhistoryMaithilicheckhistoryMalagasycheckhistoryMalaycheckhistoryMalayalamcheckhistoryMaltesecheckhistoryMaoricheckhistoryMarathicheckhistoryMeiteilon (Manipuri)checkhistoryMizocheckhistoryMongoliancheckhistoryMyanmar "&amp;"(Burmese)checkhistoryNepalicheckhistoryNorwegiancheckhistoryOdia (Oriya)checkhistoryOromocheckhistoryPashtocheckhistoryPersiancheckhistoryPolishcheckhistoryPortuguesecheckhistoryPunjabicheckhistoryQuechuacheckhistoryRomaniancheckhistoryRussiancheckhistory"&amp;"SamoancheckhistorySanskritcheckhistoryScots GaeliccheckhistorySepedicheckhistorySerbiancheckhistorySesothocheckhistoryShonacheckhistorySindhicheckhistorySinhalacheckhistorySlovakcheckhistorySloveniancheckhistorySomalicheckhistorySpanishcheckhistorySundane"&amp;"secheckhistorySwahilicheckhistorySwedishcheckhistoryTajikcheckhistoryTamilcheckhistoryTatarcheckhistoryTelugucheckhistoryThaicheckhistoryTigrinyacheckhistoryTsongacheckhistoryTurkishcheckhistoryTurkmencheckhistoryTwicheckhistoryUkrainiancheckhistoryUrduch"&amp;"eckhistoryUyghurcheckhistoryUzbekcheckhistoryVietnamesecheckhistoryWelshcheckhistoryXhosacheckhistoryYiddishcheckhistoryYorubacheckhistoryZuluClose pickerTranslate tosearchSearch languagescloseClose pickerClose searchclearClear search textRecent languages"&amp;"All languagescheckhistoryAfrikaanscheckhistoryAlbaniancheckhistoryAmhariccheckhistoryArabiccheckhistoryArmeniancheckhistoryAssamesecheckhistoryAymaracheckhistoryAzerbaijanicheckhistoryBambaracheckhistoryBasquecheckhistoryBelarusiancheckhistoryBengalicheck"&amp;"historyBhojpuricheckhistoryBosniancheckhistoryBulgariancheckhistoryCatalancheckhistoryCebuanocheckhistoryChichewacheckhistoryChinese (Simplified)checkhistoryChinese (Traditional)checkhistoryCorsicancheckhistoryCroatiancheckhistoryCzechcheckhistoryDanishch"&amp;"eckhistoryDhivehicheckhistoryDogricheckhistoryDutchcheckhistoryEnglishcheckhistoryEsperantocheckhistoryEstoniancheckhistoryEwecheckhistoryFilipinocheckhistoryFinnishcheckhistoryFrenchcheckhistoryFrisiancheckhistoryGaliciancheckhistoryGeorgiancheckhistoryG"&amp;"ermancheckhistoryGreekcheckhistoryGuaranicheckhistoryGujaraticheckhistoryHaitian CreolecheckhistoryHausacheckhistoryHawaiiancheckhistoryHebrewcheckhistoryHindicheckhistoryHmongcheckhistoryHungariancheckhistoryIcelandiccheckhistoryIgbocheckhistoryIlocanoch"&amp;"eckhistoryIndonesiancheckhistoryIrishcheckhistoryItaliancheckhistoryJapanesecheckhistoryJavanesecheckhistoryKannadacheckhistoryKazakhcheckhistoryKhmercheckhistoryKinyarwandacheckhistoryKonkanicheckhistoryKoreancheckhistoryKriocheckhistoryKurdish (Kurmanji"&amp;")checkhistoryKurdish (Sorani)checkhistoryKyrgyzcheckhistoryLaocheckhistoryLatincheckhistoryLatviancheckhistoryLingalacheckhistoryLithuaniancheckhistoryLugandacheckhistoryLuxembourgishcheckhistoryMacedoniancheckhistoryMaithilicheckhistoryMalagasycheckhisto"&amp;"ryMalaycheckhistoryMalayalamcheckhistoryMaltesecheckhistoryMaoricheckhistoryMarathicheckhistoryMeiteilon (Manipuri)checkhistoryMizocheckhistoryMongoliancheckhistoryMyanmar (Burmese)checkhistoryNepalicheckhistoryNorwegiancheckhistoryOdia (Oriya)checkhistor"&amp;"yOromocheckhistoryPashtocheckhistoryPersiancheckhistoryPolishcheckhistoryPortuguesecheckhistoryPunjabicheckhistoryQuechuacheckhistoryRomaniancheckhistoryRussiancheckhistorySamoancheckhistorySanskritcheckhistoryScots GaeliccheckhistorySepedicheckhistorySer"&amp;"biancheckhistorySesothocheckhistoryShonacheckhistorySindhicheckhistorySinhalacheckhistorySlovakcheckhistorySloveniancheckhistorySomalicheckhistorySpanishcheckhistorySundanesecheckhistorySwahilicheckhistorySwedishcheckhistoryTajikcheckhistoryTamilcheckhist"&amp;"oryTatarcheckhistoryTelugucheckhistoryThaicheckhistoryTigrinyacheckhistoryTsongacheckhistoryTurkishcheckhistoryTurkmencheckhistoryTwicheckhistoryUkrainiancheckhistoryUrducheckhistoryUyghurcheckhistoryUzbekcheckhistoryVietnamesecheckhistoryWelshcheckhistor"&amp;"yXhosacheckhistoryYiddishcheckhistoryYorubacheckhistoryZuluDrag and dropDrag and dropOr choose a fileBrowse your filesPaste from clipboardSupported file types: .jpg .jpeg .png.   Learn moreDrop file hereSend feedbackSide panelsHistorySavedContribute5000 c"&amp;"haracter limit. Use the arrows to translate more.DoneSavedHistoryGoogle appsMain menu")</f>
        <v>Google TranslateTranslateSettings SettingsVoice speedNormalTestSlowTestSlowerTestSign inTranslateAbout Google TranslatePrivacy &amp; TermsHelpSend feedbackAbout GoogleTranslation typesTextImagesDocumentsWebsitesText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Getting translation...May contain sensitive languageMay contain disputed languageMay contain sensitive and disputed languageLearn moreDismissSource textclearClear source textShow moreShow lessVoice input isn't supported on this browserBusy...Translate by voiceLoading...Listen0 / 5000Loading...Turn on HandwritingSelect Input ToolkeyboardTranslation resultsTranslationTranslating...Translations are gender-specific. Learn moreSome sentences may contain gender-specific alternatives. Click a sentence to see alternatives. Learn moreGender-specific translations are limited. Learn moreerror_outlineTranslation errorTry againDocument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Drag and dropDrag and dropOr choose a fileBrowse your filesSupported file types: .docx .pdf .pptx .xlsx.   Learn moreDrop file herePowered by Google Cloud TranslationWebsite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 WebsiteClear URLEnter a URLTranslateTranslatingImage translationDetect languageDetect languageEnglishSpanishFrenchswap_horizSwap languages (Ctrl+Shift+S)EnglishEnglishSpanishArabicClose pickerTranslate fromsearchSearch languagescloseClose pickerClose searchclearClear search textcheckhistoryDetect languageauto_awesomeRecent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Close pickerTranslate tosearchSearch languagescloseClose pickerClose searchclearClear search textRecent languagesAll languagescheckhistoryAfrikaanscheckhistoryAlbaniancheckhistoryAmhariccheckhistoryArabiccheckhistoryArmeniancheckhistoryAssamesecheckhistoryAymaracheckhistoryAzerbaijanicheckhistoryBambaracheckhistoryBasquecheckhistoryBelarusiancheckhistoryBengalicheckhistoryBhojpuricheckhistoryBosniancheckhistoryBulgariancheckhistoryCatalancheckhistoryCebuanocheckhistoryChichewacheckhistoryChinese (Simplified)checkhistoryChinese (Traditional)checkhistoryCorsicancheckhistoryCroatiancheckhistoryCzechcheckhistoryDanishcheckhistoryDhivehicheckhistoryDogricheckhistoryDutchcheckhistoryEnglishcheckhistoryEsperantocheckhistoryEstoniancheckhistoryEwecheckhistoryFilipinocheckhistoryFinnishcheckhistoryFrenchcheckhistoryFrisiancheckhistoryGaliciancheckhistoryGeorgiancheckhistoryGermancheckhistoryGreekcheckhistoryGuaranicheckhistoryGujaraticheckhistoryHaitian CreolecheckhistoryHausacheckhistoryHawaiiancheckhistoryHebrewcheckhistoryHindicheckhistoryHmongcheckhistoryHungariancheckhistoryIcelandiccheckhistoryIgbocheckhistoryIlocanocheckhistoryIndonesiancheckhistoryIrishcheckhistoryItaliancheckhistoryJapanesecheckhistoryJavanesecheckhistoryKannadacheckhistoryKazakhcheckhistoryKhmercheckhistoryKinyarwandacheckhistoryKonkanicheckhistoryKoreancheckhistoryKriocheckhistoryKurdish (Kurmanji)checkhistoryKurdish (Sorani)checkhistoryKyrgyzcheckhistoryLaocheckhistoryLatincheckhistoryLatviancheckhistoryLingalacheckhistoryLithuaniancheckhistoryLugandacheckhistoryLuxembourgishcheckhistoryMacedoniancheckhistoryMaithilicheckhistoryMalagasycheckhistoryMalaycheckhistoryMalayalamcheckhistoryMaltesecheckhistoryMaoricheckhistoryMarathicheckhistoryMeiteilon (Manipuri)checkhistoryMizocheckhistoryMongoliancheckhistoryMyanmar (Burmese)checkhistoryNepalicheckhistoryNorwegiancheckhistoryOdia (Oriya)checkhistoryOromocheckhistoryPashtocheckhistoryPersiancheckhistoryPolishcheckhistoryPortuguesecheckhistoryPunjabicheckhistoryQuechuacheckhistoryRomaniancheckhistoryRussiancheckhistorySamoancheckhistorySanskritcheckhistoryScots GaeliccheckhistorySepedicheckhistorySerbiancheckhistorySesothocheckhistoryShonacheckhistorySindhicheckhistorySinhalacheckhistorySlovakcheckhistorySloveniancheckhistorySomalicheckhistorySpanishcheckhistorySundanesecheckhistorySwahilicheckhistorySwedishcheckhistoryTajikcheckhistoryTamilcheckhistoryTatarcheckhistoryTelugucheckhistoryThaicheckhistoryTigrinyacheckhistoryTsongacheckhistoryTurkishcheckhistoryTurkmencheckhistoryTwicheckhistoryUkrainiancheckhistoryUrducheckhistoryUyghurcheckhistoryUzbekcheckhistoryVietnamesecheckhistoryWelshcheckhistoryXhosacheckhistoryYiddishcheckhistoryYorubacheckhistoryZuluDrag and dropDrag and dropOr choose a fileBrowse your filesPaste from clipboardSupported file types: .jpg .jpeg .png.   Learn moreDrop file hereSend feedbackSide panelsHistorySavedContribute5000 character limit. Use the arrows to translate more.DoneSavedHistoryGoogle appsMain menu</v>
      </c>
    </row>
    <row r="650">
      <c r="A650" s="1" t="s">
        <v>2180</v>
      </c>
      <c r="B650" s="1" t="s">
        <v>2181</v>
      </c>
      <c r="C650" s="1" t="s">
        <v>2117</v>
      </c>
      <c r="D650" s="1">
        <v>2.0</v>
      </c>
      <c r="E650" s="4" t="s">
        <v>2118</v>
      </c>
      <c r="F650" s="1" t="s">
        <v>16</v>
      </c>
      <c r="G650" s="1" t="s">
        <v>336</v>
      </c>
      <c r="H650" s="4" t="s">
        <v>2119</v>
      </c>
      <c r="I650" s="2">
        <v>0.0</v>
      </c>
      <c r="J650" s="5" t="str">
        <f>IFERROR(__xludf.DUMMYFUNCTION("GOOGLETRANSLATE(A650)"),"translator")</f>
        <v>translator</v>
      </c>
      <c r="K650" s="6" t="str">
        <f>IFERROR(__xludf.DUMMYFUNCTION("GOOGLETRANSLATE(B650)"),"Yandex translator")</f>
        <v>Yandex translator</v>
      </c>
      <c r="L650" s="5" t="str">
        <f>IFERROR(__xludf.DUMMYFUNCTION("GOOGLETRANSLATE(C650)"),"Free online translation from English and other languages ​​into Russian and back. The translator works with words, texts, as well as web pages and inscriptions ...")</f>
        <v>Free online translation from English and other languages ​​into Russian and back. The translator works with words, texts, as well as web pages and inscriptions ...</v>
      </c>
      <c r="M650" s="5" t="str">
        <f>IFERROR(__xludf.DUMMYFUNCTION("GOOGLETRANSLATE(G650)"),"Oh!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651">
      <c r="A651" s="1" t="s">
        <v>2180</v>
      </c>
      <c r="B651" s="1" t="s">
        <v>2120</v>
      </c>
      <c r="C651" s="1" t="s">
        <v>2182</v>
      </c>
      <c r="D651" s="1">
        <v>3.0</v>
      </c>
      <c r="E651" s="4" t="s">
        <v>2122</v>
      </c>
      <c r="F651" s="1" t="s">
        <v>16</v>
      </c>
      <c r="G651" s="1" t="s">
        <v>2123</v>
      </c>
      <c r="H651" s="4" t="s">
        <v>2124</v>
      </c>
      <c r="I651" s="2">
        <v>0.0</v>
      </c>
      <c r="J651" s="5" t="str">
        <f>IFERROR(__xludf.DUMMYFUNCTION("GOOGLETRANSLATE(A651)"),"translator")</f>
        <v>translator</v>
      </c>
      <c r="K651" s="6" t="str">
        <f>IFERROR(__xludf.DUMMYFUNCTION("GOOGLETRANSLATE(B651)"),"Deepl Translate - the most accurate translator in the world")</f>
        <v>Deepl Translate - the most accurate translator in the world</v>
      </c>
      <c r="L651" s="5" t="str">
        <f>IFERROR(__xludf.DUMMYFUNCTION("GOOGLETRANSLATE(C651)"),"Millions of users are translated every day using Deepl. A translator from English, German, French and other languages ​​into Russian. · Original text ...")</f>
        <v>Millions of users are translated every day using Deepl. A translator from English, German, French and other languages ​​into Russian. · Original text ...</v>
      </c>
      <c r="M651" s="5" t="str">
        <f>IFERROR(__xludf.DUMMYFUNCTION("GOOGLETRANSLATE(G651)"),"DeepL Translate: The world's most accurate translatorMillions translate with DeepL every day. Popular: Spanish to English French to English and Japanese to English.Translation modesTranslate text31 languagesTranslate files.pdf .docx .pptxDeepL WriteAI-pow"&amp;"ered editsTranslate textSelect source language. Currently selected:Detect languageSelect target language. Currently selected:English (US)Source textType to translate.Drag and drop to translate PDF Word (.docx) and PowerPoint (.pptx) files with our documen"&amp;"t translator.Translation resultsDictionaryThe dictionary is unavailable for this language pair.Perfect your writing with DeepL WritebetaFix grammar and punctuation mistakes rephrase sentences express nuances and find your perfect tone of voice.Start writi"&amp;"ngUnlock DeepL’s full potential – Try DeepL Pro for freeTry Pro for 30 days freeYou are using the free version of DeepLTranslate up to 3000 charactersTranslate 3 locked documents/month10 glossary entriesUnlock DeepL Pro featuresMaximum data securityUnlimi"&amp;"ted text translationTranslate and edit more documentsSee more featuresDeepL in the PressTech giants Google Microsoft and Facebook are all applying the lessons of machine learning to translation but a small company called DeepL has outdone them all and rai"&amp;"sed the bar for the field.&lt;br&gt;Its translation tool is just as quick as the outsized competition but more accurate and nuanced than any we’ve tried.Tech giants Google Microsoft and Facebook are all applying the lessons of machine learning to translation bu"&amp;"t a small company called DeepL has outdone them all and raised the bar for the field.Its translation tool is just as quick as the outsized competition but more accurate and nuanced than any we’ve tried.TechCrunchUSADeepL has also outperformed other servic"&amp;"es thanks to more ""French-sounding"" expressions.DeepL has also outperformed other services thanks to more ""French-sounding"" expressions.Le MondeFranceEven though the translations from English by Google and Microsoft are quite good DeepL still surpasse"&amp;"s them. We have translated a report from a French daily newspaper - the DeepL result was perfect.Even though the translations from English by Google and Microsoft are quite good DeepL still surpasses them. We have translated a report from a French daily n"&amp;"ewspaper - the DeepL result was perfect.Golem.deGermanyA quick test carried out for the combination English-Italian and vice versa even without any statistical pretensions allowed us to confirm that the quality of the translation is really good. Especiall"&amp;"y from Italian into English.A quick test carried out for the combination English-Italian and vice versa even without any statistical pretensions allowed us to confirm that the quality of the translation is really good. Especially from Italian into English"&amp;".La StampaItalyThe system recognizes the language quickly and automatically converting the words into the language you want and trying to add the particular linguistic nuances and expressions.The system recognizes the language quickly and automatically co"&amp;"nverting the words into the language you want and trying to add the particular linguistic nuances and expressions.ABCSpainIndeed a few tests show that DeepL Translator offers better translations than Google Translate when it comes to Dutch to English and "&amp;"vice versa.Indeed a few tests show that DeepL Translator offers better translations than Google Translate when it comes to Dutch to English and vice versa.RTL ZNetherlandsIn the first test - from English into Italian - it proved to be very accurate especi"&amp;"ally good at grasping the meaning of the sentence rather than being derailed by a literal translation.In the first test - from English into Italian - it proved to be very accurate especially good at grasping the meaning of the sentence rather than being d"&amp;"erailed by a literal translation.la RepubblicaItalyPersonally I'm very impressed by what DeepL is able to do and yes I think it's really great that this new stage in the evolution of machine translation was not achieved with software from Facebook Microso"&amp;"ft Apple or Google but by a German company. We like to make ourselves a little bit small and pretend that there is no one in this country who can stand up to the big players. DeepL is a good example that it is possible.Personally I'm very impressed by wha"&amp;"t DeepL is able to do and yes I think it's really great that this new stage in the evolution of machine translation was not achieved with software from Facebook Microsoft Apple or Google but by a German company. We like to make ourselves a little bit smal"&amp;"l and pretend that there is no one in this country who can stand up to the big players. DeepL is a good example that it is possible.Mobile GeeksGermanyDeepL from Germany could surpass Google Translate&lt;br&gt;WIRED's quick test shows that DeepL's results are i"&amp;"ndeed in no way inferior to those of the high-ranking competitors and in many cases even surpass them. The translated texts often read much more fluently; where Google Translate forms completely meaningless word chains DeepL can at least guess a connectio"&amp;"n.DeepL from Germany could surpass Google TranslateWIRED's quick test shows that DeepL's results are indeed in no way inferior to those of the high-ranking competitors and in many cases even surpass them. The translated texts often read much more fluently"&amp;"; where Google Translate forms completely meaningless word chains DeepL can at least guess a connection.WIRED.deGermanyDeepL an online translator that outperforms Google Microsoft and FacebookDeepL an online translator that outperforms Google Microsoft an"&amp;"d Facebookwwwhat's newLatin AmericaTech giants Google Microsoft and Facebook are all applying the lessons of machine learning to translation but a small company called DeepL has outdone them all and raised the bar for the field.&lt;br&gt;Its translation tool is"&amp;" just as quick as the outsized competition but more accurate and nuanced than any we’ve tried.DeepL has also outperformed other services thanks to more ""French-sounding"" expressions.Even though the translations from English by Google and Microsoft are q"&amp;"uite good DeepL still surpasses them. We have translated a report from a French daily newspaper - the DeepL result was perfect.A quick test carried out for the combination English-Italian and vice versa even without any statistical pretensions allowed us "&amp;"to confirm that the quality of the translation is really good. Especially from Italian into English.The system recognizes the language quickly and automatically converting the words into the language you want and trying to add the particular linguistic nu"&amp;"ances and expressions.Indeed a few tests show that DeepL Translator offers better translations than Google Translate when it comes to Dutch to English and vice versa.In the first test - from English into Italian - it proved to be very accurate especially "&amp;"good at grasping the meaning of the sentence rather than being derailed by a literal translation.Personally I'm very impressed by what DeepL is able to do and yes I think it's really great that this new stage in the evolution of machine translation was no"&amp;"t achieved with software from Facebook Microsoft Apple or Google but by a German company. We like to make ourselves a little bit small and pretend that there is no one in this country who can stand up to the big players. DeepL is a good example that it is"&amp;" possible.DeepL from Germany could surpass Google Translate&lt;br&gt;WIRED's quick test shows that DeepL's results are indeed in no way inferior to those of the high-ranking competitors and in many cases even surpass them. The translated texts often read much m"&amp;"ore fluently; where Google Translate forms completely meaningless word chains DeepL can at least guess a connection.DeepL an online translator that outperforms Google Microsoft and FacebookDeepL is hiring! Join us in breaking down language barriersSee ope"&amp;"n jobsMillions translate with DeepL every day.Popular:  English to Chinese English to French and Chinese to English.Other languages:BulgarianCzechDanishGermanGreekSpanishEstonianFinnishFrenchHungarianIndonesianItalianJapaneseKoreanLithuanianLatvianNorwegi"&amp;"anDutchPolishPortugueseRomanianRussianSlovakSlovenianSwedishTurkishUkrainianChineseLanguageEnglishDeutschEnglishEspañol日本語FrançaisItaliano한국어NederlandsPolskiPortuguês (Brasil)PortuguêsРусский简体中文ČeštinaSvenskaTürkçeBahasa IndonesiaУкраїнськаResourcesHelp "&amp;"CenterBlogAPI documentationAccessibilityData securityPrivacy policyTerms &amp; ConditionsProductFree translatorFeaturesDeepL ProTranslation APIDeepL WriteDownloadDeepL for AndroidDeepL for ChromeOSDeepL for iPhoneDeepL for iPadDeepL for MacDeepL for WindowsDe"&amp;"epL Chrome extensionDeepL Edge extensionCompanyContact SalesPressCareersPublisher")</f>
        <v>DeepL Translate: The world's most accurate translatorMillions translate with DeepL every day. Popular: Spanish to English French to English and Japanese to English.Translation modesTranslate text31 languagesTranslate files.pdf .docx .pptxDeepL WriteAI-powered editsTranslate textSelect source language. Currently selected:Detect languageSelect target language. Currently selected:English (US)Source textType to translate.Drag and drop to translate PDF Word (.docx) and PowerPoint (.pptx) files with our document translator.Translation resultsDictionaryThe dictionary is unavailable for this language pair.Perfect your writing with DeepL WritebetaFix grammar and punctuation mistakes rephrase sentences express nuances and find your perfect tone of voice.Start writingUnlock DeepL’s full potential – Try DeepL Pro for freeTry Pro for 30 days freeYou are using the free version of DeepLTranslate up to 3000 charactersTranslate 3 locked documents/month10 glossary entriesUnlock DeepL Pro featuresMaximum data securityUnlimited text translationTranslate and edit more documentsSee more featuresDeepL in the PressTech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tried.Tech giants Google Microsoft and Facebook are all applying the lessons of machine learning to translation but a small company called DeepL has outdone them all and raised the bar for the field.Its translation tool is just as quick as the outsized competition but more accurate and nuanced than any we’ve tried.TechCrunchUSADeepL has also outperformed other services thanks to more "French-sounding" expressions.DeepL has also outperformed other services thanks to more "French-sounding" expressions.Le MondeFranceEven though the translations from English by Google and Microsoft are quite good DeepL still surpasses them. We have translated a report from a French daily newspaper - the DeepL result was perfect.Even though the translations from English by Google and Microsoft are quite good DeepL still surpasses them. We have translated a report from a French daily newspaper - the DeepL result was perfect.Golem.deGermanyA quick test carried out for the combination English-Italian and vice versa even without any statistical pretensions allowed us to confirm that the quality of the translation is really good. Especially from Italian into English.A quick test carried out for the combination English-Italian and vice versa even without any statistical pretensions allowed us to confirm that the quality of the translation is really good. Especially from Italian into English.La StampaItalyThe system recognizes the language quickly and automatically converting the words into the language you want and trying to add the particular linguistic nuances and expressions.The system recognizes the language quickly and automatically converting the words into the language you want and trying to add the particular linguistic nuances and expressions.ABCSpainIndeed a few tests show that DeepL Translator offers better translations than Google Translate when it comes to Dutch to English and vice versa.Indeed a few tests show that DeepL Translator offers better translations than Google Translate when it comes to Dutch to English and vice versa.RTL ZNetherlandsIn the first test - from English into Italian - it proved to be very accurate especially good at grasping the meaning of the sentence rather than being derailed by a literal translation.In the first test - from English into Italian - it proved to be very accurate especially good at grasping the meaning of the sentence rather than being derailed by a literal translation.la RepubblicaItalyPersonally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possible.Mobile GeeksGermanyDeepL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from Germany could surpass Google TranslateWIRED's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connection.WIRED.deGermanyDeepL an online translator that outperforms Google Microsoft and FacebookDeepL an online translator that outperforms Google Microsoft and Facebookwwwhat's newLatin AmericaTech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tried.DeepL has also outperformed other services thanks to more "French-sounding" expressions.Even though the translations from English by Google and Microsoft are quite good DeepL still surpasses them. We have translated a report from a French daily newspaper - the DeepL result was perfect.A quick test carried out for the combination English-Italian and vice versa even without any statistical pretensions allowed us to confirm that the quality of the translation is really good. Especially from Italian into English.The system recognizes the language quickly and automatically converting the words into the language you want and trying to add the particular linguistic nuances and expressions.Indeed a few tests show that DeepL Translator offers better translations than Google Translate when it comes to Dutch to English and vice versa.In the first test - from English into Italian - it proved to be very accurate especially good at grasping the meaning of the sentence rather than being derailed by a literal translation.Personally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an online translator that outperforms Google Microsoft and FacebookDeepL is hiring! Join us in breaking down language barriersSee open jobsMillions translate with DeepL every day.Popular:  English to Chinese English to French and Chinese to English.Other languages:BulgarianCzechDanishGermanGreekSpanishEstonianFinnishFrenchHungarianIndonesianItalianJapaneseKoreanLithuanianLatvianNorwegianDutchPolishPortugueseRomanianRussianSlovakSlovenianSwedishTurkishUkrainianChineseLanguageEnglishDeutschEnglishEspañol日本語FrançaisItaliano한국어NederlandsPolskiPortuguês (Brasil)PortuguêsРусский简体中文ČeštinaSvenskaTürkçeBahasa IndonesiaУкраїнськаResourcesHelp CenterBlogAPI documentationAccessibilityData securityPrivacy policyTerms &amp; ConditionsProductFree translatorFeaturesDeepL ProTranslation APIDeepL WriteDownloadDeepL for AndroidDeepL for ChromeOSDeepL for iPhoneDeepL for iPadDeepL for MacDeepL for WindowsDeepL Chrome extensionDeepL Edge extensionCompanyContact SalesPressCareersPublisher</v>
      </c>
    </row>
    <row r="652">
      <c r="A652" s="1" t="s">
        <v>2180</v>
      </c>
      <c r="B652" s="1" t="s">
        <v>2125</v>
      </c>
      <c r="C652" s="1" t="s">
        <v>2183</v>
      </c>
      <c r="D652" s="1">
        <v>4.0</v>
      </c>
      <c r="E652" s="4" t="s">
        <v>2126</v>
      </c>
      <c r="F652" s="1" t="s">
        <v>16</v>
      </c>
      <c r="I652" s="2">
        <v>0.0</v>
      </c>
      <c r="J652" s="5" t="str">
        <f>IFERROR(__xludf.DUMMYFUNCTION("GOOGLETRANSLATE(A652)"),"translator")</f>
        <v>translator</v>
      </c>
      <c r="K652" s="6" t="str">
        <f>IFERROR(__xludf.DUMMYFUNCTION("GOOGLETRANSLATE(B652)"),"Reverso | Free translation, dictionary")</f>
        <v>Reverso | Free translation, dictionary</v>
      </c>
      <c r="L652" s="5" t="str">
        <f>IFERROR(__xludf.DUMMYFUNCTION("GOOGLETRANSLATE(C652)"),"Free online translator Reverso transfers your texts from English to French, Spanish, Italian, German, Russian, Portuguese, Hebrew, ...")</f>
        <v>Free online translator Reverso transfers your texts from English to French, Spanish, Italian, German, Russian, Portuguese, Hebrew, ...</v>
      </c>
      <c r="M652" s="5" t="str">
        <f>IFERROR(__xludf.DUMMYFUNCTION("GOOGLETRANSLATE(G652)"),"#VALUE!")</f>
        <v>#VALUE!</v>
      </c>
    </row>
    <row r="653">
      <c r="A653" s="1" t="s">
        <v>2180</v>
      </c>
      <c r="B653" s="1" t="s">
        <v>2120</v>
      </c>
      <c r="C653" s="1" t="s">
        <v>2184</v>
      </c>
      <c r="D653" s="1">
        <v>5.0</v>
      </c>
      <c r="E653" s="4" t="s">
        <v>2185</v>
      </c>
      <c r="F653" s="1" t="s">
        <v>16</v>
      </c>
      <c r="G653" s="1" t="s">
        <v>2123</v>
      </c>
      <c r="H653" s="4" t="s">
        <v>2124</v>
      </c>
      <c r="I653" s="2">
        <v>0.0</v>
      </c>
      <c r="J653" s="5" t="str">
        <f>IFERROR(__xludf.DUMMYFUNCTION("GOOGLETRANSLATE(A653)"),"translator")</f>
        <v>translator</v>
      </c>
      <c r="K653" s="6" t="str">
        <f>IFERROR(__xludf.DUMMYFUNCTION("GOOGLETRANSLATE(B653)"),"Deepl Translate - the most accurate translator in the world")</f>
        <v>Deepl Translate - the most accurate translator in the world</v>
      </c>
      <c r="L653" s="5" t="str">
        <f>IFERROR(__xludf.DUMMYFUNCTION("GOOGLETRANSLATE(C653)"),"Indeed, a number of tests showed that Deepl translator copes with the translations of the Netherlands-English pair is much better than the Google translator.")</f>
        <v>Indeed, a number of tests showed that Deepl translator copes with the translations of the Netherlands-English pair is much better than the Google translator.</v>
      </c>
      <c r="M653" s="5" t="str">
        <f>IFERROR(__xludf.DUMMYFUNCTION("GOOGLETRANSLATE(G653)"),"DeepL Translate: The world's most accurate translatorMillions translate with DeepL every day. Popular: Spanish to English French to English and Japanese to English.Translation modesTranslate text31 languagesTranslate files.pdf .docx .pptxDeepL WriteAI-pow"&amp;"ered editsTranslate textSelect source language. Currently selected:Detect languageSelect target language. Currently selected:English (US)Source textType to translate.Drag and drop to translate PDF Word (.docx) and PowerPoint (.pptx) files with our documen"&amp;"t translator.Translation resultsDictionaryThe dictionary is unavailable for this language pair.Perfect your writing with DeepL WritebetaFix grammar and punctuation mistakes rephrase sentences express nuances and find your perfect tone of voice.Start writi"&amp;"ngUnlock DeepL’s full potential – Try DeepL Pro for freeTry Pro for 30 days freeYou are using the free version of DeepLTranslate up to 3000 charactersTranslate 3 locked documents/month10 glossary entriesUnlock DeepL Pro featuresMaximum data securityUnlimi"&amp;"ted text translationTranslate and edit more documentsSee more featuresDeepL in the PressTech giants Google Microsoft and Facebook are all applying the lessons of machine learning to translation but a small company called DeepL has outdone them all and rai"&amp;"sed the bar for the field.&lt;br&gt;Its translation tool is just as quick as the outsized competition but more accurate and nuanced than any we’ve tried.Tech giants Google Microsoft and Facebook are all applying the lessons of machine learning to translation bu"&amp;"t a small company called DeepL has outdone them all and raised the bar for the field.Its translation tool is just as quick as the outsized competition but more accurate and nuanced than any we’ve tried.TechCrunchUSADeepL has also outperformed other servic"&amp;"es thanks to more ""French-sounding"" expressions.DeepL has also outperformed other services thanks to more ""French-sounding"" expressions.Le MondeFranceEven though the translations from English by Google and Microsoft are quite good DeepL still surpasse"&amp;"s them. We have translated a report from a French daily newspaper - the DeepL result was perfect.Even though the translations from English by Google and Microsoft are quite good DeepL still surpasses them. We have translated a report from a French daily n"&amp;"ewspaper - the DeepL result was perfect.Golem.deGermanyA quick test carried out for the combination English-Italian and vice versa even without any statistical pretensions allowed us to confirm that the quality of the translation is really good. Especiall"&amp;"y from Italian into English.A quick test carried out for the combination English-Italian and vice versa even without any statistical pretensions allowed us to confirm that the quality of the translation is really good. Especially from Italian into English"&amp;".La StampaItalyThe system recognizes the language quickly and automatically converting the words into the language you want and trying to add the particular linguistic nuances and expressions.The system recognizes the language quickly and automatically co"&amp;"nverting the words into the language you want and trying to add the particular linguistic nuances and expressions.ABCSpainIndeed a few tests show that DeepL Translator offers better translations than Google Translate when it comes to Dutch to English and "&amp;"vice versa.Indeed a few tests show that DeepL Translator offers better translations than Google Translate when it comes to Dutch to English and vice versa.RTL ZNetherlandsIn the first test - from English into Italian - it proved to be very accurate especi"&amp;"ally good at grasping the meaning of the sentence rather than being derailed by a literal translation.In the first test - from English into Italian - it proved to be very accurate especially good at grasping the meaning of the sentence rather than being d"&amp;"erailed by a literal translation.la RepubblicaItalyPersonally I'm very impressed by what DeepL is able to do and yes I think it's really great that this new stage in the evolution of machine translation was not achieved with software from Facebook Microso"&amp;"ft Apple or Google but by a German company. We like to make ourselves a little bit small and pretend that there is no one in this country who can stand up to the big players. DeepL is a good example that it is possible.Personally I'm very impressed by wha"&amp;"t DeepL is able to do and yes I think it's really great that this new stage in the evolution of machine translation was not achieved with software from Facebook Microsoft Apple or Google but by a German company. We like to make ourselves a little bit smal"&amp;"l and pretend that there is no one in this country who can stand up to the big players. DeepL is a good example that it is possible.Mobile GeeksGermanyDeepL from Germany could surpass Google Translate&lt;br&gt;WIRED's quick test shows that DeepL's results are i"&amp;"ndeed in no way inferior to those of the high-ranking competitors and in many cases even surpass them. The translated texts often read much more fluently; where Google Translate forms completely meaningless word chains DeepL can at least guess a connectio"&amp;"n.DeepL from Germany could surpass Google TranslateWIRED's quick test shows that DeepL's results are indeed in no way inferior to those of the high-ranking competitors and in many cases even surpass them. The translated texts often read much more fluently"&amp;"; where Google Translate forms completely meaningless word chains DeepL can at least guess a connection.WIRED.deGermanyDeepL an online translator that outperforms Google Microsoft and FacebookDeepL an online translator that outperforms Google Microsoft an"&amp;"d Facebookwwwhat's newLatin AmericaTech giants Google Microsoft and Facebook are all applying the lessons of machine learning to translation but a small company called DeepL has outdone them all and raised the bar for the field.&lt;br&gt;Its translation tool is"&amp;" just as quick as the outsized competition but more accurate and nuanced than any we’ve tried.DeepL has also outperformed other services thanks to more ""French-sounding"" expressions.Even though the translations from English by Google and Microsoft are q"&amp;"uite good DeepL still surpasses them. We have translated a report from a French daily newspaper - the DeepL result was perfect.A quick test carried out for the combination English-Italian and vice versa even without any statistical pretensions allowed us "&amp;"to confirm that the quality of the translation is really good. Especially from Italian into English.The system recognizes the language quickly and automatically converting the words into the language you want and trying to add the particular linguistic nu"&amp;"ances and expressions.Indeed a few tests show that DeepL Translator offers better translations than Google Translate when it comes to Dutch to English and vice versa.In the first test - from English into Italian - it proved to be very accurate especially "&amp;"good at grasping the meaning of the sentence rather than being derailed by a literal translation.Personally I'm very impressed by what DeepL is able to do and yes I think it's really great that this new stage in the evolution of machine translation was no"&amp;"t achieved with software from Facebook Microsoft Apple or Google but by a German company. We like to make ourselves a little bit small and pretend that there is no one in this country who can stand up to the big players. DeepL is a good example that it is"&amp;" possible.DeepL from Germany could surpass Google Translate&lt;br&gt;WIRED's quick test shows that DeepL's results are indeed in no way inferior to those of the high-ranking competitors and in many cases even surpass them. The translated texts often read much m"&amp;"ore fluently; where Google Translate forms completely meaningless word chains DeepL can at least guess a connection.DeepL an online translator that outperforms Google Microsoft and FacebookDeepL is hiring! Join us in breaking down language barriersSee ope"&amp;"n jobsMillions translate with DeepL every day.Popular:  English to Chinese English to French and Chinese to English.Other languages:BulgarianCzechDanishGermanGreekSpanishEstonianFinnishFrenchHungarianIndonesianItalianJapaneseKoreanLithuanianLatvianNorwegi"&amp;"anDutchPolishPortugueseRomanianRussianSlovakSlovenianSwedishTurkishUkrainianChineseLanguageEnglishDeutschEnglishEspañol日本語FrançaisItaliano한국어NederlandsPolskiPortuguês (Brasil)PortuguêsРусский简体中文ČeštinaSvenskaTürkçeBahasa IndonesiaУкраїнськаResourcesHelp "&amp;"CenterBlogAPI documentationAccessibilityData securityPrivacy policyTerms &amp; ConditionsProductFree translatorFeaturesDeepL ProTranslation APIDeepL WriteDownloadDeepL for AndroidDeepL for ChromeOSDeepL for iPhoneDeepL for iPadDeepL for MacDeepL for WindowsDe"&amp;"epL Chrome extensionDeepL Edge extensionCompanyContact SalesPressCareersPublisher")</f>
        <v>DeepL Translate: The world's most accurate translatorMillions translate with DeepL every day. Popular: Spanish to English French to English and Japanese to English.Translation modesTranslate text31 languagesTranslate files.pdf .docx .pptxDeepL WriteAI-powered editsTranslate textSelect source language. Currently selected:Detect languageSelect target language. Currently selected:English (US)Source textType to translate.Drag and drop to translate PDF Word (.docx) and PowerPoint (.pptx) files with our document translator.Translation resultsDictionaryThe dictionary is unavailable for this language pair.Perfect your writing with DeepL WritebetaFix grammar and punctuation mistakes rephrase sentences express nuances and find your perfect tone of voice.Start writingUnlock DeepL’s full potential – Try DeepL Pro for freeTry Pro for 30 days freeYou are using the free version of DeepLTranslate up to 3000 charactersTranslate 3 locked documents/month10 glossary entriesUnlock DeepL Pro featuresMaximum data securityUnlimited text translationTranslate and edit more documentsSee more featuresDeepL in the PressTech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tried.Tech giants Google Microsoft and Facebook are all applying the lessons of machine learning to translation but a small company called DeepL has outdone them all and raised the bar for the field.Its translation tool is just as quick as the outsized competition but more accurate and nuanced than any we’ve tried.TechCrunchUSADeepL has also outperformed other services thanks to more "French-sounding" expressions.DeepL has also outperformed other services thanks to more "French-sounding" expressions.Le MondeFranceEven though the translations from English by Google and Microsoft are quite good DeepL still surpasses them. We have translated a report from a French daily newspaper - the DeepL result was perfect.Even though the translations from English by Google and Microsoft are quite good DeepL still surpasses them. We have translated a report from a French daily newspaper - the DeepL result was perfect.Golem.deGermanyA quick test carried out for the combination English-Italian and vice versa even without any statistical pretensions allowed us to confirm that the quality of the translation is really good. Especially from Italian into English.A quick test carried out for the combination English-Italian and vice versa even without any statistical pretensions allowed us to confirm that the quality of the translation is really good. Especially from Italian into English.La StampaItalyThe system recognizes the language quickly and automatically converting the words into the language you want and trying to add the particular linguistic nuances and expressions.The system recognizes the language quickly and automatically converting the words into the language you want and trying to add the particular linguistic nuances and expressions.ABCSpainIndeed a few tests show that DeepL Translator offers better translations than Google Translate when it comes to Dutch to English and vice versa.Indeed a few tests show that DeepL Translator offers better translations than Google Translate when it comes to Dutch to English and vice versa.RTL ZNetherlandsIn the first test - from English into Italian - it proved to be very accurate especially good at grasping the meaning of the sentence rather than being derailed by a literal translation.In the first test - from English into Italian - it proved to be very accurate especially good at grasping the meaning of the sentence rather than being derailed by a literal translation.la RepubblicaItalyPersonally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possible.Mobile GeeksGermanyDeepL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from Germany could surpass Google TranslateWIRED's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connection.WIRED.deGermanyDeepL an online translator that outperforms Google Microsoft and FacebookDeepL an online translator that outperforms Google Microsoft and Facebookwwwhat's newLatin AmericaTech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tried.DeepL has also outperformed other services thanks to more "French-sounding" expressions.Even though the translations from English by Google and Microsoft are quite good DeepL still surpasses them. We have translated a report from a French daily newspaper - the DeepL result was perfect.A quick test carried out for the combination English-Italian and vice versa even without any statistical pretensions allowed us to confirm that the quality of the translation is really good. Especially from Italian into English.The system recognizes the language quickly and automatically converting the words into the language you want and trying to add the particular linguistic nuances and expressions.Indeed a few tests show that DeepL Translator offers better translations than Google Translate when it comes to Dutch to English and vice versa.In the first test - from English into Italian - it proved to be very accurate especially good at grasping the meaning of the sentence rather than being derailed by a literal translation.Personally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an online translator that outperforms Google Microsoft and FacebookDeepL is hiring! Join us in breaking down language barriersSee open jobsMillions translate with DeepL every day.Popular:  English to Chinese English to French and Chinese to English.Other languages:BulgarianCzechDanishGermanGreekSpanishEstonianFinnishFrenchHungarianIndonesianItalianJapaneseKoreanLithuanianLatvianNorwegianDutchPolishPortugueseRomanianRussianSlovakSlovenianSwedishTurkishUkrainianChineseLanguageEnglishDeutschEnglishEspañol日本語FrançaisItaliano한국어NederlandsPolskiPortuguês (Brasil)PortuguêsРусский简体中文ČeštinaSvenskaTürkçeBahasa IndonesiaУкраїнськаResourcesHelp CenterBlogAPI documentationAccessibilityData securityPrivacy policyTerms &amp; ConditionsProductFree translatorFeaturesDeepL ProTranslation APIDeepL WriteDownloadDeepL for AndroidDeepL for ChromeOSDeepL for iPhoneDeepL for iPadDeepL for MacDeepL for WindowsDeepL Chrome extensionDeepL Edge extensionCompanyContact SalesPressCareersPublisher</v>
      </c>
    </row>
    <row r="654">
      <c r="A654" s="1" t="s">
        <v>2180</v>
      </c>
      <c r="B654" s="1" t="s">
        <v>2186</v>
      </c>
      <c r="D654" s="1">
        <v>6.0</v>
      </c>
      <c r="E654" s="4" t="s">
        <v>2187</v>
      </c>
      <c r="F654" s="1" t="s">
        <v>16</v>
      </c>
      <c r="G654" s="1" t="s">
        <v>120</v>
      </c>
      <c r="H654" s="4" t="s">
        <v>121</v>
      </c>
      <c r="I654" s="2">
        <v>2.0</v>
      </c>
      <c r="J654" s="5" t="str">
        <f>IFERROR(__xludf.DUMMYFUNCTION("GOOGLETRANSLATE(A654)"),"translator")</f>
        <v>translator</v>
      </c>
      <c r="K654" s="6" t="str">
        <f>IFERROR(__xludf.DUMMYFUNCTION("GOOGLETRANSLATE(B654)"),"Applications in Google Play - Yandex Translator")</f>
        <v>Applications in Google Play - Yandex Translator</v>
      </c>
      <c r="L654" s="5" t="str">
        <f>IFERROR(__xludf.DUMMYFUNCTION("GOOGLETRANSLATE(C654)"),"#VALUE!")</f>
        <v>#VALUE!</v>
      </c>
      <c r="M654" s="5" t="str">
        <f>IFERROR(__xludf.DUMMYFUNCTION("GOOGLETRANSLATE(G654)"),"Android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655">
      <c r="A655" s="1" t="s">
        <v>2180</v>
      </c>
      <c r="B655" s="1" t="s">
        <v>2188</v>
      </c>
      <c r="C655" s="1" t="s">
        <v>2189</v>
      </c>
      <c r="D655" s="1">
        <v>7.0</v>
      </c>
      <c r="E655" s="4" t="s">
        <v>2190</v>
      </c>
      <c r="F655" s="1" t="s">
        <v>16</v>
      </c>
      <c r="G655" s="1" t="s">
        <v>31</v>
      </c>
      <c r="H655" s="4" t="s">
        <v>32</v>
      </c>
      <c r="I655" s="2">
        <v>3.0</v>
      </c>
      <c r="J655" s="5" t="str">
        <f>IFERROR(__xludf.DUMMYFUNCTION("GOOGLETRANSLATE(A655)"),"translator")</f>
        <v>translator</v>
      </c>
      <c r="K655" s="6" t="str">
        <f>IFERROR(__xludf.DUMMYFUNCTION("GOOGLETRANSLATE(B655)"),"Translator")</f>
        <v>Translator</v>
      </c>
      <c r="L655" s="5" t="str">
        <f>IFERROR(__xludf.DUMMYFUNCTION("GOOGLETRANSLATE(C655)"),"Steel is a specialist engaged in translation, that is, the creation of a written or oral text in a certain language (called the language of translation), ...")</f>
        <v>Steel is a specialist engaged in translation, that is, the creation of a written or oral text in a certain language (called the language of translation), ...</v>
      </c>
      <c r="M655" s="5" t="str">
        <f>IFERROR(__xludf.DUMMYFUNCTION("GOOGLETRANSLATE(G655)"),"Wikipedia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656">
      <c r="A656" s="1" t="s">
        <v>2180</v>
      </c>
      <c r="B656" s="1" t="s">
        <v>2176</v>
      </c>
      <c r="C656" s="1" t="s">
        <v>307</v>
      </c>
      <c r="D656" s="1">
        <v>8.0</v>
      </c>
      <c r="E656" s="4" t="s">
        <v>2177</v>
      </c>
      <c r="F656" s="1" t="s">
        <v>16</v>
      </c>
      <c r="G656" s="1" t="s">
        <v>2178</v>
      </c>
      <c r="H656" s="4" t="s">
        <v>2179</v>
      </c>
      <c r="I656" s="2">
        <v>1.0</v>
      </c>
      <c r="J656" s="5" t="str">
        <f>IFERROR(__xludf.DUMMYFUNCTION("GOOGLETRANSLATE(A656)"),"translator")</f>
        <v>translator</v>
      </c>
      <c r="K656" s="6" t="str">
        <f>IFERROR(__xludf.DUMMYFUNCTION("GOOGLETRANSLATE(B656)"),"Cambridge translator | English Russian")</f>
        <v>Cambridge translator | English Russian</v>
      </c>
      <c r="L656" s="5" t="str">
        <f>IFERROR(__xludf.DUMMYFUNCTION("GOOGLETRANSLATE(C656)"),"5 days ago -")</f>
        <v>5 days ago -</v>
      </c>
      <c r="M656" s="5" t="str">
        <f>IFERROR(__xludf.DUMMYFUNCTION("GOOGLETRANSLATE(G656)"),"Cambridge Dictionary | English Dictionary Translations &amp; Thesaurus   DictionaryTranslateGrammarThesaurus+PlusCambridge Dictionary +PlusCambridge Dictionary +PlusMy profile+Plus helpLog outCambridge Dictionary +PlusMy profile+Plus helpLog outLog in / Sign "&amp;"upEnglish (UK)Make your words meaningful                                                            English                                                Explore the Cambridge DictionaryEnglish dictionariesEnglishLearner’s DictionaryEssential British Eng"&amp;"lishEssential American EnglishGrammarThesaurusPronunciationTranslation dictionaries                                    Click on the arrows to change the translation direction.                                English–Chinese (Simplified)Chinese (Simplified)"&amp;"–EnglishEnglish–Chinese (Traditional)Chinese (Traditional)–EnglishEnglish–DutchDutch–EnglishEnglish–FrenchFrench–EnglishEnglish–GermanGerman–EnglishSee moreSee lessEnglish–IndonesianIndonesian–EnglishEnglish–ItalianItalian–EnglishEnglish–JapaneseJapanese–"&amp;"EnglishEnglish–NorwegianNorwegian–EnglishEnglish–PolishPolish–EnglishEnglish–PortuguesePortuguese–EnglishEnglish–SpanishSpanish–EnglishEnglish–ArabicEnglish–BengaliEnglish–CatalanEnglish–CzechEnglish–DanishEnglish–HindiEnglish–KoreanEnglish–MalayEnglish–M"&amp;"arathiEnglish–RussianEnglish–TamilEnglish–TeluguEnglish–ThaiEnglish–TurkishEnglish–UkrainianEnglish–UrduEnglish–VietnameseWord ScrambleChallenge yourself with word games from Cambridge Dictionary.Read the definition. Can you beat the clock and spell the w"&amp;"ord?                Play            BlogReunions and housewarmings (Words for different parties)November 08 2023                Read More            Word of the Daypoker-facedUKYour browser doesn't support HTML5 audio/ˈpəʊ.kəˌfeɪst/USYour browser doesn't "&amp;"support HTML5 audio/ˈpoʊ.kɚˌfeɪst/not showing what you are thinking or feeling in your faceAbout thisNew WordsSeptember SurgeNovember 06 2023            More new words                            Browse the English Dictionary                        0-9abcd"&amp;"efghijklmnopqrstuvwxyzOr browse the Cambridge Dictionary indexCambridgeDictionary +PlusFree word lists and quizzes to create download and share!Go to + Plus                or                Log inYou’re logged in. Start creating a word list or do a quiz!G"&amp;"o to + PlusGo to word lists © Cambridge University Press &amp; Assessment 2023                         Learn                        LearnLearnNew WordsHelpIn PrintWord of the Year 2021Word of the Year 2022                        Develop                       "&amp;" DevelopDevelopDictionary APIDouble-Click LookupSearch WidgetsLicense Data                        About                        AboutAboutAccessibilityCambridge EnglishCambridge University Press &amp; AssessmentConsent ManagementCookies and PrivacyCorpusTerms "&amp;"of Use© Cambridge University Press &amp; Assessment 2023 Cambridge Dictionary +PlusMy profile+Plus helpLog out                        Dictionary                        DefinitionsClear explanations of natural written and spoken EnglishEnglishLearner’s Diction"&amp;"aryEssential British EnglishEssential American EnglishTranslations                                    Click on the arrows to change the translation direction.                                                                    Bilingual Dictionaries       "&amp;"                         English–Chinese (Simplified)Chinese (Simplified)–EnglishEnglish–Chinese (Traditional)Chinese (Traditional)–EnglishEnglish–DutchDutch–EnglishEnglish–FrenchFrench–EnglishEnglish–GermanGerman–EnglishEnglish–IndonesianIndonesian–Engli"&amp;"shEnglish–ItalianItalian–EnglishEnglish–JapaneseJapanese–EnglishEnglish–NorwegianNorwegian–EnglishEnglish–PolishPolish–EnglishEnglish–PortuguesePortuguese–EnglishEnglish–SpanishSpanish–EnglishSemi-bilingual DictionariesEnglish–Arabic                      "&amp;"              English–Bengali                                    English–Catalan                                    English–Czech                                    English–Danish                                    English–Hindi                           "&amp;"         English–Korean                                    English–Malay                                    English–Marathi                                    English–Russian                                    English–Tamil                                "&amp;"    English–Telugu                                    English–Thai                                    English–Turkish                                    English–Ukrainian                                    English–Urdu                                    E"&amp;"nglish–Vietnamese                                    TranslateGrammarThesaurusPronunciationCambridge Dictionary +PlusCambridge Dictionary +PlusMy profile+Plus helpLog out Log in                     /                     Sign upEnglish (UK)  ChangeEnglish "&amp;"(UK)English (US)EspañolEspañol (Latinoamérica)РусскийPortuguêsDeutschFrançaisItaliano中文 (简体)正體中文 (繁體)Polski한국어Türkçe日本語Tiếng ViệtNederlandsNorskहिंदीবাঙ্গালিमराठीதமிழ்తెలుగుFollow us                Choose a dictionary            Recent and RecommendedDefi"&amp;"nitions                            Clear explanations of natural written and spoken English                        EnglishLearner’s DictionaryEssential British EnglishEssential American EnglishGrammar and thesaurus                            Usage explana"&amp;"tions of natural written and spoken English                        GrammarThesaurusPronunciation                            British and American pronunciations with audio                        English PronunciationTranslation                             "&amp;"   Click on the arrows to change the translation direction.                            Bilingual DictionariesEnglish–Chinese (Simplified)Chinese (Simplified)–EnglishEnglish–Chinese (Traditional)Chinese (Traditional)–EnglishEnglish–DutchDutch–EnglishEnglis"&amp;"h–FrenchFrench–EnglishEnglish–GermanGerman–EnglishEnglish–IndonesianIndonesian–EnglishEnglish–ItalianItalian–EnglishEnglish–JapaneseJapanese–EnglishEnglish–NorwegianNorwegian–EnglishEnglish–PolishPolish–EnglishEnglish–PortuguesePortuguese–EnglishEnglish–S"&amp;"panishSpanish–EnglishSemi-bilingual DictionariesEnglish–ArabicEnglish–BengaliEnglish–CatalanEnglish–CzechEnglish–DanishEnglish–HindiEnglish–KoreanEnglish–MalayEnglish–MarathiEnglish–RussianEnglish–TamilEnglish–TeluguEnglish–ThaiEnglish–TurkishEnglish–Ukra"&amp;"inianEnglish–UrduEnglish–VietnameseDictionary +PlusWord Lists                Choose your language            English (UK)  English (US)EspañolEspañol (Latinoamérica)РусскийPortuguêsDeutschFrançaisItaliano中文 (简体)正體中文 (繁體)Polski한국어Türkçe日本語Tiếng ViệtNederla"&amp;"ndsNorskहिंदीবাঙ্গালিमराठीதமிழ்తెలుగు")</f>
        <v>Cambridge Dictionary | English Dictionary Translations &amp; Thesaurus   DictionaryTranslateGrammarThesaurus+PlusCambridge Dictionary +PlusCambridge Dictionary +PlusMy profile+Plus helpLog outCambridge Dictionary +PlusMy profile+Plus helpLog outLog in / Sign upEnglish (UK)Make your words meaningful                                                            English                                                Explore the Cambridge DictionaryEnglish dictionariesEnglishLearner’s DictionaryEssential British EnglishEssential American EnglishGrammarThesaurusPronunciationTranslation dictionaries                                    Click on the arrows to change the translation direction.                                English–Chinese (Simplified)Chinese (Simplified)–EnglishEnglish–Chinese (Traditional)Chinese (Traditional)–EnglishEnglish–DutchDutch–EnglishEnglish–FrenchFrench–EnglishEnglish–GermanGerman–EnglishSee moreSee lessEnglish–IndonesianIndonesian–EnglishEnglish–ItalianItalian–EnglishEnglish–JapaneseJapanese–EnglishEnglish–NorwegianNorwegian–EnglishEnglish–PolishPolish–EnglishEnglish–PortuguesePortuguese–EnglishEnglish–SpanishSpanish–EnglishEnglish–ArabicEnglish–BengaliEnglish–CatalanEnglish–CzechEnglish–DanishEnglish–HindiEnglish–KoreanEnglish–MalayEnglish–MarathiEnglish–RussianEnglish–TamilEnglish–TeluguEnglish–ThaiEnglish–TurkishEnglish–UkrainianEnglish–UrduEnglish–VietnameseWord ScrambleChallenge yourself with word games from Cambridge Dictionary.Read the definition. Can you beat the clock and spell the word?                Play            BlogReunions and housewarmings (Words for different parties)November 08 2023                Read More            Word of the Daypoker-facedUKYour browser doesn't support HTML5 audio/ˈpəʊ.kəˌfeɪst/USYour browser doesn't support HTML5 audio/ˈpoʊ.kɚˌfeɪst/not showing what you are thinking or feeling in your faceAbout thisNew WordsSeptember SurgeNovember 06 2023            More new words                            Browse the English Dictionary                        0-9abcdefghijklmnopqrstuvwxyzOr browse the Cambridge Dictionary indexCambridgeDictionary +PlusFree word lists and quizzes to create download and share!Go to + Plus                or                Log inYou’re logged in. Start creating a word list or do a quiz!Go to + PlusGo to word lists © Cambridge University Press &amp; Assessment 2023                         Learn                        LearnLearnNew WordsHelpIn PrintWord of the Year 2021Word of the Year 2022                        Develop                        DevelopDevelopDictionary APIDouble-Click LookupSearch WidgetsLicense Data                        About                        AboutAboutAccessibilityCambridge EnglishCambridge University Press &amp; AssessmentConsent ManagementCookies and PrivacyCorpusTerms of Use© Cambridge University Press &amp; Assessment 2023 Cambridge Dictionary +PlusMy profile+Plus helpLog out                        Dictionary                        DefinitionsClear explanations of natural written and spoken EnglishEnglishLearner’s DictionaryEssential British EnglishEssential American EnglishTranslations                                    Click on the arrows to change the translation direction.                                                                    Bilingual Dictionaries                                English–Chinese (Simplified)Chinese (Simplified)–EnglishEnglish–Chinese (Traditional)Chinese (Traditional)–EnglishEnglish–DutchDutch–EnglishEnglish–FrenchFrench–EnglishEnglish–GermanGerman–EnglishEnglish–IndonesianIndonesian–EnglishEnglish–ItalianItalian–EnglishEnglish–JapaneseJapanese–EnglishEnglish–NorwegianNorwegian–EnglishEnglish–PolishPolish–EnglishEnglish–PortuguesePortuguese–EnglishEnglish–SpanishSpanish–EnglishSemi-bilingual DictionariesEnglish–Arabic                                    English–Bengali                                    English–Catalan                                    English–Czech                                    English–Danish                                    English–Hindi                                    English–Korean                                    English–Malay                                    English–Marathi                                    English–Russian                                    English–Tamil                                    English–Telugu                                    English–Thai                                    English–Turkish                                    English–Ukrainian                                    English–Urdu                                    English–Vietnamese                                    TranslateGrammarThesaurusPronunciationCambridge Dictionary +PlusCambridge Dictionary +PlusMy profile+Plus helpLog out Log in                     /                     Sign upEnglish (UK)  ChangeEnglish (UK)English (US)EspañolEspañol (Latinoamérica)РусскийPortuguêsDeutschFrançaisItaliano中文 (简体)正體中文 (繁體)Polski한국어Türkçe日本語Tiếng ViệtNederlandsNorskहिंदीবাঙ্গালিमराठीதமிழ்తెలుగుFollow us                Choose a dictionary            Recent and RecommendedDefinitions                            Clear explanations of natural written and spoken English                        EnglishLearner’s DictionaryEssential British EnglishEssential American EnglishGrammar and thesaurus                            Usage explanations of natural written and spoken English                        GrammarThesaurusPronunciation                            British and American pronunciations with audio                        English PronunciationTranslation                                Click on the arrows to change the translation direction.                            Bilingual DictionariesEnglish–Chinese (Simplified)Chinese (Simplified)–EnglishEnglish–Chinese (Traditional)Chinese (Traditional)–EnglishEnglish–DutchDutch–EnglishEnglish–FrenchFrench–EnglishEnglish–GermanGerman–EnglishEnglish–IndonesianIndonesian–EnglishEnglish–ItalianItalian–EnglishEnglish–JapaneseJapanese–EnglishEnglish–NorwegianNorwegian–EnglishEnglish–PolishPolish–EnglishEnglish–PortuguesePortuguese–EnglishEnglish–SpanishSpanish–EnglishSemi-bilingual DictionariesEnglish–ArabicEnglish–BengaliEnglish–CatalanEnglish–CzechEnglish–DanishEnglish–HindiEnglish–KoreanEnglish–MalayEnglish–MarathiEnglish–RussianEnglish–TamilEnglish–TeluguEnglish–ThaiEnglish–TurkishEnglish–UkrainianEnglish–UrduEnglish–VietnameseDictionary +PlusWord Lists                Choose your language            English (UK)  English (US)EspañolEspañol (Latinoamérica)РусскийPortuguêsDeutschFrançaisItaliano中文 (简体)正體中文 (繁體)Polski한국어Türkçe日本語Tiếng ViệtNederlandsNorskहिंदीবাঙ্গালিमराठीதமிழ்తెలుగు</v>
      </c>
    </row>
    <row r="657">
      <c r="A657" s="1" t="s">
        <v>2180</v>
      </c>
      <c r="B657" s="1" t="s">
        <v>2130</v>
      </c>
      <c r="C657" s="1" t="s">
        <v>2131</v>
      </c>
      <c r="D657" s="1">
        <v>9.0</v>
      </c>
      <c r="E657" s="4" t="s">
        <v>2132</v>
      </c>
      <c r="F657" s="1" t="s">
        <v>16</v>
      </c>
      <c r="G657" s="1" t="s">
        <v>2133</v>
      </c>
      <c r="H657" s="4" t="s">
        <v>2134</v>
      </c>
      <c r="I657" s="2">
        <v>2.0</v>
      </c>
      <c r="J657" s="5" t="str">
        <f>IFERROR(__xludf.DUMMYFUNCTION("GOOGLETRANSLATE(A657)"),"translator")</f>
        <v>translator</v>
      </c>
      <c r="K657" s="6" t="str">
        <f>IFERROR(__xludf.DUMMYFUNCTION("GOOGLETRANSLATE(B657)"),"Promt.one Translator - Free online dictionary and ...")</f>
        <v>Promt.one Translator - Free online dictionary and ...</v>
      </c>
      <c r="L657" s="5" t="str">
        <f>IFERROR(__xludf.DUMMYFUNCTION("GOOGLETRANSLATE(C657)"),"Promt.one is a cloud application - a free online translator for translation from language on a language based on neural networks (Neural Machine Translation), Dictionary ...")</f>
        <v>Promt.one is a cloud application - a free online translator for translation from language on a language based on neural networks (Neural Machine Translation), Dictionary ...</v>
      </c>
      <c r="M657" s="5" t="str">
        <f>IFERROR(__xludf.DUMMYFUNCTION("GOOGLETRANSLATE(G657)"),"Promt.one Translator - Free online dictionary of texts Promt.one Translate.ru Translator online and dictionary of therapy content and declining Premium for free! Including the Help Link our blog translator online and Dictionary to determine the Languageiz"&amp;"er -English Greek Greek Iska -Kostyanskiyanskiysky Korean KiPortugal -Russian Tutar Tatar Tutaransky Uzbek -Building Ukrainian Franceusian Japanese 0/999999999999999abai -Brite -Greek Greek Icanese Ikatiskiysky Korekiykiynamo -Portuguese -Russian Tutar -T"&amp;"utar -Tutar -Tutecronsky Ukrainian Franceusian Francees Eyapo -ovapo -vene -vene. EN partially . You can translate no more than 999 characters at a time. Like or register for free on Promt.one and translate even more! &lt;&gt; Advertising examples of using word"&amp;"s in different contexts are provided exclusively for linguistic purposes, i.e., to study the use of words in one language and options for their translation into another. All samples are automatically assembled from open sources using the search technology"&amp;" based on bilingual data. If you find a spelling punctuation or other error in the original or translation, use the “Report the problem” option or write a navot -translator to Telegram to the transmission Master Nmt transfers to download the mobile applic"&amp;"ation PROMT.On the possibilities of the neural machine translated PROMT PROMT.ONE - this is a cloud application - this Free online translator for translation from language into neural networks (Neural Machine Translation) Dictionary with transcription phr"&amp;"asebooks and much more. Enjoy the correct and accurate translation into English German and another 20+ languages. Watch the translation of words and stable expressions transcription and pronunciation in the online clamp. Promt dictionaries for English Fre"&amp;"nch Russian Spanish Italian and Portuguese include millions of words and phrases the most modern conversational vocabulary that is constantly monitored and replenished by our linguists. Study the forms of the English verbs of the German verbs of the Spani"&amp;"sh verbs of the French verbs of the Portuguese verbs of the Italian verbs of Russian verbs and the case forms of nouns and adjectives in the conjugation and declension section. Learn the use of words and expressions in different contexts. Millions of real"&amp;" examples in the English German Spanish French will help you in learning foreign languages ​​and preparing homework. Translate anywhere and at any time using a free mobile translator Promt.one for iOS and Android. Try voice and photo transmission. Install"&amp;" language bags for offline transmission on mobile devices and a universal PROMT plugin Agent for Windows with a Premium subscription. To share the translation × is loading ... Direct link to the translation: × very sorry but now you can only translate 999"&amp;" characters at a time. Please enter or register to translate up to 5,000 characters at a time. enter / register on the service | Using conditions | Privacy Policy | Advertising with us | Help | Mobile version | RUSSIENGLISHDEUTSHFRANSAISESPASPAñolPortugUS"&amp;" © Promt LLC 2010 - 2023 Transportation English translation Russian translation German translation by Spanish translation Italian translation Azerbaijani translation by the Arabic translation of Kazakh translation of the Korean translation of the Tatar tr"&amp;"anslation by the Turkmen translation Estonian translation by Japanese capacity Text examples of consumption and huggish-paying applications PROMT.ONE for iOSPROMT.ONE for Androidpromt.one for huaweiibot translator in Telegram offerpremium subscriptions of"&amp;" the development of APP-Fest: the numbers and the results in the spring in the spring we took part in the project “Spring app -Fest ""which was conceived and implemented by the Association of Translation Teachers . The project is completed and here is its"&amp;" results. - To participate in the Olympiad “Language30.06.2023, you need to log in to the favorites to be authorized or register with COOKIE, we ensure the operation of our services. Using our site, you agree with our rules regarding these files. Read mor"&amp;"e")</f>
        <v>Promt.one Translator - Free online dictionary of texts Promt.one Translate.ru Translator online and dictionary of therapy content and declining Premium for free! Including the Help Link our blog translator online and Dictionary to determine the Languageizer -English Greek Greek Iska -Kostyanskiyanskiysky Korean KiPortugal -Russian Tutar Tatar Tutaransky Uzbek -Building Ukrainian Franceusian Japanese 0/999999999999999abai -Brite -Greek Greek Icanese Ikatiskiysky Korekiykiynamo -Portuguese -Russian Tutar -Tutar -Tutar -Tutecronsky Ukrainian Franceusian Francees Eyapo -ovapo -vene -vene. EN partially . You can translate no more than 999 characters at a time. Like or register for free on Promt.one and translate even more! &lt;&gt; Advertising examples of using words in different contexts are provided exclusively for linguistic purposes, i.e., to study the use of words in one language and options for their translation into another. All samples are automatically assembled from open sources using the search technology based on bilingual data. If you find a spelling punctuation or other error in the original or translation, use the “Report the problem” option or write a navot -translator to Telegram to the transmission Master Nmt transfers to download the mobile application PROMT.On the possibilities of the neural machine translated PROMT PROMT.ONE - this is a cloud application - this Free online translator for translation from language into neural networks (Neural Machine Translation) Dictionary with transcription phrasebooks and much more. Enjoy the correct and accurate translation into English German and another 20+ languages. Watch the translation of words and stable expressions transcription and pronunciation in the online clamp. Promt dictionaries for English French Russian Spanish Italian and Portuguese include millions of words and phrases the most modern conversational vocabulary that is constantly monitored and replenished by our linguists. Study the forms of the English verbs of the German verbs of the Spanish verbs of the French verbs of the Portuguese verbs of the Italian verbs of Russian verbs and the case forms of nouns and adjectives in the conjugation and declension section. Learn the use of words and expressions in different contexts. Millions of real examples in the English German Spanish French will help you in learning foreign languages ​​and preparing homework. Translate anywhere and at any time using a free mobile translator Promt.one for iOS and Android. Try voice and photo transmission. Install language bags for offline transmission on mobile devices and a universal PROMT plugin Agent for Windows with a Premium subscription. To share the translation × is loading ... Direct link to the translation: × very sorry but now you can only translate 999 characters at a time. Please enter or register to translate up to 5,000 characters at a time. enter / register on the service | Using conditions | Privacy Policy | Advertising with us | Help | Mobile version | RUSSIENGLISHDEUTSHFRANSAISESPASPAñolPortugUS © Promt LLC 2010 - 2023 Transportation English translation Russian translation German translation by Spanish translation Italian translation Azerbaijani translation by the Arabic translation of Kazakh translation of the Korean translation of the Tatar translation by the Turkmen translation Estonian translation by Japanese capacity Text examples of consumption and huggish-paying applications PROMT.ONE for iOSPROMT.ONE for Androidpromt.one for huaweiibot translator in Telegram offerpremium subscriptions of the development of APP-Fest: the numbers and the results in the spring in the spring we took part in the project “Spring app -Fest "which was conceived and implemented by the Association of Translation Teachers . The project is completed and here is its results. - To participate in the Olympiad “Language30.06.2023, you need to log in to the favorites to be authorized or register with COOKIE, we ensure the operation of our services. Using our site, you agree with our rules regarding these files. Read more</v>
      </c>
    </row>
    <row r="658">
      <c r="A658" s="1" t="s">
        <v>2180</v>
      </c>
      <c r="B658" s="1" t="s">
        <v>2191</v>
      </c>
      <c r="D658" s="1">
        <v>10.0</v>
      </c>
      <c r="E658" s="4" t="s">
        <v>2192</v>
      </c>
      <c r="F658" s="1" t="s">
        <v>16</v>
      </c>
      <c r="G658" s="1" t="s">
        <v>97</v>
      </c>
      <c r="H658" s="4" t="s">
        <v>98</v>
      </c>
      <c r="I658" s="2">
        <v>1.0</v>
      </c>
      <c r="J658" s="5" t="str">
        <f>IFERROR(__xludf.DUMMYFUNCTION("GOOGLETRANSLATE(A658)"),"translator")</f>
        <v>translator</v>
      </c>
      <c r="K658" s="6" t="str">
        <f>IFERROR(__xludf.DUMMYFUNCTION("GOOGLETRANSLATE(B658)"),"App Store: Yandex Translator - Apple")</f>
        <v>App Store: Yandex Translator - Apple</v>
      </c>
      <c r="L658" s="5" t="str">
        <f>IFERROR(__xludf.DUMMYFUNCTION("GOOGLETRANSLATE(C658)"),"#VALUE!")</f>
        <v>#VALUE!</v>
      </c>
      <c r="M658" s="5" t="str">
        <f>IFERROR(__xludf.DUMMYFUNCTION("GOOGLETRANSLATE(G658)"),"App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659">
      <c r="A659" s="1" t="s">
        <v>2180</v>
      </c>
      <c r="B659" s="1" t="s">
        <v>1084</v>
      </c>
      <c r="C659" s="1" t="s">
        <v>2193</v>
      </c>
      <c r="D659" s="1">
        <v>11.0</v>
      </c>
      <c r="E659" s="4" t="s">
        <v>2194</v>
      </c>
      <c r="F659" s="1" t="s">
        <v>16</v>
      </c>
      <c r="G659" s="1" t="s">
        <v>309</v>
      </c>
      <c r="H659" s="4" t="s">
        <v>310</v>
      </c>
      <c r="I659" s="2">
        <v>3.0</v>
      </c>
      <c r="J659" s="5" t="str">
        <f>IFERROR(__xludf.DUMMYFUNCTION("GOOGLETRANSLATE(A659)"),"translator")</f>
        <v>translator</v>
      </c>
      <c r="K659" s="6" t="str">
        <f>IFERROR(__xludf.DUMMYFUNCTION("GOOGLETRANSLATE(B659)"),"Google Translate")</f>
        <v>Google Translate</v>
      </c>
      <c r="L659" s="5" t="str">
        <f>IFERROR(__xludf.DUMMYFUNCTION("GOOGLETRANSLATE(C659)"),"22 Mar. 2023. -")</f>
        <v>22 Mar. 2023. -</v>
      </c>
      <c r="M659" s="5" t="str">
        <f>IFERROR(__xludf.DUMMYFUNCTION("GOOGLETRANSLATE(G659)"),"Google Chrome - The Fast &amp; Secure Web Browser Built to be Yours         Google uses cookies to deliver its services to personalize ads and to analyze traffic. You can adjust your privacy controls anytime in your  Google settings or read our cookie policy."&amp;"Ok got itMenuMenuicon chrome logoJump to contentHomeThe Browser by GoogleFeatures              icon-expand-featuresOverviewGoogle address barPassword checkSyncDark modeTabsArticles for youExtensionsSafety              icon-expand-featuresPrivacy on the we"&amp;"bSupport              icon-expand-featuresHelpful tips for ChromeSupport              Get ChromeDownload Chromeclose drawericon chrome logoHomeThe Browser by GoogleFeatures              icon-expand-featuresOverviewGoogle address barPassword checkSyncDark "&amp;"modeTabsArticles for youExtensionsSafety              icon-expand-featuresPrivacy on the webSupport              icon-expand-featuresHelpful tips for ChromeSupport              Get ChromeDownload ChromeFastSafeYoursBy GoogleDownload                    The"&amp;" browser  built to be                   f                  a                  s                  t                  s                  a                  f                  e                  y                  o                  u                  r     "&amp;"             sPause animationPlay animationGet ChromeDownload ChromeFor Windows 10 32-bit.I want to update ChromeFor Windows 11/10 64-bit.I want to update ChromeFor Windows XP/VistaThis device won’t receive updates because Google Chrome no longer supports"&amp;" your operating system.For Windows 8.1/8/7 32-bitThis device won’t receive updates because Google Chrome no longer supports your operating system.For Windows 8.1/8/7 64-bitThis device won’t receive updates because Google Chrome no longer supports your ope"&amp;"rating system.For macOS 10.15 or later.I want to update ChromeThis computer will no longer receive Google Chrome updates because macOS 10.6 - 10.12 are no longer supported.This computer will no longer receive Google Chrome updates because macOS 10.6 - 10."&amp;"12 are no longer supported.This computer will no longer receive Google Chrome updates because macOS 10.6 - 10.12 are no longer supported.This computer will no longer receive Google Chrome updates because macOS 10.6 - 10.12 are no longer supported.For macO"&amp;"S 10.13/10.14This device won’t receive updates because Google Chrome no longer supports your operating system.Debian/Ubuntu/Fedora/openSUSE.I want to update                 Chrome              I want to update ChromeLearn how to                 update    "&amp;"          I want to update ChromeSet Google Chrome as my default browserHelp make Google Chrome better by automatically sending usage statistics and crash reports to Google.                What are crash reports?Help make Google Chrome better by automatic"&amp;"ally sending usage statistics and crash reports to Google.                What are crash reports?Help make Google Chrome better by automatically sending usage statistics and crash reports to Google.                What are crash reports?Help make Google C"&amp;"hrome better by automatically sending usage statistics and crash reports to Google.                What are crash reports?Set Google Chrome as my default browserHelp make Google Chrome better by automatically sending usage statistics and crash reports to "&amp;"Google.                What are crash reports?Help make Google Chrome better by automatically sending usage statistics and crash reports to Google.                What are crash reports?Help make Google Chrome better by automatically sending usage statist"&amp;"ics and crash reports to Google.                What are crash reports?Help make Google Chrome better by automatically sending usage statistics and crash reports to Google.                What are crash reports?Set Google Chrome as my default browserHelp "&amp;"make Google Chrome better by automatically sending usage statistics and crash reports to Google.                What are crash reports?Set Google Chrome as my default browserHelp make Google Chrome better by automatically sending usage statistics and cras"&amp;"h reports to Google.                What are crash reports?Set Google Chrome as my default browserHelp make Google Chrome better by automatically sending usage statistics and crash reports to Google.                What are crash reports?By downloading Ch"&amp;"rome you agree to the Google Terms of Service and Chrome and ChromeOS Additional Terms of ServiceBy downloading Chrome you agree to the Google Terms of Service and Chrome and ChromeOS Additional Terms of ServiceBy downloading Chrome you agree to the Googl"&amp;"e Terms of Service and Chrome and ChromeOS Additional Terms of ServiceBy downloading Chrome you agree to the Google Terms of Service and Chrome and ChromeOS Additional Terms of ServiceBy downloading Chrome you agree to the Google Terms of Service and Chro"&amp;"me and ChromeOS Additional Terms of ServiceBy downloading Chrome you agree to the Google Terms of Service and Chrome and ChromeOS Additional Terms of ServiceBy downloading Chrome you agree to the Google Terms of Service and Chrome and ChromeOS Additional "&amp;"Terms of ServiceBy downloading Chrome you agree to the Google Terms of Service and Chrome and ChromeOS Additional Terms of ServiceBy downloading Chrome you agree to the Google Terms of Service and Chrome and ChromeOS Additional Terms of ServiceBy download"&amp;"ing Chrome you agree to the Google Terms of Service and Chrome and ChromeOS Additional Terms of ServiceBy downloading Chrome you agree to the Google Terms of Service and Chrome and ChromeOS Additional Terms of ServiceBy downloading Chrome you agree to the"&amp;" Google Terms of Service and Chrome and ChromeOS Additional Terms of ServiceBy downloading Chrome you agree to the Google Terms of Service and Chrome and ChromeOS Additional Terms of ServiceBy downloading Chrome you agree to the Google Terms of Service an"&amp;"d Chrome and ChromeOS Additional Terms of ServiceBy downloading Chrome you agree to the Google Terms of Service and Chrome and ChromeOS Additional Terms of ServiceBy downloading Chrome you agree to the Google Terms of Service and Chrome and ChromeOS Addit"&amp;"ional Terms of ServiceBy downloading Chrome you agree to the Google Terms of Service and Chrome and ChromeOS Additional Terms of ServiceBy downloading Chrome you agree to the Google Terms of Service and Chrome and ChromeOS Additional Terms of ServiceBy do"&amp;"wnloading Chrome you agree to the Google Terms of Service and Chrome and ChromeOS Additional Terms of ServiceBy downloading Chrome you agree to the Google Terms of Service and Chrome and ChromeOS Additional Terms of ServiceScroll for                 more "&amp;"                   The             f            a            s            t   way to do things online          Prioritize performance              Chrome is built for performance. Optimize your experience with features like Energy Saver and Memory Saver. "&amp;"     Stay on top of tabs              Chrome has tools to help you manage the tabs you’re not quite ready to close. Group label and color code your tabs to stay organized and work faster.      Optimized for your device              Chrome is built to work"&amp;" with your device across platforms. That means a smooth experience on whatever you’re working with.      Scan for the  Chrome app          Automatic updates              There’s a new Chrome update every four weeks making it easy to have the newest featur"&amp;"es and a faster safer browser.      Prioritize performance              Chrome is built for performance. Optimize your experience with features like Energy Saver and Memory Saver.      Stay on top of tabs              Chrome has tools to help you manage t"&amp;"he tabs you’re not quite ready to close. Group label and color code your tabs to stay organized and work faster.      Optimized for your device              Chrome is built to work with your device across platforms. That means a smooth experience on whate"&amp;"ver you’re working with.      Scan for the  Chrome app          Automatic updates              There’s a new Chrome update every four weeks making it easy to have the newest features and a faster safer browser.       Stay             s            a       "&amp;"     f            e   while you browse          Stay             s            a            f            ewhile you browse          PASSWORD MANAGER          Use strong passwords on every site.              Chrome has Google Password Manager built in which"&amp;" makes it simple to save manage and protect your passwords online. It also helps you create stronger passwords for every account you use.      ENHANCED SAFE BROWSING          Browse with the confidence that you're staying safer online.              Chrome"&amp;"'s Safe Browsing warns you about malware or phishing attacks. Turn on Enhanced Safe Browsing for even more safety protections.      SAFETY CHECK          Check your safety level in real time with just one click.              Chrome's Safety Check confirms"&amp;" the overall security and privacy of your browsing experience including your saved passwords extensions and settings. If something needs attention Chrome will help you fix it.      PRIVACY GUIDE          Keep your privacy under your control with easy-to-u"&amp;"se settings.              Chrome makes it easy to understand exactly what you’re sharing online and who you’re sharing it with. Simply use the Privacy Guide a step-by-step tour of your privacy settings.       Make it             y            o            "&amp;"u            r            s   and take it with you          Make it             y            o            u            r            s   and take it with you          Customize your Chrome    Personalize your web browser with themes dark mode and other opt"&amp;"ions built just for you.      Browse across devices    Sign in to Chrome on any device to access your bookmarks saved passwords and more.      Save time with autofill    Use Chrome to save addresses passwords and more to quickly autofill your details.    "&amp;"  Customize your Chrome    Personalize your web browser with themes dark mode and other options built just for you.      Browse across devices    Sign in to Chrome on any device to access your bookmarks saved passwords and more.      Save time with autofi"&amp;"ll    Use Chrome to save addresses passwords and more to quickly autofill your details.      Extend your experience              From shopping and entertainment to productivity find extensions to improve your experience in the Chrome Web Store.       The "&amp;"browser             b            u            i            l            tby Google      GOOGLE AI          Access AI superpowers while you browse.                  Google is integrating artificial intelligence to make our products more useful. We use AI f"&amp;"or features like Search Google Translate and more and we’re innovating new technologies responsibly.      Google Search          The search bar you love built right in.              Access a world of knowledge at your fingertips. Check the weather solve m"&amp;"ath equations and get instant search results all contained inside your browser’s address bar.      GOOGLE WORKSPACE          Get things done with or without Wi-Fi.          Get things done in Gmail Google Docs Google Slides Google Sheets Google Translate "&amp;"and Google Drive even without an internet connection.Frequently asked questionsHow do I install Chrome?To install Chrome simply download the installation file then look for it in your downloads folder. Open the file and follow the instructions. Once Chrom"&amp;"e is installed you can delete the install file. Learn more about downloading Chrome here.Does Chrome work on my operating system?Chrome is compatible with devices that run Windows and Mac operating systems provided they meet the minimum system requirement"&amp;"s. In order to install Chrome and receive adequate support you must meet the system requirements. Learn more about using Chrome on your device.How do I make Chrome my default browser?You can set Chrome as your default browser on Windows or Mac operating s"&amp;"ystems as well as your iPhone iPad or Android device. When you set Chrome as your default browser any link you click will automatically open in Chrome. Find specific instructions for your device here.What are Chrome's safety settings?Chrome uses cutting-e"&amp;"dge safety and security features to help you manage your safety. Use Safety Check to instantly audit for compromised passwords safe browsing status and any available Chrome updates. Learn more about safety and security on Chrome.      Take your browser wi"&amp;"th you    Download Chrome on your mobile device or tablet and sign into your account for the same browser experience everywhere.Get ChromeDownload Chrome      Scan for the  Chrome app     Follow usYoutubeTwitterFacebook              Chrome FamilyOther Pla"&amp;"tformsChromebooks              Chromecast                            EnterpriseDownload Chrome                 Browser              Chrome Browser for                 Enterprise              Chrome                 Devices              ChromeOS            "&amp;"  Google                 Cloud              Google                 Workspace                            EducationGoogle Chrome                 Browser              Devices              Web                 Store                            Dev and PartnersC"&amp;"hromium              ChromeOS              Chrome Web                 Store              Chrome                 Experiments              Chrome BetaChrome DevChrome Canary              Stay ConnectedGoogle Chrome                 Blog              Update C"&amp;"hromeChrome                 Help              Chrome TipsGooglePrivacy and TermsAbout GoogleGoogle ProductsHelpHelpChange language or regionCatalà - EspanyaDansk - DanmarkDeutsch - DeutschlandEesti - EestiEnglish - AustraliaEnglish - CanadaEnglish - Unite"&amp;"d KingdomEnglish - Hong Kong SAR ChinaEnglish - IrelandEnglish - IndiaEnglish - PhilippinesEnglish - PakistanEnglish - SingaporeEnglish - United StatesEspañol - LatinoaméricaEspañol - EspañaEspañol - Estados UnidosFilipino - PilipinasFrançais - CanadaFran"&amp;"çais - FranceHrvatski - HrvatskaIndonesia - IndonesiaItaliano - ItaliaLatviešu - LatvijaLietuvių - LietuvaMagyar - MagyarországMelayu - MalaysiaNederlands - NederlandNorsk Bokmål - NorgePolski - PolskaPortuguês - PortugalPortuguês - BrasilRomână - România"&amp;"Slovenčina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السعوديةف"&amp;"ارسیहिन्दी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syst"&amp;"em.For Windows 8.1/8/7 32-bitThis device won’t receive updates because Google Chrome no longer supports your operating system.For Windows 8.1/8/7 64-bitThis device won’t receive updates because Google Chrome no longer supports your operating system.Get Ch"&amp;"rome for MacFor macOS 10.15 or later.This computer will no longer receive Google Chrome updates because macOS 10.6 - 10.12 are no longer supported.This computer will no longer receive Google Chrome updates because macOS 10.6 - 10.12 are no longer supporte"&amp;"d.This computer will no longer receive Google Chrome updates because macOS 10.6 - 10.12 are no longer supported.This computer will no longer receive Google Chrome updates because macOS 10.6 - 10.12 are no longer supported.For macOS 10.13/10.14This device "&amp;"won’t receive updates because Google Chrome no longer supports your operating system.Get Chrome for LinuxDebian/Ubuntu/Fedora/openSUSE.Please select your download package:64 bit .deb (For Debian/Ubuntu)64 bit .rpm (For Fedora/openSUSE)Not Debian/Ubuntu or"&amp;" Fedora/openSUSE? There may be a community-supported version for your distribution. See Linux Chromium packagesGet Chrome for iOSGet Chrome for chromeOSGet Chrome for androidSet Google Chrome as my default browserHelp make Google Chrome better by automati"&amp;"cally sending usage statistics and crash reports to Google.                What are crash reports?Note: Installing Google Chrome will add the Google repository so your system will automatically keep Google Chrome up to date. If you don’t want Google's rep"&amp;"ository do “sudo touch /etc/default/google-chrome” before installing the package.By downloading Chrome you agree to the Google Terms of Service and Chrome and ChromeOS Additional Terms of ServiceAccept and installAccept and installAccept and installGet Ch"&amp;"romeDownload for phone or tabletAndroidiOSDownload for another desktop OSWindows 11/10 64-bitWindows 10 32-bitmacOS 10.15 or laterLinuxFrozen versionsWindows XPWindows VistaWindows 8.1/8/7 32-bitWindows 8.1/8/7 64-bitMac 10.6 - 10.8Mac 10.9Mac 10.10Mac 10"&amp;".11 - 10.12Mac 10.13 - 10.14Looks like you’re already using Chrome browser. Nice!The device you have runs on ChromeOS which already has Chrome browser built-in. No need to manually install or update it — with automatic updates you’ll always get the latest"&amp;" version. Learn more about automatic updates.Looking for Chrome for a different operating system?See the full list of supported operating systems.")</f>
        <v>Google Chrome - The Fast &amp; Secure Web Browser Built to be Yours         Google uses cookies to deliver its services to personalize ads and to analyze traffic. You can adjust your privacy controls anytime in your  Google settings or read our cookie policy.Ok got itMenuMenuicon chrome logoJump to contentHomeThe Browser by GoogleFeatures              icon-expand-featuresOverviewGoogle address barPassword checkSyncDark modeTabsArticles for youExtensionsSafety              icon-expand-featuresPrivacy on the webSupport              icon-expand-featuresHelpful tips for ChromeSupport              Get ChromeDownload Chromeclose drawericon chrome logoHomeThe Browser by GoogleFeatures              icon-expand-featuresOverviewGoogle address barPassword checkSyncDark modeTabsArticles for youExtensionsSafety              icon-expand-featuresPrivacy on the webSupport              icon-expand-featuresHelpful tips for ChromeSupport              Get ChromeDownload ChromeFastSafeYoursBy GoogleDownload                    The browser  built to be                   f                  a                  s                  t                  s                  a                  f                  e                  y                  o                  u                  r                  sPause animationPlay animationGet ChromeDownload ChromeFor Windows 10 32-bit.I want to update ChromeFor Windows 11/10 64-bit.I want to update ChromeFor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system.For macOS 10.15 or later.I want to update ChromeThis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system.Debian/Ubuntu/Fedora/openSUSE.I want to update                 Chrome              I want to update ChromeLearn how to                 update              I want to update ChromeSet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ServiceScroll for                 more                    The             f            a            s            t   way to do things online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Stay             s            a            f            e   while you browse          Stay             s            a            f            ewhile you browse          PASSWORD MANAGER          Use strong passwords on every site.              Chrome has Google Password Manager built in which makes it simple to save manage and protect your passwords online. It also helps you create stronger passwords for every account you use.      ENHANCED SAFE BROWSING          Browse with the confidence that you're staying safer online.              Chrome's Safe Browsing warns you about malware or phishing attacks. Turn on Enhanced Safe Browsing for even more safety protections.      SAFETY CHECK          Check your safety level in real time with just one click.              Chrome's Safety Check confirms the overall security and privacy of your browsing experience including your saved passwords extensions and settings. If something needs attention Chrome will help you fix it.      PRIVACY GUIDE          Keep your privacy under your control with easy-to-use settings.              Chrome makes it easy to understand exactly what you’re sharing online and who you’re sharing it with. Simply use the Privacy Guide a step-by-step tour of your privacy settings.       Make it             y            o            u            r            s   and take it with you          Make it             y            o            u            r            s   and take it with you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Extend your experience              From shopping and entertainment to productivity find extensions to improve your experience in the Chrome Web Store.       The browser             b            u            i            l            tby Google      GOOGLE AI          Access AI superpowers while you browse.                  Google is integrating artificial intelligence to make our products more useful. We use AI for features like Search Google Translate and more and we’re innovating new technologies responsibly.      Google Search          The search bar you love built right in.              Access a world of knowledge at your fingertips. Check the weather solve math equations and get instant search results all contained inside your browser’s address bar.      GOOGLE WORKSPACE          Get things done with or without Wi-Fi.          Get things done in Gmail Google Docs Google Slides Google Sheets Google Translate and Google Drive even without an internet connection.Frequently asked questionsHow do I install Chrome?To install Chrome simply download the installation file then look for it in your downloads folder. Open the file and follow the instructions. Once Chrome is installed you can delete the install file. Learn more about downloading Chrome here.Does Chrome work on my operating system?Chrome is compatible with devices that run Windows and Mac operating systems provided they meet the minimum system requirements. In order to install Chrome and receive adequate support you must meet the system requirements. Learn more about using Chrome on your device.How do I make Chrome my default browser?You can set Chrome as your default browser on Windows or Mac operating systems as well as your iPhone iPad or Android device. When you set Chrome as your default browser any link you click will automatically open in Chrome. Find specific instructions for your device here.What are Chrome's safety settings?Chrome uses cutting-edge safety and security features to help you manage your safety. Use Safety Check to instantly audit for compromised passwords safe browsing status and any available Chrome updates. Learn more about safety and security on Chrome.      Take your browser with you    Download Chrome on your mobile device or tablet and sign into your account for the same browser experience everywhere.Get ChromeDownload Chrome      Scan for the  Chrome app     Follow usYoutubeTwitterFacebook              Chrome FamilyOther PlatformsChromebooks              Chromecast                            EnterpriseDownload Chrome                 Browser              Chrome Browser for                 Enterprise              Chrome                 Devices              ChromeOS              Google                 Cloud              Google                 Workspace                            EducationGoogle Chrome                 Browser              Devices              Web                 Store                            Dev and PartnersChromium              ChromeOS              Chrome Web                 Store              Chrome                 Experiments              Chrome BetaChrome DevChrome Canary              Stay ConnectedGoogle Chrome                 Blog              Update ChromeChrome                 Help              Chrome TipsGooglePrivacy and TermsAbout GoogleGoogle ProductsHelpHelpChange language or regionCatalà - EspanyaDansk - DanmarkDeutsch - DeutschlandEesti - EestiEnglish - AustraliaEnglish - CanadaEnglish - United KingdomEnglish - Hong Kong SAR ChinaEnglish - IrelandEnglish - IndiaEnglish - PhilippinesEnglish - PakistanEnglish - SingaporeEnglish - United StatesEspañol - LatinoaméricaEspañol - EspañaEspañol - Estados UnidosFilipino - PilipinasFrançais - CanadaFrançais - FranceHrvatski - HrvatskaIndonesia - IndonesiaItaliano - ItaliaLatviešu - LatvijaLietuvių - LietuvaMagyar - MagyarországMelayu - MalaysiaNederlands - NederlandNorsk Bokmål - NorgePolski - PolskaPortuguês - PortugalPortuguês - BrasilRomână - RomâniaSlovenčina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system.Get Chrome for MacFor macOS 10.15 or later.This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system.Get Chrome for LinuxDebian/Ubuntu/Fedora/openSUSE.Please select your download package:64 bit .deb (For Debian/Ubuntu)64 bit .rpm (For Fedora/openSUSE)Not Debian/Ubuntu or Fedora/openSUSE? There may be a community-supported version for your distribution. See Linux Chromium packagesGet Chrome for iOSGet Chrome for chromeOSGet Chrome for androidSet Google Chrome as my default browserHelp make Google Chrome better by automatically sending usage statistics and crash reports to Google.                What are crash reports?Note: Installing Google Chrome will add the Google repository so your system will automatically keep Google Chrome up to date. If you don’t want Google's repository do “sudo touch /etc/default/google-chrome” before installing the package.By downloading Chrome you agree to the Google Terms of Service and Chrome and ChromeOS Additional Terms of ServiceAccept and installAccept and installAccept and installGet ChromeDownload for phone or tabletAndroidiOSDownload for another desktop OSWindows 11/10 64-bitWindows 10 32-bitmacOS 10.15 or laterLinuxFrozen versionsWindows XPWindows VistaWindows 8.1/8/7 32-bitWindows 8.1/8/7 64-bitMac 10.6 - 10.8Mac 10.9Mac 10.10Mac 10.11 - 10.12Mac 10.13 - 10.14Looks like you’re already using Chrome browser. Nice!The device you have runs on ChromeOS which already has Chrome browser built-in. No need to manually install or update it — with automatic updates you’ll always get the latest version. Learn more about automatic updates.Looking for Chrome for a different operating system?See the full list of supported operating systems.</v>
      </c>
    </row>
    <row r="660">
      <c r="A660" s="1" t="s">
        <v>2180</v>
      </c>
      <c r="B660" s="1" t="s">
        <v>2195</v>
      </c>
      <c r="C660" s="1" t="s">
        <v>2196</v>
      </c>
      <c r="D660" s="1">
        <v>12.0</v>
      </c>
      <c r="E660" s="4" t="s">
        <v>2197</v>
      </c>
      <c r="F660" s="1" t="s">
        <v>16</v>
      </c>
      <c r="I660" s="2">
        <v>1.0</v>
      </c>
      <c r="J660" s="5" t="str">
        <f>IFERROR(__xludf.DUMMYFUNCTION("GOOGLETRANSLATE(A660)"),"translator")</f>
        <v>translator</v>
      </c>
      <c r="K660" s="6" t="str">
        <f>IFERROR(__xludf.DUMMYFUNCTION("GOOGLETRANSLATE(B660)"),"Electronic translators and dictionaries")</f>
        <v>Electronic translators and dictionaries</v>
      </c>
      <c r="L660" s="5" t="str">
        <f>IFERROR(__xludf.DUMMYFUNCTION("GOOGLETRANSLATE(C660)"),"Electronic translators and dictionaries buy in the OZON online store at competitive prices! ✓ Characteristics ✓ Personality ✓ Photo ✓ The Catalogo -Ground Assortment ...")</f>
        <v>Electronic translators and dictionaries buy in the OZON online store at competitive prices! ✓ Characteristics ✓ Personality ✓ Photo ✓ The Catalogo -Ground Assortment ...</v>
      </c>
      <c r="M660" s="5" t="str">
        <f>IFERROR(__xludf.DUMMYFUNCTION("GOOGLETRANSLATE(G660)"),"#VALUE!")</f>
        <v>#VALUE!</v>
      </c>
    </row>
    <row r="661">
      <c r="A661" s="1" t="s">
        <v>2180</v>
      </c>
      <c r="B661" s="1" t="s">
        <v>2198</v>
      </c>
      <c r="C661" s="1" t="s">
        <v>1689</v>
      </c>
      <c r="D661" s="1">
        <v>13.0</v>
      </c>
      <c r="E661" s="4" t="s">
        <v>2199</v>
      </c>
      <c r="F661" s="1" t="s">
        <v>16</v>
      </c>
      <c r="G661" s="1" t="s">
        <v>38</v>
      </c>
      <c r="H661" s="4" t="s">
        <v>39</v>
      </c>
      <c r="I661" s="2">
        <v>1.0</v>
      </c>
      <c r="J661" s="5" t="str">
        <f>IFERROR(__xludf.DUMMYFUNCTION("GOOGLETRANSLATE(A661)"),"translator")</f>
        <v>translator</v>
      </c>
      <c r="K661" s="6" t="str">
        <f>IFERROR(__xludf.DUMMYFUNCTION("GOOGLETRANSLATE(B661)"),"Translator | Trailer | In cinema from June 1")</f>
        <v>Translator | Trailer | In cinema from June 1</v>
      </c>
      <c r="L661" s="5" t="str">
        <f>IFERROR(__xludf.DUMMYFUNCTION("GOOGLETRANSLATE(C661)"),"21 Apr. 2023. -")</f>
        <v>21 Apr. 2023. -</v>
      </c>
      <c r="M661" s="5" t="str">
        <f>IFERROR(__xludf.DUMMYFUNCTION("GOOGLETRANSLATE(G661)"),"YouTubeAboutPressCopyrightContact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662">
      <c r="A662" s="1" t="s">
        <v>2180</v>
      </c>
      <c r="B662" s="1" t="s">
        <v>2200</v>
      </c>
      <c r="C662" s="1" t="s">
        <v>2201</v>
      </c>
      <c r="D662" s="1">
        <v>14.0</v>
      </c>
      <c r="E662" s="4" t="s">
        <v>2202</v>
      </c>
      <c r="F662" s="1" t="s">
        <v>16</v>
      </c>
      <c r="G662" s="1" t="s">
        <v>216</v>
      </c>
      <c r="H662" s="4" t="s">
        <v>217</v>
      </c>
      <c r="I662" s="2">
        <v>2.0</v>
      </c>
      <c r="J662" s="5" t="str">
        <f>IFERROR(__xludf.DUMMYFUNCTION("GOOGLETRANSLATE(A662)"),"translator")</f>
        <v>translator</v>
      </c>
      <c r="K662" s="6" t="str">
        <f>IFERROR(__xludf.DUMMYFUNCTION("GOOGLETRANSLATE(B662)"),"How to translate speech - Android - Case - Google Translate")</f>
        <v>How to translate speech - Android - Case - Google Translate</v>
      </c>
      <c r="L662" s="5" t="str">
        <f>IFERROR(__xludf.DUMMYFUNCTION("GOOGLETRANSLATE(C662)"),"Open the ""Google Translator"" Appendix ""Translator"" on the Android device. Indicate the desired language pair. The language of the original text can be selected in ...")</f>
        <v>Open the "Google Translator" Appendix "Translator" on the Android device. Indicate the desired language pair. The language of the original text can be selected in ...</v>
      </c>
      <c r="M662" s="5" t="str">
        <f>IFERROR(__xludf.DUMMYFUNCTION("GOOGLETRANSLATE(G662)"),"Google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663">
      <c r="A663" s="1" t="s">
        <v>2180</v>
      </c>
      <c r="B663" s="1" t="s">
        <v>2138</v>
      </c>
      <c r="D663" s="1">
        <v>15.0</v>
      </c>
      <c r="E663" s="4" t="s">
        <v>2140</v>
      </c>
      <c r="F663" s="1" t="s">
        <v>16</v>
      </c>
      <c r="G663" s="1" t="s">
        <v>2141</v>
      </c>
      <c r="H663" s="4" t="s">
        <v>2142</v>
      </c>
      <c r="I663" s="2">
        <v>1.0</v>
      </c>
      <c r="J663" s="5" t="str">
        <f>IFERROR(__xludf.DUMMYFUNCTION("GOOGLETRANSLATE(A663)"),"translator")</f>
        <v>translator</v>
      </c>
      <c r="K663" s="6" t="str">
        <f>IFERROR(__xludf.DUMMYFUNCTION("GOOGLETRANSLATE(B663)"),"Pons translator | Improved text translation")</f>
        <v>Pons translator | Improved text translation</v>
      </c>
      <c r="L663" s="5" t="str">
        <f>IFERROR(__xludf.DUMMYFUNCTION("GOOGLETRANSLATE(C663)"),"#VALUE!")</f>
        <v>#VALUE!</v>
      </c>
      <c r="M663" s="5" t="str">
        <f>IFERROR(__xludf.DUMMYFUNCTION("GOOGLETRANSLATE(G663)"),"Pons Dictionary | Definitions of translation and dictionary Russian Deutsch Blgarski ελληνικά english español français italiano polski Portugua Russian Slovenščina Srpski türkçe 中文 | Assistance FAQ Technical Questions Faq Text Translation Faq Vocabulary T"&amp;"rainer Faq Online Dictionary | Contact | B2B Entrance Hallo Welt. Online word online store Publishing house Dictionary of text conjugation Dictionary simulator of the Dictionary Application Dictionary Add to Starting Window Dictionary of Text Walking Walk"&amp;"ing In Dictionaries Search Review &amp; Information Help Supply System Private Confidentiality Settings Contact Contact Select the Deutsch Blings ελληνικά English Español français italiano polski portugu Russian Russian slovenščina srpski türkçe 中文 Entrance o"&amp;"nline pones is simple - to set and correctly transfer De Ru n »German English Hungarian Dutch Greek danim Italian Catalan Korean Creece (Haiti) Latvian Latvian German Norwegian Persian Polish Portuguese Romanian Russian Serbian Slovan Slovenian Thai Turki"&amp;"sh Ukrainian Finnish French Czech Czech Swedish Estonian Japanese German as a foreign spelling of the German language Elf Elven to Search in both linguistic directions to replace the Russian English Arabic Hungarian Vietnamese Drill. Greek Danish Hebrew I"&amp;"ndonesian Icelandic Spanish Italian Catalan Korean Creachesian Cretaceous (Haiti) Latvian Latvian German Norwegian Persian Portuguese Romanian Russian Slovenian Slovenian Taisky Turkish Ukrainian Croatian Czech Czech Swedish Elthian Elven History of Searc"&amp;"h to add vocabulary with free people to the starting window. vocabulary Online tranier Pons? He will teach you what you want to teach. Conduct a testraising of the text Search in dictionaries Popular popular English Arab Bulgarian Hungarian Dutch Greek Da"&amp;"nish Spanish Chinese Chinese Latin German Norwegian Persian Portuguese Russian Slovenian Finnish Finnish French Czech Czech Swedish Japanese Popular Russian ⇄ German Russian ⇄ English Russian ⇄ English Russian. chewing ⇄ Slovenian German ⇄ Polish English "&amp;"dictionaries English ⇄ Spanish English ⇄ Chinese Anglo ⇄ Arabic Anglo-Bulgarian Anglo ⇄ Italian Anglo ⇄ German Anglo ⇄ Polish Anglo ⇄ Russian Anglo → Serbian Anglo ⇄ Slovenian Arabic dictionaries Arabic German Bulgarian dictionaries of the Bulgarian-Engli"&amp;"sh Bulgarian-German dictionaries Hungarian ⇄ German Dutch dictionaries of Netherlandsko ⇄ German Greek dictionaries Greco ⇄ German Danish dictionaries Danish ⇄ German Spanish Spanish ⇄ English, Italian Spaniard ⇄ German Spanish ⇄ Portuguese ⇄ Slovenian Sp"&amp;"anish ⇄ Franceusian Italian dictionaries Italian ⇄ English Italian ⇄ Spanish Italian ⇄ German Italian ⇄ Polish Italian ⇄ Slovenian Italian ⇄ French Chinese dictionaries Chinese ⇄ Spanish Chinese ⇄ German Latin ⇄ German dictionaries German ⇄ Arabic German-"&amp;"Bulgarian German ⇄ Hungarian German ⇄ Greek German ⇄ Danish German → Icelandic German ⇄ Spanish German ⇄ Chinese German ⇄ Latin German ⇄ Nidenskaya German ⇄ Persian German ⇄ Portuguese German ⇄ Romanian German ⇄ Russian ⇄ Russian German → Serbian German ⇄"&amp;" Slovak German ⇄ Slovenian German ⇄ Turkish German ⇄ Finnish German ⇄ French German ⇄ Croatian German ⇄ Czech German ⇄ Swedish German ⇄ Japanese spelling of the German language Norwegian dictionaries Norwegian Persian Persian dictionaries Polsko English P"&amp;"olish ⇄ Spanish Polish ⇄ Italian Polish ⇄ German Polsko ⇄ Russian Polsko ⇄ French Portuguese Portuguese ⇄ English Portuguese ⇄ Spanish Portuguese ⇄ German Romanian dictionaries Romanian ⇄ German Russian dictionaries Russian ⇄ English Russian ⇄ Polish dict"&amp;"ionaries Slovako ⇄ German Slovenian dictionaries Slovenco ⇄ English Slovenco ⇄ Spanish Slovenco ⇄ Italian Slovenian ⇄ German Slovenco ⇄ French Turkish dictionaries Turkish ⇄ German Finnish dictionaries Finnish ⇄ German French dictionaries French ⇄ English"&amp;" French ⇄ Spanish French ⇄ Italian French ⇄ Chinese French ⇄ Polish French ⇄ Slovenian Corporate Documents Croatian ⇄ German Czech dictionaries Czech ⇄ German Swedish dictionaries Swedish ⇄ German elven dictionaries Elvensko ⇄ German Japanese dictionaries"&amp;" Japanco ⇄ German online word Dictionary of the text. Dictionary simulator Publishing house about us Contact. Complete Dictionary of the API B2B Sign in ... Facebook Instagram LinkedIn weekend | Help | General conditions for the conclusion of the transact"&amp;"ion | Confidentiality agreement | User agreement | Supply system | Privacy settings Copyright Pons Langenscheid GmbH Stuttgart © 2001 - 2023. With copyright. Deutsch interface | Blgarsky | Ελληνικά | English | Español | Français | Italiano | Polski | Port"&amp;"ugu ty | Russian | Slovenščina | Srpski | Türkçe |中文 × Other sources Close × Review here you can report an error in this article Pons or amend: Email message We are using the following form feld to Detect Spammers. Please Do Leave Them Untouchen. Otherwis"&amp;"e Your Message Will Be as SPAM. We are sorry for the Inconvenience. Thank you! Your message was sent by the editorial office of Pons. An error has occurred. Please repeat the attempt. close send a review × my search story Close")</f>
        <v>Pons Dictionary | Definitions of translation and dictionary Russian Deutsch Blgarski ελληνικά english español français italiano polski Portugua Russian Slovenščina Srpski türkçe 中文 | Assistance FAQ Technical Questions Faq Text Translation Faq Vocabulary Trainer Faq Online Dictionary | Contact | B2B Entrance Hallo Welt. Online word online store Publishing house Dictionary of text conjugation Dictionary simulator of the Dictionary Application Dictionary Add to Starting Window Dictionary of Text Walking Walking In Dictionaries Search Review &amp; Information Help Supply System Private Confidentiality Settings Contact Contact Select the Deutsch Blings ελληνικά English Español français italiano polski portugu Russian Russian slovenščina srpski türkçe 中文 Entrance online pones is simple - to set and correctly transfer De Ru n »German English Hungarian Dutch Greek danim Italian Catalan Korean Creece (Haiti) Latvian Latvian German Norwegian Persian Polish Portuguese Romanian Russian Serbian Slovan Slovenian Thai Turkish Ukrainian Finnish French Czech Czech Swedish Estonian Japanese German as a foreign spelling of the German language Elf Elven to Search in both linguistic directions to replace the Russian English Arabic Hungarian Vietnamese Drill. Greek Danish Hebrew Indonesian Icelandic Spanish Italian Catalan Korean Creachesian Cretaceous (Haiti) Latvian Latvian German Norwegian Persian Portuguese Romanian Russian Slovenian Slovenian Taisky Turkish Ukrainian Croatian Czech Czech Swedish Elthian Elven History of Search to add vocabulary with free people to the starting window. vocabulary Online tranier Pons? He will teach you what you want to teach. Conduct a testraising of the text Search in dictionaries Popular popular English Arab Bulgarian Hungarian Dutch Greek Danish Spanish Chinese Chinese Latin German Norwegian Persian Portuguese Russian Slovenian Finnish Finnish French Czech Czech Swedish Japanese Popular Russian ⇄ German Russian ⇄ English Russian ⇄ English Russian. chewing ⇄ Slovenian German ⇄ Polish English dictionaries English ⇄ Spanish English ⇄ Chinese Anglo ⇄ Arabic Anglo-Bulgarian Anglo ⇄ Italian Anglo ⇄ German Anglo ⇄ Polish Anglo ⇄ Russian Anglo → Serbian Anglo ⇄ Slovenian Arabic dictionaries Arabic German Bulgarian dictionaries of the Bulgarian-English Bulgarian-German dictionaries Hungarian ⇄ German Dutch dictionaries of Netherlandsko ⇄ German Greek dictionaries Greco ⇄ German Danish dictionaries Danish ⇄ German Spanish Spanish ⇄ English, Italian Spaniard ⇄ German Spanish ⇄ Portuguese ⇄ Slovenian Spanish ⇄ Franceusian Italian dictionaries Italian ⇄ English Italian ⇄ Spanish Italian ⇄ German Italian ⇄ Polish Italian ⇄ Slovenian Italian ⇄ French Chinese dictionaries Chinese ⇄ Spanish Chinese ⇄ German Latin ⇄ German dictionaries German ⇄ Arabic German-Bulgarian German ⇄ Hungarian German ⇄ Greek German ⇄ Danish German → Icelandic German ⇄ Spanish German ⇄ Chinese German ⇄ Latin German ⇄ Nidenskaya German ⇄ Persian German ⇄ Portuguese German ⇄ Romanian German ⇄ Russian ⇄ Russian German → Serbian German ⇄ Slovak German ⇄ Slovenian German ⇄ Turkish German ⇄ Finnish German ⇄ French German ⇄ Croatian German ⇄ Czech German ⇄ Swedish German ⇄ Japanese spelling of the German language Norwegian dictionaries Norwegian Persian Persian dictionaries Polsko English Polish ⇄ Spanish Polish ⇄ Italian Polish ⇄ German Polsko ⇄ Russian Polsko ⇄ French Portuguese Portuguese ⇄ English Portuguese ⇄ Spanish Portuguese ⇄ German Romanian dictionaries Romanian ⇄ German Russian dictionaries Russian ⇄ English Russian ⇄ Polish dictionaries Slovako ⇄ German Slovenian dictionaries Slovenco ⇄ English Slovenco ⇄ Spanish Slovenco ⇄ Italian Slovenian ⇄ German Slovenco ⇄ French Turkish dictionaries Turkish ⇄ German Finnish dictionaries Finnish ⇄ German French dictionaries French ⇄ English French ⇄ Spanish French ⇄ Italian French ⇄ Chinese French ⇄ Polish French ⇄ Slovenian Corporate Documents Croatian ⇄ German Czech dictionaries Czech ⇄ German Swedish dictionaries Swedish ⇄ German elven dictionaries Elvensko ⇄ German Japanese dictionaries Japanco ⇄ German online word Dictionary of the text. Dictionary simulator Publishing house about us Contact. Complete Dictionary of the API B2B Sign in ... Facebook Instagram LinkedIn weekend | Help | General conditions for the conclusion of the transaction | Confidentiality agreement | User agreement | Supply system | Privacy settings Copyright Pons Langenscheid GmbH Stuttgart © 2001 - 2023. With copyright. Deutsch interface | Blgarsky | Ελληνικά | English | Español | Français | Italiano | Polski | Portugu ty | Russian | Slovenščina | Srpski | Türkçe |中文 × Other sources Close × Review here you can report an error in this article Pons or amend: Email message We are using the following form feld to Detect Spammers. Please Do Leave Them Untouchen. Otherwise Your Message Will Be as SPAM. We are sorry for the Inconvenience. Thank you! Your message was sent by the editorial office of Pons. An error has occurred. Please repeat the attempt. close send a review × my search story Close</v>
      </c>
    </row>
    <row r="664">
      <c r="A664" s="1" t="s">
        <v>2180</v>
      </c>
      <c r="B664" s="1" t="s">
        <v>2203</v>
      </c>
      <c r="C664" s="1" t="s">
        <v>2204</v>
      </c>
      <c r="D664" s="1">
        <v>16.0</v>
      </c>
      <c r="E664" s="4" t="s">
        <v>2205</v>
      </c>
      <c r="F664" s="1" t="s">
        <v>16</v>
      </c>
      <c r="G664" s="1" t="s">
        <v>2206</v>
      </c>
      <c r="H664" s="4" t="s">
        <v>2207</v>
      </c>
      <c r="I664" s="2">
        <v>1.0</v>
      </c>
      <c r="J664" s="5" t="str">
        <f>IFERROR(__xludf.DUMMYFUNCTION("GOOGLETRANSLATE(A664)"),"translator")</f>
        <v>translator</v>
      </c>
      <c r="K664" s="6" t="str">
        <f>IFERROR(__xludf.DUMMYFUNCTION("GOOGLETRANSLATE(B664)"),"Online translator")</f>
        <v>Online translator</v>
      </c>
      <c r="L664" s="5" t="str">
        <f>IFERROR(__xludf.DUMMYFUNCTION("GOOGLETRANSLATE(C664)"),"Use a free Russian-English online translator to translate a word, phrase or small text for you.")</f>
        <v>Use a free Russian-English online translator to translate a word, phrase or small text for you.</v>
      </c>
      <c r="M664" s="5" t="str">
        <f>IFERROR(__xludf.DUMMYFUNCTION("GOOGLETRANSLATE(G664)"),"The English language online - NATIVE Englishforumramramigramgrammagramgram -Audo -Owner -Great -Great ... Phonetics is anxycameticiaxy -hygo -oglyanecdotytopicipypypypypypesisturpypytotorspyrepytototorspytotorspyrevti -nourishing English language online f"&amp;"or everyone who wants to know English, we created this site completely dedicated to its study. There is everything you need to learn English online for free. Read more about projectigrams and lexical difficulties with the translation of the grammatical st"&amp;"ructure? Ask a question or share your knowledge of English. Generally aForumArticle test for the knowledge and use of articles in English. The verification of yourself is the spelling of a hidden English word by its sound. Giigryizuchachei pronunciation o"&amp;"f the features of the English pronunciation compared to Russian. Phonetical verbaling of the most consumed verb English with pronunciation and translation. Gramakak to choose English courses? Article about how to choose the right company that offers Engli"&amp;"sh teaching services ... Articles of the Russian-resourceonline translator-paid Russian-English online translator will help translate an incomprehensible phrase or small text. Audiobooks in English in English with parallel Translation and viewing of value"&amp;"s ​​to each word. The English language of English verbs with viewing the values ​​of temporary forms of use of conjugation. The idiom of the English language is a comprehensive reference book of sustainable expressions of the English language with example"&amp;"s of use and translation. Topics according to English -resistant thematic stories and works in English. Read with translation. Read English -language texts on the site with viewing the translation for each word. Add words to a personal dictionary for furt"&amp;"her study. Alice Was Begining to Get Very Tired of Sitting by Her Sister on the Bank and of Having Nothing to Do: ONCE OR TWICE She HAD PEEPEDE HER SISTER WAS Reading BUT HAD NO PICTUU Res or Conversations in it ""and what is the use of a book ""Thumbht A"&amp;"lice"" Without Pictures or Conversations? ""SO she was consideing in her Own Mind (as well as sheld for the first day her face fair and stupid). Er the Pleasure of Making a Daisy-Chain Would Be Worth the Trouble of Getting Up and Picking the Daisies When "&amp;"Suddenly a White Rabbit with Pink Eyes Ran Close by Her. Audioknigi in English, there are so many interesting things in the vocabulary of the English language. Interactive test. Advertise the design of the project for the forumigramigramine of therapist o"&amp;"f the Audo -Owlsniglifonetics is akametodiciaciaciacolor -ogly -ovariacidotypypypypypesnias, the abstract aims to us: English online - native English © Native 2003-2023 to make a mistake about error")</f>
        <v>The English language online - NATIVE Englishforumramramigramgrammagramgram -Audo -Owner -Great -Great ... Phonetics is anxycameticiaxy -hygo -oglyanecdotytopicipypypypypypesisturpypytotorspyrepytototorspytotorspyrevti -nourishing English language online for everyone who wants to know English, we created this site completely dedicated to its study. There is everything you need to learn English online for free. Read more about projectigrams and lexical difficulties with the translation of the grammatical structure? Ask a question or share your knowledge of English. Generally aForumArticle test for the knowledge and use of articles in English. The verification of yourself is the spelling of a hidden English word by its sound. Giigryizuchachei pronunciation of the features of the English pronunciation compared to Russian. Phonetical verbaling of the most consumed verb English with pronunciation and translation. Gramakak to choose English courses? Article about how to choose the right company that offers English teaching services ... Articles of the Russian-resourceonline translator-paid Russian-English online translator will help translate an incomprehensible phrase or small text. Audiobooks in English in English with parallel Translation and viewing of values ​​to each word. The English language of English verbs with viewing the values ​​of temporary forms of use of conjugation. The idiom of the English language is a comprehensive reference book of sustainable expressions of the English language with examples of use and translation. Topics according to English -resistant thematic stories and works in English. Read with translation. Read English -language texts on the site with viewing the translation for each word. Add words to a personal dictionary for further study. Alice Was Begining to Get Very Tired of Sitting by Her Sister on the Bank and of Having Nothing to Do: ONCE OR TWICE She HAD PEEPEDE HER SISTER WAS Reading BUT HAD NO PICTUU Res or Conversations in it "and what is the use of a book "Thumbht Alice" Without Pictures or Conversations? "SO she was consideing in her Own Mind (as well as sheld for the first day her face fair and stupid). Er the Pleasure of Making a Daisy-Chain Would Be Worth the Trouble of Getting Up and Picking the Daisies When Suddenly a White Rabbit with Pink Eyes Ran Close by Her. Audioknigi in English, there are so many interesting things in the vocabulary of the English language. Interactive test. Advertise the design of the project for the forumigramigramine of therapist of the Audo -Owlsniglifonetics is akametodiciaciaciacolor -ogly -ovariacidotypypypypypesnias, the abstract aims to us: English online - native English © Native 2003-2023 to make a mistake about error</v>
      </c>
    </row>
    <row r="665">
      <c r="A665" s="1" t="s">
        <v>2180</v>
      </c>
      <c r="B665" s="1" t="s">
        <v>2208</v>
      </c>
      <c r="C665" s="1" t="s">
        <v>2209</v>
      </c>
      <c r="D665" s="1">
        <v>17.0</v>
      </c>
      <c r="E665" s="4" t="s">
        <v>2210</v>
      </c>
      <c r="F665" s="1" t="s">
        <v>16</v>
      </c>
      <c r="G665" s="1" t="s">
        <v>82</v>
      </c>
      <c r="H665" s="4" t="s">
        <v>83</v>
      </c>
      <c r="I665" s="2">
        <v>2.0</v>
      </c>
      <c r="J665" s="5" t="str">
        <f>IFERROR(__xludf.DUMMYFUNCTION("GOOGLETRANSLATE(A665)"),"translator")</f>
        <v>translator</v>
      </c>
      <c r="K665" s="6" t="str">
        <f>IFERROR(__xludf.DUMMYFUNCTION("GOOGLETRANSLATE(B665)"),"How to create a translator who translates better than ...")</f>
        <v>How to create a translator who translates better than ...</v>
      </c>
      <c r="L665" s="5" t="str">
        <f>IFERROR(__xludf.DUMMYFUNCTION("GOOGLETRANSLATE(C665)"),"22 St. 2022 -")</f>
        <v>22 St. 2022 -</v>
      </c>
      <c r="M665" s="5" t="str">
        <f>IFERROR(__xludf.DUMMYFUNCTION("GOOGLETRANSLATE(G665)"),"All articles in a row / Habr    Habr  β              How to become an author                        All streams                 Development                  Admin                  Design                  Management                  Marketing              "&amp;"    PopSci         Search     Profile          Pull to refresh      All streams            Articles                 Posts                 News                 Hubs                 Authors               All   Dropdown  Copy RSS link          Show first    "&amp;"         New          Top             Rating limit             All          ≥0          ≥10          ≥25          ≥50          ≥100               Level of difficulty                       All                          Easy                          Medium  "&amp;"                        Hard                     Apply                PaulKarol        Nov  10  at 17:56  Building an IT website aimed at America and the West  Reading time      3 min   Views  148 IT Infrastructure *IT Standards *Research and forecasts in"&amp;" IT *GTD *IT career     My last article stirred up some definite comments and even questions about different things in business. I’m going to keep giving you as much information as I can so that you can continue to do business as IT professionals outside "&amp;"of Russia with other countries. How do you design a website that will be viewed in the west and appreciated by the people there?What are the most important elementsfor America and other western markets?   Read more  Rating  0  Add to bookmarks      3     "&amp;"Comments        0               PaulKarol        Nov  7  at 12:32  Marketing your Mindset  Reading time      2 min   Views  177 IT Infrastructure *IT Standards *Research and forecasts in IT *GTD *IT career     Information shared below is exactly how I wor"&amp;"k with my IT professionals who are going to be participating in pre-sales to America. I tell them exactly this and it helps prepare them to successfully sell the the United States companies.As developers and IT companies we must sell our software. What ca"&amp;"n give you an edge in this very competitive market place?Please if you would allow me to let me explain why this is important and how this can make your company more successful.  There’s a certain type of thinking that is conducive to working as a softwar"&amp;"e developer. This is a very practical mindset but it goes beyond that. If you have the mindset of direct thinking.Here are examples:I see the target a target and I don’t see obstaclesВижу цель не вижу препятствийThis is an example of the practical mindset"&amp;" how is approaches the problem of development. It makes people who have this mindset the best developers in the world.Example of mindset:Problem……………… find a solution………… No problem.Notice how this looks exactly like a line of code?This is well-known arou"&amp;"nd the world in places where you would like to sell your software the United States Germany Belgium and the Middle East.Countries where people have this mindset have the best developers. now let’s talk about your competition:Americans: during the center p"&amp;"rocess “find a solution” Americans are overly concerned about responsibility. This slows them down in the decision making process.    Read more  Total votes 1: ↑0 and ↓1  -1  Add to bookmarks      3     Comments        2               kaze_no_saga        "&amp;"Nov  7  at 06:03  PostgreSQL 17: Part 2 or Commitfest 2023-09  Reading time      11 min   Views  384 Postgres Professional corporate blog PostgreSQL *SQL *     Digest       Translation     We continue to follow the news of the PostgreSQL 17 development. L"&amp;"et's find out what the September commitfest brings to the table.If you missed our July commitfest review you can check it out here: 2023-07.Removed the parameter old_snapshot_thresholdNew parameter event_triggersNew functions to_bin and to_octNew system v"&amp;"iew pg_wait_eventsEXPLAIN: a JIT compilation time counter for tuple deformingPlanner: better estimate of the initial cost of the WindowAgg nodepg_constraint: NOT NULL constraintsNormalization of CALL DEALLOCATE and two-phase commit control commandsunaccen"&amp;"t: the target rule expressions now support values in quotation marksCOPY FROM: FORCE_NOT_NULL * and FORCE_NULL *Audit of connections without authenticationpg_stat_subscription: new column worker_typeThe behaviour of pg_promote in case of unsuccessful swit"&amp;"chover to a replicaChoosing the disk synchronization method in server utilitiespg_restore: optimization of parallel recovery of a large number of tablespg_basebackup and pg_receivewal with the parameter dbnameParameter names for a number of built-in funct"&amp;"ionspsql: watch min_rows   Read more →  Total votes 3: ↑3 and ↓0  +3  Add to bookmarks      2     Comments        1               SpringJava        Nov  4  at 12:34  How to Use Throw and Throws in Java Level of difficulty      Easy   Reading time      2 m"&amp;"in   Views  347 Programming *Java *     Tutorial      Exception handling in Java is the most effective way to handle runtime errors occurring in the application. This is used to protect the abnormal flow of the execution of the application and continue th"&amp;"e application in normal flow. This is the process of handling runtime errors such as ClassNotFoundException IOException etc. The throw and throws keywords are used to handle exceptions in Java.In this topic we will learn how to use throw and throws keywor"&amp;"ds in Java with examples.   Read more  Total votes 3: ↑3 and ↓0  +3  Add to bookmarks      0     Comments        0               PaulKarol        Nov  3  at 14:20  The key to Sales Conversion of an American CEO or CFO  Reading time      1 min   Views  405"&amp;" IT Infrastructure *IT Standards *Research and forecasts in IT *GTD *IT career     i’m writing this series articles to spearhead the new marketing campaign for into the American market. I will be covering a wide range of topics that will allow us to posit"&amp;"ion the company in the proper way so that is excepted as a provider of High-quality software in America.The key to converting an American CEO or CFO is the trigger point for the American business culture. The trigger point for America is responsibility.  "&amp;" This means in business you must be responsible. You also look for business partners that are responsible.  But let’s take this into the newest more powerful view that we need to have now.  The scene from the point of you of the CFO sitting at the head of"&amp;" the financial controls of a large hospital conglomerate. Put yourself in the mind of the CFO. What are they concerned about?  As an American CFO they will be very concerned about whether they are being responsible in their job and responsible to the hosp"&amp;"ital staff shareholders patients and the management above them. And this is how we get our foot in the door in this American niche market. If we present ourselves as offering something that “May” give an answer to specific problems that they know that the"&amp;"y have they must give us a chance to present a Presale. The reason is because they are responsible and if there is a solution as an American Director you must explore that solution.It would be irresponsible to not explore a potential solution.Then it’s a "&amp;"simple case to actually give value in the presale meeting and convince them that we can deliver some thing that will benefit their business and profits.   Read more  Total votes 6: ↑0 and ↓6  -6  Add to bookmarks      4     Comments        2              "&amp;" SpringJava        Nov  3  at 10:20  One-to-One Bidirectional Mapping in Spring Boot JPA Level of difficulty      Easy   Reading time      8 min   Views  237 Programming *Java *System Programming *Systems engineering *     Tutorial      This topic will te"&amp;"ach us to implement one-to-one(@OneToOne annotation) bidirectional mapping using Spring Boot Hibernate and Spring Data JPA.   Read more  Rating  0  Add to bookmarks      0     Comments        0               RahulKumarsree        Oct  30  at 17:40  Top 10"&amp;" Best Free Partition Manager Software for Windows PC/Laptop Level of difficulty      Medium   Reading time      12 min   Views  598 Development for Windows *Technical Writing *     Opinion       From sandbox     If you are searching for free partition man"&amp;"ager software for your Windows PC then Download the Top and best Partition Manager Software on Windows PC/Laptop.It is a software program that lets us create delete shrink expand split or merge partitions on our hard drives or other storage devices. Witho"&amp;"ut extra software a hard drive will be partitioned into Windows. But we can’t resize or combine them without any extra help.The important aspect of owning a PC is to manage your hard-drive partitions very effectively. Based on categories it divides data t"&amp;"o allow people. For example you can keep your multimedia files work folders and your programs in different partitions and install them on your system drive.If you use your PC to double or triple-boot into various operating systems as a power user. Your SS"&amp;"D or HDD must be divided into smaller partitions; otherwise it is impossible.In 2020 in managing software partitions effectively. We help you with Windows and Linux by compiling a list of the best free partition software. So let’s read more to get the fre"&amp;"e partition manager Windows 10/8/7.   Read more  Rating  0  Add to bookmarks      4     Comments        1               SpringJava        Oct  30  at 16:37  List in Java | Interface Methods Example Level of difficulty      Easy   Reading time      4 min  "&amp;" Views  260 Java *      From sandbox     In this topic we will learn about what is a List in Java. How to create a List in Java? What are the methods of List in Java? The List is an interface in Java. It is extending the Collection interface in Java. This"&amp;" List interface is present in the java.util package in Java. A list represents a group of individual objects as a single entity where duplicates are allowed and insertion order is preserved.   Read more  Rating  0  Add to bookmarks      1     Comments    "&amp;"    0               ENCRY        Oct  30  at 15:25  Anonymous identification for groups Level of difficulty      Hard   Reading time      13 min   Views  231 Information Security *    The identification protocol based on the pairing function resistant to "&amp;"impersonation and compatible with the instant digital signature (IDS) mode was studied in this article. This protocol uses prover's and verifier's public keys. As a result there is no anonymity since certificates including personal data of their owners ar"&amp;"e issued for the mentioned keys. This article contains a description and analysis of new anonymous identification protocols for groups.   Read more  Rating  0  Add to bookmarks      2     Comments        0               Liga_Stavok        Oct  30  at 15:1"&amp;"3  Roadmap for Managing Chaos — Planing Migration from a Monolith to Microservices  Reading time      22 min   Views  378 Liga Stavok corporate blog      Roadmap      Roadmap for Managing Chaos - Planing Migration from a Monolith to Microservices This art"&amp;"icle tries to provide some insight into the complexities of transitioning from monolithic architectures to microservices. Our goal is to offer a high view perspective on the various considerations and challenges that arise during such migrations terms and"&amp;" keywords you will encounter and their role in this endeavor.    Read more  Rating  0  Add to bookmarks      1     Comments        0               ArcaneGamingcom        Oct  30  at 11:55  UX Designer Job Interview: 10 questions to answer 5 questions to a"&amp;"sk Level of difficulty      Easy   Reading time      6 min   Views  261 SQL *IT Standards *Usability *GitHub *Data Engineering *     Retrospective       Recovery Mode     No matter how many degrees you have or how high your experience level is your recrui"&amp;"ters need to evaluate your knowledge of UX design as a whole. But keep in mind that a job interview is not an exam so here you are expected not to recite the textbook definitions learned by heart but rather share your personal understanding of UX and your"&amp;" role as a designer in general. Consider talking about how you define UX what creates value in the design what are the necessary parts of a UX design process what are the current trends in UX. You might also be asked to explain the difference between UI a"&amp;"nd UX to see how you understand the role of each in the development process.   Read more  Rating  0  Add to bookmarks      0     Comments        0               brdnicolas        Oct  28  at 12:46  React — Higher Order Components (HOC) Level of difficulty"&amp;"      Medium   Reading time      5 min   Views  1.1K JavaScript *ReactJS *      From sandbox     In the ever-evolving realm of web development mastering advanced concepts is essential for creating robust and flexible applications. In this article we'll de"&amp;"lve into one of these foundational React concepts: Higher-Order Components commonly known as HOCs. Whether you're a seasoned developer seeking advanced techniques or a curious beginner eager to learn we'll walk through the creation and application of HOCs"&amp;" step by step. Get ready to enrich your development toolkit with this powerful approach while discovering how to enhance the readability reusability and maintainability of your code.   Learn it  Rating  0  Add to bookmarks      4     Comments        0    "&amp;"           Gonchar_POTT        Oct  26  at 08:42  Python Lives in Excel Level of difficulty      Medium   Reading time      5 min   Views  679 Python *Software      Case       Translation     There was already news on Habr about this significant event. In"&amp;"deed it resembles a retelling of the official Microsoft press release but that's how the 'news' should be.   Read more  Rating  0  Add to bookmarks      2     Comments        0               BarsMonster        Oct  22  at 22:09  Doing 10 minute task in 2 "&amp;"hours using ChatGPT Level of difficulty      Easy   Reading time      4 min   Views  1.8K Programming *Machine learning *Artificial Intelligence      Case      Many of us have heard stories where one was able to complete days worth of work in minutes usin"&amp;"g AI even being outside of one's area of expertise. Indeed often LLM's do (almost) miracles but today I had a different experience:   Read more  Total votes 3: ↑3 and ↓0  +3  Add to bookmarks      2     Comments        3               gfx_pro        Oct  "&amp;"21  at 15:21  Do smartphone cameras need 12-bit ADCs or my failed experiment Level of difficulty      Medium   Reading time      3 min   Views  388 Image processing *Gadgets Smartphones Photographic equipment      Analytics       Translation     Among pho"&amp;"tographers it is known that on ""big"" cameras the use of 14-bit readout compared to 12-bit can have a positive impact on shadow detail. How does this apply to small sensors in smartphone cameras?   Let's find out  Rating  0  Add to bookmarks      1     C"&amp;"omments        0               aozeritsky        Oct  19  at 09:00  High-performance network library using C++20 coroutines Level of difficulty      Medium   Reading time      17 min   Views  13K Programming *C++ *Development for MacOS *Development for Li"&amp;"nux *     Tutorial      Asynchronous programming is commonly employed for efficient implementation of network interactions in C++. The essence of this approach lies in the fact that the results of socket read/write functions are not immediately available "&amp;"but become accessible after some time. This approach allows for loading the processor with useful work during the wait for data. Various implementations of this approach exist such as callbacks actors future/promise coroutines. In C++ these implementation"&amp;"s are available as libraries from third-party developers or can be implemented independently.Coroutines are the most challenging to implement as they require writing platform-dependent code. However the recent version of the C++ 20 language standard intro"&amp;"duces support for coroutines at the compiler and standard library levels. Coroutines are functions that can suspend their execution preserving their state and later return to that state to resume the function's work. The compiler automatically creates a c"&amp;"heckpoint with the coroutine's state.For a comprehensive understanding of C++ 20 coroutines refer to this article. Below we examine a code example using coroutines and describe important points applied during implementation.   Read more  Total votes 6: ↑4"&amp;" and ↓2  +2  Add to bookmarks      7     Comments        11               vda19999        Oct  15  at 11:52  How sqlalchemy uses greenlet to call an async Python function from a normal function  Reading time      5 min   Views  538 Python *    The Python "&amp;"language has two kind of functions — normal functions that you would use in most cases and async functions. The latter functions are used when performing network IO in an asynchronous manner. The problem with this division is that async functions can only"&amp;" be called from other async functions. Normal functions on the other hand can be called from any functions — however if you call a normal function that does a blocking operation from an async function it will block the whole event loop and all your corout"&amp;"ines. These limitations usually mean that when writing an using Python`s asyncio you can`t use any of the IO libraries that you use when writing a synchronous application and vice versa unless a library supports usage both in sync and async applications. "&amp;"Now the question is in case you are developing a large and complex library that say allows users to interact with relational databases abstracting away (some of) the differences between the SQL syntax and other aspects of these databases and abstracting a"&amp;"way the differences between the drivers for that database how do you support both sync and async usage of your library without duplicating the code of your library? The way sqlalchemy is organized is that regardless of what database and driver for it you "&amp;"are using you will be calling functions and methods related to Engine Connection etc classes which will do some general work independent of database then apply the logic specific to your database and finally call the functions of your database driver to a"&amp;"ctually communicate with the database. If you are using Python`s asyncio the database driver will expose async functions and methods but the rest of the library that is driver‑independent would ideally remain the same. However the issue is that that you c"&amp;"an`t call the async functions of the driver from the normal functions of the core of the library.    Read more  Total votes 4: ↑4 and ↓0  +4  Add to bookmarks      2     Comments        1               Makeman        Oct  14  at 07:00  GEOMETRY OF SOUND  "&amp;"Reading time      5 min   Views  725 Programming *Algorithms *C# *Mathematics *Software     Surprisingly there are strict mathematical methods that literally allow to hear visual geometric forms and conversely to see the beauty of musical harmonies...[Rea"&amp;"d on Russian]   Read more...  Total votes 3: ↑3 and ↓0  +3  Add to bookmarks      5     Comments        0               Leschev        Oct  11  at 07:30  React Custom Hook: useTimeout Level of difficulty      Medium   Reading time      2 min   Views  1.1K"&amp;" Website development *JavaScript *ReactJS *TypeScript *Visual programming *     Digest      One of the significant advantages of this custom hook is that it ensures the callback function remains up to date even if it changes during component re-renders. B"&amp;"y using a useRef to store the callback reference the hook guarantees that the latest version of the function is always called.   Read more  Total votes 4: ↑2 and ↓2  0  Add to bookmarks      2     Comments        1               gfx_pro        Oct  9  at "&amp;"18:55  A (more) accurate camera sensor dynamic range measurement  Reading time      7 min   Views  504 Photographic equipment Data Engineering *     Analytics       Translation     Hello everyone! In this post let's talk about how to (more) accurately mea"&amp;"sure the dynamic range of a camera sensor and what can be done with these measurements.Of course I am not an expert in computer vision a programmer or a statistician so please feel free to correct me in the comments if I make mistakes in this post. Here m"&amp;"y interest was primarily focused on everyday and practical tasks such as photography but I believe the results may also be useful to computer vision professionals.   Read more  Rating  0  Add to bookmarks      1     Comments        2         Back        H"&amp;"ere            1             2              3               ...              49              50              There     Back                   Your account                         Log in                              Sign up                        Sections "&amp;"                        Articles                              News                              Hubs                              Authors                              Sandbox                        Information                         How it works         "&amp;"                     For authors                              For companies                              Documents                              Agreement                              Confidential                        Services                         Cor"&amp;"porate blogs                              Advertising                              Native advertising                              Education programs                              Startups                              Special projects                Facebo"&amp;"ok Twitter Telegram           Language settings               Support       © 2006–2023  Habr   ")</f>
        <v>All articles in a row / Habr    Habr  β              How to become an author                        All streams                 Development                  Admin                  Design                  Management                  Marketing                  PopSci         Search     Profile          Pull to refresh      All streams            Articles                 Posts                 News                 Hubs                 Authors               All   Dropdown  Copy RSS link          Show first             New          Top             Rating limit             All          ≥0          ≥10          ≥25          ≥50          ≥100               Level of difficulty                       All                          Easy                          Medium                          Hard                     Apply                PaulKarol        Nov  10  at 17:56  Building an IT website aimed at America and the West  Reading time      3 min   Views  148 IT Infrastructure *IT Standards *Research and forecasts in IT *GTD *IT career     My last article stirred up some definite comments and even questions about different things in business. I’m going to keep giving you as much information as I can so that you can continue to do business as IT professionals outside of Russia with other countries. How do you design a website that will be viewed in the west and appreciated by the people there?What are the most important elementsfor America and other western markets?   Read more  Rating  0  Add to bookmarks      3     Comments        0               PaulKarol        Nov  7  at 12:32  Marketing your Mindset  Reading time      2 min   Views  177 IT Infrastructure *IT Standards *Research and forecasts in IT *GTD *IT career     Information shared below is exactly how I work with my IT professionals who are going to be participating in pre-sales to America. I tell them exactly this and it helps prepare them to successfully sell the the United States companies.As developers and IT companies we must sell our software. What can give you an edge in this very competitive market place?Please if you would allow me to let me explain why this is important and how this can make your company more successful.  There’s a certain type of thinking that is conducive to working as a software developer. This is a very practical mindset but it goes beyond that. If you have the mindset of direct thinking.Here are examples:I see the target a target and I don’t see obstaclesВижу цель не вижу препятствийThis is an example of the practical mindset how is approaches the problem of development. It makes people who have this mindset the best developers in the world.Example of mindset:Problem……………… find a solution………… No problem.Notice how this looks exactly like a line of code?This is well-known around the world in places where you would like to sell your software the United States Germany Belgium and the Middle East.Countries where people have this mindset have the best developers. now let’s talk about your competition:Americans: during the center process “find a solution” Americans are overly concerned about responsibility. This slows them down in the decision making process.    Read more  Total votes 1: ↑0 and ↓1  -1  Add to bookmarks      3     Comments        2               kaze_no_saga        Nov  7  at 06:03  PostgreSQL 17: Part 2 or Commitfest 2023-09  Reading time      11 min   Views  384 Postgres Professional corporate blog PostgreSQL *SQL *     Digest       Translation     We continue to follow the news of the PostgreSQL 17 development. Let's find out what the September commitfest brings to the table.If you missed our July commitfest review you can check it out here: 2023-07.Removed the parameter old_snapshot_thresholdNew parameter event_triggersNew functions to_bin and to_octNew system view pg_wait_eventsEXPLAIN: a JIT compilation time counter for tuple deformingPlanner: better estimate of the initial cost of the WindowAgg nodepg_constraint: NOT NULL constraintsNormalization of CALL DEALLOCATE and two-phase commit control commandsunaccent: the target rule expressions now support values in quotation marksCOPY FROM: FORCE_NOT_NULL * and FORCE_NULL *Audit of connections without authenticationpg_stat_subscription: new column worker_typeThe behaviour of pg_promote in case of unsuccessful switchover to a replicaChoosing the disk synchronization method in server utilitiespg_restore: optimization of parallel recovery of a large number of tablespg_basebackup and pg_receivewal with the parameter dbnameParameter names for a number of built-in functionspsql: watch min_rows   Read more →  Total votes 3: ↑3 and ↓0  +3  Add to bookmarks      2     Comments        1               SpringJava        Nov  4  at 12:34  How to Use Throw and Throws in Java Level of difficulty      Easy   Reading time      2 min   Views  347 Programming *Java *     Tutorial      Exception handling in Java is the most effective way to handle runtime errors occurring in the application. This is used to protect the abnormal flow of the execution of the application and continue the application in normal flow. This is the process of handling runtime errors such as ClassNotFoundException IOException etc. The throw and throws keywords are used to handle exceptions in Java.In this topic we will learn how to use throw and throws keywords in Java with examples.   Read more  Total votes 3: ↑3 and ↓0  +3  Add to bookmarks      0     Comments        0               PaulKarol        Nov  3  at 14:20  The key to Sales Conversion of an American CEO or CFO  Reading time      1 min   Views  405 IT Infrastructure *IT Standards *Research and forecasts in IT *GTD *IT career     i’m writing this series articles to spearhead the new marketing campaign for into the American market. I will be covering a wide range of topics that will allow us to position the company in the proper way so that is excepted as a provider of High-quality software in America.The key to converting an American CEO or CFO is the trigger point for the American business culture. The trigger point for America is responsibility.   This means in business you must be responsible. You also look for business partners that are responsible.  But let’s take this into the newest more powerful view that we need to have now.  The scene from the point of you of the CFO sitting at the head of the financial controls of a large hospital conglomerate. Put yourself in the mind of the CFO. What are they concerned about?  As an American CFO they will be very concerned about whether they are being responsible in their job and responsible to the hospital staff shareholders patients and the management above them. And this is how we get our foot in the door in this American niche market. If we present ourselves as offering something that “May” give an answer to specific problems that they know that they have they must give us a chance to present a Presale. The reason is because they are responsible and if there is a solution as an American Director you must explore that solution.It would be irresponsible to not explore a potential solution.Then it’s a simple case to actually give value in the presale meeting and convince them that we can deliver some thing that will benefit their business and profits.   Read more  Total votes 6: ↑0 and ↓6  -6  Add to bookmarks      4     Comments        2               SpringJava        Nov  3  at 10:20  One-to-One Bidirectional Mapping in Spring Boot JPA Level of difficulty      Easy   Reading time      8 min   Views  237 Programming *Java *System Programming *Systems engineering *     Tutorial      This topic will teach us to implement one-to-one(@OneToOne annotation) bidirectional mapping using Spring Boot Hibernate and Spring Data JPA.   Read more  Rating  0  Add to bookmarks      0     Comments        0               RahulKumarsree        Oct  30  at 17:40  Top 10 Best Free Partition Manager Software for Windows PC/Laptop Level of difficulty      Medium   Reading time      12 min   Views  598 Development for Windows *Technical Writing *     Opinion       From sandbox     If you are searching for free partition manager software for your Windows PC then Download the Top and best Partition Manager Software on Windows PC/Laptop.It is a software program that lets us create delete shrink expand split or merge partitions on our hard drives or other storage devices. Without extra software a hard drive will be partitioned into Windows. But we can’t resize or combine them without any extra help.The important aspect of owning a PC is to manage your hard-drive partitions very effectively. Based on categories it divides data to allow people. For example you can keep your multimedia files work folders and your programs in different partitions and install them on your system drive.If you use your PC to double or triple-boot into various operating systems as a power user. Your SSD or HDD must be divided into smaller partitions; otherwise it is impossible.In 2020 in managing software partitions effectively. We help you with Windows and Linux by compiling a list of the best free partition software. So let’s read more to get the free partition manager Windows 10/8/7.   Read more  Rating  0  Add to bookmarks      4     Comments        1               SpringJava        Oct  30  at 16:37  List in Java | Interface Methods Example Level of difficulty      Easy   Reading time      4 min   Views  260 Java *      From sandbox     In this topic we will learn about what is a List in Java. How to create a List in Java? What are the methods of List in Java? The List is an interface in Java. It is extending the Collection interface in Java. This List interface is present in the java.util package in Java. A list represents a group of individual objects as a single entity where duplicates are allowed and insertion order is preserved.   Read more  Rating  0  Add to bookmarks      1     Comments        0               ENCRY        Oct  30  at 15:25  Anonymous identification for groups Level of difficulty      Hard   Reading time      13 min   Views  231 Information Security *    The identification protocol based on the pairing function resistant to impersonation and compatible with the instant digital signature (IDS) mode was studied in this article. This protocol uses prover's and verifier's public keys. As a result there is no anonymity since certificates including personal data of their owners are issued for the mentioned keys. This article contains a description and analysis of new anonymous identification protocols for groups.   Read more  Rating  0  Add to bookmarks      2     Comments        0               Liga_Stavok        Oct  30  at 15:13  Roadmap for Managing Chaos — Planing Migration from a Monolith to Microservices  Reading time      22 min   Views  378 Liga Stavok corporate blog      Roadmap      Roadmap for Managing Chaos - Planing Migration from a Monolith to Microservices This article tries to provide some insight into the complexities of transitioning from monolithic architectures to microservices. Our goal is to offer a high view perspective on the various considerations and challenges that arise during such migrations terms and keywords you will encounter and their role in this endeavor.    Read more  Rating  0  Add to bookmarks      1     Comments        0               ArcaneGamingcom        Oct  30  at 11:55  UX Designer Job Interview: 10 questions to answer 5 questions to ask Level of difficulty      Easy   Reading time      6 min   Views  261 SQL *IT Standards *Usability *GitHub *Data Engineering *     Retrospective       Recovery Mode     No matter how many degrees you have or how high your experience level is your recruiters need to evaluate your knowledge of UX design as a whole. But keep in mind that a job interview is not an exam so here you are expected not to recite the textbook definitions learned by heart but rather share your personal understanding of UX and your role as a designer in general. Consider talking about how you define UX what creates value in the design what are the necessary parts of a UX design process what are the current trends in UX. You might also be asked to explain the difference between UI and UX to see how you understand the role of each in the development process.   Read more  Rating  0  Add to bookmarks      0     Comments        0               brdnicolas        Oct  28  at 12:46  React — Higher Order Components (HOC) Level of difficulty      Medium   Reading time      5 min   Views  1.1K JavaScript *ReactJS *      From sandbox     In the ever-evolving realm of web development mastering advanced concepts is essential for creating robust and flexible applications. In this article we'll delve into one of these foundational React concepts: Higher-Order Components commonly known as HOCs. Whether you're a seasoned developer seeking advanced techniques or a curious beginner eager to learn we'll walk through the creation and application of HOCs step by step. Get ready to enrich your development toolkit with this powerful approach while discovering how to enhance the readability reusability and maintainability of your code.   Learn it  Rating  0  Add to bookmarks      4     Comments        0               Gonchar_POTT        Oct  26  at 08:42  Python Lives in Excel Level of difficulty      Medium   Reading time      5 min   Views  679 Python *Software      Case       Translation     There was already news on Habr about this significant event. Indeed it resembles a retelling of the official Microsoft press release but that's how the 'news' should be.   Read more  Rating  0  Add to bookmarks      2     Comments        0               BarsMonster        Oct  22  at 22:09  Doing 10 minute task in 2 hours using ChatGPT Level of difficulty      Easy   Reading time      4 min   Views  1.8K Programming *Machine learning *Artificial Intelligence      Case      Many of us have heard stories where one was able to complete days worth of work in minutes using AI even being outside of one's area of expertise. Indeed often LLM's do (almost) miracles but today I had a different experience:   Read more  Total votes 3: ↑3 and ↓0  +3  Add to bookmarks      2     Comments        3               gfx_pro        Oct  21  at 15:21  Do smartphone cameras need 12-bit ADCs or my failed experiment Level of difficulty      Medium   Reading time      3 min   Views  388 Image processing *Gadgets Smartphones Photographic equipment      Analytics       Translation     Among photographers it is known that on "big" cameras the use of 14-bit readout compared to 12-bit can have a positive impact on shadow detail. How does this apply to small sensors in smartphone cameras?   Let's find out  Rating  0  Add to bookmarks      1     Comments        0               aozeritsky        Oct  19  at 09:00  High-performance network library using C++20 coroutines Level of difficulty      Medium   Reading time      17 min   Views  13K Programming *C++ *Development for MacOS *Development for Linux *     Tutorial      Asynchronous programming is commonly employed for efficient implementation of network interactions in C++. The essence of this approach lies in the fact that the results of socket read/write functions are not immediately available but become accessible after some time. This approach allows for loading the processor with useful work during the wait for data. Various implementations of this approach exist such as callbacks actors future/promise coroutines. In C++ these implementations are available as libraries from third-party developers or can be implemented independently.Coroutines are the most challenging to implement as they require writing platform-dependent code. However the recent version of the C++ 20 language standard introduces support for coroutines at the compiler and standard library levels. Coroutines are functions that can suspend their execution preserving their state and later return to that state to resume the function's work. The compiler automatically creates a checkpoint with the coroutine's state.For a comprehensive understanding of C++ 20 coroutines refer to this article. Below we examine a code example using coroutines and describe important points applied during implementation.   Read more  Total votes 6: ↑4 and ↓2  +2  Add to bookmarks      7     Comments        11               vda19999        Oct  15  at 11:52  How sqlalchemy uses greenlet to call an async Python function from a normal function  Reading time      5 min   Views  538 Python *    The Python language has two kind of functions — normal functions that you would use in most cases and async functions. The latter functions are used when performing network IO in an asynchronous manner. The problem with this division is that async functions can only be called from other async functions. Normal functions on the other hand can be called from any functions — however if you call a normal function that does a blocking operation from an async function it will block the whole event loop and all your coroutines. These limitations usually mean that when writing an using Python`s asyncio you can`t use any of the IO libraries that you use when writing a synchronous application and vice versa unless a library supports usage both in sync and async applications. Now the question is in case you are developing a large and complex library that say allows users to interact with relational databases abstracting away (some of) the differences between the SQL syntax and other aspects of these databases and abstracting away the differences between the drivers for that database how do you support both sync and async usage of your library without duplicating the code of your library? The way sqlalchemy is organized is that regardless of what database and driver for it you are using you will be calling functions and methods related to Engine Connection etc classes which will do some general work independent of database then apply the logic specific to your database and finally call the functions of your database driver to actually communicate with the database. If you are using Python`s asyncio the database driver will expose async functions and methods but the rest of the library that is driver‑independent would ideally remain the same. However the issue is that that you can`t call the async functions of the driver from the normal functions of the core of the library.    Read more  Total votes 4: ↑4 and ↓0  +4  Add to bookmarks      2     Comments        1               Makeman        Oct  14  at 07:00  GEOMETRY OF SOUND  Reading time      5 min   Views  725 Programming *Algorithms *C# *Mathematics *Software     Surprisingly there are strict mathematical methods that literally allow to hear visual geometric forms and conversely to see the beauty of musical harmonies...[Read on Russian]   Read more...  Total votes 3: ↑3 and ↓0  +3  Add to bookmarks      5     Comments        0               Leschev        Oct  11  at 07:30  React Custom Hook: useTimeout Level of difficulty      Medium   Reading time      2 min   Views  1.1K Website development *JavaScript *ReactJS *TypeScript *Visual programming *     Digest      One of the significant advantages of this custom hook is that it ensures the callback function remains up to date even if it changes during component re-renders. By using a useRef to store the callback reference the hook guarantees that the latest version of the function is always called.   Read more  Total votes 4: ↑2 and ↓2  0  Add to bookmarks      2     Comments        1               gfx_pro        Oct  9  at 18:55  A (more) accurate camera sensor dynamic range measurement  Reading time      7 min   Views  504 Photographic equipment Data Engineering *     Analytics       Translation     Hello everyone! In this post let's talk about how to (more) accurately measure the dynamic range of a camera sensor and what can be done with these measurements.Of course I am not an expert in computer vision a programmer or a statistician so please feel free to correct me in the comments if I make mistakes in this post. Here my interest was primarily focused on everyday and practical tasks such as photography but I believe the results may also be useful to computer vision professionals.   Read more  Rating  0  Add to bookmarks      1     Comments        2         Back        Here            1             2              3               ...              49              50              There     Back                   Your account                         Log in                              Sign up                        Sections                         Articles                              News                              Hubs                              Authors                              Sandbox                        Information                         How it works                              For authors                              For companies                              Documents                              Agreement                              Confidential                        Services                         Corporate blogs                              Advertising                              Native advertising                              Education programs                              Startups                              Special projects                Facebook Twitter Telegram           Language settings               Support       © 2006–2023  Habr   </v>
      </c>
    </row>
    <row r="666">
      <c r="A666" s="1" t="s">
        <v>2180</v>
      </c>
      <c r="B666" s="1" t="s">
        <v>2211</v>
      </c>
      <c r="C666" s="1" t="s">
        <v>2212</v>
      </c>
      <c r="D666" s="1">
        <v>18.0</v>
      </c>
      <c r="E666" s="4" t="s">
        <v>2213</v>
      </c>
      <c r="F666" s="1" t="s">
        <v>16</v>
      </c>
      <c r="I666" s="2">
        <v>2.0</v>
      </c>
      <c r="J666" s="5" t="str">
        <f>IFERROR(__xludf.DUMMYFUNCTION("GOOGLETRANSLATE(A666)"),"translator")</f>
        <v>translator</v>
      </c>
      <c r="K666" s="6" t="str">
        <f>IFERROR(__xludf.DUMMYFUNCTION("GOOGLETRANSLATE(B666)"),"How is the word ""translator"" translated into English?")</f>
        <v>How is the word "translator" translated into English?</v>
      </c>
      <c r="L666" s="5" t="str">
        <f>IFERROR(__xludf.DUMMYFUNCTION("GOOGLETRANSLATE(C666)"),"The translator {male clan} ... I took the translator with me and went to this village, found this grandmother, sat down to talk with her. Expand_more I took a Translator ...")</f>
        <v>The translator {male clan} ... I took the translator with me and went to this village, found this grandmother, sat down to talk with her. Expand_more I took a Translator ...</v>
      </c>
      <c r="M666" s="5" t="str">
        <f>IFERROR(__xludf.DUMMYFUNCTION("GOOGLETRANSLATE(G666)"),"#VALUE!")</f>
        <v>#VALUE!</v>
      </c>
    </row>
    <row r="667">
      <c r="A667" s="1" t="s">
        <v>2180</v>
      </c>
      <c r="B667" s="1" t="s">
        <v>2214</v>
      </c>
      <c r="D667" s="1">
        <v>19.0</v>
      </c>
      <c r="E667" s="4" t="s">
        <v>2215</v>
      </c>
      <c r="F667" s="1" t="s">
        <v>16</v>
      </c>
      <c r="I667" s="2">
        <v>1.0</v>
      </c>
      <c r="J667" s="5" t="str">
        <f>IFERROR(__xludf.DUMMYFUNCTION("GOOGLETRANSLATE(A667)"),"translator")</f>
        <v>translator</v>
      </c>
      <c r="K667" s="6" t="str">
        <f>IFERROR(__xludf.DUMMYFUNCTION("GOOGLETRANSLATE(B667)"),"New translator")</f>
        <v>New translator</v>
      </c>
      <c r="L667" s="5" t="str">
        <f>IFERROR(__xludf.DUMMYFUNCTION("GOOGLETRANSLATE(C667)"),"#VALUE!")</f>
        <v>#VALUE!</v>
      </c>
      <c r="M667" s="5" t="str">
        <f>IFERROR(__xludf.DUMMYFUNCTION("GOOGLETRANSLATE(G667)"),"#VALUE!")</f>
        <v>#VALUE!</v>
      </c>
    </row>
    <row r="668">
      <c r="A668" s="1" t="s">
        <v>2180</v>
      </c>
      <c r="B668" s="1" t="s">
        <v>2216</v>
      </c>
      <c r="C668" s="1" t="s">
        <v>2217</v>
      </c>
      <c r="D668" s="1">
        <v>20.0</v>
      </c>
      <c r="E668" s="4" t="s">
        <v>2218</v>
      </c>
      <c r="F668" s="1" t="s">
        <v>16</v>
      </c>
      <c r="G668" s="1" t="s">
        <v>2219</v>
      </c>
      <c r="H668" s="4" t="s">
        <v>2220</v>
      </c>
      <c r="I668" s="2">
        <v>1.0</v>
      </c>
      <c r="J668" s="5" t="str">
        <f>IFERROR(__xludf.DUMMYFUNCTION("GOOGLETRANSLATE(A668)"),"translator")</f>
        <v>translator</v>
      </c>
      <c r="K668" s="6" t="str">
        <f>IFERROR(__xludf.DUMMYFUNCTION("GOOGLETRANSLATE(B668)"),"Try Microsoft Translator free")</f>
        <v>Try Microsoft Translator free</v>
      </c>
      <c r="L668" s="5" t="str">
        <f>IFERROR(__xludf.DUMMYFUNCTION("GOOGLETRANSLATE(C668)"),"Microsoft translator allows you to quickly and easily translate Word, PDF, PowerPoint, regular text or documents Excel. You can also configure and thin ...")</f>
        <v>Microsoft translator allows you to quickly and easily translate Word, PDF, PowerPoint, regular text or documents Excel. You can also configure and thin ...</v>
      </c>
      <c r="M668" s="5" t="str">
        <f>IFERROR(__xludf.DUMMYFUNCTION("GOOGLETRANSLATE(G668)"),"Microsoft – Cloud Computers Apps &amp; Gaming Skip to main contentMicrosoftMicrosoft 365TeamsWindowsSurfaceXboxDealsSmall BusinessSupportMore  All MicrosoftGlobalMicrosoft 365TeamsWindowsSurfaceXboxDealsSmall BusinessSupportSoftwareSoftwareWindows AppsAIOutlo"&amp;"okOneDriveMicrosoft TeamsOneNoteMicrosoft EdgeSkypePCs &amp; Devices  PCs &amp; Devices  ComputersShop XboxAccessoriesVR &amp; mixed realityCertified RefurbishedTrade-in for cashEntertainmentEntertainmentXbox Game Pass UltimatePC Game PassXbox gamesPC and Windows gam"&amp;"esMovies &amp; TVBusinessBusinessMicrosoft CloudMicrosoft SecurityDynamics 365Microsoft 365 for businessMicrosoft Power PlatformWindows 365Microsoft IndustrySmall BusinessDeveloper &amp; IT  Developer &amp; IT  AzureDeveloper CenterDocumentationMicrosoft LearnMicroso"&amp;"ft Tech CommunityAzure MarketplaceAppSourceVisual StudioOtherOtherMicrosoft Rewards Free downloads &amp; securityEducationGift cardsHoliday giftsLicensingUnlocked storiesView SitemapSearchSearch Microsoft.com No resultsCancel0Cart0 items in shopping cartSign "&amp;"in        Merry reasons to shop now: Buy now pay later. As low as 0% APR + price protection        Slide %{start} of %{total}. %{slideTitle}						Skip featured products and announcements slideshow: navigate using the slide tabs 						PausePreviousNext    "&amp;"                                    Up to $570 off Surface Pro 9                                                                    Laptop power tablet flexibility—save now on select devices and unwrap possibility all year long. Offer ends 11/12.         "&amp;"                                           Shop Surface Pro 9                                        Helping communities recover quickly                                                                    AI helps Team Rubicon a veteran-led humanitarian or"&amp;"ganization provide disaster response to people when they need it most.                                                    Find out moreEnd of featured products and announcements slideshow: navigate using the slide tabs section                Shop Surface "&amp;"devices                                    Buy Xbox games and consoles                                    Choose your Microsoft 365                                    Shop for accessories                                    Shop Business                   "&amp;"                                 Get up to $600 cash back with a qualified trade-in                             For a limited time increase the value of your eligible trade-in device and get extra cash back when you buy a new Surface Laptop Studio 2.*    "&amp;"                     Shop Surface Laptop Studio 2                                             Save up to $300 on select Surface Laptop 5                             Give the whole package with the perfect balance of sophisticated style speed and serious p"&amp;"rocessing power. Offer ends 11/12.                         Shop Surface Laptop 5                                             Give the best value in gaming                             Experience next-gen speed and performance at a great price with Xbox Ser"&amp;"ies S – 1TB (Carbon Black).                         Shop Xbox Series S                                             Call of Duty®: Modern Warfare® III is here                             In the direct sequel to the record-breaking Call of Duty®: Modern War"&amp;"fare® II Captain Price and Task Force 141 face off against the ultimate threat.                         Get it now                                                     Buy Xbox Series X get a free game                                                       "&amp;"             Get your choice of select game when you purchase a new Xbox Series X console.                                                    Shop Xbox Series XFor business                                Surface Pro 9 for Business                         "&amp;"    Get next-level security with Surface Pro 9 for Business and Windows 11 Pro to help ensure your information is protected.                         Surface Pro 9 for Business                                             Windows 11 for business            "&amp;"                 Designed for hybrid work. Powerful for employees. Consistent for IT. Secure for all.                         Learn more                                             Join the era of AI                             Create communicate and code"&amp;" with the latest Microsoft AI solutions.                         Explore AI solutions                                             Register now for Microsoft Ignite                             Join us November 15-16 to explore the latest AI innovations con"&amp;"nect with experts and partners and level up your skill set.                         Register now             Slide %{start} of %{total}. %{slideTitle}						Skip human-interest articles and stories slideshow: navigate using the slide tabs 						PausePrevio"&amp;"usNext                                        Powering a better game                                                                    NFL's NY Jets first-round draft picks achieve more with Microsoft Surface.                                             "&amp;"       Find out how                                        Our approach to responsible innovation                                                                    Learn about the commitments and progress we’re making to ensure that Microsoft technology "&amp;"benefits everyone in this era of AI.                                                    Explore our progressEnd of human-interest articles and stories slideshow: navigate using the slide tabs section            Follow Microsoft                            "&amp;"            Back to top            What's newSurface Laptop Studio 2Surface Laptop Go 3Surface Pro 9Surface Laptop 5Surface Studio 2+Copilot in WindowsMicrosoft 365Windows 11 appsMicrosoft StoreAccount profileDownload CenterMicrosoft Store supportReturnsO"&amp;"rder trackingCertified RefurbishedMicrosoft Store PromiseFlexible PaymentsEducationMicrosoft in educationDevices for educationMicrosoft Teams for EducationMicrosoft 365 EducationHow to buy for your schoolEducator training and developmentDeals for students"&amp;" and parentsAzure for studentsBusinessMicrosoft CloudMicrosoft SecurityDynamics 365Microsoft 365Microsoft Power PlatformMicrosoft TeamsMicrosoft IndustrySmall BusinessDeveloper &amp; ITAzureDeveloper CenterDocumentationMicrosoft LearnMicrosoft Tech CommunityA"&amp;"zure MarketplaceAppSourceVisual StudioCompanyCareersAbout MicrosoftCompany newsPrivacy at MicrosoftInvestorsDiversity and inclusionAccessibilitySustainabilityEnglish (United States)California Consumer Privacy Act (CCPA) Opt-Out IconYour Privacy ChoicesCal"&amp;"ifornia Consumer Privacy Act (CCPA) Opt-Out IconYour Privacy ChoicesSitemapContact MicrosoftPrivacy Manage cookiesTerms of useTrademarksSafety &amp; ecoRecyclingAbout our ads© Microsoft 2023")</f>
        <v>Microsoft – Cloud Computers Apps &amp; Gaming Skip to main contentMicrosoftMicrosoft 365TeamsWindowsSurfaceXboxDealsSmall BusinessSupportMore  All MicrosoftGlobalMicrosoft 365TeamsWindowsSurfaceXboxDealsSmall BusinessSupportSoftwareSoftwareWindows AppsAIOutlookOneDriveMicrosoft TeamsOneNoteMicrosoft EdgeSkypePCs &amp; Devices  PCs &amp; Devices  ComputersShop XboxAccessoriesVR &amp; mixed realityCertified RefurbishedTrade-in for cashEntertainmentEntertainmentXbox Game Pass UltimatePC Game PassXbox gamesPC and Windows gamesMovies &amp; TVBusinessBusinessMicrosoft CloudMicrosoft SecurityDynamics 365Microsoft 365 for businessMicrosoft Power PlatformWindows 365Microsoft IndustrySmall BusinessDeveloper &amp; IT  Developer &amp; IT  AzureDeveloper CenterDocumentationMicrosoft LearnMicrosoft Tech CommunityAzure MarketplaceAppSourceVisual StudioOtherOtherMicrosoft Rewards Free downloads &amp; securityEducationGift cardsHoliday giftsLicensingUnlocked storiesView SitemapSearchSearch Microsoft.com No resultsCancel0Cart0 items in shopping cartSign in        Merry reasons to shop now: Buy now pay later. As low as 0% APR + price protection        Slide %{start} of %{total}. %{slideTitle}						Skip featured products and announcements slideshow: navigate using the slide tabs 						PausePreviousNext                                        Up to $570 off Surface Pro 9                                                                    Laptop power tablet flexibility—save now on select devices and unwrap possibility all year long. Offer ends 11/12.                                                    Shop Surface Pro 9                                        Helping communities recover quickly                                                                    AI helps Team Rubicon a veteran-led humanitarian organization provide disaster response to people when they need it most.                                                    Find out moreEnd of featured products and announcements slideshow: navigate using the slide tabs section                Shop Surface devices                                    Buy Xbox games and consoles                                    Choose your Microsoft 365                                    Shop for accessories                                    Shop Business                                                    Get up to $600 cash back with a qualified trade-in                             For a limited time increase the value of your eligible trade-in device and get extra cash back when you buy a new Surface Laptop Studio 2.*                         Shop Surface Laptop Studio 2                                             Save up to $300 on select Surface Laptop 5                             Give the whole package with the perfect balance of sophisticated style speed and serious processing power. Offer ends 11/12.                         Shop Surface Laptop 5                                             Give the best value in gaming                             Experience next-gen speed and performance at a great price with Xbox Series S – 1TB (Carbon Black).                         Shop Xbox Series S                                             Call of Duty®: Modern Warfare® III is here                             In the direct sequel to the record-breaking Call of Duty®: Modern Warfare® II Captain Price and Task Force 141 face off against the ultimate threat.                         Get it now                                                     Buy Xbox Series X get a free game                                                                    Get your choice of select game when you purchase a new Xbox Series X console.                                                    Shop Xbox Series XFor business                                Surface Pro 9 for Business                             Get next-level security with Surface Pro 9 for Business and Windows 11 Pro to help ensure your information is protected.                         Surface Pro 9 for Business                                             Windows 11 for business                             Designed for hybrid work. Powerful for employees. Consistent for IT. Secure for all.                         Learn more                                             Join the era of AI                             Create communicate and code with the latest Microsoft AI solutions.                         Explore AI solutions                                             Register now for Microsoft Ignite                             Join us November 15-16 to explore the latest AI innovations connect with experts and partners and level up your skill set.                         Register now             Slide %{start} of %{total}. %{slideTitle}						Skip human-interest articles and stories slideshow: navigate using the slide tabs 						PausePreviousNext                                        Powering a better game                                                                    NFL's NY Jets first-round draft picks achieve more with Microsoft Surface.                                                    Find out how                                        Our approach to responsible innovation                                                                    Learn about the commitments and progress we’re making to ensure that Microsoft technology benefits everyone in this era of AI.                                                    Explore our progressEnd of human-interest articles and stories slideshow: navigate using the slide tabs section            Follow Microsoft                                        Back to top            What's newSurface Laptop Studio 2Surface Laptop Go 3Surface Pro 9Surface Laptop 5Surface Studio 2+Copilot in WindowsMicrosoft 365Windows 11 appsMicrosoft StoreAccount profileDownload CenterMicrosoft Store supportReturnsOrder trackingCertified RefurbishedMicrosoft Store PromiseFlexible PaymentsEducationMicrosoft in educationDevices for educationMicrosoft Teams for EducationMicrosoft 365 EducationHow to buy for your schoolEducator training and developmentDeals for students and parentsAzure for studentsBusinessMicrosoft CloudMicrosoft SecurityDynamics 365Microsoft 365Microsoft Power PlatformMicrosoft TeamsMicrosoft IndustrySmall BusinessDeveloper &amp; ITAzureDeveloper CenterDocumentationMicrosoft LearnMicrosoft Tech CommunityAzure MarketplaceAppSourceVisual StudioCompanyCareersAbout MicrosoftCompany newsPrivacy at MicrosoftInvestorsDiversity and inclusionAccessibilitySustainabilityEnglish (United States)California Consumer Privacy Act (CCPA) Opt-Out IconYour Privacy ChoicesCalifornia Consumer Privacy Act (CCPA) Opt-Out IconYour Privacy ChoicesSitemapContact MicrosoftPrivacy Manage cookiesTerms of useTrademarksSafety &amp; ecoRecyclingAbout our ads© Microsoft 2023</v>
      </c>
    </row>
    <row r="669">
      <c r="A669" s="1" t="s">
        <v>2180</v>
      </c>
      <c r="B669" s="1" t="s">
        <v>2221</v>
      </c>
      <c r="D669" s="1">
        <v>32.0</v>
      </c>
      <c r="E669" s="4" t="s">
        <v>2222</v>
      </c>
      <c r="F669" s="1" t="s">
        <v>16</v>
      </c>
      <c r="G669" s="1" t="s">
        <v>228</v>
      </c>
      <c r="H669" s="4" t="s">
        <v>229</v>
      </c>
      <c r="I669" s="2">
        <v>0.0</v>
      </c>
      <c r="J669" s="5" t="str">
        <f>IFERROR(__xludf.DUMMYFUNCTION("GOOGLETRANSLATE(A669)"),"translator")</f>
        <v>translator</v>
      </c>
      <c r="K669" s="6" t="str">
        <f>IFERROR(__xludf.DUMMYFUNCTION("GOOGLETRANSLATE(B669)"),"Translator - result from Google Book")</f>
        <v>Translator - result from Google Book</v>
      </c>
      <c r="L669" s="5" t="str">
        <f>IFERROR(__xludf.DUMMYFUNCTION("GOOGLETRANSLATE(C669)"),"#VALUE!")</f>
        <v>#VALUE!</v>
      </c>
      <c r="M669" s="5" t="str">
        <f>IFERROR(__xludf.DUMMYFUNCTION("GOOGLETRANSLATE(G669)"),"Google �����������������������PlayYouTube����������������������������������������� ����������������������Blogger����������������������� �������� »Account Options��������������� ������� ���������� � ������� �������������������� ��������������� ������������"&amp;"������������� ��������������������")</f>
        <v>Google �����������������������PlayYouTube����������������������������������������� ����������������������Blogger����������������������� �������� »Account Options��������������� ������� ���������� � ������� �������������������� ��������������� ������������������������� ��������������������</v>
      </c>
    </row>
    <row r="670">
      <c r="A670" s="1" t="s">
        <v>2180</v>
      </c>
      <c r="B670" s="1" t="s">
        <v>2221</v>
      </c>
      <c r="D670" s="1">
        <v>34.0</v>
      </c>
      <c r="E670" s="4" t="s">
        <v>2223</v>
      </c>
      <c r="F670" s="1" t="s">
        <v>16</v>
      </c>
      <c r="G670" s="1" t="s">
        <v>228</v>
      </c>
      <c r="H670" s="4" t="s">
        <v>229</v>
      </c>
      <c r="I670" s="2">
        <v>0.0</v>
      </c>
      <c r="J670" s="5" t="str">
        <f>IFERROR(__xludf.DUMMYFUNCTION("GOOGLETRANSLATE(A670)"),"translator")</f>
        <v>translator</v>
      </c>
      <c r="K670" s="6" t="str">
        <f>IFERROR(__xludf.DUMMYFUNCTION("GOOGLETRANSLATE(B670)"),"Translator - result from Google Book")</f>
        <v>Translator - result from Google Book</v>
      </c>
      <c r="L670" s="5" t="str">
        <f>IFERROR(__xludf.DUMMYFUNCTION("GOOGLETRANSLATE(C670)"),"#VALUE!")</f>
        <v>#VALUE!</v>
      </c>
      <c r="M670" s="5" t="str">
        <f>IFERROR(__xludf.DUMMYFUNCTION("GOOGLETRANSLATE(G670)"),"Google �����������������������PlayYouTube����������������������������������������� ����������������������Blogger����������������������� �������� »Account Options��������������� ������� ���������� � ������� �������������������� ��������������� ������������"&amp;"������������� ��������������������")</f>
        <v>Google �����������������������PlayYouTube����������������������������������������� ����������������������Blogger����������������������� �������� »Account Options��������������� ������� ���������� � ������� �������������������� ��������������� ������������������������� ��������������������</v>
      </c>
    </row>
    <row r="671">
      <c r="A671" s="1" t="s">
        <v>2180</v>
      </c>
      <c r="B671" s="1" t="s">
        <v>2120</v>
      </c>
      <c r="C671" s="1" t="s">
        <v>2182</v>
      </c>
      <c r="D671" s="1">
        <v>3.0</v>
      </c>
      <c r="E671" s="4" t="s">
        <v>2224</v>
      </c>
      <c r="F671" s="1" t="s">
        <v>43</v>
      </c>
      <c r="G671" s="1" t="s">
        <v>2123</v>
      </c>
      <c r="H671" s="4" t="s">
        <v>2124</v>
      </c>
      <c r="I671" s="2">
        <v>0.0</v>
      </c>
      <c r="J671" s="5" t="str">
        <f>IFERROR(__xludf.DUMMYFUNCTION("GOOGLETRANSLATE(A671)"),"translator")</f>
        <v>translator</v>
      </c>
      <c r="K671" s="6" t="str">
        <f>IFERROR(__xludf.DUMMYFUNCTION("GOOGLETRANSLATE(B671)"),"Deepl Translate - the most accurate translator in the world")</f>
        <v>Deepl Translate - the most accurate translator in the world</v>
      </c>
      <c r="L671" s="5" t="str">
        <f>IFERROR(__xludf.DUMMYFUNCTION("GOOGLETRANSLATE(C671)"),"Millions of users are translated every day using Deepl. A translator from English, German, French and other languages ​​into Russian. · Original text ...")</f>
        <v>Millions of users are translated every day using Deepl. A translator from English, German, French and other languages ​​into Russian. · Original text ...</v>
      </c>
      <c r="M671" s="5" t="str">
        <f>IFERROR(__xludf.DUMMYFUNCTION("GOOGLETRANSLATE(G671)"),"DeepL Translate: The world's most accurate translatorMillions translate with DeepL every day. Popular: Spanish to English French to English and Japanese to English.Translation modesTranslate text31 languagesTranslate files.pdf .docx .pptxDeepL WriteAI-pow"&amp;"ered editsTranslate textSelect source language. Currently selected:Detect languageSelect target language. Currently selected:English (US)Source textType to translate.Drag and drop to translate PDF Word (.docx) and PowerPoint (.pptx) files with our documen"&amp;"t translator.Translation resultsDictionaryThe dictionary is unavailable for this language pair.Perfect your writing with DeepL WritebetaFix grammar and punctuation mistakes rephrase sentences express nuances and find your perfect tone of voice.Start writi"&amp;"ngUnlock DeepL’s full potential – Try DeepL Pro for freeTry Pro for 30 days freeYou are using the free version of DeepLTranslate up to 3000 charactersTranslate 3 locked documents/month10 glossary entriesUnlock DeepL Pro featuresMaximum data securityUnlimi"&amp;"ted text translationTranslate and edit more documentsSee more featuresDeepL in the PressTech giants Google Microsoft and Facebook are all applying the lessons of machine learning to translation but a small company called DeepL has outdone them all and rai"&amp;"sed the bar for the field.&lt;br&gt;Its translation tool is just as quick as the outsized competition but more accurate and nuanced than any we’ve tried.Tech giants Google Microsoft and Facebook are all applying the lessons of machine learning to translation bu"&amp;"t a small company called DeepL has outdone them all and raised the bar for the field.Its translation tool is just as quick as the outsized competition but more accurate and nuanced than any we’ve tried.TechCrunchUSADeepL has also outperformed other servic"&amp;"es thanks to more ""French-sounding"" expressions.DeepL has also outperformed other services thanks to more ""French-sounding"" expressions.Le MondeFranceEven though the translations from English by Google and Microsoft are quite good DeepL still surpasse"&amp;"s them. We have translated a report from a French daily newspaper - the DeepL result was perfect.Even though the translations from English by Google and Microsoft are quite good DeepL still surpasses them. We have translated a report from a French daily n"&amp;"ewspaper - the DeepL result was perfect.Golem.deGermanyA quick test carried out for the combination English-Italian and vice versa even without any statistical pretensions allowed us to confirm that the quality of the translation is really good. Especiall"&amp;"y from Italian into English.A quick test carried out for the combination English-Italian and vice versa even without any statistical pretensions allowed us to confirm that the quality of the translation is really good. Especially from Italian into English"&amp;".La StampaItalyThe system recognizes the language quickly and automatically converting the words into the language you want and trying to add the particular linguistic nuances and expressions.The system recognizes the language quickly and automatically co"&amp;"nverting the words into the language you want and trying to add the particular linguistic nuances and expressions.ABCSpainIndeed a few tests show that DeepL Translator offers better translations than Google Translate when it comes to Dutch to English and "&amp;"vice versa.Indeed a few tests show that DeepL Translator offers better translations than Google Translate when it comes to Dutch to English and vice versa.RTL ZNetherlandsIn the first test - from English into Italian - it proved to be very accurate especi"&amp;"ally good at grasping the meaning of the sentence rather than being derailed by a literal translation.In the first test - from English into Italian - it proved to be very accurate especially good at grasping the meaning of the sentence rather than being d"&amp;"erailed by a literal translation.la RepubblicaItalyPersonally I'm very impressed by what DeepL is able to do and yes I think it's really great that this new stage in the evolution of machine translation was not achieved with software from Facebook Microso"&amp;"ft Apple or Google but by a German company. We like to make ourselves a little bit small and pretend that there is no one in this country who can stand up to the big players. DeepL is a good example that it is possible.Personally I'm very impressed by wha"&amp;"t DeepL is able to do and yes I think it's really great that this new stage in the evolution of machine translation was not achieved with software from Facebook Microsoft Apple or Google but by a German company. We like to make ourselves a little bit smal"&amp;"l and pretend that there is no one in this country who can stand up to the big players. DeepL is a good example that it is possible.Mobile GeeksGermanyDeepL from Germany could surpass Google Translate&lt;br&gt;WIRED's quick test shows that DeepL's results are i"&amp;"ndeed in no way inferior to those of the high-ranking competitors and in many cases even surpass them. The translated texts often read much more fluently; where Google Translate forms completely meaningless word chains DeepL can at least guess a connectio"&amp;"n.DeepL from Germany could surpass Google TranslateWIRED's quick test shows that DeepL's results are indeed in no way inferior to those of the high-ranking competitors and in many cases even surpass them. The translated texts often read much more fluently"&amp;"; where Google Translate forms completely meaningless word chains DeepL can at least guess a connection.WIRED.deGermanyDeepL an online translator that outperforms Google Microsoft and FacebookDeepL an online translator that outperforms Google Microsoft an"&amp;"d Facebookwwwhat's newLatin AmericaTech giants Google Microsoft and Facebook are all applying the lessons of machine learning to translation but a small company called DeepL has outdone them all and raised the bar for the field.&lt;br&gt;Its translation tool is"&amp;" just as quick as the outsized competition but more accurate and nuanced than any we’ve tried.DeepL has also outperformed other services thanks to more ""French-sounding"" expressions.Even though the translations from English by Google and Microsoft are q"&amp;"uite good DeepL still surpasses them. We have translated a report from a French daily newspaper - the DeepL result was perfect.A quick test carried out for the combination English-Italian and vice versa even without any statistical pretensions allowed us "&amp;"to confirm that the quality of the translation is really good. Especially from Italian into English.The system recognizes the language quickly and automatically converting the words into the language you want and trying to add the particular linguistic nu"&amp;"ances and expressions.Indeed a few tests show that DeepL Translator offers better translations than Google Translate when it comes to Dutch to English and vice versa.In the first test - from English into Italian - it proved to be very accurate especially "&amp;"good at grasping the meaning of the sentence rather than being derailed by a literal translation.Personally I'm very impressed by what DeepL is able to do and yes I think it's really great that this new stage in the evolution of machine translation was no"&amp;"t achieved with software from Facebook Microsoft Apple or Google but by a German company. We like to make ourselves a little bit small and pretend that there is no one in this country who can stand up to the big players. DeepL is a good example that it is"&amp;" possible.DeepL from Germany could surpass Google Translate&lt;br&gt;WIRED's quick test shows that DeepL's results are indeed in no way inferior to those of the high-ranking competitors and in many cases even surpass them. The translated texts often read much m"&amp;"ore fluently; where Google Translate forms completely meaningless word chains DeepL can at least guess a connection.DeepL an online translator that outperforms Google Microsoft and FacebookDeepL is hiring! Join us in breaking down language barriersSee ope"&amp;"n jobsMillions translate with DeepL every day.Popular:  English to Chinese English to French and Chinese to English.Other languages:BulgarianCzechDanishGermanGreekSpanishEstonianFinnishFrenchHungarianIndonesianItalianJapaneseKoreanLithuanianLatvianNorwegi"&amp;"anDutchPolishPortugueseRomanianRussianSlovakSlovenianSwedishTurkishUkrainianChineseLanguageEnglishDeutschEnglishEspañol日本語FrançaisItaliano한국어NederlandsPolskiPortuguês (Brasil)PortuguêsРусский简体中文ČeštinaSvenskaTürkçeBahasa IndonesiaУкраїнськаResourcesHelp "&amp;"CenterBlogAPI documentationAccessibilityData securityPrivacy policyTerms &amp; ConditionsProductFree translatorFeaturesDeepL ProTranslation APIDeepL WriteDownloadDeepL for AndroidDeepL for ChromeOSDeepL for iPhoneDeepL for iPadDeepL for MacDeepL for WindowsDe"&amp;"epL Chrome extensionDeepL Edge extensionCompanyContact SalesPressCareersPublisher")</f>
        <v>DeepL Translate: The world's most accurate translatorMillions translate with DeepL every day. Popular: Spanish to English French to English and Japanese to English.Translation modesTranslate text31 languagesTranslate files.pdf .docx .pptxDeepL WriteAI-powered editsTranslate textSelect source language. Currently selected:Detect languageSelect target language. Currently selected:English (US)Source textType to translate.Drag and drop to translate PDF Word (.docx) and PowerPoint (.pptx) files with our document translator.Translation resultsDictionaryThe dictionary is unavailable for this language pair.Perfect your writing with DeepL WritebetaFix grammar and punctuation mistakes rephrase sentences express nuances and find your perfect tone of voice.Start writingUnlock DeepL’s full potential – Try DeepL Pro for freeTry Pro for 30 days freeYou are using the free version of DeepLTranslate up to 3000 charactersTranslate 3 locked documents/month10 glossary entriesUnlock DeepL Pro featuresMaximum data securityUnlimited text translationTranslate and edit more documentsSee more featuresDeepL in the PressTech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tried.Tech giants Google Microsoft and Facebook are all applying the lessons of machine learning to translation but a small company called DeepL has outdone them all and raised the bar for the field.Its translation tool is just as quick as the outsized competition but more accurate and nuanced than any we’ve tried.TechCrunchUSADeepL has also outperformed other services thanks to more "French-sounding" expressions.DeepL has also outperformed other services thanks to more "French-sounding" expressions.Le MondeFranceEven though the translations from English by Google and Microsoft are quite good DeepL still surpasses them. We have translated a report from a French daily newspaper - the DeepL result was perfect.Even though the translations from English by Google and Microsoft are quite good DeepL still surpasses them. We have translated a report from a French daily newspaper - the DeepL result was perfect.Golem.deGermanyA quick test carried out for the combination English-Italian and vice versa even without any statistical pretensions allowed us to confirm that the quality of the translation is really good. Especially from Italian into English.A quick test carried out for the combination English-Italian and vice versa even without any statistical pretensions allowed us to confirm that the quality of the translation is really good. Especially from Italian into English.La StampaItalyThe system recognizes the language quickly and automatically converting the words into the language you want and trying to add the particular linguistic nuances and expressions.The system recognizes the language quickly and automatically converting the words into the language you want and trying to add the particular linguistic nuances and expressions.ABCSpainIndeed a few tests show that DeepL Translator offers better translations than Google Translate when it comes to Dutch to English and vice versa.Indeed a few tests show that DeepL Translator offers better translations than Google Translate when it comes to Dutch to English and vice versa.RTL ZNetherlandsIn the first test - from English into Italian - it proved to be very accurate especially good at grasping the meaning of the sentence rather than being derailed by a literal translation.In the first test - from English into Italian - it proved to be very accurate especially good at grasping the meaning of the sentence rather than being derailed by a literal translation.la RepubblicaItalyPersonally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possible.Mobile GeeksGermanyDeepL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from Germany could surpass Google TranslateWIRED's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connection.WIRED.deGermanyDeepL an online translator that outperforms Google Microsoft and FacebookDeepL an online translator that outperforms Google Microsoft and Facebookwwwhat's newLatin AmericaTech giants Google Microsoft and Facebook are all applying the lessons of machine learning to translation but a small company called DeepL has outdone them all and raised the bar for the field.&lt;br&gt;Its translation tool is just as quick as the outsized competition but more accurate and nuanced than any we’ve tried.DeepL has also outperformed other services thanks to more "French-sounding" expressions.Even though the translations from English by Google and Microsoft are quite good DeepL still surpasses them. We have translated a report from a French daily newspaper - the DeepL result was perfect.A quick test carried out for the combination English-Italian and vice versa even without any statistical pretensions allowed us to confirm that the quality of the translation is really good. Especially from Italian into English.The system recognizes the language quickly and automatically converting the words into the language you want and trying to add the particular linguistic nuances and expressions.Indeed a few tests show that DeepL Translator offers better translations than Google Translate when it comes to Dutch to English and vice versa.In the first test - from English into Italian - it proved to be very accurate especially good at grasping the meaning of the sentence rather than being derailed by a literal translation.Personally I'm very impressed by what DeepL is able to do and yes I think it's really great that this new stage in the evolution of machine translation was not achieved with software from Facebook Microsoft Apple or Google but by a German company. We like to make ourselves a little bit small and pretend that there is no one in this country who can stand up to the big players. DeepL is a good example that it is possible.DeepL from Germany could surpass Google Translate&lt;br&gt;WIRED's quick test shows that DeepL's results are indeed in no way inferior to those of the high-ranking competitors and in many cases even surpass them. The translated texts often read much more fluently; where Google Translate forms completely meaningless word chains DeepL can at least guess a connection.DeepL an online translator that outperforms Google Microsoft and FacebookDeepL is hiring! Join us in breaking down language barriersSee open jobsMillions translate with DeepL every day.Popular:  English to Chinese English to French and Chinese to English.Other languages:BulgarianCzechDanishGermanGreekSpanishEstonianFinnishFrenchHungarianIndonesianItalianJapaneseKoreanLithuanianLatvianNorwegianDutchPolishPortugueseRomanianRussianSlovakSlovenianSwedishTurkishUkrainianChineseLanguageEnglishDeutschEnglishEspañol日本語FrançaisItaliano한국어NederlandsPolskiPortuguês (Brasil)PortuguêsРусский简体中文ČeštinaSvenskaTürkçeBahasa IndonesiaУкраїнськаResourcesHelp CenterBlogAPI documentationAccessibilityData securityPrivacy policyTerms &amp; ConditionsProductFree translatorFeaturesDeepL ProTranslation APIDeepL WriteDownloadDeepL for AndroidDeepL for ChromeOSDeepL for iPhoneDeepL for iPadDeepL for MacDeepL for WindowsDeepL Chrome extensionDeepL Edge extensionCompanyContact SalesPressCareersPublisher</v>
      </c>
    </row>
    <row r="672">
      <c r="A672" s="1" t="s">
        <v>2180</v>
      </c>
      <c r="B672" s="1" t="s">
        <v>2135</v>
      </c>
      <c r="D672" s="1">
        <v>5.0</v>
      </c>
      <c r="E672" s="4" t="s">
        <v>2137</v>
      </c>
      <c r="F672" s="1" t="s">
        <v>43</v>
      </c>
      <c r="G672" s="1" t="s">
        <v>120</v>
      </c>
      <c r="H672" s="4" t="s">
        <v>121</v>
      </c>
      <c r="I672" s="2">
        <v>1.0</v>
      </c>
      <c r="J672" s="5" t="str">
        <f>IFERROR(__xludf.DUMMYFUNCTION("GOOGLETRANSLATE(A672)"),"translator")</f>
        <v>translator</v>
      </c>
      <c r="K672" s="6" t="str">
        <f>IFERROR(__xludf.DUMMYFUNCTION("GOOGLETRANSLATE(B672)"),"Applications in Google Play - Google Translator")</f>
        <v>Applications in Google Play - Google Translator</v>
      </c>
      <c r="L672" s="5" t="str">
        <f>IFERROR(__xludf.DUMMYFUNCTION("GOOGLETRANSLATE(C672)"),"#VALUE!")</f>
        <v>#VALUE!</v>
      </c>
      <c r="M672" s="5" t="str">
        <f>IFERROR(__xludf.DUMMYFUNCTION("GOOGLETRANSLATE(G672)"),"Android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673">
      <c r="A673" s="1" t="s">
        <v>2180</v>
      </c>
      <c r="B673" s="1" t="s">
        <v>2225</v>
      </c>
      <c r="D673" s="1">
        <v>7.0</v>
      </c>
      <c r="E673" s="4" t="s">
        <v>2226</v>
      </c>
      <c r="F673" s="1" t="s">
        <v>43</v>
      </c>
      <c r="G673" s="1" t="s">
        <v>97</v>
      </c>
      <c r="H673" s="4" t="s">
        <v>98</v>
      </c>
      <c r="I673" s="2">
        <v>1.0</v>
      </c>
      <c r="J673" s="5" t="str">
        <f>IFERROR(__xludf.DUMMYFUNCTION("GOOGLETRANSLATE(A673)"),"translator")</f>
        <v>translator</v>
      </c>
      <c r="K673" s="6" t="str">
        <f>IFERROR(__xludf.DUMMYFUNCTION("GOOGLETRANSLATE(B673)"),"Google Translator - App Store")</f>
        <v>Google Translator - App Store</v>
      </c>
      <c r="L673" s="5" t="str">
        <f>IFERROR(__xludf.DUMMYFUNCTION("GOOGLETRANSLATE(C673)"),"#VALUE!")</f>
        <v>#VALUE!</v>
      </c>
      <c r="M673" s="5" t="str">
        <f>IFERROR(__xludf.DUMMYFUNCTION("GOOGLETRANSLATE(G673)"),"App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674">
      <c r="A674" s="1" t="s">
        <v>2180</v>
      </c>
      <c r="B674" s="1" t="s">
        <v>2227</v>
      </c>
      <c r="C674" s="1" t="s">
        <v>2228</v>
      </c>
      <c r="D674" s="1">
        <v>10.0</v>
      </c>
      <c r="E674" s="4" t="s">
        <v>2229</v>
      </c>
      <c r="F674" s="1" t="s">
        <v>43</v>
      </c>
      <c r="I674" s="2">
        <v>1.0</v>
      </c>
      <c r="J674" s="5" t="str">
        <f>IFERROR(__xludf.DUMMYFUNCTION("GOOGLETRANSLATE(A674)"),"translator")</f>
        <v>translator</v>
      </c>
      <c r="K674" s="6" t="str">
        <f>IFERROR(__xludf.DUMMYFUNCTION("GOOGLETRANSLATE(B674)"),"Online translator of texts. Free translation of languages ​​...")</f>
        <v>Online translator of texts. Free translation of languages ​​...</v>
      </c>
      <c r="L674" s="5" t="str">
        <f>IFERROR(__xludf.DUMMYFUNCTION("GOOGLETRANSLATE(C674)"),"Free online translator from Meta.ua allows you to translate texts from Russian into English, Ukrainian, French, German, Polish, Latvian, ...")</f>
        <v>Free online translator from Meta.ua allows you to translate texts from Russian into English, Ukrainian, French, German, Polish, Latvian, ...</v>
      </c>
      <c r="M674" s="5" t="str">
        <f>IFERROR(__xludf.DUMMYFUNCTION("GOOGLETRANSLATE(G674)"),"#VALUE!")</f>
        <v>#VALUE!</v>
      </c>
    </row>
    <row r="675">
      <c r="A675" s="1" t="s">
        <v>2180</v>
      </c>
      <c r="B675" s="1" t="s">
        <v>2230</v>
      </c>
      <c r="D675" s="1">
        <v>11.0</v>
      </c>
      <c r="E675" s="4" t="s">
        <v>2231</v>
      </c>
      <c r="F675" s="1" t="s">
        <v>43</v>
      </c>
      <c r="G675" s="1" t="s">
        <v>31</v>
      </c>
      <c r="H675" s="4" t="s">
        <v>32</v>
      </c>
      <c r="I675" s="2">
        <v>0.0</v>
      </c>
      <c r="J675" s="5" t="str">
        <f>IFERROR(__xludf.DUMMYFUNCTION("GOOGLETRANSLATE(A675)"),"translator")</f>
        <v>translator</v>
      </c>
      <c r="K675" s="6" t="str">
        <f>IFERROR(__xludf.DUMMYFUNCTION("GOOGLETRANSLATE(B675)"),"Translator - Viklovar")</f>
        <v>Translator - Viklovar</v>
      </c>
      <c r="L675" s="5" t="str">
        <f>IFERROR(__xludf.DUMMYFUNCTION("GOOGLETRANSLATE(C675)"),"#VALUE!")</f>
        <v>#VALUE!</v>
      </c>
      <c r="M675" s="5" t="str">
        <f>IFERROR(__xludf.DUMMYFUNCTION("GOOGLETRANSLATE(G675)"),"Wikipedia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676">
      <c r="A676" s="1" t="s">
        <v>2180</v>
      </c>
      <c r="B676" s="1" t="s">
        <v>2232</v>
      </c>
      <c r="D676" s="1">
        <v>12.0</v>
      </c>
      <c r="E676" s="4" t="s">
        <v>2233</v>
      </c>
      <c r="F676" s="1" t="s">
        <v>43</v>
      </c>
      <c r="G676" s="1" t="s">
        <v>2234</v>
      </c>
      <c r="H676" s="4" t="s">
        <v>2235</v>
      </c>
      <c r="I676" s="2">
        <v>0.0</v>
      </c>
      <c r="J676" s="5" t="str">
        <f>IFERROR(__xludf.DUMMYFUNCTION("GOOGLETRANSLATE(A676)"),"translator")</f>
        <v>translator</v>
      </c>
      <c r="K676" s="6" t="str">
        <f>IFERROR(__xludf.DUMMYFUNCTION("GOOGLETRANSLATE(B676)"),"Bing Microsoft Translator")</f>
        <v>Bing Microsoft Translator</v>
      </c>
      <c r="L676" s="5" t="str">
        <f>IFERROR(__xludf.DUMMYFUNCTION("GOOGLETRANSLATE(C676)"),"#VALUE!")</f>
        <v>#VALUE!</v>
      </c>
      <c r="M676" s="5" t="str">
        <f>IFERROR(__xludf.DUMMYFUNCTION("GOOGLETRANSLATE(G676)"),"BingSign inRewards")</f>
        <v>BingSign inRewards</v>
      </c>
    </row>
    <row r="677">
      <c r="A677" s="1" t="s">
        <v>2180</v>
      </c>
      <c r="B677" s="1" t="s">
        <v>2236</v>
      </c>
      <c r="C677" s="1" t="s">
        <v>2237</v>
      </c>
      <c r="D677" s="1">
        <v>13.0</v>
      </c>
      <c r="E677" s="4" t="s">
        <v>2238</v>
      </c>
      <c r="F677" s="1" t="s">
        <v>43</v>
      </c>
      <c r="I677" s="2">
        <v>0.0</v>
      </c>
      <c r="J677" s="5" t="str">
        <f>IFERROR(__xludf.DUMMYFUNCTION("GOOGLETRANSLATE(A677)"),"translator")</f>
        <v>translator</v>
      </c>
      <c r="K677" s="6" t="str">
        <f>IFERROR(__xludf.DUMMYFUNCTION("GOOGLETRANSLATE(B677)"),"US immigration translator - Political Asylum Usa")</f>
        <v>US immigration translator - Political Asylum Usa</v>
      </c>
      <c r="L677" s="5" t="str">
        <f>IFERROR(__xludf.DUMMYFUNCTION("GOOGLETRANSLATE(C677)"),"The only requirement is the identity of the person who translates: it will require a passport or driver’s license. Translator ...")</f>
        <v>The only requirement is the identity of the person who translates: it will require a passport or driver’s license. Translator ...</v>
      </c>
      <c r="M677" s="5" t="str">
        <f>IFERROR(__xludf.DUMMYFUNCTION("GOOGLETRANSLATE(G677)"),"#VALUE!")</f>
        <v>#VALUE!</v>
      </c>
    </row>
    <row r="678">
      <c r="A678" s="1" t="s">
        <v>2180</v>
      </c>
      <c r="B678" s="1" t="s">
        <v>2221</v>
      </c>
      <c r="D678" s="1">
        <v>14.0</v>
      </c>
      <c r="E678" s="4" t="s">
        <v>2239</v>
      </c>
      <c r="F678" s="1" t="s">
        <v>43</v>
      </c>
      <c r="G678" s="1" t="s">
        <v>302</v>
      </c>
      <c r="H678" s="4" t="s">
        <v>303</v>
      </c>
      <c r="I678" s="2">
        <v>0.0</v>
      </c>
      <c r="J678" s="5" t="str">
        <f>IFERROR(__xludf.DUMMYFUNCTION("GOOGLETRANSLATE(A678)"),"translator")</f>
        <v>translator</v>
      </c>
      <c r="K678" s="6" t="str">
        <f>IFERROR(__xludf.DUMMYFUNCTION("GOOGLETRANSLATE(B678)"),"Translator - result from Google Book")</f>
        <v>Translator - result from Google Book</v>
      </c>
      <c r="L678" s="5" t="str">
        <f>IFERROR(__xludf.DUMMYFUNCTION("GOOGLETRANSLATE(C678)"),"#VALUE!")</f>
        <v>#VALUE!</v>
      </c>
      <c r="M678" s="5" t="str">
        <f>IFERROR(__xludf.DUMMYFUNCTION("GOOGLETRANSLATE(G678)"),"Google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679">
      <c r="A679" s="1" t="s">
        <v>2180</v>
      </c>
      <c r="B679" s="1" t="s">
        <v>2240</v>
      </c>
      <c r="C679" s="1" t="s">
        <v>2241</v>
      </c>
      <c r="D679" s="1">
        <v>16.0</v>
      </c>
      <c r="E679" s="4" t="s">
        <v>2242</v>
      </c>
      <c r="F679" s="1" t="s">
        <v>43</v>
      </c>
      <c r="G679" s="1" t="s">
        <v>2243</v>
      </c>
      <c r="H679" s="4" t="s">
        <v>2244</v>
      </c>
      <c r="I679" s="2">
        <v>0.0</v>
      </c>
      <c r="J679" s="5" t="str">
        <f>IFERROR(__xludf.DUMMYFUNCTION("GOOGLETRANSLATE(A679)"),"translator")</f>
        <v>translator</v>
      </c>
      <c r="K679" s="6" t="str">
        <f>IFERROR(__xludf.DUMMYFUNCTION("GOOGLETRANSLATE(B679)"),"Need an oral translator? 2 Tip Sheet")</f>
        <v>Need an oral translator? 2 Tip Sheet</v>
      </c>
      <c r="L679" s="5" t="str">
        <f>IFERROR(__xludf.DUMMYFUNCTION("GOOGLETRANSLATE(C679)"),"Courts provide oral translators for litigation and services for people with limited knowledge of English. This service is.")</f>
        <v>Courts provide oral translators for litigation and services for people with limited knowledge of English. This service is.</v>
      </c>
      <c r="M679" s="5" t="str">
        <f>IFERROR(__xludf.DUMMYFUNCTION("GOOGLETRANSLATE(G679)"),"Home | Maryland Courts      Skip to main content    ColorsCCCCSelect LanguageEnglishAfrikaansAlbanianArabicArmenianAzerbaijaniBasqueBelarusianBengaliBosnianBulgarianCatalanCebuanoChinese (Simplified)Chinese (Traditional)CroatianCzechDanishDutchEsperantoEs"&amp;"tonianFilipinoFinnishFrenchGalicianGeorgianGermanGreekGujaratiHaitian CreoleHausaHebrewHindiHmongHungarianIcelandicIgboIndonesianIrishItalianJapaneseJavaneseKannadaKhmerKoreanLaoLatinLatvianLithuanianMacedonianMalayMalteseMaoriMarathiMongolianNepaliNorweg"&amp;"ianPersianPolishPortuguesePunjabiRomanianRussianSerbianSlovakSlovenianSomaliSpanishSwahiliSwedishTamilTeluguThaiTurkishUkrainianUrduVietnameseWelshYiddishYorubaZuluText Size-A A +AMission &amp; VisionJobs﻿Site IndexAccessibility                               "&amp;"   Opinions Search   Search TipsCourtsSupreme Court of MarylandAppellate OpinionsCourt Records (Case Search)HolidaysAppellate Court of MarylandAppointed Attorneys ProgramCourt ReportingJudicial CouncilCircuit CourtsClosings/DelaysData DashboardJudicial Et"&amp;"hics CommitteeDistrict CourtCommission on Judicial DisabilitiesDirectory of CourtsJudicial SelectionOrphans' CourtCourt-Appointed GuardiansEqual JusticeJury ServiceAboutCourt FormsFee SchedulesMission &amp; VisionAccessibilityCourt Language ServicesGovernance"&amp;"Problem-Solving CourtsAdministrative OrdersCourt OfficesGovernment Relations &amp; Public AffairsPublicationsCourt HelpAccess to Court RecordsCourt Help CentersFiling Fee WaiversMediation &amp; ADRAccommodationsCourt Help TopicsFinding Legal HelpMoney IssuesApp -"&amp;" Maryland Court HelpCourt Help VideosHousingPeople's Law LibraryAppeals - Appellate Court of MarylandCriminal CasesJuvenile DelinquencyRemote Hearing ToolkitChild Abuse and NeglectDomestic ViolenceLand RecordsThurgood Marshall State Law LibraryChildren &amp; "&amp;"FamilyEmploymentLanguage ServicesTrafficCourt FormsExpungementLife Planning &amp; Power of AttorneyWills &amp; EstatesE-ServicesActive and Former Judicial Officers IDsCase SearchPay a Traffic TicketAppellate OpinionsCONNECT (Internal)E-Recording for Land RecordsP"&amp;"eople's Law LibraryAsk a Law LibrarianCourt Help CentersEstate SearchProcurement &amp; SolicitationsBusiness Licenses - SearchCourt FormsGrantsRemote Hearings and ProceedingsBusiness &amp; Technology OpinionsData DashboardGuide &amp; FileRequest State Law Library Mat"&amp;"erialsCareersDomestic Violence Monthly ReportsJuror Qualification FormState Law Library CatalogCase Management PlansE-filingMaryland Electronic Courts (MDEC)LawyersAmicus CuriarumAttorney Information SystemChange of AddressJudicial VacanciesAppointed Atto"&amp;"rneys ProgramAttorney ListingCommission on Judicial DisabilitiesLegal ResourcesAttorney Change of Address/ContactBar AssociationsClient Protection FundPro BonoAttorney Compliance RequirementsBoard of Law ExaminersDisciplinary ActionsProposed Rules Changes"&amp;"/OrdersAttorney Grievance CommissionCertificate of Good StandingE-filingStatewide Uniform Subpoena FormMediaGovernment Relations &amp; Public AffairsMedia Resource CenterNews ReleasesPublicationsJudicial RecordsCommunityBill of Rights DayCourtroom ToursMock T"&amp;"rialSchools in the CourtsBookmark Art ContestEqual JusticeMore Sites to VisitSpeakers BureauConstitution Day Courts closed on Veterans DayMaryland’s courts court offices and court administrative offices will be closed on Friday November 10 in observance o"&amp;"f Veterans Day. Court holidays. Maryland Judiciary launches E-rent program in Prince George’s CountyThe District Court in Prince George’s County began accepting failure to pay rent filings electronically into Maryland Electronic Courts (MDEC). Read more. "&amp;"Supreme Court of Maryland holds oral arguments at Dr. Henry A. Wise Jr. High School in Prince George’s CountyMaryland’s highest court hosts off-site oral arguments for the first time in recent history. Read more. Maryland Judiciary issues statement after "&amp;"suspect in the murder of  Hon. Andrew Wilkinson is locatedThe Maryland Judiciary appreciates the combined efforts of the local state and federal law enforcement agencies. Read more.Courts closed on Veterans DayMaryland Judiciary launches E-rent program in"&amp;" Prince George’s CountySupreme Court of Maryland holds oral arguments at Dr. Henry A. Wise Jr. High School in Prince George’s CountyMaryland Judiciary issues statement after suspect in the murder of  Hon. Andrew Wilkinson is locatedHow To...Learn About..."&amp;"Search Court Records (Case Search)Register to E-filePay a Traffic TicketFind a Court FormPrepare for Jury DutyFile a Complaint/Voice a ConcernComplete Attorney ComplianceRequest a Judicial RecordMaryland GuardianshipWaiving Filing FeesDomestic ViolenceAcc"&amp;"ess to Court RecordsSmall ClaimsMediation and ADRCourt Language ServicesMDECMDEC System Status &gt;&gt; | Register to E-file &gt;&gt;MDEC to expand to Baltimore City next The Maryland Electronic Courts (MDEC) case management system will be implemented in Baltimore Ci"&amp;"ty on May 6 2024. Read MoreLatest NewsNovember 9 2023Media Advisory: Baltimore City District Court Veterans Treatment Court celebrates its eighth anniversaryNovember 7 2023Amicus Curiarum November 2023 issue onlineNovember 7 2023Maryland Judiciary launche"&amp;"s E-rent program in Prince George’s County November 6 2023Applicants to Frederick County Circuit Court November 3 2023Rules Committee November 17 2023 @ 9:30 a.m. meeting agenda moreResources &amp; InfoCourt FormsUse a Court Forms Finder to help identify sear"&amp;"ch and print formsNotices Schedules &amp; UpdatesAdministrative orders Bar admissions orders regulations and appellate schedules.Job OpportunitiesLearn more about the many benefits of working for the Maryland Judiciary.Standing Committee on Rules of Practice "&amp;"and ProcedureNotices of open meeting on Rules proposed Rules changes and Rules Orders.Solicitations / BidsGoods and services valued over $25000. Visit our Procurement portal.Watch NowMy Laws My Courts My Maryland: A video library for the self-represented."&amp;"People’s LawPeople’s Law is a legal information and self-help website maintained by the Thurgood Marshall State Law Library and supported by Maryland's non-profit legal services providers. Explore People's Law.Stop FraudReport Fraud Waste and Abuse to the"&amp;" Office of Legislative Audit Fraud HotlineMain navigationCourtsAboutAccessibilityAdministrative OrdersAppellate Court of MarylandAppellate OpinionsAppointed Attorneys ProgramCircuit CourtsClosings/DelaysCommission on Judicial DisabilitiesCourt FormsCourt "&amp;"Language ServicesCourt OfficesCourt Records (Case Search)Court ReportingCourt-Appointed GuardiansData DashboardDirectory of CourtsDistrict CourtEqual JusticeFee SchedulesGovernanceGovernment Relations &amp; Public AffairsHolidaysJudicial CouncilJudicial Ethic"&amp;"s CommitteeJudicial SelectionJury ServiceMission &amp; VisionOrphans' CourtProblem-Solving CourtsPublicationsSupreme Court of MarylandCourt HelpAccess to Court RecordsAccommodationsApp - Maryland Court HelpAppeals - Appellate Court of MarylandChild Abuse and "&amp;"NeglectChildren &amp; FamilyCourt FormsCourt Help CentersCourt Help TopicsCourt Help VideosCriminal CasesDomestic ViolenceEmploymentExpungementFiling Fee WaiversFinding Legal HelpHousingJuvenile DelinquencyLand RecordsLanguage ServicesLife Planning &amp; Power of"&amp;" AttorneyMediation &amp; ADRMoney IssuesPeople's Law LibraryRemote Hearing ToolkitThurgood Marshall State Law LibraryTrafficWills &amp; EstatesE-ServicesActive and Former Judicial Officers IDsAppellate OpinionsAsk a Law LibrarianBusiness &amp; Technology OpinionsBusi"&amp;"ness Licenses - SearchCONNECT (Internal)CareersCase Management PlansCase SearchCourt FormsCourt Help CentersData DashboardDomestic Violence Monthly ReportsE-Recording for Land RecordsE-filingEstate SearchGrantsGuide &amp; FileJuror Qualification FormMaryland "&amp;"Electronic Courts (MDEC)Pay a Traffic TicketPeople's Law LibraryProcurement &amp; SolicitationsRemote Hearings and ProceedingsRequest State Law Library MaterialsState Law Library CatalogLawyersAmicus CuriarumAppointed Attorneys ProgramAttorney Change of Addre"&amp;"ss/ContactAttorney Compliance RequirementsAttorney Grievance CommissionAttorney Information SystemAttorney ListingBar AssociationsBoard of Law ExaminersCertificate of Good StandingChange of AddressClient Protection FundCommission on Judicial DisabilitiesD"&amp;"isciplinary ActionsE-filingJudicial VacanciesLegal ResourcesPro BonoProposed Rules Changes/OrdersStatewide Uniform Subpoena FormMediaGovernment Relations &amp; Public AffairsJudicial RecordsMedia Resource CenterNews ReleasesPublicationsCommunityBill of Rights"&amp;" DayBookmark Art ContestConstitution DayCourtroom ToursEqual JusticeMock TrialMore Sites to VisitSchools in the CourtsSpeakers BureauYouTubeRSSTwitterContact Us Copyright © 2023 Maryland Judiciary. All rights reserved. Terms of Use/Disclaimer")</f>
        <v>Home | Maryland Courts      Skip to main content    ColorsCCCCSelect LanguageEnglishAfrikaansAlbanianArabicArmenianAzerbaijaniBasqueBelarusianBengaliBosnianBulgarianCatalanCebuanoChinese (Simplified)Chinese (Traditional)CroatianCzechDanishDutchEsperantoEstonianFilipinoFinnishFrenchGalicianGeorgianGermanGreekGujaratiHaitian CreoleHausaHebrewHindiHmongHungarianIcelandicIgboIndonesianIrishItalianJapaneseJavaneseKannadaKhmerKoreanLaoLatinLatvianLithuanianMacedonianMalayMalteseMaoriMarathiMongolianNepaliNorwegianPersianPolishPortuguesePunjabiRomanianRussianSerbianSlovakSlovenianSomaliSpanishSwahiliSwedishTamilTeluguThaiTurkishUkrainianUrduVietnameseWelshYiddishYorubaZuluText Size-A A +AMission &amp; VisionJobs﻿Site IndexAccessibility                                  Opinions Search   Search TipsCourtsSupreme Court of MarylandAppellate OpinionsCourt Records (Case Search)HolidaysAppellate Court of MarylandAppointed Attorneys ProgramCourt ReportingJudicial CouncilCircuit CourtsClosings/DelaysData DashboardJudicial Ethics CommitteeDistrict CourtCommission on Judicial DisabilitiesDirectory of CourtsJudicial SelectionOrphans' CourtCourt-Appointed GuardiansEqual JusticeJury ServiceAboutCourt FormsFee SchedulesMission &amp; VisionAccessibilityCourt Language ServicesGovernanceProblem-Solving CourtsAdministrative OrdersCourt OfficesGovernment Relations &amp; Public AffairsPublicationsCourt HelpAccess to Court RecordsCourt Help CentersFiling Fee WaiversMediation &amp; ADRAccommodationsCourt Help TopicsFinding Legal HelpMoney IssuesApp - Maryland Court HelpCourt Help VideosHousingPeople's Law LibraryAppeals - Appellate Court of MarylandCriminal CasesJuvenile DelinquencyRemote Hearing ToolkitChild Abuse and NeglectDomestic ViolenceLand RecordsThurgood Marshall State Law LibraryChildren &amp; FamilyEmploymentLanguage ServicesTrafficCourt FormsExpungementLife Planning &amp; Power of AttorneyWills &amp; EstatesE-ServicesActive and Former Judicial Officers IDsCase SearchPay a Traffic TicketAppellate OpinionsCONNECT (Internal)E-Recording for Land RecordsPeople's Law LibraryAsk a Law LibrarianCourt Help CentersEstate SearchProcurement &amp; SolicitationsBusiness Licenses - SearchCourt FormsGrantsRemote Hearings and ProceedingsBusiness &amp; Technology OpinionsData DashboardGuide &amp; FileRequest State Law Library MaterialsCareersDomestic Violence Monthly ReportsJuror Qualification FormState Law Library CatalogCase Management PlansE-filingMaryland Electronic Courts (MDEC)LawyersAmicus CuriarumAttorney Information SystemChange of AddressJudicial VacanciesAppointed Attorneys ProgramAttorney ListingCommission on Judicial DisabilitiesLegal ResourcesAttorney Change of Address/ContactBar AssociationsClient Protection FundPro BonoAttorney Compliance RequirementsBoard of Law ExaminersDisciplinary ActionsProposed Rules Changes/OrdersAttorney Grievance CommissionCertificate of Good StandingE-filingStatewide Uniform Subpoena FormMediaGovernment Relations &amp; Public AffairsMedia Resource CenterNews ReleasesPublicationsJudicial RecordsCommunityBill of Rights DayCourtroom ToursMock TrialSchools in the CourtsBookmark Art ContestEqual JusticeMore Sites to VisitSpeakers BureauConstitution Day Courts closed on Veterans DayMaryland’s courts court offices and court administrative offices will be closed on Friday November 10 in observance of Veterans Day. Court holidays. Maryland Judiciary launches E-rent program in Prince George’s CountyThe District Court in Prince George’s County began accepting failure to pay rent filings electronically into Maryland Electronic Courts (MDEC). Read more. Supreme Court of Maryland holds oral arguments at Dr. Henry A. Wise Jr. High School in Prince George’s CountyMaryland’s highest court hosts off-site oral arguments for the first time in recent history. Read more. Maryland Judiciary issues statement after suspect in the murder of  Hon. Andrew Wilkinson is locatedThe Maryland Judiciary appreciates the combined efforts of the local state and federal law enforcement agencies. Read more.Courts closed on Veterans DayMaryland Judiciary launches E-rent program in Prince George’s CountySupreme Court of Maryland holds oral arguments at Dr. Henry A. Wise Jr. High School in Prince George’s CountyMaryland Judiciary issues statement after suspect in the murder of  Hon. Andrew Wilkinson is locatedHow To...Learn About...Search Court Records (Case Search)Register to E-filePay a Traffic TicketFind a Court FormPrepare for Jury DutyFile a Complaint/Voice a ConcernComplete Attorney ComplianceRequest a Judicial RecordMaryland GuardianshipWaiving Filing FeesDomestic ViolenceAccess to Court RecordsSmall ClaimsMediation and ADRCourt Language ServicesMDECMDEC System Status &gt;&gt; | Register to E-file &gt;&gt;MDEC to expand to Baltimore City next The Maryland Electronic Courts (MDEC) case management system will be implemented in Baltimore City on May 6 2024. Read MoreLatest NewsNovember 9 2023Media Advisory: Baltimore City District Court Veterans Treatment Court celebrates its eighth anniversaryNovember 7 2023Amicus Curiarum November 2023 issue onlineNovember 7 2023Maryland Judiciary launches E-rent program in Prince George’s County November 6 2023Applicants to Frederick County Circuit Court November 3 2023Rules Committee November 17 2023 @ 9:30 a.m. meeting agenda moreResources &amp; InfoCourt FormsUse a Court Forms Finder to help identify search and print formsNotices Schedules &amp; UpdatesAdministrative orders Bar admissions orders regulations and appellate schedules.Job OpportunitiesLearn more about the many benefits of working for the Maryland Judiciary.Standing Committee on Rules of Practice and ProcedureNotices of open meeting on Rules proposed Rules changes and Rules Orders.Solicitations / BidsGoods and services valued over $25000. Visit our Procurement portal.Watch NowMy Laws My Courts My Maryland: A video library for the self-represented.People’s LawPeople’s Law is a legal information and self-help website maintained by the Thurgood Marshall State Law Library and supported by Maryland's non-profit legal services providers. Explore People's Law.Stop FraudReport Fraud Waste and Abuse to the Office of Legislative Audit Fraud HotlineMain navigationCourtsAboutAccessibilityAdministrative OrdersAppellate Court of MarylandAppellate OpinionsAppointed Attorneys ProgramCircuit CourtsClosings/DelaysCommission on Judicial DisabilitiesCourt FormsCourt Language ServicesCourt OfficesCourt Records (Case Search)Court ReportingCourt-Appointed GuardiansData DashboardDirectory of CourtsDistrict CourtEqual JusticeFee SchedulesGovernanceGovernment Relations &amp; Public AffairsHolidaysJudicial CouncilJudicial Ethics CommitteeJudicial SelectionJury ServiceMission &amp; VisionOrphans' CourtProblem-Solving CourtsPublicationsSupreme Court of MarylandCourt HelpAccess to Court RecordsAccommodationsApp - Maryland Court HelpAppeals - Appellate Court of MarylandChild Abuse and NeglectChildren &amp; FamilyCourt FormsCourt Help CentersCourt Help TopicsCourt Help VideosCriminal CasesDomestic ViolenceEmploymentExpungementFiling Fee WaiversFinding Legal HelpHousingJuvenile DelinquencyLand RecordsLanguage ServicesLife Planning &amp; Power of AttorneyMediation &amp; ADRMoney IssuesPeople's Law LibraryRemote Hearing ToolkitThurgood Marshall State Law LibraryTrafficWills &amp; EstatesE-ServicesActive and Former Judicial Officers IDsAppellate OpinionsAsk a Law LibrarianBusiness &amp; Technology OpinionsBusiness Licenses - SearchCONNECT (Internal)CareersCase Management PlansCase SearchCourt FormsCourt Help CentersData DashboardDomestic Violence Monthly ReportsE-Recording for Land RecordsE-filingEstate SearchGrantsGuide &amp; FileJuror Qualification FormMaryland Electronic Courts (MDEC)Pay a Traffic TicketPeople's Law LibraryProcurement &amp; SolicitationsRemote Hearings and ProceedingsRequest State Law Library MaterialsState Law Library CatalogLawyersAmicus CuriarumAppointed Attorneys ProgramAttorney Change of Address/ContactAttorney Compliance RequirementsAttorney Grievance CommissionAttorney Information SystemAttorney ListingBar AssociationsBoard of Law ExaminersCertificate of Good StandingChange of AddressClient Protection FundCommission on Judicial DisabilitiesDisciplinary ActionsE-filingJudicial VacanciesLegal ResourcesPro BonoProposed Rules Changes/OrdersStatewide Uniform Subpoena FormMediaGovernment Relations &amp; Public AffairsJudicial RecordsMedia Resource CenterNews ReleasesPublicationsCommunityBill of Rights DayBookmark Art ContestConstitution DayCourtroom ToursEqual JusticeMock TrialMore Sites to VisitSchools in the CourtsSpeakers BureauYouTubeRSSTwitterContact Us Copyright © 2023 Maryland Judiciary. All rights reserved. Terms of Use/Disclaimer</v>
      </c>
    </row>
    <row r="680">
      <c r="A680" s="1" t="s">
        <v>2180</v>
      </c>
      <c r="B680" s="1" t="s">
        <v>2221</v>
      </c>
      <c r="D680" s="1">
        <v>17.0</v>
      </c>
      <c r="E680" s="4" t="s">
        <v>2245</v>
      </c>
      <c r="F680" s="1" t="s">
        <v>43</v>
      </c>
      <c r="G680" s="1" t="s">
        <v>302</v>
      </c>
      <c r="H680" s="4" t="s">
        <v>303</v>
      </c>
      <c r="I680" s="2">
        <v>1.0</v>
      </c>
      <c r="J680" s="5" t="str">
        <f>IFERROR(__xludf.DUMMYFUNCTION("GOOGLETRANSLATE(A680)"),"translator")</f>
        <v>translator</v>
      </c>
      <c r="K680" s="6" t="str">
        <f>IFERROR(__xludf.DUMMYFUNCTION("GOOGLETRANSLATE(B680)"),"Translator - result from Google Book")</f>
        <v>Translator - result from Google Book</v>
      </c>
      <c r="L680" s="5" t="str">
        <f>IFERROR(__xludf.DUMMYFUNCTION("GOOGLETRANSLATE(C680)"),"#VALUE!")</f>
        <v>#VALUE!</v>
      </c>
      <c r="M680" s="5" t="str">
        <f>IFERROR(__xludf.DUMMYFUNCTION("GOOGLETRANSLATE(G680)"),"Google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681">
      <c r="A681" s="1" t="s">
        <v>2180</v>
      </c>
      <c r="B681" s="1" t="s">
        <v>2246</v>
      </c>
      <c r="C681" s="1" t="s">
        <v>2247</v>
      </c>
      <c r="D681" s="1">
        <v>18.0</v>
      </c>
      <c r="E681" s="4" t="s">
        <v>2248</v>
      </c>
      <c r="F681" s="1" t="s">
        <v>43</v>
      </c>
      <c r="G681" s="1" t="s">
        <v>2249</v>
      </c>
      <c r="H681" s="4" t="s">
        <v>2250</v>
      </c>
      <c r="I681" s="2">
        <v>0.0</v>
      </c>
      <c r="J681" s="5" t="str">
        <f>IFERROR(__xludf.DUMMYFUNCTION("GOOGLETRANSLATE(A681)"),"translator")</f>
        <v>translator</v>
      </c>
      <c r="K681" s="6" t="str">
        <f>IFERROR(__xludf.DUMMYFUNCTION("GOOGLETRANSLATE(B681)"),"Translation from Russian into English online")</f>
        <v>Translation from Russian into English online</v>
      </c>
      <c r="L681" s="5" t="str">
        <f>IFERROR(__xludf.DUMMYFUNCTION("GOOGLETRANSLATE(C681)"),"We use machine translation technology and artificial intelligence for a free English translator into Russian. A translation from Russian to English ...")</f>
        <v>We use machine translation technology and artificial intelligence for a free English translator into Russian. A translation from Russian to English ...</v>
      </c>
      <c r="M681" s="5" t="str">
        <f>IFERROR(__xludf.DUMMYFUNCTION("GOOGLETRANSLATE(G681)"),"Lingvanex | Machine Translation and Speech Recognition  Lingvanex TranslatorTranslate: Text Voice CameraNo ThanksInstall    Follow these steps to complete your Lingvanex installation:Note: If your download did not start automatically please click here.   "&amp;"     1Run the Lingvanex installerSave the Lingvanex fileOpen the Lingvanex file to installClick the downloaded file on the bottom-left corner of your browser.Click Save File when prompted. Go to Downloads on the top-right corner to open the setup file.Cho"&amp;"ose Save File when prompted then click OK.Go to Downloads on the top-right corner and click on the downloaded file.Go to your Downloads folder and click on the downloaded file.2Confirm the installationOpen the Lingvanex file to installClick Allow on the s"&amp;"ystem dialog window to approve the start of your Lingvanex installation.Go to Downloads on the top-right corner to open the setup file and approve the installation.Click Yes on the system dialog window to approve the start of your Lingvanex installation.3"&amp;"Follow setup instructionsClick the button in the installer window to begin installation.Click this file to start installing LingvanexClick this file to start installing Lingvanex TranslateCloud APIOn-premise ServerSDKApplicationsTranslate text voice text "&amp;"on picture files websites into 109 languagesTry it nowDesktopWindows TranslatorMacOS TranslatorMobileiPhone TranslatorAndroid TranslatorBrowser ExtensionsAll ExtensionsChrome ExtensionSafari ExtensionFirefox ExtensionOpera AddonEdge add-onPrivate Messenge"&amp;"rsAll ChatbotsSlackOther ApplicationsPhone Call TranslatorCONTACT USAccountMachine TranslationTranslate millions of texts audio files websites for fixed price with total privacy protection. Free 2-week trial.Request a Free TrialLearn more109 LanguagesTran"&amp;"slate european slavic asian afrikan and other languages. More than 10 000 translation pairs.Unlimited TranslationTranslate millions of text audio files websites in 1 month for fixed low price.Fixed PriceThe more you translate the more you save in comparis"&amp;"on to cloud services.Total SecurityWe provide cloud sdk and on-premise translation solutions. All your private data stays with you.High QualityWe use artificial intelligence and latest scientific researches to deliver best-in-class translation quality.Eas"&amp;"y IntegrationFast integration in your products on Linux Windows Mac OS Web and mobile platforms.Custom GlossariesSpecify translations for certain words and short phrases. More than 50 languages supported.Free 2-week TrialWrite us an email to test this fan"&amp;"tastic product for free.Request a Free TrialProducts and ServicesOn-Premise ServerUnlimited and secure translation for fixed price. Translate billions of characters per dayLearn moreCloud APIFast and easy way to use machine translation. The price is $5 pe"&amp;"r million charactersLearn moreTranslation SDKIntegration into iOS Android Windows Mac apps to translate offline and onlineLearn moreApplicationsTranslate on mobile desktop web wearablesLearn moreSpeech Recognition (voice-to-text)Unlimited volumeswith a Fi"&amp;"xed PriceRequest a Free TrialMore than 200 companies trust LingvanexRequest a free trial* Required fields✓ ValidWe respect your privacy and will use this information only for contact purposes.Machine Translation &amp; Speech RecognitionTranslate text audio fi"&amp;"les and websites in 109 languagesTranscribe voice in 91 languages converting audio to textEnjoy unlimited translation and transcription for a fixed priceExperience ultra-fast translation and transcription speedUtilize secure on-premise and offline options"&amp;"Benefit from best-in-class translation qualityScale effortlessly with unlimited user accessSeamlessly integrate with your businessReceive responsive technical supportStart with a free trial to test our servicesCompletedYour request has been sent successfu"&amp;"lly.×Products On-premise Machine TranslationVoice TranscriptionTranslation APIMobile SDKProductsWe are   •    (GMT+3)Business Hours:Monday — Friday09:00 AM — 5:00 PMApplications Translator for iOSTranslator for AndroidTranslator for MacOSTranslator for Wi"&amp;"ndowsTranslator for FacebookTranslator for SlackTranslator for TelegramTranslator for ChromeTranslator for SafariTranslator for FirefoxTranslator for OperaTranslator for EdgeLegal Terms of ServiceTerms of Use of Api TranslationPrivacy PolicyCookies Policy"&amp;"ImprintCompany Contact SalesAbout LingvanexPress KitContactsPartnersSupported LanguagesDictionaryBlogSupport   '")</f>
        <v>Lingvanex | Machine Translation and Speech Recognition  Lingvanex TranslatorTranslate: Text Voice CameraNo ThanksInstall    Follow these steps to complete your Lingvanex installation:Note: If your download did not start automatically please click here.        1Run the Lingvanex installerSave the Lingvanex fileOpen the Lingvanex file to installClick the downloaded file on the bottom-left corner of your browser.Click Save File when prompted. Go to Downloads on the top-right corner to open the setup file.Choose Save File when prompted then click OK.Go to Downloads on the top-right corner and click on the downloaded file.Go to your Downloads folder and click on the downloaded file.2Confirm the installationOpen the Lingvanex file to installClick Allow on the system dialog window to approve the start of your Lingvanex installation.Go to Downloads on the top-right corner to open the setup file and approve the installation.Click Yes on the system dialog window to approve the start of your Lingvanex installation.3Follow setup instructionsClick the button in the installer window to begin installation.Click this file to start installing LingvanexClick this file to start installing Lingvanex TranslateCloud APIOn-premise ServerSDKApplicationsTranslate text voice text on picture files websites into 109 languagesTry it nowDesktopWindows TranslatorMacOS TranslatorMobileiPhone TranslatorAndroid TranslatorBrowser ExtensionsAll ExtensionsChrome ExtensionSafari ExtensionFirefox ExtensionOpera AddonEdge add-onPrivate MessengersAll ChatbotsSlackOther ApplicationsPhone Call TranslatorCONTACT USAccountMachine TranslationTranslate millions of texts audio files websites for fixed price with total privacy protection. Free 2-week trial.Request a Free TrialLearn more109 LanguagesTranslate european slavic asian afrikan and other languages. More than 10 000 translation pairs.Unlimited TranslationTranslate millions of text audio files websites in 1 month for fixed low price.Fixed PriceThe more you translate the more you save in comparison to cloud services.Total SecurityWe provide cloud sdk and on-premise translation solutions. All your private data stays with you.High QualityWe use artificial intelligence and latest scientific researches to deliver best-in-class translation quality.Easy IntegrationFast integration in your products on Linux Windows Mac OS Web and mobile platforms.Custom GlossariesSpecify translations for certain words and short phrases. More than 50 languages supported.Free 2-week TrialWrite us an email to test this fantastic product for free.Request a Free TrialProducts and ServicesOn-Premise ServerUnlimited and secure translation for fixed price. Translate billions of characters per dayLearn moreCloud APIFast and easy way to use machine translation. The price is $5 per million charactersLearn moreTranslation SDKIntegration into iOS Android Windows Mac apps to translate offline and onlineLearn moreApplicationsTranslate on mobile desktop web wearablesLearn moreSpeech Recognition (voice-to-text)Unlimited volumeswith a Fixed PriceRequest a Free TrialMore than 200 companies trust LingvanexRequest a free trial* Required fields✓ ValidWe respect your privacy and will use this information only for contact purposes.Machine Translation &amp; Speech RecognitionTranslate text audio files and websites in 109 languagesTranscribe voice in 91 languages converting audio to textEnjoy unlimited translation and transcription for a fixed priceExperience ultra-fast translation and transcription speedUtilize secure on-premise and offline optionsBenefit from best-in-class translation qualityScale effortlessly with unlimited user accessSeamlessly integrate with your businessReceive responsive technical supportStart with a free trial to test our servicesCompletedYour request has been sent successfully.×Products On-premise Machine TranslationVoice TranscriptionTranslation APIMobile SDKProductsWe are   •    (GMT+3)Business Hours:Monday — Friday09:00 AM — 5:00 PMApplications Translator for iOSTranslator for AndroidTranslator for MacOSTranslator for WindowsTranslator for FacebookTranslator for SlackTranslator for TelegramTranslator for ChromeTranslator for SafariTranslator for FirefoxTranslator for OperaTranslator for EdgeLegal Terms of ServiceTerms of Use of Api TranslationPrivacy PolicyCookies PolicyImprintCompany Contact SalesAbout LingvanexPress KitContactsPartnersSupported LanguagesDictionaryBlogSupport   '</v>
      </c>
    </row>
    <row r="682">
      <c r="A682" s="1" t="s">
        <v>2180</v>
      </c>
      <c r="B682" s="1" t="s">
        <v>2221</v>
      </c>
      <c r="D682" s="1">
        <v>33.0</v>
      </c>
      <c r="E682" s="4" t="s">
        <v>2251</v>
      </c>
      <c r="F682" s="1" t="s">
        <v>43</v>
      </c>
      <c r="G682" s="1" t="s">
        <v>302</v>
      </c>
      <c r="H682" s="4" t="s">
        <v>303</v>
      </c>
      <c r="I682" s="2">
        <v>1.0</v>
      </c>
      <c r="J682" s="5" t="str">
        <f>IFERROR(__xludf.DUMMYFUNCTION("GOOGLETRANSLATE(A682)"),"translator")</f>
        <v>translator</v>
      </c>
      <c r="K682" s="6" t="str">
        <f>IFERROR(__xludf.DUMMYFUNCTION("GOOGLETRANSLATE(B682)"),"Translator - result from Google Book")</f>
        <v>Translator - result from Google Book</v>
      </c>
      <c r="L682" s="5" t="str">
        <f>IFERROR(__xludf.DUMMYFUNCTION("GOOGLETRANSLATE(C682)"),"#VALUE!")</f>
        <v>#VALUE!</v>
      </c>
      <c r="M682" s="5" t="str">
        <f>IFERROR(__xludf.DUMMYFUNCTION("GOOGLETRANSLATE(G682)"),"Google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683">
      <c r="A683" s="1" t="s">
        <v>2180</v>
      </c>
      <c r="B683" s="1" t="s">
        <v>2221</v>
      </c>
      <c r="D683" s="1">
        <v>34.0</v>
      </c>
      <c r="E683" s="4" t="s">
        <v>2252</v>
      </c>
      <c r="F683" s="1" t="s">
        <v>43</v>
      </c>
      <c r="G683" s="1" t="s">
        <v>302</v>
      </c>
      <c r="H683" s="4" t="s">
        <v>303</v>
      </c>
      <c r="I683" s="2">
        <v>1.0</v>
      </c>
      <c r="J683" s="5" t="str">
        <f>IFERROR(__xludf.DUMMYFUNCTION("GOOGLETRANSLATE(A683)"),"translator")</f>
        <v>translator</v>
      </c>
      <c r="K683" s="6" t="str">
        <f>IFERROR(__xludf.DUMMYFUNCTION("GOOGLETRANSLATE(B683)"),"Translator - result from Google Book")</f>
        <v>Translator - result from Google Book</v>
      </c>
      <c r="L683" s="5" t="str">
        <f>IFERROR(__xludf.DUMMYFUNCTION("GOOGLETRANSLATE(C683)"),"#VALUE!")</f>
        <v>#VALUE!</v>
      </c>
      <c r="M683" s="5" t="str">
        <f>IFERROR(__xludf.DUMMYFUNCTION("GOOGLETRANSLATE(G683)"),"Google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684">
      <c r="A684" s="1" t="s">
        <v>2180</v>
      </c>
      <c r="B684" s="1" t="s">
        <v>2253</v>
      </c>
      <c r="C684" s="1" t="s">
        <v>2254</v>
      </c>
      <c r="D684" s="1">
        <v>36.0</v>
      </c>
      <c r="E684" s="4" t="s">
        <v>2255</v>
      </c>
      <c r="F684" s="1" t="s">
        <v>43</v>
      </c>
      <c r="G684" s="1" t="s">
        <v>2256</v>
      </c>
      <c r="H684" s="4" t="s">
        <v>2257</v>
      </c>
      <c r="I684" s="2">
        <v>3.0</v>
      </c>
      <c r="J684" s="5" t="str">
        <f>IFERROR(__xludf.DUMMYFUNCTION("GOOGLETRANSLATE(A684)"),"translator")</f>
        <v>translator</v>
      </c>
      <c r="K684" s="6" t="str">
        <f>IFERROR(__xludf.DUMMYFUNCTION("GOOGLETRANSLATE(B684)"),"Do you need a judicial translator?")</f>
        <v>Do you need a judicial translator?</v>
      </c>
      <c r="L684" s="5" t="str">
        <f>IFERROR(__xludf.DUMMYFUNCTION("GOOGLETRANSLATE(C684)"),"The court is obliged to provide a translator for any trial with the participation of an interested person whose main language is a foreign language and ...")</f>
        <v>The court is obliged to provide a translator for any trial with the participation of an interested person whose main language is a foreign language and ...</v>
      </c>
      <c r="M684" s="5" t="str">
        <f>IFERROR(__xludf.DUMMYFUNCTION("GOOGLETRANSLATE(G684)"),"The North Carolina Judicial BranchSkip to main contentNorth Carolina Judicial BranchSearch  Menu  Search...Quick links                  Find a courthouse                                  Find my court date                                  Pay my citation "&amp;"online                                  Prepare for jury service                                  Find a form                Suggested searchesTop resultsView all search resultsMenuCourtsNorth Carolina Courts                                               "&amp;"       Overview of the Courts                                                                                        Court Hours and Locations                                                                      Supreme Court                              "&amp;"                                            Court of Appeals                                                                          Superior Court                                                                          District Court                   "&amp;"                                                       Business Court                                                                          Recovery Courts                                      Related links                                              "&amp;"        Appellate Court Opinions                                                                                        Business Court Opinions                                                                                        Closings                "&amp;"                                                                        Holiday Schedule                                                                                        Commissions                                                                    "&amp;"                    Programs                                                                                        Careers                                  Help TopicsCategories                                                      Court Records          "&amp;"                                                                              Criminal Law                                                                                        Disability and Language Access                                               "&amp;"                                         Divorce and Marriage                                                                                        Domestic Violence                                                                                        F"&amp;"amily and Children                                                                                        Fees and Payments                                                                                        Find an Attorney                            "&amp;"                                                            Guardianship                                                                                        Housing                                                                                        "&amp;"Jury Service                                                                                        Lawsuits and Small Claims                                                                                        Traffic and Vehicles                      "&amp;"                                                                  Wills and Estates                                                                                        See All Help Topics                                  ServiceseCourts                "&amp;"                                      Citation Tickets                                                                                        Court Collections                                                                                        Guide &amp; "&amp;"File                                                                                        Portal (Court Records / Payments)                                  eFiling                                                      eCourts eFiling (File &amp; Serve)     "&amp;"                                                                                   Appellate Courts                                                                                        Business Court                                                      "&amp;"                                  Legacy Civil eFiling                                  Requests                                                      Court Date Notifications                                                                                 "&amp;"       Criminal Background Check                                                                                        Disability Accommodation                                                                                        Public Record          "&amp;"                                                                              Remote Public Access                                                                                        Spoken Language Interpreter                                          "&amp;"                                              See All Services                                  FormsCourt DatesContactGoing to CourteCourtseCourts is LIVE in Harnett Johnston Lee Mecklenburg and Wake Counties. Find info training and resources. Learn more"&amp;"NewsJudicial Branch courts and offices are closed Friday November 10 for Veterans Day holiday. View holidaysDismiss alertDismiss alertAlert Cagertory PlaceholderLink Text PlaceholderMain ContentSearchQuick links                  Find a courthouse         "&amp;"                         Find my court date                                  Pay my citation online                                  Prepare for jury service                                  Find a form                Suggested searchesTop resultsView all"&amp;" search results Got a Ticket? LanguagesGeneral PublicJudicial CommunityLegal CommunityMedia Find my court dateBrowse our calendars to look up your case and find out when it happens.Browse court calendars Find my local courthouseBrowse our county directory"&amp;" to find a local courthouse to visit or contact.Browse county directoryFeatured storyTwelve N.C. Counties to Transition to eCourts on February 5 2024Read news story FormsQuickly find the exact judicial form you need to fill out for your legal purposes.Fin"&amp;"d a form ServicesExplore a variety of services we offer to the public including making online payments.Explore services Going to court?Get started and prepare for what to expect when arriving at your courthouse.Get startedFind common answers in Help Topic"&amp;"sCourt RecordsCriminal LawDisability and Language AccessDivorce and MarriageDomestic ViolenceFamily and ChildrenFees and PaymentsFind an AttorneyGoing to CourtGuardianshipHousingJury ServiceLawsuits and Small ClaimsTraffic and VehiclesWills and EstatesWe'"&amp;"re Hiring!Career Opportunities Available! Find Judicial Branch job postings and vacancies for all counties statewide including legal assistants deputy clerks and more.All Things Judicial PodcastListen to the latest podcast about the important role of the "&amp;"North Carolina Judicial Branch in state government.Jury Service ScamsLearn about recent scams how to protect yourself and avoid falling victim to jury service scams.Speakers Bureau &amp; Civics EducationA free public service provided by the judicial community"&amp;" of North Carolina. Request a speaker for your civics education event.eCourtsNorth Carolina courts are transitioning from paper to digital. Find information FAQs training materials and learn more. Go to eCourts Services:eFiling (File &amp; Serve)Guide &amp; FileP"&amp;"ortalLatest news        November 9 2023     General NewsN.C. Administrative Office of the Courts Hosts First Tech Fair to Showcase Court Technology            The Tech Fair showcased court technology currently being utilized in courthouses across North Ca"&amp;"rolina.       By North Carolina Judicial Branch        November 8 2023     Press ReleaseAll Things Judicial Features an Interview with Guilford County Attorney G. Stevenson Crihfield            Crihfield helped bring attention to mental health issues in h"&amp;"is legal community.       By North Carolina Judicial Branch        November 6 2023     Press ReleaseHarnett County Veterans Treatment Court Celebrates 10 Years            Veterans Treatment Court helps veterans involved in the justice system due to mental"&amp;" health disorders trauma and substance use.      By North Carolina Judicial Branch        November 3 2023     General NewsGovernor Cooper Announces Three Judicial Appointments            Justin Green Lora T. Baker and M. Jason Williams have been appointed"&amp;" to serve in district courts.      By North Carolina Judicial Branch        November 3 2023     General NewsPortal Training Available for Attorneys and Judicial Partners in eCourts Track 3 Counties            NCAOC has scheduled virtual training sessions "&amp;"for attorneys and judicial partners in eCourts Track 3 counties. Register for a session.      By North Carolina Judicial BranchSee all news storiesConnect with usFacebookLinkedinTwitterYoutubePodcastUpcoming Judicial Branch holidayFriday November 10  Vete"&amp;"rans Day Holiday	            View holiday schedule	        North Carolina Judicial Branch    Justice for all                      Additional Information                NewsProgramsCommissionsDocumentsAboutCareersJudicial DirectoryData and Statistics      "&amp;"              Community Support                General PublicLegal CommunityJudicial CommunityMedia                    Help and Support                Hours and LocationsOnline ServicesHelp TopicsContact                    Site Information                "&amp;"ClosingsHelpAccessibilityLegal Notices Disclaimers and Terms of UseSitemapConnect with usFacebookLinkedinTwitterYoutubePodcastLanguages:EspañolFrançaisPусскийTiếng Việt简体中文信息中國傳統信息عربى          Back to top")</f>
        <v>The North Carolina Judicial BranchSkip to main contentNorth Carolina Judicial BranchSearch  Menu  Search...Quick links                  Find a courthouse                                  Find my court date                                  Pay my citation online                                  Prepare for jury service                                  Find a form                Suggested searchesTop resultsView all search resultsMenuCourtsNorth Carolina Courts                                                      Overview of the Courts                                                                                        Court Hours and Locations                                                                      Supreme Court                                                                          Court of Appeals                                                                          Superior Court                                                                          District Court                                                                          Business Court                                                                          Recovery Courts                                      Related links                                                      Appellate Court Opinions                                                                                        Business Court Opinions                                                                                        Closings                                                                                        Holiday Schedule                                                                                        Commissions                                                                                        Programs                                                                                        Careers                                  Help TopicsCategories                                                      Court Records                                                                                        Criminal Law                                                                                        Disability and Language Access                                                                                        Divorce and Marriage                                                                                        Domestic Violence                                                                                        Family and Children                                                                                        Fees and Payments                                                                                        Find an Attorney                                                                                        Guardianship                                                                                        Housing                                                                                        Jury Service                                                                                        Lawsuits and Small Claims                                                                                        Traffic and Vehicles                                                                                        Wills and Estates                                                                                        See All Help Topics                                  ServiceseCourts                                                      Citation Tickets                                                                                        Court Collections                                                                                        Guide &amp; File                                                                                        Portal (Court Records / Payments)                                  eFiling                                                      eCourts eFiling (File &amp; Serve)                                                                                        Appellate Courts                                                                                        Business Court                                                                                        Legacy Civil eFiling                                  Requests                                                      Court Date Notifications                                                                                        Criminal Background Check                                                                                        Disability Accommodation                                                                                        Public Record                                                                                        Remote Public Access                                                                                        Spoken Language Interpreter                                                                                        See All Services                                  FormsCourt DatesContactGoing to CourteCourtseCourts is LIVE in Harnett Johnston Lee Mecklenburg and Wake Counties. Find info training and resources. Learn moreNewsJudicial Branch courts and offices are closed Friday November 10 for Veterans Day holiday. View holidaysDismiss alertDismiss alertAlert Cagertory PlaceholderLink Text PlaceholderMain ContentSearchQuick links                  Find a courthouse                                  Find my court date                                  Pay my citation online                                  Prepare for jury service                                  Find a form                Suggested searchesTop resultsView all search results Got a Ticket? LanguagesGeneral PublicJudicial CommunityLegal CommunityMedia Find my court dateBrowse our calendars to look up your case and find out when it happens.Browse court calendars Find my local courthouseBrowse our county directory to find a local courthouse to visit or contact.Browse county directoryFeatured storyTwelve N.C. Counties to Transition to eCourts on February 5 2024Read news story FormsQuickly find the exact judicial form you need to fill out for your legal purposes.Find a form ServicesExplore a variety of services we offer to the public including making online payments.Explore services Going to court?Get started and prepare for what to expect when arriving at your courthouse.Get startedFind common answers in Help TopicsCourt RecordsCriminal LawDisability and Language AccessDivorce and MarriageDomestic ViolenceFamily and ChildrenFees and PaymentsFind an AttorneyGoing to CourtGuardianshipHousingJury ServiceLawsuits and Small ClaimsTraffic and VehiclesWills and EstatesWe're Hiring!Career Opportunities Available! Find Judicial Branch job postings and vacancies for all counties statewide including legal assistants deputy clerks and more.All Things Judicial PodcastListen to the latest podcast about the important role of the North Carolina Judicial Branch in state government.Jury Service ScamsLearn about recent scams how to protect yourself and avoid falling victim to jury service scams.Speakers Bureau &amp; Civics EducationA free public service provided by the judicial community of North Carolina. Request a speaker for your civics education event.eCourtsNorth Carolina courts are transitioning from paper to digital. Find information FAQs training materials and learn more. Go to eCourts Services:eFiling (File &amp; Serve)Guide &amp; FilePortalLatest news        November 9 2023     General NewsN.C. Administrative Office of the Courts Hosts First Tech Fair to Showcase Court Technology            The Tech Fair showcased court technology currently being utilized in courthouses across North Carolina.       By North Carolina Judicial Branch        November 8 2023     Press ReleaseAll Things Judicial Features an Interview with Guilford County Attorney G. Stevenson Crihfield            Crihfield helped bring attention to mental health issues in his legal community.       By North Carolina Judicial Branch        November 6 2023     Press ReleaseHarnett County Veterans Treatment Court Celebrates 10 Years            Veterans Treatment Court helps veterans involved in the justice system due to mental health disorders trauma and substance use.      By North Carolina Judicial Branch        November 3 2023     General NewsGovernor Cooper Announces Three Judicial Appointments            Justin Green Lora T. Baker and M. Jason Williams have been appointed to serve in district courts.      By North Carolina Judicial Branch        November 3 2023     General NewsPortal Training Available for Attorneys and Judicial Partners in eCourts Track 3 Counties            NCAOC has scheduled virtual training sessions for attorneys and judicial partners in eCourts Track 3 counties. Register for a session.      By North Carolina Judicial BranchSee all news storiesConnect with usFacebookLinkedinTwitterYoutubePodcastUpcoming Judicial Branch holidayFriday November 10  Veterans Day Holiday	            View holiday schedule	        North Carolina Judicial Branch    Justice for all                      Additional Information                NewsProgramsCommissionsDocumentsAboutCareersJudicial DirectoryData and Statistics                    Community Support                General PublicLegal CommunityJudicial CommunityMedia                    Help and Support                Hours and LocationsOnline ServicesHelp TopicsContact                    Site Information                ClosingsHelpAccessibilityLegal Notices Disclaimers and Terms of UseSitemapConnect with usFacebookLinkedinTwitterYoutubePodcastLanguages:EspañolFrançaisPусскийTiếng Việt简体中文信息中國傳統信息عربى          Back to top</v>
      </c>
    </row>
    <row r="685">
      <c r="A685" s="1" t="s">
        <v>2258</v>
      </c>
      <c r="B685" s="1" t="s">
        <v>2259</v>
      </c>
      <c r="C685" s="1" t="s">
        <v>2260</v>
      </c>
      <c r="D685" s="1">
        <v>1.0</v>
      </c>
      <c r="E685" s="4" t="s">
        <v>2261</v>
      </c>
      <c r="F685" s="1" t="s">
        <v>16</v>
      </c>
      <c r="G685" s="1" t="s">
        <v>336</v>
      </c>
      <c r="H685" s="4" t="s">
        <v>453</v>
      </c>
      <c r="I685" s="2">
        <v>1.0</v>
      </c>
      <c r="J685" s="5" t="str">
        <f>IFERROR(__xludf.DUMMYFUNCTION("GOOGLETRANSLATE(A685)"),"weather")</f>
        <v>weather</v>
      </c>
      <c r="K685" s="6" t="str">
        <f>IFERROR(__xludf.DUMMYFUNCTION("GOOGLETRANSLATE(B685)"),"Weather forecast for 10 days")</f>
        <v>Weather forecast for 10 days</v>
      </c>
      <c r="L685" s="5" t="str">
        <f>IFERROR(__xludf.DUMMYFUNCTION("GOOGLETRANSLATE(C685)"),"Weather for 10 days; cf. Today. +20 °; Th. 09. +19 °; PT. 10. +19 °; Sat. 11. +20 °; Sun. 12. +22 ° ...")</f>
        <v>Weather for 10 days; cf. Today. +20 °; Th. 09. +19 °; PT. 10. +19 °; Sat. 11. +20 °; Sun. 12. +22 ° ...</v>
      </c>
      <c r="M685" s="5" t="str">
        <f>IFERROR(__xludf.DUMMYFUNCTION("GOOGLETRANSLATE(G685)"),"Oh!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686">
      <c r="A686" s="1" t="s">
        <v>2258</v>
      </c>
      <c r="B686" s="1" t="s">
        <v>2262</v>
      </c>
      <c r="C686" s="1" t="s">
        <v>2263</v>
      </c>
      <c r="D686" s="1">
        <v>2.0</v>
      </c>
      <c r="E686" s="4" t="s">
        <v>2264</v>
      </c>
      <c r="F686" s="1" t="s">
        <v>16</v>
      </c>
      <c r="G686" s="1" t="s">
        <v>336</v>
      </c>
      <c r="H686" s="4" t="s">
        <v>453</v>
      </c>
      <c r="I686" s="2">
        <v>1.0</v>
      </c>
      <c r="J686" s="5" t="str">
        <f>IFERROR(__xludf.DUMMYFUNCTION("GOOGLETRANSLATE(A686)"),"weather")</f>
        <v>weather</v>
      </c>
      <c r="K686" s="6" t="str">
        <f>IFERROR(__xludf.DUMMYFUNCTION("GOOGLETRANSLATE(B686)"),"The city of Mountain-Vew")</f>
        <v>The city of Mountain-Vew</v>
      </c>
      <c r="L686" s="5" t="str">
        <f>IFERROR(__xludf.DUMMYFUNCTION("GOOGLETRANSLATE(C686)"),"Weather for 10 days; Th. Today. +19 °; PT. 10. +20 °; Sat. 11. +20 °; Sun. 12. +22 °; Mon. 13. +19 ° ...")</f>
        <v>Weather for 10 days; Th. Today. +19 °; PT. 10. +20 °; Sat. 11. +20 °; Sun. 12. +22 °; Mon. 13. +19 ° ...</v>
      </c>
      <c r="M686" s="5" t="str">
        <f>IFERROR(__xludf.DUMMYFUNCTION("GOOGLETRANSLATE(G686)"),"Oh!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687">
      <c r="A687" s="1" t="s">
        <v>2258</v>
      </c>
      <c r="B687" s="1" t="s">
        <v>2265</v>
      </c>
      <c r="C687" s="1" t="s">
        <v>2266</v>
      </c>
      <c r="D687" s="1">
        <v>3.0</v>
      </c>
      <c r="E687" s="4" t="s">
        <v>2267</v>
      </c>
      <c r="F687" s="1" t="s">
        <v>16</v>
      </c>
      <c r="G687" s="1" t="s">
        <v>2268</v>
      </c>
      <c r="H687" s="4" t="s">
        <v>2269</v>
      </c>
      <c r="I687" s="2">
        <v>0.0</v>
      </c>
      <c r="J687" s="5" t="str">
        <f>IFERROR(__xludf.DUMMYFUNCTION("GOOGLETRANSLATE(A687)"),"weather")</f>
        <v>weather</v>
      </c>
      <c r="K687" s="6" t="str">
        <f>IFERROR(__xludf.DUMMYFUNCTION("GOOGLETRANSLATE(B687)"),"Gismeteo: Weather in Russia, weather forecast for today ...")</f>
        <v>Gismeteo: Weather in Russia, weather forecast for today ...</v>
      </c>
      <c r="L687" s="5" t="str">
        <f>IFERROR(__xludf.DUMMYFUNCTION("GOOGLETRANSLATE(C687)"),"Current weather and accurate forecast for all settlements of Russia, as well as around the world. Weather forecast for today, tomorrow, 3 days, weekend, week, ...")</f>
        <v>Current weather and accurate forecast for all settlements of Russia, as well as around the world. Weather forecast for today, tomorrow, 3 days, weekend, week, ...</v>
      </c>
      <c r="M687" s="5" t="str">
        <f>IFERROR(__xludf.DUMMYFUNCTION("GOOGLETRANSLATE(G687)"),"GISMETEO: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88">
      <c r="A688" s="1" t="s">
        <v>2258</v>
      </c>
      <c r="B688" s="1" t="s">
        <v>2270</v>
      </c>
      <c r="D688" s="1">
        <v>4.0</v>
      </c>
      <c r="E688" s="4" t="s">
        <v>2271</v>
      </c>
      <c r="F688" s="1" t="s">
        <v>16</v>
      </c>
      <c r="G688" s="1" t="s">
        <v>2268</v>
      </c>
      <c r="H688" s="4" t="s">
        <v>2269</v>
      </c>
      <c r="I688" s="2">
        <v>0.0</v>
      </c>
      <c r="J688" s="5" t="str">
        <f>IFERROR(__xludf.DUMMYFUNCTION("GOOGLETRANSLATE(A688)"),"weather")</f>
        <v>weather</v>
      </c>
      <c r="K688" s="6" t="str">
        <f>IFERROR(__xludf.DUMMYFUNCTION("GOOGLETRANSLATE(B688)"),"Weather in Naberezhnye Chelny")</f>
        <v>Weather in Naberezhnye Chelny</v>
      </c>
      <c r="L688" s="5" t="str">
        <f>IFERROR(__xludf.DUMMYFUNCTION("GOOGLETRANSLATE(C688)"),"#VALUE!")</f>
        <v>#VALUE!</v>
      </c>
      <c r="M688" s="5" t="str">
        <f>IFERROR(__xludf.DUMMYFUNCTION("GOOGLETRANSLATE(G688)"),"GISMETEO: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89">
      <c r="A689" s="1" t="s">
        <v>2258</v>
      </c>
      <c r="B689" s="1" t="s">
        <v>2272</v>
      </c>
      <c r="C689" s="1" t="s">
        <v>2273</v>
      </c>
      <c r="D689" s="1">
        <v>5.0</v>
      </c>
      <c r="E689" s="4" t="s">
        <v>2274</v>
      </c>
      <c r="F689" s="1" t="s">
        <v>16</v>
      </c>
      <c r="G689" s="1" t="s">
        <v>2268</v>
      </c>
      <c r="H689" s="4" t="s">
        <v>2269</v>
      </c>
      <c r="I689" s="2">
        <v>0.0</v>
      </c>
      <c r="J689" s="5" t="str">
        <f>IFERROR(__xludf.DUMMYFUNCTION("GOOGLETRANSLATE(A689)"),"weather")</f>
        <v>weather</v>
      </c>
      <c r="K689" s="6" t="str">
        <f>IFERROR(__xludf.DUMMYFUNCTION("GOOGLETRANSLATE(B689)"),"Weather in Krasnodar")</f>
        <v>Weather in Krasnodar</v>
      </c>
      <c r="L689" s="5" t="str">
        <f>IFERROR(__xludf.DUMMYFUNCTION("GOOGLETRANSLATE(C689)"),"The weather in Krasnodar today, the exact weather forecast for today for the village of Krasnodar, Krasnodar (city district), Krasnodar Territory, Russia.")</f>
        <v>The weather in Krasnodar today, the exact weather forecast for today for the village of Krasnodar, Krasnodar (city district), Krasnodar Territory, Russia.</v>
      </c>
      <c r="M689" s="5" t="str">
        <f>IFERROR(__xludf.DUMMYFUNCTION("GOOGLETRANSLATE(G689)"),"GISMETEO: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0">
      <c r="A690" s="1" t="s">
        <v>2258</v>
      </c>
      <c r="B690" s="1" t="s">
        <v>2275</v>
      </c>
      <c r="C690" s="1" t="s">
        <v>2276</v>
      </c>
      <c r="D690" s="1">
        <v>6.0</v>
      </c>
      <c r="E690" s="4" t="s">
        <v>2277</v>
      </c>
      <c r="F690" s="1" t="s">
        <v>16</v>
      </c>
      <c r="G690" s="1" t="s">
        <v>2268</v>
      </c>
      <c r="H690" s="4" t="s">
        <v>2269</v>
      </c>
      <c r="I690" s="2">
        <v>0.0</v>
      </c>
      <c r="J690" s="5" t="str">
        <f>IFERROR(__xludf.DUMMYFUNCTION("GOOGLETRANSLATE(A690)"),"weather")</f>
        <v>weather</v>
      </c>
      <c r="K690" s="6" t="str">
        <f>IFERROR(__xludf.DUMMYFUNCTION("GOOGLETRANSLATE(B690)"),"Weather in Ulyanovsk")</f>
        <v>Weather in Ulyanovsk</v>
      </c>
      <c r="L690" s="5" t="str">
        <f>IFERROR(__xludf.DUMMYFUNCTION("GOOGLETRANSLATE(C690)"),"Armed Forces November 12 3: 24 Russia, Ulyanovsk Region, Ulyanovsk (city district). In Ulyanovsk, cloudy, without precipitation, fog, +1 ° C. Sens about +1 ° C. Weather.")</f>
        <v>Armed Forces November 12 3: 24 Russia, Ulyanovsk Region, Ulyanovsk (city district). In Ulyanovsk, cloudy, without precipitation, fog, +1 ° C. Sens about +1 ° C. Weather.</v>
      </c>
      <c r="M690" s="5" t="str">
        <f>IFERROR(__xludf.DUMMYFUNCTION("GOOGLETRANSLATE(G690)"),"GISMETEO: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1">
      <c r="A691" s="1" t="s">
        <v>2258</v>
      </c>
      <c r="B691" s="1" t="s">
        <v>2278</v>
      </c>
      <c r="C691" s="1" t="s">
        <v>2279</v>
      </c>
      <c r="D691" s="1">
        <v>7.0</v>
      </c>
      <c r="E691" s="4" t="s">
        <v>2280</v>
      </c>
      <c r="F691" s="1" t="s">
        <v>16</v>
      </c>
      <c r="G691" s="1" t="s">
        <v>2268</v>
      </c>
      <c r="H691" s="4" t="s">
        <v>2269</v>
      </c>
      <c r="I691" s="2">
        <v>0.0</v>
      </c>
      <c r="J691" s="5" t="str">
        <f>IFERROR(__xludf.DUMMYFUNCTION("GOOGLETRANSLATE(A691)"),"weather")</f>
        <v>weather</v>
      </c>
      <c r="K691" s="6" t="str">
        <f>IFERROR(__xludf.DUMMYFUNCTION("GOOGLETRANSLATE(B691)"),"Weather in Tambov")</f>
        <v>Weather in Tambov</v>
      </c>
      <c r="L691" s="5" t="str">
        <f>IFERROR(__xludf.DUMMYFUNCTION("GOOGLETRANSLATE(C691)"),"SB November 11 21: 03 Russian, Tambov region, Tambov (city district). In Tambov, cloudy, without precipitation, haze, +3 ° C. Sens about +1 ° C, wind 3 m/s. Weather.")</f>
        <v>SB November 11 21: 03 Russian, Tambov region, Tambov (city district). In Tambov, cloudy, without precipitation, haze, +3 ° C. Sens about +1 ° C, wind 3 m/s. Weather.</v>
      </c>
      <c r="M691" s="5" t="str">
        <f>IFERROR(__xludf.DUMMYFUNCTION("GOOGLETRANSLATE(G691)"),"GISMETEO: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2">
      <c r="A692" s="1" t="s">
        <v>2258</v>
      </c>
      <c r="B692" s="1" t="s">
        <v>2281</v>
      </c>
      <c r="C692" s="1" t="s">
        <v>2282</v>
      </c>
      <c r="D692" s="1">
        <v>8.0</v>
      </c>
      <c r="E692" s="4" t="s">
        <v>2283</v>
      </c>
      <c r="F692" s="1" t="s">
        <v>16</v>
      </c>
      <c r="G692" s="1" t="s">
        <v>2268</v>
      </c>
      <c r="H692" s="4" t="s">
        <v>2269</v>
      </c>
      <c r="I692" s="2">
        <v>0.0</v>
      </c>
      <c r="J692" s="5" t="str">
        <f>IFERROR(__xludf.DUMMYFUNCTION("GOOGLETRANSLATE(A692)"),"weather")</f>
        <v>weather</v>
      </c>
      <c r="K692" s="6" t="str">
        <f>IFERROR(__xludf.DUMMYFUNCTION("GOOGLETRANSLATE(B692)"),"Weather in St. Petersburg")</f>
        <v>Weather in St. Petersburg</v>
      </c>
      <c r="L692" s="5" t="str">
        <f>IFERROR(__xludf.DUMMYFUNCTION("GOOGLETRANSLATE(C692)"),"Weather in St. Petersburg today, the exact weather forecast for today for the village of St. Petersburg, St. Petersburg (city of federal significance) ...")</f>
        <v>Weather in St. Petersburg today, the exact weather forecast for today for the village of St. Petersburg, St. Petersburg (city of federal significance) ...</v>
      </c>
      <c r="M692" s="5" t="str">
        <f>IFERROR(__xludf.DUMMYFUNCTION("GOOGLETRANSLATE(G692)"),"GISMETEO: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3">
      <c r="A693" s="1" t="s">
        <v>2258</v>
      </c>
      <c r="B693" s="1" t="s">
        <v>2284</v>
      </c>
      <c r="D693" s="1">
        <v>9.0</v>
      </c>
      <c r="E693" s="4" t="s">
        <v>2285</v>
      </c>
      <c r="F693" s="1" t="s">
        <v>16</v>
      </c>
      <c r="G693" s="1" t="s">
        <v>2268</v>
      </c>
      <c r="H693" s="4" t="s">
        <v>2269</v>
      </c>
      <c r="I693" s="2">
        <v>0.0</v>
      </c>
      <c r="J693" s="5" t="str">
        <f>IFERROR(__xludf.DUMMYFUNCTION("GOOGLETRANSLATE(A693)"),"weather")</f>
        <v>weather</v>
      </c>
      <c r="K693" s="6" t="str">
        <f>IFERROR(__xludf.DUMMYFUNCTION("GOOGLETRANSLATE(B693)"),"Weather in Rostov-on-Don")</f>
        <v>Weather in Rostov-on-Don</v>
      </c>
      <c r="L693" s="5" t="str">
        <f>IFERROR(__xludf.DUMMYFUNCTION("GOOGLETRANSLATE(C693)"),"#VALUE!")</f>
        <v>#VALUE!</v>
      </c>
      <c r="M693" s="5" t="str">
        <f>IFERROR(__xludf.DUMMYFUNCTION("GOOGLETRANSLATE(G693)"),"GISMETEO: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4">
      <c r="A694" s="1" t="s">
        <v>2258</v>
      </c>
      <c r="B694" s="1" t="s">
        <v>2286</v>
      </c>
      <c r="C694" s="1" t="s">
        <v>2287</v>
      </c>
      <c r="D694" s="1">
        <v>10.0</v>
      </c>
      <c r="E694" s="4" t="s">
        <v>2288</v>
      </c>
      <c r="F694" s="1" t="s">
        <v>16</v>
      </c>
      <c r="G694" s="1" t="s">
        <v>2268</v>
      </c>
      <c r="H694" s="4" t="s">
        <v>2269</v>
      </c>
      <c r="I694" s="2">
        <v>0.0</v>
      </c>
      <c r="J694" s="5" t="str">
        <f>IFERROR(__xludf.DUMMYFUNCTION("GOOGLETRANSLATE(A694)"),"weather")</f>
        <v>weather</v>
      </c>
      <c r="K694" s="6" t="str">
        <f>IFERROR(__xludf.DUMMYFUNCTION("GOOGLETRANSLATE(B694)"),"Weather in Samara")</f>
        <v>Weather in Samara</v>
      </c>
      <c r="L694" s="5" t="str">
        <f>IFERROR(__xludf.DUMMYFUNCTION("GOOGLETRANSLATE(C694)"),"Armed Forces November 12 2: 40 Russian, Samara region, Samara (city district). In Samara, cloudlessly, +1 ° C. Sens about −2 ° C, wind 2 m/s. Weather.")</f>
        <v>Armed Forces November 12 2: 40 Russian, Samara region, Samara (city district). In Samara, cloudlessly, +1 ° C. Sens about −2 ° C, wind 2 m/s. Weather.</v>
      </c>
      <c r="M694" s="5" t="str">
        <f>IFERROR(__xludf.DUMMYFUNCTION("GOOGLETRANSLATE(G694)"),"GISMETEO: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5">
      <c r="A695" s="1" t="s">
        <v>2258</v>
      </c>
      <c r="B695" s="1" t="s">
        <v>2289</v>
      </c>
      <c r="C695" s="1" t="s">
        <v>2290</v>
      </c>
      <c r="D695" s="1">
        <v>11.0</v>
      </c>
      <c r="E695" s="4" t="s">
        <v>2291</v>
      </c>
      <c r="F695" s="1" t="s">
        <v>16</v>
      </c>
      <c r="G695" s="1" t="s">
        <v>2268</v>
      </c>
      <c r="H695" s="4" t="s">
        <v>2269</v>
      </c>
      <c r="I695" s="2">
        <v>0.0</v>
      </c>
      <c r="J695" s="5" t="str">
        <f>IFERROR(__xludf.DUMMYFUNCTION("GOOGLETRANSLATE(A695)"),"weather")</f>
        <v>weather</v>
      </c>
      <c r="K695" s="6" t="str">
        <f>IFERROR(__xludf.DUMMYFUNCTION("GOOGLETRANSLATE(B695)"),"Weather in Moscow today, forecast ...")</f>
        <v>Weather in Moscow today, forecast ...</v>
      </c>
      <c r="L695" s="5" t="str">
        <f>IFERROR(__xludf.DUMMYFUNCTION("GOOGLETRANSLATE(C695)"),"Weather in Moscow for today, the exact weather forecast for today for the village of Moscow, Moscow (city of federal significance), Russia.")</f>
        <v>Weather in Moscow for today, the exact weather forecast for today for the village of Moscow, Moscow (city of federal significance), Russia.</v>
      </c>
      <c r="M695" s="5" t="str">
        <f>IFERROR(__xludf.DUMMYFUNCTION("GOOGLETRANSLATE(G695)"),"GISMETEO: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6">
      <c r="A696" s="1" t="s">
        <v>2258</v>
      </c>
      <c r="B696" s="1" t="s">
        <v>2292</v>
      </c>
      <c r="C696" s="1" t="s">
        <v>2293</v>
      </c>
      <c r="D696" s="1">
        <v>12.0</v>
      </c>
      <c r="E696" s="4" t="s">
        <v>2294</v>
      </c>
      <c r="F696" s="1" t="s">
        <v>16</v>
      </c>
      <c r="G696" s="1" t="s">
        <v>2268</v>
      </c>
      <c r="H696" s="4" t="s">
        <v>2269</v>
      </c>
      <c r="I696" s="2">
        <v>0.0</v>
      </c>
      <c r="J696" s="5" t="str">
        <f>IFERROR(__xludf.DUMMYFUNCTION("GOOGLETRANSLATE(A696)"),"weather")</f>
        <v>weather</v>
      </c>
      <c r="K696" s="6" t="str">
        <f>IFERROR(__xludf.DUMMYFUNCTION("GOOGLETRANSLATE(B696)"),"Weather in Novosibirsk")</f>
        <v>Weather in Novosibirsk</v>
      </c>
      <c r="L696" s="5" t="str">
        <f>IFERROR(__xludf.DUMMYFUNCTION("GOOGLETRANSLATE(C696)"),"Weather in Novosibirsk for today, the exact weather forecast for today for the village of Novosibirsk, Novosibirsk (city district), Novosibirsk region, ...")</f>
        <v>Weather in Novosibirsk for today, the exact weather forecast for today for the village of Novosibirsk, Novosibirsk (city district), Novosibirsk region, ...</v>
      </c>
      <c r="M696" s="5" t="str">
        <f>IFERROR(__xludf.DUMMYFUNCTION("GOOGLETRANSLATE(G696)"),"GISMETEO: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7">
      <c r="A697" s="1" t="s">
        <v>2258</v>
      </c>
      <c r="B697" s="1" t="s">
        <v>2295</v>
      </c>
      <c r="C697" s="1" t="s">
        <v>2296</v>
      </c>
      <c r="D697" s="1">
        <v>13.0</v>
      </c>
      <c r="E697" s="4" t="s">
        <v>2297</v>
      </c>
      <c r="F697" s="1" t="s">
        <v>16</v>
      </c>
      <c r="G697" s="1" t="s">
        <v>2268</v>
      </c>
      <c r="H697" s="4" t="s">
        <v>2269</v>
      </c>
      <c r="I697" s="2">
        <v>0.0</v>
      </c>
      <c r="J697" s="5" t="str">
        <f>IFERROR(__xludf.DUMMYFUNCTION("GOOGLETRANSLATE(A697)"),"weather")</f>
        <v>weather</v>
      </c>
      <c r="K697" s="6" t="str">
        <f>IFERROR(__xludf.DUMMYFUNCTION("GOOGLETRANSLATE(B697)"),"Weather in Tomsk")</f>
        <v>Weather in Tomsk</v>
      </c>
      <c r="L697" s="5" t="str">
        <f>IFERROR(__xludf.DUMMYFUNCTION("GOOGLETRANSLATE(C697)"),"Weather in Tomsk for today, the exact weather forecast for today for the village of Tomsk, Tomsk (city district), Tomsk region, Russia.")</f>
        <v>Weather in Tomsk for today, the exact weather forecast for today for the village of Tomsk, Tomsk (city district), Tomsk region, Russia.</v>
      </c>
      <c r="M697" s="5" t="str">
        <f>IFERROR(__xludf.DUMMYFUNCTION("GOOGLETRANSLATE(G697)"),"GISMETEO: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8">
      <c r="A698" s="1" t="s">
        <v>2258</v>
      </c>
      <c r="B698" s="1" t="s">
        <v>2298</v>
      </c>
      <c r="C698" s="1" t="s">
        <v>2299</v>
      </c>
      <c r="D698" s="1">
        <v>14.0</v>
      </c>
      <c r="E698" s="4" t="s">
        <v>2300</v>
      </c>
      <c r="F698" s="1" t="s">
        <v>16</v>
      </c>
      <c r="G698" s="1" t="s">
        <v>2268</v>
      </c>
      <c r="H698" s="4" t="s">
        <v>2269</v>
      </c>
      <c r="I698" s="2">
        <v>0.0</v>
      </c>
      <c r="J698" s="5" t="str">
        <f>IFERROR(__xludf.DUMMYFUNCTION("GOOGLETRANSLATE(A698)"),"weather")</f>
        <v>weather</v>
      </c>
      <c r="K698" s="6" t="str">
        <f>IFERROR(__xludf.DUMMYFUNCTION("GOOGLETRANSLATE(B698)"),"Weather in Ufa")</f>
        <v>Weather in Ufa</v>
      </c>
      <c r="L698" s="5" t="str">
        <f>IFERROR(__xludf.DUMMYFUNCTION("GOOGLETRANSLATE(C698)"),"The weather in Ufa today, the exact weather forecast for today for the village of Ufa, Ufa (city district), the Republic of Bashkortostan, Russia.")</f>
        <v>The weather in Ufa today, the exact weather forecast for today for the village of Ufa, Ufa (city district), the Republic of Bashkortostan, Russia.</v>
      </c>
      <c r="M698" s="5" t="str">
        <f>IFERROR(__xludf.DUMMYFUNCTION("GOOGLETRANSLATE(G698)"),"GISMETEO: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699">
      <c r="A699" s="1" t="s">
        <v>2258</v>
      </c>
      <c r="B699" s="1" t="s">
        <v>2301</v>
      </c>
      <c r="C699" s="1" t="s">
        <v>2302</v>
      </c>
      <c r="D699" s="1">
        <v>15.0</v>
      </c>
      <c r="E699" s="4" t="s">
        <v>2303</v>
      </c>
      <c r="F699" s="1" t="s">
        <v>16</v>
      </c>
      <c r="G699" s="1" t="s">
        <v>2268</v>
      </c>
      <c r="H699" s="4" t="s">
        <v>2269</v>
      </c>
      <c r="I699" s="2">
        <v>0.0</v>
      </c>
      <c r="J699" s="5" t="str">
        <f>IFERROR(__xludf.DUMMYFUNCTION("GOOGLETRANSLATE(A699)"),"weather")</f>
        <v>weather</v>
      </c>
      <c r="K699" s="6" t="str">
        <f>IFERROR(__xludf.DUMMYFUNCTION("GOOGLETRANSLATE(B699)"),"Weather in Krasnoyarsk today, forecast ...")</f>
        <v>Weather in Krasnoyarsk today, forecast ...</v>
      </c>
      <c r="L699" s="5" t="str">
        <f>IFERROR(__xludf.DUMMYFUNCTION("GOOGLETRANSLATE(C699)"),"Weather in Krasnoyarsk for today, the exact weather forecast for today for the village of Krasnoyarsk, Krasnoyarsk (city district), Krasnoyarsk Territory, ...")</f>
        <v>Weather in Krasnoyarsk for today, the exact weather forecast for today for the village of Krasnoyarsk, Krasnoyarsk (city district), Krasnoyarsk Territory, ...</v>
      </c>
      <c r="M699" s="5" t="str">
        <f>IFERROR(__xludf.DUMMYFUNCTION("GOOGLETRANSLATE(G699)"),"GISMETEO: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00">
      <c r="A700" s="1" t="s">
        <v>2258</v>
      </c>
      <c r="B700" s="1" t="s">
        <v>2304</v>
      </c>
      <c r="C700" s="1" t="s">
        <v>2305</v>
      </c>
      <c r="D700" s="1">
        <v>16.0</v>
      </c>
      <c r="E700" s="4" t="s">
        <v>2306</v>
      </c>
      <c r="F700" s="1" t="s">
        <v>16</v>
      </c>
      <c r="G700" s="1" t="s">
        <v>2268</v>
      </c>
      <c r="H700" s="4" t="s">
        <v>2269</v>
      </c>
      <c r="I700" s="2">
        <v>0.0</v>
      </c>
      <c r="J700" s="5" t="str">
        <f>IFERROR(__xludf.DUMMYFUNCTION("GOOGLETRANSLATE(A700)"),"weather")</f>
        <v>weather</v>
      </c>
      <c r="K700" s="6" t="str">
        <f>IFERROR(__xludf.DUMMYFUNCTION("GOOGLETRANSLATE(B700)"),"Weather in Irkutsk")</f>
        <v>Weather in Irkutsk</v>
      </c>
      <c r="L700" s="5" t="str">
        <f>IFERROR(__xludf.DUMMYFUNCTION("GOOGLETRANSLATE(C700)"),"Weather in Irkutsk for today, the exact weather forecast for today for the village of Irkutsk, Irkutsk (city district), Irkutsk region, Russia.")</f>
        <v>Weather in Irkutsk for today, the exact weather forecast for today for the village of Irkutsk, Irkutsk (city district), Irkutsk region, Russia.</v>
      </c>
      <c r="M700" s="5" t="str">
        <f>IFERROR(__xludf.DUMMYFUNCTION("GOOGLETRANSLATE(G700)"),"GISMETEO: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01">
      <c r="A701" s="1" t="s">
        <v>2258</v>
      </c>
      <c r="B701" s="1" t="s">
        <v>2307</v>
      </c>
      <c r="C701" s="1" t="s">
        <v>2308</v>
      </c>
      <c r="D701" s="1">
        <v>17.0</v>
      </c>
      <c r="E701" s="4" t="s">
        <v>2309</v>
      </c>
      <c r="F701" s="1" t="s">
        <v>16</v>
      </c>
      <c r="G701" s="1" t="s">
        <v>2268</v>
      </c>
      <c r="H701" s="4" t="s">
        <v>2269</v>
      </c>
      <c r="I701" s="2">
        <v>0.0</v>
      </c>
      <c r="J701" s="5" t="str">
        <f>IFERROR(__xludf.DUMMYFUNCTION("GOOGLETRANSLATE(A701)"),"weather")</f>
        <v>weather</v>
      </c>
      <c r="K701" s="6" t="str">
        <f>IFERROR(__xludf.DUMMYFUNCTION("GOOGLETRANSLATE(B701)"),"Weather in Nizhny Novgorod - Nizhny Novgorod region")</f>
        <v>Weather in Nizhny Novgorod - Nizhny Novgorod region</v>
      </c>
      <c r="L701" s="5" t="str">
        <f>IFERROR(__xludf.DUMMYFUNCTION("GOOGLETRANSLATE(C701)"),"Weather in Nizhny Novgorod today, the exact weather forecast for today for the village of Nizhny Novgorod, Nizhny Novgorod (city district), ...")</f>
        <v>Weather in Nizhny Novgorod today, the exact weather forecast for today for the village of Nizhny Novgorod, Nizhny Novgorod (city district), ...</v>
      </c>
      <c r="M701" s="5" t="str">
        <f>IFERROR(__xludf.DUMMYFUNCTION("GOOGLETRANSLATE(G701)"),"GISMETEO: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02">
      <c r="A702" s="1" t="s">
        <v>2258</v>
      </c>
      <c r="B702" s="1" t="s">
        <v>2310</v>
      </c>
      <c r="C702" s="1" t="s">
        <v>2311</v>
      </c>
      <c r="D702" s="1">
        <v>18.0</v>
      </c>
      <c r="E702" s="4" t="s">
        <v>2312</v>
      </c>
      <c r="F702" s="1" t="s">
        <v>16</v>
      </c>
      <c r="G702" s="1" t="s">
        <v>2268</v>
      </c>
      <c r="H702" s="4" t="s">
        <v>2269</v>
      </c>
      <c r="I702" s="2">
        <v>0.0</v>
      </c>
      <c r="J702" s="5" t="str">
        <f>IFERROR(__xludf.DUMMYFUNCTION("GOOGLETRANSLATE(A702)"),"weather")</f>
        <v>weather</v>
      </c>
      <c r="K702" s="6" t="str">
        <f>IFERROR(__xludf.DUMMYFUNCTION("GOOGLETRANSLATE(B702)"),"Weather in St. Petersburg for 3 days")</f>
        <v>Weather in St. Petersburg for 3 days</v>
      </c>
      <c r="L702" s="5" t="str">
        <f>IFERROR(__xludf.DUMMYFUNCTION("GOOGLETRANSLATE(C702)"),"Weather in St. Petersburg for 3 days, a weather forecast for 3 days for the village of St. Petersburg, St. Petersburg (city of federal significance), Russia.")</f>
        <v>Weather in St. Petersburg for 3 days, a weather forecast for 3 days for the village of St. Petersburg, St. Petersburg (city of federal significance), Russia.</v>
      </c>
      <c r="M702" s="5" t="str">
        <f>IFERROR(__xludf.DUMMYFUNCTION("GOOGLETRANSLATE(G702)"),"GISMETEO: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03">
      <c r="A703" s="1" t="s">
        <v>2258</v>
      </c>
      <c r="B703" s="1" t="s">
        <v>2313</v>
      </c>
      <c r="C703" s="1" t="s">
        <v>2314</v>
      </c>
      <c r="D703" s="1">
        <v>19.0</v>
      </c>
      <c r="E703" s="4" t="s">
        <v>2315</v>
      </c>
      <c r="F703" s="1" t="s">
        <v>16</v>
      </c>
      <c r="G703" s="1" t="s">
        <v>2268</v>
      </c>
      <c r="H703" s="4" t="s">
        <v>2269</v>
      </c>
      <c r="I703" s="2">
        <v>0.0</v>
      </c>
      <c r="J703" s="5" t="str">
        <f>IFERROR(__xludf.DUMMYFUNCTION("GOOGLETRANSLATE(A703)"),"weather")</f>
        <v>weather</v>
      </c>
      <c r="K703" s="6" t="str">
        <f>IFERROR(__xludf.DUMMYFUNCTION("GOOGLETRANSLATE(B703)"),"Weather in Yekaterinburg for 10 days")</f>
        <v>Weather in Yekaterinburg for 10 days</v>
      </c>
      <c r="L703" s="5" t="str">
        <f>IFERROR(__xludf.DUMMYFUNCTION("GOOGLETRANSLATE(C703)"),"Weather in Yekaterinburg for 10 days, weather forecast for 10 days for the village of Yekaterinburg, Yekaterinburg (city district), Sverdlovsk region, ...")</f>
        <v>Weather in Yekaterinburg for 10 days, weather forecast for 10 days for the village of Yekaterinburg, Yekaterinburg (city district), Sverdlovsk region, ...</v>
      </c>
      <c r="M703" s="5" t="str">
        <f>IFERROR(__xludf.DUMMYFUNCTION("GOOGLETRANSLATE(G703)"),"GISMETEO: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04">
      <c r="A704" s="1" t="s">
        <v>2258</v>
      </c>
      <c r="B704" s="1" t="s">
        <v>2316</v>
      </c>
      <c r="C704" s="1" t="s">
        <v>2317</v>
      </c>
      <c r="D704" s="1">
        <v>20.0</v>
      </c>
      <c r="E704" s="4" t="s">
        <v>2318</v>
      </c>
      <c r="F704" s="1" t="s">
        <v>16</v>
      </c>
      <c r="G704" s="1" t="s">
        <v>2268</v>
      </c>
      <c r="H704" s="4" t="s">
        <v>2269</v>
      </c>
      <c r="I704" s="2">
        <v>0.0</v>
      </c>
      <c r="J704" s="5" t="str">
        <f>IFERROR(__xludf.DUMMYFUNCTION("GOOGLETRANSLATE(A704)"),"weather")</f>
        <v>weather</v>
      </c>
      <c r="K704" s="6" t="str">
        <f>IFERROR(__xludf.DUMMYFUNCTION("GOOGLETRANSLATE(B704)"),"Weather in Yekaterinburg")</f>
        <v>Weather in Yekaterinburg</v>
      </c>
      <c r="L704" s="5" t="str">
        <f>IFERROR(__xludf.DUMMYFUNCTION("GOOGLETRANSLATE(C704)"),"Weather in Yekaterinburg for today, the exact weather forecast for today for the village of Yekaterinburg, Yekaterinburg (city district), ...")</f>
        <v>Weather in Yekaterinburg for today, the exact weather forecast for today for the village of Yekaterinburg, Yekaterinburg (city district), ...</v>
      </c>
      <c r="M704" s="5" t="str">
        <f>IFERROR(__xludf.DUMMYFUNCTION("GOOGLETRANSLATE(G704)"),"GISMETEO: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05">
      <c r="A705" s="1" t="s">
        <v>2258</v>
      </c>
      <c r="B705" s="1" t="s">
        <v>2319</v>
      </c>
      <c r="C705" s="1" t="s">
        <v>2320</v>
      </c>
      <c r="D705" s="1">
        <v>28.0</v>
      </c>
      <c r="E705" s="4" t="s">
        <v>2321</v>
      </c>
      <c r="F705" s="1" t="s">
        <v>16</v>
      </c>
      <c r="G705" s="1" t="s">
        <v>2268</v>
      </c>
      <c r="H705" s="4" t="s">
        <v>2269</v>
      </c>
      <c r="I705" s="2">
        <v>0.0</v>
      </c>
      <c r="J705" s="5" t="str">
        <f>IFERROR(__xludf.DUMMYFUNCTION("GOOGLETRANSLATE(A705)"),"weather")</f>
        <v>weather</v>
      </c>
      <c r="K705" s="6" t="str">
        <f>IFERROR(__xludf.DUMMYFUNCTION("GOOGLETRANSLATE(B705)"),"Weather in Ulan-Ude - Republic of Buryatia")</f>
        <v>Weather in Ulan-Ude - Republic of Buryatia</v>
      </c>
      <c r="L705" s="5" t="str">
        <f>IFERROR(__xludf.DUMMYFUNCTION("GOOGLETRANSLATE(C705)"),"Armed Forces November 12: 46 Russian, the Republic of Buryatia, Ulan-Ude (city district). In Ulan-Ude cloudlessly, −12 ° C. Sens about −16 ° C, wind 2 m/s. Weather.")</f>
        <v>Armed Forces November 12: 46 Russian, the Republic of Buryatia, Ulan-Ude (city district). In Ulan-Ude cloudlessly, −12 ° C. Sens about −16 ° C, wind 2 m/s. Weather.</v>
      </c>
      <c r="M705" s="5" t="str">
        <f>IFERROR(__xludf.DUMMYFUNCTION("GOOGLETRANSLATE(G705)"),"GISMETEO: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06">
      <c r="A706" s="1" t="s">
        <v>2258</v>
      </c>
      <c r="B706" s="1" t="s">
        <v>2322</v>
      </c>
      <c r="C706" s="1" t="s">
        <v>2323</v>
      </c>
      <c r="D706" s="1">
        <v>29.0</v>
      </c>
      <c r="E706" s="4" t="s">
        <v>2324</v>
      </c>
      <c r="F706" s="1" t="s">
        <v>16</v>
      </c>
      <c r="G706" s="1" t="s">
        <v>2268</v>
      </c>
      <c r="H706" s="4" t="s">
        <v>2269</v>
      </c>
      <c r="I706" s="2">
        <v>0.0</v>
      </c>
      <c r="J706" s="5" t="str">
        <f>IFERROR(__xludf.DUMMYFUNCTION("GOOGLETRANSLATE(A706)"),"weather")</f>
        <v>weather</v>
      </c>
      <c r="K706" s="6" t="str">
        <f>IFERROR(__xludf.DUMMYFUNCTION("GOOGLETRANSLATE(B706)"),"Weather in Ivanovo")</f>
        <v>Weather in Ivanovo</v>
      </c>
      <c r="L706" s="5" t="str">
        <f>IFERROR(__xludf.DUMMYFUNCTION("GOOGLETRANSLATE(C706)"),"Armed Forces November 12 1: 40 Russian, Ivanovo region, Ivanovo (city district). In Ivanovo is cloudy, without precipitation, +2 ° C. Sens about −1 ° C, wind 3 m/s. Weather.")</f>
        <v>Armed Forces November 12 1: 40 Russian, Ivanovo region, Ivanovo (city district). In Ivanovo is cloudy, without precipitation, +2 ° C. Sens about −1 ° C, wind 3 m/s. Weather.</v>
      </c>
      <c r="M706" s="5" t="str">
        <f>IFERROR(__xludf.DUMMYFUNCTION("GOOGLETRANSLATE(G706)"),"GISMETEO: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07">
      <c r="A707" s="1" t="s">
        <v>2258</v>
      </c>
      <c r="B707" s="1" t="s">
        <v>2325</v>
      </c>
      <c r="C707" s="1" t="s">
        <v>2326</v>
      </c>
      <c r="D707" s="1">
        <v>34.0</v>
      </c>
      <c r="E707" s="4" t="s">
        <v>2327</v>
      </c>
      <c r="F707" s="1" t="s">
        <v>16</v>
      </c>
      <c r="G707" s="1" t="s">
        <v>2328</v>
      </c>
      <c r="H707" s="4" t="s">
        <v>2329</v>
      </c>
      <c r="I707" s="2">
        <v>1.0</v>
      </c>
      <c r="J707" s="5" t="str">
        <f>IFERROR(__xludf.DUMMYFUNCTION("GOOGLETRANSLATE(A707)"),"weather")</f>
        <v>weather</v>
      </c>
      <c r="K707" s="6" t="str">
        <f>IFERROR(__xludf.DUMMYFUNCTION("GOOGLETRANSLATE(B707)"),"Weather forecast in Moscow for today")</f>
        <v>Weather forecast in Moscow for today</v>
      </c>
      <c r="L707" s="5" t="str">
        <f>IFERROR(__xludf.DUMMYFUNCTION("GOOGLETRANSLATE(C707)"),"Details about the weather in Moscow today, now, the forecast for tomorrow and for the coming days. We will show how the air temperature, clouds will change in Moscow ...")</f>
        <v>Details about the weather in Moscow today, now, the forecast for tomorrow and for the coming days. We will show how the air temperature, clouds will change in Moscow ...</v>
      </c>
      <c r="M707" s="5" t="str">
        <f>IFERROR(__xludf.DUMMYFUNCTION("GOOGLETRANSLATE(G707)"),"Weather forecast for Ann-Arbor for today (Michigan)-the weather in Ann-Arbor is now a forecast for tomorrow and for the coming days-the weather Mail.ru Mirodolsnikvkavkontaktegravakottakoblakoblakovkovkovkovkovs Projects of PROTRUSTISSISSIC PRODUCTIONS in"&amp;" Ann-Arbor Michigan today Sediments November November 3 22:45 The weather forecast for: 14 days of the mixed +2 ° is felt like 0 ° C variable cloud cover +8 ° The soil temperature 751 mm Hg. Art. 75% humidity is very high2 m/s light wind at night+2 ° 751 "&amp;"mm 75% 2 m/s 0 7% in the morning+5 ° 751 mm 66% 3 m/s 3 14% tomorrow+10 °+2 ° clear 749 mm 49% 4 m/s 3 4% PN 13/11 +14 ° +5 ° is clear 746 mm 42% 6 m/s 3 0% W 14/11 +11 ° +3 ° Cloud 749 mm 37% 2 m/s 3 1% CP 15/11+14 °+4 ° Cloud 743 mm 30% 4 m/s 4 1% 16/11"&amp;"+16 °+6 ° cloud 738 mm 64% 7 m/s 3 13% PTT 17/11+11+11 ° +11 ° cloud 735 mm 47% 5 m/s 3 0% SB 18/11 +10 ° +1 ° Clearly 730 mm 43% 7 m/s 2 6% 19/11 +7 ° 0 ° Clear 738 mm 44% 3 m/s 3 3% Mon 20/11 +9 ° +1 ° Cloud 743 mm 60% 2 m/s 3 5% W 21/11 +10 ° +7 ° rain"&amp;"741 mm 93% 4 m/s 3 77% news of weather retardation Magnetate 54 occurred in Indonesiasinoptics predicted in Moscow to rain and up to +7 degrees on November 12, Iceland, introduced a state of emergency because of the Reykjesastonoma volcano told how to see"&amp;" the northern taurids on November 11-12 on November 12th, warned about the magnetic storm on November 12, revealed which winter in Russiamskovchi They warned of cloudy and rainy weather in the coming days of magnitude 58 in the southern smoks the weather "&amp;"at Adler's resorts +18 ° Belokurikha +3 ° Dombay +7 ° Zavyalikh 0 ° Kirovsk -11 ° Krasnaya Pylana +Pyatigorsk +7 °sk Svetlogorsk +8 ° Sochi +19 ° Teberda +9 ° Terskol +2 ° Sheregesh -1 ° Elbrus +2 ° Yalta +17 ° Yakhroma +3 ° Lighting day 07:20 Support 17:"&amp;"17 Hall of long life of the mete -sensitive phase of the moon new moon The geomagnetic field is a poorly indignant garden and yards the frying frying. We prepare the weather from fresh subcutaneous products in other cities of Russia: Volgograd Voronezh Do"&amp;"netsk Yekaterinburg Kazan Krasnoyarsk Moscow Nizhny Novgorod Novosibirsk Omsk Perm Rostov-on-Don Samara Ufa Chelyabinskprognosis Weather for 3 days of weather for 5 days of weather for 7 days of weather for 10 days Weather and the garden in this section Y"&amp;"ou can find out the weather in Ann-Arbor for today and tomorrow: a change in the temperature of atmospheric humidity pressure and wind speed, the probability of precipitation of the UV index and other weather data. A detailed weather forecast for Ann-Arbo"&amp;"r is provided today by the Meteonovoi news agency. Mail.ru of the Company Reformation provided: IA ""Meteonovosti"" On technologies of recommendations for project communication")</f>
        <v>Weather forecast for Ann-Arbor for today (Michigan)-the weather in Ann-Arbor is now a forecast for tomorrow and for the coming days-the weather Mail.ru Mirodolsnikvkavkontaktegravakottakoblakoblakovkovkovkovkovs Projects of PROTRUSTISSISSIC PRODUCTIONS in Ann-Arbor Michigan today Sediments November November 3 22:45 The weather forecast for: 14 days of the mixed +2 ° is felt like 0 ° C variable cloud cover +8 ° The soil temperature 751 mm Hg. Art. 75% humidity is very high2 m/s light wind at night+2 ° 751 mm 75% 2 m/s 0 7% in the morning+5 ° 751 mm 66% 3 m/s 3 14% tomorrow+10 °+2 ° clear 749 mm 49% 4 m/s 3 4% PN 13/11 +14 ° +5 ° is clear 746 mm 42% 6 m/s 3 0% W 14/11 +11 ° +3 ° Cloud 749 mm 37% 2 m/s 3 1% CP 15/11+14 °+4 ° Cloud 743 mm 30% 4 m/s 4 1% 16/11+16 °+6 ° cloud 738 mm 64% 7 m/s 3 13% PTT 17/11+11+11 ° +11 ° cloud 735 mm 47% 5 m/s 3 0% SB 18/11 +10 ° +1 ° Clearly 730 mm 43% 7 m/s 2 6% 19/11 +7 ° 0 ° Clear 738 mm 44% 3 m/s 3 3% Mon 20/11 +9 ° +1 ° Cloud 743 mm 60% 2 m/s 3 5% W 21/11 +10 ° +7 ° rain741 mm 93% 4 m/s 3 77% news of weather retardation Magnetate 54 occurred in Indonesiasinoptics predicted in Moscow to rain and up to +7 degrees on November 12, Iceland, introduced a state of emergency because of the Reykjesastonoma volcano told how to see the northern taurids on November 11-12 on November 12th, warned about the magnetic storm on November 12, revealed which winter in Russiamskovchi They warned of cloudy and rainy weather in the coming days of magnitude 58 in the southern smoks the weather at Adler's resorts +18 ° Belokurikha +3 ° Dombay +7 ° Zavyalikh 0 ° Kirovsk -11 ° Krasnaya Pylana +Pyatigorsk +7 °sk Svetlogorsk +8 ° Sochi +19 ° Teberda +9 ° Terskol +2 ° Sheregesh -1 ° Elbrus +2 ° Yalta +17 ° Yakhroma +3 ° Lighting day 07:20 Support 17:17 Hall of long life of the mete -sensitive phase of the moon new moon The geomagnetic field is a poorly indignant garden and yards the frying frying. We prepare the weather from fresh subcutaneous products in other cities of Russia: Volgograd Voronezh Donetsk Yekaterinburg Kazan Krasnoyarsk Moscow Nizhny Novgorod Novosibirsk Omsk Perm Rostov-on-Don Samara Ufa Chelyabinskprognosis Weather for 3 days of weather for 5 days of weather for 7 days of weather for 10 days Weather and the garden in this section You can find out the weather in Ann-Arbor for today and tomorrow: a change in the temperature of atmospheric humidity pressure and wind speed, the probability of precipitation of the UV index and other weather data. A detailed weather forecast for Ann-Arbor is provided today by the Meteonovoi news agency. Mail.ru of the Company Reformation provided: IA "Meteonovosti" On technologies of recommendations for project communication</v>
      </c>
    </row>
    <row r="708">
      <c r="A708" s="1" t="s">
        <v>2258</v>
      </c>
      <c r="B708" s="1" t="s">
        <v>2330</v>
      </c>
      <c r="C708" s="1" t="s">
        <v>2331</v>
      </c>
      <c r="D708" s="1">
        <v>35.0</v>
      </c>
      <c r="E708" s="4" t="s">
        <v>2332</v>
      </c>
      <c r="F708" s="1" t="s">
        <v>16</v>
      </c>
      <c r="G708" s="1" t="s">
        <v>2268</v>
      </c>
      <c r="H708" s="4" t="s">
        <v>2269</v>
      </c>
      <c r="I708" s="2">
        <v>1.0</v>
      </c>
      <c r="J708" s="5" t="str">
        <f>IFERROR(__xludf.DUMMYFUNCTION("GOOGLETRANSLATE(A708)"),"weather")</f>
        <v>weather</v>
      </c>
      <c r="K708" s="6" t="str">
        <f>IFERROR(__xludf.DUMMYFUNCTION("GOOGLETRANSLATE(B708)"),"Weather in Novorossiysk - Krasnodar Territory")</f>
        <v>Weather in Novorossiysk - Krasnodar Territory</v>
      </c>
      <c r="L708" s="5" t="str">
        <f>IFERROR(__xludf.DUMMYFUNCTION("GOOGLETRANSLATE(C708)"),"Weather in Novorossiysk for today, the exact weather forecast for today for the village of Novorossiysk, Novorossiysk (city district), Krasnodar Territory, ...")</f>
        <v>Weather in Novorossiysk for today, the exact weather forecast for today for the village of Novorossiysk, Novorossiysk (city district), Krasnodar Territory, ...</v>
      </c>
      <c r="M708" s="5" t="str">
        <f>IFERROR(__xludf.DUMMYFUNCTION("GOOGLETRANSLATE(G708)"),"GISMETEO: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09">
      <c r="A709" s="1" t="s">
        <v>2258</v>
      </c>
      <c r="B709" s="1" t="s">
        <v>2333</v>
      </c>
      <c r="C709" s="1" t="s">
        <v>2334</v>
      </c>
      <c r="D709" s="1">
        <v>36.0</v>
      </c>
      <c r="E709" s="4" t="s">
        <v>2335</v>
      </c>
      <c r="F709" s="1" t="s">
        <v>16</v>
      </c>
      <c r="G709" s="1" t="s">
        <v>2336</v>
      </c>
      <c r="H709" s="4" t="s">
        <v>2337</v>
      </c>
      <c r="I709" s="2">
        <v>1.0</v>
      </c>
      <c r="J709" s="5" t="str">
        <f>IFERROR(__xludf.DUMMYFUNCTION("GOOGLETRANSLATE(A709)"),"weather")</f>
        <v>weather</v>
      </c>
      <c r="K709" s="6" t="str">
        <f>IFERROR(__xludf.DUMMYFUNCTION("GOOGLETRANSLATE(B709)"),"Weather and a detailed weather forecast from a hydrometeorological center ...")</f>
        <v>Weather and a detailed weather forecast from a hydrometeorological center ...</v>
      </c>
      <c r="L709" s="5" t="str">
        <f>IFERROR(__xludf.DUMMYFUNCTION("GOOGLETRANSLATE(C709)"),"About the weather - first -hand. Information on actual weather and forecasts from the Hydrometeorological Center of Russia.")</f>
        <v>About the weather - first -hand. Information on actual weather and forecasts from the Hydrometeorological Center of Russia.</v>
      </c>
      <c r="M709" s="5" t="str">
        <f>IFERROR(__xludf.DUMMYFUNCTION("GOOGLETRANSLATE(G709)"),"Weather and a detailed weather forecast from the hydrometeorological center of Russia Contacts the main mono -tohrognose -sproutnosis of the weather for the week by the cities of the Miraprogenic bulletin -billed mediocrine predication of short -term prec"&amp;"ipitation for 2 hours (science) Video -processing prognostic maps of the predictional data of Russia and the mirustriot. Weather in Moscow and the region of the Catlimatic changes in Climatic Norma -Mores and the Ocean -Construction of Pogododetsky Drawin"&amp;"gs on the weather-defiant meteorology lifting the Hydrometeorological Center of the Russian Dissistance Council of Councils of Hydrometeorological Studies and Forecasts of the Book of Documents of History of Labor-Working and Technical Library Library Spe"&amp;"cial Progresses for a week in the cities of Miraprological Bulbol-Global Media Non -term forecasting short -term prognosis of rainfall for 2 hours (science -free) Video -forward prognostic maps of other types of forecastsfactic data -to -end information o"&amp;"n Russia and The worldly weather in Moscow and the region of the Catlimatic changes in Climatic Climatic Norma and the Ocean -Circle of the Pogodedtsky drawings on the weather -defiant meteorology lifting the Hydrometeorological Center of the Russian Diss"&amp;"erlation Council of the Russian Distribution Superior Studies and Predictions of the Books of History of History of Protective Corruption of Corruption Working Useful and Technical Library Moscow (VDNH) Other Gorodsankancanburg6 ° Sochi (Adler) 24 ° Sunda"&amp;"y November 1205: 00 (local time) Sunday November 12, November 13 On November 13 on November 13 on November 133.8 ° Cvlity 88 %wind 3 m/compression 744 mm Hg 4..6 ° 4..6 ° 4..6 ° cloud. The rain in the region is strong in places. The wind of the southeaste"&amp;"rn eastern 7-12 m/s impulses up to 17 m/c. Rain in the region in places wet snow. The wind of the southern quarter is 6-11 m/s in places of gusts up to 17 m/c-high. Rain in the region in places wet snow. The wind of the southern quarter is 6-11 m/s in pla"&amp;"ces of gusts up to 17 m/profiles for 7 days of precipitation on 2 hours of water in the sea of ​​sea in the Moscow Prognosis in the districts of Moscow3.8 ° Wet 3 m/reflection 744 mm Hg 88 %Sunday 12 November 05:00 (local time) forecast for 7 days VS12 No"&amp;"vember 15..7 ° Yu-B B 7-12 m/s impulses up to 17 m/s NOVEN4..6 ° U 6-11 m/s gusts to 17 m/s day4..6 ° u 6-11 m/c in places of gusts up to 17 m/s news all the latest news 11.11.23 12:54 Video thrift. Andrei Ushakov spoke about the weather on November 11-12"&amp;" about the weather features in the regions of Russia in the coming days 10.11.23 15:13 In the west of the Far East is controlled by anticyclone in the East - Cyclones ... The Siberian anti -cyclone has captured most of the Far East determines the weather "&amp;"conditions in the region . Cyclones and their atmospheric fronts went to the eastern and northeastern regions where unstable weather with precipitation and winds is observed. Read more on 09.11.23 20:05 Hydrological review on November 9, 2023. The establi"&amp;"shment of ice cover on the rivers of Siberia and the Far East will continue. Read more on 09.11.23 19:31 Overview of atmospheric processes and the most important weather phenomena expected from November 10 to 13, 2023 ... On November 10, in the southeaste"&amp;"rn regions of the European territory of Russia (ETR), the rains with impulsive winds up to 15- 20 m/s. Read more the Central Federal District. On November 12, in the Kaluga Bryansk Lipetsk Belgorod Kursk regions, heavy rain. Polzhsky Federal District. Nov"&amp;"ember 13 in the north of the district strong precipitation (rain wet snow snow). DNR LPR Zaporizhzhya and Kherson regions. 11-November 12 in the Kherson region heavy rain thunderstorms Wind up to 23 m/s. Read more .. &gt;&gt; Southern Federal District. 11-Novem"&amp;"ber 12 in the Crimea heavy rain winds up to 25 m/s. Read more .. &gt;&gt; North Caucasus Federal District. On November 13, in Karachay-Cherkessia, heavy rain wind is 15-20 m/s (in mountainous areas up to 22 m/s). Read more .. &gt;&gt; Siberian Federal District. On No"&amp;"vember 11-13, in the Taimyr Dolgan-Nenets municipal district of the Krasnoyarsk Territory Snow (November 13 in the south of the strong) blizzard is 15-20 m/s. Read more .. &gt;&gt; Far Eastern Federal District. In the Kamchatka Territory on November 11-12, heav"&amp;"y snow is a blizzard of 25-30 m/s November 13 in the north snow blower is 18-23 m/s. Read more .. &gt;&gt; Emergency Information in the period 11.00-14.30 Moscow time November 12 in the city of Anadyr of the Chukchi Autonomous Okrug is expected by wind 28-33 m/"&amp;"with gusts of 38-43 m/s with strong ... Read more ... Weather in the world in the world in the world The world is expected that El-Nigno will last at least until April 2024 ... According to the new globlet of the World Meteorological Organization, the ong"&amp;"oing El-Nigno phenomenon will last at least until April 2024, influencing the vital radio frequency ranges: VMO according to Professor General, Professor Petel Taalasa Radio frequency ranges are a key requirement for all Earth observation systems and Sept"&amp;"ember on the planet became the warmest VMO reported that the average global temperature became the highest over the entire observation period. Do they need your help your children like to draw? Their drawings can decorate this site ..&gt; Popular links: Weat"&amp;"her in Moscow in Moscow in the Moscow region over the past day Russia: temperature forecast maps for 1-5 days The temperature of the water in the seas is the main monosystrognozypactic DAY WATERS © 2023 Hydrometeorological Center of the Russia")</f>
        <v>Weather and a detailed weather forecast from the hydrometeorological center of Russia Contacts the main mono -tohrognose -sproutnosis of the weather for the week by the cities of the Miraprogenic bulletin -billed mediocrine predication of short -term precipitation for 2 hours (science) Video -processing prognostic maps of the predictional data of Russia and the mirustriot. Weather in Moscow and the region of the Catlimatic changes in Climatic Norma -Mores and the Ocean -Construction of Pogododetsky Drawings on the weather-defiant meteorology lifting the Hydrometeorological Center of the Russian Dissistance Council of Councils of Hydrometeorological Studies and Forecasts of the Book of Documents of History of Labor-Working and Technical Library Library Special Progresses for a week in the cities of Miraprological Bulbol-Global Media Non -term forecasting short -term prognosis of rainfall for 2 hours (science -free) Video -forward prognostic maps of other types of forecastsfactic data -to -end information on Russia and The worldly weather in Moscow and the region of the Catlimatic changes in Climatic Climatic Norma and the Ocean -Circle of the Pogodedtsky drawings on the weather -defiant meteorology lifting the Hydrometeorological Center of the Russian Disserlation Council of the Russian Distribution Superior Studies and Predictions of the Books of History of History of Protective Corruption of Corruption Working Useful and Technical Library Moscow (VDNH) Other Gorodsankancanburg6 ° Sochi (Adler) 24 ° Sunday November 1205: 00 (local time) Sunday November 12, November 13 On November 13 on November 13 on November 133.8 ° Cvlity 88 %wind 3 m/compression 744 mm Hg 4..6 ° 4..6 ° 4..6 ° cloud. The rain in the region is strong in places. The wind of the southeastern eastern 7-12 m/s impulses up to 17 m/c. Rain in the region in places wet snow. The wind of the southern quarter is 6-11 m/s in places of gusts up to 17 m/c-high. Rain in the region in places wet snow. The wind of the southern quarter is 6-11 m/s in places of gusts up to 17 m/profiles for 7 days of precipitation on 2 hours of water in the sea of ​​sea in the Moscow Prognosis in the districts of Moscow3.8 ° Wet 3 m/reflection 744 mm Hg 88 %Sunday 12 November 05:00 (local time) forecast for 7 days VS12 November 15..7 ° Yu-B B 7-12 m/s impulses up to 17 m/s NOVEN4..6 ° U 6-11 m/s gusts to 17 m/s day4..6 ° u 6-11 m/c in places of gusts up to 17 m/s news all the latest news 11.11.23 12:54 Video thrift. Andrei Ushakov spoke about the weather on November 11-12 about the weather features in the regions of Russia in the coming days 10.11.23 15:13 In the west of the Far East is controlled by anticyclone in the East - Cyclones ... The Siberian anti -cyclone has captured most of the Far East determines the weather conditions in the region . Cyclones and their atmospheric fronts went to the eastern and northeastern regions where unstable weather with precipitation and winds is observed. Read more on 09.11.23 20:05 Hydrological review on November 9, 2023. The establishment of ice cover on the rivers of Siberia and the Far East will continue. Read more on 09.11.23 19:31 Overview of atmospheric processes and the most important weather phenomena expected from November 10 to 13, 2023 ... On November 10, in the southeastern regions of the European territory of Russia (ETR), the rains with impulsive winds up to 15- 20 m/s. Read more the Central Federal District. On November 12, in the Kaluga Bryansk Lipetsk Belgorod Kursk regions, heavy rain. Polzhsky Federal District. November 13 in the north of the district strong precipitation (rain wet snow snow). DNR LPR Zaporizhzhya and Kherson regions. 11-November 12 in the Kherson region heavy rain thunderstorms Wind up to 23 m/s. Read more .. &gt;&gt; Southern Federal District. 11-November 12 in the Crimea heavy rain winds up to 25 m/s. Read more .. &gt;&gt; North Caucasus Federal District. On November 13, in Karachay-Cherkessia, heavy rain wind is 15-20 m/s (in mountainous areas up to 22 m/s). Read more .. &gt;&gt; Siberian Federal District. On November 11-13, in the Taimyr Dolgan-Nenets municipal district of the Krasnoyarsk Territory Snow (November 13 in the south of the strong) blizzard is 15-20 m/s. Read more .. &gt;&gt; Far Eastern Federal District. In the Kamchatka Territory on November 11-12, heavy snow is a blizzard of 25-30 m/s November 13 in the north snow blower is 18-23 m/s. Read more .. &gt;&gt; Emergency Information in the period 11.00-14.30 Moscow time November 12 in the city of Anadyr of the Chukchi Autonomous Okrug is expected by wind 28-33 m/with gusts of 38-43 m/s with strong ... Read more ... Weather in the world in the world in the world The world is expected that El-Nigno will last at least until April 2024 ... According to the new globlet of the World Meteorological Organization, the ongoing El-Nigno phenomenon will last at least until April 2024, influencing the vital radio frequency ranges: VMO according to Professor General, Professor Petel Taalasa Radio frequency ranges are a key requirement for all Earth observation systems and September on the planet became the warmest VMO reported that the average global temperature became the highest over the entire observation period. Do they need your help your children like to draw? Their drawings can decorate this site ..&gt; Popular links: Weather in Moscow in Moscow in the Moscow region over the past day Russia: temperature forecast maps for 1-5 days The temperature of the water in the seas is the main monosystrognozypactic DAY WATERS © 2023 Hydrometeorological Center of the Russia</v>
      </c>
    </row>
    <row r="710">
      <c r="A710" s="1" t="s">
        <v>2258</v>
      </c>
      <c r="B710" s="1" t="s">
        <v>2338</v>
      </c>
      <c r="C710" s="1" t="s">
        <v>2339</v>
      </c>
      <c r="D710" s="1">
        <v>37.0</v>
      </c>
      <c r="E710" s="4" t="s">
        <v>2340</v>
      </c>
      <c r="F710" s="1" t="s">
        <v>16</v>
      </c>
      <c r="G710" s="1" t="s">
        <v>2341</v>
      </c>
      <c r="H710" s="4" t="s">
        <v>2342</v>
      </c>
      <c r="I710" s="2">
        <v>1.0</v>
      </c>
      <c r="J710" s="5" t="str">
        <f>IFERROR(__xludf.DUMMYFUNCTION("GOOGLETRANSLATE(A710)"),"weather")</f>
        <v>weather</v>
      </c>
      <c r="K710" s="6" t="str">
        <f>IFERROR(__xludf.DUMMYFUNCTION("GOOGLETRANSLATE(B710)"),"Weather in Russia. The exact forecast for today, tomorrow ...")</f>
        <v>Weather in Russia. The exact forecast for today, tomorrow ...</v>
      </c>
      <c r="L710" s="5" t="str">
        <f>IFERROR(__xludf.DUMMYFUNCTION("GOOGLETRANSLATE(C710)"),"Weather in the cities of Russia and the world. An accurate and detailed forecast for today, tomorrow, weekend, week, 14 days or a month.")</f>
        <v>Weather in the cities of Russia and the world. An accurate and detailed forecast for today, tomorrow, weekend, week, 14 days or a month.</v>
      </c>
      <c r="M710" s="5" t="str">
        <f>IFERROR(__xludf.DUMMYFUNCTION("GOOGLETRANSLATE(G710)"),"Weather in Russia. An accurate forecast for today tomorrow a week and a month for Rambler/Pogodanovoshov-Business-Sports-Sports-Sports is 06:45 16: 58 Evens the day3 days of day10 days14 days of Vasyatnopogoda in the Washingtonopois of the city or place o"&amp;"f the city on November 11, just as yesterday and variable clouds of 8 ° Creat magnetic fluorine 7 ° in the morning8 °11 ° is felt like 6 ° Calm Magnetic Healthy Forecast for a week of a weeklymor -dedication, November 11 ° 7 ° 10%3 m/spongeal, November13 "&amp;"° 10%4 m/Current November14 November13 ° 10%5 m/SUDER15 November14 ° 4 ° 10%3 3 ° 10%3 m/checkered November16 November18 ° 6 ° 10%3 m/Sleeper November 11718 ° 10 ° 10%4 m/osbobta November18 November 115 ° 10%4 m/Speaking in Washington now Today, in Washin"&amp;"gton, for tomorrow in Washington in Washington in November 2023, in Washington in Washington in Washington in Washington for a week of a week on the city of Marsossiyamoskvasankvasankovosibirsknigirskanirnivny Novgorod Kazanchelyabinsksamararostov-Donufak"&amp;"ranskvoarskvoyarskvoi city Evminskurorerty -Schiatalyasimferopolbarselonaminirodosvsovs of the country of the country's weather for the day in your city wherever you are! On the Rambler/Weather website you will learn the forecast for today tomorrow (the n"&amp;"ext 7 days) or another period of interest. Also here you will find information about changes in air and water temperature during the day at the level of atmospheric pressure and precipitation of wind speed of the duration of daylight hours and other meteo"&amp;"rological data. A detailed weather forecast is compiled by professional weather forecasters and is updated every three hours. © Rambler - the main news of Russia and the world horoscopes mail Search and other useful service -mobile versions of the Russian"&amp;" Agricultural Agreement18+Data Source")</f>
        <v>Weather in Russia. An accurate forecast for today tomorrow a week and a month for Rambler/Pogodanovoshov-Business-Sports-Sports-Sports is 06:45 16: 58 Evens the day3 days of day10 days14 days of Vasyatnopogoda in the Washingtonopois of the city or place of the city on November 11, just as yesterday and variable clouds of 8 ° Creat magnetic fluorine 7 ° in the morning8 °11 ° is felt like 6 ° Calm Magnetic Healthy Forecast for a week of a weeklymor -dedication, November 11 ° 7 ° 10%3 m/spongeal, November13 ° 10%4 m/Current November14 November13 ° 10%5 m/SUDER15 November14 ° 4 ° 10%3 3 ° 10%3 m/checkered November16 November18 ° 6 ° 10%3 m/Sleeper November 11718 ° 10 ° 10%4 m/osbobta November18 November 115 ° 10%4 m/Speaking in Washington now Today, in Washington, for tomorrow in Washington in Washington in November 2023, in Washington in Washington in Washington in Washington for a week of a week on the city of Marsossiyamoskvasankvasankovosibirsknigirskanirnivny Novgorod Kazanchelyabinsksamararostov-Donufakranskvoarskvoyarskvoi city Evminskurorerty -Schiatalyasimferopolbarselonaminirodosvsovs of the country of the country's weather for the day in your city wherever you are! On the Rambler/Weather website you will learn the forecast for today tomorrow (the next 7 days) or another period of interest. Also here you will find information about changes in air and water temperature during the day at the level of atmospheric pressure and precipitation of wind speed of the duration of daylight hours and other meteorological data. A detailed weather forecast is compiled by professional weather forecasters and is updated every three hours. © Rambler - the main news of Russia and the world horoscopes mail Search and other useful service -mobile versions of the Russian Agricultural Agreement18+Data Source</v>
      </c>
    </row>
    <row r="711">
      <c r="A711" s="1" t="s">
        <v>2258</v>
      </c>
      <c r="B711" s="1" t="s">
        <v>2343</v>
      </c>
      <c r="C711" s="1" t="s">
        <v>2344</v>
      </c>
      <c r="D711" s="1">
        <v>38.0</v>
      </c>
      <c r="E711" s="4" t="s">
        <v>2345</v>
      </c>
      <c r="F711" s="1" t="s">
        <v>16</v>
      </c>
      <c r="G711" s="1" t="s">
        <v>2346</v>
      </c>
      <c r="H711" s="4" t="s">
        <v>2347</v>
      </c>
      <c r="I711" s="2">
        <v>1.0</v>
      </c>
      <c r="J711" s="5" t="str">
        <f>IFERROR(__xludf.DUMMYFUNCTION("GOOGLETRANSLATE(A711)"),"weather")</f>
        <v>weather</v>
      </c>
      <c r="K711" s="6" t="str">
        <f>IFERROR(__xludf.DUMMYFUNCTION("GOOGLETRANSLATE(B711)"),"Weather - weather.com | Meteored")</f>
        <v>Weather - weather.com | Meteored</v>
      </c>
      <c r="L711" s="5" t="str">
        <f>IFERROR(__xludf.DUMMYFUNCTION("GOOGLETRANSLATE(C711)"),"Weather in Russia for 14 days, weather forecast for hours and in real time. Weather forecast for more than 200,000 cities in the world.")</f>
        <v>Weather in Russia for 14 days, weather forecast for hours and in real time. Weather forecast for more than 200,000 cities in the world.</v>
      </c>
      <c r="M711" s="5" t="str">
        <f>IFERROR(__xludf.DUMMYFUNCTION("GOOGLETRANSLATE(G711)"),"Weather - weather.com | Metered Moscow Russia 6 St. Petersburg Federal City of St. Petersburg 6 Yakutsk Sakha (Yakutia) -14 Omsk Omsk 0 Weather Video Warning Radar Meteosatniki Mira Mir ° C. Weather Artboard on November 12 on November 12 tomorrow November"&amp;" 14 November November 15 Thursday November 16 on November 17 Saturday Sunday November 19 Monday November 20 On November 21 November 22 November 23 November 24 November 24 Saturday November 25 All day all day early morning morning Symbol Symbol Russia: Wea"&amp;"ther forecast for the regions of Adygea Altai Altai Yamalo-Nenets Amur Arkhangelsk Astrakhan Bashkortostan Belgorod Bryanskaya Buryatia Chechen Republic of Chelyabinsk Chukotsky Chuvashia Dagestan Jewish Habarovsk Khakassia Khanty-Mansi Ingushetia Irkutsk"&amp;"oye Kaliningrad Kalmiaki Kalmyki Kalmyki Kalmyki Kalmyki Karachay-Cherkessia Karelia Kemerovo Kirovskaya Komromskaya Krasnoyarsk Krasnodar Crimea Kurgan Kursk Leningrad Lipetsk Magadan Mari El Mordovia Moscow Murmansk Nenets Nizhny Novgorod Novogorod Novo"&amp;"sibirsk Omsk Orenburg Oryol Penza Primorsky Primorsky Pskov Rostovsky Sakolovskaya Sakhalin Sakhalin Samara St. Petersburg Saratovskaya North Ossetia Stavropolsky Sverdlovskaya Tatvan Tatar Tatyskaya Tomsky TU TU TU TU TU TU TU TURSKA Lisk Tyumen Tepa Udm"&amp;"urtia Ulyanovsk Vladimir Volgograd Vologda Voronezhskaya Transbound, follow us large cities of Barnaul +3 ° -1 ° Volgograd +9 ° -1 ° Voronezh +8 ° +1 ° Yekaterinburg +4 ° +1 ° Irkutsk -6 ° -16 ° Kaliningrad +9 ° +3 ° Kemerovo + 3 ° -3 ° Krasnodar +14 ° +5"&amp;" ° Krasnoyarsk -2 ° -17 ° Moscow +7 ° +2 ° Nizhny Novgorod +7 ° -1 ° Novosibirsk +5 ° 0 ° Omsk +2 ° -1 ° Rostov -on -Don +11 ° +1 ° St. Petersburg +6 ° +4 ° Chelyabinsk +6 ° +4 ° more video more video strong flood in the Pa-de-Kale France. Artboard downlo"&amp;"ad free application pogoda.com for Android download free application pogoda.com for iOS download free application pogoda.com for huawei free application pogoda.com for Windows 10 Contacts about us FAQ COOKICE COOKIES Polenies . All rights reserved")</f>
        <v>Weather - weather.com | Metered Moscow Russia 6 St. Petersburg Federal City of St. Petersburg 6 Yakutsk Sakha (Yakutia) -14 Omsk Omsk 0 Weather Video Warning Radar Meteosatniki Mira Mir ° C. Weather Artboard on November 12 on November 12 tomorrow November 14 November November 15 Thursday November 16 on November 17 Saturday Sunday November 19 Monday November 20 On November 21 November 22 November 23 November 24 November 24 Saturday November 25 All day all day early morning morning Symbol Symbol Russia: Weather forecast for the regions of Adygea Altai Altai Yamalo-Nenets Amur Arkhangelsk Astrakhan Bashkortostan Belgorod Bryanskaya Buryatia Chechen Republic of Chelyabinsk Chukotsky Chuvashia Dagestan Jewish Habarovsk Khakassia Khanty-Mansi Ingushetia Irkutskoye Kaliningrad Kalmiaki Kalmyki Kalmyki Kalmyki Kalmyki Karachay-Cherkessia Karelia Kemerovo Kirovskaya Komromskaya Krasnoyarsk Krasnodar Crimea Kurgan Kursk Leningrad Lipetsk Magadan Mari El Mordovia Moscow Murmansk Nenets Nizhny Novgorod Novogorod Novosibirsk Omsk Orenburg Oryol Penza Primorsky Primorsky Pskov Rostovsky Sakolovskaya Sakhalin Sakhalin Samara St. Petersburg Saratovskaya North Ossetia Stavropolsky Sverdlovskaya Tatvan Tatar Tatyskaya Tomsky TU TU TU TU TU TU TU TURSKA Lisk Tyumen Tepa Udmurtia Ulyanovsk Vladimir Volgograd Vologda Voronezhskaya Transbound, follow us large cities of Barnaul +3 ° -1 ° Volgograd +9 ° -1 ° Voronezh +8 ° +1 ° Yekaterinburg +4 ° +1 ° Irkutsk -6 ° -16 ° Kaliningrad +9 ° +3 ° Kemerovo + 3 ° -3 ° Krasnodar +14 ° +5 ° Krasnoyarsk -2 ° -17 ° Moscow +7 ° +2 ° Nizhny Novgorod +7 ° -1 ° Novosibirsk +5 ° 0 ° Omsk +2 ° -1 ° Rostov -on -Don +11 ° +1 ° St. Petersburg +6 ° +4 ° Chelyabinsk +6 ° +4 ° more video more video strong flood in the Pa-de-Kale France. Artboard download free application pogoda.com for Android download free application pogoda.com for iOS download free application pogoda.com for huawei free application pogoda.com for Windows 10 Contacts about us FAQ COOKICE COOKIES Polenies . All rights reserved</v>
      </c>
    </row>
    <row r="712">
      <c r="A712" s="1" t="s">
        <v>2258</v>
      </c>
      <c r="B712" s="1" t="s">
        <v>2348</v>
      </c>
      <c r="C712" s="1" t="s">
        <v>2349</v>
      </c>
      <c r="D712" s="1">
        <v>39.0</v>
      </c>
      <c r="E712" s="4" t="s">
        <v>2350</v>
      </c>
      <c r="F712" s="1" t="s">
        <v>16</v>
      </c>
      <c r="I712" s="2">
        <v>1.0</v>
      </c>
      <c r="J712" s="5" t="str">
        <f>IFERROR(__xludf.DUMMYFUNCTION("GOOGLETRANSLATE(A712)"),"weather")</f>
        <v>weather</v>
      </c>
      <c r="K712" s="6" t="str">
        <f>IFERROR(__xludf.DUMMYFUNCTION("GOOGLETRANSLATE(B712)"),"Weather in Sochi today is an accurate forecast ...")</f>
        <v>Weather in Sochi today is an accurate forecast ...</v>
      </c>
      <c r="L712" s="5" t="str">
        <f>IFERROR(__xludf.DUMMYFUNCTION("GOOGLETRANSLATE(C712)"),"The exact ☀️ Weather forecast for Sochi for today, tomorrow, a week. 🌡️ Information about the air temperature, wind power, pressure and humidity in Sochi ...")</f>
        <v>The exact ☀️ Weather forecast for Sochi for today, tomorrow, a week. 🌡️ Information about the air temperature, wind power, pressure and humidity in Sochi ...</v>
      </c>
      <c r="M712" s="5" t="str">
        <f>IFERROR(__xludf.DUMMYFUNCTION("GOOGLETRANSLATE(G712)"),"#VALUE!")</f>
        <v>#VALUE!</v>
      </c>
    </row>
    <row r="713">
      <c r="A713" s="1" t="s">
        <v>2258</v>
      </c>
      <c r="B713" s="1" t="s">
        <v>2351</v>
      </c>
      <c r="C713" s="1" t="s">
        <v>2352</v>
      </c>
      <c r="D713" s="1">
        <v>40.0</v>
      </c>
      <c r="E713" s="4" t="s">
        <v>2353</v>
      </c>
      <c r="F713" s="1" t="s">
        <v>16</v>
      </c>
      <c r="I713" s="2">
        <v>1.0</v>
      </c>
      <c r="J713" s="5" t="str">
        <f>IFERROR(__xludf.DUMMYFUNCTION("GOOGLETRANSLATE(A713)"),"weather")</f>
        <v>weather</v>
      </c>
      <c r="K713" s="6" t="str">
        <f>IFERROR(__xludf.DUMMYFUNCTION("GOOGLETRANSLATE(B713)"),"Weather in Moscow today is an accurate forecast ...")</f>
        <v>Weather in Moscow today is an accurate forecast ...</v>
      </c>
      <c r="L713" s="5" t="str">
        <f>IFERROR(__xludf.DUMMYFUNCTION("GOOGLETRANSLATE(C713)"),"The exact ☀️ Forecast in Moscow for today, tomorrow, a week. 🌡️ Information about air temperature, wind power, pressure and humidity in Moscow ...")</f>
        <v>The exact ☀️ Forecast in Moscow for today, tomorrow, a week. 🌡️ Information about air temperature, wind power, pressure and humidity in Moscow ...</v>
      </c>
      <c r="M713" s="5" t="str">
        <f>IFERROR(__xludf.DUMMYFUNCTION("GOOGLETRANSLATE(G713)"),"#VALUE!")</f>
        <v>#VALUE!</v>
      </c>
    </row>
    <row r="714">
      <c r="A714" s="1" t="s">
        <v>2258</v>
      </c>
      <c r="B714" s="1" t="s">
        <v>2354</v>
      </c>
      <c r="C714" s="1" t="s">
        <v>2355</v>
      </c>
      <c r="D714" s="1">
        <v>1.0</v>
      </c>
      <c r="E714" s="4" t="s">
        <v>2356</v>
      </c>
      <c r="F714" s="1" t="s">
        <v>43</v>
      </c>
      <c r="G714" s="1" t="s">
        <v>2268</v>
      </c>
      <c r="H714" s="4" t="s">
        <v>2269</v>
      </c>
      <c r="I714" s="2">
        <v>0.0</v>
      </c>
      <c r="J714" s="5" t="str">
        <f>IFERROR(__xludf.DUMMYFUNCTION("GOOGLETRANSLATE(A714)"),"weather")</f>
        <v>weather</v>
      </c>
      <c r="K714" s="6" t="str">
        <f>IFERROR(__xludf.DUMMYFUNCTION("GOOGLETRANSLATE(B714)"),"Weather in Ann -Arbor for a week - Michigan")</f>
        <v>Weather in Ann -Arbor for a week - Michigan</v>
      </c>
      <c r="L714" s="5" t="str">
        <f>IFERROR(__xludf.DUMMYFUNCTION("GOOGLETRANSLATE(C714)"),"Sens about +2 ° C, wind 7 m/s. Weather. News Cards · USA / Michigan. Weather in Ann Arbor for a week. Now today tomorrow 3 days 10 days a month still.")</f>
        <v>Sens about +2 ° C, wind 7 m/s. Weather. News Cards · USA / Michigan. Weather in Ann Arbor for a week. Now today tomorrow 3 days 10 days a month still.</v>
      </c>
      <c r="M714" s="5" t="str">
        <f>IFERROR(__xludf.DUMMYFUNCTION("GOOGLETRANSLATE(G714)"),"GISMETEO: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15">
      <c r="A715" s="1" t="s">
        <v>2258</v>
      </c>
      <c r="B715" s="1" t="s">
        <v>2357</v>
      </c>
      <c r="C715" s="1" t="s">
        <v>2358</v>
      </c>
      <c r="D715" s="1">
        <v>2.0</v>
      </c>
      <c r="E715" s="4" t="s">
        <v>2359</v>
      </c>
      <c r="F715" s="1" t="s">
        <v>43</v>
      </c>
      <c r="G715" s="1" t="s">
        <v>2268</v>
      </c>
      <c r="H715" s="4" t="s">
        <v>2269</v>
      </c>
      <c r="I715" s="2">
        <v>0.0</v>
      </c>
      <c r="J715" s="5" t="str">
        <f>IFERROR(__xludf.DUMMYFUNCTION("GOOGLETRANSLATE(A715)"),"weather")</f>
        <v>weather</v>
      </c>
      <c r="K715" s="6" t="str">
        <f>IFERROR(__xludf.DUMMYFUNCTION("GOOGLETRANSLATE(B715)"),"Weather in Ann Arbor")</f>
        <v>Weather in Ann Arbor</v>
      </c>
      <c r="L715" s="5" t="str">
        <f>IFERROR(__xludf.DUMMYFUNCTION("GOOGLETRANSLATE(C715)"),"Weather in Ann-Arbor for today, the exact weather forecast for today for the village of Ann-Arbor, Michigan, USA.")</f>
        <v>Weather in Ann-Arbor for today, the exact weather forecast for today for the village of Ann-Arbor, Michigan, USA.</v>
      </c>
      <c r="M715" s="5" t="str">
        <f>IFERROR(__xludf.DUMMYFUNCTION("GOOGLETRANSLATE(G715)"),"GISMETEO: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16">
      <c r="A716" s="1" t="s">
        <v>2258</v>
      </c>
      <c r="B716" s="1" t="s">
        <v>2360</v>
      </c>
      <c r="C716" s="1" t="s">
        <v>2361</v>
      </c>
      <c r="D716" s="1">
        <v>3.0</v>
      </c>
      <c r="E716" s="4" t="s">
        <v>2362</v>
      </c>
      <c r="F716" s="1" t="s">
        <v>43</v>
      </c>
      <c r="G716" s="1" t="s">
        <v>2268</v>
      </c>
      <c r="H716" s="4" t="s">
        <v>2269</v>
      </c>
      <c r="I716" s="2">
        <v>0.0</v>
      </c>
      <c r="J716" s="5" t="str">
        <f>IFERROR(__xludf.DUMMYFUNCTION("GOOGLETRANSLATE(A716)"),"weather")</f>
        <v>weather</v>
      </c>
      <c r="K716" s="6" t="str">
        <f>IFERROR(__xludf.DUMMYFUNCTION("GOOGLETRANSLATE(B716)"),"Weather in Ann Arbor for a month")</f>
        <v>Weather in Ann Arbor for a month</v>
      </c>
      <c r="L716" s="5" t="str">
        <f>IFERROR(__xludf.DUMMYFUNCTION("GOOGLETRANSLATE(C716)"),"Weather in Ann-Arbor for a month, weather forecast for 30 days for the village of Ann-Arbor, Michigan, USA.")</f>
        <v>Weather in Ann-Arbor for a month, weather forecast for 30 days for the village of Ann-Arbor, Michigan, USA.</v>
      </c>
      <c r="M716" s="5" t="str">
        <f>IFERROR(__xludf.DUMMYFUNCTION("GOOGLETRANSLATE(G716)"),"GISMETEO: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17">
      <c r="A717" s="1" t="s">
        <v>2258</v>
      </c>
      <c r="B717" s="1" t="s">
        <v>2363</v>
      </c>
      <c r="C717" s="1" t="s">
        <v>2364</v>
      </c>
      <c r="D717" s="1">
        <v>4.0</v>
      </c>
      <c r="E717" s="4" t="s">
        <v>2365</v>
      </c>
      <c r="F717" s="1" t="s">
        <v>43</v>
      </c>
      <c r="G717" s="1" t="s">
        <v>2341</v>
      </c>
      <c r="H717" s="4" t="s">
        <v>2342</v>
      </c>
      <c r="I717" s="2">
        <v>1.0</v>
      </c>
      <c r="J717" s="5" t="str">
        <f>IFERROR(__xludf.DUMMYFUNCTION("GOOGLETRANSLATE(A717)"),"weather")</f>
        <v>weather</v>
      </c>
      <c r="K717" s="6" t="str">
        <f>IFERROR(__xludf.DUMMYFUNCTION("GOOGLETRANSLATE(B717)"),"Weather in Ann Arbor, Michigan for today in detail ...")</f>
        <v>Weather in Ann Arbor, Michigan for today in detail ...</v>
      </c>
      <c r="L717" s="5" t="str">
        <f>IFERROR(__xludf.DUMMYFUNCTION("GOOGLETRANSLATE(C717)"),"A detailed weather forecast for Ann-Arbor, Michigan for today: air temperature, wind, precipitation, pressure, humidity, as well as a geomagnetic environment and UV ...")</f>
        <v>A detailed weather forecast for Ann-Arbor, Michigan for today: air temperature, wind, precipitation, pressure, humidity, as well as a geomagnetic environment and UV ...</v>
      </c>
      <c r="M717" s="5" t="str">
        <f>IFERROR(__xludf.DUMMYFUNCTION("GOOGLETRANSLATE(G717)"),"Weather in Russia. An accurate forecast for today tomorrow a week and a month for Rambler/Pogodanovoshov-Business-Sports-Sports-Sports is 06:45 16: 58 Evens the day3 days of day10 days14 days of Vasyatnopogoda in the Washingtonopois of the city or place o"&amp;"f the city on November 11, just as yesterday and variable clouds of 8 ° Creat magnetic fluorine 7 ° in the morning8 °11 ° is felt like 6 ° Calm Magnetic Healthy Forecast for a week of a weeklymor -dedication, November 11 ° 7 ° 10%3 m/spongeal, November13 "&amp;"° 10%4 m/Current November14 November13 ° 10%5 m/SUDER15 November14 ° 4 ° 10%3 3 ° 10%3 m/checkered November16 November18 ° 6 ° 10%3 m/Sleeper November 11718 ° 10 ° 10%4 m/osbobta November18 November 115 ° 10%4 m/Speaking in Washington now Today, in Washin"&amp;"gton, for tomorrow in Washington in Washington in November 2023, in Washington in Washington in Washington in Washington for a week of a week on the city of Marsossiyamoskvasankvasankovosibirsknigirskanirnivny Novgorod Kazanchelyabinsksamararostov-Donufak"&amp;"ranskvoarskvoyarskvoi city Evminskurorerty -Schiatalyasimferopolbarselonaminirodosvsovs of the country of the country's weather for the day in your city wherever you are! On the Rambler/Weather website you will learn the forecast for today tomorrow (the n"&amp;"ext 7 days) or another period of interest. Also here you will find information about changes in air and water temperature during the day at the level of atmospheric pressure and precipitation of wind speed of the duration of daylight hours and other meteo"&amp;"rological data. A detailed weather forecast is compiled by professional weather forecasters and is updated every three hours. © Rambler - the main news of Russia and the world horoscopes mail Search and other useful service -mobile versions of the Russian"&amp;" Agricultural Agreement18+Data Source")</f>
        <v>Weather in Russia. An accurate forecast for today tomorrow a week and a month for Rambler/Pogodanovoshov-Business-Sports-Sports-Sports is 06:45 16: 58 Evens the day3 days of day10 days14 days of Vasyatnopogoda in the Washingtonopois of the city or place of the city on November 11, just as yesterday and variable clouds of 8 ° Creat magnetic fluorine 7 ° in the morning8 °11 ° is felt like 6 ° Calm Magnetic Healthy Forecast for a week of a weeklymor -dedication, November 11 ° 7 ° 10%3 m/spongeal, November13 ° 10%4 m/Current November14 November13 ° 10%5 m/SUDER15 November14 ° 4 ° 10%3 3 ° 10%3 m/checkered November16 November18 ° 6 ° 10%3 m/Sleeper November 11718 ° 10 ° 10%4 m/osbobta November18 November 115 ° 10%4 m/Speaking in Washington now Today, in Washington, for tomorrow in Washington in Washington in November 2023, in Washington in Washington in Washington in Washington for a week of a week on the city of Marsossiyamoskvasankvasankovosibirsknigirskanirnivny Novgorod Kazanchelyabinsksamararostov-Donufakranskvoarskvoyarskvoi city Evminskurorerty -Schiatalyasimferopolbarselonaminirodosvsovs of the country of the country's weather for the day in your city wherever you are! On the Rambler/Weather website you will learn the forecast for today tomorrow (the next 7 days) or another period of interest. Also here you will find information about changes in air and water temperature during the day at the level of atmospheric pressure and precipitation of wind speed of the duration of daylight hours and other meteorological data. A detailed weather forecast is compiled by professional weather forecasters and is updated every three hours. © Rambler - the main news of Russia and the world horoscopes mail Search and other useful service -mobile versions of the Russian Agricultural Agreement18+Data Source</v>
      </c>
    </row>
    <row r="718">
      <c r="A718" s="1" t="s">
        <v>2258</v>
      </c>
      <c r="B718" s="1" t="s">
        <v>2366</v>
      </c>
      <c r="D718" s="1">
        <v>5.0</v>
      </c>
      <c r="E718" s="4" t="s">
        <v>2367</v>
      </c>
      <c r="F718" s="1" t="s">
        <v>43</v>
      </c>
      <c r="G718" s="1" t="s">
        <v>2368</v>
      </c>
      <c r="H718" s="4" t="s">
        <v>2369</v>
      </c>
      <c r="I718" s="2">
        <v>2.0</v>
      </c>
      <c r="J718" s="5" t="str">
        <f>IFERROR(__xludf.DUMMYFUNCTION("GOOGLETRANSLATE(A718)"),"weather")</f>
        <v>weather</v>
      </c>
      <c r="K718" s="6" t="str">
        <f>IFERROR(__xludf.DUMMYFUNCTION("GOOGLETRANSLATE(B718)"),"Weather: Ann -Arbor, Mi, USA - Forecast")</f>
        <v>Weather: Ann -Arbor, Mi, USA - Forecast</v>
      </c>
      <c r="L718" s="5" t="str">
        <f>IFERROR(__xludf.DUMMYFUNCTION("GOOGLETRANSLATE(C718)"),"#VALUE!")</f>
        <v>#VALUE!</v>
      </c>
      <c r="M718" s="5" t="str">
        <f>IFERROR(__xludf.DUMMYFUNCTION("GOOGLETRANSLATE(G718)"),"National and Local Weather Radar Daily Forecast Hurricane and information from The Weather Channel and weather.comAdvertisementSkip to Main ContentAccessibility HelpThe Weather ChannelType at least three characters to start auto complete. Recently searche"&amp;"d locations will be displayed if there is no search query. The first option will be automatically selected. Use up and down arrows to change selection. Use escape to clear.Search City or Zip CodeSearchrecentsClear AllYou have no recent locationsGlobeUS°FA"&amp;"rrow down°F°CHybridImperial - F / mph / miles / inchesAmericasArrow DownAntigua and Barbuda | EnglishArgentina | EspañolBahamas | EnglishBarbados | EnglishBelize | EnglishBolivia | EspañolBrazil | PortuguêsCanada | EnglishCanada | FrançaisChile | EspañolC"&amp;"olombia | EspañolCosta Rica | EspañolDominica | EnglishDominican Republic | EspañolEcuador | EspañolEl Salvador | EspañolGrenada | EnglishGuatemala | EspañolGuyana | EnglishHaiti | FrançaisHonduras | EspañolJamaica | EnglishMexico | EspañolNicaragua | Esp"&amp;"añolPanama | EspañolPanama | EnglishParaguay | EspañolPeru | EspañolSt. Kitts and Nevis | EnglishSt. Lucia | EnglishSt. Vincent and the Grenadines | EnglishSuriname | NederlandsTrinidad and Tobago | EnglishUruguay | EspañolUnited States | EnglishUnited St"&amp;"ates | EspañolVenezuela | EspañolAfricaArrow DownAlgeria | العربيةAlgeria | FrançaisAngola | PortuguêsBenin | FrançaisBurkina Faso | FrançaisBurundi | FrançaisCameroon | FrançaisCameroon | EnglishCape Verde | PortuguêsCentral African Republic | FrançaisCh"&amp;"ad | FrançaisChad | العربيةComoros | FrançaisComoros | العربيةDemocratic Republic of the Congo | FrançaisRepublic of Congo | FrançaisCôte d'Ivoire | FrançaisDjibouti | FrançaisDjibouti | العربيةEgypt | العربيةEquatorial Guinea | EspañolEritrea | العربيةGa"&amp;"bon | FrançaisGambia | EnglishGhana | EnglishGuinea | FrançaisGuinea-Bissau | PortuguêsKenya | EnglishLesotho | EnglishLiberia | EnglishLibya | العربيةMadagascar | FrançaisMali | FrançaisMauritania | العربيةMauritius | EnglishMauritius | FrançaisMorocco |"&amp;" العربيةMorocco | FrançaisMozambique | PortuguêsNamibia | EnglishNiger | FrançaisNigeria | EnglishRwanda | FrançaisRwanda | EnglishSao Tome and Principe | PortuguêsSenegal | FrançaisSierra Leone | EnglishSomalia | العربيةSouth Africa | EnglishSouth Sudan "&amp;"| EnglishSudan | العربيةSwaziland | EnglishTanzania | EnglishTogo | FrançaisTunisia | العربيةUganda | EnglishAsia PacificArrow DownAustralia | EnglishBangladesh | বাংলাBrunei | Bahasa MelayuChina | 中文Hong Kong SAR | 中文East Timor | PortuguêsFiji | EnglishI"&amp;"ndia (English) | EnglishIndia (Hindi) | हिन्दीIndonesia | Bahasa IndonesiaJapan | 日本語Kiribati | EnglishSouth Korea | 한국어Kyrgyzstan | РусскийMalaysia | Bahasa MelayuMarshall Islands | EnglishMicronesia | EnglishNew Zealand | EnglishPalau | EnglishPhilippin"&amp;"es | EnglishPhilippines | TagalogSamoa | EnglishSingapore | EnglishSingapore | 中文Solomon Islands | EnglishTaiwan | 中文Thailand | ไทยTonga | EnglishTuvalu | EnglishVanuatu | EnglishVanuatu | FrançaisVietnam | Tiếng ViệtEuropeArrow DownAndorra | CatalàAndorr"&amp;"a | FrançaisAustria | DeutschBelarus | РусскийBelgium | DutchBelgium | FrançaisBosnia and Herzegovina | HrvatskiCroatia | HrvatskiCyprus | ΕλληνικάCzech Republic | ČeštinaDenmark | DanskEstonia | РусскийEstonia | EestiFinland | SuomiFrance | FrançaisGerma"&amp;"ny | DeutschGreece | ΕλληνικάHungary | MagyarIreland | EnglishItaly | ItalianoLiechtenstein | DeutschLuxembourg | FrançaisMalta | EnglishMonaco | FrançaisNetherlands | NederlandsNorway | NorskPoland | PolskiPortugal | PortuguêsRomania | RomânăRussia | Рус"&amp;"скийSan Marino | ItalianoSlovakia | SlovenčinaSpain | EspañolSpain | CatalàSweden | SvenskaSwitzerland | DeutschTurkey | TurkçeUkraine | УкраїнськаUnited Kingdom | EnglishState of Vatican City (Holy See) | ItalianoMiddle EastArrow DownBahrain | العربيةIra"&amp;"n |  فارسىIraq | العربيةIsrael | עִבְרִיתJordan | العربيةKuwait | العربيةLebanon | العربيةOman | العربيةPakistan |  اردوPakistan | EnglishQatar | العربيةSaudi Arabia | العربيةSyria | العربيةUnited Arab Emirates | العربيةWeather ForecastsTodayHourlyWeekend"&amp;"Monthly &amp; AlmanacYesterdayExternal LinkNews &amp; MediaTop Weather StoriesHurricane CentralScience &amp; EnvironmentSpace &amp; SkywatchingSafety &amp; PrepVideosHealth &amp; WellnessHealthAllergy TrackerAir Quality IndexCold &amp; Flu TrackerSkin HealthNEWLifestyleHome &amp; Garden"&amp;"Travel &amp; OutdoorsPets &amp; AnimalsRadar &amp; MapsInteractive Radar MapUS ForecastUS Satellite &amp; RadarWorld SatelliteUS Severe AlertsUS HealthUS TravelProductsGo PremiumSeasonal DealsAlexa SkillExternal LinkWeather UndergroundExternal LinkStorm RadarExternal Lin"&amp;"kPrivacyPrivacy SettingsData RightsPrivacy PolicyAccountCreate An AccountLog InMorning Brief NewsletterWeb NotificationsNEWArrow LeftArrow RightTodayHourly10 DayMonthlyWeekendRadarVideoVideoMore ForecastsMoreArrow downSpecialty ForecastsYesterday's Weathe"&amp;"rExternal LinkAllergy TrackerCold &amp; FluAir Quality ForecastAdvertisementAdvertisementTOP STORYLOS ANGELES FIREVideoFlames Close Major Freeway DowntownTaylor Swift Forced To Cancel Show Due To StormsVideoExpect A Blueberry Shortage... The Surprising Reason"&amp;" Why VideoWhole Lotta Rain Headed For The Golden State VideoEruption Concerns Rise In IcelandVideoUpdate: El Niño Has Officially Become StrongVideoExpert Look At Iceland's Recent Volcanic ActivityVideoWatching The Caribbean For Possible Tropical Developme"&amp;"ntVideoRecord-Breaking Snow Blankets AnchorageVideoRoad Collapse Sends Cars Careening Into BuildingSee MoreTrending TodayVideoWeather NewsEarly-Week Rain For Gulf StatesSponsored Ad by MerckSPONSORED BY MERCK: Learn About The Cough That Just Won't QuitVid"&amp;"eoForecastForecasts Grabbing The Attention Of Our MeteorologistsVideoPetsMassive Great Dane Awarded Hero Dog Of The YearMore NewsAdvertisementWeather Today Across the CountryRead MoreAdvertisementAdvertisementSafety First!Model Snow Forecast Maps On Socia"&amp;"l Media: What You Should KnowVideoWarm Your Home Safely With Space HeatersVideoHow To Prevent Frozen Pipes In Your HomeWinter Storms 101: How To Prepare For Snow IceSee MoreAdvertisementWhat You Need To KnowEl Niño's Impact On November Hurricane SeasonAdv"&amp;"ertisementWinter Storms 101VideoWeather Tips As The Season Ramps UpAdvertisementStay SafeAdvertisementAdvertisementThe Weather CompanyWeather UndergroundFeedbackCareersPress RoomAdvertise With UsTVNewsletter Sign UpTerms of UsePrivacy PolicyAdChoicesAd Ch"&amp;"oicesAccessibility StatementData VendorsGeorgiaeSSENTIAL AccessibilityWe recognize our responsibility to use data and technology for good. We may use or share your data with our data vendors. Take control of your data.Review All Privacy and Ad SettingsCho"&amp;"ose how my information is sharedData Rights© Copyright TWC Product and Technology LLC 2014 2023Hidden Weather Icon MasksHidden Weather Icon Symbols")</f>
        <v>National and Local Weather Radar Daily Forecast Hurricane and information from The Weather Channel and weather.comAdvertisementSkip to Main ContentAccessibility HelpThe Weather ChannelType at least three characters to start auto complete. Recently searched locations will be displayed if there is no search query. The first option will be automatically selected. Use up and down arrows to change selection. Use escape to clear.Search City or Zip CodeSearchrecentsClear AllYou have no recent locationsGlobeUS°FArrow down°F°CHybridImperial - F / mph / miles / inchesAmericasArrow DownAntigua and Barbuda | EnglishArgentina | EspañolBahamas | EnglishBarbados | EnglishBelize | EnglishBolivia | EspañolBrazil | PortuguêsCanada | EnglishCanada | FrançaisChile | EspañolColombia | EspañolCosta Rica | EspañolDominica | EnglishDominican Republic | EspañolEcuador | EspañolEl Salvador | EspañolGrenada | EnglishGuatemala | EspañolGuyana | EnglishHaiti | FrançaisHonduras | EspañolJamaica | EnglishMexico | EspañolNicaragua | EspañolPanama | EspañolPanama | EnglishParaguay | EspañolPeru | EspañolSt. Kitts and Nevis | EnglishSt. Lucia | EnglishSt. Vincent and the Grenadines | EnglishSuriname | NederlandsTrinidad and Tobago | EnglishUruguay | EspañolUnited States | EnglishUnited States | EspañolVenezuela | EspañolAfricaArrow DownAlgeria | العربيةAlgeria | FrançaisAngola | PortuguêsBenin | FrançaisBurkina Faso | FrançaisBurundi | FrançaisCameroon | FrançaisCameroon | EnglishCape Verde | PortuguêsCentral African Republic | FrançaisChad | FrançaisChad | العربيةComoros | FrançaisComoros | العربيةDemocratic Republic of the Congo | FrançaisRepublic of Congo | FrançaisCôte d'Ivoire | FrançaisDjibouti | FrançaisDjibouti | العربيةEgypt | العربيةEquatorial Guinea | EspañolEritrea | العربيةGabon | FrançaisGambia | EnglishGhana | EnglishGuinea | FrançaisGuinea-Bissau | PortuguêsKenya | EnglishLesotho | EnglishLiberia | EnglishLibya | العربيةMadagascar | FrançaisMali | FrançaisMauritania | العربيةMauritius | EnglishMauritius | FrançaisMorocco | العربيةMorocco | FrançaisMozambique | PortuguêsNamibia | EnglishNiger | FrançaisNigeria | EnglishRwanda | FrançaisRwanda | EnglishSao Tome and Principe | PortuguêsSenegal | FrançaisSierra Leone | EnglishSomalia | العربيةSouth Africa | EnglishSouth Sudan | EnglishSudan | العربيةSwaziland | EnglishTanzania | EnglishTogo | FrançaisTunisia | العربيةUganda | EnglishAsia PacificArrow DownAustralia | EnglishBangladesh | বাংলাBrunei | Bahasa MelayuChina | 中文Hong Kong SAR | 中文East Timor | PortuguêsFiji | EnglishIndia (English) | EnglishIndia (Hindi) | हिन्दीIndonesia | Bahasa IndonesiaJapan | 日本語Kiribati | EnglishSouth Korea | 한국어Kyrgyzstan | РусскийMalaysia | Bahasa MelayuMarshall Islands | EnglishMicronesia | EnglishNew Zealand | EnglishPalau | EnglishPhilippines | EnglishPhilippines | TagalogSamoa | EnglishSingapore | EnglishSingapore | 中文Solomon Islands | EnglishTaiwan | 中文Thailand | ไทยTonga | EnglishTuvalu | EnglishVanuatu | EnglishVanuatu | FrançaisVietnam | Tiếng ViệtEuropeArrow DownAndorra | CatalàAndorra | FrançaisAustria | DeutschBelarus | РусскийBelgium | DutchBelgium | FrançaisBosnia and Herzegovina | HrvatskiCroatia | HrvatskiCyprus | ΕλληνικάCzech Republic | ČeštinaDenmark | DanskEstonia | РусскийEstonia | EestiFinland | SuomiFrance | FrançaisGermany | DeutschGreece | ΕλληνικάHungary | MagyarIreland | EnglishItaly | ItalianoLiechtenstein | DeutschLuxembourg | FrançaisMalta | EnglishMonaco | FrançaisNetherlands | NederlandsNorway | NorskPoland | PolskiPortugal | PortuguêsRomania | RomânăRussia | РусскийSan Marino | ItalianoSlovakia | SlovenčinaSpain | EspañolSpain | CatalàSweden | SvenskaSwitzerland | DeutschTurkey | TurkçeUkraine | УкраїнськаUnited Kingdom | EnglishState of Vatican City (Holy See) | ItalianoMiddle EastArrow DownBahrain | العربيةIran |  فارسىIraq | العربيةIsrael | עִבְרִיתJordan | العربيةKuwait | العربيةLebanon | العربيةOman | العربيةPakistan |  اردوPakistan | EnglishQatar | العربيةSaudi Arabia | العربيةSyria | العربيةUnited Arab Emirates | العربيةWeather ForecastsTodayHourlyWeekendMonthly &amp; AlmanacYesterdayExternal LinkNews &amp; MediaTop Weather StoriesHurricane CentralScience &amp; EnvironmentSpace &amp; SkywatchingSafety &amp; PrepVideosHealth &amp; WellnessHealthAllergy TrackerAir Quality IndexCold &amp; Flu TrackerSkin HealthNEWLifestyleHome &amp; GardenTravel &amp; OutdoorsPets &amp; AnimalsRadar &amp; MapsInteractive Radar MapUS ForecastUS Satellite &amp; RadarWorld SatelliteUS Severe AlertsUS HealthUS TravelProductsGo PremiumSeasonal DealsAlexa SkillExternal LinkWeather UndergroundExternal LinkStorm RadarExternal LinkPrivacyPrivacy SettingsData RightsPrivacy PolicyAccountCreate An AccountLog InMorning Brief NewsletterWeb NotificationsNEWArrow LeftArrow RightTodayHourly10 DayMonthlyWeekendRadarVideoVideoMore ForecastsMoreArrow downSpecialty ForecastsYesterday's WeatherExternal LinkAllergy TrackerCold &amp; FluAir Quality ForecastAdvertisementAdvertisementTOP STORYLOS ANGELES FIREVideoFlames Close Major Freeway DowntownTaylor Swift Forced To Cancel Show Due To StormsVideoExpect A Blueberry Shortage... The Surprising Reason Why VideoWhole Lotta Rain Headed For The Golden State VideoEruption Concerns Rise In IcelandVideoUpdate: El Niño Has Officially Become StrongVideoExpert Look At Iceland's Recent Volcanic ActivityVideoWatching The Caribbean For Possible Tropical DevelopmentVideoRecord-Breaking Snow Blankets AnchorageVideoRoad Collapse Sends Cars Careening Into BuildingSee MoreTrending TodayVideoWeather NewsEarly-Week Rain For Gulf StatesSponsored Ad by MerckSPONSORED BY MERCK: Learn About The Cough That Just Won't QuitVideoForecastForecasts Grabbing The Attention Of Our MeteorologistsVideoPetsMassive Great Dane Awarded Hero Dog Of The YearMore NewsAdvertisementWeather Today Across the CountryRead MoreAdvertisementAdvertisementSafety First!Model Snow Forecast Maps On Social Media: What You Should KnowVideoWarm Your Home Safely With Space HeatersVideoHow To Prevent Frozen Pipes In Your HomeWinter Storms 101: How To Prepare For Snow IceSee MoreAdvertisementWhat You Need To KnowEl Niño's Impact On November Hurricane SeasonAdvertisementWinter Storms 101VideoWeather Tips As The Season Ramps UpAdvertisementStay SafeAdvertisementAdvertisementThe Weather CompanyWeather UndergroundFeedbackCareersPress RoomAdvertise With UsTVNewsletter Sign UpTerms of UsePrivacy PolicyAdChoicesAd ChoicesAccessibility StatementData VendorsGeorgiaeSSENTIAL AccessibilityWe recognize our responsibility to use data and technology for good. We may use or share your data with our data vendors. Take control of your data.Review All Privacy and Ad SettingsChoose how my information is sharedData Rights© Copyright TWC Product and Technology LLC 2014 2023Hidden Weather Icon MasksHidden Weather Icon Symbols</v>
      </c>
    </row>
    <row r="719">
      <c r="A719" s="1" t="s">
        <v>2258</v>
      </c>
      <c r="B719" s="1" t="s">
        <v>2370</v>
      </c>
      <c r="D719" s="1">
        <v>6.0</v>
      </c>
      <c r="E719" s="4" t="s">
        <v>2371</v>
      </c>
      <c r="F719" s="1" t="s">
        <v>43</v>
      </c>
      <c r="G719" s="1" t="s">
        <v>2368</v>
      </c>
      <c r="H719" s="4" t="s">
        <v>2369</v>
      </c>
      <c r="I719" s="2">
        <v>2.0</v>
      </c>
      <c r="J719" s="5" t="str">
        <f>IFERROR(__xludf.DUMMYFUNCTION("GOOGLETRANSLATE(A719)"),"weather")</f>
        <v>weather</v>
      </c>
      <c r="K719" s="6" t="str">
        <f>IFERROR(__xludf.DUMMYFUNCTION("GOOGLETRANSLATE(B719)"),"Ann-Arbor, Mi, USA-Weather forecast for 10 days")</f>
        <v>Ann-Arbor, Mi, USA-Weather forecast for 10 days</v>
      </c>
      <c r="L719" s="5" t="str">
        <f>IFERROR(__xludf.DUMMYFUNCTION("GOOGLETRANSLATE(C719)"),"#VALUE!")</f>
        <v>#VALUE!</v>
      </c>
      <c r="M719" s="5" t="str">
        <f>IFERROR(__xludf.DUMMYFUNCTION("GOOGLETRANSLATE(G719)"),"National and Local Weather Radar Daily Forecast Hurricane and information from The Weather Channel and weather.comAdvertisementSkip to Main ContentAccessibility HelpThe Weather ChannelType at least three characters to start auto complete. Recently searche"&amp;"d locations will be displayed if there is no search query. The first option will be automatically selected. Use up and down arrows to change selection. Use escape to clear.Search City or Zip CodeSearchrecentsClear AllYou have no recent locationsGlobeUS°FA"&amp;"rrow down°F°CHybridImperial - F / mph / miles / inchesAmericasArrow DownAntigua and Barbuda | EnglishArgentina | EspañolBahamas | EnglishBarbados | EnglishBelize | EnglishBolivia | EspañolBrazil | PortuguêsCanada | EnglishCanada | FrançaisChile | EspañolC"&amp;"olombia | EspañolCosta Rica | EspañolDominica | EnglishDominican Republic | EspañolEcuador | EspañolEl Salvador | EspañolGrenada | EnglishGuatemala | EspañolGuyana | EnglishHaiti | FrançaisHonduras | EspañolJamaica | EnglishMexico | EspañolNicaragua | Esp"&amp;"añolPanama | EspañolPanama | EnglishParaguay | EspañolPeru | EspañolSt. Kitts and Nevis | EnglishSt. Lucia | EnglishSt. Vincent and the Grenadines | EnglishSuriname | NederlandsTrinidad and Tobago | EnglishUruguay | EspañolUnited States | EnglishUnited St"&amp;"ates | EspañolVenezuela | EspañolAfricaArrow DownAlgeria | العربيةAlgeria | FrançaisAngola | PortuguêsBenin | FrançaisBurkina Faso | FrançaisBurundi | FrançaisCameroon | FrançaisCameroon | EnglishCape Verde | PortuguêsCentral African Republic | FrançaisCh"&amp;"ad | FrançaisChad | العربيةComoros | FrançaisComoros | العربيةDemocratic Republic of the Congo | FrançaisRepublic of Congo | FrançaisCôte d'Ivoire | FrançaisDjibouti | FrançaisDjibouti | العربيةEgypt | العربيةEquatorial Guinea | EspañolEritrea | العربيةGa"&amp;"bon | FrançaisGambia | EnglishGhana | EnglishGuinea | FrançaisGuinea-Bissau | PortuguêsKenya | EnglishLesotho | EnglishLiberia | EnglishLibya | العربيةMadagascar | FrançaisMali | FrançaisMauritania | العربيةMauritius | EnglishMauritius | FrançaisMorocco |"&amp;" العربيةMorocco | FrançaisMozambique | PortuguêsNamibia | EnglishNiger | FrançaisNigeria | EnglishRwanda | FrançaisRwanda | EnglishSao Tome and Principe | PortuguêsSenegal | FrançaisSierra Leone | EnglishSomalia | العربيةSouth Africa | EnglishSouth Sudan "&amp;"| EnglishSudan | العربيةSwaziland | EnglishTanzania | EnglishTogo | FrançaisTunisia | العربيةUganda | EnglishAsia PacificArrow DownAustralia | EnglishBangladesh | বাংলাBrunei | Bahasa MelayuChina | 中文Hong Kong SAR | 中文East Timor | PortuguêsFiji | EnglishI"&amp;"ndia (English) | EnglishIndia (Hindi) | हिन्दीIndonesia | Bahasa IndonesiaJapan | 日本語Kiribati | EnglishSouth Korea | 한국어Kyrgyzstan | РусскийMalaysia | Bahasa MelayuMarshall Islands | EnglishMicronesia | EnglishNew Zealand | EnglishPalau | EnglishPhilippin"&amp;"es | EnglishPhilippines | TagalogSamoa | EnglishSingapore | EnglishSingapore | 中文Solomon Islands | EnglishTaiwan | 中文Thailand | ไทยTonga | EnglishTuvalu | EnglishVanuatu | EnglishVanuatu | FrançaisVietnam | Tiếng ViệtEuropeArrow DownAndorra | CatalàAndorr"&amp;"a | FrançaisAustria | DeutschBelarus | РусскийBelgium | DutchBelgium | FrançaisBosnia and Herzegovina | HrvatskiCroatia | HrvatskiCyprus | ΕλληνικάCzech Republic | ČeštinaDenmark | DanskEstonia | РусскийEstonia | EestiFinland | SuomiFrance | FrançaisGerma"&amp;"ny | DeutschGreece | ΕλληνικάHungary | MagyarIreland | EnglishItaly | ItalianoLiechtenstein | DeutschLuxembourg | FrançaisMalta | EnglishMonaco | FrançaisNetherlands | NederlandsNorway | NorskPoland | PolskiPortugal | PortuguêsRomania | RomânăRussia | Рус"&amp;"скийSan Marino | ItalianoSlovakia | SlovenčinaSpain | EspañolSpain | CatalàSweden | SvenskaSwitzerland | DeutschTurkey | TurkçeUkraine | УкраїнськаUnited Kingdom | EnglishState of Vatican City (Holy See) | ItalianoMiddle EastArrow DownBahrain | العربيةIra"&amp;"n |  فارسىIraq | العربيةIsrael | עִבְרִיתJordan | العربيةKuwait | العربيةLebanon | العربيةOman | العربيةPakistan |  اردوPakistan | EnglishQatar | العربيةSaudi Arabia | العربيةSyria | العربيةUnited Arab Emirates | العربيةWeather ForecastsTodayHourlyWeekend"&amp;"Monthly &amp; AlmanacYesterdayExternal LinkNews &amp; MediaTop Weather StoriesHurricane CentralScience &amp; EnvironmentSpace &amp; SkywatchingSafety &amp; PrepVideosHealth &amp; WellnessHealthAllergy TrackerAir Quality IndexCold &amp; Flu TrackerSkin HealthNEWLifestyleHome &amp; Garden"&amp;"Travel &amp; OutdoorsPets &amp; AnimalsRadar &amp; MapsInteractive Radar MapUS ForecastUS Satellite &amp; RadarWorld SatelliteUS Severe AlertsUS HealthUS TravelProductsGo PremiumSeasonal DealsAlexa SkillExternal LinkWeather UndergroundExternal LinkStorm RadarExternal Lin"&amp;"kPrivacyPrivacy SettingsData RightsPrivacy PolicyAccountCreate An AccountLog InMorning Brief NewsletterWeb NotificationsNEWArrow LeftArrow RightTodayHourly10 DayMonthlyWeekendRadarVideoVideoMore ForecastsMoreArrow downSpecialty ForecastsYesterday's Weathe"&amp;"rExternal LinkAllergy TrackerCold &amp; FluAir Quality ForecastAdvertisementAdvertisementTOP STORYLOS ANGELES FIREVideoFlames Close Major Freeway DowntownTaylor Swift Forced To Cancel Show Due To StormsVideoExpect A Blueberry Shortage... The Surprising Reason"&amp;" Why VideoWhole Lotta Rain Headed For The Golden State VideoEruption Concerns Rise In IcelandVideoUpdate: El Niño Has Officially Become StrongVideoExpert Look At Iceland's Recent Volcanic ActivityVideoWatching The Caribbean For Possible Tropical Developme"&amp;"ntVideoRecord-Breaking Snow Blankets AnchorageVideoRoad Collapse Sends Cars Careening Into BuildingSee MoreTrending TodayVideoWeather NewsEarly-Week Rain For Gulf StatesSponsored Ad by MerckSPONSORED BY MERCK: Learn About The Cough That Just Won't QuitVid"&amp;"eoForecastForecasts Grabbing The Attention Of Our MeteorologistsVideoPetsMassive Great Dane Awarded Hero Dog Of The YearMore NewsAdvertisementWeather Today Across the CountryRead MoreAdvertisementAdvertisementSafety First!Model Snow Forecast Maps On Socia"&amp;"l Media: What You Should KnowVideoWarm Your Home Safely With Space HeatersVideoHow To Prevent Frozen Pipes In Your HomeWinter Storms 101: How To Prepare For Snow IceSee MoreAdvertisementWhat You Need To KnowEl Niño's Impact On November Hurricane SeasonAdv"&amp;"ertisementWinter Storms 101VideoWeather Tips As The Season Ramps UpAdvertisementStay SafeAdvertisementAdvertisementThe Weather CompanyWeather UndergroundFeedbackCareersPress RoomAdvertise With UsTVNewsletter Sign UpTerms of UsePrivacy PolicyAdChoicesAd Ch"&amp;"oicesAccessibility StatementData VendorsGeorgiaeSSENTIAL AccessibilityWe recognize our responsibility to use data and technology for good. We may use or share your data with our data vendors. Take control of your data.Review All Privacy and Ad SettingsCho"&amp;"ose how my information is sharedData Rights© Copyright TWC Product and Technology LLC 2014 2023Hidden Weather Icon MasksHidden Weather Icon Symbols")</f>
        <v>National and Local Weather Radar Daily Forecast Hurricane and information from The Weather Channel and weather.comAdvertisementSkip to Main ContentAccessibility HelpThe Weather ChannelType at least three characters to start auto complete. Recently searched locations will be displayed if there is no search query. The first option will be automatically selected. Use up and down arrows to change selection. Use escape to clear.Search City or Zip CodeSearchrecentsClear AllYou have no recent locationsGlobeUS°FArrow down°F°CHybridImperial - F / mph / miles / inchesAmericasArrow DownAntigua and Barbuda | EnglishArgentina | EspañolBahamas | EnglishBarbados | EnglishBelize | EnglishBolivia | EspañolBrazil | PortuguêsCanada | EnglishCanada | FrançaisChile | EspañolColombia | EspañolCosta Rica | EspañolDominica | EnglishDominican Republic | EspañolEcuador | EspañolEl Salvador | EspañolGrenada | EnglishGuatemala | EspañolGuyana | EnglishHaiti | FrançaisHonduras | EspañolJamaica | EnglishMexico | EspañolNicaragua | EspañolPanama | EspañolPanama | EnglishParaguay | EspañolPeru | EspañolSt. Kitts and Nevis | EnglishSt. Lucia | EnglishSt. Vincent and the Grenadines | EnglishSuriname | NederlandsTrinidad and Tobago | EnglishUruguay | EspañolUnited States | EnglishUnited States | EspañolVenezuela | EspañolAfricaArrow DownAlgeria | العربيةAlgeria | FrançaisAngola | PortuguêsBenin | FrançaisBurkina Faso | FrançaisBurundi | FrançaisCameroon | FrançaisCameroon | EnglishCape Verde | PortuguêsCentral African Republic | FrançaisChad | FrançaisChad | العربيةComoros | FrançaisComoros | العربيةDemocratic Republic of the Congo | FrançaisRepublic of Congo | FrançaisCôte d'Ivoire | FrançaisDjibouti | FrançaisDjibouti | العربيةEgypt | العربيةEquatorial Guinea | EspañolEritrea | العربيةGabon | FrançaisGambia | EnglishGhana | EnglishGuinea | FrançaisGuinea-Bissau | PortuguêsKenya | EnglishLesotho | EnglishLiberia | EnglishLibya | العربيةMadagascar | FrançaisMali | FrançaisMauritania | العربيةMauritius | EnglishMauritius | FrançaisMorocco | العربيةMorocco | FrançaisMozambique | PortuguêsNamibia | EnglishNiger | FrançaisNigeria | EnglishRwanda | FrançaisRwanda | EnglishSao Tome and Principe | PortuguêsSenegal | FrançaisSierra Leone | EnglishSomalia | العربيةSouth Africa | EnglishSouth Sudan | EnglishSudan | العربيةSwaziland | EnglishTanzania | EnglishTogo | FrançaisTunisia | العربيةUganda | EnglishAsia PacificArrow DownAustralia | EnglishBangladesh | বাংলাBrunei | Bahasa MelayuChina | 中文Hong Kong SAR | 中文East Timor | PortuguêsFiji | EnglishIndia (English) | EnglishIndia (Hindi) | हिन्दीIndonesia | Bahasa IndonesiaJapan | 日本語Kiribati | EnglishSouth Korea | 한국어Kyrgyzstan | РусскийMalaysia | Bahasa MelayuMarshall Islands | EnglishMicronesia | EnglishNew Zealand | EnglishPalau | EnglishPhilippines | EnglishPhilippines | TagalogSamoa | EnglishSingapore | EnglishSingapore | 中文Solomon Islands | EnglishTaiwan | 中文Thailand | ไทยTonga | EnglishTuvalu | EnglishVanuatu | EnglishVanuatu | FrançaisVietnam | Tiếng ViệtEuropeArrow DownAndorra | CatalàAndorra | FrançaisAustria | DeutschBelarus | РусскийBelgium | DutchBelgium | FrançaisBosnia and Herzegovina | HrvatskiCroatia | HrvatskiCyprus | ΕλληνικάCzech Republic | ČeštinaDenmark | DanskEstonia | РусскийEstonia | EestiFinland | SuomiFrance | FrançaisGermany | DeutschGreece | ΕλληνικάHungary | MagyarIreland | EnglishItaly | ItalianoLiechtenstein | DeutschLuxembourg | FrançaisMalta | EnglishMonaco | FrançaisNetherlands | NederlandsNorway | NorskPoland | PolskiPortugal | PortuguêsRomania | RomânăRussia | РусскийSan Marino | ItalianoSlovakia | SlovenčinaSpain | EspañolSpain | CatalàSweden | SvenskaSwitzerland | DeutschTurkey | TurkçeUkraine | УкраїнськаUnited Kingdom | EnglishState of Vatican City (Holy See) | ItalianoMiddle EastArrow DownBahrain | العربيةIran |  فارسىIraq | العربيةIsrael | עִבְרִיתJordan | العربيةKuwait | العربيةLebanon | العربيةOman | العربيةPakistan |  اردوPakistan | EnglishQatar | العربيةSaudi Arabia | العربيةSyria | العربيةUnited Arab Emirates | العربيةWeather ForecastsTodayHourlyWeekendMonthly &amp; AlmanacYesterdayExternal LinkNews &amp; MediaTop Weather StoriesHurricane CentralScience &amp; EnvironmentSpace &amp; SkywatchingSafety &amp; PrepVideosHealth &amp; WellnessHealthAllergy TrackerAir Quality IndexCold &amp; Flu TrackerSkin HealthNEWLifestyleHome &amp; GardenTravel &amp; OutdoorsPets &amp; AnimalsRadar &amp; MapsInteractive Radar MapUS ForecastUS Satellite &amp; RadarWorld SatelliteUS Severe AlertsUS HealthUS TravelProductsGo PremiumSeasonal DealsAlexa SkillExternal LinkWeather UndergroundExternal LinkStorm RadarExternal LinkPrivacyPrivacy SettingsData RightsPrivacy PolicyAccountCreate An AccountLog InMorning Brief NewsletterWeb NotificationsNEWArrow LeftArrow RightTodayHourly10 DayMonthlyWeekendRadarVideoVideoMore ForecastsMoreArrow downSpecialty ForecastsYesterday's WeatherExternal LinkAllergy TrackerCold &amp; FluAir Quality ForecastAdvertisementAdvertisementTOP STORYLOS ANGELES FIREVideoFlames Close Major Freeway DowntownTaylor Swift Forced To Cancel Show Due To StormsVideoExpect A Blueberry Shortage... The Surprising Reason Why VideoWhole Lotta Rain Headed For The Golden State VideoEruption Concerns Rise In IcelandVideoUpdate: El Niño Has Officially Become StrongVideoExpert Look At Iceland's Recent Volcanic ActivityVideoWatching The Caribbean For Possible Tropical DevelopmentVideoRecord-Breaking Snow Blankets AnchorageVideoRoad Collapse Sends Cars Careening Into BuildingSee MoreTrending TodayVideoWeather NewsEarly-Week Rain For Gulf StatesSponsored Ad by MerckSPONSORED BY MERCK: Learn About The Cough That Just Won't QuitVideoForecastForecasts Grabbing The Attention Of Our MeteorologistsVideoPetsMassive Great Dane Awarded Hero Dog Of The YearMore NewsAdvertisementWeather Today Across the CountryRead MoreAdvertisementAdvertisementSafety First!Model Snow Forecast Maps On Social Media: What You Should KnowVideoWarm Your Home Safely With Space HeatersVideoHow To Prevent Frozen Pipes In Your HomeWinter Storms 101: How To Prepare For Snow IceSee MoreAdvertisementWhat You Need To KnowEl Niño's Impact On November Hurricane SeasonAdvertisementWinter Storms 101VideoWeather Tips As The Season Ramps UpAdvertisementStay SafeAdvertisementAdvertisementThe Weather CompanyWeather UndergroundFeedbackCareersPress RoomAdvertise With UsTVNewsletter Sign UpTerms of UsePrivacy PolicyAdChoicesAd ChoicesAccessibility StatementData VendorsGeorgiaeSSENTIAL AccessibilityWe recognize our responsibility to use data and technology for good. We may use or share your data with our data vendors. Take control of your data.Review All Privacy and Ad SettingsChoose how my information is sharedData Rights© Copyright TWC Product and Technology LLC 2014 2023Hidden Weather Icon MasksHidden Weather Icon Symbols</v>
      </c>
    </row>
    <row r="720">
      <c r="A720" s="1" t="s">
        <v>2258</v>
      </c>
      <c r="B720" s="1" t="s">
        <v>2372</v>
      </c>
      <c r="C720" s="1" t="s">
        <v>2373</v>
      </c>
      <c r="D720" s="1">
        <v>8.0</v>
      </c>
      <c r="E720" s="4" t="s">
        <v>2374</v>
      </c>
      <c r="F720" s="1" t="s">
        <v>43</v>
      </c>
      <c r="G720" s="1" t="s">
        <v>336</v>
      </c>
      <c r="H720" s="4" t="s">
        <v>453</v>
      </c>
      <c r="I720" s="2">
        <v>3.0</v>
      </c>
      <c r="J720" s="5" t="str">
        <f>IFERROR(__xludf.DUMMYFUNCTION("GOOGLETRANSLATE(A720)"),"weather")</f>
        <v>weather</v>
      </c>
      <c r="K720" s="6" t="str">
        <f>IFERROR(__xludf.DUMMYFUNCTION("GOOGLETRANSLATE(B720)"),"Weather forecast for Michigan City for 10 days")</f>
        <v>Weather forecast for Michigan City for 10 days</v>
      </c>
      <c r="L720" s="5" t="str">
        <f>IFERROR(__xludf.DUMMYFUNCTION("GOOGLETRANSLATE(C720)"),"Weather for 10 days; Mon. Today. +20 °; Tue. 07. +12 °; cf. 08. +15 °; Th. 09. +10 °; PT. 10. +9 ° ...")</f>
        <v>Weather for 10 days; Mon. Today. +20 °; Tue. 07. +12 °; cf. 08. +15 °; Th. 09. +10 °; PT. 10. +9 ° ...</v>
      </c>
      <c r="M720" s="5" t="str">
        <f>IFERROR(__xludf.DUMMYFUNCTION("GOOGLETRANSLATE(G720)"),"Oh!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721">
      <c r="A721" s="1" t="s">
        <v>2258</v>
      </c>
      <c r="B721" s="1" t="s">
        <v>2375</v>
      </c>
      <c r="C721" s="1" t="s">
        <v>2376</v>
      </c>
      <c r="D721" s="1">
        <v>9.0</v>
      </c>
      <c r="E721" s="4" t="s">
        <v>2377</v>
      </c>
      <c r="F721" s="1" t="s">
        <v>43</v>
      </c>
      <c r="G721" s="1" t="s">
        <v>120</v>
      </c>
      <c r="H721" s="4" t="s">
        <v>121</v>
      </c>
      <c r="I721" s="2">
        <v>1.0</v>
      </c>
      <c r="J721" s="5" t="str">
        <f>IFERROR(__xludf.DUMMYFUNCTION("GOOGLETRANSLATE(A721)"),"weather")</f>
        <v>weather</v>
      </c>
      <c r="K721" s="6" t="str">
        <f>IFERROR(__xludf.DUMMYFUNCTION("GOOGLETRANSLATE(B721)"),"Applications in Google Play - Weather")</f>
        <v>Applications in Google Play - Weather</v>
      </c>
      <c r="L721" s="5" t="str">
        <f>IFERROR(__xludf.DUMMYFUNCTION("GOOGLETRANSLATE(C721)"),"9. Weather forecast. The application icon ""weather is a weather forecast"". The weather is a weather forecast. 4.7star. The application icon ""Myradar Weather Radar"". Myradar Weather ...")</f>
        <v>9. Weather forecast. The application icon "weather is a weather forecast". The weather is a weather forecast. 4.7star. The application icon "Myradar Weather Radar". Myradar Weather ...</v>
      </c>
      <c r="M721" s="5" t="str">
        <f>IFERROR(__xludf.DUMMYFUNCTION("GOOGLETRANSLATE(G721)"),"Android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722">
      <c r="A722" s="1" t="s">
        <v>2258</v>
      </c>
      <c r="B722" s="1" t="s">
        <v>2378</v>
      </c>
      <c r="C722" s="1" t="s">
        <v>2379</v>
      </c>
      <c r="D722" s="1">
        <v>10.0</v>
      </c>
      <c r="E722" s="4" t="s">
        <v>2380</v>
      </c>
      <c r="F722" s="1" t="s">
        <v>43</v>
      </c>
      <c r="G722" s="1" t="s">
        <v>2381</v>
      </c>
      <c r="H722" s="4" t="s">
        <v>2382</v>
      </c>
      <c r="I722" s="2">
        <v>1.0</v>
      </c>
      <c r="J722" s="5" t="str">
        <f>IFERROR(__xludf.DUMMYFUNCTION("GOOGLETRANSLATE(A722)"),"weather")</f>
        <v>weather</v>
      </c>
      <c r="K722" s="6" t="str">
        <f>IFERROR(__xludf.DUMMYFUNCTION("GOOGLETRANSLATE(B722)"),"Weather in the world is an accurate and detailed weather forecast for ...")</f>
        <v>Weather in the world is an accurate and detailed weather forecast for ...</v>
      </c>
      <c r="L722" s="5" t="str">
        <f>IFERROR(__xludf.DUMMYFUNCTION("GOOGLETRANSLATE(C722)"),"Meteotrend: Weather in the world for today, tomorrow and a week. An accurate weather forecast around the world. Air temperature and humidity, pressure, speed and ...")</f>
        <v>Meteotrend: Weather in the world for today, tomorrow and a week. An accurate weather forecast around the world. Air temperature and humidity, pressure, speed and ...</v>
      </c>
      <c r="M722" s="5" t="str">
        <f>IFERROR(__xludf.DUMMYFUNCTION("GOOGLETRANSLATE(G722)"),"Погода в мире - точный и подробный прогноз погоды в любом уголке мира на сегодня завтра и неделюПогода в мире - точный и подробный прогноз погоды в любом уголке мира на сегодня завтра и неделюВиджетыПараметрыРусскийAfrikaansAzərbaycancaBahasa IndonesiaDan"&amp;"skDeutschEestiEnglishEspañolFilipinoFrançaiseHrvatskiItalianoLatviešuLietuviųMagyarMelayuNederlandsNorsk bokmålOʻzbekchaPolskiPortuguêsRomânăShqipSlovenčinaSlovenščinaSuomiSvenskaTiếng ViệtTürkçeČeštinaΕλληνικάБеларускаяБългарскиКыргызчаМакедонскиМонголСр"&amp;"пскиТоҷикӣУкраїнськаҚазақшаՀայերենעבריתاردوالعربيةفارسیमराठीहिन्दीবাংলাગુજરાતીதமிழ்తెలుగుಕನ್ನಡമലയാളംසිංහලไทยქართული中國日本語한국어МилфордСоединённые Штаты Америки +3. ..+5 ° Casparmumber: Northeast 2 m/sequences: 66-76%Pressure: 746-747 mm. RT. Suglings in more "&amp;"detail ... New York-connected states of America +7 ...+10 °, the most cloud cover: northern 4-6 m/sequence: 49-59%Pressure: 771-772 mm. RT. Supporting more ... Los Angeles Combined States of America +16 ...+21 ° Uplap: North-East 1-2 m/sequence: 36-43%Pre"&amp;"ssure: 755-756 mm. RT. senior sences ... Chicago connected states of America +8 ...+9 ° C-shall: Southeast 3-4 m/sequences: 68-75%Pressure: 756 mm. RT. Supporting more ... Toronto connected states of America +4 ...+5 ° Casparmurtger: Northern 2 m/sequence"&amp;"s: 67-73%Pressure: 758 mm. RT. senior sences ... Brooklyn, connected states of America +8 ...+10 °, the most cloud cover: northern 5-7 m/sequences: 49-57%Pressure: 770-772 mm. RT. senior sences ... Houston-connected states of America +16 ° Casparmournipli"&amp;"er: Northern 3 m/sequences: 90-91%Pressure: 764-766 mm. RT. Supporting more ... Philadelphia, united states of America +8 ...+11 °, the most cloud cover: northern 3-4 m/sequence: 55-61%Pressure: 770-772 mm. RT. Supporting more ... Phoenix connected states"&amp;" of America +21 ...+24 ° Uplap: Northern 1-2 m/sequences: 29-42%Pressure: 733-734 mm. RT. Signer ... San Antonio-connected states of America +16 ...+17 ° Casparmourniper: North-East 2-3 m/sequence: 83-89%Pressure: 748-750 mm. RT. Signer ... San Dig-connec"&amp;"ted states of America +16 ...+20 ° Uplap: Northern 2 m/sequences: 60-67%Pressure: 761 mm. RT. Supporting more ... Dallas United States of America +14 ...+15 ° C-shaking: North-east 2-3 m/sequence: 62-70%Pressure: 756-757 mm. RT. Signer ... San Khosetic St"&amp;"ates of America +12 ...+17 ° Revummer: Northeast 1 m/sequences: 53-74%Pressure: 762 mm. RT. Supporting more ... Austin-connected states of America +15 ...+16 ° Casparmourniper: Northern 2-3 m/sequences: 83-86%Pressure: 753-754 mm. RT. senior sences ... Ja"&amp;"cksonville-connected states of America +20 ...+22 ° Casparmourniper: Northeast 5-6 m/sequences: 87-93%Pressure: 765-766 mm. RT. Supporting more ... San Francisco-connected states of America +14 ...+16 ° Uplap: North-West 1-2 m/sequences: 79-93%Pressure: 7"&amp;"63 mm. RT. Supporting more ... Columbus-connected states of America +5 ...+8 ° Uplap: northern 2-3 m/sequences: 65-78%Pressure: 751 mm. RT. Supporting more ... Fort-Urtes-Military States of America +14 ...+16 ° Otpoil clouds: Northeast 2-3 m/sequences: 63"&amp;"-71%Pressure: 749-751 mm. RT. senior sences ... Indianapolis-connected states of America +6 ...+9 ° C-shater: East 3 m/sequences: 56-65%Pressure: 752-753 mm. RT. Supporting more ... Charlotted states of America +11 ...+12 ° Casparmourniper: North-East 2-3"&amp;" m/sequence: 75-83%Pressure: 749-750 mm. RT. senior sences ... Denver-connected states of America +7 ...+11 ° Uplainer: South 1-3 m/sequences: 27-54%Pressure: 627-628 mm. RT. Supporting more ... Elcinet-connected states of America +13 ...+15 ° Otpolny clo"&amp;"udy: Northeast 2-3 m/sequences: 60-73%Pressure: 669-670 mm. RT. Supporting more ... Detroit states of America +5 ...+8 ° Casparmourniper: Northeast 2 m/sequences: 52-87%Pressure: 756-757 mm. RT. Supporting more ... Boston-connected states of America +2 .."&amp;".+6 ° Uplap: Northern 3-4 m/sequences: 54-63%Pressure: 770-772 mm. RT. Supporting more ... Memphis-connected states of America +12 ...+15 ° C-shall: North-east 3-4 m/sequence: 48-52%Pressure: 761-762 mm. RT. sencture ... The forecast of weather Australia "&amp;"-Australia in Australia Austriyavtriyanzanzanzhangoda in the Azerbaijanarian islands in the Aland Island Khalbanias in Albaniaalzhirpogoda in the Algeria -American Virgins about ... The weather in the American Virgin Islands of the Khamerican self -Apoga "&amp;"in American Samoananga Lyapogoda in Angilyeangolapogoda in Angoleandorrapogoda in Andorreantarktidapogoda in Antarctideantigua and Barbudapogoda in Antigua and Barbudeargentinapogoda In the Argentinearium of the Ghost in Armenia Arabapogoda in Arabaafgani"&amp;"sthod in Afghanistanistanbagamypogoda in Bagamamamamamamamamamamamamamamamamamhdoshpogoda in Barbadosybarinpogoda in Bahreineblaruspogoda in Beligiabodogoda in Beligiybeninin. In Beninebermudogoda in Bermudydzbolgariyapogoda in Bulgariaboliviyapogoda in B"&amp;"oliviibonare Sint-Estaus and with ... weather in Bonair Sint-Estius and Sabobosnia and Herzegovinapogoda in Bosnia in Bosnia and Herzegovinebotswanwa-Botswood in Botswanbraziliyli-Brazilibrian territory in and ... The weather in the British territory in t"&amp;"he Indian Oceanbruneewormogoda in Bruneburkina-Fasoboda in Burundibutanda-Goda in Vanuatuvatikvatikvatois in Burundiwatcargoda in Vatikanoelikovye. years in Great Britainedengriyapogoda in Hungary-Evelapogoda in Venezuelevirginsky O-Wa-Wa car in the Virgi"&amp;"n Islands of the Small Islands ( Secondary ... Weather in the external small islands (USA) East Timorpogoda in East Timorevetnampogoda in Vietnamegabongon in Gabonegaitipogoda in Haitigayanapogoda in Gaianegiyapogoda in Gambiyiganapogoda in Ganegwadelupop"&amp;"ogoda in Guadelupogvatemalapogoda in Guatemicu -Buyanapa Yes, in Guiniangvineyapogoda in Guineegvinei-Bisaudogoda in Gunsauuermania-Hauger in Germany Germanicogoda in Gernsigibrathibraltarpogoda in Gibraltaregonturaspogod Hondurasegon Kongpogoda in Hong K"&amp;"ong -Starting Palestinapogoda in the state of Palestinogendaphod in Grenadegrenlandiyapogoda in Greenland Greek in Greecegogodn in Georgia Guampogoda in the guamedania in Daniegihi (island) the weather in Jersey (island) Nika -Gapogoda in Dominichedomican"&amp;"apogoda in the Dominicanayeigetpoge in Egyptus in Zobyazapal Sakhaka -Great in Western Sakharezimbubvo -Hot in Israeli in Israeli -Apogoda in Indiaindonese Indonesiaii-Organization of the Highlands in Jordaniairairac-Housing in Iraqueranpogoda in Iraniirl"&amp;"andiyatogoda in Irelandiislandiyapogoda in Icelandia of the Persiadogoda in Spain Imenemenpogoda in Yemenekabo-Verdechazakhstogoda in the Kazakhstankaymanovs of the Ostrosykhdovs in the Kaimanovsov Islands of the Kambodzhapogoda in Cambodzhamarunpogoda in"&amp;" Camerunokanadapogoda in Canadecatar-Human Radecotion in Kenya Kenykipropogoda in Cyprisitipogod in Kiribatikatyapogoda in Kitakndropogoda in Korean-Democratic Republicecosos islands of the Coconut Islands of Coconut Islands in Colombiycomorusogoda in Kom"&amp;"orakhokhopogoda in the Congocost-Rykaapogoda in Kostya Ricajack-D'Ivuartogoda in Kot-D'ivoarekubapogoda in Kubekuytytpogodogoda in Kubekwyrgyzastan. Weather in Kyurasaolaopogoda in Laosalatwiyathoda in Latviangopogoda in Leso -Otoliayatriyapogoda in Liber"&amp;"iilivaviworpogoda in Lewweveliyapogoda in Livililitvatogensteinpogoda in Lichtensteinelukemburghpogodogoda in Luxembourgemavrikykhrikiy Pot in the Mavrikiimavrititanitaniy in Mauritaniamadagascarparpogoda in Madagaskamireiotatapogoda in Macaocao -Macedoni"&amp;"a -Odogoda in Malavimalaviyziyu -Log Maldivvykhmaltapogoda Maldivahmalt -Army in Maltemacercopogoda in Morocco Martinica -Gapogoda in the Martinikemarshalovs of the island of the Ostrovo in the Marshall MaxiMecsikapogoda in Mexicemicemniziyambicopogoda in"&amp;" Mozambikemold -Army in Monkomongolya Mongoliholimontserratpogoda in Montserrathemyanmapogoda in Myanmarmibiyapogoda in Namibiinaurupogoda in Naurunepalpogoda in Nigerenigeriapogoda in Nigeriynicerlandypogoda in Netherlandynikaragua -Apogoda in Nieraguanu"&amp;"epogod in Niuannaya Zealandyapogoda in the New Zealandic Caledonia -Wiland in Norway -Auto -General The Arab Arab Emiratahomanpogoda in the Omanosters of the Manchearter in the island of the Norfolkpogoda manosters in the island of the Norfolkeosters of t"&amp;"he Christmas -Academy in the island of Kukaostrov Kukaostrov in Kukaostrov Pitkeranpogoda in the islands Pitkarnostrova St. Elena WHO ... Weather in the islands of St. Helena of Ascension and Tristan-da-Kunypakistanpogoda in Pakistanopalaudogoda in Palaum"&amp;"apanamapogoda in Paraguayeopuruyupogoda in Peruvopolshapogoda in Portugaliapuerto-Ricopogoda in Puerto-RIRTO-RIRTO-RIRTO-RIRITO-RIRICOPOGOPOGOPOGOPOGOPOGOPOGOPOGOP The Kongopogoda Boors in the Republic of Congorossiyapogoda in the Russian Ruanderumyniyniy"&amp;"ani -Romania in Romaniaureyenpogoda in Ranyunsalvadorpogoda in Salvadoresamoapogoda in Samoassan-Marinopogoda in San Marinosan-Tome and Principipogoda in San Tom and Principisadovskaya Arabia-Goda in Saudi Arabisivaziledpogoda in the Swazishland Westerna "&amp;"is acute ... The weather in the northern Mariana islands Island of the Bartelmisen Island in Saint-Bartelmisen-Martenpogoda in Saint-Martensen-Pierre and Michelongoda in Saint-Pierre and Michelshelpogoda in the Senegalezent-Vinesent and Grenadinini Podogo"&amp;"da in St. Winna and Grenadinament-Chitsa and Nevvasogoda in St. Kitsa and Nevilisent-Lucia-Lyusya-Surrebia in Serbiisingap. resin-Martenpogoda in synth- Martensiriyryani -Highs in Sirioslovakiyasopogoda in Slovenias in Slovenia The United States of the Am"&amp;"ericans in the United States of the AmericaSolomon island in the Solomon -Sumalizdanogoda in Somalisudanpogoda in Surinarmate of Leonathadogoda in Sierra Leoneadjikistogoda Tajikistannayavanvanpogoda in Taiwannaylande -Gota in Thailandanzaniyatogoda in Ta"&amp;"nzaniyurks and Kaikopogoda in Terx and Kaikosa Surrotion in Togo -Colavnogoda in Tokelautonogapogoda in Togunetrinidad and Tobagopogoda in Trinidad and Tobagotuvalupogoda in Tuvalutunispogoda in Tunishturcenisthoda in Turkmenistanistanion in Turkey Uganda"&amp;"pogoda in Ugandeusbekisthodhoda in Uzbekistano Ukraine in Ukraine and Futunauliva -Gota in Uruguavaeravity in Uruguayers. The Farres Islands ofhphydzhipogoda in Fijifilippinoi Pod in the Philippinefinlandyapogoda in the Finlandiypholcland Islands in the F"&amp;"olkland Islands of the Polynesus Polynesis of the Polynesis in the French Polynesis of the South and Antar .. . A fortune in the French southern and Antarctic territories of the Khorvorvatiy-Great in the Croat-central African R ... Weather in the Central "&amp;"African Republic of Republican in the Chadeschericye-Eve of the City in the Czechiychilipogoda in Chilishchiyatzariyasyasyshvetodniy in Swedeneshpitsbergen and Yan-Mainendogod Tsbergen and Yan-Mahenoshri Lankapogoda in Sri Lanka Eukvadorpogoda in Ecuadodo"&amp;"real Guineayapogoda in Estrate-Eriereyapogoda in Eriereestonia-Estonia-Etronia Ethiopius of the Ethiopius of the Republic of South Africa, George and South Sange in the Estonia Ethrhele-Estonia of the South George and the Southern Sandwich Island Koreyuzh"&amp;"ezhzhzhzhzhzhzhzhzhzhzhzhzhzhyyaya Sudanpogoda in the Estonia Yokeyaponia-Gota in Japan Project was created and supported by FDSTAR © 2009-2023 times In the world, there is an accurate and detailed weather forecast in any corner of the world for today tom"&amp;"orrow and a week © Meteotrend.com - this is a weather forecast in your city in your region and in your country. All rights are protected by 2009-2023 Policy of the confidentiality parameters of the weather forecast for the temperature: in degrees Celsius "&amp;"° C in degrees Fahrenheit ° F, display the pressure: in millimeters of the mercury (mm (MMT) in hectopascal (GPA) / millibaras, display the wind speed: in meters in the meters in A second (m/s) in kilometers per hour (km/h) in miles per hour (miles/hour) "&amp;"save the tun")</f>
        <v>Погода в мире - точный и подробный прогноз погоды в любом уголке мира на сегодня завтра и неделюПогода в мире - точный и подробный прогноз погоды в любом уголке мира на сегодня завтра и неделюВиджетыПараметрыРусскийAfrikaansAzərbaycancaBahasa IndonesiaDanskDeutschEestiEnglishEspañolFilipinoFrançaiseHrvatskiItalianoLatviešuLietuviųMagyarMelayuNederlandsNorsk bokmålOʻzbekchaPolskiPortuguêsRomânăShqipSlovenčinaSlovenščinaSuomiSvenskaTiếng ViệtTürkçeČeštinaΕλληνικάБеларускаяБългарскиКыргызчаМакедонскиМонголСрпскиТоҷикӣУкраїнськаҚазақшаՀայերենעבריתاردوالعربيةفارسیमराठीहिन्दीবাংলাગુજરાતીதமிழ்తెలుగుಕನ್ನಡമലയാളംසිංහලไทยქართული中國日本語한국어МилфордСоединённые Штаты Америки +3. ..+5 ° Casparmumber: Northeast 2 m/sequences: 66-76%Pressure: 746-747 mm. RT. Suglings in more detail ... New York-connected states of America +7 ...+10 °, the most cloud cover: northern 4-6 m/sequence: 49-59%Pressure: 771-772 mm. RT. Supporting more ... Los Angeles Combined States of America +16 ...+21 ° Uplap: North-East 1-2 m/sequence: 36-43%Pressure: 755-756 mm. RT. senior sences ... Chicago connected states of America +8 ...+9 ° C-shall: Southeast 3-4 m/sequences: 68-75%Pressure: 756 mm. RT. Supporting more ... Toronto connected states of America +4 ...+5 ° Casparmurtger: Northern 2 m/sequences: 67-73%Pressure: 758 mm. RT. senior sences ... Brooklyn, connected states of America +8 ...+10 °, the most cloud cover: northern 5-7 m/sequences: 49-57%Pressure: 770-772 mm. RT. senior sences ... Houston-connected states of America +16 ° Casparmourniplier: Northern 3 m/sequences: 90-91%Pressure: 764-766 mm. RT. Supporting more ... Philadelphia, united states of America +8 ...+11 °, the most cloud cover: northern 3-4 m/sequence: 55-61%Pressure: 770-772 mm. RT. Supporting more ... Phoenix connected states of America +21 ...+24 ° Uplap: Northern 1-2 m/sequences: 29-42%Pressure: 733-734 mm. RT. Signer ... San Antonio-connected states of America +16 ...+17 ° Casparmourniper: North-East 2-3 m/sequence: 83-89%Pressure: 748-750 mm. RT. Signer ... San Dig-connected states of America +16 ...+20 ° Uplap: Northern 2 m/sequences: 60-67%Pressure: 761 mm. RT. Supporting more ... Dallas United States of America +14 ...+15 ° C-shaking: North-east 2-3 m/sequence: 62-70%Pressure: 756-757 mm. RT. Signer ... San Khosetic States of America +12 ...+17 ° Revummer: Northeast 1 m/sequences: 53-74%Pressure: 762 mm. RT. Supporting more ... Austin-connected states of America +15 ...+16 ° Casparmourniper: Northern 2-3 m/sequences: 83-86%Pressure: 753-754 mm. RT. senior sences ... Jacksonville-connected states of America +20 ...+22 ° Casparmourniper: Northeast 5-6 m/sequences: 87-93%Pressure: 765-766 mm. RT. Supporting more ... San Francisco-connected states of America +14 ...+16 ° Uplap: North-West 1-2 m/sequences: 79-93%Pressure: 763 mm. RT. Supporting more ... Columbus-connected states of America +5 ...+8 ° Uplap: northern 2-3 m/sequences: 65-78%Pressure: 751 mm. RT. Supporting more ... Fort-Urtes-Military States of America +14 ...+16 ° Otpoil clouds: Northeast 2-3 m/sequences: 63-71%Pressure: 749-751 mm. RT. senior sences ... Indianapolis-connected states of America +6 ...+9 ° C-shater: East 3 m/sequences: 56-65%Pressure: 752-753 mm. RT. Supporting more ... Charlotted states of America +11 ...+12 ° Casparmourniper: North-East 2-3 m/sequence: 75-83%Pressure: 749-750 mm. RT. senior sences ... Denver-connected states of America +7 ...+11 ° Uplainer: South 1-3 m/sequences: 27-54%Pressure: 627-628 mm. RT. Supporting more ... Elcinet-connected states of America +13 ...+15 ° Otpolny cloudy: Northeast 2-3 m/sequences: 60-73%Pressure: 669-670 mm. RT. Supporting more ... Detroit states of America +5 ...+8 ° Casparmourniper: Northeast 2 m/sequences: 52-87%Pressure: 756-757 mm. RT. Supporting more ... Boston-connected states of America +2 ...+6 ° Uplap: Northern 3-4 m/sequences: 54-63%Pressure: 770-772 mm. RT. Supporting more ... Memphis-connected states of America +12 ...+15 ° C-shall: North-east 3-4 m/sequence: 48-52%Pressure: 761-762 mm. RT. sencture ... The forecast of weather Australia -Australia in Australia Austriyavtriyanzanzanzhangoda in the Azerbaijanarian islands in the Aland Island Khalbanias in Albaniaalzhirpogoda in the Algeria -American Virgins about ... The weather in the American Virgin Islands of the Khamerican self -Apoga in American Samoananga Lyapogoda in Angilyeangolapogoda in Angoleandorrapogoda in Andorreantarktidapogoda in Antarctideantigua and Barbudapogoda in Antigua and Barbudeargentinapogoda In the Argentinearium of the Ghost in Armenia Arabapogoda in Arabaafganisthod in Afghanistanistanbagamypogoda in Bagamamamamamamamamamamamamamamamamamhdoshpogoda in Barbadosybarinpogoda in Bahreineblaruspogoda in Beligiabodogoda in Beligiybeninin. In Beninebermudogoda in Bermudydzbolgariyapogoda in Bulgariaboliviyapogoda in Boliviibonare Sint-Estaus and with ... weather in Bonair Sint-Estius and Sabobosnia and Herzegovinapogoda in Bosnia in Bosnia and Herzegovinebotswanwa-Botswood in Botswanbraziliyli-Brazilibrian territory in and ... The weather in the British territory in the Indian Oceanbruneewormogoda in Bruneburkina-Fasoboda in Burundibutanda-Goda in Vanuatuvatikvatikvatois in Burundiwatcargoda in Vatikanoelikovye. years in Great Britainedengriyapogoda in Hungary-Evelapogoda in Venezuelevirginsky O-Wa-Wa car in the Virgin Islands of the Small Islands ( Secondary ... Weather in the external small islands (USA) East Timorpogoda in East Timorevetnampogoda in Vietnamegabongon in Gabonegaitipogoda in Haitigayanapogoda in Gaianegiyapogoda in Gambiyiganapogoda in Ganegwadelupopogoda in Guadelupogvatemalapogoda in Guatemicu -Buyanapa Yes, in Guiniangvineyapogoda in Guineegvinei-Bisaudogoda in Gunsauuermania-Hauger in Germany Germanicogoda in Gernsigibrathibraltarpogoda in Gibraltaregonturaspogod Hondurasegon Kongpogoda in Hong Kong -Starting Palestinapogoda in the state of Palestinogendaphod in Grenadegrenlandiyapogoda in Greenland Greek in Greecegogodn in Georgia Guampogoda in the guamedania in Daniegihi (island) the weather in Jersey (island) Nika -Gapogoda in Dominichedomicanapogoda in the Dominicanayeigetpoge in Egyptus in Zobyazapal Sakhaka -Great in Western Sakharezimbubvo -Hot in Israeli in Israeli -Apogoda in Indiaindonese Indonesiaii-Organization of the Highlands in Jordaniairairac-Housing in Iraqueranpogoda in Iraniirlandiyatogoda in Irelandiislandiyapogoda in Icelandia of the Persiadogoda in Spain Imenemenpogoda in Yemenekabo-Verdechazakhstogoda in the Kazakhstankaymanovs of the Ostrosykhdovs in the Kaimanovsov Islands of the Kambodzhapogoda in Cambodzhamarunpogoda in Camerunokanadapogoda in Canadecatar-Human Radecotion in Kenya Kenykipropogoda in Cyprisitipogod in Kiribatikatyapogoda in Kitakndropogoda in Korean-Democratic Republicecosos islands of the Coconut Islands of Coconut Islands in Colombiycomorusogoda in Komorakhokhopogoda in the Congocost-Rykaapogoda in Kostya Ricajack-D'Ivuartogoda in Kot-D'ivoarekubapogoda in Kubekuytytpogodogoda in Kubekwyrgyzastan. Weather in Kyurasaolaopogoda in Laosalatwiyathoda in Latviangopogoda in Leso -Otoliayatriyapogoda in Liberiilivaviworpogoda in Lewweveliyapogoda in Livililitvatogensteinpogoda in Lichtensteinelukemburghpogodogoda in Luxembourgemavrikykhrikiy Pot in the Mavrikiimavrititanitaniy in Mauritaniamadagascarparpogoda in Madagaskamireiotatapogoda in Macaocao -Macedonia -Odogoda in Malavimalaviyziyu -Log Maldivvykhmaltapogoda Maldivahmalt -Army in Maltemacercopogoda in Morocco Martinica -Gapogoda in the Martinikemarshalovs of the island of the Ostrovo in the Marshall MaxiMecsikapogoda in Mexicemicemniziyambicopogoda in Mozambikemold -Army in Monkomongolya Mongoliholimontserratpogoda in Montserrathemyanmapogoda in Myanmarmibiyapogoda in Namibiinaurupogoda in Naurunepalpogoda in Nigerenigeriapogoda in Nigeriynicerlandypogoda in Netherlandynikaragua -Apogoda in Nieraguanuepogod in Niuannaya Zealandyapogoda in the New Zealandic Caledonia -Wiland in Norway -Auto -General The Arab Arab Emiratahomanpogoda in the Omanosters of the Manchearter in the island of the Norfolkpogoda manosters in the island of the Norfolkeosters of the Christmas -Academy in the island of Kukaostrov Kukaostrov in Kukaostrov Pitkeranpogoda in the islands Pitkarnostrova St. Elena WHO ... Weather in the islands of St. Helena of Ascension and Tristan-da-Kunypakistanpogoda in Pakistanopalaudogoda in Palaumapanamapogoda in Paraguayeopuruyupogoda in Peruvopolshapogoda in Portugaliapuerto-Ricopogoda in Puerto-RIRTO-RIRTO-RIRTO-RIRITO-RIRICOPOGOPOGOPOGOPOGOPOGOPOGOPOGOP The Kongopogoda Boors in the Republic of Congorossiyapogoda in the Russian Ruanderumyniyniyani -Romania in Romaniaureyenpogoda in Ranyunsalvadorpogoda in Salvadoresamoapogoda in Samoassan-Marinopogoda in San Marinosan-Tome and Principipogoda in San Tom and Principisadovskaya Arabia-Goda in Saudi Arabisivaziledpogoda in the Swazishland Westerna is acute ... The weather in the northern Mariana islands Island of the Bartelmisen Island in Saint-Bartelmisen-Martenpogoda in Saint-Martensen-Pierre and Michelongoda in Saint-Pierre and Michelshelpogoda in the Senegalezent-Vinesent and Grenadinini Podogoda in St. Winna and Grenadinament-Chitsa and Nevvasogoda in St. Kitsa and Nevilisent-Lucia-Lyusya-Surrebia in Serbiisingap. resin-Martenpogoda in synth- Martensiriyryani -Highs in Sirioslovakiyasopogoda in Slovenias in Slovenia The United States of the Americans in the United States of the AmericaSolomon island in the Solomon -Sumalizdanogoda in Somalisudanpogoda in Surinarmate of Leonathadogoda in Sierra Leoneadjikistogoda Tajikistannayavanvanpogoda in Taiwannaylande -Gota in Thailandanzaniyatogoda in Tanzaniyurks and Kaikopogoda in Terx and Kaikosa Surrotion in Togo -Colavnogoda in Tokelautonogapogoda in Togunetrinidad and Tobagopogoda in Trinidad and Tobagotuvalupogoda in Tuvalutunispogoda in Tunishturcenisthoda in Turkmenistanistanion in Turkey Ugandapogoda in Ugandeusbekisthodhoda in Uzbekistano Ukraine in Ukraine and Futunauliva -Gota in Uruguavaeravity in Uruguayers. The Farres Islands ofhphydzhipogoda in Fijifilippinoi Pod in the Philippinefinlandyapogoda in the Finlandiypholcland Islands in the Folkland Islands of the Polynesus Polynesis of the Polynesis in the French Polynesis of the South and Antar .. . A fortune in the French southern and Antarctic territories of the Khorvorvatiy-Great in the Croat-central African R ... Weather in the Central African Republic of Republican in the Chadeschericye-Eve of the City in the Czechiychilipogoda in Chilishchiyatzariyasyasyshvetodniy in Swedeneshpitsbergen and Yan-Mainendogod Tsbergen and Yan-Mahenoshri Lankapogoda in Sri Lanka Eukvadorpogoda in Ecuadodoreal Guineayapogoda in Estrate-Eriereyapogoda in Eriereestonia-Estonia-Etronia Ethiopius of the Ethiopius of the Republic of South Africa, George and South Sange in the Estonia Ethrhele-Estonia of the South George and the Southern Sandwich Island Koreyuzhezhzhzhzhzhzhzhzhzhzhzhzhzhzhyyaya Sudanpogoda in the Estonia Yokeyaponia-Gota in Japan Project was created and supported by FDSTAR © 2009-2023 times In the world, there is an accurate and detailed weather forecast in any corner of the world for today tomorrow and a week © Meteotrend.com - this is a weather forecast in your city in your region and in your country. All rights are protected by 2009-2023 Policy of the confidentiality parameters of the weather forecast for the temperature: in degrees Celsius ° C in degrees Fahrenheit ° F, display the pressure: in millimeters of the mercury (mm (MMT) in hectopascal (GPA) / millibaras, display the wind speed: in meters in the meters in A second (m/s) in kilometers per hour (km/h) in miles per hour (miles/hour) save the tun</v>
      </c>
    </row>
    <row r="723">
      <c r="A723" s="1" t="s">
        <v>2258</v>
      </c>
      <c r="B723" s="1" t="s">
        <v>2383</v>
      </c>
      <c r="C723" s="1" t="s">
        <v>2384</v>
      </c>
      <c r="D723" s="1">
        <v>11.0</v>
      </c>
      <c r="E723" s="4" t="s">
        <v>2385</v>
      </c>
      <c r="F723" s="1" t="s">
        <v>43</v>
      </c>
      <c r="G723" s="4" t="s">
        <v>2386</v>
      </c>
      <c r="H723" s="4" t="s">
        <v>2387</v>
      </c>
      <c r="I723" s="2">
        <v>1.0</v>
      </c>
      <c r="J723" s="5" t="str">
        <f>IFERROR(__xludf.DUMMYFUNCTION("GOOGLETRANSLATE(A723)"),"weather")</f>
        <v>weather</v>
      </c>
      <c r="K723" s="6" t="str">
        <f>IFERROR(__xludf.DUMMYFUNCTION("GOOGLETRANSLATE(B723)"),"Pogoda.by | home")</f>
        <v>Pogoda.by | home</v>
      </c>
      <c r="L723" s="5" t="str">
        <f>IFERROR(__xludf.DUMMYFUNCTION("GOOGLETRANSLATE(C723)"),"National weather service of the Republic of Belarus. Weather forecast in Minsk, Belarus for 3 days. Weather and meteogram maps, storm preaches and meteons.")</f>
        <v>National weather service of the Republic of Belarus. Weather forecast in Minsk, Belarus for 3 days. Weather and meteogram maps, storm preaches and meteons.</v>
      </c>
      <c r="M723" s="8" t="str">
        <f>IFERROR(__xludf.DUMMYFUNCTION("GOOGLETRANSLATE(G723)"),"Pogoda.by")</f>
        <v>Pogoda.by</v>
      </c>
    </row>
    <row r="724">
      <c r="A724" s="1" t="s">
        <v>2258</v>
      </c>
      <c r="B724" s="1" t="s">
        <v>2388</v>
      </c>
      <c r="C724" s="1" t="s">
        <v>2389</v>
      </c>
      <c r="D724" s="1">
        <v>12.0</v>
      </c>
      <c r="E724" s="4" t="s">
        <v>2390</v>
      </c>
      <c r="F724" s="1" t="s">
        <v>43</v>
      </c>
      <c r="G724" s="1" t="s">
        <v>2391</v>
      </c>
      <c r="H724" s="4" t="s">
        <v>2392</v>
      </c>
      <c r="I724" s="2">
        <v>2.0</v>
      </c>
      <c r="J724" s="5" t="str">
        <f>IFERROR(__xludf.DUMMYFUNCTION("GOOGLETRANSLATE(A724)"),"weather")</f>
        <v>weather</v>
      </c>
      <c r="K724" s="6" t="str">
        <f>IFERROR(__xludf.DUMMYFUNCTION("GOOGLETRANSLATE(B724)"),"Sinoptik: Weather in Ukraine, a detailed weather forecast ...")</f>
        <v>Sinoptik: Weather in Ukraine, a detailed weather forecast ...</v>
      </c>
      <c r="L724" s="5" t="str">
        <f>IFERROR(__xludf.DUMMYFUNCTION("GOOGLETRANSLATE(C724)"),"Weather in Ukraine (in all 29,815 settlements) for a week, weather forecast for 104,000+ cities of the world for 10 days. A detailed weather forecast for your ...")</f>
        <v>Weather in Ukraine (in all 29,815 settlements) for a week, weather forecast for 104,000+ cities of the world for 10 days. A detailed weather forecast for your ...</v>
      </c>
      <c r="M724" s="5" t="str">
        <f>IFERROR(__xludf.DUMMYFUNCTION("GOOGLETRANSLATE(G724)"),"Sinoptik: Weather in Ukraine is a detailed weather forecast for a week. Weather today tomorrow in Ukraine and the world. Weather forecast mobile version of the Sinoptik.ua site Ukrainian weather in Washington. The capital of the United States 7 days 10 da"&amp;"ys weather on the map of Saturday November 11 min. +4 ° Max. +14 ° Sunday November 12 min. +6 ° Max. +12 ° Monday November 13 min. +4 ° Max. +14 ° Tuesday November 14 min. +7 ° Max. +15 ° Wednesday November 15 min. +5 ° Max. +15 ° Thursday November 16 min"&amp;". +6 ° Max. +18 ° Friday November 17 min. +9 ° Max. +20 ° Weather today at 21:52 +9 ° C Sunpower 06:45 Sunset 16:59 Temperatif 10: 00 13: 00 16: 00 19: 00 22: 00 +6 ° +4 ° +6 ° +12 ° +14 ° +13 ° +10 ° +4 ° +3 ° +4 ° +12 ° +14 ° +13 ° +10 ° +4 ° 769 770 77"&amp;"0 771 770 770 771 772 771 92 93 85 66 46 42 66 73 2.1 1.5 2.1 4.6 2.1 3.6 1.5 2.7 - - - - - - - cloud weather and lasted the morning and In the afternoon, in the evening, the sky cleared up. Without precipitation. Kyiv 05:45 Local 22:45 Now in Washington "&amp;"Saturday Folk Forecast of Weather: The Hunters believed: ""If the wolves roam in the fields, then wait for great misfortunes: epidemics of hunger or war."" If on November 11, ""the sky will cry then after the rain and winter will come."" Weather in the US"&amp;"A weather in Washington Grov +4 ° weather in Washington Park +26 ° weather in Washington Park +8 ° weather in Washington Park +11 ° weather in Washington Park +11 ° Washington Terras +6 ° weather in Washington Hights - 2 ° Weather in your wishon +9 ° weat"&amp;"her in Wayandott +9 ° weather in Uyandott +4 ° weather in WEEABOV +8 ° weather in VEAZ -1 ° weather in Webbe +13 ° weather in Webbe +11 ° weather in Webbe +6 ° Weather weather weather in Ukrainian Carpathians Weather at the Mediterranean Sea resorts in th"&amp;"e Crimea and other Black Sea resorts in Washington (USA&gt; County of Colombia) updated 12.11.2023 at 05:43 (GMT+2) Weather in all corners of Ukraine Forecast from weather forecasts Sinoptik all rights belong to © 2010-2023 Sinoptik.ua. Project partners: Ukr"&amp;"ainian hydrometeorological center. Confidentiality agreement User Agreement Write to us advertising")</f>
        <v>Sinoptik: Weather in Ukraine is a detailed weather forecast for a week. Weather today tomorrow in Ukraine and the world. Weather forecast mobile version of the Sinoptik.ua site Ukrainian weather in Washington. The capital of the United States 7 days 10 days weather on the map of Saturday November 11 min. +4 ° Max. +14 ° Sunday November 12 min. +6 ° Max. +12 ° Monday November 13 min. +4 ° Max. +14 ° Tuesday November 14 min. +7 ° Max. +15 ° Wednesday November 15 min. +5 ° Max. +15 ° Thursday November 16 min. +6 ° Max. +18 ° Friday November 17 min. +9 ° Max. +20 ° Weather today at 21:52 +9 ° C Sunpower 06:45 Sunset 16:59 Temperatif 10: 00 13: 00 16: 00 19: 00 22: 00 +6 ° +4 ° +6 ° +12 ° +14 ° +13 ° +10 ° +4 ° +3 ° +4 ° +12 ° +14 ° +13 ° +10 ° +4 ° 769 770 770 771 770 770 771 772 771 92 93 85 66 46 42 66 73 2.1 1.5 2.1 4.6 2.1 3.6 1.5 2.7 - - - - - - - cloud weather and lasted the morning and In the afternoon, in the evening, the sky cleared up. Without precipitation. Kyiv 05:45 Local 22:45 Now in Washington Saturday Folk Forecast of Weather: The Hunters believed: "If the wolves roam in the fields, then wait for great misfortunes: epidemics of hunger or war." If on November 11, "the sky will cry then after the rain and winter will come." Weather in the USA weather in Washington Grov +4 ° weather in Washington Park +26 ° weather in Washington Park +8 ° weather in Washington Park +11 ° weather in Washington Park +11 ° Washington Terras +6 ° weather in Washington Hights - 2 ° Weather in your wishon +9 ° weather in Wayandott +9 ° weather in Uyandott +4 ° weather in WEEABOV +8 ° weather in VEAZ -1 ° weather in Webbe +13 ° weather in Webbe +11 ° weather in Webbe +6 ° Weather weather weather in Ukrainian Carpathians Weather at the Mediterranean Sea resorts in the Crimea and other Black Sea resorts in Washington (USA&gt; County of Colombia) updated 12.11.2023 at 05:43 (GMT+2) Weather in all corners of Ukraine Forecast from weather forecasts Sinoptik all rights belong to © 2010-2023 Sinoptik.ua. Project partners: Ukrainian hydrometeorological center. Confidentiality agreement User Agreement Write to us advertising</v>
      </c>
    </row>
    <row r="725">
      <c r="A725" s="1" t="s">
        <v>2258</v>
      </c>
      <c r="B725" s="1" t="s">
        <v>2393</v>
      </c>
      <c r="C725" s="1" t="s">
        <v>2394</v>
      </c>
      <c r="D725" s="1">
        <v>14.0</v>
      </c>
      <c r="E725" s="4" t="s">
        <v>2395</v>
      </c>
      <c r="F725" s="1" t="s">
        <v>43</v>
      </c>
      <c r="G725" s="1" t="s">
        <v>2336</v>
      </c>
      <c r="H725" s="4" t="s">
        <v>2337</v>
      </c>
      <c r="I725" s="2">
        <v>2.0</v>
      </c>
      <c r="J725" s="5" t="str">
        <f>IFERROR(__xludf.DUMMYFUNCTION("GOOGLETRANSLATE(A725)"),"weather")</f>
        <v>weather</v>
      </c>
      <c r="K725" s="6" t="str">
        <f>IFERROR(__xludf.DUMMYFUNCTION("GOOGLETRANSLATE(B725)"),"Weather forecast Moscow (VDNH) (...")</f>
        <v>Weather forecast Moscow (VDNH) (...</v>
      </c>
      <c r="L725" s="5" t="str">
        <f>IFERROR(__xludf.DUMMYFUNCTION("GOOGLETRANSLATE(C725)"),"The exact weather forecast for the Moscow (VDNH) point, tomorrow, the weekend, 7 days and the coming months. Maps of dangerous phenomena, anomalies, rainfalls on ...")</f>
        <v>The exact weather forecast for the Moscow (VDNH) point, tomorrow, the weekend, 7 days and the coming months. Maps of dangerous phenomena, anomalies, rainfalls on ...</v>
      </c>
      <c r="M725" s="5" t="str">
        <f>IFERROR(__xludf.DUMMYFUNCTION("GOOGLETRANSLATE(G725)"),"Weather and a detailed weather forecast from the hydrometeorological center of Russia Contacts the main mono -tohrognose -sproutnosis of the weather for the week by the cities of the Miraprogenic bulletin -billed mediocrine predication of short -term prec"&amp;"ipitation for 2 hours (science) Video -processing prognostic maps of the predictional data of Russia and the mirustriot. Weather in Moscow and the region of the Catlimatic changes in Climatic Norma -Mores and the Ocean -Construction of Pogododetsky Drawin"&amp;"gs on the weather-defiant meteorology lifting the Hydrometeorological Center of the Russian Dissistance Council of Councils of Hydrometeorological Studies and Forecasts of the Book of Documents of History of Labor-Working and Technical Library Library Spe"&amp;"cial Progresses for a week in the cities of Miraprological Bulbol-Global Media Non -term forecasting short -term prognosis of rainfall for 2 hours (science -free) Video -forward prognostic maps of other types of forecastsfactic data -to -end information o"&amp;"n Russia and The worldly weather in Moscow and the region of the Catlimatic changes in Climatic Climatic Norma and the Ocean -Circle of the Pogodedtsky drawings on the weather -defiant meteorology lifting the Hydrometeorological Center of the Russian Diss"&amp;"erlation Council of the Russian Distribution Superior Studies and Predictions of the Books of History of History of Protective Corruption of Corruption Working Useful and Technical Library Moscow (VDNH) Other Gorodsankancanburg6 ° Sochi (Adler) 24 ° Sunda"&amp;"y November 1205: 00 (local time) Sunday November 12, November 13 On November 13 on November 13 on November 133.8 ° Cvlity 88 %wind 3 m/compression 744 mm Hg 4..6 ° 4..6 ° 4..6 ° cloud. The rain in the region is strong in places. The wind of the southeaste"&amp;"rn eastern 7-12 m/s impulses up to 17 m/c. Rain in the region in places wet snow. The wind of the southern quarter is 6-11 m/s in places of gusts up to 17 m/c-high. Rain in the region in places wet snow. The wind of the southern quarter is 6-11 m/s in pla"&amp;"ces of gusts up to 17 m/profiles for 7 days of precipitation on 2 hours of water in the sea of ​​sea in the Moscow Prognosis in the districts of Moscow3.8 ° Wet 3 m/reflection 744 mm Hg 88 %Sunday 12 November 05:00 (local time) forecast for 7 days VS12 No"&amp;"vember 15..7 ° Yu-B B 7-12 m/s impulses up to 17 m/s NOVEN4..6 ° U 6-11 m/s gusts to 17 m/s day4..6 ° u 6-11 m/c in places of gusts up to 17 m/s news all the latest news 11.11.23 12:54 Video thrift. Andrei Ushakov spoke about the weather on November 11-12"&amp;" about the weather features in the regions of Russia in the coming days 10.11.23 15:13 In the west of the Far East is controlled by anticyclone in the East - Cyclones ... The Siberian anti -cyclone has captured most of the Far East determines the weather "&amp;"conditions in the region . Cyclones and their atmospheric fronts went to the eastern and northeastern regions where unstable weather with precipitation and winds is observed. Read more on 09.11.23 20:05 Hydrological review on November 9, 2023. The establi"&amp;"shment of ice cover on the rivers of Siberia and the Far East will continue. Read more on 09.11.23 19:31 Overview of atmospheric processes and the most important weather phenomena expected from November 10 to 13, 2023 ... On November 10, in the southeaste"&amp;"rn regions of the European territory of Russia (ETR), the rains with impulsive winds up to 15- 20 m/s. Read more the Central Federal District. On November 12, in the Kaluga Bryansk Lipetsk Belgorod Kursk regions, heavy rain. Polzhsky Federal District. Nov"&amp;"ember 13 in the north of the district strong precipitation (rain wet snow snow). DNR LPR Zaporizhzhya and Kherson regions. 11-November 12 in the Kherson region heavy rain thunderstorms Wind up to 23 m/s. Read more .. &gt;&gt; Southern Federal District. 11-Novem"&amp;"ber 12 in the Crimea heavy rain winds up to 25 m/s. Read more .. &gt;&gt; North Caucasus Federal District. On November 13, in Karachay-Cherkessia, heavy rain wind is 15-20 m/s (in mountainous areas up to 22 m/s). Read more .. &gt;&gt; Siberian Federal District. On No"&amp;"vember 11-13, in the Taimyr Dolgan-Nenets municipal district of the Krasnoyarsk Territory Snow (November 13 in the south of the strong) blizzard is 15-20 m/s. Read more .. &gt;&gt; Far Eastern Federal District. In the Kamchatka Territory on November 11-12, heav"&amp;"y snow is a blizzard of 25-30 m/s November 13 in the north snow blower is 18-23 m/s. Read more .. &gt;&gt; Emergency Information in the period 11.00-14.30 Moscow time November 12 in the city of Anadyr of the Chukchi Autonomous Okrug is expected by wind 28-33 m/"&amp;"with gusts of 38-43 m/s with strong ... Read more ... Weather in the world in the world in the world The world is expected that El-Nigno will last at least until April 2024 ... According to the new globlet of the World Meteorological Organization, the ong"&amp;"oing El-Nigno phenomenon will last at least until April 2024, influencing the vital radio frequency ranges: VMO according to Professor General, Professor Petel Taalasa Radio frequency ranges are a key requirement for all Earth observation systems and Sept"&amp;"ember on the planet became the warmest VMO reported that the average global temperature became the highest over the entire observation period. Do they need your help your children like to draw? Their drawings can decorate this site ..&gt; Popular links: Weat"&amp;"her in Moscow in Moscow in the Moscow region over the past day Russia: temperature forecast maps for 1-5 days The temperature of the water in the seas is the main monosystrognozypactic DAY WATERS © 2023 Hydrometeorological Center of the Russia")</f>
        <v>Weather and a detailed weather forecast from the hydrometeorological center of Russia Contacts the main mono -tohrognose -sproutnosis of the weather for the week by the cities of the Miraprogenic bulletin -billed mediocrine predication of short -term precipitation for 2 hours (science) Video -processing prognostic maps of the predictional data of Russia and the mirustriot. Weather in Moscow and the region of the Catlimatic changes in Climatic Norma -Mores and the Ocean -Construction of Pogododetsky Drawings on the weather-defiant meteorology lifting the Hydrometeorological Center of the Russian Dissistance Council of Councils of Hydrometeorological Studies and Forecasts of the Book of Documents of History of Labor-Working and Technical Library Library Special Progresses for a week in the cities of Miraprological Bulbol-Global Media Non -term forecasting short -term prognosis of rainfall for 2 hours (science -free) Video -forward prognostic maps of other types of forecastsfactic data -to -end information on Russia and The worldly weather in Moscow and the region of the Catlimatic changes in Climatic Climatic Norma and the Ocean -Circle of the Pogodedtsky drawings on the weather -defiant meteorology lifting the Hydrometeorological Center of the Russian Disserlation Council of the Russian Distribution Superior Studies and Predictions of the Books of History of History of Protective Corruption of Corruption Working Useful and Technical Library Moscow (VDNH) Other Gorodsankancanburg6 ° Sochi (Adler) 24 ° Sunday November 1205: 00 (local time) Sunday November 12, November 13 On November 13 on November 13 on November 133.8 ° Cvlity 88 %wind 3 m/compression 744 mm Hg 4..6 ° 4..6 ° 4..6 ° cloud. The rain in the region is strong in places. The wind of the southeastern eastern 7-12 m/s impulses up to 17 m/c. Rain in the region in places wet snow. The wind of the southern quarter is 6-11 m/s in places of gusts up to 17 m/c-high. Rain in the region in places wet snow. The wind of the southern quarter is 6-11 m/s in places of gusts up to 17 m/profiles for 7 days of precipitation on 2 hours of water in the sea of ​​sea in the Moscow Prognosis in the districts of Moscow3.8 ° Wet 3 m/reflection 744 mm Hg 88 %Sunday 12 November 05:00 (local time) forecast for 7 days VS12 November 15..7 ° Yu-B B 7-12 m/s impulses up to 17 m/s NOVEN4..6 ° U 6-11 m/s gusts to 17 m/s day4..6 ° u 6-11 m/c in places of gusts up to 17 m/s news all the latest news 11.11.23 12:54 Video thrift. Andrei Ushakov spoke about the weather on November 11-12 about the weather features in the regions of Russia in the coming days 10.11.23 15:13 In the west of the Far East is controlled by anticyclone in the East - Cyclones ... The Siberian anti -cyclone has captured most of the Far East determines the weather conditions in the region . Cyclones and their atmospheric fronts went to the eastern and northeastern regions where unstable weather with precipitation and winds is observed. Read more on 09.11.23 20:05 Hydrological review on November 9, 2023. The establishment of ice cover on the rivers of Siberia and the Far East will continue. Read more on 09.11.23 19:31 Overview of atmospheric processes and the most important weather phenomena expected from November 10 to 13, 2023 ... On November 10, in the southeastern regions of the European territory of Russia (ETR), the rains with impulsive winds up to 15- 20 m/s. Read more the Central Federal District. On November 12, in the Kaluga Bryansk Lipetsk Belgorod Kursk regions, heavy rain. Polzhsky Federal District. November 13 in the north of the district strong precipitation (rain wet snow snow). DNR LPR Zaporizhzhya and Kherson regions. 11-November 12 in the Kherson region heavy rain thunderstorms Wind up to 23 m/s. Read more .. &gt;&gt; Southern Federal District. 11-November 12 in the Crimea heavy rain winds up to 25 m/s. Read more .. &gt;&gt; North Caucasus Federal District. On November 13, in Karachay-Cherkessia, heavy rain wind is 15-20 m/s (in mountainous areas up to 22 m/s). Read more .. &gt;&gt; Siberian Federal District. On November 11-13, in the Taimyr Dolgan-Nenets municipal district of the Krasnoyarsk Territory Snow (November 13 in the south of the strong) blizzard is 15-20 m/s. Read more .. &gt;&gt; Far Eastern Federal District. In the Kamchatka Territory on November 11-12, heavy snow is a blizzard of 25-30 m/s November 13 in the north snow blower is 18-23 m/s. Read more .. &gt;&gt; Emergency Information in the period 11.00-14.30 Moscow time November 12 in the city of Anadyr of the Chukchi Autonomous Okrug is expected by wind 28-33 m/with gusts of 38-43 m/s with strong ... Read more ... Weather in the world in the world in the world The world is expected that El-Nigno will last at least until April 2024 ... According to the new globlet of the World Meteorological Organization, the ongoing El-Nigno phenomenon will last at least until April 2024, influencing the vital radio frequency ranges: VMO according to Professor General, Professor Petel Taalasa Radio frequency ranges are a key requirement for all Earth observation systems and September on the planet became the warmest VMO reported that the average global temperature became the highest over the entire observation period. Do they need your help your children like to draw? Their drawings can decorate this site ..&gt; Popular links: Weather in Moscow in Moscow in the Moscow region over the past day Russia: temperature forecast maps for 1-5 days The temperature of the water in the seas is the main monosystrognozypactic DAY WATERS © 2023 Hydrometeorological Center of the Russia</v>
      </c>
    </row>
    <row r="726">
      <c r="A726" s="1" t="s">
        <v>2258</v>
      </c>
      <c r="B726" s="1" t="s">
        <v>2396</v>
      </c>
      <c r="C726" s="1" t="s">
        <v>2397</v>
      </c>
      <c r="D726" s="1">
        <v>15.0</v>
      </c>
      <c r="E726" s="4" t="s">
        <v>2398</v>
      </c>
      <c r="F726" s="1" t="s">
        <v>43</v>
      </c>
      <c r="G726" s="1" t="s">
        <v>2328</v>
      </c>
      <c r="H726" s="4" t="s">
        <v>2329</v>
      </c>
      <c r="I726" s="2">
        <v>2.0</v>
      </c>
      <c r="J726" s="5" t="str">
        <f>IFERROR(__xludf.DUMMYFUNCTION("GOOGLETRANSLATE(A726)"),"weather")</f>
        <v>weather</v>
      </c>
      <c r="K726" s="6" t="str">
        <f>IFERROR(__xludf.DUMMYFUNCTION("GOOGLETRANSLATE(B726)"),"Weather Mail.Ru: Weather forecast for Sacramento for today ...")</f>
        <v>Weather Mail.Ru: Weather forecast for Sacramento for today ...</v>
      </c>
      <c r="L726" s="5" t="str">
        <f>IFERROR(__xludf.DUMMYFUNCTION("GOOGLETRANSLATE(C726)"),"Details about the weather in Sacramento today, now, the forecast for tomorrow and for the coming days. We will show how the air temperature will change in Sacramento ...")</f>
        <v>Details about the weather in Sacramento today, now, the forecast for tomorrow and for the coming days. We will show how the air temperature will change in Sacramento ...</v>
      </c>
      <c r="M726" s="5" t="str">
        <f>IFERROR(__xludf.DUMMYFUNCTION("GOOGLETRANSLATE(G726)"),"Weather forecast for Ann-Arbor for today (Michigan)-the weather in Ann-Arbor is now a forecast for tomorrow and for the coming days-the weather Mail.ru Mirodolsnikvkavkontaktegravakottakoblakoblakovkovkovkovkovs Projects of PROTRUSTISSISSIC PRODUCTIONS in"&amp;" Ann-Arbor Michigan today Sediments November November 3 22:45 The weather forecast for: 14 days of the mixed +2 ° is felt like 0 ° C variable cloud cover +8 ° The soil temperature 751 mm Hg. Art. 75% humidity is very high2 m/s light wind at night+2 ° 751 "&amp;"mm 75% 2 m/s 0 7% in the morning+5 ° 751 mm 66% 3 m/s 3 14% tomorrow+10 °+2 ° clear 749 mm 49% 4 m/s 3 4% PN 13/11 +14 ° +5 ° is clear 746 mm 42% 6 m/s 3 0% W 14/11 +11 ° +3 ° Cloud 749 mm 37% 2 m/s 3 1% CP 15/11+14 °+4 ° Cloud 743 mm 30% 4 m/s 4 1% 16/11"&amp;"+16 °+6 ° cloud 738 mm 64% 7 m/s 3 13% PTT 17/11+11+11 ° +11 ° cloud 735 mm 47% 5 m/s 3 0% SB 18/11 +10 ° +1 ° Clearly 730 mm 43% 7 m/s 2 6% 19/11 +7 ° 0 ° Clear 738 mm 44% 3 m/s 3 3% Mon 20/11 +9 ° +1 ° Cloud 743 mm 60% 2 m/s 3 5% W 21/11 +10 ° +7 ° rain"&amp;"741 mm 93% 4 m/s 3 77% news of weather retardation Magnetate 54 occurred in Indonesiasinoptics predicted in Moscow to rain and up to +7 degrees on November 12, Iceland, introduced a state of emergency because of the Reykjesastonoma volcano told how to see"&amp;" the northern taurids on November 11-12 on November 12th, warned about the magnetic storm on November 12, revealed which winter in Russiamskovchi They warned of cloudy and rainy weather in the coming days of magnitude 58 in the southern smoks the weather "&amp;"at Adler's resorts +18 ° Belokurikha +3 ° Dombay +7 ° Zavyalikh 0 ° Kirovsk -11 ° Krasnaya Pylana +Pyatigorsk +7 °sk Svetlogorsk +8 ° Sochi +19 ° Teberda +9 ° Terskol +2 ° Sheregesh -1 ° Elbrus +2 ° Yalta +17 ° Yakhroma +3 ° Lighting day 07:20 Support 17:"&amp;"17 Hall of long life of the mete -sensitive phase of the moon new moon The geomagnetic field is a poorly indignant garden and yards the frying frying. We prepare the weather from fresh subcutaneous products in other cities of Russia: Volgograd Voronezh Do"&amp;"netsk Yekaterinburg Kazan Krasnoyarsk Moscow Nizhny Novgorod Novosibirsk Omsk Perm Rostov-on-Don Samara Ufa Chelyabinskprognosis Weather for 3 days of weather for 5 days of weather for 7 days of weather for 10 days Weather and the garden in this section Y"&amp;"ou can find out the weather in Ann-Arbor for today and tomorrow: a change in the temperature of atmospheric humidity pressure and wind speed, the probability of precipitation of the UV index and other weather data. A detailed weather forecast for Ann-Arbo"&amp;"r is provided today by the Meteonovoi news agency. Mail.ru of the Company Reformation provided: IA ""Meteonovosti"" On technologies of recommendations for project communication")</f>
        <v>Weather forecast for Ann-Arbor for today (Michigan)-the weather in Ann-Arbor is now a forecast for tomorrow and for the coming days-the weather Mail.ru Mirodolsnikvkavkontaktegravakottakoblakoblakovkovkovkovkovs Projects of PROTRUSTISSISSIC PRODUCTIONS in Ann-Arbor Michigan today Sediments November November 3 22:45 The weather forecast for: 14 days of the mixed +2 ° is felt like 0 ° C variable cloud cover +8 ° The soil temperature 751 mm Hg. Art. 75% humidity is very high2 m/s light wind at night+2 ° 751 mm 75% 2 m/s 0 7% in the morning+5 ° 751 mm 66% 3 m/s 3 14% tomorrow+10 °+2 ° clear 749 mm 49% 4 m/s 3 4% PN 13/11 +14 ° +5 ° is clear 746 mm 42% 6 m/s 3 0% W 14/11 +11 ° +3 ° Cloud 749 mm 37% 2 m/s 3 1% CP 15/11+14 °+4 ° Cloud 743 mm 30% 4 m/s 4 1% 16/11+16 °+6 ° cloud 738 mm 64% 7 m/s 3 13% PTT 17/11+11+11 ° +11 ° cloud 735 mm 47% 5 m/s 3 0% SB 18/11 +10 ° +1 ° Clearly 730 mm 43% 7 m/s 2 6% 19/11 +7 ° 0 ° Clear 738 mm 44% 3 m/s 3 3% Mon 20/11 +9 ° +1 ° Cloud 743 mm 60% 2 m/s 3 5% W 21/11 +10 ° +7 ° rain741 mm 93% 4 m/s 3 77% news of weather retardation Magnetate 54 occurred in Indonesiasinoptics predicted in Moscow to rain and up to +7 degrees on November 12, Iceland, introduced a state of emergency because of the Reykjesastonoma volcano told how to see the northern taurids on November 11-12 on November 12th, warned about the magnetic storm on November 12, revealed which winter in Russiamskovchi They warned of cloudy and rainy weather in the coming days of magnitude 58 in the southern smoks the weather at Adler's resorts +18 ° Belokurikha +3 ° Dombay +7 ° Zavyalikh 0 ° Kirovsk -11 ° Krasnaya Pylana +Pyatigorsk +7 °sk Svetlogorsk +8 ° Sochi +19 ° Teberda +9 ° Terskol +2 ° Sheregesh -1 ° Elbrus +2 ° Yalta +17 ° Yakhroma +3 ° Lighting day 07:20 Support 17:17 Hall of long life of the mete -sensitive phase of the moon new moon The geomagnetic field is a poorly indignant garden and yards the frying frying. We prepare the weather from fresh subcutaneous products in other cities of Russia: Volgograd Voronezh Donetsk Yekaterinburg Kazan Krasnoyarsk Moscow Nizhny Novgorod Novosibirsk Omsk Perm Rostov-on-Don Samara Ufa Chelyabinskprognosis Weather for 3 days of weather for 5 days of weather for 7 days of weather for 10 days Weather and the garden in this section You can find out the weather in Ann-Arbor for today and tomorrow: a change in the temperature of atmospheric humidity pressure and wind speed, the probability of precipitation of the UV index and other weather data. A detailed weather forecast for Ann-Arbor is provided today by the Meteonovoi news agency. Mail.ru of the Company Reformation provided: IA "Meteonovosti" On technologies of recommendations for project communication</v>
      </c>
    </row>
    <row r="727">
      <c r="A727" s="1" t="s">
        <v>2258</v>
      </c>
      <c r="B727" s="1" t="s">
        <v>2399</v>
      </c>
      <c r="D727" s="1">
        <v>16.0</v>
      </c>
      <c r="E727" s="4" t="s">
        <v>2400</v>
      </c>
      <c r="F727" s="1" t="s">
        <v>43</v>
      </c>
      <c r="G727" s="1" t="s">
        <v>2401</v>
      </c>
      <c r="H727" s="4" t="s">
        <v>2402</v>
      </c>
      <c r="I727" s="2">
        <v>1.0</v>
      </c>
      <c r="J727" s="5" t="str">
        <f>IFERROR(__xludf.DUMMYFUNCTION("GOOGLETRANSLATE(A727)"),"weather")</f>
        <v>weather</v>
      </c>
      <c r="K727" s="6" t="str">
        <f>IFERROR(__xludf.DUMMYFUNCTION("GOOGLETRANSLATE(B727)"),"Ventusky - Wind, Rain and Temperature Maps")</f>
        <v>Ventusky - Wind, Rain and Temperature Maps</v>
      </c>
      <c r="L727" s="5" t="str">
        <f>IFERROR(__xludf.DUMMYFUNCTION("GOOGLETRANSLATE(C727)"),"#VALUE!")</f>
        <v>#VALUE!</v>
      </c>
      <c r="M727" s="5" t="str">
        <f>IFERROR(__xludf.DUMMYFUNCTION("GOOGLETRANSLATE(G727)"),"Ventusky - Wind Rain and Temperature MapsVentusky: Weather Forecast MapsAboutTemperaturePrecipitationWindGustCloudsAir pressureCAPESnow coverFreezing level          Wind animation      GFS ICON GEM    You can now display weather fronts")</f>
        <v>Ventusky - Wind Rain and Temperature MapsVentusky: Weather Forecast MapsAboutTemperaturePrecipitationWindGustCloudsAir pressureCAPESnow coverFreezing level          Wind animation      GFS ICON GEM    You can now display weather fronts</v>
      </c>
    </row>
    <row r="728">
      <c r="A728" s="1" t="s">
        <v>2258</v>
      </c>
      <c r="B728" s="1" t="s">
        <v>2403</v>
      </c>
      <c r="D728" s="1">
        <v>17.0</v>
      </c>
      <c r="E728" s="4" t="s">
        <v>2404</v>
      </c>
      <c r="F728" s="1" t="s">
        <v>43</v>
      </c>
      <c r="G728" s="1" t="s">
        <v>2405</v>
      </c>
      <c r="H728" s="4" t="s">
        <v>2406</v>
      </c>
      <c r="I728" s="2">
        <v>1.0</v>
      </c>
      <c r="J728" s="5" t="str">
        <f>IFERROR(__xludf.DUMMYFUNCTION("GOOGLETRANSLATE(A728)"),"weather")</f>
        <v>weather</v>
      </c>
      <c r="K728" s="6" t="str">
        <f>IFERROR(__xludf.DUMMYFUNCTION("GOOGLETRANSLATE(B728)"),"Weather Underground: Local Weather Forecast, News and ...")</f>
        <v>Weather Underground: Local Weather Forecast, News and ...</v>
      </c>
      <c r="L728" s="5" t="str">
        <f>IFERROR(__xludf.DUMMYFUNCTION("GOOGLETRANSLATE(C728)"),"#VALUE!")</f>
        <v>#VALUE!</v>
      </c>
      <c r="M728" s="5" t="str">
        <f>IFERROR(__xludf.DUMMYFUNCTION("GOOGLETRANSLATE(G728)"),"Local Weather Forecast News and Conditions | Weather UndergroundSkip to Main Content_ Sensor Network Maps &amp; Radar Severe Weather News &amp; Blogs Mobile Apps MoreSearchclosegps_fixedgps_fixedFind Nearest Station Manage Favorite CitiesLog in | Joinsettingsacco"&amp;"unt_box Log in person_add Join settings Settings Sensor NetworkMaps &amp; RadarSevere WeatherNews &amp; BlogsMobile AppsHistorical WeatherstarCurrent Weather for Popular Cities  San Francisco CA 60 °FClear Manhattan NY 43 °FClear Schiller Park IL (60176) warning4"&amp;"5 °FPartly Cloudy Boston MA 36 °FClear Houston TX 59 °FCloudy St James's England United Kingdom 42 °FCloudy --Feels like -- ---- / --------------------12AM6AMNOON6PM12AMNov 12+0000Nov 13Full ForecastFlames Close Major Freeway DowntownA portion of the 10 F"&amp;"reeway in downtown Los Angeles has been shut down because of a major fire at nearby storage yards.Flames Close Major Freeway DowntownTaylor Swift Forced To Cancel Show Due To StormsSuperstar singer Taylor Swift postponed a show scheduled for Friday in Bue"&amp;"nos Aires Argentina over concerns about weather.Taylor Swift Forced To Cancel Show Due To StormsExpect A Blueberry Shortage... The Surprising Reason Why El Niño is being partially blamed for reduced blueberry production in Peru late this year and that cou"&amp;"ld impact the prices of the tiny blue fruit at your local supermarket.Expect A Blueberry Shortage... The Surprising Reason Why Whole Lotta Rain Headed For The Golden State We're about to see another key weather change take shape. Here's what we know right"&amp;" now.Whole Lotta Rain Headed For The Golden State Eruption Concerns Rise In IcelandResidents of a fishing town in southwestern Iceland left their homes Saturday after increasing concern about a potential volcanic eruption caused civil defense authorities "&amp;"to declare a state of emergency in the region.Eruption Concerns Rise In IcelandOur AppsAbout UsContactCareersPWS NetworkWunderMapFeedback &amp; SupportTerms of UsePrivacy PolicyAccessibility StatementAdChoicesData VendorsWe recognize our responsibility to use"&amp;" data and technology for good. We may use or share your data with our data vendors. Take control of your data.Review All Privacy and Ad SettingsChoose how my information is sharedData Rights© Copyright TWC Product and Technology LLC 2014 2023Please enable"&amp;" JavaScript to continue using this application.")</f>
        <v>Local Weather Forecast News and Conditions | Weather UndergroundSkip to Main Content_ Sensor Network Maps &amp; Radar Severe Weather News &amp; Blogs Mobile Apps MoreSearchclosegps_fixedgps_fixedFind Nearest Station Manage Favorite CitiesLog in | Joinsettingsaccount_box Log in person_add Join settings Settings Sensor NetworkMaps &amp; RadarSevere WeatherNews &amp; BlogsMobile AppsHistorical WeatherstarCurrent Weather for Popular Cities  San Francisco CA 60 °FClear Manhattan NY 43 °FClear Schiller Park IL (60176) warning45 °FPartly Cloudy Boston MA 36 °FClear Houston TX 59 °FCloudy St James's England United Kingdom 42 °FCloudy --Feels like -- ---- / --------------------12AM6AMNOON6PM12AMNov 12+0000Nov 13Full ForecastFlames Close Major Freeway DowntownA portion of the 10 Freeway in downtown Los Angeles has been shut down because of a major fire at nearby storage yards.Flames Close Major Freeway DowntownTaylor Swift Forced To Cancel Show Due To StormsSuperstar singer Taylor Swift postponed a show scheduled for Friday in Buenos Aires Argentina over concerns about weather.Taylor Swift Forced To Cancel Show Due To StormsExpect A Blueberry Shortage... The Surprising Reason Why El Niño is being partially blamed for reduced blueberry production in Peru late this year and that could impact the prices of the tiny blue fruit at your local supermarket.Expect A Blueberry Shortage... The Surprising Reason Why Whole Lotta Rain Headed For The Golden State We're about to see another key weather change take shape. Here's what we know right now.Whole Lotta Rain Headed For The Golden State Eruption Concerns Rise In IcelandResidents of a fishing town in southwestern Iceland left their homes Saturday after increasing concern about a potential volcanic eruption caused civil defense authorities to declare a state of emergency in the region.Eruption Concerns Rise In IcelandOur AppsAbout UsContactCareersPWS NetworkWunderMapFeedback &amp; SupportTerms of UsePrivacy PolicyAccessibility StatementAdChoicesData VendorsWe recognize our responsibility to use data and technology for good. We may use or share your data with our data vendors. Take control of your data.Review All Privacy and Ad SettingsChoose how my information is sharedData Rights© Copyright TWC Product and Technology LLC 2014 2023Please enable JavaScript to continue using this application.</v>
      </c>
    </row>
    <row r="729">
      <c r="A729" s="1" t="s">
        <v>2258</v>
      </c>
      <c r="B729" s="1" t="s">
        <v>2407</v>
      </c>
      <c r="C729" s="1" t="s">
        <v>2408</v>
      </c>
      <c r="D729" s="1">
        <v>18.0</v>
      </c>
      <c r="E729" s="4" t="s">
        <v>2409</v>
      </c>
      <c r="F729" s="1" t="s">
        <v>43</v>
      </c>
      <c r="G729" s="1" t="s">
        <v>2410</v>
      </c>
      <c r="H729" s="4" t="s">
        <v>2411</v>
      </c>
      <c r="I729" s="2">
        <v>1.0</v>
      </c>
      <c r="J729" s="5" t="str">
        <f>IFERROR(__xludf.DUMMYFUNCTION("GOOGLETRANSLATE(A729)"),"weather")</f>
        <v>weather</v>
      </c>
      <c r="K729" s="6" t="str">
        <f>IFERROR(__xludf.DUMMYFUNCTION("GOOGLETRANSLATE(B729)"),"Meteofor: Weather in Lviv today, forecast ...")</f>
        <v>Meteofor: Weather in Lviv today, forecast ...</v>
      </c>
      <c r="L729" s="5" t="str">
        <f>IFERROR(__xludf.DUMMYFUNCTION("GOOGLETRANSLATE(C729)"),"Weather in Lviv for today, a detailed weather forecast for today for the village of Lviv, Lviv district, Lviv region, Ukraine.")</f>
        <v>Weather in Lviv for today, a detailed weather forecast for today for the village of Lviv, Lviv district, Lviv region, Ukraine.</v>
      </c>
      <c r="M729" s="5" t="str">
        <f>IFERROR(__xludf.DUMMYFUNCTION("GOOGLETRANSLATE(G729)"),"METEOFOR: Weather in Ukraine weather forecast for today tomorrow 3 days weekend 10 days 2 weeks 2 weeks for mobile version search for UA UA Ukrainian Power-Russe / Michigan in Enn-Arbory ​​strong cloudy without precipitation November 22: 45+337 heavy clou"&amp;"diness without precipitation is felt like+134 venue2 m/c C7 km/h compression749 mm Hg. Art.998 Gapavologation 69%G/m Activity6 Ball+643 Figradan in the near future 2300 000 100 200 300+337+236+236+134+134+134 winds of wind M/C7 km/h+337 -ullow wounds2 m/c"&amp;"7 km/h+337detroit2 m/c7 km/h+439 -Detroit2 m/c7 km/h+439 kounti0 m/c0 km/h+337 Lenava2 236JEXON KUuntie - Reynolds Field0 m/C0 km/h+236 Popular points of Ukraine Vinnitsa Dnipro Donetsk Zhytomyr Ivano -Frankivsk Kyiv Kryvyi Rih Lugansk Lutsk Lviv Nikolaev"&amp;" Chernivtsi Chernivtsi The world is tragedy in the 128th Brigade: Who ""Rat"" and what is not so much with the commander of Ukraine will raise tariffs for gas and electricity of Ukrainians: it will be the most difficult winter in the history of the mobile"&amp;" website weather in Ukraine and the world: data are intended only for private non-commercial use. © METEOFOR")</f>
        <v>METEOFOR: Weather in Ukraine weather forecast for today tomorrow 3 days weekend 10 days 2 weeks 2 weeks for mobile version search for UA UA Ukrainian Power-Russe / Michigan in Enn-Arbory ​​strong cloudy without precipitation November 22: 45+337 heavy cloudiness without precipitation is felt like+134 venue2 m/c C7 km/h compression749 mm Hg. Art.998 Gapavologation 69%G/m Activity6 Ball+643 Figradan in the near future 2300 000 100 200 300+337+236+236+134+134+134 winds of wind M/C7 km/h+337 -ullow wounds2 m/c7 km/h+337detroit2 m/c7 km/h+439 -Detroit2 m/c7 km/h+439 kounti0 m/c0 km/h+337 Lenava2 236JEXON KUuntie - Reynolds Field0 m/C0 km/h+236 Popular points of Ukraine Vinnitsa Dnipro Donetsk Zhytomyr Ivano -Frankivsk Kyiv Kryvyi Rih Lugansk Lutsk Lviv Nikolaev Chernivtsi Chernivtsi The world is tragedy in the 128th Brigade: Who "Rat" and what is not so much with the commander of Ukraine will raise tariffs for gas and electricity of Ukrainians: it will be the most difficult winter in the history of the mobile website weather in Ukraine and the world: data are intended only for private non-commercial use. © METEOFOR</v>
      </c>
    </row>
    <row r="730">
      <c r="A730" s="1" t="s">
        <v>2258</v>
      </c>
      <c r="B730" s="1" t="s">
        <v>2412</v>
      </c>
      <c r="D730" s="1">
        <v>19.0</v>
      </c>
      <c r="E730" s="4" t="s">
        <v>2413</v>
      </c>
      <c r="F730" s="1" t="s">
        <v>43</v>
      </c>
      <c r="G730" s="1" t="s">
        <v>487</v>
      </c>
      <c r="H730" s="4" t="s">
        <v>2414</v>
      </c>
      <c r="I730" s="2">
        <v>1.0</v>
      </c>
      <c r="J730" s="5" t="str">
        <f>IFERROR(__xludf.DUMMYFUNCTION("GOOGLETRANSLATE(A730)"),"weather")</f>
        <v>weather</v>
      </c>
      <c r="K730" s="6" t="str">
        <f>IFERROR(__xludf.DUMMYFUNCTION("GOOGLETRANSLATE(B730)"),"Weather Forecasts | Maps | News")</f>
        <v>Weather Forecasts | Maps | News</v>
      </c>
      <c r="L730" s="5" t="str">
        <f>IFERROR(__xludf.DUMMYFUNCTION("GOOGLETRANSLATE(C730)"),"#VALUE!")</f>
        <v>#VALUE!</v>
      </c>
      <c r="M730" s="5" t="str">
        <f>IFERROR(__xludf.DUMMYFUNCTION("GOOGLETRANSLATE(G730)"),"In order")</f>
        <v>In order</v>
      </c>
    </row>
    <row r="731">
      <c r="A731" s="1" t="s">
        <v>2258</v>
      </c>
      <c r="B731" s="1" t="s">
        <v>2415</v>
      </c>
      <c r="D731" s="1">
        <v>20.0</v>
      </c>
      <c r="E731" s="4" t="s">
        <v>2416</v>
      </c>
      <c r="F731" s="1" t="s">
        <v>43</v>
      </c>
      <c r="G731" s="1" t="s">
        <v>2417</v>
      </c>
      <c r="H731" s="4" t="s">
        <v>2418</v>
      </c>
      <c r="I731" s="2">
        <v>1.0</v>
      </c>
      <c r="J731" s="5" t="str">
        <f>IFERROR(__xludf.DUMMYFUNCTION("GOOGLETRANSLATE(A731)"),"weather")</f>
        <v>weather</v>
      </c>
      <c r="K731" s="6" t="str">
        <f>IFERROR(__xludf.DUMMYFUNCTION("GOOGLETRANSLATE(B731)"),"Windy: Wind map &amp; weather forecast")</f>
        <v>Windy: Wind map &amp; weather forecast</v>
      </c>
      <c r="L731" s="5" t="str">
        <f>IFERROR(__xludf.DUMMYFUNCTION("GOOGLETRANSLATE(C731)"),"#VALUE!")</f>
        <v>#VALUE!</v>
      </c>
      <c r="M731" s="5" t="str">
        <f>IFERROR(__xludf.DUMMYFUNCTION("GOOGLETRANSLATE(G731)"),"Windy: Wind map &amp; weather forecast© OpenStreetMap contributors  !dFmkjwww.windy.com")</f>
        <v>Windy: Wind map &amp; weather forecast© OpenStreetMap contributors  !dFmkjwww.windy.com</v>
      </c>
    </row>
    <row r="732">
      <c r="A732" s="1" t="s">
        <v>2419</v>
      </c>
      <c r="B732" s="1" t="s">
        <v>2354</v>
      </c>
      <c r="C732" s="1" t="s">
        <v>2355</v>
      </c>
      <c r="D732" s="1">
        <v>1.0</v>
      </c>
      <c r="E732" s="4" t="s">
        <v>2356</v>
      </c>
      <c r="F732" s="1" t="s">
        <v>43</v>
      </c>
      <c r="G732" s="1" t="s">
        <v>2268</v>
      </c>
      <c r="H732" s="4" t="s">
        <v>2269</v>
      </c>
      <c r="I732" s="2">
        <v>0.0</v>
      </c>
      <c r="J732" s="5" t="str">
        <f>IFERROR(__xludf.DUMMYFUNCTION("GOOGLETRANSLATE(A732)"),"Weather tomorrow")</f>
        <v>Weather tomorrow</v>
      </c>
      <c r="K732" s="6" t="str">
        <f>IFERROR(__xludf.DUMMYFUNCTION("GOOGLETRANSLATE(B732)"),"Weather in Ann -Arbor for a week - Michigan")</f>
        <v>Weather in Ann -Arbor for a week - Michigan</v>
      </c>
      <c r="L732" s="5" t="str">
        <f>IFERROR(__xludf.DUMMYFUNCTION("GOOGLETRANSLATE(C732)"),"Sens about +2 ° C, wind 7 m/s. Weather. News Cards · USA / Michigan. Weather in Ann Arbor for a week. Now today tomorrow 3 days 10 days a month still.")</f>
        <v>Sens about +2 ° C, wind 7 m/s. Weather. News Cards · USA / Michigan. Weather in Ann Arbor for a week. Now today tomorrow 3 days 10 days a month still.</v>
      </c>
      <c r="M732" s="5" t="str">
        <f>IFERROR(__xludf.DUMMYFUNCTION("GOOGLETRANSLATE(G732)"),"GISMETEO: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33">
      <c r="A733" s="1" t="s">
        <v>2419</v>
      </c>
      <c r="B733" s="1" t="s">
        <v>2357</v>
      </c>
      <c r="C733" s="1" t="s">
        <v>2420</v>
      </c>
      <c r="D733" s="1">
        <v>2.0</v>
      </c>
      <c r="E733" s="4" t="s">
        <v>2359</v>
      </c>
      <c r="F733" s="1" t="s">
        <v>43</v>
      </c>
      <c r="G733" s="1" t="s">
        <v>2268</v>
      </c>
      <c r="H733" s="4" t="s">
        <v>2269</v>
      </c>
      <c r="I733" s="2">
        <v>0.0</v>
      </c>
      <c r="J733" s="5" t="str">
        <f>IFERROR(__xludf.DUMMYFUNCTION("GOOGLETRANSLATE(A733)"),"Weather tomorrow")</f>
        <v>Weather tomorrow</v>
      </c>
      <c r="K733" s="6" t="str">
        <f>IFERROR(__xludf.DUMMYFUNCTION("GOOGLETRANSLATE(B733)"),"Weather in Ann Arbor")</f>
        <v>Weather in Ann Arbor</v>
      </c>
      <c r="L733" s="5" t="str">
        <f>IFERROR(__xludf.DUMMYFUNCTION("GOOGLETRANSLATE(C733)"),"Weather in Ann Arbor. Today. Now. Today. Tomorrow 3 days 10 days a month still. Sat, November 11. Tomorrow. PT, November 10 today.")</f>
        <v>Weather in Ann Arbor. Today. Now. Today. Tomorrow 3 days 10 days a month still. Sat, November 11. Tomorrow. PT, November 10 today.</v>
      </c>
      <c r="M733" s="5" t="str">
        <f>IFERROR(__xludf.DUMMYFUNCTION("GOOGLETRANSLATE(G733)"),"GISMETEO: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34">
      <c r="A734" s="1" t="s">
        <v>2419</v>
      </c>
      <c r="B734" s="1" t="s">
        <v>2421</v>
      </c>
      <c r="C734" s="1" t="s">
        <v>2422</v>
      </c>
      <c r="D734" s="1">
        <v>3.0</v>
      </c>
      <c r="E734" s="4" t="s">
        <v>2423</v>
      </c>
      <c r="F734" s="1" t="s">
        <v>43</v>
      </c>
      <c r="G734" s="1" t="s">
        <v>2268</v>
      </c>
      <c r="H734" s="4" t="s">
        <v>2269</v>
      </c>
      <c r="I734" s="2">
        <v>0.0</v>
      </c>
      <c r="J734" s="5" t="str">
        <f>IFERROR(__xludf.DUMMYFUNCTION("GOOGLETRANSLATE(A734)"),"Weather tomorrow")</f>
        <v>Weather tomorrow</v>
      </c>
      <c r="K734" s="6" t="str">
        <f>IFERROR(__xludf.DUMMYFUNCTION("GOOGLETRANSLATE(B734)"),"Weather in Brooklyn for tomorrow - New York")</f>
        <v>Weather in Brooklyn for tomorrow - New York</v>
      </c>
      <c r="L734" s="5" t="str">
        <f>IFERROR(__xludf.DUMMYFUNCTION("GOOGLETRANSLATE(C734)"),"Weather in Brooklyn for tomorrow, the exact weather forecast for tomorrow for the village of Brooklyn, New York, USA.")</f>
        <v>Weather in Brooklyn for tomorrow, the exact weather forecast for tomorrow for the village of Brooklyn, New York, USA.</v>
      </c>
      <c r="M734" s="5" t="str">
        <f>IFERROR(__xludf.DUMMYFUNCTION("GOOGLETRANSLATE(G734)"),"GISMETEO: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35">
      <c r="A735" s="1" t="s">
        <v>2419</v>
      </c>
      <c r="B735" s="1" t="s">
        <v>2424</v>
      </c>
      <c r="C735" s="1" t="s">
        <v>2425</v>
      </c>
      <c r="D735" s="1">
        <v>4.0</v>
      </c>
      <c r="E735" s="4" t="s">
        <v>2426</v>
      </c>
      <c r="F735" s="1" t="s">
        <v>43</v>
      </c>
      <c r="G735" s="1" t="s">
        <v>2268</v>
      </c>
      <c r="H735" s="4" t="s">
        <v>2269</v>
      </c>
      <c r="I735" s="2">
        <v>0.0</v>
      </c>
      <c r="J735" s="5" t="str">
        <f>IFERROR(__xludf.DUMMYFUNCTION("GOOGLETRANSLATE(A735)"),"Weather tomorrow")</f>
        <v>Weather tomorrow</v>
      </c>
      <c r="K735" s="6" t="str">
        <f>IFERROR(__xludf.DUMMYFUNCTION("GOOGLETRANSLATE(B735)"),"The weather in the news for tomorrow")</f>
        <v>The weather in the news for tomorrow</v>
      </c>
      <c r="L735" s="5" t="str">
        <f>IFERROR(__xludf.DUMMYFUNCTION("GOOGLETRANSLATE(C735)"),"Weather in Novi tomorrow, the exact weather forecast for tomorrow for the village of Novi, Michigan, USA.")</f>
        <v>Weather in Novi tomorrow, the exact weather forecast for tomorrow for the village of Novi, Michigan, USA.</v>
      </c>
      <c r="M735" s="5" t="str">
        <f>IFERROR(__xludf.DUMMYFUNCTION("GOOGLETRANSLATE(G735)"),"GISMETEO: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36">
      <c r="A736" s="1" t="s">
        <v>2419</v>
      </c>
      <c r="B736" s="1" t="s">
        <v>2427</v>
      </c>
      <c r="C736" s="1" t="s">
        <v>2428</v>
      </c>
      <c r="D736" s="1">
        <v>5.0</v>
      </c>
      <c r="E736" s="4" t="s">
        <v>2429</v>
      </c>
      <c r="F736" s="1" t="s">
        <v>43</v>
      </c>
      <c r="G736" s="1" t="s">
        <v>2268</v>
      </c>
      <c r="H736" s="4" t="s">
        <v>2269</v>
      </c>
      <c r="I736" s="2">
        <v>0.0</v>
      </c>
      <c r="J736" s="5" t="str">
        <f>IFERROR(__xludf.DUMMYFUNCTION("GOOGLETRANSLATE(A736)"),"Weather tomorrow")</f>
        <v>Weather tomorrow</v>
      </c>
      <c r="K736" s="6" t="str">
        <f>IFERROR(__xludf.DUMMYFUNCTION("GOOGLETRANSLATE(B736)"),"Weather in Lancing for Tomorrow")</f>
        <v>Weather in Lancing for Tomorrow</v>
      </c>
      <c r="L736" s="5" t="str">
        <f>IFERROR(__xludf.DUMMYFUNCTION("GOOGLETRANSLATE(C736)"),"Weather in Lancing for tomorrow, an accurate weather forecast for tomorrow for the village of Lansing, Michigan, USA.")</f>
        <v>Weather in Lancing for tomorrow, an accurate weather forecast for tomorrow for the village of Lansing, Michigan, USA.</v>
      </c>
      <c r="M736" s="5" t="str">
        <f>IFERROR(__xludf.DUMMYFUNCTION("GOOGLETRANSLATE(G736)"),"GISMETEO: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37">
      <c r="A737" s="1" t="s">
        <v>2419</v>
      </c>
      <c r="B737" s="1" t="s">
        <v>2430</v>
      </c>
      <c r="C737" s="1" t="s">
        <v>2431</v>
      </c>
      <c r="D737" s="1">
        <v>6.0</v>
      </c>
      <c r="E737" s="4" t="s">
        <v>2432</v>
      </c>
      <c r="F737" s="1" t="s">
        <v>43</v>
      </c>
      <c r="G737" s="1" t="s">
        <v>2268</v>
      </c>
      <c r="H737" s="4" t="s">
        <v>2269</v>
      </c>
      <c r="I737" s="2">
        <v>0.0</v>
      </c>
      <c r="J737" s="5" t="str">
        <f>IFERROR(__xludf.DUMMYFUNCTION("GOOGLETRANSLATE(A737)"),"Weather tomorrow")</f>
        <v>Weather tomorrow</v>
      </c>
      <c r="K737" s="6" t="str">
        <f>IFERROR(__xludf.DUMMYFUNCTION("GOOGLETRANSLATE(B737)"),"Weather in East Lancing for Tomorrow")</f>
        <v>Weather in East Lancing for Tomorrow</v>
      </c>
      <c r="L737" s="5" t="str">
        <f>IFERROR(__xludf.DUMMYFUNCTION("GOOGLETRANSLATE(C737)"),"Weather in East Lancing for tomorrow, the exact weather forecast for tomorrow for the village of East Lansing, Michigan, USA.")</f>
        <v>Weather in East Lancing for tomorrow, the exact weather forecast for tomorrow for the village of East Lansing, Michigan, USA.</v>
      </c>
      <c r="M737" s="5" t="str">
        <f>IFERROR(__xludf.DUMMYFUNCTION("GOOGLETRANSLATE(G737)"),"GISMETEO: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38">
      <c r="A738" s="1" t="s">
        <v>2419</v>
      </c>
      <c r="B738" s="1" t="s">
        <v>2433</v>
      </c>
      <c r="C738" s="1" t="s">
        <v>2434</v>
      </c>
      <c r="D738" s="1">
        <v>7.0</v>
      </c>
      <c r="E738" s="4" t="s">
        <v>2435</v>
      </c>
      <c r="F738" s="1" t="s">
        <v>43</v>
      </c>
      <c r="G738" s="1" t="s">
        <v>2268</v>
      </c>
      <c r="H738" s="4" t="s">
        <v>2269</v>
      </c>
      <c r="I738" s="2">
        <v>0.0</v>
      </c>
      <c r="J738" s="5" t="str">
        <f>IFERROR(__xludf.DUMMYFUNCTION("GOOGLETRANSLATE(A738)"),"Weather tomorrow")</f>
        <v>Weather tomorrow</v>
      </c>
      <c r="K738" s="6" t="str">
        <f>IFERROR(__xludf.DUMMYFUNCTION("GOOGLETRANSLATE(B738)"),"Weather in Chicago for tomorrow")</f>
        <v>Weather in Chicago for tomorrow</v>
      </c>
      <c r="L738" s="5" t="str">
        <f>IFERROR(__xludf.DUMMYFUNCTION("GOOGLETRANSLATE(C738)"),"Weather in Chicago for tomorrow, the exact weather forecast for tomorrow for the village of Chicago, Illinois, USA.")</f>
        <v>Weather in Chicago for tomorrow, the exact weather forecast for tomorrow for the village of Chicago, Illinois, USA.</v>
      </c>
      <c r="M738" s="5" t="str">
        <f>IFERROR(__xludf.DUMMYFUNCTION("GOOGLETRANSLATE(G738)"),"GISMETEO: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39">
      <c r="A739" s="1" t="s">
        <v>2419</v>
      </c>
      <c r="B739" s="1" t="s">
        <v>2436</v>
      </c>
      <c r="C739" s="1" t="s">
        <v>2437</v>
      </c>
      <c r="D739" s="1">
        <v>8.0</v>
      </c>
      <c r="E739" s="4" t="s">
        <v>2438</v>
      </c>
      <c r="F739" s="1" t="s">
        <v>43</v>
      </c>
      <c r="G739" s="1" t="s">
        <v>2268</v>
      </c>
      <c r="H739" s="4" t="s">
        <v>2269</v>
      </c>
      <c r="I739" s="2">
        <v>0.0</v>
      </c>
      <c r="J739" s="5" t="str">
        <f>IFERROR(__xludf.DUMMYFUNCTION("GOOGLETRANSLATE(A739)"),"Weather tomorrow")</f>
        <v>Weather tomorrow</v>
      </c>
      <c r="K739" s="6" t="str">
        <f>IFERROR(__xludf.DUMMYFUNCTION("GOOGLETRANSLATE(B739)"),"Weather in Washington for tomorrow - USA")</f>
        <v>Weather in Washington for tomorrow - USA</v>
      </c>
      <c r="L739" s="5" t="str">
        <f>IFERROR(__xludf.DUMMYFUNCTION("GOOGLETRANSLATE(C739)"),"Weather in Washington for tomorrow, the exact weather forecast for tomorrow for the village of Washington, the Federal District of Colombia, the USA.")</f>
        <v>Weather in Washington for tomorrow, the exact weather forecast for tomorrow for the village of Washington, the Federal District of Colombia, the USA.</v>
      </c>
      <c r="M739" s="5" t="str">
        <f>IFERROR(__xludf.DUMMYFUNCTION("GOOGLETRANSLATE(G739)"),"GISMETEO: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40">
      <c r="A740" s="1" t="s">
        <v>2419</v>
      </c>
      <c r="B740" s="1" t="s">
        <v>2388</v>
      </c>
      <c r="C740" s="1" t="s">
        <v>2439</v>
      </c>
      <c r="D740" s="1">
        <v>9.0</v>
      </c>
      <c r="E740" s="4" t="s">
        <v>2390</v>
      </c>
      <c r="F740" s="1" t="s">
        <v>43</v>
      </c>
      <c r="G740" s="1" t="s">
        <v>2391</v>
      </c>
      <c r="H740" s="4" t="s">
        <v>2392</v>
      </c>
      <c r="I740" s="2">
        <v>0.0</v>
      </c>
      <c r="J740" s="5" t="str">
        <f>IFERROR(__xludf.DUMMYFUNCTION("GOOGLETRANSLATE(A740)"),"Weather tomorrow")</f>
        <v>Weather tomorrow</v>
      </c>
      <c r="K740" s="6" t="str">
        <f>IFERROR(__xludf.DUMMYFUNCTION("GOOGLETRANSLATE(B740)"),"Sinoptik: Weather in Ukraine, a detailed weather forecast ...")</f>
        <v>Sinoptik: Weather in Ukraine, a detailed weather forecast ...</v>
      </c>
      <c r="L740" s="5" t="str">
        <f>IFERROR(__xludf.DUMMYFUNCTION("GOOGLETRANSLATE(C740)"),"Cloudy weather will stay in Kyiv until the evening. It will rain all day all day, which can intensify during the day, but in the evening it will begin to weaken ...")</f>
        <v>Cloudy weather will stay in Kyiv until the evening. It will rain all day all day, which can intensify during the day, but in the evening it will begin to weaken ...</v>
      </c>
      <c r="M740" s="5" t="str">
        <f>IFERROR(__xludf.DUMMYFUNCTION("GOOGLETRANSLATE(G740)"),"Sinoptik: Weather in Ukraine is a detailed weather forecast for a week. Weather today tomorrow in Ukraine and the world. Weather forecast mobile version of the Sinoptik.ua site Ukrainian weather in Washington. The capital of the United States 7 days 10 da"&amp;"ys weather on the map of Saturday November 11 min. +4 ° Max. +14 ° Sunday November 12 min. +6 ° Max. +12 ° Monday November 13 min. +4 ° Max. +14 ° Tuesday November 14 min. +7 ° Max. +15 ° Wednesday November 15 min. +5 ° Max. +15 ° Thursday November 16 min"&amp;". +6 ° Max. +18 ° Friday November 17 min. +9 ° Max. +20 ° Weather today at 21:52 +9 ° C Sunpower 06:45 Sunset 16:59 Temperatif 10: 00 13: 00 16: 00 19: 00 22: 00 +6 ° +4 ° +6 ° +12 ° +14 ° +13 ° +10 ° +4 ° +3 ° +4 ° +12 ° +14 ° +13 ° +10 ° +4 ° 769 770 77"&amp;"0 771 770 770 771 772 771 92 93 85 66 46 42 66 73 2.1 1.5 2.1 4.6 2.1 3.6 1.5 2.7 - - - - - - - cloud weather and lasted the morning and In the afternoon, in the evening, the sky cleared up. Without precipitation. Kyiv 05:45 Local 22:45 Now in Washington "&amp;"Saturday Folk Forecast of Weather: The Hunters believed: ""If the wolves roam in the fields, then wait for great misfortunes: epidemics of hunger or war."" If on November 11, ""the sky will cry then after the rain and winter will come."" Weather in the US"&amp;"A weather in Washington Grov +4 ° weather in Washington Park +26 ° weather in Washington Park +8 ° weather in Washington Park +11 ° weather in Washington Park +11 ° Washington Terras +6 ° weather in Washington Hights - 2 ° Weather in your wishon +9 ° weat"&amp;"her in Wayandott +9 ° weather in Uyandott +4 ° weather in WEEABOV +8 ° weather in VEAZ -1 ° weather in Webbe +13 ° weather in Webbe +11 ° weather in Webbe +6 ° Weather weather weather in Ukrainian Carpathians Weather at the Mediterranean Sea resorts in th"&amp;"e Crimea and other Black Sea resorts in Washington (USA&gt; County of Colombia) updated 12.11.2023 at 05:43 (GMT+2) Weather in all corners of Ukraine Forecast from weather forecasts Sinoptik all rights belong to © 2010-2023 Sinoptik.ua. Project partners: Ukr"&amp;"ainian hydrometeorological center. Confidentiality agreement User Agreement Write to us advertising")</f>
        <v>Sinoptik: Weather in Ukraine is a detailed weather forecast for a week. Weather today tomorrow in Ukraine and the world. Weather forecast mobile version of the Sinoptik.ua site Ukrainian weather in Washington. The capital of the United States 7 days 10 days weather on the map of Saturday November 11 min. +4 ° Max. +14 ° Sunday November 12 min. +6 ° Max. +12 ° Monday November 13 min. +4 ° Max. +14 ° Tuesday November 14 min. +7 ° Max. +15 ° Wednesday November 15 min. +5 ° Max. +15 ° Thursday November 16 min. +6 ° Max. +18 ° Friday November 17 min. +9 ° Max. +20 ° Weather today at 21:52 +9 ° C Sunpower 06:45 Sunset 16:59 Temperatif 10: 00 13: 00 16: 00 19: 00 22: 00 +6 ° +4 ° +6 ° +12 ° +14 ° +13 ° +10 ° +4 ° +3 ° +4 ° +12 ° +14 ° +13 ° +10 ° +4 ° 769 770 770 771 770 770 771 772 771 92 93 85 66 46 42 66 73 2.1 1.5 2.1 4.6 2.1 3.6 1.5 2.7 - - - - - - - cloud weather and lasted the morning and In the afternoon, in the evening, the sky cleared up. Without precipitation. Kyiv 05:45 Local 22:45 Now in Washington Saturday Folk Forecast of Weather: The Hunters believed: "If the wolves roam in the fields, then wait for great misfortunes: epidemics of hunger or war." If on November 11, "the sky will cry then after the rain and winter will come." Weather in the USA weather in Washington Grov +4 ° weather in Washington Park +26 ° weather in Washington Park +8 ° weather in Washington Park +11 ° weather in Washington Park +11 ° Washington Terras +6 ° weather in Washington Hights - 2 ° Weather in your wishon +9 ° weather in Wayandott +9 ° weather in Uyandott +4 ° weather in WEEABOV +8 ° weather in VEAZ -1 ° weather in Webbe +13 ° weather in Webbe +11 ° weather in Webbe +6 ° Weather weather weather in Ukrainian Carpathians Weather at the Mediterranean Sea resorts in the Crimea and other Black Sea resorts in Washington (USA&gt; County of Colombia) updated 12.11.2023 at 05:43 (GMT+2) Weather in all corners of Ukraine Forecast from weather forecasts Sinoptik all rights belong to © 2010-2023 Sinoptik.ua. Project partners: Ukrainian hydrometeorological center. Confidentiality agreement User Agreement Write to us advertising</v>
      </c>
    </row>
    <row r="741">
      <c r="A741" s="1" t="s">
        <v>2419</v>
      </c>
      <c r="B741" s="1" t="s">
        <v>2440</v>
      </c>
      <c r="D741" s="1">
        <v>10.0</v>
      </c>
      <c r="E741" s="4" t="s">
        <v>2441</v>
      </c>
      <c r="F741" s="1" t="s">
        <v>43</v>
      </c>
      <c r="G741" s="1" t="s">
        <v>336</v>
      </c>
      <c r="H741" s="4" t="s">
        <v>453</v>
      </c>
      <c r="I741" s="2">
        <v>0.0</v>
      </c>
      <c r="J741" s="5" t="str">
        <f>IFERROR(__xludf.DUMMYFUNCTION("GOOGLETRANSLATE(A741)"),"Weather tomorrow")</f>
        <v>Weather tomorrow</v>
      </c>
      <c r="K741" s="6" t="str">
        <f>IFERROR(__xludf.DUMMYFUNCTION("GOOGLETRANSLATE(B741)"),"Weather tomorrow")</f>
        <v>Weather tomorrow</v>
      </c>
      <c r="L741" s="5" t="str">
        <f>IFERROR(__xludf.DUMMYFUNCTION("GOOGLETRANSLATE(C741)"),"#VALUE!")</f>
        <v>#VALUE!</v>
      </c>
      <c r="M741" s="5" t="str">
        <f>IFERROR(__xludf.DUMMYFUNCTION("GOOGLETRANSLATE(G741)"),"Oh!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742">
      <c r="A742" s="1" t="s">
        <v>2419</v>
      </c>
      <c r="B742" s="1" t="s">
        <v>2442</v>
      </c>
      <c r="C742" s="1" t="s">
        <v>2443</v>
      </c>
      <c r="D742" s="1">
        <v>11.0</v>
      </c>
      <c r="E742" s="4" t="s">
        <v>2444</v>
      </c>
      <c r="F742" s="1" t="s">
        <v>43</v>
      </c>
      <c r="G742" s="1" t="s">
        <v>2410</v>
      </c>
      <c r="H742" s="4" t="s">
        <v>2411</v>
      </c>
      <c r="I742" s="2">
        <v>0.0</v>
      </c>
      <c r="J742" s="5" t="str">
        <f>IFERROR(__xludf.DUMMYFUNCTION("GOOGLETRANSLATE(A742)"),"Weather tomorrow")</f>
        <v>Weather tomorrow</v>
      </c>
      <c r="K742" s="6" t="str">
        <f>IFERROR(__xludf.DUMMYFUNCTION("GOOGLETRANSLATE(B742)"),"Weather in Kyiv for tomorrow")</f>
        <v>Weather in Kyiv for tomorrow</v>
      </c>
      <c r="L742" s="5" t="str">
        <f>IFERROR(__xludf.DUMMYFUNCTION("GOOGLETRANSLATE(C742)"),"Weather in Kyiv for tomorrow, a detailed weather forecast for tomorrow for the village of Kyiv, Kyiv, Ukraine.")</f>
        <v>Weather in Kyiv for tomorrow, a detailed weather forecast for tomorrow for the village of Kyiv, Kyiv, Ukraine.</v>
      </c>
      <c r="M742" s="5" t="str">
        <f>IFERROR(__xludf.DUMMYFUNCTION("GOOGLETRANSLATE(G742)"),"METEOFOR: Weather in Ukraine weather forecast for today tomorrow 3 days weekend 10 days 2 weeks 2 weeks for mobile version search for UA UA Ukrainian Power-Russe / Michigan in Enn-Arbory ​​strong cloudy without precipitation November 22: 45+337 heavy clou"&amp;"diness without precipitation is felt like+134 venue2 m/c C7 km/h compression749 mm Hg. Art.998 Gapavologation 69%G/m Activity6 Ball+643 Figradan in the near future 2300 000 100 200 300+337+236+236+134+134+134 winds of wind M/C7 km/h+337 -ullow wounds2 m/c"&amp;"7 km/h+337detroit2 m/c7 km/h+439 -Detroit2 m/c7 km/h+439 kounti0 m/c0 km/h+337 Lenava2 236JEXON KUuntie - Reynolds Field0 m/C0 km/h+236 Popular points of Ukraine Vinnitsa Dnipro Donetsk Zhytomyr Ivano -Frankivsk Kyiv Kryvyi Rih Lugansk Lutsk Lviv Nikolaev"&amp;" Chernivtsi Chernivtsi The world is tragedy in the 128th Brigade: Who ""Rat"" and what is not so much with the commander of Ukraine will raise tariffs for gas and electricity of Ukrainians: it will be the most difficult winter in the history of the mobile"&amp;" website weather in Ukraine and the world: data are intended only for private non-commercial use. © METEOFOR")</f>
        <v>METEOFOR: Weather in Ukraine weather forecast for today tomorrow 3 days weekend 10 days 2 weeks 2 weeks for mobile version search for UA UA Ukrainian Power-Russe / Michigan in Enn-Arbory ​​strong cloudy without precipitation November 22: 45+337 heavy cloudiness without precipitation is felt like+134 venue2 m/c C7 km/h compression749 mm Hg. Art.998 Gapavologation 69%G/m Activity6 Ball+643 Figradan in the near future 2300 000 100 200 300+337+236+236+134+134+134 winds of wind M/C7 km/h+337 -ullow wounds2 m/c7 km/h+337detroit2 m/c7 km/h+439 -Detroit2 m/c7 km/h+439 kounti0 m/c0 km/h+337 Lenava2 236JEXON KUuntie - Reynolds Field0 m/C0 km/h+236 Popular points of Ukraine Vinnitsa Dnipro Donetsk Zhytomyr Ivano -Frankivsk Kyiv Kryvyi Rih Lugansk Lutsk Lviv Nikolaev Chernivtsi Chernivtsi The world is tragedy in the 128th Brigade: Who "Rat" and what is not so much with the commander of Ukraine will raise tariffs for gas and electricity of Ukrainians: it will be the most difficult winter in the history of the mobile website weather in Ukraine and the world: data are intended only for private non-commercial use. © METEOFOR</v>
      </c>
    </row>
    <row r="743">
      <c r="A743" s="1" t="s">
        <v>2419</v>
      </c>
      <c r="B743" s="1" t="s">
        <v>2363</v>
      </c>
      <c r="C743" s="1" t="s">
        <v>2445</v>
      </c>
      <c r="D743" s="1">
        <v>12.0</v>
      </c>
      <c r="E743" s="4" t="s">
        <v>2365</v>
      </c>
      <c r="F743" s="1" t="s">
        <v>43</v>
      </c>
      <c r="G743" s="1" t="s">
        <v>2341</v>
      </c>
      <c r="H743" s="4" t="s">
        <v>2342</v>
      </c>
      <c r="I743" s="2">
        <v>0.0</v>
      </c>
      <c r="J743" s="5" t="str">
        <f>IFERROR(__xludf.DUMMYFUNCTION("GOOGLETRANSLATE(A743)"),"Weather tomorrow")</f>
        <v>Weather tomorrow</v>
      </c>
      <c r="K743" s="6" t="str">
        <f>IFERROR(__xludf.DUMMYFUNCTION("GOOGLETRANSLATE(B743)"),"Weather in Ann Arbor, Michigan for today in detail ...")</f>
        <v>Weather in Ann Arbor, Michigan for today in detail ...</v>
      </c>
      <c r="L743" s="5" t="str">
        <f>IFERROR(__xludf.DUMMYFUNCTION("GOOGLETRANSLATE(C743)"),"Weather for today. , 17:17. In Ann-Arbor. Tuesday, November 7th. At night. 13 °. In the morning. 11 °. In the afternoon. 10 ... receive notifications with the weather forecast for tomorrow. Receive ...")</f>
        <v>Weather for today. , 17:17. In Ann-Arbor. Tuesday, November 7th. At night. 13 °. In the morning. 11 °. In the afternoon. 10 ... receive notifications with the weather forecast for tomorrow. Receive ...</v>
      </c>
      <c r="M743" s="5" t="str">
        <f>IFERROR(__xludf.DUMMYFUNCTION("GOOGLETRANSLATE(G743)"),"Weather in Russia. An accurate forecast for today tomorrow a week and a month for Rambler/Pogodanovoshov-Business-Sports-Sports-Sports is 06:45 16: 58 Evens the day3 days of day10 days14 days of Vasyatnopogoda in the Washingtonopois of the city or place o"&amp;"f the city on November 11, just as yesterday and variable clouds of 8 ° Creat magnetic fluorine 7 ° in the morning8 °11 ° is felt like 6 ° Calm Magnetic Healthy Forecast for a week of a weeklymor -dedication, November 11 ° 7 ° 10%3 m/spongeal, November13 "&amp;"° 10%4 m/Current November14 November13 ° 10%5 m/SUDER15 November14 ° 4 ° 10%3 3 ° 10%3 m/checkered November16 November18 ° 6 ° 10%3 m/Sleeper November 11718 ° 10 ° 10%4 m/osbobta November18 November 115 ° 10%4 m/Speaking in Washington now Today, in Washin"&amp;"gton, for tomorrow in Washington in Washington in November 2023, in Washington in Washington in Washington in Washington for a week of a week on the city of Marsossiyamoskvasankvasankovosibirsknigirskanirnivny Novgorod Kazanchelyabinsksamararostov-Donufak"&amp;"ranskvoarskvoyarskvoi city Evminskurorerty -Schiatalyasimferopolbarselonaminirodosvsovs of the country of the country's weather for the day in your city wherever you are! On the Rambler/Weather website you will learn the forecast for today tomorrow (the n"&amp;"ext 7 days) or another period of interest. Also here you will find information about changes in air and water temperature during the day at the level of atmospheric pressure and precipitation of wind speed of the duration of daylight hours and other meteo"&amp;"rological data. A detailed weather forecast is compiled by professional weather forecasters and is updated every three hours. © Rambler - the main news of Russia and the world horoscopes mail Search and other useful service -mobile versions of the Russian"&amp;" Agricultural Agreement18+Data Source")</f>
        <v>Weather in Russia. An accurate forecast for today tomorrow a week and a month for Rambler/Pogodanovoshov-Business-Sports-Sports-Sports is 06:45 16: 58 Evens the day3 days of day10 days14 days of Vasyatnopogoda in the Washingtonopois of the city or place of the city on November 11, just as yesterday and variable clouds of 8 ° Creat magnetic fluorine 7 ° in the morning8 °11 ° is felt like 6 ° Calm Magnetic Healthy Forecast for a week of a weeklymor -dedication, November 11 ° 7 ° 10%3 m/spongeal, November13 ° 10%4 m/Current November14 November13 ° 10%5 m/SUDER15 November14 ° 4 ° 10%3 3 ° 10%3 m/checkered November16 November18 ° 6 ° 10%3 m/Sleeper November 11718 ° 10 ° 10%4 m/osbobta November18 November 115 ° 10%4 m/Speaking in Washington now Today, in Washington, for tomorrow in Washington in Washington in November 2023, in Washington in Washington in Washington in Washington for a week of a week on the city of Marsossiyamoskvasankvasankovosibirsknigirskanirnivny Novgorod Kazanchelyabinsksamararostov-Donufakranskvoarskvoyarskvoi city Evminskurorerty -Schiatalyasimferopolbarselonaminirodosvsovs of the country of the country's weather for the day in your city wherever you are! On the Rambler/Weather website you will learn the forecast for today tomorrow (the next 7 days) or another period of interest. Also here you will find information about changes in air and water temperature during the day at the level of atmospheric pressure and precipitation of wind speed of the duration of daylight hours and other meteorological data. A detailed weather forecast is compiled by professional weather forecasters and is updated every three hours. © Rambler - the main news of Russia and the world horoscopes mail Search and other useful service -mobile versions of the Russian Agricultural Agreement18+Data Source</v>
      </c>
    </row>
    <row r="744">
      <c r="A744" s="1" t="s">
        <v>2419</v>
      </c>
      <c r="B744" s="1" t="s">
        <v>2446</v>
      </c>
      <c r="C744" s="1" t="s">
        <v>2447</v>
      </c>
      <c r="D744" s="1">
        <v>13.0</v>
      </c>
      <c r="E744" s="4" t="s">
        <v>2448</v>
      </c>
      <c r="F744" s="1" t="s">
        <v>43</v>
      </c>
      <c r="G744" s="1" t="s">
        <v>2449</v>
      </c>
      <c r="H744" s="4" t="s">
        <v>2450</v>
      </c>
      <c r="I744" s="2">
        <v>0.0</v>
      </c>
      <c r="J744" s="5" t="str">
        <f>IFERROR(__xludf.DUMMYFUNCTION("GOOGLETRANSLATE(A744)"),"Weather tomorrow")</f>
        <v>Weather tomorrow</v>
      </c>
      <c r="K744" s="6" t="str">
        <f>IFERROR(__xludf.DUMMYFUNCTION("GOOGLETRANSLATE(B744)"),"Weather tomorrow at Engels, Saratov Region, Russia")</f>
        <v>Weather tomorrow at Engels, Saratov Region, Russia</v>
      </c>
      <c r="L744" s="5" t="str">
        <f>IFERROR(__xludf.DUMMYFUNCTION("GOOGLETRANSLATE(C744)"),"Cloudy weather is a little colder than today. The temperature background during the day is from +4 to +7, at night from +6 to +8 °. Small ...")</f>
        <v>Cloudy weather is a little colder than today. The temperature background during the day is from +4 to +7, at night from +6 to +8 °. Small ...</v>
      </c>
      <c r="M744" s="5" t="str">
        <f>IFERROR(__xludf.DUMMYFUNCTION("GOOGLETRANSLATE(G744)"),"Accurate local weather forecasts worldwideAboutTerms of UsePrivacy PolicyWidgetsNotificationsContactEN       |       °C›close°F°CবাংলাEnglish (US)EspañolFrançaisҚазақша한국어日本語हिन्दीPortuguêsРусскийTürkçe中文 (SIM)Accurate local weather forecastsSearch locati"&amp;"onmy_locationGet the weatherSearch through over 10000000 places worldwidesearch   Find this locationsearch   Search for '%q%'Ann Arbor weatherSummaryNowTodayTomorrow 7 days10 days14 daysMapsWhy Meteodays?Progressivity            Our weather forec"&amp;"asting solution combines advanced weather prediction models with artificial intelligence providing highly accurate weather forecasts.          Convenience            Are you planning a trip an event or going outside? Get all the weather data you need to m"&amp;"ake informed decisions in one place.          Clarity            Experience the diverse weather data in a clear and visually appealing way with an intuitive design.          Awareness            Sign up for push notifications and get alerted of any major "&amp;"changes in the weather.          Hybrid Forecasting Technology (HFT)By combining comprehensive weather observations with advanced numerical weather prediction models and sophisticated accuracy tuning methods we can significantly improve the accuracy and p"&amp;"recision of weather forecasts.We refer to this as Hybrid Forecasting Technology (HFT) which is the result of years of scientific research development testing and refinement. This technology overview highlights the key steps of the data transformation pipe"&amp;"line which significantly improves the accuracy of weather forecasts.To ensure the highest level of accuracy we have established a pipeline for processing weather forecasting data that consists of multiple stages. Each stage builds on the results of the pr"&amp;"evious one to ultimately produce the most accurate and reliable forecast possible.public                            The pipeline starts by using global weather prediction models to create a broad overview of the expected weather patterns.                 "&amp;"       travel_explore                            Then the results of these models are refined through regional weather prediction models which are specifically tuned for certain regions around the world to improve accuracy for that area.                  "&amp;"      query_stats                            Next the first stage of post-processing involves the application of statistical methods which enhances the accuracy of the predictions.                        troubleshoot                            Lastly soph"&amp;"isticated Machine Learning methods are employed to produce precise forecasts for particular metrics including temperature wind velocity and precipitation.                        doneThe outcome of this process is a weather forecast of accuracy that is rel"&amp;"ied upon by millions of people worldwide.Weather forecasts for 219 countriesWe offer comprehensive weather observations and highly accurate forecasts for today tomorrow and up to two weeks for almost any place in the world.All countries Popular locations"&amp;"English speaking megacities                    New York City NY                                    London                                    Hong Kong                                    Singapore                                    Sydney                  "&amp;"                  Melbourne                                    Los Angeles CA                                    Chicago IL                                    Toronto                                    Houston TX                The World's most significan"&amp;"t cities                    Tokyo                                    New Delhi                                    Shanghai                                    Sao Paulo                                    Mexico City                                    Cairo"&amp;"                                    Dhaka                                    Mumbai                                    Beijing                                    Osaka                The World's most visited cities                    Bangkok              "&amp;"                      Paris                                    London                                    Dubai                                    Singapore                                    Kuala Lumpur                                    Antalya         "&amp;"                           İstanbul                                    Seoul                                    Rome                All locations AboutTerms of UsePrivacy PolicyWidgetsNotificationsContactবাংলাEnglish (US)EspañolFrançaisҚазақша한국어日本語हिन्द"&amp;"ीPortuguêsРусскийTürkçe中文 (SIM)The weather tomorrow10-day weather forecast14-day weather forecast			© 2023 Meteoservice LLC""Meteodays"" and ""cloud icon"" are registered trademarks of Meteoservice LLC. All Rights Reserved.			")</f>
        <v>Accurate local weather forecasts worldwideAboutTerms of UsePrivacy PolicyWidgetsNotificationsContactEN       |       °C›close°F°CবাংলাEnglish (US)EspañolFrançaisҚазақша한국어日本語हिन्दीPortuguêsРусскийTürkçe中文 (SIM)Accurate local weather forecastsSearch locationmy_locationGet the weatherSearch through over 10000000 places worldwidesearch   Find this locationsearch   Search for '%q%'Ann Arbor weatherSummaryNowTodayTomorrow 7 days10 days14 daysMapsWhy Meteodays?Progressivity            Our weather forecasting solution combines advanced weather prediction models with artificial intelligence providing highly accurate weather forecasts.          Convenience            Are you planning a trip an event or going outside? Get all the weather data you need to make informed decisions in one place.          Clarity            Experience the diverse weather data in a clear and visually appealing way with an intuitive design.          Awareness            Sign up for push notifications and get alerted of any major changes in the weather.          Hybrid Forecasting Technology (HFT)By combining comprehensive weather observations with advanced numerical weather prediction models and sophisticated accuracy tuning methods we can significantly improve the accuracy and precision of weather forecasts.We refer to this as Hybrid Forecasting Technology (HFT) which is the result of years of scientific research development testing and refinement. This technology overview highlights the key steps of the data transformation pipeline which significantly improves the accuracy of weather forecasts.To ensure the highest level of accuracy we have established a pipeline for processing weather forecasting data that consists of multiple stages. Each stage builds on the results of the previous one to ultimately produce the most accurate and reliable forecast possible.public                            The pipeline starts by using global weather prediction models to create a broad overview of the expected weather patterns.                        travel_explore                            Then the results of these models are refined through regional weather prediction models which are specifically tuned for certain regions around the world to improve accuracy for that area.                        query_stats                            Next the first stage of post-processing involves the application of statistical methods which enhances the accuracy of the predictions.                        troubleshoot                            Lastly sophisticated Machine Learning methods are employed to produce precise forecasts for particular metrics including temperature wind velocity and precipitation.                        doneThe outcome of this process is a weather forecast of accuracy that is relied upon by millions of people worldwide.Weather forecasts for 219 countriesWe offer comprehensive weather observations and highly accurate forecasts for today tomorrow and up to two weeks for almost any place in the world.All countries Popular locationsEnglish speaking megacities                    New York City NY                                    London                                    Hong Kong                                    Singapore                                    Sydney                                    Melbourne                                    Los Angeles CA                                    Chicago IL                                    Toronto                                    Houston TX                The World's most significant cities                    Tokyo                                    New Delhi                                    Shanghai                                    Sao Paulo                                    Mexico City                                    Cairo                                    Dhaka                                    Mumbai                                    Beijing                                    Osaka                The World's most visited cities                    Bangkok                                    Paris                                    London                                    Dubai                                    Singapore                                    Kuala Lumpur                                    Antalya                                    İstanbul                                    Seoul                                    Rome                All locations AboutTerms of UsePrivacy PolicyWidgetsNotificationsContactবাংলাEnglish (US)EspañolFrançaisҚазақша한국어日本語हिन्दीPortuguêsРусскийTürkçe中文 (SIM)The weather tomorrow10-day weather forecast14-day weather forecast			© 2023 Meteoservice LLC"Meteodays" and "cloud icon" are registered trademarks of Meteoservice LLC. All Rights Reserved.			</v>
      </c>
    </row>
    <row r="745">
      <c r="A745" s="1" t="s">
        <v>2419</v>
      </c>
      <c r="B745" s="1" t="s">
        <v>2451</v>
      </c>
      <c r="C745" s="1" t="s">
        <v>2452</v>
      </c>
      <c r="D745" s="1">
        <v>14.0</v>
      </c>
      <c r="E745" s="4" t="s">
        <v>2453</v>
      </c>
      <c r="F745" s="1" t="s">
        <v>43</v>
      </c>
      <c r="G745" s="1" t="s">
        <v>2381</v>
      </c>
      <c r="H745" s="4" t="s">
        <v>2382</v>
      </c>
      <c r="I745" s="2">
        <v>0.0</v>
      </c>
      <c r="J745" s="5" t="str">
        <f>IFERROR(__xludf.DUMMYFUNCTION("GOOGLETRANSLATE(A745)"),"Weather tomorrow")</f>
        <v>Weather tomorrow</v>
      </c>
      <c r="K745" s="6" t="str">
        <f>IFERROR(__xludf.DUMMYFUNCTION("GOOGLETRANSLATE(B745)"),"Weather in Manhattan - New York")</f>
        <v>Weather in Manhattan - New York</v>
      </c>
      <c r="L745" s="5" t="str">
        <f>IFERROR(__xludf.DUMMYFUNCTION("GOOGLETRANSLATE(C745)"),"Meteotrend: Weather in Manhattan for today, tomorrow and a week. The exact weather forecast in Manhattan. Air temperature and humidity, pressure, speed and ...")</f>
        <v>Meteotrend: Weather in Manhattan for today, tomorrow and a week. The exact weather forecast in Manhattan. Air temperature and humidity, pressure, speed and ...</v>
      </c>
      <c r="M745" s="5" t="str">
        <f>IFERROR(__xludf.DUMMYFUNCTION("GOOGLETRANSLATE(G745)"),"Погода в мире - точный и подробный прогноз погоды в любом уголке мира на сегодня завтра и неделюПогода в мире - точный и подробный прогноз погоды в любом уголке мира на сегодня завтра и неделюВиджетыПараметрыРусскийAfrikaansAzərbaycancaBahasa IndonesiaDan"&amp;"skDeutschEestiEnglishEspañolFilipinoFrançaiseHrvatskiItalianoLatviešuLietuviųMagyarMelayuNederlandsNorsk bokmålOʻzbekchaPolskiPortuguêsRomânăShqipSlovenčinaSlovenščinaSuomiSvenskaTiếng ViệtTürkçeČeštinaΕλληνικάБеларускаяБългарскиКыргызчаМакедонскиМонголСр"&amp;"пскиТоҷикӣУкраїнськаҚазақшаՀայերենעבריתاردوالعربيةفارسیमराठीहिन्दीবাংলাગુજરાતીதமிழ்తెలుగుಕನ್ನಡമലയാളംසිංහලไทยქართული中國日本語한국어МилфордСоединённые Штаты Америки +3. ..+5 ° Casparmumber: Northeast 2 m/sequences: 66-76%Pressure: 746-747 mm. RT. Suglings in more "&amp;"detail ... New York-connected states of America +7 ...+10 °, the most cloud cover: northern 4-6 m/sequence: 49-59%Pressure: 771-772 mm. RT. Supporting more ... Los Angeles Combined States of America +16 ...+21 ° Uplap: North-East 1-2 m/sequence: 36-43%Pre"&amp;"ssure: 755-756 mm. RT. senior sences ... Chicago connected states of America +8 ...+9 ° C-shall: Southeast 3-4 m/sequences: 68-75%Pressure: 756 mm. RT. Supporting more ... Toronto connected states of America +4 ...+5 ° Casparmurtger: Northern 2 m/sequence"&amp;"s: 67-73%Pressure: 758 mm. RT. senior sences ... Brooklyn, connected states of America +8 ...+10 °, the most cloud cover: northern 5-7 m/sequences: 49-57%Pressure: 770-772 mm. RT. senior sences ... Houston-connected states of America +16 ° Casparmournipli"&amp;"er: Northern 3 m/sequences: 90-91%Pressure: 764-766 mm. RT. Supporting more ... Philadelphia, united states of America +8 ...+11 °, the most cloud cover: northern 3-4 m/sequence: 55-61%Pressure: 770-772 mm. RT. Supporting more ... Phoenix connected states"&amp;" of America +21 ...+24 ° Uplap: Northern 1-2 m/sequences: 29-42%Pressure: 733-734 mm. RT. Signer ... San Antonio-connected states of America +16 ...+17 ° Casparmourniper: North-East 2-3 m/sequence: 83-89%Pressure: 748-750 mm. RT. Signer ... San Dig-connec"&amp;"ted states of America +16 ...+20 ° Uplap: Northern 2 m/sequences: 60-67%Pressure: 761 mm. RT. Supporting more ... Dallas United States of America +14 ...+15 ° C-shaking: North-east 2-3 m/sequence: 62-70%Pressure: 756-757 mm. RT. Signer ... San Khosetic St"&amp;"ates of America +12 ...+17 ° Revummer: Northeast 1 m/sequences: 53-74%Pressure: 762 mm. RT. Supporting more ... Austin-connected states of America +15 ...+16 ° Casparmourniper: Northern 2-3 m/sequences: 83-86%Pressure: 753-754 mm. RT. senior sences ... Ja"&amp;"cksonville-connected states of America +20 ...+22 ° Casparmourniper: Northeast 5-6 m/sequences: 87-93%Pressure: 765-766 mm. RT. Supporting more ... San Francisco-connected states of America +14 ...+16 ° Uplap: North-West 1-2 m/sequences: 79-93%Pressure: 7"&amp;"63 mm. RT. Supporting more ... Columbus-connected states of America +5 ...+8 ° Uplap: northern 2-3 m/sequences: 65-78%Pressure: 751 mm. RT. Supporting more ... Fort-Urtes-Military States of America +14 ...+16 ° Otpoil clouds: Northeast 2-3 m/sequences: 63"&amp;"-71%Pressure: 749-751 mm. RT. senior sences ... Indianapolis-connected states of America +6 ...+9 ° C-shater: East 3 m/sequences: 56-65%Pressure: 752-753 mm. RT. Supporting more ... Charlotted states of America +11 ...+12 ° Casparmourniper: North-East 2-3"&amp;" m/sequence: 75-83%Pressure: 749-750 mm. RT. senior sences ... Denver-connected states of America +7 ...+11 ° Uplainer: South 1-3 m/sequences: 27-54%Pressure: 627-628 mm. RT. Supporting more ... Elcinet-connected states of America +13 ...+15 ° Otpolny clo"&amp;"udy: Northeast 2-3 m/sequences: 60-73%Pressure: 669-670 mm. RT. Supporting more ... Detroit states of America +5 ...+8 ° Casparmourniper: Northeast 2 m/sequences: 52-87%Pressure: 756-757 mm. RT. Supporting more ... Boston-connected states of America +2 .."&amp;".+6 ° Uplap: Northern 3-4 m/sequences: 54-63%Pressure: 770-772 mm. RT. Supporting more ... Memphis-connected states of America +12 ...+15 ° C-shall: North-east 3-4 m/sequence: 48-52%Pressure: 761-762 mm. RT. sencture ... The forecast of weather Australia "&amp;"-Australia in Australia Austriyavtriyanzanzanzhangoda in the Azerbaijanarian islands in the Aland Island Khalbanias in Albaniaalzhirpogoda in the Algeria -American Virgins about ... The weather in the American Virgin Islands of the Khamerican self -Apoga "&amp;"in American Samoananga Lyapogoda in Angilyeangolapogoda in Angoleandorrapogoda in Andorreantarktidapogoda in Antarctideantigua and Barbudapogoda in Antigua and Barbudeargentinapogoda In the Argentinearium of the Ghost in Armenia Arabapogoda in Arabaafgani"&amp;"sthod in Afghanistanistanbagamypogoda in Bagamamamamamamamamamamamamamamamamamhdoshpogoda in Barbadosybarinpogoda in Bahreineblaruspogoda in Beligiabodogoda in Beligiybeninin. In Beninebermudogoda in Bermudydzbolgariyapogoda in Bulgariaboliviyapogoda in B"&amp;"oliviibonare Sint-Estaus and with ... weather in Bonair Sint-Estius and Sabobosnia and Herzegovinapogoda in Bosnia in Bosnia and Herzegovinebotswanwa-Botswood in Botswanbraziliyli-Brazilibrian territory in and ... The weather in the British territory in t"&amp;"he Indian Oceanbruneewormogoda in Bruneburkina-Fasoboda in Burundibutanda-Goda in Vanuatuvatikvatikvatois in Burundiwatcargoda in Vatikanoelikovye. years in Great Britainedengriyapogoda in Hungary-Evelapogoda in Venezuelevirginsky O-Wa-Wa car in the Virgi"&amp;"n Islands of the Small Islands ( Secondary ... Weather in the external small islands (USA) East Timorpogoda in East Timorevetnampogoda in Vietnamegabongon in Gabonegaitipogoda in Haitigayanapogoda in Gaianegiyapogoda in Gambiyiganapogoda in Ganegwadelupop"&amp;"ogoda in Guadelupogvatemalapogoda in Guatemicu -Buyanapa Yes, in Guiniangvineyapogoda in Guineegvinei-Bisaudogoda in Gunsauuermania-Hauger in Germany Germanicogoda in Gernsigibrathibraltarpogoda in Gibraltaregonturaspogod Hondurasegon Kongpogoda in Hong K"&amp;"ong -Starting Palestinapogoda in the state of Palestinogendaphod in Grenadegrenlandiyapogoda in Greenland Greek in Greecegogodn in Georgia Guampogoda in the guamedania in Daniegihi (island) the weather in Jersey (island) Nika -Gapogoda in Dominichedomican"&amp;"apogoda in the Dominicanayeigetpoge in Egyptus in Zobyazapal Sakhaka -Great in Western Sakharezimbubvo -Hot in Israeli in Israeli -Apogoda in Indiaindonese Indonesiaii-Organization of the Highlands in Jordaniairairac-Housing in Iraqueranpogoda in Iraniirl"&amp;"andiyatogoda in Irelandiislandiyapogoda in Icelandia of the Persiadogoda in Spain Imenemenpogoda in Yemenekabo-Verdechazakhstogoda in the Kazakhstankaymanovs of the Ostrosykhdovs in the Kaimanovsov Islands of the Kambodzhapogoda in Cambodzhamarunpogoda in"&amp;" Camerunokanadapogoda in Canadecatar-Human Radecotion in Kenya Kenykipropogoda in Cyprisitipogod in Kiribatikatyapogoda in Kitakndropogoda in Korean-Democratic Republicecosos islands of the Coconut Islands of Coconut Islands in Colombiycomorusogoda in Kom"&amp;"orakhokhopogoda in the Congocost-Rykaapogoda in Kostya Ricajack-D'Ivuartogoda in Kot-D'ivoarekubapogoda in Kubekuytytpogodogoda in Kubekwyrgyzastan. Weather in Kyurasaolaopogoda in Laosalatwiyathoda in Latviangopogoda in Leso -Otoliayatriyapogoda in Liber"&amp;"iilivaviworpogoda in Lewweveliyapogoda in Livililitvatogensteinpogoda in Lichtensteinelukemburghpogodogoda in Luxembourgemavrikykhrikiy Pot in the Mavrikiimavrititanitaniy in Mauritaniamadagascarparpogoda in Madagaskamireiotatapogoda in Macaocao -Macedoni"&amp;"a -Odogoda in Malavimalaviyziyu -Log Maldivvykhmaltapogoda Maldivahmalt -Army in Maltemacercopogoda in Morocco Martinica -Gapogoda in the Martinikemarshalovs of the island of the Ostrovo in the Marshall MaxiMecsikapogoda in Mexicemicemniziyambicopogoda in"&amp;" Mozambikemold -Army in Monkomongolya Mongoliholimontserratpogoda in Montserrathemyanmapogoda in Myanmarmibiyapogoda in Namibiinaurupogoda in Naurunepalpogoda in Nigerenigeriapogoda in Nigeriynicerlandypogoda in Netherlandynikaragua -Apogoda in Nieraguanu"&amp;"epogod in Niuannaya Zealandyapogoda in the New Zealandic Caledonia -Wiland in Norway -Auto -General The Arab Arab Emiratahomanpogoda in the Omanosters of the Manchearter in the island of the Norfolkpogoda manosters in the island of the Norfolkeosters of t"&amp;"he Christmas -Academy in the island of Kukaostrov Kukaostrov in Kukaostrov Pitkeranpogoda in the islands Pitkarnostrova St. Elena WHO ... Weather in the islands of St. Helena of Ascension and Tristan-da-Kunypakistanpogoda in Pakistanopalaudogoda in Palaum"&amp;"apanamapogoda in Paraguayeopuruyupogoda in Peruvopolshapogoda in Portugaliapuerto-Ricopogoda in Puerto-RIRTO-RIRTO-RIRTO-RIRITO-RIRICOPOGOPOGOPOGOPOGOPOGOPOGOPOGOP The Kongopogoda Boors in the Republic of Congorossiyapogoda in the Russian Ruanderumyniyniy"&amp;"ani -Romania in Romaniaureyenpogoda in Ranyunsalvadorpogoda in Salvadoresamoapogoda in Samoassan-Marinopogoda in San Marinosan-Tome and Principipogoda in San Tom and Principisadovskaya Arabia-Goda in Saudi Arabisivaziledpogoda in the Swazishland Westerna "&amp;"is acute ... The weather in the northern Mariana islands Island of the Bartelmisen Island in Saint-Bartelmisen-Martenpogoda in Saint-Martensen-Pierre and Michelongoda in Saint-Pierre and Michelshelpogoda in the Senegalezent-Vinesent and Grenadinini Podogo"&amp;"da in St. Winna and Grenadinament-Chitsa and Nevvasogoda in St. Kitsa and Nevilisent-Lucia-Lyusya-Surrebia in Serbiisingap. resin-Martenpogoda in synth- Martensiriyryani -Highs in Sirioslovakiyasopogoda in Slovenias in Slovenia The United States of the Am"&amp;"ericans in the United States of the AmericaSolomon island in the Solomon -Sumalizdanogoda in Somalisudanpogoda in Surinarmate of Leonathadogoda in Sierra Leoneadjikistogoda Tajikistannayavanvanpogoda in Taiwannaylande -Gota in Thailandanzaniyatogoda in Ta"&amp;"nzaniyurks and Kaikopogoda in Terx and Kaikosa Surrotion in Togo -Colavnogoda in Tokelautonogapogoda in Togunetrinidad and Tobagopogoda in Trinidad and Tobagotuvalupogoda in Tuvalutunispogoda in Tunishturcenisthoda in Turkmenistanistanion in Turkey Uganda"&amp;"pogoda in Ugandeusbekisthodhoda in Uzbekistano Ukraine in Ukraine and Futunauliva -Gota in Uruguavaeravity in Uruguayers. The Farres Islands ofhphydzhipogoda in Fijifilippinoi Pod in the Philippinefinlandyapogoda in the Finlandiypholcland Islands in the F"&amp;"olkland Islands of the Polynesus Polynesis of the Polynesis in the French Polynesis of the South and Antar .. . A fortune in the French southern and Antarctic territories of the Khorvorvatiy-Great in the Croat-central African R ... Weather in the Central "&amp;"African Republic of Republican in the Chadeschericye-Eve of the City in the Czechiychilipogoda in Chilishchiyatzariyasyasyshvetodniy in Swedeneshpitsbergen and Yan-Mainendogod Tsbergen and Yan-Mahenoshri Lankapogoda in Sri Lanka Eukvadorpogoda in Ecuadodo"&amp;"real Guineayapogoda in Estrate-Eriereyapogoda in Eriereestonia-Estonia-Etronia Ethiopius of the Ethiopius of the Republic of South Africa, George and South Sange in the Estonia Ethrhele-Estonia of the South George and the Southern Sandwich Island Koreyuzh"&amp;"ezhzhzhzhzhzhzhzhzhzhzhzhzhzhyyaya Sudanpogoda in the Estonia Yokeyaponia-Gota in Japan Project was created and supported by FDSTAR © 2009-2023 times In the world, there is an accurate and detailed weather forecast in any corner of the world for today tom"&amp;"orrow and a week © Meteotrend.com - this is a weather forecast in your city in your region and in your country. All rights are protected by 2009-2023 Policy of the confidentiality parameters of the weather forecast for the temperature: in degrees Celsius "&amp;"° C in degrees Fahrenheit ° F, display the pressure: in millimeters of the mercury (mm (MMT) in hectopascal (GPA) / millibaras, display the wind speed: in meters in the meters in A second (m/s) in kilometers per hour (km/h) in miles per hour (miles/hour) "&amp;"save the tun")</f>
        <v>Погода в мире - точный и подробный прогноз погоды в любом уголке мира на сегодня завтра и неделюПогода в мире - точный и подробный прогноз погоды в любом уголке мира на сегодня завтра и неделюВиджетыПараметрыРусскийAfrikaansAzərbaycancaBahasa IndonesiaDanskDeutschEestiEnglishEspañolFilipinoFrançaiseHrvatskiItalianoLatviešuLietuviųMagyarMelayuNederlandsNorsk bokmålOʻzbekchaPolskiPortuguêsRomânăShqipSlovenčinaSlovenščinaSuomiSvenskaTiếng ViệtTürkçeČeštinaΕλληνικάБеларускаяБългарскиКыргызчаМакедонскиМонголСрпскиТоҷикӣУкраїнськаҚазақшаՀայերենעבריתاردوالعربيةفارسیमराठीहिन्दीবাংলাગુજરાતીதமிழ்తెలుగుಕನ್ನಡമലയാളംසිංහලไทยქართული中國日本語한국어МилфордСоединённые Штаты Америки +3. ..+5 ° Casparmumber: Northeast 2 m/sequences: 66-76%Pressure: 746-747 mm. RT. Suglings in more detail ... New York-connected states of America +7 ...+10 °, the most cloud cover: northern 4-6 m/sequence: 49-59%Pressure: 771-772 mm. RT. Supporting more ... Los Angeles Combined States of America +16 ...+21 ° Uplap: North-East 1-2 m/sequence: 36-43%Pressure: 755-756 mm. RT. senior sences ... Chicago connected states of America +8 ...+9 ° C-shall: Southeast 3-4 m/sequences: 68-75%Pressure: 756 mm. RT. Supporting more ... Toronto connected states of America +4 ...+5 ° Casparmurtger: Northern 2 m/sequences: 67-73%Pressure: 758 mm. RT. senior sences ... Brooklyn, connected states of America +8 ...+10 °, the most cloud cover: northern 5-7 m/sequences: 49-57%Pressure: 770-772 mm. RT. senior sences ... Houston-connected states of America +16 ° Casparmourniplier: Northern 3 m/sequences: 90-91%Pressure: 764-766 mm. RT. Supporting more ... Philadelphia, united states of America +8 ...+11 °, the most cloud cover: northern 3-4 m/sequence: 55-61%Pressure: 770-772 mm. RT. Supporting more ... Phoenix connected states of America +21 ...+24 ° Uplap: Northern 1-2 m/sequences: 29-42%Pressure: 733-734 mm. RT. Signer ... San Antonio-connected states of America +16 ...+17 ° Casparmourniper: North-East 2-3 m/sequence: 83-89%Pressure: 748-750 mm. RT. Signer ... San Dig-connected states of America +16 ...+20 ° Uplap: Northern 2 m/sequences: 60-67%Pressure: 761 mm. RT. Supporting more ... Dallas United States of America +14 ...+15 ° C-shaking: North-east 2-3 m/sequence: 62-70%Pressure: 756-757 mm. RT. Signer ... San Khosetic States of America +12 ...+17 ° Revummer: Northeast 1 m/sequences: 53-74%Pressure: 762 mm. RT. Supporting more ... Austin-connected states of America +15 ...+16 ° Casparmourniper: Northern 2-3 m/sequences: 83-86%Pressure: 753-754 mm. RT. senior sences ... Jacksonville-connected states of America +20 ...+22 ° Casparmourniper: Northeast 5-6 m/sequences: 87-93%Pressure: 765-766 mm. RT. Supporting more ... San Francisco-connected states of America +14 ...+16 ° Uplap: North-West 1-2 m/sequences: 79-93%Pressure: 763 mm. RT. Supporting more ... Columbus-connected states of America +5 ...+8 ° Uplap: northern 2-3 m/sequences: 65-78%Pressure: 751 mm. RT. Supporting more ... Fort-Urtes-Military States of America +14 ...+16 ° Otpoil clouds: Northeast 2-3 m/sequences: 63-71%Pressure: 749-751 mm. RT. senior sences ... Indianapolis-connected states of America +6 ...+9 ° C-shater: East 3 m/sequences: 56-65%Pressure: 752-753 mm. RT. Supporting more ... Charlotted states of America +11 ...+12 ° Casparmourniper: North-East 2-3 m/sequence: 75-83%Pressure: 749-750 mm. RT. senior sences ... Denver-connected states of America +7 ...+11 ° Uplainer: South 1-3 m/sequences: 27-54%Pressure: 627-628 mm. RT. Supporting more ... Elcinet-connected states of America +13 ...+15 ° Otpolny cloudy: Northeast 2-3 m/sequences: 60-73%Pressure: 669-670 mm. RT. Supporting more ... Detroit states of America +5 ...+8 ° Casparmourniper: Northeast 2 m/sequences: 52-87%Pressure: 756-757 mm. RT. Supporting more ... Boston-connected states of America +2 ...+6 ° Uplap: Northern 3-4 m/sequences: 54-63%Pressure: 770-772 mm. RT. Supporting more ... Memphis-connected states of America +12 ...+15 ° C-shall: North-east 3-4 m/sequence: 48-52%Pressure: 761-762 mm. RT. sencture ... The forecast of weather Australia -Australia in Australia Austriyavtriyanzanzanzhangoda in the Azerbaijanarian islands in the Aland Island Khalbanias in Albaniaalzhirpogoda in the Algeria -American Virgins about ... The weather in the American Virgin Islands of the Khamerican self -Apoga in American Samoananga Lyapogoda in Angilyeangolapogoda in Angoleandorrapogoda in Andorreantarktidapogoda in Antarctideantigua and Barbudapogoda in Antigua and Barbudeargentinapogoda In the Argentinearium of the Ghost in Armenia Arabapogoda in Arabaafganisthod in Afghanistanistanbagamypogoda in Bagamamamamamamamamamamamamamamamamamhdoshpogoda in Barbadosybarinpogoda in Bahreineblaruspogoda in Beligiabodogoda in Beligiybeninin. In Beninebermudogoda in Bermudydzbolgariyapogoda in Bulgariaboliviyapogoda in Boliviibonare Sint-Estaus and with ... weather in Bonair Sint-Estius and Sabobosnia and Herzegovinapogoda in Bosnia in Bosnia and Herzegovinebotswanwa-Botswood in Botswanbraziliyli-Brazilibrian territory in and ... The weather in the British territory in the Indian Oceanbruneewormogoda in Bruneburkina-Fasoboda in Burundibutanda-Goda in Vanuatuvatikvatikvatois in Burundiwatcargoda in Vatikanoelikovye. years in Great Britainedengriyapogoda in Hungary-Evelapogoda in Venezuelevirginsky O-Wa-Wa car in the Virgin Islands of the Small Islands ( Secondary ... Weather in the external small islands (USA) East Timorpogoda in East Timorevetnampogoda in Vietnamegabongon in Gabonegaitipogoda in Haitigayanapogoda in Gaianegiyapogoda in Gambiyiganapogoda in Ganegwadelupopogoda in Guadelupogvatemalapogoda in Guatemicu -Buyanapa Yes, in Guiniangvineyapogoda in Guineegvinei-Bisaudogoda in Gunsauuermania-Hauger in Germany Germanicogoda in Gernsigibrathibraltarpogoda in Gibraltaregonturaspogod Hondurasegon Kongpogoda in Hong Kong -Starting Palestinapogoda in the state of Palestinogendaphod in Grenadegrenlandiyapogoda in Greenland Greek in Greecegogodn in Georgia Guampogoda in the guamedania in Daniegihi (island) the weather in Jersey (island) Nika -Gapogoda in Dominichedomicanapogoda in the Dominicanayeigetpoge in Egyptus in Zobyazapal Sakhaka -Great in Western Sakharezimbubvo -Hot in Israeli in Israeli -Apogoda in Indiaindonese Indonesiaii-Organization of the Highlands in Jordaniairairac-Housing in Iraqueranpogoda in Iraniirlandiyatogoda in Irelandiislandiyapogoda in Icelandia of the Persiadogoda in Spain Imenemenpogoda in Yemenekabo-Verdechazakhstogoda in the Kazakhstankaymanovs of the Ostrosykhdovs in the Kaimanovsov Islands of the Kambodzhapogoda in Cambodzhamarunpogoda in Camerunokanadapogoda in Canadecatar-Human Radecotion in Kenya Kenykipropogoda in Cyprisitipogod in Kiribatikatyapogoda in Kitakndropogoda in Korean-Democratic Republicecosos islands of the Coconut Islands of Coconut Islands in Colombiycomorusogoda in Komorakhokhopogoda in the Congocost-Rykaapogoda in Kostya Ricajack-D'Ivuartogoda in Kot-D'ivoarekubapogoda in Kubekuytytpogodogoda in Kubekwyrgyzastan. Weather in Kyurasaolaopogoda in Laosalatwiyathoda in Latviangopogoda in Leso -Otoliayatriyapogoda in Liberiilivaviworpogoda in Lewweveliyapogoda in Livililitvatogensteinpogoda in Lichtensteinelukemburghpogodogoda in Luxembourgemavrikykhrikiy Pot in the Mavrikiimavrititanitaniy in Mauritaniamadagascarparpogoda in Madagaskamireiotatapogoda in Macaocao -Macedonia -Odogoda in Malavimalaviyziyu -Log Maldivvykhmaltapogoda Maldivahmalt -Army in Maltemacercopogoda in Morocco Martinica -Gapogoda in the Martinikemarshalovs of the island of the Ostrovo in the Marshall MaxiMecsikapogoda in Mexicemicemniziyambicopogoda in Mozambikemold -Army in Monkomongolya Mongoliholimontserratpogoda in Montserrathemyanmapogoda in Myanmarmibiyapogoda in Namibiinaurupogoda in Naurunepalpogoda in Nigerenigeriapogoda in Nigeriynicerlandypogoda in Netherlandynikaragua -Apogoda in Nieraguanuepogod in Niuannaya Zealandyapogoda in the New Zealandic Caledonia -Wiland in Norway -Auto -General The Arab Arab Emiratahomanpogoda in the Omanosters of the Manchearter in the island of the Norfolkpogoda manosters in the island of the Norfolkeosters of the Christmas -Academy in the island of Kukaostrov Kukaostrov in Kukaostrov Pitkeranpogoda in the islands Pitkarnostrova St. Elena WHO ... Weather in the islands of St. Helena of Ascension and Tristan-da-Kunypakistanpogoda in Pakistanopalaudogoda in Palaumapanamapogoda in Paraguayeopuruyupogoda in Peruvopolshapogoda in Portugaliapuerto-Ricopogoda in Puerto-RIRTO-RIRTO-RIRTO-RIRITO-RIRICOPOGOPOGOPOGOPOGOPOGOPOGOPOGOP The Kongopogoda Boors in the Republic of Congorossiyapogoda in the Russian Ruanderumyniyniyani -Romania in Romaniaureyenpogoda in Ranyunsalvadorpogoda in Salvadoresamoapogoda in Samoassan-Marinopogoda in San Marinosan-Tome and Principipogoda in San Tom and Principisadovskaya Arabia-Goda in Saudi Arabisivaziledpogoda in the Swazishland Westerna is acute ... The weather in the northern Mariana islands Island of the Bartelmisen Island in Saint-Bartelmisen-Martenpogoda in Saint-Martensen-Pierre and Michelongoda in Saint-Pierre and Michelshelpogoda in the Senegalezent-Vinesent and Grenadinini Podogoda in St. Winna and Grenadinament-Chitsa and Nevvasogoda in St. Kitsa and Nevilisent-Lucia-Lyusya-Surrebia in Serbiisingap. resin-Martenpogoda in synth- Martensiriyryani -Highs in Sirioslovakiyasopogoda in Slovenias in Slovenia The United States of the Americans in the United States of the AmericaSolomon island in the Solomon -Sumalizdanogoda in Somalisudanpogoda in Surinarmate of Leonathadogoda in Sierra Leoneadjikistogoda Tajikistannayavanvanpogoda in Taiwannaylande -Gota in Thailandanzaniyatogoda in Tanzaniyurks and Kaikopogoda in Terx and Kaikosa Surrotion in Togo -Colavnogoda in Tokelautonogapogoda in Togunetrinidad and Tobagopogoda in Trinidad and Tobagotuvalupogoda in Tuvalutunispogoda in Tunishturcenisthoda in Turkmenistanistanion in Turkey Ugandapogoda in Ugandeusbekisthodhoda in Uzbekistano Ukraine in Ukraine and Futunauliva -Gota in Uruguavaeravity in Uruguayers. The Farres Islands ofhphydzhipogoda in Fijifilippinoi Pod in the Philippinefinlandyapogoda in the Finlandiypholcland Islands in the Folkland Islands of the Polynesus Polynesis of the Polynesis in the French Polynesis of the South and Antar .. . A fortune in the French southern and Antarctic territories of the Khorvorvatiy-Great in the Croat-central African R ... Weather in the Central African Republic of Republican in the Chadeschericye-Eve of the City in the Czechiychilipogoda in Chilishchiyatzariyasyasyshvetodniy in Swedeneshpitsbergen and Yan-Mainendogod Tsbergen and Yan-Mahenoshri Lankapogoda in Sri Lanka Eukvadorpogoda in Ecuadodoreal Guineayapogoda in Estrate-Eriereyapogoda in Eriereestonia-Estonia-Etronia Ethiopius of the Ethiopius of the Republic of South Africa, George and South Sange in the Estonia Ethrhele-Estonia of the South George and the Southern Sandwich Island Koreyuzhezhzhzhzhzhzhzhzhzhzhzhzhzhzhyyaya Sudanpogoda in the Estonia Yokeyaponia-Gota in Japan Project was created and supported by FDSTAR © 2009-2023 times In the world, there is an accurate and detailed weather forecast in any corner of the world for today tomorrow and a week © Meteotrend.com - this is a weather forecast in your city in your region and in your country. All rights are protected by 2009-2023 Policy of the confidentiality parameters of the weather forecast for the temperature: in degrees Celsius ° C in degrees Fahrenheit ° F, display the pressure: in millimeters of the mercury (mm (MMT) in hectopascal (GPA) / millibaras, display the wind speed: in meters in the meters in A second (m/s) in kilometers per hour (km/h) in miles per hour (miles/hour) save the tun</v>
      </c>
    </row>
    <row r="746">
      <c r="A746" s="1" t="s">
        <v>2419</v>
      </c>
      <c r="B746" s="1" t="s">
        <v>2454</v>
      </c>
      <c r="C746" s="1" t="s">
        <v>2455</v>
      </c>
      <c r="D746" s="1">
        <v>15.0</v>
      </c>
      <c r="E746" s="4" t="s">
        <v>2456</v>
      </c>
      <c r="F746" s="1" t="s">
        <v>43</v>
      </c>
      <c r="G746" s="1" t="s">
        <v>2457</v>
      </c>
      <c r="H746" s="4" t="s">
        <v>2458</v>
      </c>
      <c r="I746" s="2">
        <v>0.0</v>
      </c>
      <c r="J746" s="5" t="str">
        <f>IFERROR(__xludf.DUMMYFUNCTION("GOOGLETRANSLATE(A746)"),"Weather tomorrow")</f>
        <v>Weather tomorrow</v>
      </c>
      <c r="K746" s="6" t="str">
        <f>IFERROR(__xludf.DUMMYFUNCTION("GOOGLETRANSLATE(B746)"),"Weather in Zaporozhye for a week")</f>
        <v>Weather in Zaporozhye for a week</v>
      </c>
      <c r="L746" s="5" t="str">
        <f>IFERROR(__xludf.DUMMYFUNCTION("GOOGLETRANSLATE(C746)"),"Weather in Zaporozhye for a week is presented by the Meteo.ua ™ service. ☀ The exact weather forecast for Zaporozhye for today, tomorrow and 7 days ✅️ Dress ✓ humidity ...")</f>
        <v>Weather in Zaporozhye for a week is presented by the Meteo.ua ™ service. ☀ The exact weather forecast for Zaporozhye for today, tomorrow and 7 days ✅️ Dress ✓ humidity ...</v>
      </c>
      <c r="M746" s="5" t="str">
        <f>IFERROR(__xludf.DUMMYFUNCTION("GOOGLETRANSLATE(G746)"),"METEO.UA ™: Weather for tomorrow in Ukraine Forecast for a week. To explore the Movuurahokara -Circular Professional Professional Production in Ukraine and throughout the world of the Ukrainian Hydrometeorological Central Meterometeo.ua ™: Weather for tom"&amp;"orrow in Ukraine Forecast for a week. Information -dimensional, the weather for Ukraine ( November 12) The highest temperature: Kam'yanska: +16 ° Low temperature: BLOPHUNE: +2 ° Simferopol+15 ° Vinnitsa+6 ° Lutsk+7 ° Dnieper+12 ° Donetsk+11 ° Zhytomyr+7 °"&amp;" City+7 ° Zaporozhye+12 ° Ivano-Frankivsk+6 ° Kiev+9 ° Kropivnitsky+11 ° Lugansk+10 ° Lviv+6 ° Nikolaev+12 ° Odessa+11 ° Poltava+11 ° Sumy+9 ° Ternopol+5 ° Kharkov+11 ° Kherson+13 ° Khmelnitsky+6 ° Cherkasy+10 ° Chernihiv+7 ° Chernivtsi+9 ° show all the a"&amp;"reas of Ukraintermolniyuzhnota -mercuria in the Ukrainian Ukrainian, is located in the center of Eastern Europe and has a moderate continental climate with distinctions in different regions of the country. To Ukraine, a warm and sunny average air temperat"&amp;"ure in July ranges from +20 to +30 degrees Celsius. At night, it can be cooler especially in the mountainous areas of the Carpathians and Crimea. Frequent thunderstorms and short -term showers are characteristic of summer. Wizards in Ukraine are cool aver"&amp;"age air temperature in January from -5 to -10 degrees Celsius in most regions. In the mountains of the Carpathians and Crimea of ​​winter, colder with strong snowstorms and snow storms. Vesna and autumn in Ukraine are cool but changeable. In the spring it"&amp;" can be cool and rainy and in autumn - warm and sunny or cold and rainy. In some regions of Ukraine in the fall, you can observe bright foliage especially in the Carpathians and south of the country. In the general, the climate of Ukraine is characterized"&amp;" by seasonal changes in temperature in sunny weather in the summer in the summer in spring and autumn as well as cold winter with the presence of snow. In Ukraine, this season in Ukraine is a season when it is a season when The air temperature is quite lo"&amp;"w and can be very cold especially in the northern and eastern regions of the country. Winter begins in mid -December and continues until the end of February or early March. The average temperature in the winter in Ukraine is about -5 degrees Celsius but c"&amp;"an reach -20 degrees in some regions. In such conditions, it is important to dress heat and observe precautions to avoid frostbite. The linked in Ukraine is usually few sunny days and the sky is often covered with clouds. In some regions of the country, t"&amp;"here are often snowstorms especially in the steppe areas. In the south of Ukraine, in winter, there may be less snow and dryer. In winter time in Ukraine, you can take up winter sports such as skiing snowboarding and skates. Many cities in Ukraine are als"&amp;"o decorated with lights and jewelry for the New Year and Christmas. One of the advantages of winter in Ukraine is the opportunity to try various traditional dishes such as mushroom soup burghes of dumplings and cabbage rolls that are usually prepared this"&amp;" season. In the whole, winter in Ukraine is time When the temperature can be very cold and the sky is usually covered with clouds. However, winter also provides many opportunities for winter sports and delicious food. In Ukraine, spring in Ukraine is a se"&amp;"asonal weather season when the temperature begins to rise, but it can still be cool and rainy. Spring begins in late February - early March in the southern regions of Ukraine and in April in the northern regions of the country. In the beginning of spring "&amp;"in Ukraine, there may still be cold air temperature from -5 to +5 degrees Celsius especially at night. However, as the end of March and April approaches, the temperature begins to increase and daytime temperatures can reach +10-15 degrees Celsius. It ofte"&amp;"n rains and strong winds in Ukraine. Despite this, the days become longer and the sun begins to shine more often, which allows plants to begin to germinate and bloom. In the western parts of Ukraine in the spring, you can observe bright foliage on the tre"&amp;"es especially in the Carpathians. Wesnoye in Ukraine can also observe changes in the nature of the first colors as well as migration of birds. At the same time, spring can be quite changeable and the temperature can quickly change from cool to warm and vi"&amp;"ce versa. Therefore, in the spring it is necessary to be prepared for changeable weather and temperature change during the day. In general, spring in Ukraine is a change in changeable weather when the temperature begins to increase and nature wakes up aft"&amp;"er winter. Nevertheless, spring can be quite cool and rainy, therefore, it is necessary to be prepared for changeable weather. A way in Ukraine in Ukraine in Ukraine is the warm and sunny season of the year in July ranging from +20 to +25 degrees Celsius."&amp;" However, in some regions of the country, it can be hot especially in southern Ukraine where the temperature can reach +35 degrees Celsius. DISTURE TUMERS in the summer in Ukraine often reach +25 degrees Celsius sometimes even higher. At night, temperatur"&amp;"es can be cool especially in the mountainous areas of the Carpathians and Crimea where temperatures can drop to +10 degrees Celsius at night. There are often thunderstorms and short -term rains in Ukraine. On such days, the temperature can quickly change "&amp;"and the wind becomes strong. During the thunderstorm, strong winds and lightning often occur, therefore, it is necessary to be careful in open spaces. In the eastern and central parts of Ukraine in the summer it can be quite hot and dry and also quite dus"&amp;"ty. At the same time, in the western parts of the country, especially in the Climate Climate, the climate is more moderate and the air is more fresh and clean due to the presence of a large number of forests. In the total summer in Ukraine, this is a warm"&amp;" and sunny season of the year, however, it can be quite changeable in different regions of the country. In general, this is the best time of the year to travel and rest in the air. For the way in Ukraine, autumn in Ukraine is a transitional season between"&amp;" warm summer and cold winter. Autumn begins in late September and continues until mid -December. At this time of the year, the temperature gradually decreases and the days become shorter and cooler. In the beginning of autumn, in September, the air temper"&amp;"ature can still be quite warm and daytime temperatures can reach +20-25 degrees Celsius. However, as it approaches November, the air temperature begins to decrease and daytime temperatures can drop to +5-10 degrees Celsius. In the autumn months in Ukraine"&amp;" there are often rains especially in early autumn. In some regions of the country, strong winds and thunderstorms may occur. However, in the middle of autumn it is usually more dry and clear. Osolar is the time when the leaves on the trees begin to change"&amp;" color to bright red yellow and orange shades that creates beautiful species and bright landscapes. In Ukraine, harvesting and preparation for winter also begins. One of the characteristics of autumn in Ukraine is a decrease in the number of sunny hours p"&amp;"er day and an increase in the duration of the night. By the end of autumn, the days become very short and light on the street only a few hours a day. In general autumn in Ukraine, this is the transitional season when the temperature begins to decline and "&amp;"the days become shorter and cooler. However, autumn is also a beautiful season when the leaves on the trees begin to change color and nature is prepared for winter. In more detail © 2023 Meteo.ua. Professionally about the weather. Politics of the confiden"&amp;"tiality -user agreement of the Mosenary data is granted by the Ukrainian hydrometeorological center MMETEO.UA ™: Weather in Ukraine forecast for the weather for a week. Weather for today tomorrow and a week in Ukraine")</f>
        <v>METEO.UA ™: Weather for tomorrow in Ukraine Forecast for a week. To explore the Movuurahokara -Circular Professional Professional Production in Ukraine and throughout the world of the Ukrainian Hydrometeorological Central Meterometeo.ua ™: Weather for tomorrow in Ukraine Forecast for a week. Information -dimensional, the weather for Ukraine ( November 12) The highest temperature: Kam'yanska: +16 ° Low temperature: BLOPHUNE: +2 ° Simferopol+15 ° Vinnitsa+6 ° Lutsk+7 ° Dnieper+12 ° Donetsk+11 ° Zhytomyr+7 ° City+7 ° Zaporozhye+12 ° Ivano-Frankivsk+6 ° Kiev+9 ° Kropivnitsky+11 ° Lugansk+10 ° Lviv+6 ° Nikolaev+12 ° Odessa+11 ° Poltava+11 ° Sumy+9 ° Ternopol+5 ° Kharkov+11 ° Kherson+13 ° Khmelnitsky+6 ° Cherkasy+10 ° Chernihiv+7 ° Chernivtsi+9 ° show all the areas of Ukraintermolniyuzhnota -mercuria in the Ukrainian Ukrainian, is located in the center of Eastern Europe and has a moderate continental climate with distinctions in different regions of the country. To Ukraine, a warm and sunny average air temperature in July ranges from +20 to +30 degrees Celsius. At night, it can be cooler especially in the mountainous areas of the Carpathians and Crimea. Frequent thunderstorms and short -term showers are characteristic of summer. Wizards in Ukraine are cool average air temperature in January from -5 to -10 degrees Celsius in most regions. In the mountains of the Carpathians and Crimea of ​​winter, colder with strong snowstorms and snow storms. Vesna and autumn in Ukraine are cool but changeable. In the spring it can be cool and rainy and in autumn - warm and sunny or cold and rainy. In some regions of Ukraine in the fall, you can observe bright foliage especially in the Carpathians and south of the country. In the general, the climate of Ukraine is characterized by seasonal changes in temperature in sunny weather in the summer in the summer in spring and autumn as well as cold winter with the presence of snow. In Ukraine, this season in Ukraine is a season when it is a season when The air temperature is quite low and can be very cold especially in the northern and eastern regions of the country. Winter begins in mid -December and continues until the end of February or early March. The average temperature in the winter in Ukraine is about -5 degrees Celsius but can reach -20 degrees in some regions. In such conditions, it is important to dress heat and observe precautions to avoid frostbite. The linked in Ukraine is usually few sunny days and the sky is often covered with clouds. In some regions of the country, there are often snowstorms especially in the steppe areas. In the south of Ukraine, in winter, there may be less snow and dryer. In winter time in Ukraine, you can take up winter sports such as skiing snowboarding and skates. Many cities in Ukraine are also decorated with lights and jewelry for the New Year and Christmas. One of the advantages of winter in Ukraine is the opportunity to try various traditional dishes such as mushroom soup burghes of dumplings and cabbage rolls that are usually prepared this season. In the whole, winter in Ukraine is time When the temperature can be very cold and the sky is usually covered with clouds. However, winter also provides many opportunities for winter sports and delicious food. In Ukraine, spring in Ukraine is a seasonal weather season when the temperature begins to rise, but it can still be cool and rainy. Spring begins in late February - early March in the southern regions of Ukraine and in April in the northern regions of the country. In the beginning of spring in Ukraine, there may still be cold air temperature from -5 to +5 degrees Celsius especially at night. However, as the end of March and April approaches, the temperature begins to increase and daytime temperatures can reach +10-15 degrees Celsius. It often rains and strong winds in Ukraine. Despite this, the days become longer and the sun begins to shine more often, which allows plants to begin to germinate and bloom. In the western parts of Ukraine in the spring, you can observe bright foliage on the trees especially in the Carpathians. Wesnoye in Ukraine can also observe changes in the nature of the first colors as well as migration of birds. At the same time, spring can be quite changeable and the temperature can quickly change from cool to warm and vice versa. Therefore, in the spring it is necessary to be prepared for changeable weather and temperature change during the day. In general, spring in Ukraine is a change in changeable weather when the temperature begins to increase and nature wakes up after winter. Nevertheless, spring can be quite cool and rainy, therefore, it is necessary to be prepared for changeable weather. A way in Ukraine in Ukraine in Ukraine is the warm and sunny season of the year in July ranging from +20 to +25 degrees Celsius. However, in some regions of the country, it can be hot especially in southern Ukraine where the temperature can reach +35 degrees Celsius. DISTURE TUMERS in the summer in Ukraine often reach +25 degrees Celsius sometimes even higher. At night, temperatures can be cool especially in the mountainous areas of the Carpathians and Crimea where temperatures can drop to +10 degrees Celsius at night. There are often thunderstorms and short -term rains in Ukraine. On such days, the temperature can quickly change and the wind becomes strong. During the thunderstorm, strong winds and lightning often occur, therefore, it is necessary to be careful in open spaces. In the eastern and central parts of Ukraine in the summer it can be quite hot and dry and also quite dusty. At the same time, in the western parts of the country, especially in the Climate Climate, the climate is more moderate and the air is more fresh and clean due to the presence of a large number of forests. In the total summer in Ukraine, this is a warm and sunny season of the year, however, it can be quite changeable in different regions of the country. In general, this is the best time of the year to travel and rest in the air. For the way in Ukraine, autumn in Ukraine is a transitional season between warm summer and cold winter. Autumn begins in late September and continues until mid -December. At this time of the year, the temperature gradually decreases and the days become shorter and cooler. In the beginning of autumn, in September, the air temperature can still be quite warm and daytime temperatures can reach +20-25 degrees Celsius. However, as it approaches November, the air temperature begins to decrease and daytime temperatures can drop to +5-10 degrees Celsius. In the autumn months in Ukraine there are often rains especially in early autumn. In some regions of the country, strong winds and thunderstorms may occur. However, in the middle of autumn it is usually more dry and clear. Osolar is the time when the leaves on the trees begin to change color to bright red yellow and orange shades that creates beautiful species and bright landscapes. In Ukraine, harvesting and preparation for winter also begins. One of the characteristics of autumn in Ukraine is a decrease in the number of sunny hours per day and an increase in the duration of the night. By the end of autumn, the days become very short and light on the street only a few hours a day. In general autumn in Ukraine, this is the transitional season when the temperature begins to decline and the days become shorter and cooler. However, autumn is also a beautiful season when the leaves on the trees begin to change color and nature is prepared for winter. In more detail © 2023 Meteo.ua. Professionally about the weather. Politics of the confidentiality -user agreement of the Mosenary data is granted by the Ukrainian hydrometeorological center MMETEO.UA ™: Weather in Ukraine forecast for the weather for a week. Weather for today tomorrow and a week in Ukraine</v>
      </c>
    </row>
    <row r="747">
      <c r="A747" s="1" t="s">
        <v>2419</v>
      </c>
      <c r="B747" s="1" t="s">
        <v>2366</v>
      </c>
      <c r="C747" s="1" t="s">
        <v>2459</v>
      </c>
      <c r="D747" s="1">
        <v>16.0</v>
      </c>
      <c r="E747" s="4" t="s">
        <v>2367</v>
      </c>
      <c r="F747" s="1" t="s">
        <v>43</v>
      </c>
      <c r="G747" s="1" t="s">
        <v>2368</v>
      </c>
      <c r="H747" s="4" t="s">
        <v>2369</v>
      </c>
      <c r="I747" s="2">
        <v>0.0</v>
      </c>
      <c r="J747" s="5" t="str">
        <f>IFERROR(__xludf.DUMMYFUNCTION("GOOGLETRANSLATE(A747)"),"Weather tomorrow")</f>
        <v>Weather tomorrow</v>
      </c>
      <c r="K747" s="6" t="str">
        <f>IFERROR(__xludf.DUMMYFUNCTION("GOOGLETRANSLATE(B747)"),"Weather: Ann -Arbor, Mi, USA - Forecast")</f>
        <v>Weather: Ann -Arbor, Mi, USA - Forecast</v>
      </c>
      <c r="L747" s="5" t="str">
        <f>IFERROR(__xludf.DUMMYFUNCTION("GOOGLETRANSLATE(C747)"),"Ann-Arbor, Mi, USA-weather forecast for today and evening, weather conditions and data of the Doppler radar in the Weather Channel application and on the site ...")</f>
        <v>Ann-Arbor, Mi, USA-weather forecast for today and evening, weather conditions and data of the Doppler radar in the Weather Channel application and on the site ...</v>
      </c>
      <c r="M747" s="5" t="str">
        <f>IFERROR(__xludf.DUMMYFUNCTION("GOOGLETRANSLATE(G747)"),"National and Local Weather Radar Daily Forecast Hurricane and information from The Weather Channel and weather.comAdvertisementSkip to Main ContentAccessibility HelpThe Weather ChannelType at least three characters to start auto complete. Recently searche"&amp;"d locations will be displayed if there is no search query. The first option will be automatically selected. Use up and down arrows to change selection. Use escape to clear.Search City or Zip CodeSearchrecentsClear AllYou have no recent locationsGlobeUS°FA"&amp;"rrow down°F°CHybridImperial - F / mph / miles / inchesAmericasArrow DownAntigua and Barbuda | EnglishArgentina | EspañolBahamas | EnglishBarbados | EnglishBelize | EnglishBolivia | EspañolBrazil | PortuguêsCanada | EnglishCanada | FrançaisChile | EspañolC"&amp;"olombia | EspañolCosta Rica | EspañolDominica | EnglishDominican Republic | EspañolEcuador | EspañolEl Salvador | EspañolGrenada | EnglishGuatemala | EspañolGuyana | EnglishHaiti | FrançaisHonduras | EspañolJamaica | EnglishMexico | EspañolNicaragua | Esp"&amp;"añolPanama | EspañolPanama | EnglishParaguay | EspañolPeru | EspañolSt. Kitts and Nevis | EnglishSt. Lucia | EnglishSt. Vincent and the Grenadines | EnglishSuriname | NederlandsTrinidad and Tobago | EnglishUruguay | EspañolUnited States | EnglishUnited St"&amp;"ates | EspañolVenezuela | EspañolAfricaArrow DownAlgeria | العربيةAlgeria | FrançaisAngola | PortuguêsBenin | FrançaisBurkina Faso | FrançaisBurundi | FrançaisCameroon | FrançaisCameroon | EnglishCape Verde | PortuguêsCentral African Republic | FrançaisCh"&amp;"ad | FrançaisChad | العربيةComoros | FrançaisComoros | العربيةDemocratic Republic of the Congo | FrançaisRepublic of Congo | FrançaisCôte d'Ivoire | FrançaisDjibouti | FrançaisDjibouti | العربيةEgypt | العربيةEquatorial Guinea | EspañolEritrea | العربيةGa"&amp;"bon | FrançaisGambia | EnglishGhana | EnglishGuinea | FrançaisGuinea-Bissau | PortuguêsKenya | EnglishLesotho | EnglishLiberia | EnglishLibya | العربيةMadagascar | FrançaisMali | FrançaisMauritania | العربيةMauritius | EnglishMauritius | FrançaisMorocco |"&amp;" العربيةMorocco | FrançaisMozambique | PortuguêsNamibia | EnglishNiger | FrançaisNigeria | EnglishRwanda | FrançaisRwanda | EnglishSao Tome and Principe | PortuguêsSenegal | FrançaisSierra Leone | EnglishSomalia | العربيةSouth Africa | EnglishSouth Sudan "&amp;"| EnglishSudan | العربيةSwaziland | EnglishTanzania | EnglishTogo | FrançaisTunisia | العربيةUganda | EnglishAsia PacificArrow DownAustralia | EnglishBangladesh | বাংলাBrunei | Bahasa MelayuChina | 中文Hong Kong SAR | 中文East Timor | PortuguêsFiji | EnglishI"&amp;"ndia (English) | EnglishIndia (Hindi) | हिन्दीIndonesia | Bahasa IndonesiaJapan | 日本語Kiribati | EnglishSouth Korea | 한국어Kyrgyzstan | РусскийMalaysia | Bahasa MelayuMarshall Islands | EnglishMicronesia | EnglishNew Zealand | EnglishPalau | EnglishPhilippin"&amp;"es | EnglishPhilippines | TagalogSamoa | EnglishSingapore | EnglishSingapore | 中文Solomon Islands | EnglishTaiwan | 中文Thailand | ไทยTonga | EnglishTuvalu | EnglishVanuatu | EnglishVanuatu | FrançaisVietnam | Tiếng ViệtEuropeArrow DownAndorra | CatalàAndorr"&amp;"a | FrançaisAustria | DeutschBelarus | РусскийBelgium | DutchBelgium | FrançaisBosnia and Herzegovina | HrvatskiCroatia | HrvatskiCyprus | ΕλληνικάCzech Republic | ČeštinaDenmark | DanskEstonia | РусскийEstonia | EestiFinland | SuomiFrance | FrançaisGerma"&amp;"ny | DeutschGreece | ΕλληνικάHungary | MagyarIreland | EnglishItaly | ItalianoLiechtenstein | DeutschLuxembourg | FrançaisMalta | EnglishMonaco | FrançaisNetherlands | NederlandsNorway | NorskPoland | PolskiPortugal | PortuguêsRomania | RomânăRussia | Рус"&amp;"скийSan Marino | ItalianoSlovakia | SlovenčinaSpain | EspañolSpain | CatalàSweden | SvenskaSwitzerland | DeutschTurkey | TurkçeUkraine | УкраїнськаUnited Kingdom | EnglishState of Vatican City (Holy See) | ItalianoMiddle EastArrow DownBahrain | العربيةIra"&amp;"n |  فارسىIraq | العربيةIsrael | עִבְרִיתJordan | العربيةKuwait | العربيةLebanon | العربيةOman | العربيةPakistan |  اردوPakistan | EnglishQatar | العربيةSaudi Arabia | العربيةSyria | العربيةUnited Arab Emirates | العربيةWeather ForecastsTodayHourlyWeekend"&amp;"Monthly &amp; AlmanacYesterdayExternal LinkNews &amp; MediaTop Weather StoriesHurricane CentralScience &amp; EnvironmentSpace &amp; SkywatchingSafety &amp; PrepVideosHealth &amp; WellnessHealthAllergy TrackerAir Quality IndexCold &amp; Flu TrackerSkin HealthNEWLifestyleHome &amp; Garden"&amp;"Travel &amp; OutdoorsPets &amp; AnimalsRadar &amp; MapsInteractive Radar MapUS ForecastUS Satellite &amp; RadarWorld SatelliteUS Severe AlertsUS HealthUS TravelProductsGo PremiumSeasonal DealsAlexa SkillExternal LinkWeather UndergroundExternal LinkStorm RadarExternal Lin"&amp;"kPrivacyPrivacy SettingsData RightsPrivacy PolicyAccountCreate An AccountLog InMorning Brief NewsletterWeb NotificationsNEWArrow LeftArrow RightTodayHourly10 DayMonthlyWeekendRadarVideoVideoMore ForecastsMoreArrow downSpecialty ForecastsYesterday's Weathe"&amp;"rExternal LinkAllergy TrackerCold &amp; FluAir Quality ForecastAdvertisementAdvertisementTOP STORYLOS ANGELES FIREVideoFlames Close Major Freeway DowntownTaylor Swift Forced To Cancel Show Due To StormsVideoExpect A Blueberry Shortage... The Surprising Reason"&amp;" Why VideoWhole Lotta Rain Headed For The Golden State VideoEruption Concerns Rise In IcelandVideoUpdate: El Niño Has Officially Become StrongVideoExpert Look At Iceland's Recent Volcanic ActivityVideoWatching The Caribbean For Possible Tropical Developme"&amp;"ntVideoRecord-Breaking Snow Blankets AnchorageVideoRoad Collapse Sends Cars Careening Into BuildingSee MoreTrending TodayVideoWeather NewsEarly-Week Rain For Gulf StatesSponsored Ad by MerckSPONSORED BY MERCK: Learn About The Cough That Just Won't QuitVid"&amp;"eoForecastForecasts Grabbing The Attention Of Our MeteorologistsVideoPetsMassive Great Dane Awarded Hero Dog Of The YearMore NewsAdvertisementWeather Today Across the CountryRead MoreAdvertisementAdvertisementSafety First!Model Snow Forecast Maps On Socia"&amp;"l Media: What You Should KnowVideoWarm Your Home Safely With Space HeatersVideoHow To Prevent Frozen Pipes In Your HomeWinter Storms 101: How To Prepare For Snow IceSee MoreAdvertisementWhat You Need To KnowEl Niño's Impact On November Hurricane SeasonAdv"&amp;"ertisementWinter Storms 101VideoWeather Tips As The Season Ramps UpAdvertisementStay SafeAdvertisementAdvertisementThe Weather CompanyWeather UndergroundFeedbackCareersPress RoomAdvertise With UsTVNewsletter Sign UpTerms of UsePrivacy PolicyAdChoicesAd Ch"&amp;"oicesAccessibility StatementData VendorsGeorgiaeSSENTIAL AccessibilityWe recognize our responsibility to use data and technology for good. We may use or share your data with our data vendors. Take control of your data.Review All Privacy and Ad SettingsCho"&amp;"ose how my information is sharedData Rights© Copyright TWC Product and Technology LLC 2014 2023Hidden Weather Icon MasksHidden Weather Icon Symbols")</f>
        <v>National and Local Weather Radar Daily Forecast Hurricane and information from The Weather Channel and weather.comAdvertisementSkip to Main ContentAccessibility HelpThe Weather ChannelType at least three characters to start auto complete. Recently searched locations will be displayed if there is no search query. The first option will be automatically selected. Use up and down arrows to change selection. Use escape to clear.Search City or Zip CodeSearchrecentsClear AllYou have no recent locationsGlobeUS°FArrow down°F°CHybridImperial - F / mph / miles / inchesAmericasArrow DownAntigua and Barbuda | EnglishArgentina | EspañolBahamas | EnglishBarbados | EnglishBelize | EnglishBolivia | EspañolBrazil | PortuguêsCanada | EnglishCanada | FrançaisChile | EspañolColombia | EspañolCosta Rica | EspañolDominica | EnglishDominican Republic | EspañolEcuador | EspañolEl Salvador | EspañolGrenada | EnglishGuatemala | EspañolGuyana | EnglishHaiti | FrançaisHonduras | EspañolJamaica | EnglishMexico | EspañolNicaragua | EspañolPanama | EspañolPanama | EnglishParaguay | EspañolPeru | EspañolSt. Kitts and Nevis | EnglishSt. Lucia | EnglishSt. Vincent and the Grenadines | EnglishSuriname | NederlandsTrinidad and Tobago | EnglishUruguay | EspañolUnited States | EnglishUnited States | EspañolVenezuela | EspañolAfricaArrow DownAlgeria | العربيةAlgeria | FrançaisAngola | PortuguêsBenin | FrançaisBurkina Faso | FrançaisBurundi | FrançaisCameroon | FrançaisCameroon | EnglishCape Verde | PortuguêsCentral African Republic | FrançaisChad | FrançaisChad | العربيةComoros | FrançaisComoros | العربيةDemocratic Republic of the Congo | FrançaisRepublic of Congo | FrançaisCôte d'Ivoire | FrançaisDjibouti | FrançaisDjibouti | العربيةEgypt | العربيةEquatorial Guinea | EspañolEritrea | العربيةGabon | FrançaisGambia | EnglishGhana | EnglishGuinea | FrançaisGuinea-Bissau | PortuguêsKenya | EnglishLesotho | EnglishLiberia | EnglishLibya | العربيةMadagascar | FrançaisMali | FrançaisMauritania | العربيةMauritius | EnglishMauritius | FrançaisMorocco | العربيةMorocco | FrançaisMozambique | PortuguêsNamibia | EnglishNiger | FrançaisNigeria | EnglishRwanda | FrançaisRwanda | EnglishSao Tome and Principe | PortuguêsSenegal | FrançaisSierra Leone | EnglishSomalia | العربيةSouth Africa | EnglishSouth Sudan | EnglishSudan | العربيةSwaziland | EnglishTanzania | EnglishTogo | FrançaisTunisia | العربيةUganda | EnglishAsia PacificArrow DownAustralia | EnglishBangladesh | বাংলাBrunei | Bahasa MelayuChina | 中文Hong Kong SAR | 中文East Timor | PortuguêsFiji | EnglishIndia (English) | EnglishIndia (Hindi) | हिन्दीIndonesia | Bahasa IndonesiaJapan | 日本語Kiribati | EnglishSouth Korea | 한국어Kyrgyzstan | РусскийMalaysia | Bahasa MelayuMarshall Islands | EnglishMicronesia | EnglishNew Zealand | EnglishPalau | EnglishPhilippines | EnglishPhilippines | TagalogSamoa | EnglishSingapore | EnglishSingapore | 中文Solomon Islands | EnglishTaiwan | 中文Thailand | ไทยTonga | EnglishTuvalu | EnglishVanuatu | EnglishVanuatu | FrançaisVietnam | Tiếng ViệtEuropeArrow DownAndorra | CatalàAndorra | FrançaisAustria | DeutschBelarus | РусскийBelgium | DutchBelgium | FrançaisBosnia and Herzegovina | HrvatskiCroatia | HrvatskiCyprus | ΕλληνικάCzech Republic | ČeštinaDenmark | DanskEstonia | РусскийEstonia | EestiFinland | SuomiFrance | FrançaisGermany | DeutschGreece | ΕλληνικάHungary | MagyarIreland | EnglishItaly | ItalianoLiechtenstein | DeutschLuxembourg | FrançaisMalta | EnglishMonaco | FrançaisNetherlands | NederlandsNorway | NorskPoland | PolskiPortugal | PortuguêsRomania | RomânăRussia | РусскийSan Marino | ItalianoSlovakia | SlovenčinaSpain | EspañolSpain | CatalàSweden | SvenskaSwitzerland | DeutschTurkey | TurkçeUkraine | УкраїнськаUnited Kingdom | EnglishState of Vatican City (Holy See) | ItalianoMiddle EastArrow DownBahrain | العربيةIran |  فارسىIraq | العربيةIsrael | עִבְרִיתJordan | العربيةKuwait | العربيةLebanon | العربيةOman | العربيةPakistan |  اردوPakistan | EnglishQatar | العربيةSaudi Arabia | العربيةSyria | العربيةUnited Arab Emirates | العربيةWeather ForecastsTodayHourlyWeekendMonthly &amp; AlmanacYesterdayExternal LinkNews &amp; MediaTop Weather StoriesHurricane CentralScience &amp; EnvironmentSpace &amp; SkywatchingSafety &amp; PrepVideosHealth &amp; WellnessHealthAllergy TrackerAir Quality IndexCold &amp; Flu TrackerSkin HealthNEWLifestyleHome &amp; GardenTravel &amp; OutdoorsPets &amp; AnimalsRadar &amp; MapsInteractive Radar MapUS ForecastUS Satellite &amp; RadarWorld SatelliteUS Severe AlertsUS HealthUS TravelProductsGo PremiumSeasonal DealsAlexa SkillExternal LinkWeather UndergroundExternal LinkStorm RadarExternal LinkPrivacyPrivacy SettingsData RightsPrivacy PolicyAccountCreate An AccountLog InMorning Brief NewsletterWeb NotificationsNEWArrow LeftArrow RightTodayHourly10 DayMonthlyWeekendRadarVideoVideoMore ForecastsMoreArrow downSpecialty ForecastsYesterday's WeatherExternal LinkAllergy TrackerCold &amp; FluAir Quality ForecastAdvertisementAdvertisementTOP STORYLOS ANGELES FIREVideoFlames Close Major Freeway DowntownTaylor Swift Forced To Cancel Show Due To StormsVideoExpect A Blueberry Shortage... The Surprising Reason Why VideoWhole Lotta Rain Headed For The Golden State VideoEruption Concerns Rise In IcelandVideoUpdate: El Niño Has Officially Become StrongVideoExpert Look At Iceland's Recent Volcanic ActivityVideoWatching The Caribbean For Possible Tropical DevelopmentVideoRecord-Breaking Snow Blankets AnchorageVideoRoad Collapse Sends Cars Careening Into BuildingSee MoreTrending TodayVideoWeather NewsEarly-Week Rain For Gulf StatesSponsored Ad by MerckSPONSORED BY MERCK: Learn About The Cough That Just Won't QuitVideoForecastForecasts Grabbing The Attention Of Our MeteorologistsVideoPetsMassive Great Dane Awarded Hero Dog Of The YearMore NewsAdvertisementWeather Today Across the CountryRead MoreAdvertisementAdvertisementSafety First!Model Snow Forecast Maps On Social Media: What You Should KnowVideoWarm Your Home Safely With Space HeatersVideoHow To Prevent Frozen Pipes In Your HomeWinter Storms 101: How To Prepare For Snow IceSee MoreAdvertisementWhat You Need To KnowEl Niño's Impact On November Hurricane SeasonAdvertisementWinter Storms 101VideoWeather Tips As The Season Ramps UpAdvertisementStay SafeAdvertisementAdvertisementThe Weather CompanyWeather UndergroundFeedbackCareersPress RoomAdvertise With UsTVNewsletter Sign UpTerms of UsePrivacy PolicyAdChoicesAd ChoicesAccessibility StatementData VendorsGeorgiaeSSENTIAL AccessibilityWe recognize our responsibility to use data and technology for good. We may use or share your data with our data vendors. Take control of your data.Review All Privacy and Ad SettingsChoose how my information is sharedData Rights© Copyright TWC Product and Technology LLC 2014 2023Hidden Weather Icon MasksHidden Weather Icon Symbols</v>
      </c>
    </row>
    <row r="748">
      <c r="A748" s="1" t="s">
        <v>2419</v>
      </c>
      <c r="B748" s="1" t="s">
        <v>2370</v>
      </c>
      <c r="C748" s="1" t="s">
        <v>2460</v>
      </c>
      <c r="D748" s="1">
        <v>17.0</v>
      </c>
      <c r="E748" s="4" t="s">
        <v>2371</v>
      </c>
      <c r="F748" s="1" t="s">
        <v>43</v>
      </c>
      <c r="G748" s="1" t="s">
        <v>2368</v>
      </c>
      <c r="H748" s="4" t="s">
        <v>2369</v>
      </c>
      <c r="I748" s="2">
        <v>0.0</v>
      </c>
      <c r="J748" s="5" t="str">
        <f>IFERROR(__xludf.DUMMYFUNCTION("GOOGLETRANSLATE(A748)"),"Weather tomorrow")</f>
        <v>Weather tomorrow</v>
      </c>
      <c r="K748" s="6" t="str">
        <f>IFERROR(__xludf.DUMMYFUNCTION("GOOGLETRANSLATE(B748)"),"Ann-Arbor, Mi, USA-Weather forecast for 10 days")</f>
        <v>Ann-Arbor, Mi, USA-Weather forecast for 10 days</v>
      </c>
      <c r="L748" s="5" t="str">
        <f>IFERROR(__xludf.DUMMYFUNCTION("GOOGLETRANSLATE(C748)"),"Do not let the weather take you by surprise thanks to the exact forecast for 10 days (Ann-Arbor, Mi, USA) indicating the likelihood of precipitation and temperature according to ...")</f>
        <v>Do not let the weather take you by surprise thanks to the exact forecast for 10 days (Ann-Arbor, Mi, USA) indicating the likelihood of precipitation and temperature according to ...</v>
      </c>
      <c r="M748" s="5" t="str">
        <f>IFERROR(__xludf.DUMMYFUNCTION("GOOGLETRANSLATE(G748)"),"National and Local Weather Radar Daily Forecast Hurricane and information from The Weather Channel and weather.comAdvertisementSkip to Main ContentAccessibility HelpThe Weather ChannelType at least three characters to start auto complete. Recently searche"&amp;"d locations will be displayed if there is no search query. The first option will be automatically selected. Use up and down arrows to change selection. Use escape to clear.Search City or Zip CodeSearchrecentsClear AllYou have no recent locationsGlobeUS°FA"&amp;"rrow down°F°CHybridImperial - F / mph / miles / inchesAmericasArrow DownAntigua and Barbuda | EnglishArgentina | EspañolBahamas | EnglishBarbados | EnglishBelize | EnglishBolivia | EspañolBrazil | PortuguêsCanada | EnglishCanada | FrançaisChile | EspañolC"&amp;"olombia | EspañolCosta Rica | EspañolDominica | EnglishDominican Republic | EspañolEcuador | EspañolEl Salvador | EspañolGrenada | EnglishGuatemala | EspañolGuyana | EnglishHaiti | FrançaisHonduras | EspañolJamaica | EnglishMexico | EspañolNicaragua | Esp"&amp;"añolPanama | EspañolPanama | EnglishParaguay | EspañolPeru | EspañolSt. Kitts and Nevis | EnglishSt. Lucia | EnglishSt. Vincent and the Grenadines | EnglishSuriname | NederlandsTrinidad and Tobago | EnglishUruguay | EspañolUnited States | EnglishUnited St"&amp;"ates | EspañolVenezuela | EspañolAfricaArrow DownAlgeria | العربيةAlgeria | FrançaisAngola | PortuguêsBenin | FrançaisBurkina Faso | FrançaisBurundi | FrançaisCameroon | FrançaisCameroon | EnglishCape Verde | PortuguêsCentral African Republic | FrançaisCh"&amp;"ad | FrançaisChad | العربيةComoros | FrançaisComoros | العربيةDemocratic Republic of the Congo | FrançaisRepublic of Congo | FrançaisCôte d'Ivoire | FrançaisDjibouti | FrançaisDjibouti | العربيةEgypt | العربيةEquatorial Guinea | EspañolEritrea | العربيةGa"&amp;"bon | FrançaisGambia | EnglishGhana | EnglishGuinea | FrançaisGuinea-Bissau | PortuguêsKenya | EnglishLesotho | EnglishLiberia | EnglishLibya | العربيةMadagascar | FrançaisMali | FrançaisMauritania | العربيةMauritius | EnglishMauritius | FrançaisMorocco |"&amp;" العربيةMorocco | FrançaisMozambique | PortuguêsNamibia | EnglishNiger | FrançaisNigeria | EnglishRwanda | FrançaisRwanda | EnglishSao Tome and Principe | PortuguêsSenegal | FrançaisSierra Leone | EnglishSomalia | العربيةSouth Africa | EnglishSouth Sudan "&amp;"| EnglishSudan | العربيةSwaziland | EnglishTanzania | EnglishTogo | FrançaisTunisia | العربيةUganda | EnglishAsia PacificArrow DownAustralia | EnglishBangladesh | বাংলাBrunei | Bahasa MelayuChina | 中文Hong Kong SAR | 中文East Timor | PortuguêsFiji | EnglishI"&amp;"ndia (English) | EnglishIndia (Hindi) | हिन्दीIndonesia | Bahasa IndonesiaJapan | 日本語Kiribati | EnglishSouth Korea | 한국어Kyrgyzstan | РусскийMalaysia | Bahasa MelayuMarshall Islands | EnglishMicronesia | EnglishNew Zealand | EnglishPalau | EnglishPhilippin"&amp;"es | EnglishPhilippines | TagalogSamoa | EnglishSingapore | EnglishSingapore | 中文Solomon Islands | EnglishTaiwan | 中文Thailand | ไทยTonga | EnglishTuvalu | EnglishVanuatu | EnglishVanuatu | FrançaisVietnam | Tiếng ViệtEuropeArrow DownAndorra | CatalàAndorr"&amp;"a | FrançaisAustria | DeutschBelarus | РусскийBelgium | DutchBelgium | FrançaisBosnia and Herzegovina | HrvatskiCroatia | HrvatskiCyprus | ΕλληνικάCzech Republic | ČeštinaDenmark | DanskEstonia | РусскийEstonia | EestiFinland | SuomiFrance | FrançaisGerma"&amp;"ny | DeutschGreece | ΕλληνικάHungary | MagyarIreland | EnglishItaly | ItalianoLiechtenstein | DeutschLuxembourg | FrançaisMalta | EnglishMonaco | FrançaisNetherlands | NederlandsNorway | NorskPoland | PolskiPortugal | PortuguêsRomania | RomânăRussia | Рус"&amp;"скийSan Marino | ItalianoSlovakia | SlovenčinaSpain | EspañolSpain | CatalàSweden | SvenskaSwitzerland | DeutschTurkey | TurkçeUkraine | УкраїнськаUnited Kingdom | EnglishState of Vatican City (Holy See) | ItalianoMiddle EastArrow DownBahrain | العربيةIra"&amp;"n |  فارسىIraq | العربيةIsrael | עִבְרִיתJordan | العربيةKuwait | العربيةLebanon | العربيةOman | العربيةPakistan |  اردوPakistan | EnglishQatar | العربيةSaudi Arabia | العربيةSyria | العربيةUnited Arab Emirates | العربيةWeather ForecastsTodayHourlyWeekend"&amp;"Monthly &amp; AlmanacYesterdayExternal LinkNews &amp; MediaTop Weather StoriesHurricane CentralScience &amp; EnvironmentSpace &amp; SkywatchingSafety &amp; PrepVideosHealth &amp; WellnessHealthAllergy TrackerAir Quality IndexCold &amp; Flu TrackerSkin HealthNEWLifestyleHome &amp; Garden"&amp;"Travel &amp; OutdoorsPets &amp; AnimalsRadar &amp; MapsInteractive Radar MapUS ForecastUS Satellite &amp; RadarWorld SatelliteUS Severe AlertsUS HealthUS TravelProductsGo PremiumSeasonal DealsAlexa SkillExternal LinkWeather UndergroundExternal LinkStorm RadarExternal Lin"&amp;"kPrivacyPrivacy SettingsData RightsPrivacy PolicyAccountCreate An AccountLog InMorning Brief NewsletterWeb NotificationsNEWArrow LeftArrow RightTodayHourly10 DayMonthlyWeekendRadarVideoVideoMore ForecastsMoreArrow downSpecialty ForecastsYesterday's Weathe"&amp;"rExternal LinkAllergy TrackerCold &amp; FluAir Quality ForecastAdvertisementAdvertisementTOP STORYLOS ANGELES FIREVideoFlames Close Major Freeway DowntownTaylor Swift Forced To Cancel Show Due To StormsVideoExpect A Blueberry Shortage... The Surprising Reason"&amp;" Why VideoWhole Lotta Rain Headed For The Golden State VideoEruption Concerns Rise In IcelandVideoUpdate: El Niño Has Officially Become StrongVideoExpert Look At Iceland's Recent Volcanic ActivityVideoWatching The Caribbean For Possible Tropical Developme"&amp;"ntVideoRecord-Breaking Snow Blankets AnchorageVideoRoad Collapse Sends Cars Careening Into BuildingSee MoreTrending TodayVideoWeather NewsEarly-Week Rain For Gulf StatesSponsored Ad by MerckSPONSORED BY MERCK: Learn About The Cough That Just Won't QuitVid"&amp;"eoForecastForecasts Grabbing The Attention Of Our MeteorologistsVideoPetsMassive Great Dane Awarded Hero Dog Of The YearMore NewsAdvertisementWeather Today Across the CountryRead MoreAdvertisementAdvertisementSafety First!Model Snow Forecast Maps On Socia"&amp;"l Media: What You Should KnowVideoWarm Your Home Safely With Space HeatersVideoHow To Prevent Frozen Pipes In Your HomeWinter Storms 101: How To Prepare For Snow IceSee MoreAdvertisementWhat You Need To KnowEl Niño's Impact On November Hurricane SeasonAdv"&amp;"ertisementWinter Storms 101VideoWeather Tips As The Season Ramps UpAdvertisementStay SafeAdvertisementAdvertisementThe Weather CompanyWeather UndergroundFeedbackCareersPress RoomAdvertise With UsTVNewsletter Sign UpTerms of UsePrivacy PolicyAdChoicesAd Ch"&amp;"oicesAccessibility StatementData VendorsGeorgiaeSSENTIAL AccessibilityWe recognize our responsibility to use data and technology for good. We may use or share your data with our data vendors. Take control of your data.Review All Privacy and Ad SettingsCho"&amp;"ose how my information is sharedData Rights© Copyright TWC Product and Technology LLC 2014 2023Hidden Weather Icon MasksHidden Weather Icon Symbols")</f>
        <v>National and Local Weather Radar Daily Forecast Hurricane and information from The Weather Channel and weather.comAdvertisementSkip to Main ContentAccessibility HelpThe Weather ChannelType at least three characters to start auto complete. Recently searched locations will be displayed if there is no search query. The first option will be automatically selected. Use up and down arrows to change selection. Use escape to clear.Search City or Zip CodeSearchrecentsClear AllYou have no recent locationsGlobeUS°FArrow down°F°CHybridImperial - F / mph / miles / inchesAmericasArrow DownAntigua and Barbuda | EnglishArgentina | EspañolBahamas | EnglishBarbados | EnglishBelize | EnglishBolivia | EspañolBrazil | PortuguêsCanada | EnglishCanada | FrançaisChile | EspañolColombia | EspañolCosta Rica | EspañolDominica | EnglishDominican Republic | EspañolEcuador | EspañolEl Salvador | EspañolGrenada | EnglishGuatemala | EspañolGuyana | EnglishHaiti | FrançaisHonduras | EspañolJamaica | EnglishMexico | EspañolNicaragua | EspañolPanama | EspañolPanama | EnglishParaguay | EspañolPeru | EspañolSt. Kitts and Nevis | EnglishSt. Lucia | EnglishSt. Vincent and the Grenadines | EnglishSuriname | NederlandsTrinidad and Tobago | EnglishUruguay | EspañolUnited States | EnglishUnited States | EspañolVenezuela | EspañolAfricaArrow DownAlgeria | العربيةAlgeria | FrançaisAngola | PortuguêsBenin | FrançaisBurkina Faso | FrançaisBurundi | FrançaisCameroon | FrançaisCameroon | EnglishCape Verde | PortuguêsCentral African Republic | FrançaisChad | FrançaisChad | العربيةComoros | FrançaisComoros | العربيةDemocratic Republic of the Congo | FrançaisRepublic of Congo | FrançaisCôte d'Ivoire | FrançaisDjibouti | FrançaisDjibouti | العربيةEgypt | العربيةEquatorial Guinea | EspañolEritrea | العربيةGabon | FrançaisGambia | EnglishGhana | EnglishGuinea | FrançaisGuinea-Bissau | PortuguêsKenya | EnglishLesotho | EnglishLiberia | EnglishLibya | العربيةMadagascar | FrançaisMali | FrançaisMauritania | العربيةMauritius | EnglishMauritius | FrançaisMorocco | العربيةMorocco | FrançaisMozambique | PortuguêsNamibia | EnglishNiger | FrançaisNigeria | EnglishRwanda | FrançaisRwanda | EnglishSao Tome and Principe | PortuguêsSenegal | FrançaisSierra Leone | EnglishSomalia | العربيةSouth Africa | EnglishSouth Sudan | EnglishSudan | العربيةSwaziland | EnglishTanzania | EnglishTogo | FrançaisTunisia | العربيةUganda | EnglishAsia PacificArrow DownAustralia | EnglishBangladesh | বাংলাBrunei | Bahasa MelayuChina | 中文Hong Kong SAR | 中文East Timor | PortuguêsFiji | EnglishIndia (English) | EnglishIndia (Hindi) | हिन्दीIndonesia | Bahasa IndonesiaJapan | 日本語Kiribati | EnglishSouth Korea | 한국어Kyrgyzstan | РусскийMalaysia | Bahasa MelayuMarshall Islands | EnglishMicronesia | EnglishNew Zealand | EnglishPalau | EnglishPhilippines | EnglishPhilippines | TagalogSamoa | EnglishSingapore | EnglishSingapore | 中文Solomon Islands | EnglishTaiwan | 中文Thailand | ไทยTonga | EnglishTuvalu | EnglishVanuatu | EnglishVanuatu | FrançaisVietnam | Tiếng ViệtEuropeArrow DownAndorra | CatalàAndorra | FrançaisAustria | DeutschBelarus | РусскийBelgium | DutchBelgium | FrançaisBosnia and Herzegovina | HrvatskiCroatia | HrvatskiCyprus | ΕλληνικάCzech Republic | ČeštinaDenmark | DanskEstonia | РусскийEstonia | EestiFinland | SuomiFrance | FrançaisGermany | DeutschGreece | ΕλληνικάHungary | MagyarIreland | EnglishItaly | ItalianoLiechtenstein | DeutschLuxembourg | FrançaisMalta | EnglishMonaco | FrançaisNetherlands | NederlandsNorway | NorskPoland | PolskiPortugal | PortuguêsRomania | RomânăRussia | РусскийSan Marino | ItalianoSlovakia | SlovenčinaSpain | EspañolSpain | CatalàSweden | SvenskaSwitzerland | DeutschTurkey | TurkçeUkraine | УкраїнськаUnited Kingdom | EnglishState of Vatican City (Holy See) | ItalianoMiddle EastArrow DownBahrain | العربيةIran |  فارسىIraq | العربيةIsrael | עִבְרִיתJordan | العربيةKuwait | العربيةLebanon | العربيةOman | العربيةPakistan |  اردوPakistan | EnglishQatar | العربيةSaudi Arabia | العربيةSyria | العربيةUnited Arab Emirates | العربيةWeather ForecastsTodayHourlyWeekendMonthly &amp; AlmanacYesterdayExternal LinkNews &amp; MediaTop Weather StoriesHurricane CentralScience &amp; EnvironmentSpace &amp; SkywatchingSafety &amp; PrepVideosHealth &amp; WellnessHealthAllergy TrackerAir Quality IndexCold &amp; Flu TrackerSkin HealthNEWLifestyleHome &amp; GardenTravel &amp; OutdoorsPets &amp; AnimalsRadar &amp; MapsInteractive Radar MapUS ForecastUS Satellite &amp; RadarWorld SatelliteUS Severe AlertsUS HealthUS TravelProductsGo PremiumSeasonal DealsAlexa SkillExternal LinkWeather UndergroundExternal LinkStorm RadarExternal LinkPrivacyPrivacy SettingsData RightsPrivacy PolicyAccountCreate An AccountLog InMorning Brief NewsletterWeb NotificationsNEWArrow LeftArrow RightTodayHourly10 DayMonthlyWeekendRadarVideoVideoMore ForecastsMoreArrow downSpecialty ForecastsYesterday's WeatherExternal LinkAllergy TrackerCold &amp; FluAir Quality ForecastAdvertisementAdvertisementTOP STORYLOS ANGELES FIREVideoFlames Close Major Freeway DowntownTaylor Swift Forced To Cancel Show Due To StormsVideoExpect A Blueberry Shortage... The Surprising Reason Why VideoWhole Lotta Rain Headed For The Golden State VideoEruption Concerns Rise In IcelandVideoUpdate: El Niño Has Officially Become StrongVideoExpert Look At Iceland's Recent Volcanic ActivityVideoWatching The Caribbean For Possible Tropical DevelopmentVideoRecord-Breaking Snow Blankets AnchorageVideoRoad Collapse Sends Cars Careening Into BuildingSee MoreTrending TodayVideoWeather NewsEarly-Week Rain For Gulf StatesSponsored Ad by MerckSPONSORED BY MERCK: Learn About The Cough That Just Won't QuitVideoForecastForecasts Grabbing The Attention Of Our MeteorologistsVideoPetsMassive Great Dane Awarded Hero Dog Of The YearMore NewsAdvertisementWeather Today Across the CountryRead MoreAdvertisementAdvertisementSafety First!Model Snow Forecast Maps On Social Media: What You Should KnowVideoWarm Your Home Safely With Space HeatersVideoHow To Prevent Frozen Pipes In Your HomeWinter Storms 101: How To Prepare For Snow IceSee MoreAdvertisementWhat You Need To KnowEl Niño's Impact On November Hurricane SeasonAdvertisementWinter Storms 101VideoWeather Tips As The Season Ramps UpAdvertisementStay SafeAdvertisementAdvertisementThe Weather CompanyWeather UndergroundFeedbackCareersPress RoomAdvertise With UsTVNewsletter Sign UpTerms of UsePrivacy PolicyAdChoicesAd ChoicesAccessibility StatementData VendorsGeorgiaeSSENTIAL AccessibilityWe recognize our responsibility to use data and technology for good. We may use or share your data with our data vendors. Take control of your data.Review All Privacy and Ad SettingsChoose how my information is sharedData Rights© Copyright TWC Product and Technology LLC 2014 2023Hidden Weather Icon MasksHidden Weather Icon Symbols</v>
      </c>
    </row>
    <row r="749">
      <c r="A749" s="1" t="s">
        <v>2419</v>
      </c>
      <c r="B749" s="1" t="s">
        <v>2461</v>
      </c>
      <c r="D749" s="1">
        <v>18.0</v>
      </c>
      <c r="E749" s="4" t="s">
        <v>2462</v>
      </c>
      <c r="F749" s="1" t="s">
        <v>43</v>
      </c>
      <c r="G749" s="1" t="s">
        <v>302</v>
      </c>
      <c r="H749" s="4" t="s">
        <v>303</v>
      </c>
      <c r="I749" s="2">
        <v>0.0</v>
      </c>
      <c r="J749" s="5" t="str">
        <f>IFERROR(__xludf.DUMMYFUNCTION("GOOGLETRANSLATE(A749)"),"Weather tomorrow")</f>
        <v>Weather tomorrow</v>
      </c>
      <c r="K749" s="6" t="str">
        <f>IFERROR(__xludf.DUMMYFUNCTION("GOOGLETRANSLATE(B749)"),"Modernization of scientific research - the result from Google Books")</f>
        <v>Modernization of scientific research - the result from Google Books</v>
      </c>
      <c r="L749" s="5" t="str">
        <f>IFERROR(__xludf.DUMMYFUNCTION("GOOGLETRANSLATE(C749)"),"#VALUE!")</f>
        <v>#VALUE!</v>
      </c>
      <c r="M749" s="5" t="str">
        <f>IFERROR(__xludf.DUMMYFUNCTION("GOOGLETRANSLATE(G749)"),"Google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750">
      <c r="A750" s="1" t="s">
        <v>2419</v>
      </c>
      <c r="B750" s="1" t="s">
        <v>2463</v>
      </c>
      <c r="D750" s="1">
        <v>19.0</v>
      </c>
      <c r="E750" s="4" t="s">
        <v>2464</v>
      </c>
      <c r="F750" s="1" t="s">
        <v>43</v>
      </c>
      <c r="G750" s="1" t="s">
        <v>302</v>
      </c>
      <c r="H750" s="4" t="s">
        <v>303</v>
      </c>
      <c r="I750" s="2">
        <v>0.0</v>
      </c>
      <c r="J750" s="5" t="str">
        <f>IFERROR(__xludf.DUMMYFUNCTION("GOOGLETRANSLATE(A750)"),"Weather tomorrow")</f>
        <v>Weather tomorrow</v>
      </c>
      <c r="K750" s="6" t="str">
        <f>IFERROR(__xludf.DUMMYFUNCTION("GOOGLETRANSLATE(B750)"),"Bulgarian language. Course for beginners (+mp3)")</f>
        <v>Bulgarian language. Course for beginners (+mp3)</v>
      </c>
      <c r="L750" s="5" t="str">
        <f>IFERROR(__xludf.DUMMYFUNCTION("GOOGLETRANSLATE(C750)"),"#VALUE!")</f>
        <v>#VALUE!</v>
      </c>
      <c r="M750" s="5" t="str">
        <f>IFERROR(__xludf.DUMMYFUNCTION("GOOGLETRANSLATE(G750)"),"Google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751">
      <c r="A751" s="1" t="s">
        <v>2419</v>
      </c>
      <c r="B751" s="1" t="s">
        <v>2465</v>
      </c>
      <c r="C751" s="1" t="s">
        <v>2466</v>
      </c>
      <c r="D751" s="1">
        <v>26.0</v>
      </c>
      <c r="E751" s="4" t="s">
        <v>2467</v>
      </c>
      <c r="F751" s="1" t="s">
        <v>43</v>
      </c>
      <c r="G751" s="1" t="s">
        <v>2268</v>
      </c>
      <c r="H751" s="4" t="s">
        <v>2269</v>
      </c>
      <c r="I751" s="2">
        <v>0.0</v>
      </c>
      <c r="J751" s="5" t="str">
        <f>IFERROR(__xludf.DUMMYFUNCTION("GOOGLETRANSLATE(A751)"),"Weather tomorrow")</f>
        <v>Weather tomorrow</v>
      </c>
      <c r="K751" s="6" t="str">
        <f>IFERROR(__xludf.DUMMYFUNCTION("GOOGLETRANSLATE(B751)"),"Weather in Moscow for tomorrow")</f>
        <v>Weather in Moscow for tomorrow</v>
      </c>
      <c r="L751" s="5" t="str">
        <f>IFERROR(__xludf.DUMMYFUNCTION("GOOGLETRANSLATE(C751)"),"Weather in Moscow for tomorrow, the exact weather forecast for tomorrow for the village of Moscow, Moscow (city of federal significance), Russia.")</f>
        <v>Weather in Moscow for tomorrow, the exact weather forecast for tomorrow for the village of Moscow, Moscow (city of federal significance), Russia.</v>
      </c>
      <c r="M751" s="5" t="str">
        <f>IFERROR(__xludf.DUMMYFUNCTION("GOOGLETRANSLATE(G751)"),"GISMETEO: Weather in Russia Forecast for today Tomorrow 3 days weekend 10 days a month. Take a mobile version of the Maps of the Non-Arbor Informers to change the Punctosb November 11: 45+3 37 Passenly without sedimentary sensation+1 34-vegetable2 m/s in "&amp;"7 km km in 7 km /h pressing 749 mm RT. Art. 998 GPAVLYY 69%g/m Activity 6 Bullboard+6 432300000100200300+337+236+236+134+134 Flows of the wind m/s4 144 144 144 143 -ARBOR2 M/C7 km/h+3 37willu RAS2 m/c7 km/h+3 37 Detroit metro Wayne County2 m/c7 km/h+4 39 "&amp;"Detroit2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РоссииБарнаулБелгородВолгоградВоронежЕкатеринбургКазаньКалининградКраснодарКраснояр"&amp;"скМоскваНижний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транспор"&amp;"теУ The willow extract has been identified unexpected effectinoplanes can already be aware of the earthling scientists found the animal, which counted for a long time, whether predatory plants can eat a person? In the south of European Russia, an atmosphe"&amp;"ric liability is preserved for which it is not too late to vaccinate from the influenza in Moscow: meteorological winters are deposited by the coasts of Columbia. With chests with jewelry for $ 40 billion, the weather on the crankcase of the aircraft is a"&amp;"n uniform uniformmash: Pugacheva plans to return to scenepolitico: Biden will talk hard with the Russian Federation and Irandi Kadyrov, the next State Budgetary School praised the head of the USADA for the words of the Valiyumolukashenko case For friendsh"&amp;"ip with Poland: the victories of Ukraine over In the near future, the Russian Federation will not be a Palestine Palestine’s presidential election, Miravosti Miravosti Miratin, the artist Hans Golbein, revealed scientists “Krasnodar” ended the first circl"&amp;"e of RPL in a draw with the “Zenit” playing for protests in support of Palestine, about half a million people in the Londonerekord in Dominos established from mattresses. At the Filippaminchm in Sambo in Armenia: how are the fights of the strongest wrestl"&amp;"ers of the planet? The man set the record with his mouth, caught by the golf, Zephirtennisist Alexander Shevchenko lost in the final of the atponity tournament of the Day -Baputin Day, called Kazakhstan to the closest ally of the Russian Deputy, she sugge"&amp;"sted that the fifth child of the children current The young figure skaters of Uglich found the ancient Egyptian bead Britain supported the participation of the Russian Federation in games in the neutral status -Ukrainian Minister of Sports temporarily bec"&amp;"ame a poor explanation.rf explain. Corphytes will create new marine resorts in Russia? Who is put by subsidies when connecting a house to gas? What do scientists in the Sea of ​​Azov explores? Debts without going to court? How will they notify the emergen"&amp;"cy with a new way? How to arrange a disabled person care? Social advertising partnerships of a partnership of Solomin told about the improvement of the state of the actorimominomelkhoz: the prices of the egg and poultry are stabilized ""Krasnodar"" is sti"&amp;"ll a leader in the RPLMILLER. that European countries still receive Russian Gasmacron: for Ukraine, the time has not yet come to sit down at the negotiations of the negotiations, he admitted that he does not expect the victory of Ukraine in the near futur"&amp;"e of Russia and Mirrev in Russia and in Mirechazan, he introduced an electronic queue for cars on the border with Russia of Russia approved a decrease The administrative burden on the entrepreneurs of the State Duma supported the draft law on the right of"&amp;" power structures to edit the databases of the State Duma proposed to introduce a blocking system for cyberbulling in the social networks Erdogan announced the need to create a Gazykabmin recovery Fund for supporting preferential mortgage programs for the"&amp;" placement of advertising. Put the response in Russia and the world is provided Exclusively for personal non -profit use. Weather process in the cities of Russia and the world is prepared by the NPC ""MAP MAKER"". © GISMETEO")</f>
        <v>GISMETEO: Weather in Russia Forecast for today Tomorrow 3 days weekend 10 days a month. Take a mobile version of the Maps of the Non-Arbor Informers to change the Punctosb November 11: 45+3 37 Passenly without sedimentary sensation+1 34-vegetable2 m/s in 7 km km in 7 km /h pressing 749 mm RT. Art. 998 GPAVLYY 69%g/m Activity 6 Bullboard+6 432300000100200300+337+236+236+134+134 Flows of the wind m/s4 144 144 144 143 -ARBOR2 M/C7 km/h+3 37willu RAS2 m/c7 km/h+3 37 Detroit metro Wayne County2 m/c7 km/h+4 39 Detroit2 m/c7 km/h+4 39 orelands County0 m/c0 km/h+ 3 37Ленави Каунти2 м/c7 км/ч+2 36Джексон Каунти - Рейнольдс Филд0 м/c0 км/ч+2 36Просмотренные ОчиститьПопулярные пункты РоссииБарнаулБелгородВолгоградВоронежЕкатеринбургКазаньКалининградКраснодарКрасноярскМоскваНижний НовгородНовосибирскОмскПензаПермьРостов-на-ДонуСамараСанкт-ПетербургСаратовТольяттиТомскТюменьУфаЧелябинскНовости Гисметео8 привычек способствующих продлению жизни5 правил уменьшающих вероятность заразиться «пиролой» в общественном транспортеУ The willow extract has been identified unexpected effectinoplanes can already be aware of the earthling scientists found the animal, which counted for a long time, whether predatory plants can eat a person? In the south of European Russia, an atmospheric liability is preserved for which it is not too late to vaccinate from the influenza in Moscow: meteorological winters are deposited by the coasts of Columbia. With chests with jewelry for $ 40 billion, the weather on the crankcase of the aircraft is an uniform uniformmash: Pugacheva plans to return to scenepolitico: Biden will talk hard with the Russian Federation and Irandi Kadyrov, the next State Budgetary School praised the head of the USADA for the words of the Valiyumolukashenko case For friendship with Poland: the victories of Ukraine over In the near future, the Russian Federation will not be a Palestine Palestine’s presidential election, Miravosti Miravosti Miratin, the artist Hans Golbein, revealed scientists “Krasnodar” ended the first circle of RPL in a draw with the “Zenit” playing for protests in support of Palestine, about half a million people in the Londonerekord in Dominos established from mattresses. At the Filippaminchm in Sambo in Armenia: how are the fights of the strongest wrestlers of the planet? The man set the record with his mouth, caught by the golf, Zephirtennisist Alexander Shevchenko lost in the final of the atponity tournament of the Day -Baputin Day, called Kazakhstan to the closest ally of the Russian Deputy, she suggested that the fifth child of the children current The young figure skaters of Uglich found the ancient Egyptian bead Britain supported the participation of the Russian Federation in games in the neutral status -Ukrainian Minister of Sports temporarily became a poor explanation.rf explain. Corphytes will create new marine resorts in Russia? Who is put by subsidies when connecting a house to gas? What do scientists in the Sea of ​​Azov explores? Debts without going to court? How will they notify the emergency with a new way? How to arrange a disabled person care? Social advertising partnerships of a partnership of Solomin told about the improvement of the state of the actorimominomelkhoz: the prices of the egg and poultry are stabilized "Krasnodar" is still a leader in the RPLMILLER. that European countries still receive Russian Gasmacron: for Ukraine, the time has not yet come to sit down at the negotiations of the negotiations, he admitted that he does not expect the victory of Ukraine in the near future of Russia and Mirrev in Russia and in Mirechazan, he introduced an electronic queue for cars on the border with Russia of Russia approved a decrease The administrative burden on the entrepreneurs of the State Duma supported the draft law on the right of power structures to edit the databases of the State Duma proposed to introduce a blocking system for cyberbulling in the social networks Erdogan announced the need to create a Gazykabmin recovery Fund for supporting preferential mortgage programs for the placement of advertising. Put the response in Russia and the world is provided Exclusively for personal non -profit use. Weather process in the cities of Russia and the world is prepared by the NPC "MAP MAKER". © GISMETEO</v>
      </c>
    </row>
    <row r="752">
      <c r="A752" s="1" t="s">
        <v>2419</v>
      </c>
      <c r="B752" s="1" t="s">
        <v>2468</v>
      </c>
      <c r="C752" s="1" t="s">
        <v>2469</v>
      </c>
      <c r="D752" s="1">
        <v>28.0</v>
      </c>
      <c r="E752" s="4" t="s">
        <v>2470</v>
      </c>
      <c r="F752" s="1" t="s">
        <v>43</v>
      </c>
      <c r="G752" s="1" t="s">
        <v>2471</v>
      </c>
      <c r="H752" s="4" t="s">
        <v>2472</v>
      </c>
      <c r="I752" s="2">
        <v>0.0</v>
      </c>
      <c r="J752" s="5" t="str">
        <f>IFERROR(__xludf.DUMMYFUNCTION("GOOGLETRANSLATE(A752)"),"Weather tomorrow")</f>
        <v>Weather tomorrow</v>
      </c>
      <c r="K752" s="6" t="str">
        <f>IFERROR(__xludf.DUMMYFUNCTION("GOOGLETRANSLATE(B752)"),"Weather in Almaty for tomorrow")</f>
        <v>Weather in Almaty for tomorrow</v>
      </c>
      <c r="L752" s="5" t="str">
        <f>IFERROR(__xludf.DUMMYFUNCTION("GOOGLETRANSLATE(C752)"),"SB 11 November 10: 24 Kazakhstan, Almaty (city of republican significance). In Almaty, he was smaller, without precipitation, +5 ° C. Sens about +5 ° C, wind 1 m/s. Weather.")</f>
        <v>SB 11 November 10: 24 Kazakhstan, Almaty (city of republican significance). In Almaty, he was smaller, without precipitation, +5 ° C. Sens about +5 ° C, wind 1 m/s. Weather.</v>
      </c>
      <c r="M752" s="5" t="str">
        <f>IFERROR(__xludf.DUMMYFUNCTION("GOOGLETRANSLATE(G752)"),"GISMETEO: Weather in Kazakhstan Forecast for today Tomorrow 3 days weekend week 10 days a month. Take a mobile version of the Enn-arbor application card to change the paragraph on November 11: 45+3 37 Pass-to-sediment to the sensation+1 34vetele2 m/s 7 km"&amp;" in 7 km /h pressing 749 mm RT. Art. 998 GPAVLEY 69%g/m Activity 6 Bullboard+6 432300000100200300+337+236+236+134+134 Flows of the wind m/s4 144 144 144 143 11 years tomorrow 3 days 10 days 2 weeks now g/m activity weekend weekly meteor stations-arbor2 M/"&amp;"C7 km/h+3 37willu RAS2 m/c7 km/h+33 Caound2 m/c7 km/h+2 36jkson County - Reynolds Field0 m/c0 km/h+2 36 examined to clean the popopular points of Kazakhstanaakaaktaastanaastanaastanaastanaeastazhakazgandakoshtakostanaylordalisakovskpavlodarpavlopavlopavlo"&amp;"pavlopavlopavlopavlopavlopavlopavlopavlopavlopavlovl Korganterandemyrtauralskost-Kamenogorskshamkentshchinskiebastusnoye Gismeteo on the weather and cosmos of the Dominican Republic of the Dominican Republic, an earthquake of magnitude 53 of the year in K"&amp;"azakhstan on November 12: sedimentary rains were preserved. The flood in the north of France in Kazakhstan on November 11: sediments are expected in places of strong awards on the card-landing machineoblability of Kazakhstan and Miravosti Kazakhstan and t"&amp;"he miracle was beaten to death in Astana: Kuandyk Bishimbaev, Kazakhstanis were detained in December 2023 Godazmagbetov announced serious threats of the CSTO53-inhabitant Naom. Empbell starred naked with Shipamitokaev signed a new law-based three TPP in K"&amp;"azakhstan will build Russian investor-family pair arrested for repeated suspension of children, the minister is under the murder of a woman Kazakhstans in a new way in a new way in the WhatsAppension system of the Republic of Kazakhstan is first included "&amp;"in the global index field was launched in the Zhambyl region of the Zhambyl region. Testament Advertising Contacting the Contact Site Site to Set the Ratement in Kazakhstan and the world is provided exclusively for personal non -profit use. © Gismeteo")</f>
        <v>GISMETEO: Weather in Kazakhstan Forecast for today Tomorrow 3 days weekend week 10 days a month. Take a mobile version of the Enn-arbor application card to change the paragraph on November 11: 45+3 37 Pass-to-sediment to the sensation+1 34vetele2 m/s 7 km in 7 km /h pressing 749 mm RT. Art. 998 GPAVLEY 69%g/m Activity 6 Bullboard+6 432300000100200300+337+236+236+134+134 Flows of the wind m/s4 144 144 144 143 11 years tomorrow 3 days 10 days 2 weeks now g/m activity weekend weekly meteor stations-arbor2 M/C7 km/h+3 37willu RAS2 m/c7 km/h+33 Caound2 m/c7 km/h+2 36jkson County - Reynolds Field0 m/c0 km/h+2 36 examined to clean the popopular points of Kazakhstanaakaaktaastanaastanaastanaastanaeastazhakazgandakoshtakostanaylordalisakovskpavlodarpavlopavlopavlopavlopavlopavlopavlopavlopavlopavlopavlopavlopavlovl Korganterandemyrtauralskost-Kamenogorskshamkentshchinskiebastusnoye Gismeteo on the weather and cosmos of the Dominican Republic of the Dominican Republic, an earthquake of magnitude 53 of the year in Kazakhstan on November 12: sedimentary rains were preserved. The flood in the north of France in Kazakhstan on November 11: sediments are expected in places of strong awards on the card-landing machineoblability of Kazakhstan and Miravosti Kazakhstan and the miracle was beaten to death in Astana: Kuandyk Bishimbaev, Kazakhstanis were detained in December 2023 Godazmagbetov announced serious threats of the CSTO53-inhabitant Naom. Empbell starred naked with Shipamitokaev signed a new law-based three TPP in Kazakhstan will build Russian investor-family pair arrested for repeated suspension of children, the minister is under the murder of a woman Kazakhstans in a new way in a new way in the WhatsAppension system of the Republic of Kazakhstan is first included in the global index field was launched in the Zhambyl region of the Zhambyl region. Testament Advertising Contacting the Contact Site Site to Set the Ratement in Kazakhstan and the world is provided exclusively for personal non -profit use. © Gismeteo</v>
      </c>
    </row>
    <row r="753">
      <c r="A753" s="1" t="s">
        <v>2419</v>
      </c>
      <c r="B753" s="1" t="s">
        <v>2473</v>
      </c>
      <c r="C753" s="1" t="s">
        <v>2474</v>
      </c>
      <c r="D753" s="1">
        <v>30.0</v>
      </c>
      <c r="E753" s="4" t="s">
        <v>2475</v>
      </c>
      <c r="F753" s="1" t="s">
        <v>43</v>
      </c>
      <c r="G753" s="1" t="s">
        <v>2410</v>
      </c>
      <c r="H753" s="4" t="s">
        <v>2411</v>
      </c>
      <c r="I753" s="2">
        <v>1.0</v>
      </c>
      <c r="J753" s="5" t="str">
        <f>IFERROR(__xludf.DUMMYFUNCTION("GOOGLETRANSLATE(A753)"),"Weather tomorrow")</f>
        <v>Weather tomorrow</v>
      </c>
      <c r="K753" s="6" t="str">
        <f>IFERROR(__xludf.DUMMYFUNCTION("GOOGLETRANSLATE(B753)"),"Weather in Zaporozhye for tomorrow")</f>
        <v>Weather in Zaporozhye for tomorrow</v>
      </c>
      <c r="L753" s="5" t="str">
        <f>IFERROR(__xludf.DUMMYFUNCTION("GOOGLETRANSLATE(C753)"),"Weather in Zaporozhye for tomorrow, a detailed weather forecast for tomorrow for the village of Zaporozhye, Zaporizhzhya district, Zaporizhzhya region, Ukraine.")</f>
        <v>Weather in Zaporozhye for tomorrow, a detailed weather forecast for tomorrow for the village of Zaporozhye, Zaporizhzhya district, Zaporizhzhya region, Ukraine.</v>
      </c>
      <c r="M753" s="5" t="str">
        <f>IFERROR(__xludf.DUMMYFUNCTION("GOOGLETRANSLATE(G753)"),"METEOFOR: Weather in Ukraine weather forecast for today tomorrow 3 days weekend 10 days 2 weeks 2 weeks for mobile version search for UA UA Ukrainian Power-Russe / Michigan in Enn-Arbory ​​strong cloudy without precipitation November 22: 45+337 heavy clou"&amp;"diness without precipitation is felt like+134 venue2 m/c C7 km/h compression749 mm Hg. Art.998 Gapavologation 69%G/m Activity6 Ball+643 Figradan in the near future 2300 000 100 200 300+337+236+236+134+134+134 winds of wind M/C7 km/h+337 -ullow wounds2 m/c"&amp;"7 km/h+337detroit2 m/c7 km/h+439 -Detroit2 m/c7 km/h+439 kounti0 m/c0 km/h+337 Lenava2 236JEXON KUuntie - Reynolds Field0 m/C0 km/h+236 Popular points of Ukraine Vinnitsa Dnipro Donetsk Zhytomyr Ivano -Frankivsk Kyiv Kryvyi Rih Lugansk Lutsk Lviv Nikolaev"&amp;" Chernivtsi Chernivtsi The world is tragedy in the 128th Brigade: Who ""Rat"" and what is not so much with the commander of Ukraine will raise tariffs for gas and electricity of Ukrainians: it will be the most difficult winter in the history of the mobile"&amp;" website weather in Ukraine and the world: data are intended only for private non-commercial use. © METEOFOR")</f>
        <v>METEOFOR: Weather in Ukraine weather forecast for today tomorrow 3 days weekend 10 days 2 weeks 2 weeks for mobile version search for UA UA Ukrainian Power-Russe / Michigan in Enn-Arbory ​​strong cloudy without precipitation November 22: 45+337 heavy cloudiness without precipitation is felt like+134 venue2 m/c C7 km/h compression749 mm Hg. Art.998 Gapavologation 69%G/m Activity6 Ball+643 Figradan in the near future 2300 000 100 200 300+337+236+236+134+134+134 winds of wind M/C7 km/h+337 -ullow wounds2 m/c7 km/h+337detroit2 m/c7 km/h+439 -Detroit2 m/c7 km/h+439 kounti0 m/c0 km/h+337 Lenava2 236JEXON KUuntie - Reynolds Field0 m/C0 km/h+236 Popular points of Ukraine Vinnitsa Dnipro Donetsk Zhytomyr Ivano -Frankivsk Kyiv Kryvyi Rih Lugansk Lutsk Lviv Nikolaev Chernivtsi Chernivtsi The world is tragedy in the 128th Brigade: Who "Rat" and what is not so much with the commander of Ukraine will raise tariffs for gas and electricity of Ukrainians: it will be the most difficult winter in the history of the mobile website weather in Ukraine and the world: data are intended only for private non-commercial use. © METEOFOR</v>
      </c>
    </row>
    <row r="754">
      <c r="A754" s="1" t="s">
        <v>2419</v>
      </c>
      <c r="B754" s="1" t="s">
        <v>2476</v>
      </c>
      <c r="C754" s="1" t="s">
        <v>2477</v>
      </c>
      <c r="D754" s="1">
        <v>31.0</v>
      </c>
      <c r="E754" s="4" t="s">
        <v>2478</v>
      </c>
      <c r="F754" s="1" t="s">
        <v>43</v>
      </c>
      <c r="G754" s="1" t="s">
        <v>2449</v>
      </c>
      <c r="H754" s="4" t="s">
        <v>2450</v>
      </c>
      <c r="I754" s="2">
        <v>1.0</v>
      </c>
      <c r="J754" s="5" t="str">
        <f>IFERROR(__xludf.DUMMYFUNCTION("GOOGLETRANSLATE(A754)"),"Weather tomorrow")</f>
        <v>Weather tomorrow</v>
      </c>
      <c r="K754" s="6" t="str">
        <f>IFERROR(__xludf.DUMMYFUNCTION("GOOGLETRANSLATE(B754)"),"Weather tomorrow in Vladikavkaz by the clock, comparison with ...")</f>
        <v>Weather tomorrow in Vladikavkaz by the clock, comparison with ...</v>
      </c>
      <c r="L754" s="5" t="str">
        <f>IFERROR(__xludf.DUMMYFUNCTION("GOOGLETRANSLATE(C754)"),"Weather in Vladikavkaz by the clock. Tomorrow, the weather in Vladikavkaz is not expected tomorrow. Cloudy weather will prevail, the temperature is the same, ...")</f>
        <v>Weather in Vladikavkaz by the clock. Tomorrow, the weather in Vladikavkaz is not expected tomorrow. Cloudy weather will prevail, the temperature is the same, ...</v>
      </c>
      <c r="M754" s="5" t="str">
        <f>IFERROR(__xludf.DUMMYFUNCTION("GOOGLETRANSLATE(G754)"),"Accurate local weather forecasts worldwideAboutTerms of UsePrivacy PolicyWidgetsNotificationsContactEN       |       °C›close°F°CবাংলাEnglish (US)EspañolFrançaisҚазақша한국어日本語हिन्दीPortuguêsРусскийTürkçe中文 (SIM)Accurate local weather forecastsSearch locati"&amp;"onmy_locationGet the weatherSearch through over 10000000 places worldwidesearch   Find this locationsearch   Search for '%q%'Ann Arbor weatherSummaryNowTodayTomorrow 7 days10 days14 daysMapsWhy Meteodays?Progressivity            Our weather forec"&amp;"asting solution combines advanced weather prediction models with artificial intelligence providing highly accurate weather forecasts.          Convenience            Are you planning a trip an event or going outside? Get all the weather data you need to m"&amp;"ake informed decisions in one place.          Clarity            Experience the diverse weather data in a clear and visually appealing way with an intuitive design.          Awareness            Sign up for push notifications and get alerted of any major "&amp;"changes in the weather.          Hybrid Forecasting Technology (HFT)By combining comprehensive weather observations with advanced numerical weather prediction models and sophisticated accuracy tuning methods we can significantly improve the accuracy and p"&amp;"recision of weather forecasts.We refer to this as Hybrid Forecasting Technology (HFT) which is the result of years of scientific research development testing and refinement. This technology overview highlights the key steps of the data transformation pipe"&amp;"line which significantly improves the accuracy of weather forecasts.To ensure the highest level of accuracy we have established a pipeline for processing weather forecasting data that consists of multiple stages. Each stage builds on the results of the pr"&amp;"evious one to ultimately produce the most accurate and reliable forecast possible.public                            The pipeline starts by using global weather prediction models to create a broad overview of the expected weather patterns.                 "&amp;"       travel_explore                            Then the results of these models are refined through regional weather prediction models which are specifically tuned for certain regions around the world to improve accuracy for that area.                  "&amp;"      query_stats                            Next the first stage of post-processing involves the application of statistical methods which enhances the accuracy of the predictions.                        troubleshoot                            Lastly soph"&amp;"isticated Machine Learning methods are employed to produce precise forecasts for particular metrics including temperature wind velocity and precipitation.                        doneThe outcome of this process is a weather forecast of accuracy that is rel"&amp;"ied upon by millions of people worldwide.Weather forecasts for 219 countriesWe offer comprehensive weather observations and highly accurate forecasts for today tomorrow and up to two weeks for almost any place in the world.All countries Popular locations"&amp;"English speaking megacities                    New York City NY                                    London                                    Hong Kong                                    Singapore                                    Sydney                  "&amp;"                  Melbourne                                    Los Angeles CA                                    Chicago IL                                    Toronto                                    Houston TX                The World's most significan"&amp;"t cities                    Tokyo                                    New Delhi                                    Shanghai                                    Sao Paulo                                    Mexico City                                    Cairo"&amp;"                                    Dhaka                                    Mumbai                                    Beijing                                    Osaka                The World's most visited cities                    Bangkok              "&amp;"                      Paris                                    London                                    Dubai                                    Singapore                                    Kuala Lumpur                                    Antalya         "&amp;"                           İstanbul                                    Seoul                                    Rome                All locations AboutTerms of UsePrivacy PolicyWidgetsNotificationsContactবাংলাEnglish (US)EspañolFrançaisҚазақша한국어日本語हिन्द"&amp;"ीPortuguêsРусскийTürkçe中文 (SIM)The weather tomorrow10-day weather forecast14-day weather forecast			© 2023 Meteoservice LLC""Meteodays"" and ""cloud icon"" are registered trademarks of Meteoservice LLC. All Rights Reserved.			")</f>
        <v>Accurate local weather forecasts worldwideAboutTerms of UsePrivacy PolicyWidgetsNotificationsContactEN       |       °C›close°F°CবাংলাEnglish (US)EspañolFrançaisҚазақша한국어日本語हिन्दीPortuguêsРусскийTürkçe中文 (SIM)Accurate local weather forecastsSearch locationmy_locationGet the weatherSearch through over 10000000 places worldwidesearch   Find this locationsearch   Search for '%q%'Ann Arbor weatherSummaryNowTodayTomorrow 7 days10 days14 daysMapsWhy Meteodays?Progressivity            Our weather forecasting solution combines advanced weather prediction models with artificial intelligence providing highly accurate weather forecasts.          Convenience            Are you planning a trip an event or going outside? Get all the weather data you need to make informed decisions in one place.          Clarity            Experience the diverse weather data in a clear and visually appealing way with an intuitive design.          Awareness            Sign up for push notifications and get alerted of any major changes in the weather.          Hybrid Forecasting Technology (HFT)By combining comprehensive weather observations with advanced numerical weather prediction models and sophisticated accuracy tuning methods we can significantly improve the accuracy and precision of weather forecasts.We refer to this as Hybrid Forecasting Technology (HFT) which is the result of years of scientific research development testing and refinement. This technology overview highlights the key steps of the data transformation pipeline which significantly improves the accuracy of weather forecasts.To ensure the highest level of accuracy we have established a pipeline for processing weather forecasting data that consists of multiple stages. Each stage builds on the results of the previous one to ultimately produce the most accurate and reliable forecast possible.public                            The pipeline starts by using global weather prediction models to create a broad overview of the expected weather patterns.                        travel_explore                            Then the results of these models are refined through regional weather prediction models which are specifically tuned for certain regions around the world to improve accuracy for that area.                        query_stats                            Next the first stage of post-processing involves the application of statistical methods which enhances the accuracy of the predictions.                        troubleshoot                            Lastly sophisticated Machine Learning methods are employed to produce precise forecasts for particular metrics including temperature wind velocity and precipitation.                        doneThe outcome of this process is a weather forecast of accuracy that is relied upon by millions of people worldwide.Weather forecasts for 219 countriesWe offer comprehensive weather observations and highly accurate forecasts for today tomorrow and up to two weeks for almost any place in the world.All countries Popular locationsEnglish speaking megacities                    New York City NY                                    London                                    Hong Kong                                    Singapore                                    Sydney                                    Melbourne                                    Los Angeles CA                                    Chicago IL                                    Toronto                                    Houston TX                The World's most significant cities                    Tokyo                                    New Delhi                                    Shanghai                                    Sao Paulo                                    Mexico City                                    Cairo                                    Dhaka                                    Mumbai                                    Beijing                                    Osaka                The World's most visited cities                    Bangkok                                    Paris                                    London                                    Dubai                                    Singapore                                    Kuala Lumpur                                    Antalya                                    İstanbul                                    Seoul                                    Rome                All locations AboutTerms of UsePrivacy PolicyWidgetsNotificationsContactবাংলাEnglish (US)EspañolFrançaisҚазақша한국어日本語हिन्दीPortuguêsРусскийTürkçe中文 (SIM)The weather tomorrow10-day weather forecast14-day weather forecast			© 2023 Meteoservice LLC"Meteodays" and "cloud icon" are registered trademarks of Meteoservice LLC. All Rights Reserved.			</v>
      </c>
    </row>
    <row r="755">
      <c r="A755" s="1" t="s">
        <v>2419</v>
      </c>
      <c r="B755" s="1" t="s">
        <v>2479</v>
      </c>
      <c r="D755" s="1">
        <v>35.0</v>
      </c>
      <c r="E755" s="4" t="s">
        <v>2480</v>
      </c>
      <c r="F755" s="1" t="s">
        <v>43</v>
      </c>
      <c r="G755" s="1" t="s">
        <v>302</v>
      </c>
      <c r="H755" s="4" t="s">
        <v>303</v>
      </c>
      <c r="I755" s="2">
        <v>3.0</v>
      </c>
      <c r="J755" s="5" t="str">
        <f>IFERROR(__xludf.DUMMYFUNCTION("GOOGLETRANSLATE(A755)"),"Weather tomorrow")</f>
        <v>Weather tomorrow</v>
      </c>
      <c r="K755" s="6" t="str">
        <f>IFERROR(__xludf.DUMMYFUNCTION("GOOGLETRANSLATE(B755)"),"Improvement of the Imperial Academy of Science")</f>
        <v>Improvement of the Imperial Academy of Science</v>
      </c>
      <c r="L755" s="5" t="str">
        <f>IFERROR(__xludf.DUMMYFUNCTION("GOOGLETRANSLATE(C755)"),"#VALUE!")</f>
        <v>#VALUE!</v>
      </c>
      <c r="M755" s="5" t="str">
        <f>IFERROR(__xludf.DUMMYFUNCTION("GOOGLETRANSLATE(G755)"),"Google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756">
      <c r="A756" s="1" t="s">
        <v>2419</v>
      </c>
      <c r="B756" s="1" t="s">
        <v>2481</v>
      </c>
      <c r="D756" s="1">
        <v>36.0</v>
      </c>
      <c r="E756" s="4" t="s">
        <v>2482</v>
      </c>
      <c r="F756" s="1" t="s">
        <v>43</v>
      </c>
      <c r="G756" s="1" t="s">
        <v>302</v>
      </c>
      <c r="H756" s="4" t="s">
        <v>303</v>
      </c>
      <c r="I756" s="2">
        <v>3.0</v>
      </c>
      <c r="J756" s="5" t="str">
        <f>IFERROR(__xludf.DUMMYFUNCTION("GOOGLETRANSLATE(A756)"),"Weather tomorrow")</f>
        <v>Weather tomorrow</v>
      </c>
      <c r="K756" s="6" t="str">
        <f>IFERROR(__xludf.DUMMYFUNCTION("GOOGLETRANSLATE(B756)"),"Polnoe Sobranie Sochineniĭ")</f>
        <v>Polnoe Sobranie Sochineniĭ</v>
      </c>
      <c r="L756" s="5" t="str">
        <f>IFERROR(__xludf.DUMMYFUNCTION("GOOGLETRANSLATE(C756)"),"#VALUE!")</f>
        <v>#VALUE!</v>
      </c>
      <c r="M756" s="5" t="str">
        <f>IFERROR(__xludf.DUMMYFUNCTION("GOOGLETRANSLATE(G756)"),"Google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757">
      <c r="A757" s="1" t="s">
        <v>2419</v>
      </c>
      <c r="B757" s="1" t="s">
        <v>2483</v>
      </c>
      <c r="D757" s="1">
        <v>37.0</v>
      </c>
      <c r="E757" s="4" t="s">
        <v>2484</v>
      </c>
      <c r="F757" s="1" t="s">
        <v>43</v>
      </c>
      <c r="G757" s="1" t="s">
        <v>302</v>
      </c>
      <c r="H757" s="4" t="s">
        <v>303</v>
      </c>
      <c r="I757" s="2">
        <v>3.0</v>
      </c>
      <c r="J757" s="5" t="str">
        <f>IFERROR(__xludf.DUMMYFUNCTION("GOOGLETRANSLATE(A757)"),"Weather tomorrow")</f>
        <v>Weather tomorrow</v>
      </c>
      <c r="K757" s="6" t="str">
        <f>IFERROR(__xludf.DUMMYFUNCTION("GOOGLETRANSLATE(B757)"),"Aviatives︡ii︠a︡ i kosmonaut")</f>
        <v>Aviatives︡ii︠a︡ i kosmonaut</v>
      </c>
      <c r="L757" s="5" t="str">
        <f>IFERROR(__xludf.DUMMYFUNCTION("GOOGLETRANSLATE(C757)"),"#VALUE!")</f>
        <v>#VALUE!</v>
      </c>
      <c r="M757" s="5" t="str">
        <f>IFERROR(__xludf.DUMMYFUNCTION("GOOGLETRANSLATE(G757)"),"Google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758">
      <c r="A758" s="1" t="s">
        <v>2419</v>
      </c>
      <c r="B758" s="1" t="s">
        <v>2485</v>
      </c>
      <c r="D758" s="1">
        <v>38.0</v>
      </c>
      <c r="E758" s="4" t="s">
        <v>2486</v>
      </c>
      <c r="F758" s="1" t="s">
        <v>43</v>
      </c>
      <c r="G758" s="1" t="s">
        <v>302</v>
      </c>
      <c r="H758" s="4" t="s">
        <v>303</v>
      </c>
      <c r="I758" s="2">
        <v>3.0</v>
      </c>
      <c r="J758" s="5" t="str">
        <f>IFERROR(__xludf.DUMMYFUNCTION("GOOGLETRANSLATE(A758)"),"Weather tomorrow")</f>
        <v>Weather tomorrow</v>
      </c>
      <c r="K758" s="6" t="str">
        <f>IFERROR(__xludf.DUMMYFUNCTION("GOOGLETRANSLATE(B758)"),"Notes of a hunter. Mumu is the result from Google Book")</f>
        <v>Notes of a hunter. Mumu is the result from Google Book</v>
      </c>
      <c r="L758" s="5" t="str">
        <f>IFERROR(__xludf.DUMMYFUNCTION("GOOGLETRANSLATE(C758)"),"#VALUE!")</f>
        <v>#VALUE!</v>
      </c>
      <c r="M758" s="5" t="str">
        <f>IFERROR(__xludf.DUMMYFUNCTION("GOOGLETRANSLATE(G758)"),"Google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759">
      <c r="A759" s="1" t="s">
        <v>2487</v>
      </c>
      <c r="B759" s="1" t="s">
        <v>2488</v>
      </c>
      <c r="C759" s="1" t="s">
        <v>2489</v>
      </c>
      <c r="D759" s="1">
        <v>1.0</v>
      </c>
      <c r="E759" s="4" t="s">
        <v>2490</v>
      </c>
      <c r="F759" s="1" t="s">
        <v>16</v>
      </c>
      <c r="G759" s="1" t="s">
        <v>336</v>
      </c>
      <c r="H759" s="4" t="s">
        <v>2491</v>
      </c>
      <c r="I759" s="2">
        <v>1.0</v>
      </c>
      <c r="J759" s="5" t="str">
        <f>IFERROR(__xludf.DUMMYFUNCTION("GOOGLETRANSLATE(A759)"),"Program Guide")</f>
        <v>Program Guide</v>
      </c>
      <c r="K759" s="6" t="str">
        <f>IFERROR(__xludf.DUMMYFUNCTION("GOOGLETRANSLATE(B759)"),"TV program program - Yandex.leprogram")</f>
        <v>TV program program - Yandex.leprogram</v>
      </c>
      <c r="L759" s="5" t="str">
        <f>IFERROR(__xludf.DUMMYFUNCTION("GOOGLETRANSLATE(C759)"),"Program program in Moscow. Films, TV shows, sports, children. Basic. All channels selected, on topics, basic, films and series, cognitive, sport ...")</f>
        <v>Program program in Moscow. Films, TV shows, sports, children. Basic. All channels selected, on topics, basic, films and series, cognitive, sport ...</v>
      </c>
      <c r="M759" s="5" t="str">
        <f>IFERROR(__xludf.DUMMYFUNCTION("GOOGLETRANSLATE(G759)"),"Oh!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760">
      <c r="A760" s="1" t="s">
        <v>2487</v>
      </c>
      <c r="B760" s="1" t="s">
        <v>2492</v>
      </c>
      <c r="C760" s="1" t="s">
        <v>2493</v>
      </c>
      <c r="D760" s="1">
        <v>2.0</v>
      </c>
      <c r="E760" s="4" t="s">
        <v>2494</v>
      </c>
      <c r="F760" s="1" t="s">
        <v>16</v>
      </c>
      <c r="G760" s="1" t="s">
        <v>2495</v>
      </c>
      <c r="H760" s="4" t="s">
        <v>2496</v>
      </c>
      <c r="I760" s="2">
        <v>2.0</v>
      </c>
      <c r="J760" s="5" t="str">
        <f>IFERROR(__xludf.DUMMYFUNCTION("GOOGLETRANSLATE(A760)"),"Program Guide")</f>
        <v>Program Guide</v>
      </c>
      <c r="K760" s="6" t="str">
        <f>IFERROR(__xludf.DUMMYFUNCTION("GOOGLETRANSLATE(B760)"),"A television program for today and tomorrow, program ...")</f>
        <v>A television program for today and tomorrow, program ...</v>
      </c>
      <c r="L760" s="5" t="str">
        <f>IFERROR(__xludf.DUMMYFUNCTION("GOOGLETRANSLATE(C760)"),"TV program: a TV program program for today, for tomorrow, for a week - all channels and television programs by genres and in time - the city of Moscow.")</f>
        <v>TV program: a TV program program for today, for tomorrow, for a week - all channels and television programs by genres and in time - the city of Moscow.</v>
      </c>
      <c r="M760" s="5" t="str">
        <f>IFERROR(__xludf.DUMMYFUNCTION("GOOGLETRANSLATE(G760)"),"The television program for today and for tomorrow program of TV programs for a week - all channels - a full television program - Moscow on TV Mail.rutelekogramogrammogrammogrammogrammogrammogrammogrammarogramkhotama Mirodniklavnikovkontaktegryznakosttakte"&amp;"gravakostoblakovk Combouvs Project -Medichistry Verkhotelopram for today - Moscow (change the region) PT 10sb 11th day now Tromdemnogorozhovye Daypn 13W 14CR 15 pc 16PT 17SB 18VS 192023-11-102023-11-112023-11-122023-11-132023-11-142023-11-152023-11-162023"&amp;"-11-172023-11-182023-11-19Shopt 10sb 11 thousand thousands 13W 14CR 15PT 16Vs 19VS 19VS-SPRISTERS EFIRERS On the Moscow schedule, examine the direct broadcasting. labzed martial arts. UFC. Irji Prokhazka against Alex Pereira. Sergey Pavlovich against Tom "&amp;"Aspinell. Broadcast from the USA. The direct broadcasting central television prosecutor -sophisticated shocking hypothesive bastards of life and driving video multfilmoprookovashinomash and bear knew only in the faces. Markets Kotamash and Medvedud look a"&amp;"t the List of List of 100 Best Russian Comedy Series View Online See 40 channels free online first channellive06: 10 Podkast. Lab (light money) 06: 55 playing harmonies Favorite! 07: 40 watch: 10 Sosdorovye 09: 20 Meghalcount 106: 10alla in the search tim"&amp;"e. Sunday 08: 35 ""When all houses"" with Timur Kizyakov09: 25 -month mail with Nikolai Baskov10: 10 Stot to one -Match! Live06: 00 ridiculous martial arts. UFC. Irji Prokhazka against Alex Pereira. Sergey Pavlovich against Tom Aspinell. Broadcast from th"&amp;"e USA. Direct broadcast09: 00 Novosti09: 05vs for the match! Direct broadcast10: 00 Liga Heroes11: 05 Ongtvlive06: 35 Central Television 08: 00 thousand: 20 I win us! 10: 00 thousand: 20 The first transfer 5 Kanalve06: 05 Proofur Verification (my terrible"&amp;" school) 06: 55 is 45 Network (Return) 7: 45 LEAR PRODUCTION (Return) 08: 40 ) 09: 30 Retroding (Afanasy) TV Center06: 05 Providing: 25 Items 07: 50 EVA (1st series) 08: 40 FLASSIS (2nd episode 2) 09: 30 EVA) Culture06: 45 wolf and seven goats on New LAD0"&amp;"7: 00 EVERTH INSTRUMENCE07: 15ptic market07: 30 POP (4th episode) 07: 50 POMURU (5th series) STSLIVE06: 00ralash07: 00Theel in lambs (7th episode) 07: 15 Ovechki (9th series) 07: 30 Show ""Ural dumplings"" (laughbook) 09: 00rogov in Deleren Twlive05: 00 S"&amp;"choking hypotheses07: 00s Bodrym in the morning! 08: 30 News 09: 00 School program09: 30 you know what? Life) 07: 35ot rights to opportunities 07: 50 General country08: 45 Tsapapu and cranelive05: 45-couric race07: 00 eight in Russia (special demigest) 08"&amp;": 00 item in Russia (special pride) 09: 00 bit picnics (31st series) 09: 30th picnic (30- 30- picnes (30- 30- I am series) domagnive06: 40 lessons of life and driving (1st episode) 07: 33 lessons of life and driving (2nd series) 08: 27 lessons of life and"&amp;" driving (3rd episode 3) 09: 21 lessons of life and driving (4th episode 4 ) 10: 15 in 15 minutes (10th episode 10) Russia 2406: 22. The duty unit 07: 00 Radigration Eduard Petrov08: 06MI in the palm of your hand. History day after day 08: 24 SPREADICAL R"&amp;"eporting09: 00 Novostchelive06: 45-lubric video (76th episode) 07: 10-room video (19th episode) 07: 35wear video (46th episode) 08: 00 Master sword10: 00 ITILIZER (8th series) TV-3Live06: 00multfilms07: 45 season health (10th series) 08: 00 Vkusno with La"&amp;"ysan (9th episode) 08: 30th day (6th series) 09: 00 times money (8th series) Friday! Live06: 40 Proklosyshino (Matroskin in Sahara) 06: 50 Chudo-Yudo08: 20 WHOLS OF StARS (2nd series) 09: 00Trevel-Battle (Dalat. Vietnam) 10: 00-industrial move (Irkutsk) Y"&amp;"ulive06: 45mash and bear (elusive avengers) 06: 55mash and bear (Until new meetings) 07: 00 Malyshariki (sweet tooth) 07: 05 Malyshariki (35th episode 35) 07: 10 Malyshariki (riddle) Zvezdlive05: 30 they knew only in the face07: 10 Waiting for Colonel Sha"&amp;"lygin09: 00 ""News of the week"" with Yuri Podkopaev09: 25 I will serve Russia09: 55 -way receiverbklive06: 45 business 06: 55 -handed news07: 05 watch08: 00 -handed news08: 05 chaxubbot! 06: 30masha and bear (honeymoon) 06: 55mashkin's horror stories (ic"&amp;"e -like epic about a joyful event) 07: 00mas and bear (good manner day) 7: 25mashkin horror stories (monstrous tales of high and low) 07: 30masha and the bear (who are for the eldest?) Carousel06: 00 -lobed delivery07: 00s good morning kids! 07: 30 Vyip P"&amp;"ets08: 00ed with Hurray! 2x206: Dark matter) 08: 35 News 2x208: 40 sportsmans (34th series) 09: 05 Discover myths (Hollywood chaos) STS Lovelive06: 40-era Kota (attractions) 06: 46-era Kota (restaurant) 06: 51 cota (walk with dad) 06: 57TiRITRI Kota (hock"&amp;"ey) 07: 03 Cat (musical instruments) sunlive05: 00masha and bear06: 55 buckets07: 25 bububa09: 00 Super dog and turbo cat10: 45ehiptopospotSpospotospotospotospotospotosopriyan canal539 chosen -central25 films and Series135 -membranous Local16-educational2"&amp;"6 musicals 444 DEVELS105 Delast21HD58 DEARED AND ADVENED 25 DIV CLASS = ""JS-MODULE"" DATA-MOULE = ""SLOTMODEL"" DATA-VIEW = ""SlotView.1331601"" Data -id = ""1331601""&gt; &lt;Div class = ""margin_top_20 js-slot__content""&gt; &lt;/ DIV&gt; &lt;/ DIV&gt; &lt;Div class = ""JS-Mo"&amp;"dule"" Data-Module = "" Slotmodel ""Data-View ="" SlotView.mimic.1327588 ""DATA -ID ="" 1327588 ""&gt; &lt;DIV class ="" Margin_top_20 JS-Slot__Content ""&gt; &lt;/ DIV&gt; &lt;/ DIV&gt; More recommendations are recommended to see the films"" Films MA il.ru "" It offers you t"&amp;"o get acquainted with a detailed television program for today tomorrow and for a week for all popular Russian and international television channels. The TV program is available both for central (the first NTV Russia 1 TNT STS and many others) and for loca"&amp;"l and thematic channels-musical sports news educational. You can filter transmission by genres (films TV shows sports programs, etc.) and also configure the list of interesting television programs to you personally. In addition, you can set up reminders a"&amp;"bout the beginning of your favorite television programs. You can configure notifications by mail. Television program in other cities of Russia: St. Petersburg Novosibirsk Yekaterinburg Nizhny Novgorod Kazan Chelyabinsk Omsk Samara Rostov-Na-Don.mail.mails"&amp;" to cancel the recommendations for the use of the materials of the need &lt;div Class = ""JS-MODULE"" Module = ""Slotmodel"" Data-View = ""SlotView.674812"" Data -id = ""674812"" Data-Brandsafety = """"&gt; &lt;/ Div&gt;")</f>
        <v>The television program for today and for tomorrow program of TV programs for a week - all channels - a full television program - Moscow on TV Mail.rutelekogramogrammogrammogrammogrammogrammogrammogrammarogramkhotama Mirodniklavnikovkontaktegryznakosttaktegravakostoblakovk Combouvs Project -Medichistry Verkhotelopram for today - Moscow (change the region) PT 10sb 11th day now Tromdemnogorozhovye Daypn 13W 14CR 15 pc 16PT 17SB 18VS 192023-11-102023-11-112023-11-122023-11-132023-11-142023-11-152023-11-162023-11-172023-11-182023-11-19Shopt 10sb 11 thousand thousands 13W 14CR 15PT 16Vs 19VS 19VS-SPRISTERS EFIRERS On the Moscow schedule, examine the direct broadcasting. labzed martial arts. UFC. Irji Prokhazka against Alex Pereira. Sergey Pavlovich against Tom Aspinell. Broadcast from the USA. The direct broadcasting central television prosecutor -sophisticated shocking hypothesive bastards of life and driving video multfilmoprookovashinomash and bear knew only in the faces. Markets Kotamash and Medvedud look at the List of List of 100 Best Russian Comedy Series View Online See 40 channels free online first channellive06: 10 Podkast. Lab (light money) 06: 55 playing harmonies Favorite! 07: 40 watch: 10 Sosdorovye 09: 20 Meghalcount 106: 10alla in the search time. Sunday 08: 35 "When all houses" with Timur Kizyakov09: 25 -month mail with Nikolai Baskov10: 10 Stot to one -Match! Live06: 00 ridiculous martial arts. UFC. Irji Prokhazka against Alex Pereira. Sergey Pavlovich against Tom Aspinell. Broadcast from the USA. Direct broadcast09: 00 Novosti09: 05vs for the match! Direct broadcast10: 00 Liga Heroes11: 05 Ongtvlive06: 35 Central Television 08: 00 thousand: 20 I win us! 10: 00 thousand: 20 The first transfer 5 Kanalve06: 05 Proofur Verification (my terrible school) 06: 55 is 45 Network (Return) 7: 45 LEAR PRODUCTION (Return) 08: 40 ) 09: 30 Retroding (Afanasy) TV Center06: 05 Providing: 25 Items 07: 50 EVA (1st series) 08: 40 FLASSIS (2nd episode 2) 09: 30 EVA) Culture06: 45 wolf and seven goats on New LAD07: 00 EVERTH INSTRUMENCE07: 15ptic market07: 30 POP (4th episode) 07: 50 POMURU (5th series) STSLIVE06: 00ralash07: 00Theel in lambs (7th episode) 07: 15 Ovechki (9th series) 07: 30 Show "Ural dumplings" (laughbook) 09: 00rogov in Deleren Twlive05: 00 Schoking hypotheses07: 00s Bodrym in the morning! 08: 30 News 09: 00 School program09: 30 you know what? Life) 07: 35ot rights to opportunities 07: 50 General country08: 45 Tsapapu and cranelive05: 45-couric race07: 00 eight in Russia (special demigest) 08: 00 item in Russia (special pride) 09: 00 bit picnics (31st series) 09: 30th picnic (30- 30- picnes (30- 30- I am series) domagnive06: 40 lessons of life and driving (1st episode) 07: 33 lessons of life and driving (2nd series) 08: 27 lessons of life and driving (3rd episode 3) 09: 21 lessons of life and driving (4th episode 4 ) 10: 15 in 15 minutes (10th episode 10) Russia 2406: 22. The duty unit 07: 00 Radigration Eduard Petrov08: 06MI in the palm of your hand. History day after day 08: 24 SPREADICAL Reporting09: 00 Novostchelive06: 45-lubric video (76th episode) 07: 10-room video (19th episode) 07: 35wear video (46th episode) 08: 00 Master sword10: 00 ITILIZER (8th series) TV-3Live06: 00multfilms07: 45 season health (10th series) 08: 00 Vkusno with Laysan (9th episode) 08: 30th day (6th series) 09: 00 times money (8th series) Friday! Live06: 40 Proklosyshino (Matroskin in Sahara) 06: 50 Chudo-Yudo08: 20 WHOLS OF StARS (2nd series) 09: 00Trevel-Battle (Dalat. Vietnam) 10: 00-industrial move (Irkutsk) Yulive06: 45mash and bear (elusive avengers) 06: 55mash and bear (Until new meetings) 07: 00 Malyshariki (sweet tooth) 07: 05 Malyshariki (35th episode 35) 07: 10 Malyshariki (riddle) Zvezdlive05: 30 they knew only in the face07: 10 Waiting for Colonel Shalygin09: 00 "News of the week" with Yuri Podkopaev09: 25 I will serve Russia09: 55 -way receiverbklive06: 45 business 06: 55 -handed news07: 05 watch08: 00 -handed news08: 05 chaxubbot! 06: 30masha and bear (honeymoon) 06: 55mashkin's horror stories (ice -like epic about a joyful event) 07: 00mas and bear (good manner day) 7: 25mashkin horror stories (monstrous tales of high and low) 07: 30masha and the bear (who are for the eldest?) Carousel06: 00 -lobed delivery07: 00s good morning kids! 07: 30 Vyip Pets08: 00ed with Hurray! 2x206: Dark matter) 08: 35 News 2x208: 40 sportsmans (34th series) 09: 05 Discover myths (Hollywood chaos) STS Lovelive06: 40-era Kota (attractions) 06: 46-era Kota (restaurant) 06: 51 cota (walk with dad) 06: 57TiRITRI Kota (hockey) 07: 03 Cat (musical instruments) sunlive05: 00masha and bear06: 55 buckets07: 25 bububa09: 00 Super dog and turbo cat10: 45ehiptopospotSpospotospotospotospotospotosopriyan canal539 chosen -central25 films and Series135 -membranous Local16-educational26 musicals 444 DEVELS105 Delast21HD58 DEARED AND ADVENED 25 DIV CLASS = "JS-MODULE" DATA-MOULE = "SLOTMODEL" DATA-VIEW = "SlotView.1331601" Data -id = "1331601"&gt; &lt;Div class = "margin_top_20 js-slot__content"&gt; &lt;/ DIV&gt; &lt;/ DIV&gt; &lt;Div class = "JS-Module" Data-Module = " Slotmodel "Data-View =" SlotView.mimic.1327588 "DATA -ID =" 1327588 "&gt; &lt;DIV class =" Margin_top_20 JS-Slot__Content "&gt; &lt;/ DIV&gt; &lt;/ DIV&gt; More recommendations are recommended to see the films" Films MA il.ru " It offers you to get acquainted with a detailed television program for today tomorrow and for a week for all popular Russian and international television channels. The TV program is available both for central (the first NTV Russia 1 TNT STS and many others) and for local and thematic channels-musical sports news educational. You can filter transmission by genres (films TV shows sports programs, etc.) and also configure the list of interesting television programs to you personally. In addition, you can set up reminders about the beginning of your favorite television programs. You can configure notifications by mail. Television program in other cities of Russia: St. Petersburg Novosibirsk Yekaterinburg Nizhny Novgorod Kazan Chelyabinsk Omsk Samara Rostov-Na-Don.mail.mails to cancel the recommendations for the use of the materials of the need &lt;div Class = "JS-MODULE" Module = "Slotmodel" Data-View = "SlotView.674812" Data -id = "674812" Data-Brandsafety = ""&gt; &lt;/ Div&gt;</v>
      </c>
    </row>
    <row r="761">
      <c r="A761" s="1" t="s">
        <v>2487</v>
      </c>
      <c r="B761" s="1" t="s">
        <v>2497</v>
      </c>
      <c r="C761" s="1" t="s">
        <v>2498</v>
      </c>
      <c r="D761" s="1">
        <v>3.0</v>
      </c>
      <c r="E761" s="4" t="s">
        <v>2499</v>
      </c>
      <c r="F761" s="1" t="s">
        <v>16</v>
      </c>
      <c r="G761" s="1" t="s">
        <v>2500</v>
      </c>
      <c r="H761" s="4" t="s">
        <v>2501</v>
      </c>
      <c r="I761" s="2">
        <v>1.0</v>
      </c>
      <c r="J761" s="5" t="str">
        <f>IFERROR(__xludf.DUMMYFUNCTION("GOOGLETRANSLATE(A761)"),"Program Guide")</f>
        <v>Program Guide</v>
      </c>
      <c r="K761" s="6" t="str">
        <f>IFERROR(__xludf.DUMMYFUNCTION("GOOGLETRANSLATE(B761)"),"A television program for today, a program of programs for everything ...")</f>
        <v>A television program for today, a program of programs for everything ...</v>
      </c>
      <c r="L761" s="5" t="str">
        <f>IFERROR(__xludf.DUMMYFUNCTION("GOOGLETRANSLATE(C761)"),"The program for today and the next week for all channels of etheric, satellite and digital television.")</f>
        <v>The program for today and the next week for all channels of etheric, satellite and digital television.</v>
      </c>
      <c r="M761" s="5" t="str">
        <f>IFERROR(__xludf.DUMMYFUNCTION("GOOGLETRANSLATE(G761)"),"Satellite television NTV-Plus: buy digital hd TV prices by creating persons corporate customer to take a final service to ask for a partnemancam-shaped partners of the company of the company of the company Pressovnosyni Koordinaty Koordinatty Contacts in "&amp;"the NTV-Plusybanki requisite of the company Information for humbled persons Morporate Customer Partnemanmo Companies of the Company Persons region: Moscow Corporate Customer Partnemo Company TsadaadaadigayArchangelsk region Aastrakhan region, regionbashko"&amp;"rtelgorod region, Oblastvlavl region Volgograd region of the Voronezh region of the Voronezh region Region inchushetiykaskabardino-Balkariyakalingradsk region Kalmykiakaluga region Karachayevo-Cherkeliyakirovskoye region Krasnodar region of the Krakhkurga"&amp;"n region of the Kurskurgan region, Oblastskiye region of the Elmordoviamoskvamoskvamoskovsky region, Oblastppenzen region Perm Pepmsksky Kraipsskovsk Region region region region Sossamar region of the Sankkancaratov region Svenstlovsk region of Sosevastop"&amp;"olseye Ossetiyasmolensk region Stavropolskoye region of the Tatamovsky region of the Tutul region region region region of the same Manskiyskiy AOCHCHEBIABICHIABICARYARY Shska Republican-Nenets Aoyaroslavl region Plus the east of Aaltayaltya Kryburyazabiya"&amp;"zabaykalsky Kraiiirkutsk region of the Krasnoyarsk region of the Krainnetsky Aonovosibirskska region Oblosttomsk region of the Chancassia-Khakasius-Mansiyan-Mansiyan-Nenets Aomurskaya Aomurskaya Akamcamchatka Kraimmagadan region SSAKHALINSKAYA Oblast Krac"&amp;"hchukhukotsky Autonomous Okrugyakuyatyychy was not found. Try to change the conditions for searching for a searches 8 495 755 67 89-Russian8 800 555 67 89moskva8 495 755 67 89-Russian8 800 555 67 89 Online question Subscription TV (""Multoskrin"") Archive"&amp;" packages Cabinet Construction Agreement Follow Balance Balance Subscription Payment for Accounting and Special Reporting Program Blanks and Documents of Sales and Moving equipment and Instructions for the Grand Channel Capital and Responses to Knazelgde "&amp;"replace the access card for the recommendation of malfunctioning the issues and answers To see the online linen cabinet-make up the wwhatsapp+7 (916) 571 02 79 plus.comotolcho callsviber+7 (916) 571 02 79, in the Chatatelegramntvplus_comatic mode in Chata"&amp;"abonentamdhobe mode to a new convenient personal account. Check the balance and expenses for the previous month to replenish the invoice to change the subscription now it has become very easy to go to the personal account of the check -by -card to the sub"&amp;"counters of the subcutricry to register a new agreement on the new agreement! Our advantages of the image of the coloring in details: Bright color transmission and clarity of the picture without interference and pauses! Our advantages fill the score with "&amp;"any suit in the way! Pay services From the account of the mobile phone of MTS Megafon and Tele2 operators without commission, the advantageous signal throughout Russia is anywhere: both in the country house and in the apartment of television channels have"&amp;" gathered hundreds of the best channels from all over the world! Make sure of this yourself! All the Canal Basic online eaconoviju+amedia premium hdkino plussinport plusperhop -knowing, mesh -mesh -mesh -museum -mushroom -mushroomsviju movie cinema! Match"&amp;" premiere guests at the fairy tale Styltvt Hd Protext 1 (+2) Doctor Doctor+A DVENTUREMULTIMUZYSOVISKUBBOTA! DISTRODY HITUSADADA -Two FMMEARADIDIA RUSSIARIA BASTEBOLADECTIC -YUNISH CARRUSEL CARRUSEL (Carousel +2) Shayan TVPobedmorism. Золотая коллекцияDigi"&amp;"tal MediaМоторспорт ТВЗВЕЗДА ПлюсСТАРТRT DESTART AirBig PlanetWomen's MagazineМультиландияТелеканал «Общественное телевидение России» HDCuriosityStreamMAGNATBOLTStar CinemaКино без границКИНЕКОПервый каналРоссия 1Телеканал «Матч ТВ»НТВПетербург — 5 каналР"&amp;"оссия КРоссия‑24Детско‑юношеский телеканал «Карусель»Телеканал «Общественное телевидение России»ТВ ЦЕНТР — МоскваРЕН ТВСПАССТСДомашнийТВ‑3ПятницаЗвездаМирТНТМУЗПервый Channel Hdorossia 1 Hdelecanal “Match TV” (HD) NTV HDCHE BECALLY! Channel One (+2) NTV ("&amp;"+2) Fifth channel (+2) TV Center - Moscow (+2) REN TV (+2) Star (+2) ) TNT (+2) Kinomixes Cinema of the series HDA2HOLLYWOOD.Blackkhlkhl Prime Hdok world (HD) Box Tvmatch! Country! The Country of the HDELEKANAL 360AARRMENCE TTERARBEBTNET -Planetabelosgroz"&amp;"hezheznort (English) MIR 24MOSKVA 24MOSKVA 24RBK -TSOLNCETERRAME ELEARTG HDAwo 24VIJU NATUREOLOTE AND FISH365 TwHDLAVO PLUSMArtch! Arenamatch! Arena (HD) match! Gameatch! Game (HD) Match! Fighter HDMatch! Filetsdo Kinokinocomedia -Khojollywood HDA1APFIRNA"&amp;"SH New Cinema2x2bridge8 Canalfashion TV Networkworld Fashion Channelshoping Live Bob. ROSHOKAYURU.TVETET RADREAX FMUMUMOR FMRADOMI for two chronicles Vanyaenergydfm Russian radiohit FMMAXIMUMBUSINESS FMMILICAISKAIGE WARNACOMEDY RADIOOKomolskaya Pravdaurop"&amp;"a plus twel -minoradity my Russian romanbollywood HDKVN HDKVNN Favorite cinema HDKINOTVOP &amp; ShowDradio Mirlove Radiot MusicleOMax24 Russian Russia ( +2) TNT HDT -INSENTER CARENAL Carousel (+2) advancedbobot! Shayan Twadigital Mediart Deelecanal “Public Te"&amp;"levision of Russia” HDMAGNATE Channelrexia 1 Telkanal “Matcha TV” NTVPETERSK Carousel Carousel Channel ""Public Television Russia »TV Center - Moscow TTSPASSDOMATOTEV -3 -PICHEVZAZVAZZAZVAZZAZDMUZ -first HDTELECTALICALE NTV HDCH! NTV (+2) NTV (+2) Fifth C"&amp;"hannel (+2) TV Center (+2) REN TV (+2) Star (+2) TNT (+2) Kinomixmir series HD.Black Telechanal 360army Twsankt -Petersburgt -Planetabelosgrozhezhezhezhezhezhezhenyrt (English) Moscow 24 SOLNCE2X2BRIDGE8 Canalld Fashion Channelshoping Livebobyvi! Yuru.tve"&amp;"vrope plus twead myshop &amp; shuttvt Musicviju+ Sportviju+ Comedyviju+ Megahitviju+ Premiereviju+ Planetamedia Premium Premiumamedia HitNTVA SeriesyDoramacel l fankinojaszasniprus detectivekinolivingstart world familysapfir Hd Russian illusion Cinema.REDLUZI"&amp;"ON+.Sci -FIKINECO HDEVROKINOMEDIA Hitusan Besseller -Keeping Scary Television (ONI) House of Film Premium HDTOKA - TVAMMA -TV.COMTRACE SPORT StARSTARSTART TRIOMUFMARTS! Football 1 Match! Football 1 (HD) match! Football 2match! Football 2 (HD) match! Footb"&amp;"all 3Match! Football 3 (HD) EXTREME SPORTSTY TRASHMMA-TV.COMTRACE SPORT STARSTARSTAR TRAUMEFMARMATCH PREMERERMACTE! Football 1 Match! Football 1 (HD) match! Football 2match! Football 2 (HD) match! Football 3Match! Football 3 (HD) Match Prime Minister HDEX"&amp;"TREME SPORTSTYA Galacterra Hd Memoy Planetanakhanastoriyak is some kind of animals! Ducktvsuperheroid world HDBABY Timekids, guests at HDTIJIGULI GIRLILI GIRLMULLYMO We drove! Dialogues about fishing tanksuy! Central television television explorers. Eleva"&amp;"tion HDZharaterakafeshot TVBridge RockClassic Musicbridge ClassicmCmCmCmCmCMCMMCMMEZZOZOZOZO Livebridge Russian hitmezyr of the firstbridge deluxebarely Legalo - LARD LIPSBRAZZERSESK NIZEPLAYBOY TVBLUE HUSTLEVIJU TV1000VIJU TV1000 ActionViju TV1000 Russia"&amp;"n Historyviju ExploreDa Vincinchitino -Kino -Kinopremere HDMARMARMEN PC Premier HDNTV-Plus TV see the online way to watch your favorite programs films TV shows and sports broadcasts anywhere and at a convenient time! You do not need a satellite plate or r"&amp;"eceiver - only the Internet. More than 150 best channels are always with you! Do you know what kind of movie you watch tonight? Use the new convenient television program where the descriptions of each film and evaluations from the popular services of Kino"&amp;"Poisk and IMDB are presented. All Filmmys now07: 50th day of the first07: 55DO Kino Premium HDNAPART08: 25UNYUKUMLOVUKA for ghosts08: 35viju TV1000 Actione volt OLLYWOODLODENDA10: 15.SCI -FISEL TIME10: 15 Kino -Semyadvergent Chapter 3: Behind the wall11: "&amp;"15 illusion+eternity between our best sporting events. Sportshawly New News and Special offers. All News Follow the following news! On the NTV satellite platform, the broadcasting of the Bridge Classic TV channel. 9 Meet the new channels of the satellite "&amp;"platform NTV plus the TV channels “Visiting a Tale” and “My Elepe” in HD -format began broadcasting. 7 November 7, changes in the bonus program on December 1, 2023 Bonus points will be active for 12 months23 on the NTV -Plus digital platform “The best fil"&amp;"ms of the film studio” Lenfilm ”Now the NTV -Plus online television subscribers can watch the best films of the Lenfilm film studio on October 19 Planned Preventive Work on October 19, 2023 from 02:00 to 10:00 Moscow time on NTV Plus Preventive Work will "&amp;"be carried out. 13 October October Refine The subscriber agreement on September28, 2023 will come into force in the subscriber agreement. On September 18, amendments to the package of September 1, 2023 will be changes in packing on the NTV -Plus satellite"&amp;" platform. Meet Start! Meet the action! In the NTV -Plus TV service, the cinema of popular films and series of Start is now available. Promotion: Watch Start for the first 30 days for 0 rubles! On August 16, Changing Changes on August 14, 2023 Channel bro"&amp;"adcasting parameters will change: “Unicum” “Che” Classic Music.1 August START World1 August 2023 Changes in packing on the NTV -NTV platform will occur Plus July July 2 NTV-Plus LLC © 2023VS REALLY SAVED. SETALLY PROVENT OF SITE Materials without approval"&amp;". Legaldic address: 117587 Moscow Warsaw Highway d. 125 Section 10. OGRN 117774600567 CULTENCE-BELISTRY SALECTIONS OF SALECTIONS AND Special Prime Minister Ferm Online stores for processing personal data channels and tariffs of uniform packages and tariff"&amp;"s and tariffs read the cost of subscriptionsin TV (“Multoskrin”) Archive packages of the Assistance to replenish the Balance of the subscription payment for accounting and special proposal programs and documents for sales and service centers of sales and "&amp;"services the instructions and instructions for the maintenance of service and the answers to configure the channel replacing the card of access Eliminating faults. Questions and answers to bite with us: Support service time from 9:00 to 21:00 Daily Mosqui"&amp;"to8 495 755 67 89-Russian8 800 555 67 89 Russian 800 555 67 89 Online on social networks. News first-Livalous channels always with you personal cabinet management with you Television adapting the application for iOS, unfortunately, for reasons beyond the "&amp;"control of the iOS, was removed from the Apple Store, therefore, it will no longer be possible to install it on iOS devices. But you can manage the services on the site service.ntvplus.ru or download the application for Android. Close the application for "&amp;"iOS, But you can watch the video on ntvplus.tv or in applications for Android and Smart TV using a single user account. I am a subscriber of the NTV-Plus to go to the Personal Account to become a NTV-Plus subscriber to go to the design")</f>
        <v>Satellite television NTV-Plus: buy digital hd TV prices by creating persons corporate customer to take a final service to ask for a partnemancam-shaped partners of the company of the company of the company Pressovnosyni Koordinaty Koordinatty Contacts in the NTV-Plusybanki requisite of the company Information for humbled persons Morporate Customer Partnemanmo Companies of the Company Persons region: Moscow Corporate Customer Partnemo Company TsadaadaadigayArchangelsk region Aastrakhan region, regionbashkortelgorod region, Oblastvlavl region Volgograd region of the Voronezh region of the Voronezh region Region inchushetiykaskabardino-Balkariyakalingradsk region Kalmykiakaluga region Karachayevo-Cherkeliyakirovskoye region Krasnodar region of the Krakhkurgan region of the Kurskurgan region, Oblastskiye region of the Elmordoviamoskvamoskvamoskovsky region, Oblastppenzen region Perm Pepmsksky Kraipsskovsk Region region region region Sossamar region of the Sankkancaratov region Svenstlovsk region of Sosevastopolseye Ossetiyasmolensk region Stavropolskoye region of the Tatamovsky region of the Tutul region region region region of the same Manskiyskiy AOCHCHEBIABICHIABICARYARY Shska Republican-Nenets Aoyaroslavl region Plus the east of Aaltayaltya Kryburyazabiyazabaykalsky Kraiiirkutsk region of the Krasnoyarsk region of the Krainnetsky Aonovosibirskska region Oblosttomsk region of the Chancassia-Khakasius-Mansiyan-Mansiyan-Nenets Aomurskaya Aomurskaya Akamcamchatka Kraimmagadan region SSAKHALINSKAYA Oblast Krachchukhukotsky Autonomous Okrugyakuyatyychy was not found. Try to change the conditions for searching for a searches 8 495 755 67 89-Russian8 800 555 67 89moskva8 495 755 67 89-Russian8 800 555 67 89 Online question Subscription TV ("Multoskrin") Archive packages Cabinet Construction Agreement Follow Balance Balance Subscription Payment for Accounting and Special Reporting Program Blanks and Documents of Sales and Moving equipment and Instructions for the Grand Channel Capital and Responses to Knazelgde replace the access card for the recommendation of malfunctioning the issues and answers To see the online linen cabinet-make up the wwhatsapp+7 (916) 571 02 79 plus.comotolcho callsviber+7 (916) 571 02 79, in the Chatatelegramntvplus_comatic mode in Chataabonentamdhobe mode to a new convenient personal account. Check the balance and expenses for the previous month to replenish the invoice to change the subscription now it has become very easy to go to the personal account of the check -by -card to the subcounters of the subcutricry to register a new agreement on the new agreement! Our advantages of the image of the coloring in details: Bright color transmission and clarity of the picture without interference and pauses! Our advantages fill the score with any suit in the way! Pay services From the account of the mobile phone of MTS Megafon and Tele2 operators without commission, the advantageous signal throughout Russia is anywhere: both in the country house and in the apartment of television channels have gathered hundreds of the best channels from all over the world! Make sure of this yourself! All the Canal Basic online eaconoviju+amedia premium hdkino plussinport plusperhop -knowing, mesh -mesh -mesh -museum -mushroom -mushroomsviju movie cinema! Match premiere guests at the fairy tale Styltvt Hd Protext 1 (+2) Doctor Doctor+A DVENTUREMULTIMUZYSOVISKUBBOTA! DISTRODY HITUSADADA -Two FMMEARADIDIA RUSSIARIA BASTEBOLADECTIC -YUNISH CARRUSEL CARRUSEL (Carousel +2) Shayan TVPobedmorism. Золотая коллекцияDigital MediaМоторспорт ТВЗВЕЗДА ПлюсСТАРТRT DESTART AirBig PlanetWomen's MagazineМультиландияТелеканал «Общественное телевидение России» HDCuriosityStreamMAGNATBOLTStar CinemaКино без границКИНЕКОПервый каналРоссия 1Телеканал «Матч ТВ»НТВПетербург — 5 каналРоссия КРоссия‑24Детско‑юношеский телеканал «Карусель»Телеканал «Общественное телевидение России»ТВ ЦЕНТР — МоскваРЕН ТВСПАССТСДомашнийТВ‑3ПятницаЗвездаМирТНТМУЗПервый Channel Hdorossia 1 Hdelecanal “Match TV” (HD) NTV HDCHE BECALLY! Channel One (+2) NTV (+2) Fifth channel (+2) TV Center - Moscow (+2) REN TV (+2) Star (+2) ) TNT (+2) Kinomixes Cinema of the series HDA2HOLLYWOOD.Blackkhlkhl Prime Hdok world (HD) Box Tvmatch! Country! The Country of the HDELEKANAL 360AARRMENCE TTERARBEBTNET -Planetabelosgrozhezheznort (English) MIR 24MOSKVA 24MOSKVA 24RBK -TSOLNCETERRAME ELEARTG HDAwo 24VIJU NATUREOLOTE AND FISH365 TwHDLAVO PLUSMArtch! Arenamatch! Arena (HD) match! Gameatch! Game (HD) Match! Fighter HDMatch! Filetsdo Kinokinocomedia -Khojollywood HDA1APFIRNASH New Cinema2x2bridge8 Canalfashion TV Networkworld Fashion Channelshoping Live Bob. ROSHOKAYURU.TVETET RADREAX FMUMUMOR FMRADOMI for two chronicles Vanyaenergydfm Russian radiohit FMMAXIMUMBUSINESS FMMILICAISKAIGE WARNACOMEDY RADIOOKomolskaya Pravdauropa plus twel -minoradity my Russian romanbollywood HDKVN HDKVNN Favorite cinema HDKINOTVOP &amp; ShowDradio Mirlove Radiot MusicleOMax24 Russian Russia ( +2) TNT HDT -INSENTER CARENAL Carousel (+2) advancedbobot! Shayan Twadigital Mediart Deelecanal “Public Television of Russia” HDMAGNATE Channelrexia 1 Telkanal “Matcha TV” NTVPETERSK Carousel Carousel Channel "Public Television Russia »TV Center - Moscow TTSPASSDOMATOTEV -3 -PICHEVZAZVAZZAZVAZZAZDMUZ -first HDTELECTALICALE NTV HDCH! NTV (+2) NTV (+2) Fifth Channel (+2) TV Center (+2) REN TV (+2) Star (+2) TNT (+2) Kinomixmir series HD.Black Telechanal 360army Twsankt -Petersburgt -Planetabelosgrozhezhezhezhezhezhezhenyrt (English) Moscow 24 SOLNCE2X2BRIDGE8 Canalld Fashion Channelshoping Livebobyvi! Yuru.tvevrope plus twead myshop &amp; shuttvt Musicviju+ Sportviju+ Comedyviju+ Megahitviju+ Premiereviju+ Planetamedia Premium Premiumamedia HitNTVA SeriesyDoramacel l fankinojaszasniprus detectivekinolivingstart world familysapfir Hd Russian illusion Cinema.REDLUZION+.Sci -FIKINECO HDEVROKINOMEDIA Hitusan Besseller -Keeping Scary Television (ONI) House of Film Premium HDTOKA - TVAMMA -TV.COMTRACE SPORT StARSTARSTART TRIOMUFMARTS! Football 1 Match! Football 1 (HD) match! Football 2match! Football 2 (HD) match! Football 3Match! Football 3 (HD) EXTREME SPORTSTY TRASHMMA-TV.COMTRACE SPORT STARSTARSTAR TRAUMEFMARMATCH PREMERERMACTE! Football 1 Match! Football 1 (HD) match! Football 2match! Football 2 (HD) match! Football 3Match! Football 3 (HD) Match Prime Minister HDEXTREME SPORTSTYA Galacterra Hd Memoy Planetanakhanastoriyak is some kind of animals! Ducktvsuperheroid world HDBABY Timekids, guests at HDTIJIGULI GIRLILI GIRLMULLYMO We drove! Dialogues about fishing tanksuy! Central television television explorers. Elevation HDZharaterakafeshot TVBridge RockClassic Musicbridge ClassicmCmCmCmCmCMCMMCMMEZZOZOZOZO Livebridge Russian hitmezyr of the firstbridge deluxebarely Legalo - LARD LIPSBRAZZERSESK NIZEPLAYBOY TVBLUE HUSTLEVIJU TV1000VIJU TV1000 ActionViju TV1000 Russian Historyviju ExploreDa Vincinchitino -Kino -Kinopremere HDMARMARMEN PC Premier HDNTV-Plus TV see the online way to watch your favorite programs films TV shows and sports broadcasts anywhere and at a convenient time! You do not need a satellite plate or receiver - only the Internet. More than 150 best channels are always with you! Do you know what kind of movie you watch tonight? Use the new convenient television program where the descriptions of each film and evaluations from the popular services of KinoPoisk and IMDB are presented. All Filmmys now07: 50th day of the first07: 55DO Kino Premium HDNAPART08: 25UNYUKUMLOVUKA for ghosts08: 35viju TV1000 Actione volt OLLYWOODLODENDA10: 15.SCI -FISEL TIME10: 15 Kino -Semyadvergent Chapter 3: Behind the wall11: 15 illusion+eternity between our best sporting events. Sportshawly New News and Special offers. All News Follow the following news! On the NTV satellite platform, the broadcasting of the Bridge Classic TV channel. 9 Meet the new channels of the satellite platform NTV plus the TV channels “Visiting a Tale” and “My Elepe” in HD -format began broadcasting. 7 November 7, changes in the bonus program on December 1, 2023 Bonus points will be active for 12 months23 on the NTV -Plus digital platform “The best films of the film studio” Lenfilm ”Now the NTV -Plus online television subscribers can watch the best films of the Lenfilm film studio on October 19 Planned Preventive Work on October 19, 2023 from 02:00 to 10:00 Moscow time on NTV Plus Preventive Work will be carried out. 13 October October Refine The subscriber agreement on September28, 2023 will come into force in the subscriber agreement. On September 18, amendments to the package of September 1, 2023 will be changes in packing on the NTV -Plus satellite platform. Meet Start! Meet the action! In the NTV -Plus TV service, the cinema of popular films and series of Start is now available. Promotion: Watch Start for the first 30 days for 0 rubles! On August 16, Changing Changes on August 14, 2023 Channel broadcasting parameters will change: “Unicum” “Che” Classic Music.1 August START World1 August 2023 Changes in packing on the NTV -NTV platform will occur Plus July July 2 NTV-Plus LLC © 2023VS REALLY SAVED. SETALLY PROVENT OF SITE Materials without approval. Legaldic address: 117587 Moscow Warsaw Highway d. 125 Section 10. OGRN 117774600567 CULTENCE-BELISTRY SALECTIONS OF SALECTIONS AND Special Prime Minister Ferm Online stores for processing personal data channels and tariffs of uniform packages and tariffs and tariffs read the cost of subscriptionsin TV (“Multoskrin”) Archive packages of the Assistance to replenish the Balance of the subscription payment for accounting and special proposal programs and documents for sales and service centers of sales and services the instructions and instructions for the maintenance of service and the answers to configure the channel replacing the card of access Eliminating faults. Questions and answers to bite with us: Support service time from 9:00 to 21:00 Daily Mosquito8 495 755 67 89-Russian8 800 555 67 89 Russian 800 555 67 89 Online on social networks. News first-Livalous channels always with you personal cabinet management with you Television adapting the application for iOS, unfortunately, for reasons beyond the control of the iOS, was removed from the Apple Store, therefore, it will no longer be possible to install it on iOS devices. But you can manage the services on the site service.ntvplus.ru or download the application for Android. Close the application for iOS, But you can watch the video on ntvplus.tv or in applications for Android and Smart TV using a single user account. I am a subscriber of the NTV-Plus to go to the Personal Account to become a NTV-Plus subscriber to go to the design</v>
      </c>
    </row>
    <row r="762">
      <c r="A762" s="1" t="s">
        <v>2487</v>
      </c>
      <c r="B762" s="1" t="s">
        <v>2502</v>
      </c>
      <c r="C762" s="1" t="s">
        <v>2503</v>
      </c>
      <c r="D762" s="1">
        <v>4.0</v>
      </c>
      <c r="E762" s="4" t="s">
        <v>2504</v>
      </c>
      <c r="F762" s="1" t="s">
        <v>16</v>
      </c>
      <c r="G762" s="1" t="s">
        <v>2505</v>
      </c>
      <c r="H762" s="4" t="s">
        <v>2506</v>
      </c>
      <c r="I762" s="2">
        <v>1.0</v>
      </c>
      <c r="J762" s="5" t="str">
        <f>IFERROR(__xludf.DUMMYFUNCTION("GOOGLETRANSLATE(A762)"),"Program Guide")</f>
        <v>Program Guide</v>
      </c>
      <c r="K762" s="6" t="str">
        <f>IFERROR(__xludf.DUMMYFUNCTION("GOOGLETRANSLATE(B762)"),"Program program for today and a week")</f>
        <v>Program program for today and a week</v>
      </c>
      <c r="L762" s="5" t="str">
        <f>IFERROR(__xludf.DUMMYFUNCTION("GOOGLETRANSLATE(C762)"),"Fresh programs for today and a week. The first, Russia, TNT, STS and other television channels. Study and watch TV online!")</f>
        <v>Fresh programs for today and a week. The first, Russia, TNT, STS and other television channels. Study and watch TV online!</v>
      </c>
      <c r="M762" s="5" t="str">
        <f>IFERROR(__xludf.DUMMYFUNCTION("GOOGLETRANSLATE(G762)"),"TV online - Watch free live broadcast - federalt! Watch the TV in the Square application online program online - watch a live broadcast for free, take a straight broadcast for free federal -TV - TV online Nytkurin, 38 minutes05: 4507: 00 -first Canalpod. "&amp;"Lab. Easy money was 33 minutes 06: 1006: 55 counters, 38 minutes06: 0007: 00match! Mixed martial arts. UFC. Irji Prokhazka against Alex Pereira. Sergey Pavlovich against Tom Aspinell. The broadcast from the USA was 2 hours 38 minutes06: 0009: 00 nitvlits "&amp;"of broken lamps. Nutcracker and Mowgli. Season 13. The series 34 was 13 minutes 05: 4206: 35RN-over-shocking hypothesive 38 minutes05: 0007: 00 Fifth Canal Proceedings. My terrible school. Season 1. Series 244 (it was 33 minutes 06: 0506: 55TTV3Multfillat"&amp;"ion, 1 hour 23 minutes 06: 0007: 45MUZ-TOKARAROKINGOST 38 minutes05: 0007: 00 fucked-up! Prostokvashino. Kus. Season 4. The series 2 was 3 minutes 06: 2006: 25 Subbot (formerly super) fairy tale cars. Snow Maiden. Season 1. Episode 9 remained 8 minutes 06"&amp;": 2006: 30nt4Comedy classic. Season 10. The series 14 was 18 minutes 06: 0006: 40 forth video. Season 2019. The series 68 was 23 minutes 06: 2006: 452x2 multfillations 1 hour 13 minutes06: 0007: 35 house effect of Matrona. The story of Nina Zueva. Season "&amp;"1. The series 21 has been 8 minutes 05: 4306: 30 tss Lovetri Kota. Small races. Season 2. The series 13 was 1 minute 06: 1706: 23 IzvestianoStiyanostyanostyanostye was 7 minutes06: 1606: 29 murmults, 13 minutes05: 0006: 35 -spacing the saint washed 28 min"&amp;"utes06: 1506: 50 curules, 38 minutes06: 000 00 solnsemash and the bear. 3 minutes 05: 0006: 55 Soviet cartoons were 56 minutes05: 5907: 18TRTSTSISTSEN 58 minutes06: 0007: 20 Zvezdakh knew only in the face 48 minutes05: 3007: 10TV centered 1 hour 3 minutes"&amp;" 06: 0507: 25YUMASHI and the bear. The cry of victory. Season 2. The series 21 has been 3 minutes 06: 1506: 25 Sovetic film Nash Bronewater trained 8 minutes03: 4306: 30 Clussika movie adventures Swedical 1 hour 3 minutes 06: 1407: 25 Kinosalezon Guardian"&amp;"s of time 1 hour 4 minutes 05: 5407: 26MOSKVA 24THE CITY. We eat. The twist on France was 17 hours 38 minutes 05: 3500: 00360 Interview 8 minutes: 0006: 30Bridge TV Russian hits the best songs, it was 2 hours 38 minutes: 00bridge TV hits -rhiza hits! 4 ho"&amp;"urs 38 minutes 06: 00bridge tvmusic hitsi was settled 8 minutes 01: 0007: 00bridge TV Classic-Wrong collection clipped 1 hour 38 minutes06: 0008: 00tt Music-leafed 1 hour 38 minutes06: 1008: 00 look online on the air for free on the federal website, you c"&amp;"an legally watch your favorite online TV on the air without registration and completely free! On the website of the website of the confidentiality of the Association Agreement")</f>
        <v>TV online - Watch free live broadcast - federalt! Watch the TV in the Square application online program online - watch a live broadcast for free, take a straight broadcast for free federal -TV - TV online Nytkurin, 38 minutes05: 4507: 00 -first Canalpod. Lab. Easy money was 33 minutes 06: 1006: 55 counters, 38 minutes06: 0007: 00match! Mixed martial arts. UFC. Irji Prokhazka against Alex Pereira. Sergey Pavlovich against Tom Aspinell. The broadcast from the USA was 2 hours 38 minutes06: 0009: 00 nitvlits of broken lamps. Nutcracker and Mowgli. Season 13. The series 34 was 13 minutes 05: 4206: 35RN-over-shocking hypothesive 38 minutes05: 0007: 00 Fifth Canal Proceedings. My terrible school. Season 1. Series 244 (it was 33 minutes 06: 0506: 55TTV3Multfillation, 1 hour 23 minutes 06: 0007: 45MUZ-TOKARAROKINGOST 38 minutes05: 0007: 00 fucked-up! Prostokvashino. Kus. Season 4. The series 2 was 3 minutes 06: 2006: 25 Subbot (formerly super) fairy tale cars. Snow Maiden. Season 1. Episode 9 remained 8 minutes 06: 2006: 30nt4Comedy classic. Season 10. The series 14 was 18 minutes 06: 0006: 40 forth video. Season 2019. The series 68 was 23 minutes 06: 2006: 452x2 multfillations 1 hour 13 minutes06: 0007: 35 house effect of Matrona. The story of Nina Zueva. Season 1. The series 21 has been 8 minutes 05: 4306: 30 tss Lovetri Kota. Small races. Season 2. The series 13 was 1 minute 06: 1706: 23 IzvestianoStiyanostyanostyanostye was 7 minutes06: 1606: 29 murmults, 13 minutes05: 0006: 35 -spacing the saint washed 28 minutes06: 1506: 50 curules, 38 minutes06: 000 00 solnsemash and the bear. 3 minutes 05: 0006: 55 Soviet cartoons were 56 minutes05: 5907: 18TRTSTSISTSEN 58 minutes06: 0007: 20 Zvezdakh knew only in the face 48 minutes05: 3007: 10TV centered 1 hour 3 minutes 06: 0507: 25YUMASHI and the bear. The cry of victory. Season 2. The series 21 has been 3 minutes 06: 1506: 25 Sovetic film Nash Bronewater trained 8 minutes03: 4306: 30 Clussika movie adventures Swedical 1 hour 3 minutes 06: 1407: 25 Kinosalezon Guardians of time 1 hour 4 minutes 05: 5407: 26MOSKVA 24THE CITY. We eat. The twist on France was 17 hours 38 minutes 05: 3500: 00360 Interview 8 minutes: 0006: 30Bridge TV Russian hits the best songs, it was 2 hours 38 minutes: 00bridge TV hits -rhiza hits! 4 hours 38 minutes 06: 00bridge tvmusic hitsi was settled 8 minutes 01: 0007: 00bridge TV Classic-Wrong collection clipped 1 hour 38 minutes06: 0008: 00tt Music-leafed 1 hour 38 minutes06: 1008: 00 look online on the air for free on the federal website, you can legally watch your favorite online TV on the air without registration and completely free! On the website of the website of the confidentiality of the Association Agreement</v>
      </c>
    </row>
    <row r="763">
      <c r="A763" s="1" t="s">
        <v>2487</v>
      </c>
      <c r="B763" s="1" t="s">
        <v>2507</v>
      </c>
      <c r="D763" s="1">
        <v>5.0</v>
      </c>
      <c r="E763" s="4" t="s">
        <v>2508</v>
      </c>
      <c r="F763" s="1" t="s">
        <v>16</v>
      </c>
      <c r="G763" s="1" t="s">
        <v>2509</v>
      </c>
      <c r="H763" s="4" t="s">
        <v>2510</v>
      </c>
      <c r="I763" s="2">
        <v>2.0</v>
      </c>
      <c r="J763" s="5" t="str">
        <f>IFERROR(__xludf.DUMMYFUNCTION("GOOGLETRANSLATE(A763)"),"Program Guide")</f>
        <v>Program Guide</v>
      </c>
      <c r="K763" s="6" t="str">
        <f>IFERROR(__xludf.DUMMYFUNCTION("GOOGLETRANSLATE(B763)"),"Program program in Novosibirsk: for today, on ...")</f>
        <v>Program program in Novosibirsk: for today, on ...</v>
      </c>
      <c r="L763" s="5" t="str">
        <f>IFERROR(__xludf.DUMMYFUNCTION("GOOGLETRANSLATE(C763)"),"#VALUE!")</f>
        <v>#VALUE!</v>
      </c>
      <c r="M763" s="5" t="str">
        <f>IFERROR(__xludf.DUMMYFUNCTION("GOOGLETRANSLATE(G763)"),"The program program in Moscow: for today for tomorrow for a week - a TV program Starhitvash Browser is outdated, therefore, the site can not be displayed incorrectly. Update your browser to increase the level of speed and comfort of using this site. Updat"&amp;"e the television program of television programs of the star -stellarmogram monk for today - Moskvasesey) 13W 14CH 14CH 16PT 17PT 17SB 18 Seriylyno -Sports of Sports of Loading ... The first05: 10 Podkasta. Lab 16+06: 10 Poddokast. Lab 16+06: 55 playing ha"&amp;"rmonies beloved! 12+07: 40 hours 12+08: 10 Sosdorovy 16+09: 20 ""Dreamalon"". National Lottery 12+09: 40 ""Non -pulp notes"" with Dmitry Krylov 12+10: 00 nobility (with subtitles) 10: 15 Prime Minister. ""Life"" 12+11: 05 premiere. ""Cooks on wheels"" 12+"&amp;"12: 00 nobility (with subtitles) 12: 15 Video? 0+13: 45 Son Son 12+16: 25 ""Hot ice"". Figure skating. Grand Prix of Russia-2023. Arbitrary P ... 18: 00 -haired news (with subtitles) 19: 00 Prime Minister. ""Dispers of Star"" 12+21: 00 time 23: 00zhanna 1"&amp;"6+00: 50 podkasta.mam 16+01: 35 podkasta. Lab 16+02: 20 podkasta. Lab 16+03: 10 podkast. Lab 16+04: 00 podkast. Lab 16+04+04 : 57 Test in broadcasting The whole program Russia 106: 09 Test in broadcasting 06: 10all in search of Alla 12+08: 00. Sunday 08: "&amp;"35th. All houses with Timur Kizyakov 09: 25 -month mail with Nikolai Baskov 10: 10 Sto to one 11: 00 Voro 12: 00 Changes 13: 00hrustic happiness 12+17: 00 -owned 17: 50 Pesnya with all my heart 12+20: 00 Wing 22: 00 Below 22 weeks : 00moskva. Kremlin. Put"&amp;"in 22: 40 -Waste evening with Vladimir Solovyov 12+01: 30alla in search of Alla 12+03: 13 Test in broadcasting the whole program match! 06: 00 ridiculous martial arts. UFC. Direct broadcast from the United States 09: 00 News 09: 05vs for the match! 10: 00"&amp;" Liga Heroes 12+11: 05 Op inhalation 12+13: 15VS for the match! 13: 50 Novosti 13: 55 -volume in the snow. Russian championship. The final. Direct broadcast from Novo ... 16: 00vs for the match! 16: 25 Basketball. Unified VTB League. Direct broadcast 18: "&amp;"30VS for the match! 19: 00 -football. The world is Russian Premier League. Direct broadcast 21:30 ""After football"" with George Cherdantsev 22: 40 football. Italian championship. Direct broadcast 00: 45 football. Brazil championship. Direct broadcast 02:"&amp;" 30 mixed martial arts. UFC. Broadcast from the United States 16+04: 00 nobility 0+04: 05 football. German Championship 6+the entire NTV05 program: 40wells of broken lamps-13 16+06: 35-central television 16+08: 00 this day 08: 20 I win us! 12+10: 00 thous"&amp;"and: 20 first program 16+11: 00 Chudo technology 12+11: 55 -day answer 0+13: 00nashpotrebnadzor 16+14: 05: 16+15: 00svoi game 0+16: 00 thousand 16: 20 people in the right With Andrei Kunitsyn 16+17: 00 The investigation was carried out ... 16+19: 00 “Resu"&amp;"lts of the week” with Irada Zeynalova 20: 20orginal musical “Show Avatar” 12+23: 20 STARS FRIEND 16+00: 55KVARIC NTV at Margulis 16+02: 50 Subters and shadow of the beacon 16+03: 25 Subters and shadow of the lighthouse 16+04: 00svet and shadow of the ligh"&amp;"thouse 16+04: 49 Practice in broadcasting 04: 50 Ulits of broken lamps-13 16+The entire program fifth channel05: 00mash and bear 0+05: 10 Prosecutor’s check 16+06: 05 prosecutor's inspection 16+06: 55 NOVARY 16+07: 45 NOVARY 16+08: 40 NOT 4+09: 30 REMOVER"&amp;" 16+10: 25 NOVARY 16+11: 20 NEW 16+12: 15 REMOVARY 16+13: 10 NEVER 16+14: 14: 14: 14: 14: 14: 14: 10 -standing 16+15: 05 LEARTH 16+15: 55 LEARTH 16+16: 45 LEARTH 16+17: 40NASH Special Forces 12+18: 40Nash Special Forces 12+19: 35NASH Special Forces 12+20:"&amp;" 25 Nash Special Forces 12+21: 20 Nash Special Forces 12+22: 22: 22: 22: 22: 15 Nash Special Forces 12+23: 10 Philine 16+00: 05Filin 16+00: 55 Tyghaya hunt 16+01: 45 Tyghaya hunt 16+02: 30 Tyhay hunt 16+03: 15 Tyhay hunt 16+03: 55 Perseles 16+04: 40 Perse"&amp;"les 16+The whole program+The whole program Home06: 30 effect of Matrona 16+06: 40 Work and Driving 16+10: 15 for 15 minutes 16+10: 30 Non -high forgiveness 16+14: 45 Ty in my heart 16+19: 00 Yar. Flame 16+22: 45th Domas Doctor 16+23 : 00 family portrait 1"&amp;"6+02: 25 effect of Matrona 16+TNT05: 30 INSTRUCTION 16+05: 45 -courine race 6+07: 00th day in Russia. Special Dagages 2023 16+08: 00 item in Russia. Special Dagestes 2023 16+09: 00 picniki 16+09: 30 Bitts of picnics 16+10: 00ecostasens. Battle of the stro"&amp;"ngest 16+10: 30 Extranses. Battle of the strongest 16+11: 00ecstrasens. Battle of the strongest 16+13: 30 Extranses. Battle of the strongest 16+16: 00ecstrasens. The battle of the strongest 16+18: 30NOTA stars in Africa 16+21: 00 Liga cities 16+23: 00 shu"&amp;"ttle will 16+00: 10 Yarsche stars 16+01: 40 I do not believe you 16+02: 30, I do not believe you 16+03: 15MOMODICIZATION. Teams. Digest 16+04: 00Movision. Teams. Digest 16+04: 50 ""Studio"" Soyuz ""16+the Mir05 program: 00multfilms 6+06: 35 I capabilities"&amp;" 12+07: 00 Scab about how King Pyotr Arapa married 16+09: 00 a birthday in the USSR 16+09: 30 Fazendalife 6+ 10: 00 Novosti 10: 10: 10+11: 40 Legs about a circle 16+15: 20 Luminous Varvara-3 16+16: 00 News 16: 15 Luminous Varvara-3 16+18: 30 Varvara Barba"&amp;"ra-3 16+00: 00 Varvas. 16+01: 00 Scab about how Tsar Peter Arapa married 16+02: 40 Hands of life 16+04: 20 multfilms 6+the entire program STS05: 056 frames 16+05: 10 multfilms 0+05: 50ralash 16+06: 00ralash 0+07: 00 ""Hotel"" at the sheep ""0+07: 30 Ural "&amp;"dumplings 16+09: 00rogs in the case 16+10: 00 Ural dumplings 16+10: 30 Ural craftsmen 16+10: 55ural dumplings 16+11: 20mam will be against 16+14: 00 -sized The period is 0+15: 35 Valnic period-2. Global warming 0+17: 20 Valnic period-3. The era of dinosau"&amp;"rs 0+19: 15 Valnic period-4. Continental drift 0+21: 00 Titanic 16+01: 00schef Adam Jones 18+02: 45-Stew-Fede 16+The entire program TV Center05: 20 Nazad in the USSR 16+06: 05 order 16+07: 25 HEARTS SAMITY 16+07: 50 FLASIC-4 12+08: 0 : 00 expensive comrad"&amp;"es. Sunny Secretary General 16+15: 55rs secrets. In bed with a spy 16+16: 40 Lessidenesh 16+17: 35 Lyadenesh 16+18: 50 Shahmati queen 16+19: 40 School queen 16+20: 40 School queen 16+21: 35 School queen 16+22+22: 40 millionaire 12+23: 25 Millionaires 12+ "&amp;"12+ 00: 25 Hollow 6+00: 40 millionaire 12+01: 25 millionaire 12+02: 20 Petrovka 38. Special Saturday production 16+02: 30 from Siberia with love! 12+03: 10 from Siberia with love! 12+03: 50 from Siberia with love! 12+04: 30 from Siberia with love! 12+The "&amp;"entire program public television of Russia06: 00 Clubs 12+07: 20 Dialogs without makeup 12+07: 35ot rights to capabilities 12+07: 50th country 12+08: 45 Tsepapra and crane 0+09: 00vso in an adult 09: 45 calendar 12+ 10: 10 NEW DRISION OF THE COMPLEMENT wi"&amp;"th Maryana Lysenko 12+11: 05th story 12+11: 50 News 11: 55kino at all times 12+12: 50 golden collection of non -aggregate cinema. Russia XX Century 16+13: 00VZHZHING FOR FIRST 12+13: 15 Special project OTP ""Designers of the Future"" 12+13: 30 Grand Count"&amp;"ry 12+14: 30 Calendar 12+15: 00 Nobo 15: 05Saure sea path 12+15: 35Gala-concert of the festival ""In the name of life"" dedicated to the work of Alex ... 12+16: 30svet and shadow 16+17: 00 aukograd 12+17: 25 shelling in the back 12+19: 00 nobody 19: 05 cl"&amp;"ub of the main editors with Pavel Gusev 12+19: 45th length in the length in Life 16+21: 20 Taxi-Blub 16+23: 05 Gunda 6+00: 35 Party and grandfathers 12+01: 55franz 16+03: 45 Tyu yes I am 16+04: 15 Batry-peasants 12+The whole program culture06: 30multfilms"&amp;" 07: 30 Porus 07: 50 PODIRUS 08: 10 POPIC 08: 30 PODIRUS 08: 50 POMIRU 09: 10 POMIS 09: 30 DEALOVs of animals 10: 15USTRADE MARFINO. Soviet Hollywood 10: 55 Legends of world cinema 11: 20 Personal Tours 12: 30 Like Routes of Russia 13: 10 -evsky Ark. Theo"&amp;"ry of the impossible 13:40 “Game of Beads” with Igor Volgin 14: 25 Collection 14: 55 Chudo in Milan 16: 30 Cartin of the world with Mikhail Kovalchuk 17: 10 first in the world 17: 30 Life 18: 20 Dinara Aliyev. The romances of N. Rimsky-Korsakov P. Tchaiko"&amp;"vsky and S. Rach ... 19: 30th culture 19: 45th culture with Vladislav Flyarkovsky 20: 25kin-dza-dza! 22: 35 films-ballet ""Twelfth night or whatever"" 23: 55 Poreal tour 01: 05 Diagles about animals 01: 45 players 02:30 ""Robbery on ... 2"". ""Magnificent"&amp;" Gosha"" 03: 00 Test in broadcasting the entire TV-305: 15Multfilms 0+06: 00 multfilms 0+07: 45 Secrets of Health 16+08: 00vkosno with Lyaysan 16+08: 30noy day 12+09: 00 Money 16+10: 10: 10+10: 00 athrome news with Vasilisa Volodina 16+10: 30 Lestum Hero "&amp;"16+11: 45, 45, 45 Lavernik 16+13: 45 Lavernik 16+14: 45 Lavernik 16+15: 45, 45, 16+16: 45 Lavernik 16+17: 45 Lavernik 16+18+18: 45 Zheleznik 16+20: 00 Lavernik 16+21: 00 zeroil 16+22: 00 zeroil 16+23: 00urdik 16+00: 00 ""Coordinates"" Citadel 16+01: 30 Pr"&amp;"esents 18+03: 00 Test of force 16+03: 30 Test of force 16+ 04: 15 months of force 16+the entire program REN TV05: 00 Schoking hypotheses 16+07: 00s Bodry in the morning! 16+08: 30 News 16+09: 00 School program 16+09: 30 Do you know what? 16+10: 30 Nauka a"&amp;"nd equipment and technology 16+11: 30 Estimated history 16+12: 30 nobility 16+13: 00 a dragon of the dragon 16+14: 55 Besterny 16+17: 00 Serds from steel 16+19: 05 APGRAD 16+21: 00 Hooper on monsters 16+23: 00atically program with Petr Marchenko 16+23: 55"&amp;" Schoking hypotheses 16+The whole program of the star05: 30 knew only in the face of 12+07: 10 Waiting for Colonel Shalygin 12+09: 00 ""News of the Week"" with Yuri Podkopaev 16+09: 25 I will serve Russia 12+09: 55 Water acceptance 12 +10: 40 “Hidden thre"&amp;"ats” with Nikolai Chindyaykin 16+11: 30 core access 12+12: 20 “Army Legends” with Alexander Marshal 12+13: 10 S special report 16+13: 50 Speaking assignment 16+16: 05 Vorchaznit at dawn 16+ 18:00 ""Main"" with Olga Belova 16+19: 45 Legends of the Sovetsky"&amp;" Investigation 16+23: 00fetis 12+23: 50 people of Donbass 16+00: 10 sergeant of police 12+03: 50 Speaking assignment 16+The whole program Savior TV05: 00 Gospel out loud 0+ 06: 15 Washing of the Holy Monastery 0+06: 50 in the search for God 6+07: 20 Profe"&amp;"ssor Osipov 0+07: 55 Subtarius of Russia 6+09: 00 Wrong miracles 12+10: 00 -only liturgy 0+12: 45 zavet 6+13: 50 Russian world 12+15+15 : 00-leggy is looking for a father 0+16: 55 Denelve 16+17: 25-wing 12+18: 00 ""Main"" with Anna Safran 16+20: 05 dawn 1"&amp;"6+21: 50 Biology of betrayal 12+23: 00 Beson 18+00: 10 STIMS 16 +01: 30th Patriarch 0+01: 45 ""Main"" with Anna Sharfran 16+03: 30 ""Traces of the Empire"" with Arkady Mammontov 12+The entire program Friday05: 00 Fuck News 16+05: 25 Takes of Honey Valley "&amp;"12+05: 30 Tales Hedica Valley 12+05: 35 tenders of the honey valley 12+05: 45 Prostokvashino 12+05: 50 Prostokvashino 12+06: 00 fucker News 16+06: 20 Prostokvashino 0+06: 25 Prostokvashino 0+06: 35 Prostokvashino 0+06: 40 Prostokvashino 0+06: 50 cup Eudo "&amp;"6+08: 20 WHOLLOGRANT Startups 16+09: 00Trevel-Battl 16+10: 00 Plant move 16+11: 00 16+13: 00 Bitter of chefs 16+15: 00 Bitter of chefs 16+17: 20 Bitts of chefs 16+19: 30 Bitter of chefs 16+21: 50Ad chef 16+00: 30vo King's name: the history of the siege of"&amp;" the dungeon 16+02: 30 black list 16+03 : 30 black list 16+04: 20 fuckers News 16+04: 50trevel-Battl 16+the entire carousel program05: 00 early birds 0+07: 00s good morning kids! 0+07: 30VIP Pets 6+08: 05 Dracosia 0+09: 00ed with a bang! 0+09: 25 Petronik"&amp;"s 0+10: 00barbooskins 0+11: 00 Beauty 0+11: 20 Tsarevna 0+13: 05 Winx 6+14: 00 ""Hour"" Soyuzmultfilm ""6+15: 00fixiki. Give five! 0+17: 00 Luntik 0+18: 40 Kosheki-horseman 0+20: 30 Copical night kids! 0+20: 45 Ovetel for sheep 0+22: 30 heroes Gudzitsu 6+"&amp;"22: 40 Flip Chenger 6+23: 15Fuzhn Max 6+23: 40ralash 6+00: 30 Bububa 6+01: 30 GRIZLILS AND LEMMINGS 6+02: 30 Draw! 0+02: 55 Derevyes 0+03: 20 laboratorium 0+03: 50noty 0+04: 10 green project 0+04: 30-in-conobert 0+the entire program Yu05: 00mash and a bea"&amp;"r 0+07: 00malyshariki 0+08: 00masha and a bear 0+10: 00-hungry do not look at 16+11: 00bemenna at 16 16+14: 45 Life after show.b16 16+15: 50 Chado from hell 12+22: 00oma- 2. New Life 16+00: 00 aids from the other world 16+01: 55 meters 16+03: 35 Supermam "&amp;"16+The entire program 2x205: 05 Besemmer Cinema 16+05: 25 Fili among strangers 16+05: 35 tourdashev 16+06: 00 Russian cartoons 12+ 12+ 07: 35KAK is built by the Universe 16+08: 35 News 2x2 16+08: 40 spokesmans 2x2 16+09: 05 Discover myths 16+09: 55 sized "&amp;"in Japan. Unrealistic show 16+10: 25 Strim 16+10: 55 Strim 16+11: 20 Strim 16+ 11: 55 Strand 16+12: 20 Strim 16+12: 50stopgame TV 16+13: 50 Slabic Monster 16+14: 15 Slabic Monster 16+14: 40 Slabic Monster 16+15: 15 Slabic Monster 16+15: 40 News 2x2 16+15:"&amp;" 45 Slabic monster 16+16: 05Toples TV 16+17: 10 -family pole 16+17: 35 family pole 16+18: 10 -arranges and cruiser 12+18: 35 -nobo 2x2 16+18: 40 Kontent Content 16+19: 05 inspector 2x2 16+19: 25 Epic Files 16 +19: 35 survival course with Bear Grylls 16+20"&amp;": 30 Simpsons 16+21: 00 Simpsons 16+21: 25 News 2x2 16+21: 30toples TV 16+22: 00 Lugus Bob Square pants 16+22: 30 Lugus Bob Square pants 16+23: 23: 00 Novosti 2x2 16+23: 05 parasitic: the doctrine of life 18+23: 35 Cherynaya Friday 18+01: 20DP 16+01: 45EO"&amp;"N Flax 16+02: 05 IS CITY 18+02: 50 Yuzhnoye Park 18+03: 10JUFF and alien 18+ 03: 35atak Titans 16+03: 55atak titans 16+04: 20ka Universe 16+The whole program Sun05: 00mash and bear 0+06: 55 rinses 0+07: 25 Buba 0+09: 00 Sure dog and turbo cat 6+10: 45egip"&amp;"tus 6+12: 00 Proktokvashino 0+14: 40 Unionsmultfilm 6+16: 40 Mannya 6+18: 25 RIDs. So we live 12+22: 00 Nyanniki 16+23: 40 Dubler 16+01: 10ralash 6+The whole program Saturday! 05: 00mash and bear 0+05: 50 mmash fairy tales 0+06: 00mas and bear 0+06: 20 ma"&amp;"sh fairy tales 0+ 06: 30masha and bear 0+06: 55mashkins horror stories 0+07: 00mash and bear 0+07: 25mashkin horror stories 0+07: 30mash and bear 0+07: 45 mash fairy tale 0+07: 50mash and bear 0+08: 20mashkins of horror stories 0+08: 25machines of fairy t"&amp;"ales 0+08: 40mas and bear 0+09: 00 mash tale 0+09: 10mash and bear 0+09: 40 mmashkens of horror stories 0+09: 50mas and bear 0+10: 30mashs of fairy tales 0+10: 40mas and a bear 0+10: 55mashkin horror stories 0+11: 00mash and bear 0+11: 30masha and bear 0+"&amp;"11: 55mashkin horror stories 0+12: 10mash and bear 0+12: 30mash fairy tales 0+12: 40mas and bear 0+ 13: 00mashkin’s horror stories 0+13: 10masha and a bear 0+13: 35mashins fairy tales 0+13: 40mas and bear 0+14: 05mashkin horror stories 0+14: 10masha and b"&amp;"ear 0+14: 35machins of fairy tales 0+14: 50mas and bear 0+15: 10 Mamashkins of the horror stories 0+15: 20mash and bear 0+15: 40 mash fairy tale 0+15: 50mash and bear 0+16: 15mashkin horror stories 0+16: 20mash and bear 0+17: 30mi-Mimy 0+ 17: 40Mi-MI-MIKI"&amp;" 0+17: 45MI-MI-MIKI 0+17: 55Mi-MI-MIKI 0+18: 00Mi-MI-MIKI 0+18: 05Mi-MI-MIKI 0+18: 15MI-MIM -MIKI 0+18: 20Mi-mi-MIKI 0+18: 30MI-MI-MIKI 0+18: 35Mi-MI-MIKI 0+18: 45Mi-MI-MIKI 0+18: 50Mi-MI-MIMI 0+19 : 00mi-mi-Mimka 0+19: 10 TECHER I am a boss! 16+20: 20 TE"&amp;"THER I am a boss. Under the cover 16+21: 30 Bogin 16+22: 20 Bogin 16+23: 30 Startups 16+00: 10 Bogin Shoping 16+01: 00 My wife steers 16+02: 10k. Call this love 16+02: 30 Princess and Dragon 6+03: 40mas and bear 0+04: 45mashkin horror stories 0+04: 50mash"&amp;"kin horror stories 0+the entire program Russia 2405: 04 city of atom 05: 22 hazardous relationship 06: 00 nobody 06: 22. The attendant part 07: 00 Novosti 07: 08 Radio Investigation of Eduard Petrov 08: 00 Novosti 08: 14ir in the palm of your hand. Histor"&amp;"y day after day 08: 32 formulas of power 09: 07 interview 09: 27 -special reports 10: 05stopfect 10: 27 News 11: 22. The attendant part 12: 09Vs glance from St. Petersburg with Vladimir Bortko 12: 37 -special reports 13: 00 Novosti 13: 10 Parlament hour 1"&amp;"4: 01 How did France lose its influence in Africa? 15: 27 Novosti 16: 24 Molodny wine 17: 00 Novosti 17: 23za tape. 87th Week 18: 00 News 18: 31-gender trip 20: 00 Novosti 20: 17 S special report 20: 44 Gorod technologies 21: 00 News 21: 32-day trip 22: 0"&amp;"0 Novosti 22: 17VZVISIT from St. Petersburg with Vladimir Bortko 22: 45 City technologies 23: 00 Veles 01 : 00 Novosti 01: 36moskva. Kremlin. Putin 02: 36 Workshop with Vladimir Solovyov The whole program Che! 06: 00 -year -old video. The funniest 16+06: "&amp;"20-year-old video 16+08: 00 Master sword 16+10: 00 Iutolizer 16+10: 30 SOLDATES-15 16+20: 40+100500 16+23: 00+100500 18+23: 30+100500 18+03 : 00 ""Disposter"" with Nastya Fog 16+03: 45utizer 16+Abakananadyrkhangelskastrakhanbarnaulgodbelgorodbodzhanbidzha"&amp;"nbigaroblazhvezhenshoschenskivoshlodovladovokazvokazvoldykazvoldimvolgogradovolgogogradovolgogor-dimensor-altables. Yoshkar-O-Olacalinkalingeravkemovokomolsk-on-Amurkostromacroacroacroacroacroacroacroacroaccerson-Yarskkurskkurskkamylyepamagadanmagadanmaga"&amp;"smagnitoroskopmakhamakhamokalipamaquamoskamykamykamykamykamyankanazran-Marnizhnezhevar-Khovartovosybinsk-Rybinneskobirskobirskobloreloregpensza Permpepetropetropetropavlovsk-Kamchatovskovrostov-on-Donuryazansansanskaksankanksankansksaran-Saratovastopolsom"&amp;"olenskistovistavropolitamaksugutsykutsyktsykutsyktytykumytovkamytovkuttitomenyanovsurovsurovsurovskufhabarovskhanti-Mansi-Mansi-Mansiyskhants Sarychelyabinskocherkess-readylistayzhno-Sakhalinskyakutskayaroslavlvs city of the city of Project Zhotereklamani"&amp;"l Participation in the competition of use Cook -Kontakttekhnotka Network Edition ""Online magazine Starhit (StarHit)"" Any reproduction of the site materials without the permission of the editorial office is prohibited. Copyright (c) LLC Shkulev Media Hol"&amp;"ding 2023. Supplier of the program program - ""Service -TV"" Enforce Technologies")</f>
        <v>The program program in Moscow: for today for tomorrow for a week - a TV program Starhitvash Browser is outdated, therefore, the site can not be displayed incorrectly. Update your browser to increase the level of speed and comfort of using this site. Update the television program of television programs of the star -stellarmogram monk for today - Moskvasesey) 13W 14CH 14CH 16PT 17PT 17SB 18 Seriylyno -Sports of Sports of Loading ... The first05: 10 Podkasta. Lab 16+06: 10 Poddokast. Lab 16+06: 55 playing harmonies beloved! 12+07: 40 hours 12+08: 10 Sosdorovy 16+09: 20 "Dreamalon". National Lottery 12+09: 40 "Non -pulp notes" with Dmitry Krylov 12+10: 00 nobility (with subtitles) 10: 15 Prime Minister. "Life" 12+11: 05 premiere. "Cooks on wheels" 12+12: 00 nobility (with subtitles) 12: 15 Video? 0+13: 45 Son Son 12+16: 25 "Hot ice". Figure skating. Grand Prix of Russia-2023. Arbitrary P ... 18: 00 -haired news (with subtitles) 19: 00 Prime Minister. "Dispers of Star" 12+21: 00 time 23: 00zhanna 16+00: 50 podkasta.mam 16+01: 35 podkasta. Lab 16+02: 20 podkasta. Lab 16+03: 10 podkast. Lab 16+04: 00 podkast. Lab 16+04+04 : 57 Test in broadcasting The whole program Russia 106: 09 Test in broadcasting 06: 10all in search of Alla 12+08: 00. Sunday 08: 35th. All houses with Timur Kizyakov 09: 25 -month mail with Nikolai Baskov 10: 10 Sto to one 11: 00 Voro 12: 00 Changes 13: 00hrustic happiness 12+17: 00 -owned 17: 50 Pesnya with all my heart 12+20: 00 Wing 22: 00 Below 22 weeks : 00moskva. Kremlin. Putin 22: 40 -Waste evening with Vladimir Solovyov 12+01: 30alla in search of Alla 12+03: 13 Test in broadcasting the whole program match! 06: 00 ridiculous martial arts. UFC. Direct broadcast from the United States 09: 00 News 09: 05vs for the match! 10: 00 Liga Heroes 12+11: 05 Op inhalation 12+13: 15VS for the match! 13: 50 Novosti 13: 55 -volume in the snow. Russian championship. The final. Direct broadcast from Novo ... 16: 00vs for the match! 16: 25 Basketball. Unified VTB League. Direct broadcast 18: 30VS for the match! 19: 00 -football. The world is Russian Premier League. Direct broadcast 21:30 "After football" with George Cherdantsev 22: 40 football. Italian championship. Direct broadcast 00: 45 football. Brazil championship. Direct broadcast 02: 30 mixed martial arts. UFC. Broadcast from the United States 16+04: 00 nobility 0+04: 05 football. German Championship 6+the entire NTV05 program: 40wells of broken lamps-13 16+06: 35-central television 16+08: 00 this day 08: 20 I win us! 12+10: 00 thousand: 20 first program 16+11: 00 Chudo technology 12+11: 55 -day answer 0+13: 00nashpotrebnadzor 16+14: 05: 16+15: 00svoi game 0+16: 00 thousand 16: 20 people in the right With Andrei Kunitsyn 16+17: 00 The investigation was carried out ... 16+19: 00 “Results of the week” with Irada Zeynalova 20: 20orginal musical “Show Avatar” 12+23: 20 STARS FRIEND 16+00: 55KVARIC NTV at Margulis 16+02: 50 Subters and shadow of the beacon 16+03: 25 Subters and shadow of the lighthouse 16+04: 00svet and shadow of the lighthouse 16+04: 49 Practice in broadcasting 04: 50 Ulits of broken lamps-13 16+The entire program fifth channel05: 00mash and bear 0+05: 10 Prosecutor’s check 16+06: 05 prosecutor's inspection 16+06: 55 NOVARY 16+07: 45 NOVARY 16+08: 40 NOT 4+09: 30 REMOVER 16+10: 25 NOVARY 16+11: 20 NEW 16+12: 15 REMOVARY 16+13: 10 NEVER 16+14: 14: 14: 14: 14: 14: 14: 10 -standing 16+15: 05 LEARTH 16+15: 55 LEARTH 16+16: 45 LEARTH 16+17: 40NASH Special Forces 12+18: 40Nash Special Forces 12+19: 35NASH Special Forces 12+20: 25 Nash Special Forces 12+21: 20 Nash Special Forces 12+22: 22: 22: 22: 22: 15 Nash Special Forces 12+23: 10 Philine 16+00: 05Filin 16+00: 55 Tyghaya hunt 16+01: 45 Tyghaya hunt 16+02: 30 Tyhay hunt 16+03: 15 Tyhay hunt 16+03: 55 Perseles 16+04: 40 Perseles 16+The whole program+The whole program Home06: 30 effect of Matrona 16+06: 40 Work and Driving 16+10: 15 for 15 minutes 16+10: 30 Non -high forgiveness 16+14: 45 Ty in my heart 16+19: 00 Yar. Flame 16+22: 45th Domas Doctor 16+23 : 00 family portrait 16+02: 25 effect of Matrona 16+TNT05: 30 INSTRUCTION 16+05: 45 -courine race 6+07: 00th day in Russia. Special Dagages 2023 16+08: 00 item in Russia. Special Dagestes 2023 16+09: 00 picniki 16+09: 30 Bitts of picnics 16+10: 00ecostasens. Battle of the strongest 16+10: 30 Extranses. Battle of the strongest 16+11: 00ecstrasens. Battle of the strongest 16+13: 30 Extranses. Battle of the strongest 16+16: 00ecstrasens. The battle of the strongest 16+18: 30NOTA stars in Africa 16+21: 00 Liga cities 16+23: 00 shuttle will 16+00: 10 Yarsche stars 16+01: 40 I do not believe you 16+02: 30, I do not believe you 16+03: 15MOMODICIZATION. Teams. Digest 16+04: 00Movision. Teams. Digest 16+04: 50 "Studio" Soyuz "16+the Mir05 program: 00multfilms 6+06: 35 I capabilities 12+07: 00 Scab about how King Pyotr Arapa married 16+09: 00 a birthday in the USSR 16+09: 30 Fazendalife 6+ 10: 00 Novosti 10: 10: 10+11: 40 Legs about a circle 16+15: 20 Luminous Varvara-3 16+16: 00 News 16: 15 Luminous Varvara-3 16+18: 30 Varvara Barbara-3 16+00: 00 Varvas. 16+01: 00 Scab about how Tsar Peter Arapa married 16+02: 40 Hands of life 16+04: 20 multfilms 6+the entire program STS05: 056 frames 16+05: 10 multfilms 0+05: 50ralash 16+06: 00ralash 0+07: 00 "Hotel" at the sheep "0+07: 30 Ural dumplings 16+09: 00rogs in the case 16+10: 00 Ural dumplings 16+10: 30 Ural craftsmen 16+10: 55ural dumplings 16+11: 20mam will be against 16+14: 00 -sized The period is 0+15: 35 Valnic period-2. Global warming 0+17: 20 Valnic period-3. The era of dinosaurs 0+19: 15 Valnic period-4. Continental drift 0+21: 00 Titanic 16+01: 00schef Adam Jones 18+02: 45-Stew-Fede 16+The entire program TV Center05: 20 Nazad in the USSR 16+06: 05 order 16+07: 25 HEARTS SAMITY 16+07: 50 FLASIC-4 12+08: 0 : 00 expensive comrades. Sunny Secretary General 16+15: 55rs secrets. In bed with a spy 16+16: 40 Lessidenesh 16+17: 35 Lyadenesh 16+18: 50 Shahmati queen 16+19: 40 School queen 16+20: 40 School queen 16+21: 35 School queen 16+22+22: 40 millionaire 12+23: 25 Millionaires 12+ 12+ 00: 25 Hollow 6+00: 40 millionaire 12+01: 25 millionaire 12+02: 20 Petrovka 38. Special Saturday production 16+02: 30 from Siberia with love! 12+03: 10 from Siberia with love! 12+03: 50 from Siberia with love! 12+04: 30 from Siberia with love! 12+The entire program public television of Russia06: 00 Clubs 12+07: 20 Dialogs without makeup 12+07: 35ot rights to capabilities 12+07: 50th country 12+08: 45 Tsepapra and crane 0+09: 00vso in an adult 09: 45 calendar 12+ 10: 10 NEW DRISION OF THE COMPLEMENT with Maryana Lysenko 12+11: 05th story 12+11: 50 News 11: 55kino at all times 12+12: 50 golden collection of non -aggregate cinema. Russia XX Century 16+13: 00VZHZHING FOR FIRST 12+13: 15 Special project OTP "Designers of the Future" 12+13: 30 Grand Country 12+14: 30 Calendar 12+15: 00 Nobo 15: 05Saure sea path 12+15: 35Gala-concert of the festival "In the name of life" dedicated to the work of Alex ... 12+16: 30svet and shadow 16+17: 00 aukograd 12+17: 25 shelling in the back 12+19: 00 nobody 19: 05 club of the main editors with Pavel Gusev 12+19: 45th length in the length in Life 16+21: 20 Taxi-Blub 16+23: 05 Gunda 6+00: 35 Party and grandfathers 12+01: 55franz 16+03: 45 Tyu yes I am 16+04: 15 Batry-peasants 12+The whole program culture06: 30multfilms 07: 30 Porus 07: 50 PODIRUS 08: 10 POPIC 08: 30 PODIRUS 08: 50 POMIRU 09: 10 POMIS 09: 30 DEALOVs of animals 10: 15USTRADE MARFINO. Soviet Hollywood 10: 55 Legends of world cinema 11: 20 Personal Tours 12: 30 Like Routes of Russia 13: 10 -evsky Ark. Theory of the impossible 13:40 “Game of Beads” with Igor Volgin 14: 25 Collection 14: 55 Chudo in Milan 16: 30 Cartin of the world with Mikhail Kovalchuk 17: 10 first in the world 17: 30 Life 18: 20 Dinara Aliyev. The romances of N. Rimsky-Korsakov P. Tchaikovsky and S. Rach ... 19: 30th culture 19: 45th culture with Vladislav Flyarkovsky 20: 25kin-dza-dza! 22: 35 films-ballet "Twelfth night or whatever" 23: 55 Poreal tour 01: 05 Diagles about animals 01: 45 players 02:30 "Robbery on ... 2". "Magnificent Gosha" 03: 00 Test in broadcasting the entire TV-305: 15Multfilms 0+06: 00 multfilms 0+07: 45 Secrets of Health 16+08: 00vkosno with Lyaysan 16+08: 30noy day 12+09: 00 Money 16+10: 10: 10+10: 00 athrome news with Vasilisa Volodina 16+10: 30 Lestum Hero 16+11: 45, 45, 45 Lavernik 16+13: 45 Lavernik 16+14: 45 Lavernik 16+15: 45, 45, 16+16: 45 Lavernik 16+17: 45 Lavernik 16+18+18: 45 Zheleznik 16+20: 00 Lavernik 16+21: 00 zeroil 16+22: 00 zeroil 16+23: 00urdik 16+00: 00 "Coordinates" Citadel 16+01: 30 Presents 18+03: 00 Test of force 16+03: 30 Test of force 16+ 04: 15 months of force 16+the entire program REN TV05: 00 Schoking hypotheses 16+07: 00s Bodry in the morning! 16+08: 30 News 16+09: 00 School program 16+09: 30 Do you know what? 16+10: 30 Nauka and equipment and technology 16+11: 30 Estimated history 16+12: 30 nobility 16+13: 00 a dragon of the dragon 16+14: 55 Besterny 16+17: 00 Serds from steel 16+19: 05 APGRAD 16+21: 00 Hooper on monsters 16+23: 00atically program with Petr Marchenko 16+23: 55 Schoking hypotheses 16+The whole program of the star05: 30 knew only in the face of 12+07: 10 Waiting for Colonel Shalygin 12+09: 00 "News of the Week" with Yuri Podkopaev 16+09: 25 I will serve Russia 12+09: 55 Water acceptance 12 +10: 40 “Hidden threats” with Nikolai Chindyaykin 16+11: 30 core access 12+12: 20 “Army Legends” with Alexander Marshal 12+13: 10 S special report 16+13: 50 Speaking assignment 16+16: 05 Vorchaznit at dawn 16+ 18:00 "Main" with Olga Belova 16+19: 45 Legends of the Sovetsky Investigation 16+23: 00fetis 12+23: 50 people of Donbass 16+00: 10 sergeant of police 12+03: 50 Speaking assignment 16+The whole program Savior TV05: 00 Gospel out loud 0+ 06: 15 Washing of the Holy Monastery 0+06: 50 in the search for God 6+07: 20 Professor Osipov 0+07: 55 Subtarius of Russia 6+09: 00 Wrong miracles 12+10: 00 -only liturgy 0+12: 45 zavet 6+13: 50 Russian world 12+15+15 : 00-leggy is looking for a father 0+16: 55 Denelve 16+17: 25-wing 12+18: 00 "Main" with Anna Safran 16+20: 05 dawn 16+21: 50 Biology of betrayal 12+23: 00 Beson 18+00: 10 STIMS 16 +01: 30th Patriarch 0+01: 45 "Main" with Anna Sharfran 16+03: 30 "Traces of the Empire" with Arkady Mammontov 12+The entire program Friday05: 00 Fuck News 16+05: 25 Takes of Honey Valley 12+05: 30 Tales Hedica Valley 12+05: 35 tenders of the honey valley 12+05: 45 Prostokvashino 12+05: 50 Prostokvashino 12+06: 00 fucker News 16+06: 20 Prostokvashino 0+06: 25 Prostokvashino 0+06: 35 Prostokvashino 0+06: 40 Prostokvashino 0+06: 50 cup Eudo 6+08: 20 WHOLLOGRANT Startups 16+09: 00Trevel-Battl 16+10: 00 Plant move 16+11: 00 16+13: 00 Bitter of chefs 16+15: 00 Bitter of chefs 16+17: 20 Bitts of chefs 16+19: 30 Bitter of chefs 16+21: 50Ad chef 16+00: 30vo King's name: the history of the siege of the dungeon 16+02: 30 black list 16+03 : 30 black list 16+04: 20 fuckers News 16+04: 50trevel-Battl 16+the entire carousel program05: 00 early birds 0+07: 00s good morning kids! 0+07: 30VIP Pets 6+08: 05 Dracosia 0+09: 00ed with a bang! 0+09: 25 Petroniks 0+10: 00barbooskins 0+11: 00 Beauty 0+11: 20 Tsarevna 0+13: 05 Winx 6+14: 00 "Hour" Soyuzmultfilm "6+15: 00fixiki. Give five! 0+17: 00 Luntik 0+18: 40 Kosheki-horseman 0+20: 30 Copical night kids! 0+20: 45 Ovetel for sheep 0+22: 30 heroes Gudzitsu 6+22: 40 Flip Chenger 6+23: 15Fuzhn Max 6+23: 40ralash 6+00: 30 Bububa 6+01: 30 GRIZLILS AND LEMMINGS 6+02: 30 Draw! 0+02: 55 Derevyes 0+03: 20 laboratorium 0+03: 50noty 0+04: 10 green project 0+04: 30-in-conobert 0+the entire program Yu05: 00mash and a bear 0+07: 00malyshariki 0+08: 00masha and a bear 0+10: 00-hungry do not look at 16+11: 00bemenna at 16 16+14: 45 Life after show.b16 16+15: 50 Chado from hell 12+22: 00oma- 2. New Life 16+00: 00 aids from the other world 16+01: 55 meters 16+03: 35 Supermam 16+The entire program 2x205: 05 Besemmer Cinema 16+05: 25 Fili among strangers 16+05: 35 tourdashev 16+06: 00 Russian cartoons 12+ 12+ 07: 35KAK is built by the Universe 16+08: 35 News 2x2 16+08: 40 spokesmans 2x2 16+09: 05 Discover myths 16+09: 55 sized in Japan. Unrealistic show 16+10: 25 Strim 16+10: 55 Strim 16+11: 20 Strim 16+ 11: 55 Strand 16+12: 20 Strim 16+12: 50stopgame TV 16+13: 50 Slabic Monster 16+14: 15 Slabic Monster 16+14: 40 Slabic Monster 16+15: 15 Slabic Monster 16+15: 40 News 2x2 16+15: 45 Slabic monster 16+16: 05Toples TV 16+17: 10 -family pole 16+17: 35 family pole 16+18: 10 -arranges and cruiser 12+18: 35 -nobo 2x2 16+18: 40 Kontent Content 16+19: 05 inspector 2x2 16+19: 25 Epic Files 16 +19: 35 survival course with Bear Grylls 16+20: 30 Simpsons 16+21: 00 Simpsons 16+21: 25 News 2x2 16+21: 30toples TV 16+22: 00 Lugus Bob Square pants 16+22: 30 Lugus Bob Square pants 16+23: 23: 00 Novosti 2x2 16+23: 05 parasitic: the doctrine of life 18+23: 35 Cherynaya Friday 18+01: 20DP 16+01: 45EON Flax 16+02: 05 IS CITY 18+02: 50 Yuzhnoye Park 18+03: 10JUFF and alien 18+ 03: 35atak Titans 16+03: 55atak titans 16+04: 20ka Universe 16+The whole program Sun05: 00mash and bear 0+06: 55 rinses 0+07: 25 Buba 0+09: 00 Sure dog and turbo cat 6+10: 45egiptus 6+12: 00 Proktokvashino 0+14: 40 Unionsmultfilm 6+16: 40 Mannya 6+18: 25 RIDs. So we live 12+22: 00 Nyanniki 16+23: 40 Dubler 16+01: 10ralash 6+The whole program Saturday! 05: 00mash and bear 0+05: 50 mmash fairy tales 0+06: 00mas and bear 0+06: 20 mash fairy tales 0+ 06: 30masha and bear 0+06: 55mashkins horror stories 0+07: 00mash and bear 0+07: 25mashkin horror stories 0+07: 30mash and bear 0+07: 45 mash fairy tale 0+07: 50mash and bear 0+08: 20mashkins of horror stories 0+08: 25machines of fairy tales 0+08: 40mas and bear 0+09: 00 mash tale 0+09: 10mash and bear 0+09: 40 mmashkens of horror stories 0+09: 50mas and bear 0+10: 30mashs of fairy tales 0+10: 40mas and a bear 0+10: 55mashkin horror stories 0+11: 00mash and bear 0+11: 30masha and bear 0+11: 55mashkin horror stories 0+12: 10mash and bear 0+12: 30mash fairy tales 0+12: 40mas and bear 0+ 13: 00mashkin’s horror stories 0+13: 10masha and a bear 0+13: 35mashins fairy tales 0+13: 40mas and bear 0+14: 05mashkin horror stories 0+14: 10masha and bear 0+14: 35machins of fairy tales 0+14: 50mas and bear 0+15: 10 Mamashkins of the horror stories 0+15: 20mash and bear 0+15: 40 mash fairy tale 0+15: 50mash and bear 0+16: 15mashkin horror stories 0+16: 20mash and bear 0+17: 30mi-Mimy 0+ 17: 40Mi-MI-MIKI 0+17: 45MI-MI-MIKI 0+17: 55Mi-MI-MIKI 0+18: 00Mi-MI-MIKI 0+18: 05Mi-MI-MIKI 0+18: 15MI-MIM -MIKI 0+18: 20Mi-mi-MIKI 0+18: 30MI-MI-MIKI 0+18: 35Mi-MI-MIKI 0+18: 45Mi-MI-MIKI 0+18: 50Mi-MI-MIMI 0+19 : 00mi-mi-Mimka 0+19: 10 TECHER I am a boss! 16+20: 20 TETHER I am a boss. Under the cover 16+21: 30 Bogin 16+22: 20 Bogin 16+23: 30 Startups 16+00: 10 Bogin Shoping 16+01: 00 My wife steers 16+02: 10k. Call this love 16+02: 30 Princess and Dragon 6+03: 40mas and bear 0+04: 45mashkin horror stories 0+04: 50mashkin horror stories 0+the entire program Russia 2405: 04 city of atom 05: 22 hazardous relationship 06: 00 nobody 06: 22. The attendant part 07: 00 Novosti 07: 08 Radio Investigation of Eduard Petrov 08: 00 Novosti 08: 14ir in the palm of your hand. History day after day 08: 32 formulas of power 09: 07 interview 09: 27 -special reports 10: 05stopfect 10: 27 News 11: 22. The attendant part 12: 09Vs glance from St. Petersburg with Vladimir Bortko 12: 37 -special reports 13: 00 Novosti 13: 10 Parlament hour 14: 01 How did France lose its influence in Africa? 15: 27 Novosti 16: 24 Molodny wine 17: 00 Novosti 17: 23za tape. 87th Week 18: 00 News 18: 31-gender trip 20: 00 Novosti 20: 17 S special report 20: 44 Gorod technologies 21: 00 News 21: 32-day trip 22: 00 Novosti 22: 17VZVISIT from St. Petersburg with Vladimir Bortko 22: 45 City technologies 23: 00 Veles 01 : 00 Novosti 01: 36moskva. Kremlin. Putin 02: 36 Workshop with Vladimir Solovyov The whole program Che! 06: 00 -year -old video. The funniest 16+06: 20-year-old video 16+08: 00 Master sword 16+10: 00 Iutolizer 16+10: 30 SOLDATES-15 16+20: 40+100500 16+23: 00+100500 18+23: 30+100500 18+03 : 00 "Disposter" with Nastya Fog 16+03: 45utizer 16+Abakananadyrkhangelskastrakhanbarnaulgodbelgorodbodzhanbidzhanbigaroblazhvezhenshoschenskivoshlodovladovokazvokazvoldykazvoldimvolgogradovolgogogradovolgogor-dimensor-altables. Yoshkar-O-Olacalinkalingeravkemovokomolsk-on-Amurkostromacroacroacroacroacroacroacroacroaccerson-Yarskkurskkurskkamylyepamagadanmagadanmagasmagnitoroskopmakhamakhamokalipamaquamoskamykamykamykamykamyankanazran-Marnizhnezhevar-Khovartovosybinsk-Rybinneskobirskobirskobloreloregpensza Permpepetropetropetropavlovsk-Kamchatovskovrostov-on-Donuryazansansanskaksankanksankansksaran-Saratovastopolsomolenskistovistavropolitamaksugutsykutsyktsykutsyktytykumytovkamytovkuttitomenyanovsurovsurovsurovskufhabarovskhanti-Mansi-Mansi-Mansiyskhants Sarychelyabinskocherkess-readylistayzhno-Sakhalinskyakutskayaroslavlvs city of the city of Project Zhotereklamanil Participation in the competition of use Cook -Kontakttekhnotka Network Edition "Online magazine Starhit (StarHit)" Any reproduction of the site materials without the permission of the editorial office is prohibited. Copyright (c) LLC Shkulev Media Holding 2023. Supplier of the program program - "Service -TV" Enforce Technologies</v>
      </c>
    </row>
    <row r="764">
      <c r="A764" s="1" t="s">
        <v>2487</v>
      </c>
      <c r="B764" s="1" t="s">
        <v>2511</v>
      </c>
      <c r="C764" s="1" t="s">
        <v>2512</v>
      </c>
      <c r="D764" s="1">
        <v>6.0</v>
      </c>
      <c r="E764" s="4" t="s">
        <v>2513</v>
      </c>
      <c r="F764" s="1" t="s">
        <v>16</v>
      </c>
      <c r="G764" s="1" t="s">
        <v>2514</v>
      </c>
      <c r="H764" s="4" t="s">
        <v>2515</v>
      </c>
      <c r="I764" s="2">
        <v>2.0</v>
      </c>
      <c r="J764" s="5" t="str">
        <f>IFERROR(__xludf.DUMMYFUNCTION("GOOGLETRANSLATE(A764)"),"Program Guide")</f>
        <v>Program Guide</v>
      </c>
      <c r="K764" s="6" t="str">
        <f>IFERROR(__xludf.DUMMYFUNCTION("GOOGLETRANSLATE(B764)"),"Program program for today, for a week: all channels")</f>
        <v>Program program for today, for a week: all channels</v>
      </c>
      <c r="L764" s="5" t="str">
        <f>IFERROR(__xludf.DUMMYFUNCTION("GOOGLETRANSLATE(C764)"),"A simple and comfortable television program of all television channels. Description of programs, films and series. Convenient navigation and relevant information on TV broadcasting.")</f>
        <v>A simple and comfortable television program of all television channels. Description of programs, films and series. Convenient navigation and relevant information on TV broadcasting.</v>
      </c>
      <c r="M764" s="5" t="str">
        <f>IFERROR(__xludf.DUMMYFUNCTION("GOOGLETRANSLATE(G764)"),"Program program for today for a week: all channels program Program Simple and Convenient Moscow 06:45 TV operator: not selected Menytylekanaleosnovnyekino and Serial-Sports Conscious of the Conscious Entertainment-Minor-Military-Emergen-Memo-Mememzhsky-Ty"&amp;"ngiosoliye Beligye Beligye Buildings of Kazakhstan Ukraine Lithuania Latvia, Pular Films of the Survey of our telegrams online Wed Wed 8 November 9 November 10 Yesterday yesterday today Tomorrow Tue on November 14, on November 15, on November 16, on Novem"&amp;"ber 17, on November 18, on November 19, on November 19 (1 each) now (2) now (3) now (4) now (5) the whole day-it-aimed-based film awards to choose a TV operator Channel One 06: 10 Podokast. Lab: Easy money 06: 55 playing harmonies beloved! 07: 40 hours 08"&amp;": 10 Zdorovye Russia 1 06: 10alla in search of Alla H/F08: 00. Sunday 08: 35th, all houses with Timur Kizyakov 09: 25 -month mail with Nikolai Baskov: issue from November 12 NTV 06: 35 central television 08: 00 thousand: 20u won us! 10: 00 thousand STS 06"&amp;": 00ralash 07:00 ""Hotel"" at the sheep "": 59 61 episodes M/C07: 30 Ural dumplings: laughter: 00rogov in TNT 05: 45 -courine race M/F07: 00th a day in Russia. Special Demins 2023: 15 Series 08: 00 item in Russia. Special diets 2023: 16 episode 09: 00 Bit"&amp;"ter picnic: 31 episode fifth channel 06: 05 prosecutor's check: My terrible school T/C06: 55 NEA: Return T/C07: 45 LEARTHING: Awakening T/C08: 40 REMODING: Restless: Restless: Restless: Restless: Restless: Restless T/s REN-TV 05: 00 Schoking hypotheses 07"&amp;": 00s Bodry morning! 08: 30 News 09: 00 Home Folk program 06: 40 Houses of Life and Driving: 1-4 series Kh/F10: 15 for 15 minutes 10: 30 nominal forgiveness: 1-4 series Kh/F14: 45t in my heart: 1-4 series of x/f TV Center 06: 05 order H/f07: 25-sound mean"&amp;"ing 07: 50 Life-4: 1 series Kh/f08: 40 Life-4: 2 Series H/F Moscow Trust 06: 45. District. Navigator 06: 55. District. Encyclopedia: TASS is authorized to declare 07: 15, the district. Encyclopedia: the oldest trees in Moscow 07: 25. District. Encyclopedi"&amp;"a: Moscow. Acoustics Moscow 24 06: 00 Novosti 06: 55atmosphere 07: 00 Novosti 08: 00 Novosti Theo-TV 05: 50 articular film Kh/F07: 50 accidents 09: 35 Orthodox alphabet 09: 45 pound-parade Culture 06: 30multfilms: ""Fire burns in the yaranga"". ""Wolf and"&amp;" seven goats in a new way."" ""That's what scattered."" ""Bird Market"" M/F07: 30 POPICS: 4 episode T/C07: 50 POPERURU: 5 series T/C08: 10 POPIC: 6 series t/s TV-3 06: 00multfilms M/F07: 45 Secrets of Health: 10 episode 08: 00vsko Lyaysan: 9 episode 08: 3"&amp;"0noy day: 6 episode of the world 05: 00multfilms M/F07: 25 H/F08: 55 -born in the USSR: Soviet film distribution 09: 30Fazendalife Star 05: 30 knew only in the face of H/F07: 10 Waiting for Colonel Shalygin Kh/ F09: 00 ""News of the Week"" with Yuri Podko"&amp;"paev 09: 25 I will serve Russia OTP 06: 00 Clubs H/F07: 20 Diagles without makeup: Scene. Actor. Life d/C07: 35ot rights to capabilities 07: 50 Grand Country Match TV 06: 00 Martican martial arts. UFC. Direct broadcast from the USA: I. Prokhazka - A. Pere"&amp;"ira. S. Pavlovich - T. Aspinell 09: 00 Novosti 09: 05VS for the match! 10: 00 Liga Heroes Saved 06: 15 Washing of the Holy Monastery D/F06: 50 in the search for God 07: 20 Professor Osipov 07: 55 Subtings of Russia Carousel 05: 00 -arranged birds: ""Bodo "&amp;"Boodo. Bokvar"" ""Helpers"" 07: 00s good morning kids! 07: 30VIP Pets M/C08: 05 Dracosia M/s Friday 06: 40 Proktokvashino: 85 Series M/C06: 50 Chudo-Yudo M/F08: 20 WHOLACK: 2 series 09: 00Trevel-battles: 8 series-""Dalata. Vietnam"" Satema ! 06: 30mash an"&amp;"d bear: 6 series M/C06: 55mashkin horror stories: 23 series M/C07: 00masha and bear: 10 series M/C07: 25mashkin horror stories: 24 Series M/s 06: 20 Solet video 08: 00Master of swords F10: 00utizer 10: 30 SOLDATES-15 T/s 05: 00masha and bear M/C07: 00 Mal"&amp;"yshariki m/s08: 00mas and bear m/s10: 00-starving do not watch Muz-TV 05: 00karaooking 07: 00pro-novations. Best 07: 35U-DECH CHART 08: 35TEEN Chart Russia 24 06: 20 Vero: on duty. Results 07: 00 Voro 07: 05 Audition of Eduard Petrov d/C08: 00 Voro to dow"&amp;"nload still popular 06: 10 Russian: Alla in search of Alla Kh/f 2015 Melodrama 59/1006: 40 Domes: Lessons of Life and Driving: 1-4 series Kh/f 2021 Melodrama 65 /1006: 55 Fifting channel: Real: Return T/S 202307: 30 Culture: RURU: 4 Episode T/India 2018 M"&amp;"ilitary07: 50TV Center: Jobs of everyday life-4: 1 series Kh/f 2023 melodrama08: 25 Russian novel: from Siberia with love H/f 2016 Comedy 7/10 -full list of popular television channels on theme -amannesyekino and serial -owned knowing a cognitive mesh -me"&amp;"sh -mesh -mesy -mosenely agency -muddymiamen -mercenary -trendy holligy. National Lithuanian Latvian Moldavian German television program online on this site presented a simple and convenient TV program program-for today for tomorrow for A week. On the Int"&amp;"ernet there are many sites on which you can see the television program of the channel you need. But most of them ... are not as convenient as ours. Everything is very easy for us to be easy and most important - informative and understandable. More than fi"&amp;"ve hundred Russian Ukrainian Belarusian Kazakhstani Lithuanian Latvian central satellite and cable television channels are detailed by days and weeks with images of trailers, etc. Register, make your lists of channels your list of programs for viewing and"&amp;" stay up to know everything interesting on TV! By the way, now we can see a list of songs of the sounds sounding on the radio. Privacy Policy of us the program on your site our telegram channel © 2017-2023 Programma- Peredach.com: television program onlin"&amp;"e +download ... +download ...")</f>
        <v>Program program for today for a week: all channels program Program Simple and Convenient Moscow 06:45 TV operator: not selected Menytylekanaleosnovnyekino and Serial-Sports Conscious of the Conscious Entertainment-Minor-Military-Emergen-Memo-Mememzhsky-Tyngiosoliye Beligye Beligye Buildings of Kazakhstan Ukraine Lithuania Latvia, Pular Films of the Survey of our telegrams online Wed Wed 8 November 9 November 10 Yesterday yesterday today Tomorrow Tue on November 14, on November 15, on November 16, on November 17, on November 18, on November 19, on November 19 (1 each) now (2) now (3) now (4) now (5) the whole day-it-aimed-based film awards to choose a TV operator Channel One 06: 10 Podokast. Lab: Easy money 06: 55 playing harmonies beloved! 07: 40 hours 08: 10 Zdorovye Russia 1 06: 10alla in search of Alla H/F08: 00. Sunday 08: 35th, all houses with Timur Kizyakov 09: 25 -month mail with Nikolai Baskov: issue from November 12 NTV 06: 35 central television 08: 00 thousand: 20u won us! 10: 00 thousand STS 06: 00ralash 07:00 "Hotel" at the sheep ": 59 61 episodes M/C07: 30 Ural dumplings: laughter: 00rogov in TNT 05: 45 -courine race M/F07: 00th a day in Russia. Special Demins 2023: 15 Series 08: 00 item in Russia. Special diets 2023: 16 episode 09: 00 Bitter picnic: 31 episode fifth channel 06: 05 prosecutor's check: My terrible school T/C06: 55 NEA: Return T/C07: 45 LEARTHING: Awakening T/C08: 40 REMODING: Restless: Restless: Restless: Restless: Restless: Restless T/s REN-TV 05: 00 Schoking hypotheses 07: 00s Bodry morning! 08: 30 News 09: 00 Home Folk program 06: 40 Houses of Life and Driving: 1-4 series Kh/F10: 15 for 15 minutes 10: 30 nominal forgiveness: 1-4 series Kh/F14: 45t in my heart: 1-4 series of x/f TV Center 06: 05 order H/f07: 25-sound meaning 07: 50 Life-4: 1 series Kh/f08: 40 Life-4: 2 Series H/F Moscow Trust 06: 45. District. Navigator 06: 55. District. Encyclopedia: TASS is authorized to declare 07: 15, the district. Encyclopedia: the oldest trees in Moscow 07: 25. District. Encyclopedia: Moscow. Acoustics Moscow 24 06: 00 Novosti 06: 55atmosphere 07: 00 Novosti 08: 00 Novosti Theo-TV 05: 50 articular film Kh/F07: 50 accidents 09: 35 Orthodox alphabet 09: 45 pound-parade Culture 06: 30multfilms: "Fire burns in the yaranga". "Wolf and seven goats in a new way." "That's what scattered." "Bird Market" M/F07: 30 POPICS: 4 episode T/C07: 50 POPERURU: 5 series T/C08: 10 POPIC: 6 series t/s TV-3 06: 00multfilms M/F07: 45 Secrets of Health: 10 episode 08: 00vsko Lyaysan: 9 episode 08: 30noy day: 6 episode of the world 05: 00multfilms M/F07: 25 H/F08: 55 -born in the USSR: Soviet film distribution 09: 30Fazendalife Star 05: 30 knew only in the face of H/F07: 10 Waiting for Colonel Shalygin Kh/ F09: 00 "News of the Week" with Yuri Podkopaev 09: 25 I will serve Russia OTP 06: 00 Clubs H/F07: 20 Diagles without makeup: Scene. Actor. Life d/C07: 35ot rights to capabilities 07: 50 Grand Country Match TV 06: 00 Martican martial arts. UFC. Direct broadcast from the USA: I. Prokhazka - A. Pereira. S. Pavlovich - T. Aspinell 09: 00 Novosti 09: 05VS for the match! 10: 00 Liga Heroes Saved 06: 15 Washing of the Holy Monastery D/F06: 50 in the search for God 07: 20 Professor Osipov 07: 55 Subtings of Russia Carousel 05: 00 -arranged birds: "Bodo Boodo. Bokvar" "Helpers" 07: 00s good morning kids! 07: 30VIP Pets M/C08: 05 Dracosia M/s Friday 06: 40 Proktokvashino: 85 Series M/C06: 50 Chudo-Yudo M/F08: 20 WHOLACK: 2 series 09: 00Trevel-battles: 8 series-"Dalata. Vietnam" Satema ! 06: 30mash and bear: 6 series M/C06: 55mashkin horror stories: 23 series M/C07: 00masha and bear: 10 series M/C07: 25mashkin horror stories: 24 Series M/s 06: 20 Solet video 08: 00Master of swords F10: 00utizer 10: 30 SOLDATES-15 T/s 05: 00masha and bear M/C07: 00 Malyshariki m/s08: 00mas and bear m/s10: 00-starving do not watch Muz-TV 05: 00karaooking 07: 00pro-novations. Best 07: 35U-DECH CHART 08: 35TEEN Chart Russia 24 06: 20 Vero: on duty. Results 07: 00 Voro 07: 05 Audition of Eduard Petrov d/C08: 00 Voro to download still popular 06: 10 Russian: Alla in search of Alla Kh/f 2015 Melodrama 59/1006: 40 Domes: Lessons of Life and Driving: 1-4 series Kh/f 2021 Melodrama 65 /1006: 55 Fifting channel: Real: Return T/S 202307: 30 Culture: RURU: 4 Episode T/India 2018 Military07: 50TV Center: Jobs of everyday life-4: 1 series Kh/f 2023 melodrama08: 25 Russian novel: from Siberia with love H/f 2016 Comedy 7/10 -full list of popular television channels on theme -amannesyekino and serial -owned knowing a cognitive mesh -mesh -mesh -mesy -mosenely agency -muddymiamen -mercenary -trendy holligy. National Lithuanian Latvian Moldavian German television program online on this site presented a simple and convenient TV program program-for today for tomorrow for A week. On the Internet there are many sites on which you can see the television program of the channel you need. But most of them ... are not as convenient as ours. Everything is very easy for us to be easy and most important - informative and understandable. More than five hundred Russian Ukrainian Belarusian Kazakhstani Lithuanian Latvian central satellite and cable television channels are detailed by days and weeks with images of trailers, etc. Register, make your lists of channels your list of programs for viewing and stay up to know everything interesting on TV! By the way, now we can see a list of songs of the sounds sounding on the radio. Privacy Policy of us the program on your site our telegram channel © 2017-2023 Programma- Peredach.com: television program online +download ... +download ...</v>
      </c>
    </row>
    <row r="765">
      <c r="A765" s="1" t="s">
        <v>2487</v>
      </c>
      <c r="B765" s="1" t="s">
        <v>2516</v>
      </c>
      <c r="C765" s="1" t="s">
        <v>2517</v>
      </c>
      <c r="D765" s="1">
        <v>7.0</v>
      </c>
      <c r="E765" s="4" t="s">
        <v>2518</v>
      </c>
      <c r="F765" s="1" t="s">
        <v>16</v>
      </c>
      <c r="G765" s="1" t="s">
        <v>2519</v>
      </c>
      <c r="H765" s="1" t="s">
        <v>2520</v>
      </c>
      <c r="I765" s="2">
        <v>1.0</v>
      </c>
      <c r="J765" s="5" t="str">
        <f>IFERROR(__xludf.DUMMYFUNCTION("GOOGLETRANSLATE(A765)"),"Program Guide")</f>
        <v>Program Guide</v>
      </c>
      <c r="K765" s="6" t="str">
        <f>IFERROR(__xludf.DUMMYFUNCTION("GOOGLETRANSLATE(B765)"),"The program of transmission TV channels for today")</f>
        <v>The program of transmission TV channels for today</v>
      </c>
      <c r="L765" s="5" t="str">
        <f>IFERROR(__xludf.DUMMYFUNCTION("GOOGLETRANSLATE(C765)"),"TV program for today - all channels · 1 channel 18:20 I love my country 19:20 exclusive · 5 channel 17:45 Conditional cop (item on anchor) · STS 17:35 glacial ...")</f>
        <v>TV program for today - all channels · 1 channel 18:20 I love my country 19:20 exclusive · 5 channel 17:45 Conditional cop (item on anchor) · STS 17:35 glacial ...</v>
      </c>
      <c r="M765" s="5" t="str">
        <f>IFERROR(__xludf.DUMMYFUNCTION("GOOGLETRANSLATE(G765)"),"TV channels online | Watch the live broadcast of free online channel 5 Canalsteznitsa! Homemadecarruselmatch twigrossia 1TTV3TTV3TEMATITICAL EXPANAL YUKANAL CENTERS -SUSMUZMUZ -Svezvedtatnittnit4 Miracramarogramshouradotov channels online - direct broadca"&amp;"sting of the live broadcast of Russian TV channels. The video broadcasting video of Russia is organized in online mode in good quality. All TV channels can be viewed for free via the Internet on a computer or phone in local time. Telik.top - это цифровой "&amp;"онлайн телевизор с программой передач телеканалов на всю неделю.Выберите ваш город:АстраханьВолгоградИжевскКалининградСамараСаратовСанк-ПетербургТольяттиУльяновскЕкатеринбургМагнитогорскНижний ТагилОмскОренбургПермьТюменьУфаЧелябинскАбаканБарнаулИркутскКе"&amp;"меровоКрасноярскНовокузнецкНовосибирскТомскУлан-УдэБлаговещенскВладивостокХабаровскЧитаЮжно-СахалинскЯкутскВыберите онлайн вещание телеканала Все ТВ каналы доступны онлайн по местному времени в формате IPTV OTT.telik.top - телевизор online : IPTV service "&amp;"with broadcasts of digital television channels and programs of programs; official players from licensed copyright holders of the window of TV and RTV GPM; online viewing of the Internet on all devices without installing plugins; excellent quality of telev"&amp;"ision broadcasting without restrictions on devices (multi -wisdom); free digital broadcasting Without registration and subscription; the live broadcasting air is in real time unchanged. The record of the latest gears to watch all transmissions in the day "&amp;"of the day on the TV Podkast. Lab (easy money ... a prosecutor’s audit (MO ... Eralash Arthur and minimums. .. Life and driving lessons (1 ... otlet delivery (collection ... mixed martial arts. U ... central television ... the most shocking hypotheses ..."&amp;" Alla in search of Alla ... chicken race of the cartoon program of all channels for today the thematic channels Channel CHAL MUZ-TV Canal Y TNT4 Saved World TV Central Radio Autoradio Business FM Comedy NRJ Europe+ Children's Koms. Truth Lighthouse Monte "&amp;"Carlo New Radio Humor FM Retro FM Chanson RECORD Road Radio Radio 7 Our Radio FM2023 What is it? Russia AND PARTICTORY PROBLECTION OF THE CONCLUSION / Politics of Privacy / Copyright holders")</f>
        <v>TV channels online | Watch the live broadcast of free online channel 5 Canalsteznitsa! Homemadecarruselmatch twigrossia 1TTV3TTV3TEMATITICAL EXPANAL YUKANAL CENTERS -SUSMUZMUZ -Svezvedtatnittnit4 Miracramarogramshouradotov channels online - direct broadcasting of the live broadcast of Russian TV channels. The video broadcasting video of Russia is organized in online mode in good quality. All TV channels can be viewed for free via the Internet on a computer or phone in local time. Telik.top - это цифровой онлайн телевизор с программой передач телеканалов на всю неделю.Выберите ваш город:АстраханьВолгоградИжевскКалининградСамараСаратовСанк-ПетербургТольяттиУльяновскЕкатеринбургМагнитогорскНижний ТагилОмскОренбургПермьТюменьУфаЧелябинскАбаканБарнаулИркутскКемеровоКрасноярскНовокузнецкНовосибирскТомскУлан-УдэБлаговещенскВладивостокХабаровскЧитаЮжно-СахалинскЯкутскВыберите онлайн вещание телеканала Все ТВ каналы доступны онлайн по местному времени в формате IPTV OTT.telik.top - телевизор online : IPTV service with broadcasts of digital television channels and programs of programs; official players from licensed copyright holders of the window of TV and RTV GPM; online viewing of the Internet on all devices without installing plugins; excellent quality of television broadcasting without restrictions on devices (multi -wisdom); free digital broadcasting Without registration and subscription; the live broadcasting air is in real time unchanged. The record of the latest gears to watch all transmissions in the day of the day on the TV Podkast. Lab (easy money ... a prosecutor’s audit (MO ... Eralash Arthur and minimums. .. Life and driving lessons (1 ... otlet delivery (collection ... mixed martial arts. U ... central television ... the most shocking hypotheses ... Alla in search of Alla ... chicken race of the cartoon program of all channels for today the thematic channels Channel CHAL MUZ-TV Canal Y TNT4 Saved World TV Central Radio Autoradio Business FM Comedy NRJ Europe+ Children's Koms. Truth Lighthouse Monte Carlo New Radio Humor FM Retro FM Chanson RECORD Road Radio Radio 7 Our Radio FM2023 What is it? Russia AND PARTICTORY PROBLECTION OF THE CONCLUSION / Politics of Privacy / Copyright holders</v>
      </c>
    </row>
    <row r="766">
      <c r="A766" s="1" t="s">
        <v>2487</v>
      </c>
      <c r="B766" s="1" t="s">
        <v>2521</v>
      </c>
      <c r="C766" s="1" t="s">
        <v>2522</v>
      </c>
      <c r="D766" s="1">
        <v>8.0</v>
      </c>
      <c r="E766" s="4" t="s">
        <v>2523</v>
      </c>
      <c r="F766" s="1" t="s">
        <v>16</v>
      </c>
      <c r="I766" s="2">
        <v>1.0</v>
      </c>
      <c r="J766" s="5" t="str">
        <f>IFERROR(__xludf.DUMMYFUNCTION("GOOGLETRANSLATE(A766)"),"Program Guide")</f>
        <v>Program Guide</v>
      </c>
      <c r="K766" s="6" t="str">
        <f>IFERROR(__xludf.DUMMYFUNCTION("GOOGLETRANSLATE(B766)"),"TV program of programs for today and tomorrow, ...")</f>
        <v>TV program of programs for today and tomorrow, ...</v>
      </c>
      <c r="L766" s="5" t="str">
        <f>IFERROR(__xludf.DUMMYFUNCTION("GOOGLETRANSLATE(C766)"),"The TV program for a week, for today, a television program now. Local and satellite television channels - all channels. TV show archive.")</f>
        <v>The TV program for a week, for today, a television program now. Local and satellite television channels - all channels. TV show archive.</v>
      </c>
      <c r="M766" s="5" t="str">
        <f>IFERROR(__xludf.DUMMYFUNCTION("GOOGLETRANSLATE(G766)"),"#VALUE!")</f>
        <v>#VALUE!</v>
      </c>
    </row>
    <row r="767">
      <c r="A767" s="1" t="s">
        <v>2487</v>
      </c>
      <c r="B767" s="1" t="s">
        <v>2524</v>
      </c>
      <c r="C767" s="1" t="s">
        <v>2525</v>
      </c>
      <c r="D767" s="1">
        <v>9.0</v>
      </c>
      <c r="E767" s="4" t="s">
        <v>2526</v>
      </c>
      <c r="F767" s="1" t="s">
        <v>16</v>
      </c>
      <c r="G767" s="1" t="s">
        <v>2527</v>
      </c>
      <c r="H767" s="4" t="s">
        <v>2528</v>
      </c>
      <c r="I767" s="2">
        <v>2.0</v>
      </c>
      <c r="J767" s="5" t="str">
        <f>IFERROR(__xludf.DUMMYFUNCTION("GOOGLETRANSLATE(A767)"),"Program Guide")</f>
        <v>Program Guide</v>
      </c>
      <c r="K767" s="6" t="str">
        <f>IFERROR(__xludf.DUMMYFUNCTION("GOOGLETRANSLATE(B767)"),"Program program for today: all TV channels")</f>
        <v>Program program for today: all TV channels</v>
      </c>
      <c r="L767" s="5" t="str">
        <f>IFERROR(__xludf.DUMMYFUNCTION("GOOGLETRANSLATE(C767)"),"The program for today all day and night, from morning to evening - all the main TV channels. A television program of the next week in cities.")</f>
        <v>The program for today all day and night, from morning to evening - all the main TV channels. A television program of the next week in cities.</v>
      </c>
      <c r="M767" s="5" t="str">
        <f>IFERROR(__xludf.DUMMYFUNCTION("GOOGLETRANSLATE(G767)"),"Program program for today: all TV channels program program TV program Your region: Moscow city Moscow? Share: share the programs of the programs for today - all the Canasalpannate October 30 October Environment on October 1 on November 1 on November 2 on "&amp;"November 3 on November 4 November 5 November 7 on November 7 on November 9 November 10 on November 11 November 13 on November 15 November 16 November, 16 November, November 16 November 16 Bryatyatnitsa on November 17 on November 18 19 November the first06"&amp;": 10 Podokast. Lab (easy money) 06: 55 playing harmonies beloved! 07: 40 hours: 10 Zdorovye09: 20 ""Dreamalon"". National Lottery09: 40 ""Non -Potor Notes"" with Dmitry Krylov10: 00 Novosti (with subtitles) all day -Russian 106: 10x/f Alla in search of Al"&amp;"la08: 00. Sunday 08: 35th, all houses with Timur Kizyakov09: 25 -month post office with Nikolai Baskov10: 10 Sto to one11: 00ve12: 00 Changes (release from November 12) All day! 06: 00 Metriled martial arts. UFC. Direct broadcast from the United States (I"&amp;". Prokhazka - A. Pereira. S. Pavlovich - T. Aspinell) 09: 00 nobody09: 05vs for the match! 10: 00 Litiger Heroes11: 05x/f, 15vs for the match! 13: 50th all day: all day: 35 -central television08: 00 thousand: 20 I won us! 10: 00 thousand: 20 first transfe"&amp;"r11: 00 Chudo technology (release from November 12) 11: 55 -day answer all day -fifth channel Russia06: 05 series Prosecutor's check (my terrible school) 06: 55 series Real (Return) 07: 07: 45 series Real (Awakening) 08: 40 series real (restless) 09: 30 s"&amp;"eries real (Afanasy) 10: 25 Serial Real (profit) 11: 20 series real (tarantula) all biblioculture06: 30 multfilms (""Fire burns in Yaranga"". ""Wolf and seven kids in a new way ""."" V) 07: 30 series Posur (4th episode) 07: 50 series Posor (5th series) 08"&amp;": 10 series Posur (6th episode) 08: 30 Serial Posor (7th series) 08: 50 Serial Posur (8th episode) 09: 10 series Posur (9th episode) all daymoskva-2406: 00 Novosti06: 55ATMMOMOMOMOMOMOMOMOVER07: 00NOTMENT08: 00 Novosti08: 30 Novosti08: 55ATMOMOSPORT09: 00"&amp;" News all day: 00ralash07: 00 ""Hotel"" at Own ""(59"" (59 -y and 61st series) 07: 30 Ural dumplings (laughter) 09: 00rogs in business10: 00uural dumplings (laughter) 10: 30 Ural craftsmen (4th episode 4) 10: 55Uural dumplings (laughter) all day-cabriurus"&amp;"el05: 00) Bodo Borodo. Bokvar ""Uzhetnoy Delivery"") 07: 00s good morning babies! 07: 30pot Pets08: 05 Dracosia09: 00ed with bang! 09: 25 Petrikes10: 00 Barbarboskins all day TV05: 00 Schoking hypothesis07: 00s Bodrym in the morning! 08: 00 a) : Do you ha"&amp;"ve 30? 10: 30 LEARTH AND Technique11: 30 Liken story all daymoskva. Production 06: 20MO District. Encyclopedia (Metro) 06: 45MO DISTORY. NAVIGATOR06: 55 District. Encyclopedia (TASS is authorized to declare) 07: 15MA DIRECTION OF ENCICLOPEDIA (the oldest "&amp;"ones Trees of Moscow) 07: 25MO District. Encyclopedia (Moscow Acoustics) 07: 55 District. Navigator 08: 05 district. Encyclopedia (oldest signs) all day: 00 item in Russia. Special Daiga 2023 (15th episode) 08: 00th day in Russia) . Special Dagages 2023 ("&amp;"16th episode) 09: 00 bit picnic (31st episode) 09: 30 Betions of picnics (30th episode 30) 10: 00ecstrase. Battle of the strongest (12th episode) 10: 30 Extracens. Battle of the strongest (8- I am series) 11: 00-ecstrasens. Battle of the strongest (53rd e"&amp;"pisode 5) all day-luna05: 00masha and bear06: 55 roglya07: 25buba09: 00 Super dog and turbo cat10: 45egiptus12: 00 Prostokvashino14: 40-Union all day: 00x/f-tie 7: 20 Dialists without makeup (scene . Actor. Life) 07: 35ot rights to opportunities 07: 50th "&amp;"country08: 45-hazap and crane09: 00vso in adults09: 45 calendar all day-306: 00multfilms07: 45 secrets of health (10th series) 08: 00vsko with Laysan (9th series) 08: 08: 08: 30th day (6th episode) 09: 00 times the money (8th series) 10: 00 athrome news w"&amp;"ith Vasilisa Volodina (46th series) 10: 30 last hero (3rd episode 3) all day the center06: 05x/f order07: 25 sound meaning07: 50x/f of the houses-4 (1st episode 1) 08: 40x/f of the houses-4 (2nd episode 2) 09: 30x/f of the Jewish-4 (3 episode 3) 10: 20x/ "&amp;"f of the houses-4 (4th episode 4) 11: 30 employees all day-day 06: 40x/f Latches and driving lessons (1st-4th series) 10: 15 in 15 minutes10: 30x/f, the impossible forgiveness (1st -4th series) 14: 45x/f I in my heart (1st-4th episode) 19: 00 series brigh"&amp;"t flame (77th-80 series) 22: 45th Domag23: 00x/f family Portrait (1st-4th episode) all day-spas06: 15 Vaspery of the Holy Monastery06: 50 in the search of the god07: 20 Professor Osipov07: 55 Subtarius of Russia09: 00-industrial miracles10: 00-shaped litu"&amp;"rgy12: 45 Razvet all day of capabilities06: 00x/f fairytale about the same as the tsar Arapa married09: 00-born in the USSR (Soviet film distribution) 09: 30Fazendalif10: 00 Novosti10: 10x/f Vii11: 40 series legends about the circle (1st-4th episode) all "&amp;"day 06: 20-year-old video08: 00x/f master of sword10: 00utizer10: 30 Series Soldiers-1520: 40+10050023: 00+10050023: 30+100500 All day: 00masha and bear07: 00malyshariki08: 00mash and bear10: 00-starving do not look11: 00bemenna in 1614: 45 dwelling after"&amp;" show.b1615: 50chado all day of cinema . Reaching Brides07: 25 Iinan prince and gray wolf09: 05 Ivivan Tsarevich and Gray Wolf-210: 30 Yawan Tsarevich and Gray Volk-311: 55inan Tsarevich and Gray Wolf-413: 30in Tsarevich and Gray Volk-515: 00x/f of a stri"&amp;"ct regime all day! Football 106: 05 championship of Italy (“Monza” - “Torino”) 08: 05 football08: 10 championate Italy (“Lechch” - “Milan”) 10: 10 New Football10: 15 Championship of Italy (“Juventus” - “Calirari” 12: 15 football12 : 20 championship of Ita"&amp;"ly (""Monza"" - ""Torino"") all day! Football 206: 00 Schampionate of Brazil (""Coritiba"" - ""Kruzeiro"") 08: 05 championship of Brazil (""Flmeno"" - ""Fluminens"") 10: 10 cupid Brazil (""Palmeiras"" - ""Internassion"") 12: 15 scarters of Brazil (""Corit"&amp;"ibia"" - "" -"" - "" -"" Kruzeiro "") 14: 20 Championship of Brazil ("" Flmengo "" -"" Fluminens "") 16: 25 magazine of the Champions League16: 55 championate in Italy. Direct broadcast (""Fiorentina"" - ""Bologna"") all day365 days TV06: 20 -consumers (2"&amp;"nd episode 2 - ""Ghetto. From the first day to the last"") 07: 00 General history (226th series - ""Club"") 07: 10 historia weapons (2nd series-""Air attack"") 08: 05 historian (155th series-""Balkan wars 1912-1913"") 08: 55 races of Russia (2nd episode-"&amp;"""Testament of Vladimir Bekhterev"") 09: 25VOV The name of mankind. The history of Russian medicine (5th episode) 09: 45 Labor Front of the Great Patriotic War (5th series-""Tankograd. Chelyabinsk Tractor Plant"") All day360 ° 06: 30 Vicato as in cinema07"&amp;": 00 a year 36007: 05 ATIMILITY! Food! 08: 00 Vkusno 36009: 00 Assuming! Food! 10: 00 award 36010: 05 Vkusno 360 All day of the man, 35 Prostokvashino (84th episode) 06: 50 chud-yudo08: 10 tunes of startups (2nd series) 09: 00trevel-battles (8th series-"""&amp;"Dalat. Vietnames"") 10: 00 Plant move (2nd series) 11: 00 (In South Korea. The path was illegal) 13: 00 (In Mumbai. In the footsteps of Shantarama) The whole day of the Kino is a premium06: 30 shchelkunchik and a magic flute07: 55x/f Partnant09: 30x/f Dad"&amp;"11: 20 Series Major-301: 00x/f Nine 02: 30x/f Lottle. Black Wedding 03: 55x/f all day123 ... 8910 »Description Creators of the personnel of the next issues of the PLACEPPOLICAL Politics COOKies Kontacts ©"" Today TV """)</f>
        <v>Program program for today: all TV channels program program TV program Your region: Moscow city Moscow? Share: share the programs of the programs for today - all the Canasalpannate October 30 October Environment on October 1 on November 1 on November 2 on November 3 on November 4 November 5 November 7 on November 7 on November 9 November 10 on November 11 November 13 on November 15 November 16 November, 16 November, November 16 November 16 Bryatyatnitsa on November 17 on November 18 19 November the first06: 10 Podokast. Lab (easy money) 06: 55 playing harmonies beloved! 07: 40 hours: 10 Zdorovye09: 20 "Dreamalon". National Lottery09: 40 "Non -Potor Notes" with Dmitry Krylov10: 00 Novosti (with subtitles) all day -Russian 106: 10x/f Alla in search of Alla08: 00. Sunday 08: 35th, all houses with Timur Kizyakov09: 25 -month post office with Nikolai Baskov10: 10 Sto to one11: 00ve12: 00 Changes (release from November 12) All day! 06: 00 Metriled martial arts. UFC. Direct broadcast from the United States (I. Prokhazka - A. Pereira. S. Pavlovich - T. Aspinell) 09: 00 nobody09: 05vs for the match! 10: 00 Litiger Heroes11: 05x/f, 15vs for the match! 13: 50th all day: all day: 35 -central television08: 00 thousand: 20 I won us! 10: 00 thousand: 20 first transfer11: 00 Chudo technology (release from November 12) 11: 55 -day answer all day -fifth channel Russia06: 05 series Prosecutor's check (my terrible school) 06: 55 series Real (Return) 07: 07: 45 series Real (Awakening) 08: 40 series real (restless) 09: 30 series real (Afanasy) 10: 25 Serial Real (profit) 11: 20 series real (tarantula) all biblioculture06: 30 multfilms ("Fire burns in Yaranga". "Wolf and seven kids in a new way "." V) 07: 30 series Posur (4th episode) 07: 50 series Posor (5th series) 08: 10 series Posur (6th episode) 08: 30 Serial Posor (7th series) 08: 50 Serial Posur (8th episode) 09: 10 series Posur (9th episode) all daymoskva-2406: 00 Novosti06: 55ATMMOMOMOMOMOMOMOMOVER07: 00NOTMENT08: 00 Novosti08: 30 Novosti08: 55ATMOMOSPORT09: 00 News all day: 00ralash07: 00 "Hotel" at Own "(59" (59 -y and 61st series) 07: 30 Ural dumplings (laughter) 09: 00rogs in business10: 00uural dumplings (laughter) 10: 30 Ural craftsmen (4th episode 4) 10: 55Uural dumplings (laughter) all day-cabriurusel05: 00) Bodo Borodo. Bokvar "Uzhetnoy Delivery") 07: 00s good morning babies! 07: 30pot Pets08: 05 Dracosia09: 00ed with bang! 09: 25 Petrikes10: 00 Barbarboskins all day TV05: 00 Schoking hypothesis07: 00s Bodrym in the morning! 08: 00 a) : Do you have 30? 10: 30 LEARTH AND Technique11: 30 Liken story all daymoskva. Production 06: 20MO District. Encyclopedia (Metro) 06: 45MO DISTORY. NAVIGATOR06: 55 District. Encyclopedia (TASS is authorized to declare) 07: 15MA DIRECTION OF ENCICLOPEDIA (the oldest ones Trees of Moscow) 07: 25MO District. Encyclopedia (Moscow Acoustics) 07: 55 District. Navigator 08: 05 district. Encyclopedia (oldest signs) all day: 00 item in Russia. Special Daiga 2023 (15th episode) 08: 00th day in Russia) . Special Dagages 2023 (16th episode) 09: 00 bit picnic (31st episode) 09: 30 Betions of picnics (30th episode 30) 10: 00ecstrase. Battle of the strongest (12th episode) 10: 30 Extracens. Battle of the strongest (8- I am series) 11: 00-ecstrasens. Battle of the strongest (53rd episode 5) all day-luna05: 00masha and bear06: 55 roglya07: 25buba09: 00 Super dog and turbo cat10: 45egiptus12: 00 Prostokvashino14: 40-Union all day: 00x/f-tie 7: 20 Dialists without makeup (scene . Actor. Life) 07: 35ot rights to opportunities 07: 50th country08: 45-hazap and crane09: 00vso in adults09: 45 calendar all day-306: 00multfilms07: 45 secrets of health (10th series) 08: 00vsko with Laysan (9th series) 08: 08: 08: 30th day (6th episode) 09: 00 times the money (8th series) 10: 00 athrome news with Vasilisa Volodina (46th series) 10: 30 last hero (3rd episode 3) all day the center06: 05x/f order07: 25 sound meaning07: 50x/f of the houses-4 (1st episode 1) 08: 40x/f of the houses-4 (2nd episode 2) 09: 30x/f of the Jewish-4 (3 episode 3) 10: 20x/ f of the houses-4 (4th episode 4) 11: 30 employees all day-day 06: 40x/f Latches and driving lessons (1st-4th series) 10: 15 in 15 minutes10: 30x/f, the impossible forgiveness (1st -4th series) 14: 45x/f I in my heart (1st-4th episode) 19: 00 series bright flame (77th-80 series) 22: 45th Domag23: 00x/f family Portrait (1st-4th episode) all day-spas06: 15 Vaspery of the Holy Monastery06: 50 in the search of the god07: 20 Professor Osipov07: 55 Subtarius of Russia09: 00-industrial miracles10: 00-shaped liturgy12: 45 Razvet all day of capabilities06: 00x/f fairytale about the same as the tsar Arapa married09: 00-born in the USSR (Soviet film distribution) 09: 30Fazendalif10: 00 Novosti10: 10x/f Vii11: 40 series legends about the circle (1st-4th episode) all day 06: 20-year-old video08: 00x/f master of sword10: 00utizer10: 30 Series Soldiers-1520: 40+10050023: 00+10050023: 30+100500 All day: 00masha and bear07: 00malyshariki08: 00mash and bear10: 00-starving do not look11: 00bemenna in 1614: 45 dwelling after show.b1615: 50chado all day of cinema . Reaching Brides07: 25 Iinan prince and gray wolf09: 05 Ivivan Tsarevich and Gray Wolf-210: 30 Yawan Tsarevich and Gray Volk-311: 55inan Tsarevich and Gray Wolf-413: 30in Tsarevich and Gray Volk-515: 00x/f of a strict regime all day! Football 106: 05 championship of Italy (“Monza” - “Torino”) 08: 05 football08: 10 championate Italy (“Lechch” - “Milan”) 10: 10 New Football10: 15 Championship of Italy (“Juventus” - “Calirari” 12: 15 football12 : 20 championship of Italy ("Monza" - "Torino") all day! Football 206: 00 Schampionate of Brazil ("Coritiba" - "Kruzeiro") 08: 05 championship of Brazil ("Flmeno" - "Fluminens") 10: 10 cupid Brazil ("Palmeiras" - "Internassion") 12: 15 scarters of Brazil ("Coritibia" - " -" - " -" Kruzeiro ") 14: 20 Championship of Brazil (" Flmengo " -" Fluminens ") 16: 25 magazine of the Champions League16: 55 championate in Italy. Direct broadcast ("Fiorentina" - "Bologna") all day365 days TV06: 20 -consumers (2nd episode 2 - "Ghetto. From the first day to the last") 07: 00 General history (226th series - "Club") 07: 10 historia weapons (2nd series-"Air attack") 08: 05 historian (155th series-"Balkan wars 1912-1913") 08: 55 races of Russia (2nd episode-"Testament of Vladimir Bekhterev") 09: 25VOV The name of mankind. The history of Russian medicine (5th episode) 09: 45 Labor Front of the Great Patriotic War (5th series-"Tankograd. Chelyabinsk Tractor Plant") All day360 ° 06: 30 Vicato as in cinema07: 00 a year 36007: 05 ATIMILITY! Food! 08: 00 Vkusno 36009: 00 Assuming! Food! 10: 00 award 36010: 05 Vkusno 360 All day of the man, 35 Prostokvashino (84th episode) 06: 50 chud-yudo08: 10 tunes of startups (2nd series) 09: 00trevel-battles (8th series-"Dalat. Vietnames") 10: 00 Plant move (2nd series) 11: 00 (In South Korea. The path was illegal) 13: 00 (In Mumbai. In the footsteps of Shantarama) The whole day of the Kino is a premium06: 30 shchelkunchik and a magic flute07: 55x/f Partnant09: 30x/f Dad11: 20 Series Major-301: 00x/f Nine 02: 30x/f Lottle. Black Wedding 03: 55x/f all day123 ... 8910 »Description Creators of the personnel of the next issues of the PLACEPPOLICAL Politics COOKies Kontacts ©" Today TV "</v>
      </c>
    </row>
    <row r="768">
      <c r="A768" s="1" t="s">
        <v>2487</v>
      </c>
      <c r="B768" s="1" t="s">
        <v>2529</v>
      </c>
      <c r="C768" s="1" t="s">
        <v>2530</v>
      </c>
      <c r="D768" s="1">
        <v>10.0</v>
      </c>
      <c r="E768" s="4" t="s">
        <v>2531</v>
      </c>
      <c r="F768" s="1" t="s">
        <v>16</v>
      </c>
      <c r="G768" s="1" t="s">
        <v>2532</v>
      </c>
      <c r="H768" s="4" t="s">
        <v>2533</v>
      </c>
      <c r="I768" s="2">
        <v>2.0</v>
      </c>
      <c r="J768" s="5" t="str">
        <f>IFERROR(__xludf.DUMMYFUNCTION("GOOGLETRANSLATE(A768)"),"Program Guide")</f>
        <v>Program Guide</v>
      </c>
      <c r="K768" s="6" t="str">
        <f>IFERROR(__xludf.DUMMYFUNCTION("GOOGLETRANSLATE(B768)"),"TV program - online television channels")</f>
        <v>TV program - online television channels</v>
      </c>
      <c r="L768" s="5" t="str">
        <f>IFERROR(__xludf.DUMMYFUNCTION("GOOGLETRANSLATE(C768)"),"The TV program program for all channels of ether, satellite and digital television for today and the next week. Online TV NTV-Plus-View TV channels ...")</f>
        <v>The TV program program for all channels of ether, satellite and digital television for today and the next week. Online TV NTV-Plus-View TV channels ...</v>
      </c>
      <c r="M768" s="5" t="str">
        <f>IFERROR(__xludf.DUMMYFUNCTION("GOOGLETRANSLATE(G768)"),"NTV-plus online Your Twinline Twallow Two-Twistedelecanalyatraelekogramgramramramgramogramramramramgogramramramgramramramramkogramgramgramgramghlythilmariyahhortic an archings and the best moments of aircraft and audiobookpremier subscriptions of the anka"&amp;"tiakinotheater “Start” Films and TV shows of the Ivibibiobioteka “VIIJU” bibli TKA ""Lenfilm"" Radio films for adults of the Subscento Seto -Voit -Siski -Kelechanalefir of television programs of television -present -a -scammers of the chapter, the mains a"&amp;"nd the best moments of the fire and audiobricpremiemiamiacsakinoteatar ""Start"" films and sectors of the Ivibilly edema ""VIJU"" Library ""Lenfilm"" Radio films for adults of the Subscento Subscribing Subscribing profitable family forkanals + cognitive +"&amp;" euro sport + children = only 299 rubles! Together cheaper! 161 TV channel more first week further further than 299 rubles/month try free Premier236 films507 serial -bouncurtics Premieltoye. Premiel -navigation of the week for free further 299 rubles/mont"&amp;"h, try cognitive and entertaining canal in more detail the first week for free further than 199 rubles/month, Try free Start 358 Series -Biblio Start STARTOTO POP Podpodkop. Roble more first week for free further 399 rubles Try free VIJU13 TV channels 348"&amp;" films 63 serial -library VIJUKETEL WIJU for free further 299 rubles/month try free euro sports15 sports channels2 cognitive and more canal more than the first week further 199 rubles/month to try free super sports10 Sports channels broadcast more and ten"&amp;"ded to 599 rubles/month to try free movie cinema 499 The first -first is more canal A week free further 299 rubles/month try free cinema for premium47 movie channels236 films free amedias 4 film card284 serial -enabilioteis in more detail the first week f"&amp;"or free further 599 rubles/month, try for free at night for adults for adults, the first week for free further 199 rubles/month try free premium for adults 460 films biblioteum for a night premium, more than 399 rubles/month, try free radio channels31 cog"&amp;"nitive and entertainment casual Lighter payments to look at Online Prestolism Personam Online Claim Subscribes Online containerdrama Subscription Start View online containmillors Subscription Start View online against all START Subscription Subscribes Pre"&amp;"mier's Subscription Premieurs View online Premier Signature Subscribes Online Interns. Comedies Premier's Subscription Online Ivanko -Comedy Subscription Premieers to see online Kill Ritudrama Premier's View online holidays Premier's Subscription Universi"&amp;"ty . New hostel of the Premieers subscription online policeman from the ruble comedy Subscription Premieers to see online! It will not be a mother will guess the Premier subscription to show all the novelty online container 3. Film about the film Subscrip"&amp;"tion Start View Online Absolute Ventimi Subscription Amedias to see the online holidays of the Premieri Subscription online Romanovs. The last word -documentary subscription Premieers to see online abrecrama Subscription Start View online lunaphantastic S"&amp;"ubscription Premieers see online Sasha v. Premieers see the online traveler in time Subscription Start View online Stop! It’s not that mom will guess the Premier subscription to see online disappearing the subscription of the amedias to see online Everest"&amp;". Peak PRISTICAL Subscription Premier show all the top-25 on Premieers to see online Kill Ritudrama Premieers to see online real kids Clothings Premier's Subscription Premier View online Contact Drada Premier View New Submissions Premiert. RET online trep"&amp;"achocomedia subscription Premier to see online Mendelnsomedia Subscription Premier to see online Freshchers of the Comedy Premierait to see online poor oligarch comedy Subscription Premiers see the online hellish chefreali subscription Premier to see the "&amp;"online bodyguards Premieers to see online female stand -upupmore subscription Premieers to see online supervision of Premier's Subscription Premier Subscription Premier show all premieres on the Start Holmaphands Sting Subscription Start View Online Cat S"&amp;"ubscription Start online how I became a child Subscription Start to see online lives lives the Start Subscription Subscription онлайн Бей первой!Спорт                        Подписка                        STARTСмотреть онлайн 14+Мелодрама                "&amp;"        Подписка                        STARTСмотреть онлайн СодержанкиТриллеры                        Подписка                        STARTСмотреть онлайн На выдохеДрама                        Подписка                        STARTСмотреть онлайн СчастьеД"&amp;"рама                        Подписка                        STARTСмотреть онлайн 7 часов на соблазнениеМелодрама                        Подписка                        STARTСмотреть онлайн Против всех                        Подписка                       "&amp;" STARTСмотреть онлайн О чем говорят мужчины. TV series Subscription Start Children Sex Do not Trakhadram Subscription Start You can’t break up online Subscription Start show everything recommending online formerly Subscription Subscription Start Subscript"&amp;"ion Subscribes START Watch the PREMIERS Subscriber Premieursa Remeers see online from nuladram subscription Premieers to see online followers Premier to see online St. John's wort -bribe subscription Premier. Online in the sun along the rows of cornzdram "&amp;"subscription Premieers see online university. 10 years later, the Premierait Subscription Subscription Parmydram Subscription Premieers to see online Zhukocomedia Subscription Premieers to see the online identification of Premieers testing the Premier Sub"&amp;"scription Online Chernobyl: Exclamation Zone. Finallers Premier subscription show all the top 15 2022. On the online Babylon-Berlinkrimin Subscription VIJU to look at the online mission is impossible: the consequences of the VIJUS Subscription Subscriptio"&amp;"n VIJU VIJUS VIJUS Subscription VIJUSTOM SPECTION OF VIJUS IJU to see online Marathon Desire Comedy Subscription VIJU to see online ghostly doctordrama VIJU Subscribes online upgradfantastics VIJUS Subscription Online Private CEERINED Subscription VIJUPRE"&amp;"MIER HEMORMIR Watch online Comedy Clubumor Subscription Premier to see online Stand Up the Premier Subscription once in Russia once in the entertainment subscription Premier stand -up subscription Premier Prejur Our love remotely the subscription Premier "&amp;"test online concertsmore subscription Premier to see online Galustyan +Humor subscription Premieers to see online, Margulisamous Subscription Premieers to see the online improviser subscription Premieers to see the online open microphoremor Premieers see "&amp;"online this miniature miniature subscription Premier to see the online frying subscription Premier to see the online “I want and I will!”. Psychological stand -up of Mikhail Labkovsky Subscription Premier to see online Comedy Battlumor Subscription Premie"&amp;"r show all cartoons VIJUS to see online Masha and Medvedmultfilm VIJUS Subscription VIJU TOMAL TOM: Minimultsmultfilm Subscription VIJU to see the online speaking Tom and Friends: Minimults SKA VIJU look online about Tom: Herimultfilm VIJUS Subscription O"&amp;"nline Trus and Rainbow Kingdom of Rings Subscription Subscription viju see online talking about Tom and friends VIJU subscription online robots-trademultfilm VIJUS Subscription My Talking Anlamultfilm VIJUS VIJUS Subscribes in Sapogamymultfilm VIJU Subscr"&amp;"ibers Subscribers Subscription VIJUSTI VIJUS Subscription Lithuania Online Shrek 2Multfilm VIJU Subscription Online Shrekmultfilm VIJUAMENSION VIENAMENT OF THE Online Family Polusmultfilm Subscription Premier View Online Burdashevsmultfilm Subscription Pr"&amp;"emier to see online Valeramultfilm Premier View online ice cream is the subscription Premier to see online doctor Psymoltfilm Premier View online multernymultfilm Premier Subscription Prem Ird see online gangster Petersburgermultfilm Subscription Premieer"&amp;"s to see online alive among Aliensmultfilm Subscription Premieers to see the online whale stupid showmultfilm Premieers test and walrusmults subscription Premier. Twmultfilm Premier's subscription carefully Earthlings! Cartoon Premier Subscription Premier"&amp;" Suspicious ovamultfilm Premier subscription show all books and audiobooks for downloading Mikhailovarovarodnoe Darrodnoye Rabbit Michalkovye Rabbit Robilizer Rabbit Akunininyamadmiti Petrovzhzhi Loy Complex ""Kuritsyn"" Maria Vornovaria of the Surzhevska"&amp;"ya family, Evensergee Lukyanenkuzhnikhniki Surzhenskhozhniki. A student of the Aleksandra Marininatma after the dawn of the Akuninbachi Death Aleksey Gubarevpiromant. Step 4. Predrutyana novelty. Wicked. Zelenleksandra Marininadebut. Volume 1 Haydarali Us"&amp;"mannaya profession. The hidden enemy-fredrick Bakmantrevoye people of Ustinovarokova Perekarlott Brandishmyuzik-Hall on Gow-Laneh Primachenkok tenderly. A book on how to appreciate and protect the Sales Polevinkgbt+ (KGBT+) Show everything now in the Ethr"&amp;"asist -testing of television programs watch onlinetrace Sport Stars (HD) watch online Ducktv examine onlineterra hd test online, see the premiere of the premiere HD TSHET VESTISTIAMEDIA PREMIUM HD watch online Blue Hustler View online View onlineStart Air"&amp;" see online Khl Prime HD see onlinetijiji OnlineHDL see onlineViju tv1000 hd watch online Match! Football 1 (HD) Watch the Online -Prime Minister HD see online Hit online night to see online, see online, watch the NTV -Plus VTV -PLUSE TRANSTRACT and summe"&amp;"r holidays, download the NTV -plus TV application and you will not miss a single game of your favorite team. The mobility and availability of NTV-plus TV is an opportunity to watch online the best sports channels on any digital devices. The scope of the s"&amp;"atellite subscribers of those who are already a satellite subscriber of the NTV-Plus We offer to connect online at super-high price. So that we can understand what it is suitable for you to log in. It is more abstract of the149 channels of online TV for s"&amp;"atellite subscribers 199 rubles per month for their satellite channels of the end of the end of the month of the end of the NTV-PLUS LLC all the rights are preserved. The use of the site’s materials without coordination is prohibited. the project feedback"&amp;" from a telecommunications forces of the ""Audiobeobelechangles -SPROMILSSISISES AND ADEOLECTIONALISTIONS TO NECTIONAL PRODUCTION OF ACULATIONAL CARNALS AND RADENSIALS OF ACCOUNCE AND EXPECTIONALLY CLOSE OF IOS, IOS unhealthy, IOS was removed from the App"&amp;"le Store. It will no longer work on iOS devices. But you can watch the video on ntvplus.tv or in applications for Android and Smart TV using a single user account.")</f>
        <v>NTV-plus online Your Twinline Twallow Two-Twistedelecanalyatraelekogramgramramramgramogramramramramgogramramramgramramramramkogramgramgramgramghlythilmariyahhortic an archings and the best moments of aircraft and audiobookpremier subscriptions of the ankatiakinotheater “Start” Films and TV shows of the Ivibibiobioteka “VIIJU” bibli TKA "Lenfilm" Radio films for adults of the Subscento Seto -Voit -Siski -Kelechanalefir of television programs of television -present -a -scammers of the chapter, the mains and the best moments of the fire and audiobricpremiemiamiacsakinoteatar "Start" films and sectors of the Ivibilly edema "VIJU" Library "Lenfilm" Radio films for adults of the Subscento Subscribing Subscribing profitable family forkanals + cognitive + euro sport + children = only 299 rubles! Together cheaper! 161 TV channel more first week further further than 299 rubles/month try free Premier236 films507 serial -bouncurtics Premieltoye. Premiel -navigation of the week for free further 299 rubles/month, try cognitive and entertaining canal in more detail the first week for free further than 199 rubles/month, Try free Start 358 Series -Biblio Start STARTOTO POP Podpodkop. Roble more first week for free further 399 rubles Try free VIJU13 TV channels 348 films 63 serial -library VIJUKETEL WIJU for free further 299 rubles/month try free euro sports15 sports channels2 cognitive and more canal more than the first week further 199 rubles/month to try free super sports10 Sports channels broadcast more and tended to 599 rubles/month to try free movie cinema 499 The first -first is more canal A week free further 299 rubles/month try free cinema for premium47 movie channels236 films free amedias 4 film card284 serial -enabilioteis in more detail the first week for free further 599 rubles/month, try for free at night for adults for adults, the first week for free further 199 rubles/month try free premium for adults 460 films biblioteum for a night premium, more than 399 rubles/month, try free radio channels31 cognitive and entertainment casual Lighter payments to look at Online Prestolism Personam Online Claim Subscribes Online containerdrama Subscription Start View online containmillors Subscription Start View online against all START Subscription Subscribes Premier's Subscription Premieurs View online Premier Signature Subscribes Online Interns. Comedies Premier's Subscription Online Ivanko -Comedy Subscription Premieers to see online Kill Ritudrama Premier's View online holidays Premier's Subscription University . New hostel of the Premieers subscription online policeman from the ruble comedy Subscription Premieers to see online! It will not be a mother will guess the Premier subscription to show all the novelty online container 3. Film about the film Subscription Start View Online Absolute Ventimi Subscription Amedias to see the online holidays of the Premieri Subscription online Romanovs. The last word -documentary subscription Premieers to see online abrecrama Subscription Start View online lunaphantastic Subscription Premieers see online Sasha v. Premieers see the online traveler in time Subscription Start View online Stop! It’s not that mom will guess the Premier subscription to see online disappearing the subscription of the amedias to see online Everest. Peak PRISTICAL Subscription Premier show all the top-25 on Premieers to see online Kill Ritudrama Premieers to see online real kids Clothings Premier's Subscription Premier View online Contact Drada Premier View New Submissions Premiert. RET online trepachocomedia subscription Premier to see online Mendelnsomedia Subscription Premier to see online Freshchers of the Comedy Premierait to see online poor oligarch comedy Subscription Premiers see the online hellish chefreali subscription Premier to see the online bodyguards Premieers to see online female stand -upupmore subscription Premieers to see online supervision of Premier's Subscription Premier Subscription Premier show all premieres on the Start Holmaphands Sting Subscription Start View Online Cat Subscription Start online how I became a child Subscription Start to see online lives lives the Start Subscription Subscription онлайн Бей первой!Спорт                        Подписка                        STARTСмотреть онлайн 14+Мелодрама                        Подписка                        STARTСмотреть онлайн СодержанкиТриллеры                        Подписка                        STARTСмотреть онлайн На выдохеДрама                        Подписка                        STARTСмотреть онлайн СчастьеДрама                        Подписка                        STARTСмотреть онлайн 7 часов на соблазнениеМелодрама                        Подписка                        STARTСмотреть онлайн Против всех                        Подписка                        STARTСмотреть онлайн О чем говорят мужчины. TV series Subscription Start Children Sex Do not Trakhadram Subscription Start You can’t break up online Subscription Start show everything recommending online formerly Subscription Subscription Start Subscription Subscribes START Watch the PREMIERS Subscriber Premieursa Remeers see online from nuladram subscription Premieers to see online followers Premier to see online St. John's wort -bribe subscription Premier. Online in the sun along the rows of cornzdram subscription Premieers see online university. 10 years later, the Premierait Subscription Subscription Parmydram Subscription Premieers to see online Zhukocomedia Subscription Premieers to see the online identification of Premieers testing the Premier Subscription Online Chernobyl: Exclamation Zone. Finallers Premier subscription show all the top 15 2022. On the online Babylon-Berlinkrimin Subscription VIJU to look at the online mission is impossible: the consequences of the VIJUS Subscription Subscription VIJU VIJUS VIJUS Subscription VIJUSTOM SPECTION OF VIJUS IJU to see online Marathon Desire Comedy Subscription VIJU to see online ghostly doctordrama VIJU Subscribes online upgradfantastics VIJUS Subscription Online Private CEERINED Subscription VIJUPREMIER HEMORMIR Watch online Comedy Clubumor Subscription Premier to see online Stand Up the Premier Subscription once in Russia once in the entertainment subscription Premier stand -up subscription Premier Prejur Our love remotely the subscription Premier test online concertsmore subscription Premier to see online Galustyan +Humor subscription Premieers to see online, Margulisamous Subscription Premieers to see the online improviser subscription Premieers to see the online open microphoremor Premieers see online this miniature miniature subscription Premier to see the online frying subscription Premier to see the online “I want and I will!”. Psychological stand -up of Mikhail Labkovsky Subscription Premier to see online Comedy Battlumor Subscription Premier show all cartoons VIJUS to see online Masha and Medvedmultfilm VIJUS Subscription VIJU TOMAL TOM: Minimultsmultfilm Subscription VIJU to see the online speaking Tom and Friends: Minimults SKA VIJU look online about Tom: Herimultfilm VIJUS Subscription Online Trus and Rainbow Kingdom of Rings Subscription Subscription viju see online talking about Tom and friends VIJU subscription online robots-trademultfilm VIJUS Subscription My Talking Anlamultfilm VIJUS VIJUS Subscribes in Sapogamymultfilm VIJU Subscribers Subscribers Subscription VIJUSTI VIJUS Subscription Lithuania Online Shrek 2Multfilm VIJU Subscription Online Shrekmultfilm VIJUAMENSION VIENAMENT OF THE Online Family Polusmultfilm Subscription Premier View Online Burdashevsmultfilm Subscription Premier to see online Valeramultfilm Premier View online ice cream is the subscription Premier to see online doctor Psymoltfilm Premier View online multernymultfilm Premier Subscription Prem Ird see online gangster Petersburgermultfilm Subscription Premieers to see online alive among Aliensmultfilm Subscription Premieers to see the online whale stupid showmultfilm Premieers test and walrusmults subscription Premier. Twmultfilm Premier's subscription carefully Earthlings! Cartoon Premier Subscription Premier Suspicious ovamultfilm Premier subscription show all books and audiobooks for downloading Mikhailovarovarodnoe Darrodnoye Rabbit Michalkovye Rabbit Robilizer Rabbit Akunininyamadmiti Petrovzhzhi Loy Complex "Kuritsyn" Maria Vornovaria of the Surzhevskaya family, Evensergee Lukyanenkuzhnikhniki Surzhenskhozhniki. A student of the Aleksandra Marininatma after the dawn of the Akuninbachi Death Aleksey Gubarevpiromant. Step 4. Predrutyana novelty. Wicked. Zelenleksandra Marininadebut. Volume 1 Haydarali Usmannaya profession. The hidden enemy-fredrick Bakmantrevoye people of Ustinovarokova Perekarlott Brandishmyuzik-Hall on Gow-Laneh Primachenkok tenderly. A book on how to appreciate and protect the Sales Polevinkgbt+ (KGBT+) Show everything now in the Ethrasist -testing of television programs watch onlinetrace Sport Stars (HD) watch online Ducktv examine onlineterra hd test online, see the premiere of the premiere HD TSHET VESTISTIAMEDIA PREMIUM HD watch online Blue Hustler View online View onlineStart Air see online Khl Prime HD see onlinetijiji OnlineHDL see onlineViju tv1000 hd watch online Match! Football 1 (HD) Watch the Online -Prime Minister HD see online Hit online night to see online, see online, watch the NTV -Plus VTV -PLUSE TRANSTRACT and summer holidays, download the NTV -plus TV application and you will not miss a single game of your favorite team. The mobility and availability of NTV-plus TV is an opportunity to watch online the best sports channels on any digital devices. The scope of the satellite subscribers of those who are already a satellite subscriber of the NTV-Plus We offer to connect online at super-high price. So that we can understand what it is suitable for you to log in. It is more abstract of the149 channels of online TV for satellite subscribers 199 rubles per month for their satellite channels of the end of the end of the month of the end of the NTV-PLUS LLC all the rights are preserved. The use of the site’s materials without coordination is prohibited. the project feedback from a telecommunications forces of the "Audiobeobelechangles -SPROMILSSISISES AND ADEOLECTIONALISTIONS TO NECTIONAL PRODUCTION OF ACULATIONAL CARNALS AND RADENSIALS OF ACCOUNCE AND EXPECTIONALLY CLOSE OF IOS, IOS unhealthy, IOS was removed from the Apple Store. It will no longer work on iOS devices. But you can watch the video on ntvplus.tv or in applications for Android and Smart TV using a single user account.</v>
      </c>
    </row>
    <row r="769">
      <c r="A769" s="1" t="s">
        <v>2487</v>
      </c>
      <c r="B769" s="1" t="s">
        <v>2534</v>
      </c>
      <c r="C769" s="1" t="s">
        <v>2535</v>
      </c>
      <c r="D769" s="1">
        <v>11.0</v>
      </c>
      <c r="E769" s="4" t="s">
        <v>2536</v>
      </c>
      <c r="F769" s="1" t="s">
        <v>16</v>
      </c>
      <c r="G769" s="1" t="s">
        <v>2537</v>
      </c>
      <c r="H769" s="4" t="s">
        <v>2538</v>
      </c>
      <c r="I769" s="2">
        <v>2.0</v>
      </c>
      <c r="J769" s="5" t="str">
        <f>IFERROR(__xludf.DUMMYFUNCTION("GOOGLETRANSLATE(A769)"),"Program Guide")</f>
        <v>Program Guide</v>
      </c>
      <c r="K769" s="6" t="str">
        <f>IFERROR(__xludf.DUMMYFUNCTION("GOOGLETRANSLATE(B769)"),"TV program program for today: all channels")</f>
        <v>TV program program for today: all channels</v>
      </c>
      <c r="L769" s="5" t="str">
        <f>IFERROR(__xludf.DUMMYFUNCTION("GOOGLETRANSLATE(C769)"),"A current television program for all channels today. A full TV program with a schedule, time, channels and television names for today.")</f>
        <v>A current television program for all channels today. A full TV program with a schedule, time, channels and television names for today.</v>
      </c>
      <c r="M769" s="5" t="str">
        <f>IFERROR(__xludf.DUMMYFUNCTION("GOOGLETRANSLATE(G769)"),"Comboplayer: media player for Windows | Download Combopler TV program What to watch on TV always relevant TV program on the comboplayer website freshly, I will turn on the JavaScript program in the browser settings program for TV programs on TV today on T"&amp;"V 05: 05 Great War War07: 35KA is arranged the universe is arranged KI04: 40 -known war. The Great Patriotic War. Great Patriotic War 103: 45 Dabricade of Ratibor ratio06: 00 Mamen wars-9. Wars-910: 10 Dubravkadubravka05: 20 School Rowwear Queen08: 45 Zhi"&amp;"l-there was a girl-girl. Foodure and grandfathers09: 00apostolapostol03: 05Mementememento10: 10vivius07 : 35 Scorption about the fisherman and the fisherman about the fisherman and the fish11: 15-term ship shipyard08: 50 Gastronoma No. 10 Gastronoma No. 1"&amp;"04: 15 gain of the Sinbadastastanbad Sinbadastanbad 06: 00 Maintenance wars-9-3rd wars-905: 50 TYUTS OF LEARNING04: 55ZHARED ADD06: 00ZARIZ AD06: 00 PLECHIZ Etsyblizers05: 3072 meters 72 meters 06: 00grogoria R. Grigory R.05: 00masha and Medvedmash and Be"&amp;"ar04: 20Farzafars06: 30 Mazhormazhor05: 30 they knew only in the face only in the face06: 25 -breeding commotionate perepollyki05: 25 g. Tel-2NATOVER-206: 05 PrOSAZAZ06: 00THI KOTTARY CAT06: 40 BOOK WITH THE Shadow-3: The Last Roundba with Shadow-3: Last "&amp;"Round06: 00 Grees Nash Guprokh05: 10 Sminiyasnia05: 30 MosharikiMosmeta play the video in the Sisteman requirements: OS Windows Vista and above 1024 MB of the RAM 350 MB of free space of HDD Advantages Advantages Reproduction Video Feillers Viewing over a"&amp;"ll windows download Combopler version: 3.0.7 Products Free media player program programs Partnership Partnerships our partners to copyright holders We are on social networks © Comboplayer 2016 - 2023 License agreement of the Political Policy Policy Policy"&amp;" Political Data Politics")</f>
        <v>Comboplayer: media player for Windows | Download Combopler TV program What to watch on TV always relevant TV program on the comboplayer website freshly, I will turn on the JavaScript program in the browser settings program for TV programs on TV today on TV 05: 05 Great War War07: 35KA is arranged the universe is arranged KI04: 40 -known war. The Great Patriotic War. Great Patriotic War 103: 45 Dabricade of Ratibor ratio06: 00 Mamen wars-9. Wars-910: 10 Dubravkadubravka05: 20 School Rowwear Queen08: 45 Zhil-there was a girl-girl. Foodure and grandfathers09: 00apostolapostol03: 05Mementememento10: 10vivius07 : 35 Scorption about the fisherman and the fisherman about the fisherman and the fish11: 15-term ship shipyard08: 50 Gastronoma No. 10 Gastronoma No. 104: 15 gain of the Sinbadastastanbad Sinbadastanbad 06: 00 Maintenance wars-9-3rd wars-905: 50 TYUTS OF LEARNING04: 55ZHARED ADD06: 00ZARIZ AD06: 00 PLECHIZ Etsyblizers05: 3072 meters 72 meters 06: 00grogoria R. Grigory R.05: 00masha and Medvedmash and Bear04: 20Farzafars06: 30 Mazhormazhor05: 30 they knew only in the face only in the face06: 25 -breeding commotionate perepollyki05: 25 g. Tel-2NATOVER-206: 05 PrOSAZAZ06: 00THI KOTTARY CAT06: 40 BOOK WITH THE Shadow-3: The Last Roundba with Shadow-3: Last Round06: 00 Grees Nash Guprokh05: 10 Sminiyasnia05: 30 MosharikiMosmeta play the video in the Sisteman requirements: OS Windows Vista and above 1024 MB of the RAM 350 MB of free space of HDD Advantages Advantages Reproduction Video Feillers Viewing over all windows download Combopler version: 3.0.7 Products Free media player program programs Partnership Partnerships our partners to copyright holders We are on social networks © Comboplayer 2016 - 2023 License agreement of the Political Policy Policy Policy Political Data Politics</v>
      </c>
    </row>
    <row r="770">
      <c r="A770" s="1" t="s">
        <v>2487</v>
      </c>
      <c r="B770" s="1" t="s">
        <v>2539</v>
      </c>
      <c r="C770" s="1" t="s">
        <v>2540</v>
      </c>
      <c r="D770" s="1">
        <v>12.0</v>
      </c>
      <c r="E770" s="4" t="s">
        <v>2541</v>
      </c>
      <c r="F770" s="1" t="s">
        <v>16</v>
      </c>
      <c r="G770" s="1" t="s">
        <v>344</v>
      </c>
      <c r="H770" s="4" t="s">
        <v>345</v>
      </c>
      <c r="I770" s="2">
        <v>1.0</v>
      </c>
      <c r="J770" s="5" t="str">
        <f>IFERROR(__xludf.DUMMYFUNCTION("GOOGLETRANSLATE(A770)"),"Program Guide")</f>
        <v>Program Guide</v>
      </c>
      <c r="K770" s="6" t="str">
        <f>IFERROR(__xludf.DUMMYFUNCTION("GOOGLETRANSLATE(B770)"),"Program program for today for all TV channels")</f>
        <v>Program program for today for all TV channels</v>
      </c>
      <c r="L770" s="5" t="str">
        <f>IFERROR(__xludf.DUMMYFUNCTION("GOOGLETRANSLATE(C770)"),"Program program for today; Yu. 02:10. Treason, 16+. 03:00; SAPPHIRE. 02:20. Atonement, 16+. Series 45. 03:05; Kainko. 01:45. Youth, 16+. Series 13. 02:35.")</f>
        <v>Program program for today; Yu. 02:10. Treason, 16+. 03:00; SAPPHIRE. 02:20. Atonement, 16+. Series 45. 03:05; Kainko. 01:45. Youth, 16+. Series 13. 02:35.</v>
      </c>
      <c r="M770" s="5" t="str">
        <f>IFERROR(__xludf.DUMMYFUNCTION("GOOGLETRANSLATE(G770)"),"IVI online cinema - films TV shows and cartoons watch online for free in good quality Ivivable Ivyvyvyanryarthaiarthausbiography Bades -Western -Westernate of the whole family of children of the children -democraticatrofycriminalmic -dimensional dimension"&amp;"s The North -Building Summer Soviet Delights of 2023 Fi films of 2022 Fuel Fuels 2021 2020 Features of 2020 Cleaning Veriatsivi. Routing Twitting, to see the films in the HDDs Subscribe on Smarttvserialyzhanybiosynynynetetetextives of the entire family of"&amp;" children Nyekhriminalmedicinemicemic dramatic adoptional -moman -mantic fantastic phynthintic -Russian -American -American -American -Twen -Summarias of 2023 Saemes of 2022 2021 Saems of 2020, Redinovyvi. Raittensurials In HDDs on Smarttvmultfiltfiltyzha"&amp;"nryanimoboevikodetal, adults of the whole family of children of children from the Children's -SamadiyuzyzyzyziklovyzyklovsikhoriahprospentiStestesistanistStesistanist -Russian -Russian -Trammults 2023 years of 2021 2021 years 2020 The years in the ONIMUMU"&amp;"LTICS in HD, in the HDTV, at the Smarttvpiwatch, take a subscription to the subscription-willcracials of the Iviteoria large money, the nyxygovy girlfriend Ivilada Goldni that the first counterclaims of the steam of the unclean digers (2019) gymnast-call "&amp;"does not happen. noah ""cranes"" exclusive I can’t Ivikho Ivikho Ivikho Ivikho I can’t go to the difficulty of the relationship of the North-Emerine Severini Emericial Heart! A brief course of a happy life-groomed cell (2013) Russian Gorcioline Kinoter Iv"&amp;"i: films in good quality always bring real pleasure to you to refuse to watch an interesting film due to the fact that it was shown in an uncomfortable time? Did you have to look for movies online on the Internet where to watch movies? And to argue with h"&amp;"ome because of the choice of movies for viewing on TV? All these problems remained in the past! Open for yourself movies online in HD quality with Ivi cinema. We do not just free you from the need to go to the cinema or study the television program-visito"&amp;"rs to our resource have much more opportunities. IVIONLINA-Kinotar-this is the largest collection of domestic and foreign films in Runet. Our video text has more than 30 thousand films and videos available for watching online and is constantly updated. Th"&amp;"e online cinema IVI.TV is: the first video service in Russia that allows you to watch movies online in good quality; The ability to postpone watching a movie for a while or start watching a movie online from any moment; Convenient search for films: by the"&amp;" name of the year of production of production or genre; Online films to watch which are not required to install video players or look for codecs; Regularly we add to the site the latest comedies the best films-adventures fighters Films of horror thrillers"&amp;" and historical dramas. Return for yourself the opportunity to watch movies online in excellent quality with the Ivy cinema! Make sure that watching online is simply and convenient! Adventures of a spray-pipe returns unnecessary people calendar MA (s) pap"&amp;"a-Vujnogenda Orlendi Pioneer 3. Hello adult life! Films about real lovers of strict-grains of ae-grader: a new turning point in the exchange of love. Only for adults 30 dates, there are a bitter-Russian multi-part melodrama of memory of the Memory and Mar"&amp;"garitagornical ALSALISA ALLECTION I know your secrets on the Kubaniton Mission Detective Military Militical Militical Films with a High Route of Subscription Series in the Subscription of the NASU SUB Ending Information for partnerships of an advertising "&amp;"agreement of the confidentiality policy of IVI, letters of recommendation are used technologies of the discretion of Ivi and something new films of the science Certificate Care Films TV shows and cartoons without advertising loads BAPP Stores is inGoogle "&amp;"Play, View devices")</f>
        <v>IVI online cinema - films TV shows and cartoons watch online for free in good quality Ivivable Ivyvyvyanryarthaiarthausbiography Bades -Western -Westernate of the whole family of children of the children -democraticatrofycriminalmic -dimensional dimensions The North -Building Summer Soviet Delights of 2023 Fi films of 2022 Fuel Fuels 2021 2020 Features of 2020 Cleaning Veriatsivi. Routing Twitting, to see the films in the HDDs Subscribe on Smarttvserialyzhanybiosynynynetetetextives of the entire family of children Nyekhriminalmedicinemicemic dramatic adoptional -moman -mantic fantastic phynthintic -Russian -American -American -American -Twen -Summarias of 2023 Saemes of 2022 2021 Saems of 2020, Redinovyvi. Raittensurials In HDDs on Smarttvmultfiltfiltyzhanryanimoboevikodetal, adults of the whole family of children of children from the Children's -SamadiyuzyzyzyziklovyzyklovsikhoriahprospentiStestesistanistStesistanist -Russian -Russian -Trammults 2023 years of 2021 2021 years 2020 The years in the ONIMUMULTICS in HD, in the HDTV, at the Smarttvpiwatch, take a subscription to the subscription-willcracials of the Iviteoria large money, the nyxygovy girlfriend Ivilada Goldni that the first counterclaims of the steam of the unclean digers (2019) gymnast-call does not happen. noah "cranes" exclusive I can’t Ivikho Ivikho Ivikho Ivikho I can’t go to the difficulty of the relationship of the North-Emerine Severini Emericial Heart! A brief course of a happy life-groomed cell (2013) Russian Gorcioline Kinoter Ivi: films in good quality always bring real pleasure to you to refuse to watch an interesting film due to the fact that it was shown in an uncomfortable time? Did you have to look for movies online on the Internet where to watch movies? And to argue with home because of the choice of movies for viewing on TV? All these problems remained in the past! Open for yourself movies online in HD quality with Ivi cinema. We do not just free you from the need to go to the cinema or study the television program-visitors to our resource have much more opportunities. IVIONLINA-Kinotar-this is the largest collection of domestic and foreign films in Runet. Our video text has more than 30 thousand films and videos available for watching online and is constantly updated. The online cinema IVI.TV is: the first video service in Russia that allows you to watch movies online in good quality; The ability to postpone watching a movie for a while or start watching a movie online from any moment; Convenient search for films: by the name of the year of production of production or genre; Online films to watch which are not required to install video players or look for codecs; Regularly we add to the site the latest comedies the best films-adventures fighters Films of horror thrillers and historical dramas. Return for yourself the opportunity to watch movies online in excellent quality with the Ivy cinema! Make sure that watching online is simply and convenient! Adventures of a spray-pipe returns unnecessary people calendar MA (s) papa-Vujnogenda Orlendi Pioneer 3. Hello adult life! Films about real lovers of strict-grains of ae-grader: a new turning point in the exchange of love. Only for adults 30 dates, there are a bitter-Russian multi-part melodrama of memory of the Memory and Margaritagornical ALSALISA ALLECTION I know your secrets on the Kubaniton Mission Detective Military Militical Militical Films with a High Route of Subscription Series in the Subscription of the NASU SUB Ending Information for partnerships of an advertising agreement of the confidentiality policy of IVI, letters of recommendation are used technologies of the discretion of Ivi and something new films of the science Certificate Care Films TV shows and cartoons without advertising loads BAPP Stores is inGoogle Play, View devices</v>
      </c>
    </row>
    <row r="771">
      <c r="A771" s="1" t="s">
        <v>2487</v>
      </c>
      <c r="B771" s="1" t="s">
        <v>2542</v>
      </c>
      <c r="C771" s="1" t="s">
        <v>2522</v>
      </c>
      <c r="D771" s="1">
        <v>13.0</v>
      </c>
      <c r="E771" s="4" t="s">
        <v>2543</v>
      </c>
      <c r="F771" s="1" t="s">
        <v>16</v>
      </c>
      <c r="I771" s="2">
        <v>1.0</v>
      </c>
      <c r="J771" s="5" t="str">
        <f>IFERROR(__xludf.DUMMYFUNCTION("GOOGLETRANSLATE(A771)"),"Program Guide")</f>
        <v>Program Guide</v>
      </c>
      <c r="K771" s="6" t="str">
        <f>IFERROR(__xludf.DUMMYFUNCTION("GOOGLETRANSLATE(B771)"),"TV program for today and ... - website of Vladivostok")</f>
        <v>TV program for today and ... - website of Vladivostok</v>
      </c>
      <c r="L771" s="5" t="str">
        <f>IFERROR(__xludf.DUMMYFUNCTION("GOOGLETRANSLATE(C771)"),"The TV program for a week, for today, a television program now. Local and satellite television channels - all channels. TV show archive.")</f>
        <v>The TV program for a week, for today, a television program now. Local and satellite television channels - all channels. TV show archive.</v>
      </c>
      <c r="M771" s="5" t="str">
        <f>IFERROR(__xludf.DUMMYFUNCTION("GOOGLETRANSLATE(G771)"),"#VALUE!")</f>
        <v>#VALUE!</v>
      </c>
    </row>
    <row r="772">
      <c r="A772" s="1" t="s">
        <v>2487</v>
      </c>
      <c r="B772" s="1" t="s">
        <v>2544</v>
      </c>
      <c r="C772" s="1" t="s">
        <v>2545</v>
      </c>
      <c r="D772" s="1">
        <v>14.0</v>
      </c>
      <c r="E772" s="4" t="s">
        <v>2546</v>
      </c>
      <c r="F772" s="1" t="s">
        <v>16</v>
      </c>
      <c r="I772" s="2">
        <v>2.0</v>
      </c>
      <c r="J772" s="5" t="str">
        <f>IFERROR(__xludf.DUMMYFUNCTION("GOOGLETRANSLATE(A772)"),"Program Guide")</f>
        <v>Program Guide</v>
      </c>
      <c r="K772" s="6" t="str">
        <f>IFERROR(__xludf.DUMMYFUNCTION("GOOGLETRANSLATE(B772)"),"Program program and live broadcast")</f>
        <v>Program program and live broadcast</v>
      </c>
      <c r="L772" s="5" t="str">
        <f>IFERROR(__xludf.DUMMYFUNCTION("GOOGLETRANSLATE(C772)"),"Program program and the live broadcast of the TV Center TV channel")</f>
        <v>Program program and the live broadcast of the TV Center TV channel</v>
      </c>
      <c r="M772" s="5" t="str">
        <f>IFERROR(__xludf.DUMMYFUNCTION("GOOGLETRANSLATE(G772)"),"#VALUE!")</f>
        <v>#VALUE!</v>
      </c>
    </row>
    <row r="773">
      <c r="A773" s="1" t="s">
        <v>2487</v>
      </c>
      <c r="B773" s="1" t="s">
        <v>2547</v>
      </c>
      <c r="D773" s="1">
        <v>15.0</v>
      </c>
      <c r="E773" s="4" t="s">
        <v>2548</v>
      </c>
      <c r="F773" s="1" t="s">
        <v>16</v>
      </c>
      <c r="G773" s="1" t="s">
        <v>2509</v>
      </c>
      <c r="H773" s="4" t="s">
        <v>2510</v>
      </c>
      <c r="I773" s="2">
        <v>1.0</v>
      </c>
      <c r="J773" s="5" t="str">
        <f>IFERROR(__xludf.DUMMYFUNCTION("GOOGLETRANSLATE(A773)"),"Program Guide")</f>
        <v>Program Guide</v>
      </c>
      <c r="K773" s="6" t="str">
        <f>IFERROR(__xludf.DUMMYFUNCTION("GOOGLETRANSLATE(B773)"),"Program program in Yekaterinburg: for today, on ...")</f>
        <v>Program program in Yekaterinburg: for today, on ...</v>
      </c>
      <c r="L773" s="5" t="str">
        <f>IFERROR(__xludf.DUMMYFUNCTION("GOOGLETRANSLATE(C773)"),"#VALUE!")</f>
        <v>#VALUE!</v>
      </c>
      <c r="M773" s="5" t="str">
        <f>IFERROR(__xludf.DUMMYFUNCTION("GOOGLETRANSLATE(G773)"),"The program program in Moscow: for today for tomorrow for a week - a TV program Starhitvash Browser is outdated, therefore, the site can not be displayed incorrectly. Update your browser to increase the level of speed and comfort of using this site. Updat"&amp;"e the television program of television programs of the star -stellarmogram monk for today - Moskvasesey) 13W 14CH 14CH 16PT 17PT 17SB 18 Seriylyno -Sports of Sports of Loading ... The first05: 10 Podkasta. Lab 16+06: 10 Poddokast. Lab 16+06: 55 playing ha"&amp;"rmonies beloved! 12+07: 40 hours 12+08: 10 Sosdorovy 16+09: 20 ""Dreamalon"". National Lottery 12+09: 40 ""Non -pulp notes"" with Dmitry Krylov 12+10: 00 nobility (with subtitles) 10: 15 Prime Minister. ""Life"" 12+11: 05 premiere. ""Cooks on wheels"" 12+"&amp;"12: 00 nobility (with subtitles) 12: 15 Video? 0+13: 45 Son Son 12+16: 25 ""Hot ice"". Figure skating. Grand Prix of Russia-2023. Arbitrary P ... 18: 00 -haired news (with subtitles) 19: 00 Prime Minister. ""Dispers of Star"" 12+21: 00 time 23: 00zhanna 1"&amp;"6+00: 50 podkasta.mam 16+01: 35 podkasta. Lab 16+02: 20 podkasta. Lab 16+03: 10 podkast. Lab 16+04: 00 podkast. Lab 16+04+04 : 57 Test in broadcasting The whole program Russia 106: 09 Test in broadcasting 06: 10all in search of Alla 12+08: 00. Sunday 08: "&amp;"35th. All houses with Timur Kizyakov 09: 25 -month mail with Nikolai Baskov 10: 10 Sto to one 11: 00 Voro 12: 00 Changes 13: 00hrustic happiness 12+17: 00 -owned 17: 50 Pesnya with all my heart 12+20: 00 Wing 22: 00 Below 22 weeks : 00moskva. Kremlin. Put"&amp;"in 22: 40 -Waste evening with Vladimir Solovyov 12+01: 30alla in search of Alla 12+03: 13 Test in broadcasting the whole program match! 06: 00 ridiculous martial arts. UFC. Direct broadcast from the United States 09: 00 News 09: 05vs for the match! 10: 00"&amp;" Liga Heroes 12+11: 05 Op inhalation 12+13: 15VS for the match! 13: 50 Novosti 13: 55 -volume in the snow. Russian championship. The final. Direct broadcast from Novo ... 16: 00vs for the match! 16: 25 Basketball. Unified VTB League. Direct broadcast 18: "&amp;"30VS for the match! 19: 00 -football. The world is Russian Premier League. Direct broadcast 21:30 ""After football"" with George Cherdantsev 22: 40 football. Italian championship. Direct broadcast 00: 45 football. Brazil championship. Direct broadcast 02:"&amp;" 30 mixed martial arts. UFC. Broadcast from the United States 16+04: 00 nobility 0+04: 05 football. German Championship 6+the entire NTV05 program: 40wells of broken lamps-13 16+06: 35-central television 16+08: 00 this day 08: 20 I win us! 12+10: 00 thous"&amp;"and: 20 first program 16+11: 00 Chudo technology 12+11: 55 -day answer 0+13: 00nashpotrebnadzor 16+14: 05: 16+15: 00svoi game 0+16: 00 thousand 16: 20 people in the right With Andrei Kunitsyn 16+17: 00 The investigation was carried out ... 16+19: 00 “Resu"&amp;"lts of the week” with Irada Zeynalova 20: 20orginal musical “Show Avatar” 12+23: 20 STARS FRIEND 16+00: 55KVARIC NTV at Margulis 16+02: 50 Subters and shadow of the beacon 16+03: 25 Subters and shadow of the lighthouse 16+04: 00svet and shadow of the ligh"&amp;"thouse 16+04: 49 Practice in broadcasting 04: 50 Ulits of broken lamps-13 16+The entire program fifth channel05: 00mash and bear 0+05: 10 Prosecutor’s check 16+06: 05 prosecutor's inspection 16+06: 55 NOVARY 16+07: 45 NOVARY 16+08: 40 NOT 4+09: 30 REMOVER"&amp;" 16+10: 25 NOVARY 16+11: 20 NEW 16+12: 15 REMOVARY 16+13: 10 NEVER 16+14: 14: 14: 14: 14: 14: 14: 10 -standing 16+15: 05 LEARTH 16+15: 55 LEARTH 16+16: 45 LEARTH 16+17: 40NASH Special Forces 12+18: 40Nash Special Forces 12+19: 35NASH Special Forces 12+20:"&amp;" 25 Nash Special Forces 12+21: 20 Nash Special Forces 12+22: 22: 22: 22: 22: 15 Nash Special Forces 12+23: 10 Philine 16+00: 05Filin 16+00: 55 Tyghaya hunt 16+01: 45 Tyghaya hunt 16+02: 30 Tyhay hunt 16+03: 15 Tyhay hunt 16+03: 55 Perseles 16+04: 40 Perse"&amp;"les 16+The whole program+The whole program Home06: 30 effect of Matrona 16+06: 40 Work and Driving 16+10: 15 for 15 minutes 16+10: 30 Non -high forgiveness 16+14: 45 Ty in my heart 16+19: 00 Yar. Flame 16+22: 45th Domas Doctor 16+23 : 00 family portrait 1"&amp;"6+02: 25 effect of Matrona 16+TNT05: 30 INSTRUCTION 16+05: 45 -courine race 6+07: 00th day in Russia. Special Dagages 2023 16+08: 00 item in Russia. Special Dagestes 2023 16+09: 00 picniki 16+09: 30 Bitts of picnics 16+10: 00ecostasens. Battle of the stro"&amp;"ngest 16+10: 30 Extranses. Battle of the strongest 16+11: 00ecstrasens. Battle of the strongest 16+13: 30 Extranses. Battle of the strongest 16+16: 00ecstrasens. The battle of the strongest 16+18: 30NOTA stars in Africa 16+21: 00 Liga cities 16+23: 00 shu"&amp;"ttle will 16+00: 10 Yarsche stars 16+01: 40 I do not believe you 16+02: 30, I do not believe you 16+03: 15MOMODICIZATION. Teams. Digest 16+04: 00Movision. Teams. Digest 16+04: 50 ""Studio"" Soyuz ""16+the Mir05 program: 00multfilms 6+06: 35 I capabilities"&amp;" 12+07: 00 Scab about how King Pyotr Arapa married 16+09: 00 a birthday in the USSR 16+09: 30 Fazendalife 6+ 10: 00 Novosti 10: 10: 10+11: 40 Legs about a circle 16+15: 20 Luminous Varvara-3 16+16: 00 News 16: 15 Luminous Varvara-3 16+18: 30 Varvara Barba"&amp;"ra-3 16+00: 00 Varvas. 16+01: 00 Scab about how Tsar Peter Arapa married 16+02: 40 Hands of life 16+04: 20 multfilms 6+the entire program STS05: 056 frames 16+05: 10 multfilms 0+05: 50ralash 16+06: 00ralash 0+07: 00 ""Hotel"" at the sheep ""0+07: 30 Ural "&amp;"dumplings 16+09: 00rogs in the case 16+10: 00 Ural dumplings 16+10: 30 Ural craftsmen 16+10: 55ural dumplings 16+11: 20mam will be against 16+14: 00 -sized The period is 0+15: 35 Valnic period-2. Global warming 0+17: 20 Valnic period-3. The era of dinosau"&amp;"rs 0+19: 15 Valnic period-4. Continental drift 0+21: 00 Titanic 16+01: 00schef Adam Jones 18+02: 45-Stew-Fede 16+The entire program TV Center05: 20 Nazad in the USSR 16+06: 05 order 16+07: 25 HEARTS SAMITY 16+07: 50 FLASIC-4 12+08: 0 : 00 expensive comrad"&amp;"es. Sunny Secretary General 16+15: 55rs secrets. In bed with a spy 16+16: 40 Lessidenesh 16+17: 35 Lyadenesh 16+18: 50 Shahmati queen 16+19: 40 School queen 16+20: 40 School queen 16+21: 35 School queen 16+22+22: 40 millionaire 12+23: 25 Millionaires 12+ "&amp;"12+ 00: 25 Hollow 6+00: 40 millionaire 12+01: 25 millionaire 12+02: 20 Petrovka 38. Special Saturday production 16+02: 30 from Siberia with love! 12+03: 10 from Siberia with love! 12+03: 50 from Siberia with love! 12+04: 30 from Siberia with love! 12+The "&amp;"entire program public television of Russia06: 00 Clubs 12+07: 20 Dialogs without makeup 12+07: 35ot rights to capabilities 12+07: 50th country 12+08: 45 Tsepapra and crane 0+09: 00vso in an adult 09: 45 calendar 12+ 10: 10 NEW DRISION OF THE COMPLEMENT wi"&amp;"th Maryana Lysenko 12+11: 05th story 12+11: 50 News 11: 55kino at all times 12+12: 50 golden collection of non -aggregate cinema. Russia XX Century 16+13: 00VZHZHING FOR FIRST 12+13: 15 Special project OTP ""Designers of the Future"" 12+13: 30 Grand Count"&amp;"ry 12+14: 30 Calendar 12+15: 00 Nobo 15: 05Saure sea path 12+15: 35Gala-concert of the festival ""In the name of life"" dedicated to the work of Alex ... 12+16: 30svet and shadow 16+17: 00 aukograd 12+17: 25 shelling in the back 12+19: 00 nobody 19: 05 cl"&amp;"ub of the main editors with Pavel Gusev 12+19: 45th length in the length in Life 16+21: 20 Taxi-Blub 16+23: 05 Gunda 6+00: 35 Party and grandfathers 12+01: 55franz 16+03: 45 Tyu yes I am 16+04: 15 Batry-peasants 12+The whole program culture06: 30multfilms"&amp;" 07: 30 Porus 07: 50 PODIRUS 08: 10 POPIC 08: 30 PODIRUS 08: 50 POMIRU 09: 10 POMIS 09: 30 DEALOVs of animals 10: 15USTRADE MARFINO. Soviet Hollywood 10: 55 Legends of world cinema 11: 20 Personal Tours 12: 30 Like Routes of Russia 13: 10 -evsky Ark. Theo"&amp;"ry of the impossible 13:40 “Game of Beads” with Igor Volgin 14: 25 Collection 14: 55 Chudo in Milan 16: 30 Cartin of the world with Mikhail Kovalchuk 17: 10 first in the world 17: 30 Life 18: 20 Dinara Aliyev. The romances of N. Rimsky-Korsakov P. Tchaiko"&amp;"vsky and S. Rach ... 19: 30th culture 19: 45th culture with Vladislav Flyarkovsky 20: 25kin-dza-dza! 22: 35 films-ballet ""Twelfth night or whatever"" 23: 55 Poreal tour 01: 05 Diagles about animals 01: 45 players 02:30 ""Robbery on ... 2"". ""Magnificent"&amp;" Gosha"" 03: 00 Test in broadcasting the entire TV-305: 15Multfilms 0+06: 00 multfilms 0+07: 45 Secrets of Health 16+08: 00vkosno with Lyaysan 16+08: 30noy day 12+09: 00 Money 16+10: 10: 10+10: 00 athrome news with Vasilisa Volodina 16+10: 30 Lestum Hero "&amp;"16+11: 45, 45, 45 Lavernik 16+13: 45 Lavernik 16+14: 45 Lavernik 16+15: 45, 45, 16+16: 45 Lavernik 16+17: 45 Lavernik 16+18+18: 45 Zheleznik 16+20: 00 Lavernik 16+21: 00 zeroil 16+22: 00 zeroil 16+23: 00urdik 16+00: 00 ""Coordinates"" Citadel 16+01: 30 Pr"&amp;"esents 18+03: 00 Test of force 16+03: 30 Test of force 16+ 04: 15 months of force 16+the entire program REN TV05: 00 Schoking hypotheses 16+07: 00s Bodry in the morning! 16+08: 30 News 16+09: 00 School program 16+09: 30 Do you know what? 16+10: 30 Nauka a"&amp;"nd equipment and technology 16+11: 30 Estimated history 16+12: 30 nobility 16+13: 00 a dragon of the dragon 16+14: 55 Besterny 16+17: 00 Serds from steel 16+19: 05 APGRAD 16+21: 00 Hooper on monsters 16+23: 00atically program with Petr Marchenko 16+23: 55"&amp;" Schoking hypotheses 16+The whole program of the star05: 30 knew only in the face of 12+07: 10 Waiting for Colonel Shalygin 12+09: 00 ""News of the Week"" with Yuri Podkopaev 16+09: 25 I will serve Russia 12+09: 55 Water acceptance 12 +10: 40 “Hidden thre"&amp;"ats” with Nikolai Chindyaykin 16+11: 30 core access 12+12: 20 “Army Legends” with Alexander Marshal 12+13: 10 S special report 16+13: 50 Speaking assignment 16+16: 05 Vorchaznit at dawn 16+ 18:00 ""Main"" with Olga Belova 16+19: 45 Legends of the Sovetsky"&amp;" Investigation 16+23: 00fetis 12+23: 50 people of Donbass 16+00: 10 sergeant of police 12+03: 50 Speaking assignment 16+The whole program Savior TV05: 00 Gospel out loud 0+ 06: 15 Washing of the Holy Monastery 0+06: 50 in the search for God 6+07: 20 Profe"&amp;"ssor Osipov 0+07: 55 Subtarius of Russia 6+09: 00 Wrong miracles 12+10: 00 -only liturgy 0+12: 45 zavet 6+13: 50 Russian world 12+15+15 : 00-leggy is looking for a father 0+16: 55 Denelve 16+17: 25-wing 12+18: 00 ""Main"" with Anna Safran 16+20: 05 dawn 1"&amp;"6+21: 50 Biology of betrayal 12+23: 00 Beson 18+00: 10 STIMS 16 +01: 30th Patriarch 0+01: 45 ""Main"" with Anna Sharfran 16+03: 30 ""Traces of the Empire"" with Arkady Mammontov 12+The entire program Friday05: 00 Fuck News 16+05: 25 Takes of Honey Valley "&amp;"12+05: 30 Tales Hedica Valley 12+05: 35 tenders of the honey valley 12+05: 45 Prostokvashino 12+05: 50 Prostokvashino 12+06: 00 fucker News 16+06: 20 Prostokvashino 0+06: 25 Prostokvashino 0+06: 35 Prostokvashino 0+06: 40 Prostokvashino 0+06: 50 cup Eudo "&amp;"6+08: 20 WHOLLOGRANT Startups 16+09: 00Trevel-Battl 16+10: 00 Plant move 16+11: 00 16+13: 00 Bitter of chefs 16+15: 00 Bitter of chefs 16+17: 20 Bitts of chefs 16+19: 30 Bitter of chefs 16+21: 50Ad chef 16+00: 30vo King's name: the history of the siege of"&amp;" the dungeon 16+02: 30 black list 16+03 : 30 black list 16+04: 20 fuckers News 16+04: 50trevel-Battl 16+the entire carousel program05: 00 early birds 0+07: 00s good morning kids! 0+07: 30VIP Pets 6+08: 05 Dracosia 0+09: 00ed with a bang! 0+09: 25 Petronik"&amp;"s 0+10: 00barbooskins 0+11: 00 Beauty 0+11: 20 Tsarevna 0+13: 05 Winx 6+14: 00 ""Hour"" Soyuzmultfilm ""6+15: 00fixiki. Give five! 0+17: 00 Luntik 0+18: 40 Kosheki-horseman 0+20: 30 Copical night kids! 0+20: 45 Ovetel for sheep 0+22: 30 heroes Gudzitsu 6+"&amp;"22: 40 Flip Chenger 6+23: 15Fuzhn Max 6+23: 40ralash 6+00: 30 Bububa 6+01: 30 GRIZLILS AND LEMMINGS 6+02: 30 Draw! 0+02: 55 Derevyes 0+03: 20 laboratorium 0+03: 50noty 0+04: 10 green project 0+04: 30-in-conobert 0+the entire program Yu05: 00mash and a bea"&amp;"r 0+07: 00malyshariki 0+08: 00masha and a bear 0+10: 00-hungry do not look at 16+11: 00bemenna at 16 16+14: 45 Life after show.b16 16+15: 50 Chado from hell 12+22: 00oma- 2. New Life 16+00: 00 aids from the other world 16+01: 55 meters 16+03: 35 Supermam "&amp;"16+The entire program 2x205: 05 Besemmer Cinema 16+05: 25 Fili among strangers 16+05: 35 tourdashev 16+06: 00 Russian cartoons 12+ 12+ 07: 35KAK is built by the Universe 16+08: 35 News 2x2 16+08: 40 spokesmans 2x2 16+09: 05 Discover myths 16+09: 55 sized "&amp;"in Japan. Unrealistic show 16+10: 25 Strim 16+10: 55 Strim 16+11: 20 Strim 16+ 11: 55 Strand 16+12: 20 Strim 16+12: 50stopgame TV 16+13: 50 Slabic Monster 16+14: 15 Slabic Monster 16+14: 40 Slabic Monster 16+15: 15 Slabic Monster 16+15: 40 News 2x2 16+15:"&amp;" 45 Slabic monster 16+16: 05Toples TV 16+17: 10 -family pole 16+17: 35 family pole 16+18: 10 -arranges and cruiser 12+18: 35 -nobo 2x2 16+18: 40 Kontent Content 16+19: 05 inspector 2x2 16+19: 25 Epic Files 16 +19: 35 survival course with Bear Grylls 16+20"&amp;": 30 Simpsons 16+21: 00 Simpsons 16+21: 25 News 2x2 16+21: 30toples TV 16+22: 00 Lugus Bob Square pants 16+22: 30 Lugus Bob Square pants 16+23: 23: 00 Novosti 2x2 16+23: 05 parasitic: the doctrine of life 18+23: 35 Cherynaya Friday 18+01: 20DP 16+01: 45EO"&amp;"N Flax 16+02: 05 IS CITY 18+02: 50 Yuzhnoye Park 18+03: 10JUFF and alien 18+ 03: 35atak Titans 16+03: 55atak titans 16+04: 20ka Universe 16+The whole program Sun05: 00mash and bear 0+06: 55 rinses 0+07: 25 Buba 0+09: 00 Sure dog and turbo cat 6+10: 45egip"&amp;"tus 6+12: 00 Proktokvashino 0+14: 40 Unionsmultfilm 6+16: 40 Mannya 6+18: 25 RIDs. So we live 12+22: 00 Nyanniki 16+23: 40 Dubler 16+01: 10ralash 6+The whole program Saturday! 05: 00mash and bear 0+05: 50 mmash fairy tales 0+06: 00mas and bear 0+06: 20 ma"&amp;"sh fairy tales 0+ 06: 30masha and bear 0+06: 55mashkins horror stories 0+07: 00mash and bear 0+07: 25mashkin horror stories 0+07: 30mash and bear 0+07: 45 mash fairy tale 0+07: 50mash and bear 0+08: 20mashkins of horror stories 0+08: 25machines of fairy t"&amp;"ales 0+08: 40mas and bear 0+09: 00 mash tale 0+09: 10mash and bear 0+09: 40 mmashkens of horror stories 0+09: 50mas and bear 0+10: 30mashs of fairy tales 0+10: 40mas and a bear 0+10: 55mashkin horror stories 0+11: 00mash and bear 0+11: 30masha and bear 0+"&amp;"11: 55mashkin horror stories 0+12: 10mash and bear 0+12: 30mash fairy tales 0+12: 40mas and bear 0+ 13: 00mashkin’s horror stories 0+13: 10masha and a bear 0+13: 35mashins fairy tales 0+13: 40mas and bear 0+14: 05mashkin horror stories 0+14: 10masha and b"&amp;"ear 0+14: 35machins of fairy tales 0+14: 50mas and bear 0+15: 10 Mamashkins of the horror stories 0+15: 20mash and bear 0+15: 40 mash fairy tale 0+15: 50mash and bear 0+16: 15mashkin horror stories 0+16: 20mash and bear 0+17: 30mi-Mimy 0+ 17: 40Mi-MI-MIKI"&amp;" 0+17: 45MI-MI-MIKI 0+17: 55Mi-MI-MIKI 0+18: 00Mi-MI-MIKI 0+18: 05Mi-MI-MIKI 0+18: 15MI-MIM -MIKI 0+18: 20Mi-mi-MIKI 0+18: 30MI-MI-MIKI 0+18: 35Mi-MI-MIKI 0+18: 45Mi-MI-MIKI 0+18: 50Mi-MI-MIMI 0+19 : 00mi-mi-Mimka 0+19: 10 TECHER I am a boss! 16+20: 20 TE"&amp;"THER I am a boss. Under the cover 16+21: 30 Bogin 16+22: 20 Bogin 16+23: 30 Startups 16+00: 10 Bogin Shoping 16+01: 00 My wife steers 16+02: 10k. Call this love 16+02: 30 Princess and Dragon 6+03: 40mas and bear 0+04: 45mashkin horror stories 0+04: 50mash"&amp;"kin horror stories 0+the entire program Russia 2405: 04 city of atom 05: 22 hazardous relationship 06: 00 nobody 06: 22. The attendant part 07: 00 Novosti 07: 08 Radio Investigation of Eduard Petrov 08: 00 Novosti 08: 14ir in the palm of your hand. Histor"&amp;"y day after day 08: 32 formulas of power 09: 07 interview 09: 27 -special reports 10: 05stopfect 10: 27 News 11: 22. The attendant part 12: 09Vs glance from St. Petersburg with Vladimir Bortko 12: 37 -special reports 13: 00 Novosti 13: 10 Parlament hour 1"&amp;"4: 01 How did France lose its influence in Africa? 15: 27 Novosti 16: 24 Molodny wine 17: 00 Novosti 17: 23za tape. 87th Week 18: 00 News 18: 31-gender trip 20: 00 Novosti 20: 17 S special report 20: 44 Gorod technologies 21: 00 News 21: 32-day trip 22: 0"&amp;"0 Novosti 22: 17VZVISIT from St. Petersburg with Vladimir Bortko 22: 45 City technologies 23: 00 Veles 01 : 00 Novosti 01: 36moskva. Kremlin. Putin 02: 36 Workshop with Vladimir Solovyov The whole program Che! 06: 00 -year -old video. The funniest 16+06: "&amp;"20-year-old video 16+08: 00 Master sword 16+10: 00 Iutolizer 16+10: 30 SOLDATES-15 16+20: 40+100500 16+23: 00+100500 18+23: 30+100500 18+03 : 00 ""Disposter"" with Nastya Fog 16+03: 45utizer 16+Abakananadyrkhangelskastrakhanbarnaulgodbelgorodbodzhanbidzha"&amp;"nbigaroblazhvezhenshoschenskivoshlodovladovokazvokazvoldykazvoldimvolgogradovolgogogradovolgogor-dimensor-altables. Yoshkar-O-Olacalinkalingeravkemovokomolsk-on-Amurkostromacroacroacroacroacroacroacroacroaccerson-Yarskkurskkurskkamylyepamagadanmagadanmaga"&amp;"smagnitoroskopmakhamakhamokalipamaquamoskamykamykamykamykamyankanazran-Marnizhnezhevar-Khovartovosybinsk-Rybinneskobirskobirskobloreloregpensza Permpepetropetropetropavlovsk-Kamchatovskovrostov-on-Donuryazansansanskaksankanksankansksaran-Saratovastopolsom"&amp;"olenskistovistavropolitamaksugutsykutsyktsykutsyktytykumytovkamytovkuttitomenyanovsurovsurovsurovskufhabarovskhanti-Mansi-Mansi-Mansiyskhants Sarychelyabinskocherkess-readylistayzhno-Sakhalinskyakutskayaroslavlvs city of the city of Project Zhotereklamani"&amp;"l Participation in the competition of use Cook -Kontakttekhnotka Network Edition ""Online magazine Starhit (StarHit)"" Any reproduction of the site materials without the permission of the editorial office is prohibited. Copyright (c) LLC Shkulev Media Hol"&amp;"ding 2023. Supplier of the program program - ""Service -TV"" Enforce Technologies")</f>
        <v>The program program in Moscow: for today for tomorrow for a week - a TV program Starhitvash Browser is outdated, therefore, the site can not be displayed incorrectly. Update your browser to increase the level of speed and comfort of using this site. Update the television program of television programs of the star -stellarmogram monk for today - Moskvasesey) 13W 14CH 14CH 16PT 17PT 17SB 18 Seriylyno -Sports of Sports of Loading ... The first05: 10 Podkasta. Lab 16+06: 10 Poddokast. Lab 16+06: 55 playing harmonies beloved! 12+07: 40 hours 12+08: 10 Sosdorovy 16+09: 20 "Dreamalon". National Lottery 12+09: 40 "Non -pulp notes" with Dmitry Krylov 12+10: 00 nobility (with subtitles) 10: 15 Prime Minister. "Life" 12+11: 05 premiere. "Cooks on wheels" 12+12: 00 nobility (with subtitles) 12: 15 Video? 0+13: 45 Son Son 12+16: 25 "Hot ice". Figure skating. Grand Prix of Russia-2023. Arbitrary P ... 18: 00 -haired news (with subtitles) 19: 00 Prime Minister. "Dispers of Star" 12+21: 00 time 23: 00zhanna 16+00: 50 podkasta.mam 16+01: 35 podkasta. Lab 16+02: 20 podkasta. Lab 16+03: 10 podkast. Lab 16+04: 00 podkast. Lab 16+04+04 : 57 Test in broadcasting The whole program Russia 106: 09 Test in broadcasting 06: 10all in search of Alla 12+08: 00. Sunday 08: 35th. All houses with Timur Kizyakov 09: 25 -month mail with Nikolai Baskov 10: 10 Sto to one 11: 00 Voro 12: 00 Changes 13: 00hrustic happiness 12+17: 00 -owned 17: 50 Pesnya with all my heart 12+20: 00 Wing 22: 00 Below 22 weeks : 00moskva. Kremlin. Putin 22: 40 -Waste evening with Vladimir Solovyov 12+01: 30alla in search of Alla 12+03: 13 Test in broadcasting the whole program match! 06: 00 ridiculous martial arts. UFC. Direct broadcast from the United States 09: 00 News 09: 05vs for the match! 10: 00 Liga Heroes 12+11: 05 Op inhalation 12+13: 15VS for the match! 13: 50 Novosti 13: 55 -volume in the snow. Russian championship. The final. Direct broadcast from Novo ... 16: 00vs for the match! 16: 25 Basketball. Unified VTB League. Direct broadcast 18: 30VS for the match! 19: 00 -football. The world is Russian Premier League. Direct broadcast 21:30 "After football" with George Cherdantsev 22: 40 football. Italian championship. Direct broadcast 00: 45 football. Brazil championship. Direct broadcast 02: 30 mixed martial arts. UFC. Broadcast from the United States 16+04: 00 nobility 0+04: 05 football. German Championship 6+the entire NTV05 program: 40wells of broken lamps-13 16+06: 35-central television 16+08: 00 this day 08: 20 I win us! 12+10: 00 thousand: 20 first program 16+11: 00 Chudo technology 12+11: 55 -day answer 0+13: 00nashpotrebnadzor 16+14: 05: 16+15: 00svoi game 0+16: 00 thousand 16: 20 people in the right With Andrei Kunitsyn 16+17: 00 The investigation was carried out ... 16+19: 00 “Results of the week” with Irada Zeynalova 20: 20orginal musical “Show Avatar” 12+23: 20 STARS FRIEND 16+00: 55KVARIC NTV at Margulis 16+02: 50 Subters and shadow of the beacon 16+03: 25 Subters and shadow of the lighthouse 16+04: 00svet and shadow of the lighthouse 16+04: 49 Practice in broadcasting 04: 50 Ulits of broken lamps-13 16+The entire program fifth channel05: 00mash and bear 0+05: 10 Prosecutor’s check 16+06: 05 prosecutor's inspection 16+06: 55 NOVARY 16+07: 45 NOVARY 16+08: 40 NOT 4+09: 30 REMOVER 16+10: 25 NOVARY 16+11: 20 NEW 16+12: 15 REMOVARY 16+13: 10 NEVER 16+14: 14: 14: 14: 14: 14: 14: 10 -standing 16+15: 05 LEARTH 16+15: 55 LEARTH 16+16: 45 LEARTH 16+17: 40NASH Special Forces 12+18: 40Nash Special Forces 12+19: 35NASH Special Forces 12+20: 25 Nash Special Forces 12+21: 20 Nash Special Forces 12+22: 22: 22: 22: 22: 15 Nash Special Forces 12+23: 10 Philine 16+00: 05Filin 16+00: 55 Tyghaya hunt 16+01: 45 Tyghaya hunt 16+02: 30 Tyhay hunt 16+03: 15 Tyhay hunt 16+03: 55 Perseles 16+04: 40 Perseles 16+The whole program+The whole program Home06: 30 effect of Matrona 16+06: 40 Work and Driving 16+10: 15 for 15 minutes 16+10: 30 Non -high forgiveness 16+14: 45 Ty in my heart 16+19: 00 Yar. Flame 16+22: 45th Domas Doctor 16+23 : 00 family portrait 16+02: 25 effect of Matrona 16+TNT05: 30 INSTRUCTION 16+05: 45 -courine race 6+07: 00th day in Russia. Special Dagages 2023 16+08: 00 item in Russia. Special Dagestes 2023 16+09: 00 picniki 16+09: 30 Bitts of picnics 16+10: 00ecostasens. Battle of the strongest 16+10: 30 Extranses. Battle of the strongest 16+11: 00ecstrasens. Battle of the strongest 16+13: 30 Extranses. Battle of the strongest 16+16: 00ecstrasens. The battle of the strongest 16+18: 30NOTA stars in Africa 16+21: 00 Liga cities 16+23: 00 shuttle will 16+00: 10 Yarsche stars 16+01: 40 I do not believe you 16+02: 30, I do not believe you 16+03: 15MOMODICIZATION. Teams. Digest 16+04: 00Movision. Teams. Digest 16+04: 50 "Studio" Soyuz "16+the Mir05 program: 00multfilms 6+06: 35 I capabilities 12+07: 00 Scab about how King Pyotr Arapa married 16+09: 00 a birthday in the USSR 16+09: 30 Fazendalife 6+ 10: 00 Novosti 10: 10: 10+11: 40 Legs about a circle 16+15: 20 Luminous Varvara-3 16+16: 00 News 16: 15 Luminous Varvara-3 16+18: 30 Varvara Barbara-3 16+00: 00 Varvas. 16+01: 00 Scab about how Tsar Peter Arapa married 16+02: 40 Hands of life 16+04: 20 multfilms 6+the entire program STS05: 056 frames 16+05: 10 multfilms 0+05: 50ralash 16+06: 00ralash 0+07: 00 "Hotel" at the sheep "0+07: 30 Ural dumplings 16+09: 00rogs in the case 16+10: 00 Ural dumplings 16+10: 30 Ural craftsmen 16+10: 55ural dumplings 16+11: 20mam will be against 16+14: 00 -sized The period is 0+15: 35 Valnic period-2. Global warming 0+17: 20 Valnic period-3. The era of dinosaurs 0+19: 15 Valnic period-4. Continental drift 0+21: 00 Titanic 16+01: 00schef Adam Jones 18+02: 45-Stew-Fede 16+The entire program TV Center05: 20 Nazad in the USSR 16+06: 05 order 16+07: 25 HEARTS SAMITY 16+07: 50 FLASIC-4 12+08: 0 : 00 expensive comrades. Sunny Secretary General 16+15: 55rs secrets. In bed with a spy 16+16: 40 Lessidenesh 16+17: 35 Lyadenesh 16+18: 50 Shahmati queen 16+19: 40 School queen 16+20: 40 School queen 16+21: 35 School queen 16+22+22: 40 millionaire 12+23: 25 Millionaires 12+ 12+ 00: 25 Hollow 6+00: 40 millionaire 12+01: 25 millionaire 12+02: 20 Petrovka 38. Special Saturday production 16+02: 30 from Siberia with love! 12+03: 10 from Siberia with love! 12+03: 50 from Siberia with love! 12+04: 30 from Siberia with love! 12+The entire program public television of Russia06: 00 Clubs 12+07: 20 Dialogs without makeup 12+07: 35ot rights to capabilities 12+07: 50th country 12+08: 45 Tsepapra and crane 0+09: 00vso in an adult 09: 45 calendar 12+ 10: 10 NEW DRISION OF THE COMPLEMENT with Maryana Lysenko 12+11: 05th story 12+11: 50 News 11: 55kino at all times 12+12: 50 golden collection of non -aggregate cinema. Russia XX Century 16+13: 00VZHZHING FOR FIRST 12+13: 15 Special project OTP "Designers of the Future" 12+13: 30 Grand Country 12+14: 30 Calendar 12+15: 00 Nobo 15: 05Saure sea path 12+15: 35Gala-concert of the festival "In the name of life" dedicated to the work of Alex ... 12+16: 30svet and shadow 16+17: 00 aukograd 12+17: 25 shelling in the back 12+19: 00 nobody 19: 05 club of the main editors with Pavel Gusev 12+19: 45th length in the length in Life 16+21: 20 Taxi-Blub 16+23: 05 Gunda 6+00: 35 Party and grandfathers 12+01: 55franz 16+03: 45 Tyu yes I am 16+04: 15 Batry-peasants 12+The whole program culture06: 30multfilms 07: 30 Porus 07: 50 PODIRUS 08: 10 POPIC 08: 30 PODIRUS 08: 50 POMIRU 09: 10 POMIS 09: 30 DEALOVs of animals 10: 15USTRADE MARFINO. Soviet Hollywood 10: 55 Legends of world cinema 11: 20 Personal Tours 12: 30 Like Routes of Russia 13: 10 -evsky Ark. Theory of the impossible 13:40 “Game of Beads” with Igor Volgin 14: 25 Collection 14: 55 Chudo in Milan 16: 30 Cartin of the world with Mikhail Kovalchuk 17: 10 first in the world 17: 30 Life 18: 20 Dinara Aliyev. The romances of N. Rimsky-Korsakov P. Tchaikovsky and S. Rach ... 19: 30th culture 19: 45th culture with Vladislav Flyarkovsky 20: 25kin-dza-dza! 22: 35 films-ballet "Twelfth night or whatever" 23: 55 Poreal tour 01: 05 Diagles about animals 01: 45 players 02:30 "Robbery on ... 2". "Magnificent Gosha" 03: 00 Test in broadcasting the entire TV-305: 15Multfilms 0+06: 00 multfilms 0+07: 45 Secrets of Health 16+08: 00vkosno with Lyaysan 16+08: 30noy day 12+09: 00 Money 16+10: 10: 10+10: 00 athrome news with Vasilisa Volodina 16+10: 30 Lestum Hero 16+11: 45, 45, 45 Lavernik 16+13: 45 Lavernik 16+14: 45 Lavernik 16+15: 45, 45, 16+16: 45 Lavernik 16+17: 45 Lavernik 16+18+18: 45 Zheleznik 16+20: 00 Lavernik 16+21: 00 zeroil 16+22: 00 zeroil 16+23: 00urdik 16+00: 00 "Coordinates" Citadel 16+01: 30 Presents 18+03: 00 Test of force 16+03: 30 Test of force 16+ 04: 15 months of force 16+the entire program REN TV05: 00 Schoking hypotheses 16+07: 00s Bodry in the morning! 16+08: 30 News 16+09: 00 School program 16+09: 30 Do you know what? 16+10: 30 Nauka and equipment and technology 16+11: 30 Estimated history 16+12: 30 nobility 16+13: 00 a dragon of the dragon 16+14: 55 Besterny 16+17: 00 Serds from steel 16+19: 05 APGRAD 16+21: 00 Hooper on monsters 16+23: 00atically program with Petr Marchenko 16+23: 55 Schoking hypotheses 16+The whole program of the star05: 30 knew only in the face of 12+07: 10 Waiting for Colonel Shalygin 12+09: 00 "News of the Week" with Yuri Podkopaev 16+09: 25 I will serve Russia 12+09: 55 Water acceptance 12 +10: 40 “Hidden threats” with Nikolai Chindyaykin 16+11: 30 core access 12+12: 20 “Army Legends” with Alexander Marshal 12+13: 10 S special report 16+13: 50 Speaking assignment 16+16: 05 Vorchaznit at dawn 16+ 18:00 "Main" with Olga Belova 16+19: 45 Legends of the Sovetsky Investigation 16+23: 00fetis 12+23: 50 people of Donbass 16+00: 10 sergeant of police 12+03: 50 Speaking assignment 16+The whole program Savior TV05: 00 Gospel out loud 0+ 06: 15 Washing of the Holy Monastery 0+06: 50 in the search for God 6+07: 20 Professor Osipov 0+07: 55 Subtarius of Russia 6+09: 00 Wrong miracles 12+10: 00 -only liturgy 0+12: 45 zavet 6+13: 50 Russian world 12+15+15 : 00-leggy is looking for a father 0+16: 55 Denelve 16+17: 25-wing 12+18: 00 "Main" with Anna Safran 16+20: 05 dawn 16+21: 50 Biology of betrayal 12+23: 00 Beson 18+00: 10 STIMS 16 +01: 30th Patriarch 0+01: 45 "Main" with Anna Sharfran 16+03: 30 "Traces of the Empire" with Arkady Mammontov 12+The entire program Friday05: 00 Fuck News 16+05: 25 Takes of Honey Valley 12+05: 30 Tales Hedica Valley 12+05: 35 tenders of the honey valley 12+05: 45 Prostokvashino 12+05: 50 Prostokvashino 12+06: 00 fucker News 16+06: 20 Prostokvashino 0+06: 25 Prostokvashino 0+06: 35 Prostokvashino 0+06: 40 Prostokvashino 0+06: 50 cup Eudo 6+08: 20 WHOLLOGRANT Startups 16+09: 00Trevel-Battl 16+10: 00 Plant move 16+11: 00 16+13: 00 Bitter of chefs 16+15: 00 Bitter of chefs 16+17: 20 Bitts of chefs 16+19: 30 Bitter of chefs 16+21: 50Ad chef 16+00: 30vo King's name: the history of the siege of the dungeon 16+02: 30 black list 16+03 : 30 black list 16+04: 20 fuckers News 16+04: 50trevel-Battl 16+the entire carousel program05: 00 early birds 0+07: 00s good morning kids! 0+07: 30VIP Pets 6+08: 05 Dracosia 0+09: 00ed with a bang! 0+09: 25 Petroniks 0+10: 00barbooskins 0+11: 00 Beauty 0+11: 20 Tsarevna 0+13: 05 Winx 6+14: 00 "Hour" Soyuzmultfilm "6+15: 00fixiki. Give five! 0+17: 00 Luntik 0+18: 40 Kosheki-horseman 0+20: 30 Copical night kids! 0+20: 45 Ovetel for sheep 0+22: 30 heroes Gudzitsu 6+22: 40 Flip Chenger 6+23: 15Fuzhn Max 6+23: 40ralash 6+00: 30 Bububa 6+01: 30 GRIZLILS AND LEMMINGS 6+02: 30 Draw! 0+02: 55 Derevyes 0+03: 20 laboratorium 0+03: 50noty 0+04: 10 green project 0+04: 30-in-conobert 0+the entire program Yu05: 00mash and a bear 0+07: 00malyshariki 0+08: 00masha and a bear 0+10: 00-hungry do not look at 16+11: 00bemenna at 16 16+14: 45 Life after show.b16 16+15: 50 Chado from hell 12+22: 00oma- 2. New Life 16+00: 00 aids from the other world 16+01: 55 meters 16+03: 35 Supermam 16+The entire program 2x205: 05 Besemmer Cinema 16+05: 25 Fili among strangers 16+05: 35 tourdashev 16+06: 00 Russian cartoons 12+ 12+ 07: 35KAK is built by the Universe 16+08: 35 News 2x2 16+08: 40 spokesmans 2x2 16+09: 05 Discover myths 16+09: 55 sized in Japan. Unrealistic show 16+10: 25 Strim 16+10: 55 Strim 16+11: 20 Strim 16+ 11: 55 Strand 16+12: 20 Strim 16+12: 50stopgame TV 16+13: 50 Slabic Monster 16+14: 15 Slabic Monster 16+14: 40 Slabic Monster 16+15: 15 Slabic Monster 16+15: 40 News 2x2 16+15: 45 Slabic monster 16+16: 05Toples TV 16+17: 10 -family pole 16+17: 35 family pole 16+18: 10 -arranges and cruiser 12+18: 35 -nobo 2x2 16+18: 40 Kontent Content 16+19: 05 inspector 2x2 16+19: 25 Epic Files 16 +19: 35 survival course with Bear Grylls 16+20: 30 Simpsons 16+21: 00 Simpsons 16+21: 25 News 2x2 16+21: 30toples TV 16+22: 00 Lugus Bob Square pants 16+22: 30 Lugus Bob Square pants 16+23: 23: 00 Novosti 2x2 16+23: 05 parasitic: the doctrine of life 18+23: 35 Cherynaya Friday 18+01: 20DP 16+01: 45EON Flax 16+02: 05 IS CITY 18+02: 50 Yuzhnoye Park 18+03: 10JUFF and alien 18+ 03: 35atak Titans 16+03: 55atak titans 16+04: 20ka Universe 16+The whole program Sun05: 00mash and bear 0+06: 55 rinses 0+07: 25 Buba 0+09: 00 Sure dog and turbo cat 6+10: 45egiptus 6+12: 00 Proktokvashino 0+14: 40 Unionsmultfilm 6+16: 40 Mannya 6+18: 25 RIDs. So we live 12+22: 00 Nyanniki 16+23: 40 Dubler 16+01: 10ralash 6+The whole program Saturday! 05: 00mash and bear 0+05: 50 mmash fairy tales 0+06: 00mas and bear 0+06: 20 mash fairy tales 0+ 06: 30masha and bear 0+06: 55mashkins horror stories 0+07: 00mash and bear 0+07: 25mashkin horror stories 0+07: 30mash and bear 0+07: 45 mash fairy tale 0+07: 50mash and bear 0+08: 20mashkins of horror stories 0+08: 25machines of fairy tales 0+08: 40mas and bear 0+09: 00 mash tale 0+09: 10mash and bear 0+09: 40 mmashkens of horror stories 0+09: 50mas and bear 0+10: 30mashs of fairy tales 0+10: 40mas and a bear 0+10: 55mashkin horror stories 0+11: 00mash and bear 0+11: 30masha and bear 0+11: 55mashkin horror stories 0+12: 10mash and bear 0+12: 30mash fairy tales 0+12: 40mas and bear 0+ 13: 00mashkin’s horror stories 0+13: 10masha and a bear 0+13: 35mashins fairy tales 0+13: 40mas and bear 0+14: 05mashkin horror stories 0+14: 10masha and bear 0+14: 35machins of fairy tales 0+14: 50mas and bear 0+15: 10 Mamashkins of the horror stories 0+15: 20mash and bear 0+15: 40 mash fairy tale 0+15: 50mash and bear 0+16: 15mashkin horror stories 0+16: 20mash and bear 0+17: 30mi-Mimy 0+ 17: 40Mi-MI-MIKI 0+17: 45MI-MI-MIKI 0+17: 55Mi-MI-MIKI 0+18: 00Mi-MI-MIKI 0+18: 05Mi-MI-MIKI 0+18: 15MI-MIM -MIKI 0+18: 20Mi-mi-MIKI 0+18: 30MI-MI-MIKI 0+18: 35Mi-MI-MIKI 0+18: 45Mi-MI-MIKI 0+18: 50Mi-MI-MIMI 0+19 : 00mi-mi-Mimka 0+19: 10 TECHER I am a boss! 16+20: 20 TETHER I am a boss. Under the cover 16+21: 30 Bogin 16+22: 20 Bogin 16+23: 30 Startups 16+00: 10 Bogin Shoping 16+01: 00 My wife steers 16+02: 10k. Call this love 16+02: 30 Princess and Dragon 6+03: 40mas and bear 0+04: 45mashkin horror stories 0+04: 50mashkin horror stories 0+the entire program Russia 2405: 04 city of atom 05: 22 hazardous relationship 06: 00 nobody 06: 22. The attendant part 07: 00 Novosti 07: 08 Radio Investigation of Eduard Petrov 08: 00 Novosti 08: 14ir in the palm of your hand. History day after day 08: 32 formulas of power 09: 07 interview 09: 27 -special reports 10: 05stopfect 10: 27 News 11: 22. The attendant part 12: 09Vs glance from St. Petersburg with Vladimir Bortko 12: 37 -special reports 13: 00 Novosti 13: 10 Parlament hour 14: 01 How did France lose its influence in Africa? 15: 27 Novosti 16: 24 Molodny wine 17: 00 Novosti 17: 23za tape. 87th Week 18: 00 News 18: 31-gender trip 20: 00 Novosti 20: 17 S special report 20: 44 Gorod technologies 21: 00 News 21: 32-day trip 22: 00 Novosti 22: 17VZVISIT from St. Petersburg with Vladimir Bortko 22: 45 City technologies 23: 00 Veles 01 : 00 Novosti 01: 36moskva. Kremlin. Putin 02: 36 Workshop with Vladimir Solovyov The whole program Che! 06: 00 -year -old video. The funniest 16+06: 20-year-old video 16+08: 00 Master sword 16+10: 00 Iutolizer 16+10: 30 SOLDATES-15 16+20: 40+100500 16+23: 00+100500 18+23: 30+100500 18+03 : 00 "Disposter" with Nastya Fog 16+03: 45utizer 16+Abakananadyrkhangelskastrakhanbarnaulgodbelgorodbodzhanbidzhanbigaroblazhvezhenshoschenskivoshlodovladovokazvokazvoldykazvoldimvolgogradovolgogogradovolgogor-dimensor-altables. Yoshkar-O-Olacalinkalingeravkemovokomolsk-on-Amurkostromacroacroacroacroacroacroacroacroaccerson-Yarskkurskkurskkamylyepamagadanmagadanmagasmagnitoroskopmakhamakhamokalipamaquamoskamykamykamykamykamyankanazran-Marnizhnezhevar-Khovartovosybinsk-Rybinneskobirskobirskobloreloregpensza Permpepetropetropetropavlovsk-Kamchatovskovrostov-on-Donuryazansansanskaksankanksankansksaran-Saratovastopolsomolenskistovistavropolitamaksugutsykutsyktsykutsyktytykumytovkamytovkuttitomenyanovsurovsurovsurovskufhabarovskhanti-Mansi-Mansi-Mansiyskhants Sarychelyabinskocherkess-readylistayzhno-Sakhalinskyakutskayaroslavlvs city of the city of Project Zhotereklamanil Participation in the competition of use Cook -Kontakttekhnotka Network Edition "Online magazine Starhit (StarHit)" Any reproduction of the site materials without the permission of the editorial office is prohibited. Copyright (c) LLC Shkulev Media Holding 2023. Supplier of the program program - "Service -TV" Enforce Technologies</v>
      </c>
    </row>
    <row r="774">
      <c r="A774" s="1" t="s">
        <v>2487</v>
      </c>
      <c r="B774" s="1" t="s">
        <v>2549</v>
      </c>
      <c r="C774" s="1" t="s">
        <v>2550</v>
      </c>
      <c r="D774" s="1">
        <v>16.0</v>
      </c>
      <c r="E774" s="4" t="s">
        <v>2551</v>
      </c>
      <c r="F774" s="1" t="s">
        <v>16</v>
      </c>
      <c r="G774" s="1" t="s">
        <v>2552</v>
      </c>
      <c r="H774" s="4" t="s">
        <v>2553</v>
      </c>
      <c r="I774" s="2">
        <v>2.0</v>
      </c>
      <c r="J774" s="5" t="str">
        <f>IFERROR(__xludf.DUMMYFUNCTION("GOOGLETRANSLATE(A774)"),"Program Guide")</f>
        <v>Program Guide</v>
      </c>
      <c r="K774" s="6" t="str">
        <f>IFERROR(__xludf.DUMMYFUNCTION("GOOGLETRANSLATE(B774)"),"TV program on 11.11.2023")</f>
        <v>TV program on 11.11.2023</v>
      </c>
      <c r="L774" s="5" t="str">
        <f>IFERROR(__xludf.DUMMYFUNCTION("GOOGLETRANSLATE(C774)"),"In the program of programs, changes are possible. Channel. Selected, all, Sony Turbo, Sony ... program program | Announcement database · Rambler's TOP100. © 2006–2023 Camelot ...")</f>
        <v>In the program of programs, changes are possible. Channel. Selected, all, Sony Turbo, Sony ... program program | Announcement database · Rambler's TOP100. © 2006–2023 Camelot ...</v>
      </c>
      <c r="M774" s="5" t="str">
        <f>IFERROR(__xludf.DUMMYFUNCTION("GOOGLETRANSLATE(G774)"),"������������� �� 12.11.2023 &lt;&gt;����������������������� ���������Sony TurboSony ��Sony Sci-Fi2�25 �����Amedia 1Amedia 2Amedia Premium HDHD LifeHollywoodParamount Comedy RussiaTV-��������ViP ComedyViP MegahitViP PremiereViasat ActionViasat ExplorerViasat His"&amp;"toryViasat Nature�������������������� ������������ ����������������������������������+������������������������������������������������������������� ���� ��������������� �������������� �������� ������������������ ����� ������������������������������ HD����"&amp;"� � ������������� ���������������� HD������������������!���-������������������ ���������� 1������� ������������� �������-1000��-1000 ������� ������-21��-3���4������ + ���������������������������������������������121123  ������������� ������&lt;��������������"&amp;"&gt;���������� � 06.11�� 12.11����������������������������������  � ��������� �����  �����  ����  �������  �����  ���� ����   ������ �����06.10������ ������. ��-��� 16+06.55����� ������� �������! 12+07.40�������. �������.-��������. ��������� 12+08.10��������"&amp;" 16+09.20���������� 12+09.40��������� ������� 12+  ������ 106.10���� � ������� ����. ��� 12+08.00�����-������. ����������� 16+08.35����� ��� ���� � ������� ���������. (��������) 16+09.25�������� ����� � �������� ��������. (��������) 16+  ���06.35���������"&amp;"�� �����������. ������. ��� 16+08.00������� 16+08.20������� ""� ��� ����������!"" 12+  ��������06.30� ������ ����� �����; ���� � ������ ������ �� ����� ���; ��� ����� ����������; ������ �����. �����������07.30�����. ������07.50�����. ������08.10�����. ���"&amp;"���08.30�����. ������08.50�����. ������09.10�����. ������09.30������� � ��������. ��������������� ������������� ���� ��������  �� �����06.05�����. �������� 16+07.25�������� ����� 16+07.55���� ���������-4. ���. ����� 12+  ���05.50������ 16+07.00����� ""� �"&amp;"�����"". ����������� 0+07.30�������� ������. ����������� 0+08.00��� ""��������� ��������"" 16+09.00����� � ����. ������ 16+  ��06.30������� 14. ������ 16+  ��-306.00������������� ����������� 0+07.45������� ��������. ���. ������� 16+08.00������ � ������. �"&amp;"��. �����. 9 �. 16+08.30����� ����. ����. ��� 12+09.00������ �����. ���. �����. 8 �. 16+  ������� ��������06.40��� � ����� 3: ��������� �����. ���. ����� 16+08.45B�����. ���. ����� 16+  ��-2106.05�����. �������� 16+07.25�������� �����. ���. ����� 16+07.55"&amp;"���� ���������-4. ���. ����� 12+  ��-100005.35�������. �������. ������� 12+07.15Angry Birds � ����. ���. ����� 6+09.05����� � ��������. �����-������ 12+  ��������06.40����� ����� � �������� 16+  ������05.30�� ����� ������ � ����. �������-�������. ����� 12"&amp;"+07.10�������� ���������� ��������. ������-�������. ����� 12+09.00������� ������ 16+09.25����� ������ 12+  �������!06.30����� � ��������. ���������� 16+08.30����� ���������. ����� ��������� 16+09.00������-����� 16+  ���� ��06.00��������� ������������. Ufc"&amp;". ���� �������� ������ ������ �������. ������ �������� ������ ���� ���������. ������ ���������� �� ��� 12+09.00������� 16+09.05��� �� ����! ������ ���� 16+  ������ ����05.20������������ �����. ����������� 16+07.00�� �� ����. ����.-�������. ������� 16+08.5"&amp;"5������� ""�����"". �����. ������ 16+  ����������05.55�� � �����... 16+07.00������ �� �������. ������. ������� 16+08.20��� �������� � ��������� 16+09.00��������� ����� 12+09.40����������� ""����������"" 12+  �����06.00���� ������������ � �������. ��������"&amp;"��� ������� 12+07.40������� ���. ����� 6+09.10����� �� �������. ����� 12+  Viasat Explorer06.10��������� ��������� 12+06.55������� ������� 12+08.05������� ���� 6+  Viasat History06.05��������� ������� ������� ��������� 16+07.55��������� ������ 12+  ��-100"&amp;"0 ������� ����05.30���������. ������. ����������� 6+06.50���-���. ����������� 6+08.45�������. ����������� 6+  5 �����06.05������������ ��������. ��� ������� �����. ������ 16+06.55���������. ����������� 16+07.45���������. ����������� 16+08.40���������. ���"&amp;"��������� 16+09.30���������. �������� 16+  ����� � �������06.05���-�������� 16+06.55������ ���� 16+07.45����� � ������ ���������� 12+08.00����� ���������! 12+  ������� ���06.00����� ������� � ������� ����. ���������� 12+07.20������� ������� � ���� �������"&amp;". ���������� 12+08.30���� ������� � �������-���������. ���������� 12+  Sony Sci-Fi06.25�������� �����: ���������. ������ 16+08.40����� 3: ��������� ���������. ���. ����� 16+  ��� ����06.10�����. ���������� ������. ���������� 6+07.25���� ������� � ����� ��"&amp;"��. ���������� 6+09.05���� ������� � ����� ���� - 2. ���������� 6+  �����06.30����� ��� � ���� 12+07.00������� ����. ������ 16+  �������06.25����. ������� 16+08.15����. ������ 16+  ������������05.15������ ������: ����� ������. ������� 12+07.402:22. ���. �"&amp;"���� 16+09.30�������� �� ����. ������� 16+  ���� ����� ����05.45�����������. ����� 16+07.50��� ��� � ������. �������-�������. ����� 12+  ������������06.00������ � �����. ���. ����� 18+07.40� ������� � �����������. ���. ����� 18+09.10����. ���. ����� 18+  "&amp;"2�206.00������� ����������� 12+07.35��� �������� ���������. �����. ������ 16+08.35������� 2�2 16+08.40���������� 2�2. ����������� 16+09.05""����������� �����"". ��������. ������.-�������. ��������� 16+  Viasat Nature06.2512 ������ � �� 12+07.15���-��� ���"&amp;" 12+08.05��������� ���� - � ������ �������� 6+09.05������� 12+  ��������05.35�������� ������: ��������� �����. ���������� 16+07.10�������: ����� �� �����. ���. ����� 12+09.25�����-3. ���. ����� 16+  ��������05.00���� ������. ������� 0+07.00� ������ ����� "&amp;"������! 0+07.30��� ����. ����������� 6+08.05��������. ����������� 0+09.00��� �� ���! 0+09.25���������. ����������� 0+  ��������+05.50������� �� �����. ������������ 16+07.35������ � �����. ����� 16+09.25����� ������. ��������� 16+  Sony ��06.00���� �����. "&amp;"���. ����� 16+07.25���. ���. ����� 16+09.25��������� ������������. ������ 16+  ��������06.45�������� ������. �����. ��������� 16+08.10������������. ���. ����� 16+09.35�������: ������ ��� �����. ����� 16+  �����������06.30� - �������! / ������ ��������� 12"&amp;"+07.00������� ������  ������ 15 / ���� ��� - ��� ��� 2022 � 12+08.00����� ������. � 140-����� �. �. �������� 12+08.30�������-���  ������ 5 12+08.40������ �� ������  / ��������� ��������� ������� ������ ������ 3 / ������ 12+09.30����� � ������. �����������"&amp;" ������� 12+  ������ + ����06.00�������� �. ������ 18+07.00����� �����. ������ 18+08.00��� ����� ����� �� ���������� 2. ������ 16+09.00��� ����� ����� �� ���������� 2. ������ 16+  Amedia 205.40������ �����. ������ 16+08.15��������. ������ 16+  �05.00���� "&amp;"� �������. ����������� 0+07.00����������. ���������� 0+08.00���� � �������. ����������� 0+  Sony Turbo06.25��� � ���������� ������. ������ 16+07.15�������� ������. ���. ����� 16+09.10������� �����. ���. ����� 16+  ViP Premiere06.10�� �������. ����. ����� "&amp;"18+08.05���� ������. ���. ����� 16+09.45�� ����. ����� 18+  ViP Megahit05.45������: ����� ������ ����. ����� 12+07.15���������� ����. ����. ����� 18+09.15��������� ���� �������. ���. ����� 18+  ViP Comedy05.30������� ������� � ������ �������. ��������� ��"&amp;"����� 16+06.55����������� �������� ��������. ��������� ������� 16+08.10��������. ���. ����� 18+09.40��� ���������� ������� ��-���������. ������. ������� 18+  HD Life06.35�������� ����� �������. 003 ������� 2022 12+07.05������� ����� �����. ������ 2018 12+"&amp;"08.15�������� ����� �������. 004 ������� 2022 12+08.45����. ��������� ����� ������ ������ 6+  ���06.00��������. ���. ����� 12+07.20������� ��� ����� 12+07.35�� ���� � ������������ 12+07.50������� ������ 12+08.45����� � �������. ���������� 0+09.00��� ��-��"&amp;"������� 16+09.45��������� 12+  Amedia 105.25���������� ��-�������������. ������ 16+07.00���� ���������. ������ 16+07.50���� ���������. ������ 16+08.40���� ���������. ������ 16+09.35���� ���������. ������ 16+  Amedia Premium HD05.45���� ������������. �����"&amp;"� 16+08.05������ �������. ������ 16+09.15���� ��������������� �� �������. ������ 16+  TV-��������05.00���� ������ 12+  ������������� HD06.35������������� ��������. ����. ������� 18+08.15�� ����� ����. ������ 18+09.45���� �������. ����� 18+  ����������� HD"&amp;"06.20���� ��������. ���������� 12+07.50�������. �������� �������. ���������� 12+09.05������� 51. ���������� 16+  ��������� �������� �����������06.45�������� ������. �����. ����� ������ 18+08.10������ ���������. ����� ������ 18+09.35������������� �����. ��"&amp;"��� ������ 18+  ��� ���� ���06.30����� ������ ����. ������� 12+06.55�����. ����� ������������ ��������� 16+07.45���������� ��������� ����� 12+08.20������ ���� ����� 12+09.00����� ������ ����. ��������� ���� 12+09.30����� ������ ����. ��������� ����� 12+  "&amp;"������06.30���� � ������! ������ ������ 12+06.55�����������. ���� 12+07.25���. ��� � ���� 12+07.50������ ��������: ����� �� ������� 12+08.40������������. ����� �����! 12+09.30����� ��������. ������ ������ 12+ ������� ������ ������...�������������: �������"&amp;"  ������  �������������� � ��������� ������� �������� ���������  �����������������Sony TurboSony ��Sony Sci-Fi2�25 �����Amedia 1Amedia 2Amedia Premium HDHD LifeHollywoodParamount Comedy RussiaTV-��������ViP ComedyViP MegahitViP PremiereViasat ActionViasat"&amp;" ExplorerViasat HistoryViasat Nature�������������������� ������������ ����������������������������������+������������������������������������������������������������� ���� ��������������� �������������� �������� ������������������ ����� ������������������"&amp;"������������ HD����� � ������������� ���������������� HD������������������!���-������������������ ���������� 1������� ������������� �������-1000��-1000 ������� ������-21��-3���4������ + �������  ��� ������������������������������� ������ �   ��   ��������"&amp;" �����������-����������������� ������� |���� �������© 2006—2023 ��������������� ���")</f>
        <v>������������� �� 12.11.2023 &lt;&gt;����������������������� ���������Sony TurboSony ��Sony Sci-Fi2�25 �����Amedia 1Amedia 2Amedia Premium HDHD LifeHollywoodParamount Comedy RussiaTV-��������ViP ComedyViP MegahitViP PremiereViasat ActionViasat ExplorerViasat HistoryViasat Nature�������������������� ������������ ����������������������������������+������������������������������������������������������������� ���� ��������������� �������������� �������� ������������������ ����� ������������������������������ HD����� � ������������� ���������������� HD������������������!���-������������������ ���������� 1������� ������������� �������-1000��-1000 ������� ������-21��-3���4������ + ���������������������������������������������121123  ������������� ������&lt;��������������&gt;���������� � 06.11�� 12.11����������������������������������  � ��������� �����  �����  ����  �������  �����  ���� ����   ������ �����06.10������ ������. ��-��� 16+06.55����� ������� �������! 12+07.40�������. �������.-��������. ��������� 12+08.10�������� 16+09.20���������� 12+09.40��������� ������� 12+  ������ 106.10���� � ������� ����. ��� 12+08.00�����-������. ����������� 16+08.35����� ��� ���� � ������� ���������. (��������) 16+09.25�������� ����� � �������� ��������. (��������) 16+  ���06.35����������� �����������. ������. ��� 16+08.00������� 16+08.20������� "� ��� ����������!" 12+  ��������06.30� ������ ����� �����; ���� � ������ ������ �� ����� ���; ��� ����� ����������; ������ �����. �����������07.30�����. ������07.50�����. ������08.10�����. ������08.30�����. ������08.50�����. ������09.10�����. ������09.30������� � ��������. ��������������� ������������� ���� ��������  �� �����06.05�����. �������� 16+07.25�������� ����� 16+07.55���� ���������-4. ���. ����� 12+  ���05.50������ 16+07.00����� "� ������". ����������� 0+07.30�������� ������. ����������� 0+08.00��� "��������� ��������" 16+09.00����� � ����. ������ 16+  ��06.30������� 14. ������ 16+  ��-306.00������������� ����������� 0+07.45������� ��������. ���. ������� 16+08.00������ � ������. ���. �����. 9 �. 16+08.30����� ����. ����. ��� 12+09.00������ �����. ���. �����. 8 �. 16+  ������� ��������06.40��� � ����� 3: ��������� �����. ���. ����� 16+08.45B�����. ���. ����� 16+  ��-2106.05�����. �������� 16+07.25�������� �����. ���. ����� 16+07.55���� ���������-4. ���. ����� 12+  ��-100005.35�������. �������. ������� 12+07.15Angry Birds � ����. ���. ����� 6+09.05����� � ��������. �����-������ 12+  ��������06.40����� ����� � �������� 16+  ������05.30�� ����� ������ � ����. �������-�������. ����� 12+07.10�������� ���������� ��������. ������-�������. ����� 12+09.00������� ������ 16+09.25����� ������ 12+  �������!06.30����� � ��������. ���������� 16+08.30����� ���������. ����� ��������� 16+09.00������-����� 16+  ���� ��06.00��������� ������������. Ufc. ���� �������� ������ ������ �������. ������ �������� ������ ���� ���������. ������ ���������� �� ��� 12+09.00������� 16+09.05��� �� ����! ������ ���� 16+  ������ ����05.20������������ �����. ����������� 16+07.00�� �� ����. ����.-�������. ������� 16+08.55������� "�����". �����. ������ 16+  ����������05.55�� � �����... 16+07.00������ �� �������. ������. ������� 16+08.20��� �������� � ��������� 16+09.00��������� ����� 12+09.40����������� "����������" 12+  �����06.00���� ������������ � �������. ����������� ������� 12+07.40������� ���. ����� 6+09.10����� �� �������. ����� 12+  Viasat Explorer06.10��������� ��������� 12+06.55������� ������� 12+08.05������� ���� 6+  Viasat History06.05��������� ������� ������� ��������� 16+07.55��������� ������ 12+  ��-1000 ������� ����05.30���������. ������. ����������� 6+06.50���-���. ����������� 6+08.45�������. ����������� 6+  5 �����06.05������������ ��������. ��� ������� �����. ������ 16+06.55���������. ����������� 16+07.45���������. ����������� 16+08.40���������. ������������ 16+09.30���������. �������� 16+  ����� � �������06.05���-�������� 16+06.55������ ���� 16+07.45����� � ������ ���������� 12+08.00����� ���������! 12+  ������� ���06.00����� ������� � ������� ����. ���������� 12+07.20������� ������� � ���� �������. ���������� 12+08.30���� ������� � �������-���������. ���������� 12+  Sony Sci-Fi06.25�������� �����: ���������. ������ 16+08.40����� 3: ��������� ���������. ���. ����� 16+  ��� ����06.10�����. ���������� ������. ���������� 6+07.25���� ������� � ����� ����. ���������� 6+09.05���� ������� � ����� ���� - 2. ���������� 6+  �����06.30����� ��� � ���� 12+07.00������� ����. ������ 16+  �������06.25����. ������� 16+08.15����. ������ 16+  ������������05.15������ ������: ����� ������. ������� 12+07.402:22. ���. ����� 16+09.30�������� �� ����. ������� 16+  ���� ����� ����05.45�����������. ����� 16+07.50��� ��� � ������. �������-�������. ����� 12+  ������������06.00������ � �����. ���. ����� 18+07.40� ������� � �����������. ���. ����� 18+09.10����. ���. ����� 18+  2�206.00������� ����������� 12+07.35��� �������� ���������. �����. ������ 16+08.35������� 2�2 16+08.40���������� 2�2. ����������� 16+09.05"����������� �����". ��������. ������.-�������. ��������� 16+  Viasat Nature06.2512 ������ � �� 12+07.15���-��� ��� 12+08.05��������� ���� - � ������ �������� 6+09.05������� 12+  ��������05.35�������� ������: ��������� �����. ���������� 16+07.10�������: ����� �� �����. ���. ����� 12+09.25�����-3. ���. ����� 16+  ��������05.00���� ������. ������� 0+07.00� ������ ����� ������! 0+07.30��� ����. ����������� 6+08.05��������. ����������� 0+09.00��� �� ���! 0+09.25���������. ����������� 0+  ��������+05.50������� �� �����. ������������ 16+07.35������ � �����. ����� 16+09.25����� ������. ��������� 16+  Sony ��06.00���� �����. ���. ����� 16+07.25���. ���. ����� 16+09.25��������� ������������. ������ 16+  ��������06.45�������� ������. �����. ��������� 16+08.10������������. ���. ����� 16+09.35�������: ������ ��� �����. ����� 16+  �����������06.30� - �������! / ������ ��������� 12+07.00������� ������  ������ 15 / ���� ��� - ��� ��� 2022 � 12+08.00����� ������. � 140-����� �. �. �������� 12+08.30�������-���  ������ 5 12+08.40������ �� ������  / ��������� ��������� ������� ������ ������ 3 / ������ 12+09.30����� � ������. ����������� ������� 12+  ������ + ����06.00�������� �. ������ 18+07.00����� �����. ������ 18+08.00��� ����� ����� �� ���������� 2. ������ 16+09.00��� ����� ����� �� ���������� 2. ������ 16+  Amedia 205.40������ �����. ������ 16+08.15��������. ������ 16+  �05.00���� � �������. ����������� 0+07.00����������. ���������� 0+08.00���� � �������. ����������� 0+  Sony Turbo06.25��� � ���������� ������. ������ 16+07.15�������� ������. ���. ����� 16+09.10������� �����. ���. ����� 16+  ViP Premiere06.10�� �������. ����. ����� 18+08.05���� ������. ���. ����� 16+09.45�� ����. ����� 18+  ViP Megahit05.45������: ����� ������ ����. ����� 12+07.15���������� ����. ����. ����� 18+09.15��������� ���� �������. ���. ����� 18+  ViP Comedy05.30������� ������� � ������ �������. ��������� ������� 16+06.55����������� �������� ��������. ��������� ������� 16+08.10��������. ���. ����� 18+09.40��� ���������� ������� ��-���������. ������. ������� 18+  HD Life06.35�������� ����� �������. 003 ������� 2022 12+07.05������� ����� �����. ������ 2018 12+08.15�������� ����� �������. 004 ������� 2022 12+08.45����. ��������� ����� ������ ������ 6+  ���06.00��������. ���. ����� 12+07.20������� ��� ����� 12+07.35�� ���� � ������������ 12+07.50������� ������ 12+08.45����� � �������. ���������� 0+09.00��� ��-��������� 16+09.45��������� 12+  Amedia 105.25���������� ��-�������������. ������ 16+07.00���� ���������. ������ 16+07.50���� ���������. ������ 16+08.40���� ���������. ������ 16+09.35���� ���������. ������ 16+  Amedia Premium HD05.45���� ������������. ������ 16+08.05������ �������. ������ 16+09.15���� ��������������� �� �������. ������ 16+  TV-��������05.00���� ������ 12+  ������������� HD06.35������������� ��������. ����. ������� 18+08.15�� ����� ����. ������ 18+09.45���� �������. ����� 18+  ����������� HD06.20���� ��������. ���������� 12+07.50�������. �������� �������. ���������� 12+09.05������� 51. ���������� 16+  ��������� �������� �����������06.45�������� ������. �����. ����� ������ 18+08.10������ ���������. ����� ������ 18+09.35������������� �����. ����� ������ 18+  ��� ���� ���06.30����� ������ ����. ������� 12+06.55�����. ����� ������������ ��������� 16+07.45���������� ��������� ����� 12+08.20������ ���� ����� 12+09.00����� ������ ����. ��������� ���� 12+09.30����� ������ ����. ��������� ����� 12+  ������06.30���� � ������! ������ ������ 12+06.55�����������. ���� 12+07.25���. ��� � ���� 12+07.50������ ��������: ����� �� ������� 12+08.40������������. ����� �����! 12+09.30����� ��������. ������ ������ 12+ ������� ������ ������...�������������: �������  ������  �������������� � ��������� ������� �������� ���������  �����������������Sony TurboSony ��Sony Sci-Fi2�25 �����Amedia 1Amedia 2Amedia Premium HDHD LifeHollywoodParamount Comedy RussiaTV-��������ViP ComedyViP MegahitViP PremiereViasat ActionViasat ExplorerViasat HistoryViasat Nature�������������������� ������������ ����������������������������������+������������������������������������������������������������� ���� ��������������� �������������� �������� ������������������ ����� ������������������������������ HD����� � ������������� ���������������� HD������������������!���-������������������ ���������� 1������� ������������� �������-1000��-1000 ������� ������-21��-3���4������ + �������  ��� ������������������������������� ������ �   ��   �������� �����������-����������������� ������� |���� �������© 2006—2023 ��������������� ���</v>
      </c>
    </row>
    <row r="775">
      <c r="A775" s="1" t="s">
        <v>2487</v>
      </c>
      <c r="B775" s="1" t="s">
        <v>2554</v>
      </c>
      <c r="C775" s="1" t="s">
        <v>2555</v>
      </c>
      <c r="D775" s="1">
        <v>17.0</v>
      </c>
      <c r="E775" s="4" t="s">
        <v>2556</v>
      </c>
      <c r="F775" s="1" t="s">
        <v>16</v>
      </c>
      <c r="G775" s="1" t="s">
        <v>2557</v>
      </c>
      <c r="H775" s="4" t="s">
        <v>2558</v>
      </c>
      <c r="I775" s="2">
        <v>1.0</v>
      </c>
      <c r="J775" s="5" t="str">
        <f>IFERROR(__xludf.DUMMYFUNCTION("GOOGLETRANSLATE(A775)"),"Program Guide")</f>
        <v>Program Guide</v>
      </c>
      <c r="K775" s="6" t="str">
        <f>IFERROR(__xludf.DUMMYFUNCTION("GOOGLETRANSLATE(B775)"),"STS TV channel program for today")</f>
        <v>STS TV channel program for today</v>
      </c>
      <c r="L775" s="5" t="str">
        <f>IFERROR(__xludf.DUMMYFUNCTION("GOOGLETRANSLATE(C775)"),"The full program of the STS channel program for today and a week in advance. Do not miss anything interesting! Stay in touch!")</f>
        <v>The full program of the STS channel program for today and a week in advance. Do not miss anything interesting! Stay in touch!</v>
      </c>
      <c r="M775" s="5" t="str">
        <f>IFERROR(__xludf.DUMMYFUNCTION("GOOGLETRANSLATE(G775)"),"STS is the official website of the television channel to enable JavaScript to Run this App.")</f>
        <v>STS is the official website of the television channel to enable JavaScript to Run this App.</v>
      </c>
    </row>
    <row r="776">
      <c r="A776" s="1" t="s">
        <v>2487</v>
      </c>
      <c r="B776" s="1" t="s">
        <v>2559</v>
      </c>
      <c r="C776" s="1" t="s">
        <v>2560</v>
      </c>
      <c r="D776" s="1">
        <v>18.0</v>
      </c>
      <c r="E776" s="4" t="s">
        <v>2561</v>
      </c>
      <c r="F776" s="1" t="s">
        <v>16</v>
      </c>
      <c r="G776" s="1" t="s">
        <v>2562</v>
      </c>
      <c r="H776" s="4" t="s">
        <v>2563</v>
      </c>
      <c r="I776" s="2">
        <v>2.0</v>
      </c>
      <c r="J776" s="5" t="str">
        <f>IFERROR(__xludf.DUMMYFUNCTION("GOOGLETRANSLATE(A776)"),"Program Guide")</f>
        <v>Program Guide</v>
      </c>
      <c r="K776" s="6" t="str">
        <f>IFERROR(__xludf.DUMMYFUNCTION("GOOGLETRANSLATE(B776)"),"The program for today for all TV channels.")</f>
        <v>The program for today for all TV channels.</v>
      </c>
      <c r="L776" s="5" t="str">
        <f>IFERROR(__xludf.DUMMYFUNCTION("GOOGLETRANSLATE(C776)"),"Always a fresh program for popular TV channels for today and tomorrow. A full television program for a week.")</f>
        <v>Always a fresh program for popular TV channels for today and tomorrow. A full television program for a week.</v>
      </c>
      <c r="M776" s="5" t="str">
        <f>IFERROR(__xludf.DUMMYFUNCTION("GOOGLETRANSLATE(G776)"),"Eye.Tl online - watch TV and listen to the radio on the air for free! +Webcams. TV (44+) cameras (250+) radio (500+) TOP channels online online TV (44+) television program Top Webcam online online webcams (250+) Webcams on the map Miratop Radio Online Rad"&amp;"io (500+) Watch online TV on the air of free site of the eye. You can watch online TV and webcams of the world to listen to the radio-everything is on the air without registration and completely free! On the Internet there are many broadcasts of broadcast"&amp;"s that are broadcast online. We collected them on one site and regularly monitor the performance of each. You have the opportunity to choose from many free TV channels and radio stations-from the central and popular to the little-known that are broadcasti"&amp;"ng exclusively via the Internet. We thoroughly approach the business and tried to take into account the shortcomings of similar Internet resources. We do not and will not have pages of heavily covered with advertisements as well as a huge number of “dead”"&amp;" sources of online broadcasts. On the eye. You can look for television channels on the air of the webcam of radio in any parameters-both individually and immediately throughout the site. Here you can easily find what to see and listen. At the same time, y"&amp;"ou can make your chosen list of online channels and easily switch between them (for this it is already necessary to register what is easy to do in a couple of clicks). The eye of the eye. There you wish you a pleasant viewing and listening! About the proj"&amp;"ect of the Contact Version ↑ up &amp; TV / about the project / about the project / Help / Contacts / Full Version of Right Establishors / Using Conditions")</f>
        <v>Eye.Tl online - watch TV and listen to the radio on the air for free! +Webcams. TV (44+) cameras (250+) radio (500+) TOP channels online online TV (44+) television program Top Webcam online online webcams (250+) Webcams on the map Miratop Radio Online Radio (500+) Watch online TV on the air of free site of the eye. You can watch online TV and webcams of the world to listen to the radio-everything is on the air without registration and completely free! On the Internet there are many broadcasts of broadcasts that are broadcast online. We collected them on one site and regularly monitor the performance of each. You have the opportunity to choose from many free TV channels and radio stations-from the central and popular to the little-known that are broadcasting exclusively via the Internet. We thoroughly approach the business and tried to take into account the shortcomings of similar Internet resources. We do not and will not have pages of heavily covered with advertisements as well as a huge number of “dead” sources of online broadcasts. On the eye. You can look for television channels on the air of the webcam of radio in any parameters-both individually and immediately throughout the site. Here you can easily find what to see and listen. At the same time, you can make your chosen list of online channels and easily switch between them (for this it is already necessary to register what is easy to do in a couple of clicks). The eye of the eye. There you wish you a pleasant viewing and listening! About the project of the Contact Version ↑ up &amp; TV / about the project / about the project / Help / Contacts / Full Version of Right Establishors / Using Conditions</v>
      </c>
    </row>
    <row r="777">
      <c r="A777" s="1" t="s">
        <v>2487</v>
      </c>
      <c r="B777" s="1" t="s">
        <v>2564</v>
      </c>
      <c r="C777" s="1" t="s">
        <v>2565</v>
      </c>
      <c r="D777" s="1">
        <v>19.0</v>
      </c>
      <c r="E777" s="4" t="s">
        <v>2566</v>
      </c>
      <c r="F777" s="1" t="s">
        <v>16</v>
      </c>
      <c r="I777" s="2">
        <v>1.0</v>
      </c>
      <c r="J777" s="5" t="str">
        <f>IFERROR(__xludf.DUMMYFUNCTION("GOOGLETRANSLATE(A777)"),"Program Guide")</f>
        <v>Program Guide</v>
      </c>
      <c r="K777" s="6" t="str">
        <f>IFERROR(__xludf.DUMMYFUNCTION("GOOGLETRANSLATE(B777)"),"TV program program in Novosibirsk")</f>
        <v>TV program program in Novosibirsk</v>
      </c>
      <c r="L777" s="5" t="str">
        <f>IFERROR(__xludf.DUMMYFUNCTION("GOOGLETRANSLATE(C777)"),"A television program is an online television schedule for today, for tomorrow, for a week in Novosibirsk. All channels and television programs by time and date.")</f>
        <v>A television program is an online television schedule for today, for tomorrow, for a week in Novosibirsk. All channels and television programs by time and date.</v>
      </c>
      <c r="M777" s="5" t="str">
        <f>IFERROR(__xludf.DUMMYFUNCTION("GOOGLETRANSLATE(G777)"),"#VALUE!")</f>
        <v>#VALUE!</v>
      </c>
    </row>
    <row r="778">
      <c r="A778" s="1" t="s">
        <v>2487</v>
      </c>
      <c r="B778" s="1" t="s">
        <v>2567</v>
      </c>
      <c r="D778" s="1">
        <v>20.0</v>
      </c>
      <c r="E778" s="4" t="s">
        <v>2568</v>
      </c>
      <c r="F778" s="1" t="s">
        <v>16</v>
      </c>
      <c r="G778" s="1" t="s">
        <v>2569</v>
      </c>
      <c r="H778" s="4" t="s">
        <v>2570</v>
      </c>
      <c r="I778" s="2">
        <v>2.0</v>
      </c>
      <c r="J778" s="5" t="str">
        <f>IFERROR(__xludf.DUMMYFUNCTION("GOOGLETRANSLATE(A778)"),"Program Guide")</f>
        <v>Program Guide</v>
      </c>
      <c r="K778" s="6" t="str">
        <f>IFERROR(__xludf.DUMMYFUNCTION("GOOGLETRANSLATE(B778)"),"TV program TV-3")</f>
        <v>TV program TV-3</v>
      </c>
      <c r="L778" s="5" t="str">
        <f>IFERROR(__xludf.DUMMYFUNCTION("GOOGLETRANSLATE(C778)"),"#VALUE!")</f>
        <v>#VALUE!</v>
      </c>
      <c r="M778" s="5" t="str">
        <f>IFERROR(__xludf.DUMMYFUNCTION("GOOGLETRANSLATE(G778)"),"Official website of the TV-3-Efrtellekogrammarogytytiykastingal Hero Channel. Remain the family of the last hero. Remain the family of the last hero. Stay the family of the family 17:00 • 16+Watch the trailer! Not that mother will be guessed by 19:30 • 16"&amp;"+Watch the way to success on November 13 23:45 • 16+trailer examine the ether03: 00 multfilmaria04: 45 readers of health 3 season 105: 00vsko with laisan3 Season 9 release television program 05: 30th day10 Season 6 Issue 6 Issue Series 01: 13: 18th new se"&amp;"ason of the show “The Last Hero” Two teams of 7 people in each will have to spend up to 30 days in the pristine jungle of the islands of Thailand, fighting with the elements of dangerous animals insects with each other - and with their “internal savage” ."&amp;"16 +The last hero. To remain a family3 release27: 24 writer of “Battle of Psychics” Vlad Chervatye got behind the wheel of a city taxi and brings random passengers. During a short trip, a psychic tells about people sitting in the back seat of things that "&amp;"bring them into shock. How does he know their secrets of thought of desire? 16+Extra taxi14 Issue23: 51 in a new release of a culinary show to visit Laysan, singer Denis Klyaver came. Together they prepared a bean soup. 16+tasty with Laysan3 Season 9 rele"&amp;"ase44: 26 Slovo for the word and sanam with Polen go inside to wait for the Jana. In a misunderstanding of what to do Sanem is gaining Osman. Jan was extremely surprised to see two girls at home. Can a saber finally admit his feelings? 16+Early Ptashka26 "&amp;"Episode50: 15mas 31 years old, but in her development she is like a 5-6-year-old child. Every day she carried out garbage bags into containers near the house. But on September 6, 2023, the girl left with garbage and did not return. / September 17, 2023, p"&amp;"ensioner Irina Fomina went into the forest. She planned to quickly gain white mushrooms and return. A few hours later, Irina Borisovna called her husband and said that she got lost and could not go out. And then her phone stopped responding. 16+returning "&amp;"5 season 9 release57: 57bystrov and Tatyana Vasilievna accidentally change phones. Gusev sends Polina to investigate the case of a close friend. Bystrov finds out that Sofa has difficulty in the family. 16+stand! Not that mom will guess the 8th series. Do"&amp;"uble blow25: 32 scricking short 29 years. In the life of Christina there was no man who could tell her in what direction to develop. The girl had to grow up early. She managed to cope with drug addiction, but she continues to drink alcohol now. Christina "&amp;"wants to understand why she was born and what was her purpose. 12+New day10 season 6 Issue15: 14menopausa for many sounds like a sentence. In our program, the obstetrician-gynecologist will dispel all myths about menopause and tell you what to do so that "&amp;"this process does not affect health and quality of life. 16+Health Secrets 3 Season 10: 58 Submits is delighted with the customer of Madame Remede. Emre says Ilin about a pause in a relationship and a girl in response conceived something was amiss. Aunt R"&amp;"emeder closes Jan and sled in one space. Will lovers be able to agree? 16+Early Ptashka25 Episode59: 34 Bester surrenders and brings his mother to the place of a new murder: a cemetery. Tatyana Vasilievna is trying to get in love with Pauline in Nastrova."&amp;" Gusev invites Tatyana Vasilievna on a date. 16+Stop! Not that mom will guess the 7th series. Living dead23: 57 Supernity - a quiz on the theme of cooking at home and raising children. To win the monetary prize and the title of superfluous women, housewiv"&amp;"es need to go through a series of tests. 16+Super women10 Issue23: 45 -family couple suffers from insomnia and nightmares. Moreover, abnormalities from the world of dreams began to overcome the spouses in reality. We manage to confirm that the spouses in "&amp;"ordinary life are exposed to strange inexplicable impact. 16+hunters for ghosts of the Bessonel01: 24: 52th new season of the show ""Last Hero"" two teams of 7 people in each will have to spend up to 30 days in the pristine jungle of the islands of Thaila"&amp;"nd. Hunger with dangerous animals of insects with each other - and with their “inner savage” .16+the last hero. Stay family 2 release52: 401972. Once having heard Robertino Loretti's songs, a 12-year-old schoolboy from Lyubertsy Yura is also starting to s"&amp;"ing. At first he is shy about this. But thanks to the mentoring of a young music teacher, Varvara Yura develops her talent and decides to go through the listening to the choir. 16+HOR12 Episode 43: 15MEVKABA is organizing a holiday for the anniversary of "&amp;"the store. Sanem blames himself for a lie and does not dare to say everything to Jan. Ailin comes to the house Emre meets Gian and tells him about his feelings for his brother. 16+Early Ptashka24 Episode57: 32 Businesses and Polina fight over the secret d"&amp;"eath of the best student of the journalism department. Tatyana Vasilievna penetrates the youth environment, although doctors and quicks require her to engage in health. 16+stand! Not that mom will be guessing 6 series. Excellent student16: 01 in the new i"&amp;"ssue of the Vasilisa Volodin program will tell about the nuances of astrological compatibility. An invited expert is a reproductologist Lyudmila Vovk.16+good news with Vasilisa Volodina45 Issue24: 03 Kh photographs of a man taken during the celebration of"&amp;" his fortieth anniversary showed a strange image. The program team managed to confirm the anomaly and get the image of the ghost in the photo. It seems that this is a projection of the late grandmother of our hero. 16+Hunters for ghost -based ghosts27: 02"&amp;" Wait a “Battle of Psychics” Vlad Chervaty sat behind the wheel of a city taxi and brings random passengers. During a short trip, a psychic tells about people sitting in the back seat of things that bring them into shock. How does he know their secrets of"&amp;" the thought of desire? 16+Extra taxi13 Issue44: 24JEZHEI came home for sled and Deren asks her to finish the work that had begun before leaving. To do this, the girl needs to go home to Jan - take the dossier to finish it. 16+Early Ptashka23 series 42: 5"&amp;"9 Victor in which the participant is trying to win the prize not for himself, but for the other - his loved one who is worthy of. 16 more than money7: 29 people and Polina The murder in the business center is being investigated, but everything is complica"&amp;"ted by the fact that my mother washed the Implement of Bystrov. Tatyana Vasilievna takes as assistants to a business center guard who begins to occupy the place of her son in her life. 16+stand! Not that mom will be guessing 5 series. Did not grow togethe"&amp;"r50: 221972. Once having heard Robertino Loretti's songs, a 12-year-old schoolboy from Lyubertsy Yura is also starting to sing. At first he is shy about this. But thanks to the mentoring of a young music teacher, Varvara Yura develops her talent and dares"&amp;" to listen to the choir. 16+HOR11 series 48: September 103, 2023, 7-year-old Aurora Golendukhin, along with his 3-year-old brother Matvey, while their dad was sleeping out of the house on the street. And when after two hours the father woke up the childre"&amp;"n disappeared without a trace. Relatives tried to find children on their own within two hours, but then they submitted an application to the police and turned to the search squad “Lizaalat” .16+Returned 5 Season 8 release43: 25 Sun did not go to the offic"&amp;"e. Instead, the girl decides to be in the parents' store. Jan comes for her, but she refuses to go with him. Then the handsome man decides to stay at the store. In the office, a commotion due to the fact that Sann did not come to a meeting. Jan is trying "&amp;"to talk to her. 16+Early Ptashka22 Episode57: 41, whose murderer of the gynecologist was poisoned right at the workplace. Gusev speaks to Tatyana Vasilievna that Bystrov was married. Investigating the case Tatyana Vasilievna and Vadik, they arrange a fuss"&amp;" in restaurants. 16+stand! Not that mom will be guessing 4 episode. The color of the crime is yellow24: 1133 of her life, Elizabeth Lysenko spent in constant fear. The girl was always afraid of what could think and say others. But a few years ago a situat"&amp;"ion occurred after which Lisa realized that it was impossible to live further and that she could not run from her fears all her life. She turned to the experts of the New Day program to help her overcome the internal clamps and completely change her life."&amp;" 12+new day10 season 5 release52: 171972. Once having heard Robertino Loretti's songs, a 12-year-old schoolboy from Lyubertsy Yura is also starting to sing. At first he is shy about this. But thanks to the mentoring of a young music teacher, Varvara Yura "&amp;"develops her talent and decides to go through the listening to the choir. 16+choir 194: 05dwa girlfriends decided to earn extra money and opened a fortuneteller. It was easy and fun to breed customers through the computer screen until, among the “propheci"&amp;"es” who turned to girls, a real fortune-teller fortuneteller appeared. 16+Hunters of the Vedim-Vedima 42: 11-Sin participating in the creative meeting of the company. Leila and Emre fly to the seminar in Ankara. Muzafer opens the underwear store and Mevke"&amp;"be continues to lose weight. 16+Early Ptashka21 series 01: 38: 19 heroes of the new season of the legendary project arrive on the island. The first tests await them first farewell and the first scandals. Who will leave the project? 16+the last hero. To re"&amp;"main a family1 production24: 16 Video register of the car recorded a strange “behavior” ahead of the coming car. Dangerous maneuvering and stopping on an empty road. The driver and his spouse, who were traveling in the car, claim that another car was rush"&amp;"ing towards. 16+hunters for ghosts of the bending place24: 10 Superous - Victorin on the theme of cooking the arrangement of houses and raising children. To win the monetary prize and the title of super -women, housewives need to go through a series of te"&amp;"sts. 16+superfluid 94: 55sk is investigating the murder of a young courier who worked on the side and attach a colleague from another unit to Bystrov and Polina. To the horror of Bystrov, the whole department gets acquainted with his mother. Tatyana Vasil"&amp;"ievna, at the insistence of her son, is trying to find a job. 16+stand! Not that mom will guess the 3rd series. Delivered 50: 471972. Once having heard Robertino Loretti's songs, a 12-year-old schoolboy from Lyubertsy Yura is also starting to sing. At fir"&amp;"st he is shy about this. But thanks to the mentoring of a young music teacher, Varvara Yura develops her talent and decides to listen to the choir. 16+choir series23: 47 -year amulet dug up from ancient burial drives the professional “tomb of tombs”. Only"&amp;" the Black Digger itself does not understand this and hoping to profitably sell its find. The psychic Denis Kholodnitsky will be able to stop paranormal manifestations and convince the man to return the ancient amulet to the place. 16+ghost hunters15: 19t"&amp;"h release, we will talk about such a rare and frightening phenomenon as rapid or sudden birth. The heroine who gave birth in a car on the way to the hospital will share her experience and tell her what helped her in this situation. And Dr. Yuryev will giv"&amp;"e advice on how to behave if you or someone in your presence began birth. 16+Health secrets 3 Season 9 Issue49: 04 Businesses and Polina are investigating the murder of a young lawyer who tried to give out for an accident. Tatyana Vasilievna joins the inv"&amp;"estigation secretly from her son to prove that her gift is reality. 16+stand! Not that mom will be guessing 2 series. Kilka43: 31moskvichka Natalia was always panicky afraid of Halloween. But she is the mother of two children who study at a school with an"&amp;" English bias. Every year, children need to bring pumpkin to school and dress up in costumes. Once, in order to overcome fear, she agreed to a photo shoot in outfits on Halloween ... 16+Kadoni show5 Issue23: 53 in the family of Muscovites incomprehensible"&amp;" incidents. The woman suddenly opened a gift of foresight and he was aimed exclusively to protect her husband from all kinds of misfortunes or rather. Moreover, as our observation reveals, a targeted negative impact is present with the real threat to the "&amp;"life of a man. 16+Hunters for ghosts, a ghost -wreck51: 191972. Once having heard Robertino Loretti's songs, a 12-year-old schoolboy from Lyubertsy Yura is also starting to sing. At first he is shy about this. But thanks to the mentoring of a young music "&amp;"teacher, Varvara Yura develops her talent and decides to listen to the choir. 16+choir series24: 08 of the “Battle of Psychics”, Vlad Chervatye got behind the wheel of a city taxi and bring random passengers. During a short trip, a psychic tells about peo"&amp;"ple sitting in the back seat of things that bring them into shock. How does he know their secrets of the thought of desire? 16+Extra taxi12 Issue44: 28 heroine of the sixth issue of Lilia Kotyash - the mother of five children and the grandmother of two gr"&amp;"andchildren. When a woman was pregnant with a fifth child, a husband who kept his family left her. Despite the difficult fate of Lilia, Lilia never fell through and tried to help friends and acquaintances all her life in all her life. The eldest daughter "&amp;"of Lilia Elizabeth is trying to cope with the difficult issues of the game to earn maximum amount for mom. 16+more than money, 6: 36v new release of the culinary show, actor Mikhail Police came to visit Laysan. Together they prepared sweet and salty buckw"&amp;"heat porridge. 16+tasty with Laysan3 Season 7, Issue50: 471972. Once having heard Robertino Loretti's songs, a 12-year-old schoolboy from Lyubertsy Yura is also starting to sing. At first he is shy about this. But thanks to the mentoring of a young music "&amp;"teacher, Varvara Yura develops her talent and decides to go to the choir. 16+choir series15: 47th by the new issue of the weekly program Vasilisa Volodin tells about when it is better to implement important affairs in November and about astrological compa"&amp;"tibility secrets. 16+good news With Vasilisa Volodina44, Issue51: 40 in August, 2021, parents brought 6-year-old Seryozha Shugaipov to hunting borrowing where his grandparents lived and worked. Every day the boy played with a dog near the grandmother's ho"&amp;"use. But one of the days, Seryozha disappeared without a trace. / 28-year-old Olga Kislova found out that she was pregnant again. One day, the husband, concerned about the strange state, caused an ambulance. But when he warned his wife, what awaits the do"&amp;"ctor, the girl unexpectedly jumped out of the apartment. 16+Returned 5 Season 7, Issue24: 44 years ago in the life of 48-year-old Evgenia Davidenko, a misfortune happened-her mother had a stroke. Eugene had to leave work and devote all his time to the car"&amp;"e of his mother. The beloved man could not stand this regime and went to another. Now Eugene dreams of finding himself again. She wants to remember what she was to all injured events and understand where to move on. 12+new day10 season 4 release23: 50 shi"&amp;"mzh and wife are a sports video blog. For this, a small studio is equipped in their apartment. At night, the video equipment in itself turned on and fixed as a woman in an unconscious state began training. The ""hunters"" team connected to the investigati"&amp;"on. 16+Hunters for ghost -haired water 50: 241972. Once having heard Robertino Loretti's songs, a 12-year-old schoolboy from Lyubertsy Yura is also starting to sing. At first he is shy about this. But thanks to the mentoring of a young music teacher, Varv"&amp;"ara Yura develops her talent and decides to go through the listening to the choir. 16+choir series15: 54vs know about vitamins, but few people understand how much they need and where to get them. Is it really possible to get vitamins over the summer? Is i"&amp;"t possible to get the required amount of vitamins only thanks to proper nutrition? These and many other relevant questions will be answered by a nutriologist. 16+Health Secrets 3 Season 8, Issue23: 59 Superhenics-a quiz on the theme of cooking at home and"&amp;" raising children. In order to win the monetary prize and the title of super -women, housewives need to go through a series of tests. 16+superfluous women 8: 56K to the investigator Artyom quickly whose boss for the eternal mess with papers threatens to t"&amp;"ransfer to the archive the mother from Yekaterinburg - Tatyana Vasilievna. At the scene of the crime where she got up behind her mother, the gift suddenly opens up for her mother. Bystrov does not believe in a gift. And until he knows why the mother actua"&amp;"lly urgently arrived in Moscow. 16+Stop! Not that mom will be guessing1 series. Holy Man23: 51 in the Muscovites family, miracles with a refrigerator take place more precisely with products in it. There appears what no one put there, and the owners in a t"&amp;"rance state use this infernal food. The psychic Denis Kholodnitsky will conduct the ceremony and eliminate abnormal manifestations. 16+ghostly hunters of the Judgment 43: 09 team of friends from the Siberian town of Angarsk, laughing, they called a house "&amp;"joking spoke with demons and sold their souls to the devil. They shot parodies for ""spiritual sessions"" and ridiculed people obsessed with the devil. The games ended when one day these same videos became their nightmare in reality. 16+Kadoni show4 Issue"&amp;"51: 151972. Once having heard Robertino Loretti's songs, a 12-year-old schoolboy from Lyubertsy Yura is also starting to sing. At first he is shy about this. But thanks to the mentoring of a young music teacher, Varvara Yura develops her talent and decide"&amp;"s to go through the listening to the choir. 16+choir in series in the broadcast00: 35 in the new series of “The Last Hero” Violetta Chikovani, into the project with a scandal. How will this change the alignment of forces on the island? ""Last Hero. Stay a"&amp;" family ”on Saturday at 17:00.16+the last hero. Stay a family that will change with the advent of jockers? | Saturday 17: 0000: 40 Business-KOOD with 25 years of experience will lay business strategy according to the shelves. Astrologer and energy practit"&amp;"ioner will compose natal charts. “Two ways to success” since November 13 at 22: 45.16+two ways to success about ordinary people and their cherished dream | From November 13, 22: 4500: 55noe folk karaoke show. Will the stars be able to guess who will sing "&amp;"100 points? And will they be able to prove that they sing perfectly? ""You sing great"" soon on TV-3.16+you sing a magnificent-premiere | Soon00: 35 Vyash Favorite show again on TV-3. New experts new stars and new season. Do not miss! 16+Invisible Kelenda"&amp;"rd show returns | Soon00: 35 premiere! In the new season, Laysan Utyasheva is very tasty and very starry. ""Tasty with Laysan"" New season on Saturday at 9: 30.16+tasty with lyaysan stars new stories | Saturday 9: 3000: 35, call - and mom will do everythi"&amp;"ng. And even more! “Wait! Not that mom will guess ”from Monday to Thursday at 19: 30.16+stand! Not that mom will guess the premiere | Mon-hu 19: 3000: 35 Head premiere of this fall. Star families will converge in the battle of generations. Will they be ab"&amp;"le to go through the tests and remain a family? ""Last Hero. Stay a family ”on Saturday at 17:00.16+the last hero. Stay the family season | Saturday 17: 0000: 30 Remaking Surprise Real Shock Real Tears. How will the meeting with a real psychic end? ""Extr"&amp;"a Taxi"" with Vlad Chervaty on Friday at 16: 45.16+Extra Speaker | Friday 16: 4500: 35 Prime Ministers! This is not normal - paranormal. This is Kadoni Show! On Monday at 14:30 on TV-3.16+Kadoni showeto paranormal | Monday 14: 3000: 35 Skrok, after all, i"&amp;"s it not without reason in Thailand the island is dusting with heat and the whole country looks? Here the trials are not simple and they say what else! The whole of Russia will remember the season. There is Borodin. ""Last Hero. Stay a family ”Saturday at"&amp;" 17:00.16+the last hero. Stay as a family -prime minister | Saturday 17: 0000: 30 Prime Minister! In the new season of your favorite project, do not miss your best new day! ""New Day"" on Friday at 11: 15.12+a new day it has been time to change | Friday 1"&amp;"1: 1500: 20 EXTRASSENSE OPEL Chervaty is ready to read everyone to pull the most secret. Be prepared for a meeting with the unknown. Watch the new show ""Extra Taxi"" on Friday at 16: 45.16+Extra Taxi, connect to the trip | Friday at 16: 4500: 20Ptach alr"&amp;"eady participated in the project and how no other knows how difficult it is to survive on the island. The rapper will fight again for the title of the last hero and is ready for any trials. ""Last Hero. Stay a family ”on Saturday at 17:00.16+the last hero"&amp;". To stay with his family, Ptah came to the island? | Saturday 17: 0000: 25, they won one million rubles and decided to give him to his friend to a relative or a person who needs this money more. Incredible, but this is how the participants of the new sho"&amp;"w on TV-3 with the host Anna Khilkevich will do. “Money is more expensive” on Sunday at 9: 00.16+more expensive money can be more expensive than money? | Sunday 9: 0000: 30NOTE AND HOUSENTS. New paranormal affairs. ""Ghostbires"" from Monday to Thursday a"&amp;"t 14: 00.16+ghost -season hunters | Mon-ht 14: 0000: 25 LELDER PRODUCTION Returning! New participants new tests of the new island. ""Last Hero. Stay a family ”on Saturday at 17:00.16+the last hero. Stay the family -headed premiere of autumn | Saturday 17:"&amp;" 0000: 40 Help has a cool cap. And this mother has a superlace! Inga Oboldina Mikhail Kremer. “Wait! Not that mom will guess ”from Monday to Thursday 19: 30.16+stand! Not that mother will guess the detective with Inga Oboldina and Mikhail Cremer | Mon-hu "&amp;"19: 3000: 15 Providing others is in his nature. ""Forester"" from Monday to Thursday at 20: 45.16+a forester only on TV-3 | Mon-ht 20: 4500: 35 Thailand-a real paradise on Earth. But he is fraught with many dangers: deadly ivarous jellyfish and fish-giant"&amp;"s and killer plants. It is here that the participants in the new season have to survive! ""Last Hero. Stay a family ”on Saturday at 17:00.16+the last hero. To stay a family -legendary project is returning | Saturday 17: 0000: 30 in what is the secret of t"&amp;"his cool cap? Genes? Intuition? Or mom? “Wait! Not that mom will guess ”from Monday to Thursday at 19: 30.16+stand! Not that mom will guess what is his secret? | Mon-hu 19: 3001: 0064 hours that will return your faith in people. 128 incredible stories of "&amp;"salvation. See how heroes wake up in people: doctors (new season) returning (new season) Heroes16+History of one salvation00: 20 will Irakli can overcome all trials and not lose himself on the island? ""Last Hero. Stay a family ”on Saturday at 17:00.16+th"&amp;"e last hero. Will the families be able to cope with Irakli's trials? | Saturday 17: 0000: 35, you hear these sounds, it means he will come soon! Now only on TV-3. ""Forester"" from Monday to Thursday at 20: 45.16+Lesnikon will protect everyone | Mon-ht 20"&amp;": 4500: 35, the “Battle of Psychics”, the owner of a unique gift accepts a new call-a taxi call. ""Extra Taxi"" with Vlad Chervaty on Friday at 16: 45.16+Extra Taxi -Refined shock | Friday 16: 4520: 00 Tipinet Anna Sedokova joined the game to show everyon"&amp;"e what she is capable of. But will she get the title of the last hero? ""Last Hero. Stay a family ”on Saturday at 17:00.16+the last hero. Will the family will stay with Anna Sedokova to become the last hero? | Saturday 17: 0000: 35 earnest people in a reg"&amp;"ular taxi with an unusual driver. ""Extra Taxi"" with Vlad Chervaty on Friday at 16: 45.16+Extra taxosion will surprise you | Friday 16: 45 Automate to see without advertising16+Available until 18.11 Adventional story about a girl with magical abilities o"&amp;"f Ebiegiel18+Available until 14.11 -dinked along with her daughter Si in the hope of getting rich in the delivery of precious stones from one of the planets. But there is a breakdown on board ... Perspective12+is available until 15.11 humanity is forced t"&amp;"o escape from mutating plant plants. Reloading12+Available until 11/11/11, an known treasure hunter sets off in search of a special figurine of God: Mission Zodiac12+Available until 11.11 Film tells about the legendary journey of the Tour Heyerdal who man"&amp;"aged to get from South America to Palinezia by Ploteconi16+Available to 11.11111111111111110th Arsen Lupen is involved in the next adventurisen Lupensotiytv-3 announced the date of the premiere of the unusual business show-3 received 5 awards of the XI co"&amp;"ntest ""Mediabrend"" participate in a competitive contract: new names of the participants of the 10th season of the show ""Last Hero"" on TV-3th play an exclusive ghost ST recorded the soundtrack for the 10th season of the reality show “The Last Hero”, yo"&amp;"u will receive a special prize-3 revealed the names of the first participants and the date of the premiere of the new family season of the show “The Last Hero” set a frame on the avatar in the classmates of the new project “Kaduni Show” to fulfill the dre"&amp;"am of a close human man or esoterics? On TV-3, filming of the unusual business show “Invisible Man” is returning: the filming of the new season of TV-3 started the 3rd season “Tasty with Laysan” The financial forecast from Vasilisa Volodina Exclusive pers"&amp;"onnel from the filming of the Superivanov series hotly! A new series with Jan Yaman in the main roller guests at the Superivanovs! How was the most magical house created? The Chervatye became the first taxi driver-ex-missile, to find out the superpower of"&amp;" his family and get a family portrait from the neural network? Find out the superpower of their family-3 and nofilters created unique magic Svechitimur of Batrutdinov and Olga Seryabkin became leading karaoke executives of the new season of the legendary "&amp;"project "" Last Hero »Super High Sytybor TV-3 Superivan-Historical Documentist: Hunter for the Signs of Cuphantomater: Alienation Zone. Final. Moimm Glavomistargadagdalkaslepayagol. Viigogol. Starting. Terrible renovation. Film Serial -Military Ozer -Gene"&amp;"ral Woman. Unbeliable history of the Chernobyl 2. The exclusion zone of the exclusive from the island00: 33anna Sedokova will tell about the features of life on the uninhabited island. 16+the last hero. To remain the family of the island from Anna Sedokov"&amp;"a00: 40violetta Chikovani will conduct an excursion to the island of Tigers. Does it differ from the island of elephants? 16+the last hero. Do families live on the island of Tigers? 00: 34 What project participants use banana skins? What are they eating f"&amp;"rom? And what do they store in the box? Ptach will tell about all this in an exclusive tour of the island. 16+the last hero. Elena Okina, the family of the island of Ilekonovselov Runov Claims of the World and Europe on the Academic Rowing, told how to pu"&amp;"ll up the body in just 2 weeks! Watch an exclusive selection of exercises only in the program “Women's Journal. ”16+Women's magazine complex of exercises for the whole body from the world champion Elena Ravorina07: 12 To have a beautiful fit figure, you n"&amp;"eed to spend all your free time in the hall? Not necessary! Inna Malikova will show effective exercises that will not take much time. 16+Women's journal efficient training from Inna Malikova05: 11 Naughty Gasankhanova will share a recipe for a budget mask"&amp;" from kelp. Watch the new issues of the “Women's Journal” on Saturdays at 10: 00.16+Women's magazine to look only 150 rubles? 11: 19, look irresistible? Katya Lel will tell you how to do this and reveal the secrets of real star makeup. Do not miss the new"&amp;" issues of the Women's Journal show every Saturday at 10: 00.16+women's magazine makeup from Katya Lel09: 08, watch the sports section with the hope of Angarskaya. Do not miss the new issues of the Women's Journal of the Women's Journal every Saturday at "&amp;"10: 00.16+Women's Journal of Journal of Hope Angarskaya10: 10 Clean the exquisite dish to which you need to add wine, but no corkscrew? These life hacks are for you. Together with Tatyana Kotova, you will learn several ways to open a bottle with improvise"&amp;"d means. 16+Women's magazine open a bottle without a corkscrew? 08: 59ka, the cosmetologist Maria Malner and Elena Hanga. 16+Women's magazine-Massage from Otokovsdorye00 will tell you independently and effectively cope with edema. : 55 if the IVF procedur"&amp;"e can choose the gender of the child? Will children be born with the help of IVF will be barren in the future? It is impossible to get pregnant on the first attempt to get pregnant? The leading programs “Secrets of Health” will tell you what of this is tr"&amp;"ue and what is myth. 16+True or MIFPRI of IVF can you choose the sex of a child? 01: 50 PROBLESS AND ANENIDIDS are inherited? Frequent sore throats can be treated with ice cream? Removing adenoid can worsen the situation? The leading programs “Secrets of "&amp;"Health” will answer these questions in the section “Truth or Myth” .16+True or myth -frequency tonsillitis can be treated with ice cream? 01: 31: 31 can provoke childbirth? Is epidural anesthesia dangerous for the child? Women can give birth thanks to the"&amp;" natural painkiller and the men would have lost their minds from such pain? The leading programs “Secrets of Health” will tell you what of this is true and what is a common myth. 16+True or does mythepidural anesthesia harm the child? 01: 14 Vaccination c"&amp;"auses autism? Does vaccinated people change DNA? And is it really possible to chip people with a vaccine? Watch the Truth or Myth section and you will find out! 16+True or the truth about vaccination02: 29 older parents - all the more smarter their childr"&amp;"en? Or is every child born of a genius? The leading programs “Secrets of Health” will tell you what of this - true and what is myth. 16+True or the myth of adult parents are born geniuses? 01: 30 True, what does intimate life become worse after the birth "&amp;"of a child? Or is it better? Anna Demidovich and Ekaterina Yuryeva will dispel the established myths about this topic. 16+truth or mythrac and myths about an intimate life after childbirth01: 56u alarming mother will grow alarming children? High anxiety c"&amp;"auses physical illness? Ekaterina Yuryeva and Anna Demidovich will tell what facts about the alarm are true and which are not. 16+True or myctrevo content provokes diseases? 01: 55, after birth, it is dangerous to take a bath? Does the postpartum bandage "&amp;"help to remove the stomach? The leading programs “Secrets of Health” will answer these and other questions about the recovery period after giving birth. 16+Truth or the MIFMIFs about restoration after childbirth03: 00ka do you think really children always"&amp;" look like dad when they are born? Scientists even conducted research to find out if it really is. See our Truth or Myth heading and everything will learn. 16+True or Mifvs, children at birth are similar to dad? 01: 13 is it possible to observe a strict d"&amp;"iet during breastfeeding? Do nursing mothers need to drink tea with milk? Does the type of nutrition of immunity affect? ​​16+True or the mixture of the mixture reduces immunity? Tasty with Laysanolivia from Natalia Medveredvedevy -bodies and salty buckwh"&amp;"eat porridge from Mikhail Polis -Blabacular caviar from the faith of a centurion with cabbage and egg from Vlad Kadonisharlot with Sasha Shankararyba in Marino from Anna Shatilovoslovosliyliyl. fuck Languages ​​from Pavel Artemyevasalat with Brynza from D"&amp;"aria Dontsovodets cookies from Julia Kovalton pancakes with a confiture of berries from Pavel Volivareniki with cherries from the winner of the TV-3 contest of the Olga Karshokroshka on Kvas from Alena Apino-owned cheesecakes from Ekaterina Volova-Belowns"&amp;" from Katya Lelborsh. According to the recipe of grandmother Ksenia From Vasilisa Volodinoomlet in the way, in the way from Dmitry Gubernyevaural shanges from Svetlana Permyakova borsch from Tatyana Kotovoyokotlets with potato puree from Zhenya Medvedeved"&amp;"evo Kutzes with a beetroot salad from Alla, an overshuminal cake from Gluc'yziyat from Elena Khangikaraim pies from Natasha Gasanikhanovanovano you with sauerkraut with hope of Angarmacarone along -Flotes from Davydom, dumplings from the migralyakasting, "&amp;"in a casting in the social quiz “more expensive than money” with Anna Hilkevich and get a chance to help a loved one. Type of money not only appearance, but also fate an incredible story about the air projects in the air of the last hero. Stay family! Mom"&amp;" will be guessed by Taxikadoni Showdorozhni Moneynoye day for ghosts for ghosts with liaisanchoric news with Vasilisa Volodino -Secks of health, healthy -washing -waist -like confessions, fateful History History, exile -based reference texture -stupor -co"&amp;"ntact -ore advertising advertisements in Moscow and Cities of Russia Sponsor and Sponsorship Projects-3 DigitalPress Service of the Copyright Rights of Authority TV-3K-Kontaktederal Advertising in Moscow and the cities of Russia. and sponsorship projects-"&amp;"3 DigitalPress services of copyright rights of copyright rights TV-3 official website of the TV-3 channel (LLC TV Channel TV3) 129090 Moscow Olympic Ave. 14 (495) 937 40 39 E-mail: Info@TV3 .ru Privacy Politics Policy of Privacy")</f>
        <v>Official website of the TV-3-Efrtellekogrammarogytytiykastingal Hero Channel. Remain the family of the last hero. Remain the family of the last hero. Stay the family of the family 17:00 • 16+Watch the trailer! Not that mother will be guessed by 19:30 • 16+Watch the way to success on November 13 23:45 • 16+trailer examine the ether03: 00 multfilmaria04: 45 readers of health 3 season 105: 00vsko with laisan3 Season 9 release television program 05: 30th day10 Season 6 Issue 6 Issue Series 01: 13: 18th new season of the show “The Last Hero” Two teams of 7 people in each will have to spend up to 30 days in the pristine jungle of the islands of Thailand, fighting with the elements of dangerous animals insects with each other - and with their “internal savage” .16 +The last hero. To remain a family3 release27: 24 writer of “Battle of Psychics” Vlad Chervatye got behind the wheel of a city taxi and brings random passengers. During a short trip, a psychic tells about people sitting in the back seat of things that bring them into shock. How does he know their secrets of thought of desire? 16+Extra taxi14 Issue23: 51 in a new release of a culinary show to visit Laysan, singer Denis Klyaver came. Together they prepared a bean soup. 16+tasty with Laysan3 Season 9 release44: 26 Slovo for the word and sanam with Polen go inside to wait for the Jana. In a misunderstanding of what to do Sanem is gaining Osman. Jan was extremely surprised to see two girls at home. Can a saber finally admit his feelings? 16+Early Ptashka26 Episode50: 15mas 31 years old, but in her development she is like a 5-6-year-old child. Every day she carried out garbage bags into containers near the house. But on September 6, 2023, the girl left with garbage and did not return. / September 17, 2023, pensioner Irina Fomina went into the forest. She planned to quickly gain white mushrooms and return. A few hours later, Irina Borisovna called her husband and said that she got lost and could not go out. And then her phone stopped responding. 16+returning 5 season 9 release57: 57bystrov and Tatyana Vasilievna accidentally change phones. Gusev sends Polina to investigate the case of a close friend. Bystrov finds out that Sofa has difficulty in the family. 16+stand! Not that mom will guess the 8th series. Double blow25: 32 scricking short 29 years. In the life of Christina there was no man who could tell her in what direction to develop. The girl had to grow up early. She managed to cope with drug addiction, but she continues to drink alcohol now. Christina wants to understand why she was born and what was her purpose. 12+New day10 season 6 Issue15: 14menopausa for many sounds like a sentence. In our program, the obstetrician-gynecologist will dispel all myths about menopause and tell you what to do so that this process does not affect health and quality of life. 16+Health Secrets 3 Season 10: 58 Submits is delighted with the customer of Madame Remede. Emre says Ilin about a pause in a relationship and a girl in response conceived something was amiss. Aunt Remeder closes Jan and sled in one space. Will lovers be able to agree? 16+Early Ptashka25 Episode59: 34 Bester surrenders and brings his mother to the place of a new murder: a cemetery. Tatyana Vasilievna is trying to get in love with Pauline in Nastrova. Gusev invites Tatyana Vasilievna on a date. 16+Stop! Not that mom will guess the 7th series. Living dead23: 57 Supernity - a quiz on the theme of cooking at home and raising children. To win the monetary prize and the title of superfluous women, housewives need to go through a series of tests. 16+Super women10 Issue23: 45 -family couple suffers from insomnia and nightmares. Moreover, abnormalities from the world of dreams began to overcome the spouses in reality. We manage to confirm that the spouses in ordinary life are exposed to strange inexplicable impact. 16+hunters for ghosts of the Bessonel01: 24: 52th new season of the show "Last Hero" two teams of 7 people in each will have to spend up to 30 days in the pristine jungle of the islands of Thailand. Hunger with dangerous animals of insects with each other - and with their “inner savage” .16+the last hero. Stay family 2 release52: 401972. Once having heard Robertino Loretti's songs, a 12-year-old schoolboy from Lyubertsy Yura is also starting to sing. At first he is shy about this. But thanks to the mentoring of a young music teacher, Varvara Yura develops her talent and decides to go through the listening to the choir. 16+HOR12 Episode 43: 15MEVKABA is organizing a holiday for the anniversary of the store. Sanem blames himself for a lie and does not dare to say everything to Jan. Ailin comes to the house Emre meets Gian and tells him about his feelings for his brother. 16+Early Ptashka24 Episode57: 32 Businesses and Polina fight over the secret death of the best student of the journalism department. Tatyana Vasilievna penetrates the youth environment, although doctors and quicks require her to engage in health. 16+stand! Not that mom will be guessing 6 series. Excellent student16: 01 in the new issue of the Vasilisa Volodin program will tell about the nuances of astrological compatibility. An invited expert is a reproductologist Lyudmila Vovk.16+good news with Vasilisa Volodina45 Issue24: 03 Kh photographs of a man taken during the celebration of his fortieth anniversary showed a strange image. The program team managed to confirm the anomaly and get the image of the ghost in the photo. It seems that this is a projection of the late grandmother of our hero. 16+Hunters for ghost -based ghosts27: 02 Wait a “Battle of Psychics” Vlad Chervaty sat behind the wheel of a city taxi and brings random passengers. During a short trip, a psychic tells about people sitting in the back seat of things that bring them into shock. How does he know their secrets of the thought of desire? 16+Extra taxi13 Issue44: 24JEZHEI came home for sled and Deren asks her to finish the work that had begun before leaving. To do this, the girl needs to go home to Jan - take the dossier to finish it. 16+Early Ptashka23 series 42: 59 Victor in which the participant is trying to win the prize not for himself, but for the other - his loved one who is worthy of. 16 more than money7: 29 people and Polina The murder in the business center is being investigated, but everything is complicated by the fact that my mother washed the Implement of Bystrov. Tatyana Vasilievna takes as assistants to a business center guard who begins to occupy the place of her son in her life. 16+stand! Not that mom will be guessing 5 series. Did not grow together50: 221972. Once having heard Robertino Loretti's songs, a 12-year-old schoolboy from Lyubertsy Yura is also starting to sing. At first he is shy about this. But thanks to the mentoring of a young music teacher, Varvara Yura develops her talent and dares to listen to the choir. 16+HOR11 series 48: September 103, 2023, 7-year-old Aurora Golendukhin, along with his 3-year-old brother Matvey, while their dad was sleeping out of the house on the street. And when after two hours the father woke up the children disappeared without a trace. Relatives tried to find children on their own within two hours, but then they submitted an application to the police and turned to the search squad “Lizaalat” .16+Returned 5 Season 8 release43: 25 Sun did not go to the office. Instead, the girl decides to be in the parents' store. Jan comes for her, but she refuses to go with him. Then the handsome man decides to stay at the store. In the office, a commotion due to the fact that Sann did not come to a meeting. Jan is trying to talk to her. 16+Early Ptashka22 Episode57: 41, whose murderer of the gynecologist was poisoned right at the workplace. Gusev speaks to Tatyana Vasilievna that Bystrov was married. Investigating the case Tatyana Vasilievna and Vadik, they arrange a fuss in restaurants. 16+stand! Not that mom will be guessing 4 episode. The color of the crime is yellow24: 1133 of her life, Elizabeth Lysenko spent in constant fear. The girl was always afraid of what could think and say others. But a few years ago a situation occurred after which Lisa realized that it was impossible to live further and that she could not run from her fears all her life. She turned to the experts of the New Day program to help her overcome the internal clamps and completely change her life. 12+new day10 season 5 release52: 171972. Once having heard Robertino Loretti's songs, a 12-year-old schoolboy from Lyubertsy Yura is also starting to sing. At first he is shy about this. But thanks to the mentoring of a young music teacher, Varvara Yura develops her talent and decides to go through the listening to the choir. 16+choir 194: 05dwa girlfriends decided to earn extra money and opened a fortuneteller. It was easy and fun to breed customers through the computer screen until, among the “prophecies” who turned to girls, a real fortune-teller fortuneteller appeared. 16+Hunters of the Vedim-Vedima 42: 11-Sin participating in the creative meeting of the company. Leila and Emre fly to the seminar in Ankara. Muzafer opens the underwear store and Mevkebe continues to lose weight. 16+Early Ptashka21 series 01: 38: 19 heroes of the new season of the legendary project arrive on the island. The first tests await them first farewell and the first scandals. Who will leave the project? 16+the last hero. To remain a family1 production24: 16 Video register of the car recorded a strange “behavior” ahead of the coming car. Dangerous maneuvering and stopping on an empty road. The driver and his spouse, who were traveling in the car, claim that another car was rushing towards. 16+hunters for ghosts of the bending place24: 10 Superous - Victorin on the theme of cooking the arrangement of houses and raising children. To win the monetary prize and the title of super -women, housewives need to go through a series of tests. 16+superfluid 94: 55sk is investigating the murder of a young courier who worked on the side and attach a colleague from another unit to Bystrov and Polina. To the horror of Bystrov, the whole department gets acquainted with his mother. Tatyana Vasilievna, at the insistence of her son, is trying to find a job. 16+stand! Not that mom will guess the 3rd series. Delivered 50: 471972. Once having heard Robertino Loretti's songs, a 12-year-old schoolboy from Lyubertsy Yura is also starting to sing. At first he is shy about this. But thanks to the mentoring of a young music teacher, Varvara Yura develops her talent and decides to listen to the choir. 16+choir series23: 47 -year amulet dug up from ancient burial drives the professional “tomb of tombs”. Only the Black Digger itself does not understand this and hoping to profitably sell its find. The psychic Denis Kholodnitsky will be able to stop paranormal manifestations and convince the man to return the ancient amulet to the place. 16+ghost hunters15: 19th release, we will talk about such a rare and frightening phenomenon as rapid or sudden birth. The heroine who gave birth in a car on the way to the hospital will share her experience and tell her what helped her in this situation. And Dr. Yuryev will give advice on how to behave if you or someone in your presence began birth. 16+Health secrets 3 Season 9 Issue49: 04 Businesses and Polina are investigating the murder of a young lawyer who tried to give out for an accident. Tatyana Vasilievna joins the investigation secretly from her son to prove that her gift is reality. 16+stand! Not that mom will be guessing 2 series. Kilka43: 31moskvichka Natalia was always panicky afraid of Halloween. But she is the mother of two children who study at a school with an English bias. Every year, children need to bring pumpkin to school and dress up in costumes. Once, in order to overcome fear, she agreed to a photo shoot in outfits on Halloween ... 16+Kadoni show5 Issue23: 53 in the family of Muscovites incomprehensible incidents. The woman suddenly opened a gift of foresight and he was aimed exclusively to protect her husband from all kinds of misfortunes or rather. Moreover, as our observation reveals, a targeted negative impact is present with the real threat to the life of a man. 16+Hunters for ghosts, a ghost -wreck51: 191972. Once having heard Robertino Loretti's songs, a 12-year-old schoolboy from Lyubertsy Yura is also starting to sing. At first he is shy about this. But thanks to the mentoring of a young music teacher, Varvara Yura develops her talent and decides to listen to the choir. 16+choir series24: 08 of the “Battle of Psychics”, Vlad Chervatye got behind the wheel of a city taxi and bring random passengers. During a short trip, a psychic tells about people sitting in the back seat of things that bring them into shock. How does he know their secrets of the thought of desire? 16+Extra taxi12 Issue44: 28 heroine of the sixth issue of Lilia Kotyash - the mother of five children and the grandmother of two grandchildren. When a woman was pregnant with a fifth child, a husband who kept his family left her. Despite the difficult fate of Lilia, Lilia never fell through and tried to help friends and acquaintances all her life in all her life. The eldest daughter of Lilia Elizabeth is trying to cope with the difficult issues of the game to earn maximum amount for mom. 16+more than money, 6: 36v new release of the culinary show, actor Mikhail Police came to visit Laysan. Together they prepared sweet and salty buckwheat porridge. 16+tasty with Laysan3 Season 7, Issue50: 471972. Once having heard Robertino Loretti's songs, a 12-year-old schoolboy from Lyubertsy Yura is also starting to sing. At first he is shy about this. But thanks to the mentoring of a young music teacher, Varvara Yura develops her talent and decides to go to the choir. 16+choir series15: 47th by the new issue of the weekly program Vasilisa Volodin tells about when it is better to implement important affairs in November and about astrological compatibility secrets. 16+good news With Vasilisa Volodina44, Issue51: 40 in August, 2021, parents brought 6-year-old Seryozha Shugaipov to hunting borrowing where his grandparents lived and worked. Every day the boy played with a dog near the grandmother's house. But one of the days, Seryozha disappeared without a trace. / 28-year-old Olga Kislova found out that she was pregnant again. One day, the husband, concerned about the strange state, caused an ambulance. But when he warned his wife, what awaits the doctor, the girl unexpectedly jumped out of the apartment. 16+Returned 5 Season 7, Issue24: 44 years ago in the life of 48-year-old Evgenia Davidenko, a misfortune happened-her mother had a stroke. Eugene had to leave work and devote all his time to the care of his mother. The beloved man could not stand this regime and went to another. Now Eugene dreams of finding himself again. She wants to remember what she was to all injured events and understand where to move on. 12+new day10 season 4 release23: 50 shimzh and wife are a sports video blog. For this, a small studio is equipped in their apartment. At night, the video equipment in itself turned on and fixed as a woman in an unconscious state began training. The "hunters" team connected to the investigation. 16+Hunters for ghost -haired water 50: 241972. Once having heard Robertino Loretti's songs, a 12-year-old schoolboy from Lyubertsy Yura is also starting to sing. At first he is shy about this. But thanks to the mentoring of a young music teacher, Varvara Yura develops her talent and decides to go through the listening to the choir. 16+choir series15: 54vs know about vitamins, but few people understand how much they need and where to get them. Is it really possible to get vitamins over the summer? Is it possible to get the required amount of vitamins only thanks to proper nutrition? These and many other relevant questions will be answered by a nutriologist. 16+Health Secrets 3 Season 8, Issue23: 59 Superhenics-a quiz on the theme of cooking at home and raising children. In order to win the monetary prize and the title of super -women, housewives need to go through a series of tests. 16+superfluous women 8: 56K to the investigator Artyom quickly whose boss for the eternal mess with papers threatens to transfer to the archive the mother from Yekaterinburg - Tatyana Vasilievna. At the scene of the crime where she got up behind her mother, the gift suddenly opens up for her mother. Bystrov does not believe in a gift. And until he knows why the mother actually urgently arrived in Moscow. 16+Stop! Not that mom will be guessing1 series. Holy Man23: 51 in the Muscovites family, miracles with a refrigerator take place more precisely with products in it. There appears what no one put there, and the owners in a trance state use this infernal food. The psychic Denis Kholodnitsky will conduct the ceremony and eliminate abnormal manifestations. 16+ghostly hunters of the Judgment 43: 09 team of friends from the Siberian town of Angarsk, laughing, they called a house joking spoke with demons and sold their souls to the devil. They shot parodies for "spiritual sessions" and ridiculed people obsessed with the devil. The games ended when one day these same videos became their nightmare in reality. 16+Kadoni show4 Issue51: 151972. Once having heard Robertino Loretti's songs, a 12-year-old schoolboy from Lyubertsy Yura is also starting to sing. At first he is shy about this. But thanks to the mentoring of a young music teacher, Varvara Yura develops her talent and decides to go through the listening to the choir. 16+choir in series in the broadcast00: 35 in the new series of “The Last Hero” Violetta Chikovani, into the project with a scandal. How will this change the alignment of forces on the island? "Last Hero. Stay a family ”on Saturday at 17:00.16+the last hero. Stay a family that will change with the advent of jockers? | Saturday 17: 0000: 40 Business-KOOD with 25 years of experience will lay business strategy according to the shelves. Astrologer and energy practitioner will compose natal charts. “Two ways to success” since November 13 at 22: 45.16+two ways to success about ordinary people and their cherished dream | From November 13, 22: 4500: 55noe folk karaoke show. Will the stars be able to guess who will sing 100 points? And will they be able to prove that they sing perfectly? "You sing great" soon on TV-3.16+you sing a magnificent-premiere | Soon00: 35 Vyash Favorite show again on TV-3. New experts new stars and new season. Do not miss! 16+Invisible Kelendard show returns | Soon00: 35 premiere! In the new season, Laysan Utyasheva is very tasty and very starry. "Tasty with Laysan" New season on Saturday at 9: 30.16+tasty with lyaysan stars new stories | Saturday 9: 3000: 35, call - and mom will do everything. And even more! “Wait! Not that mom will guess ”from Monday to Thursday at 19: 30.16+stand! Not that mom will guess the premiere | Mon-hu 19: 3000: 35 Head premiere of this fall. Star families will converge in the battle of generations. Will they be able to go through the tests and remain a family? "Last Hero. Stay a family ”on Saturday at 17:00.16+the last hero. Stay the family season | Saturday 17: 0000: 30 Remaking Surprise Real Shock Real Tears. How will the meeting with a real psychic end? "Extra Taxi" with Vlad Chervaty on Friday at 16: 45.16+Extra Speaker | Friday 16: 4500: 35 Prime Ministers! This is not normal - paranormal. This is Kadoni Show! On Monday at 14:30 on TV-3.16+Kadoni showeto paranormal | Monday 14: 3000: 35 Skrok, after all, is it not without reason in Thailand the island is dusting with heat and the whole country looks? Here the trials are not simple and they say what else! The whole of Russia will remember the season. There is Borodin. "Last Hero. Stay a family ”Saturday at 17:00.16+the last hero. Stay as a family -prime minister | Saturday 17: 0000: 30 Prime Minister! In the new season of your favorite project, do not miss your best new day! "New Day" on Friday at 11: 15.12+a new day it has been time to change | Friday 11: 1500: 20 EXTRASSENSE OPEL Chervaty is ready to read everyone to pull the most secret. Be prepared for a meeting with the unknown. Watch the new show "Extra Taxi" on Friday at 16: 45.16+Extra Taxi, connect to the trip | Friday at 16: 4500: 20Ptach already participated in the project and how no other knows how difficult it is to survive on the island. The rapper will fight again for the title of the last hero and is ready for any trials. "Last Hero. Stay a family ”on Saturday at 17:00.16+the last hero. To stay with his family, Ptah came to the island? | Saturday 17: 0000: 25, they won one million rubles and decided to give him to his friend to a relative or a person who needs this money more. Incredible, but this is how the participants of the new show on TV-3 with the host Anna Khilkevich will do. “Money is more expensive” on Sunday at 9: 00.16+more expensive money can be more expensive than money? | Sunday 9: 0000: 30NOTE AND HOUSENTS. New paranormal affairs. "Ghostbires" from Monday to Thursday at 14: 00.16+ghost -season hunters | Mon-ht 14: 0000: 25 LELDER PRODUCTION Returning! New participants new tests of the new island. "Last Hero. Stay a family ”on Saturday at 17:00.16+the last hero. Stay the family -headed premiere of autumn | Saturday 17: 0000: 40 Help has a cool cap. And this mother has a superlace! Inga Oboldina Mikhail Kremer. “Wait! Not that mom will guess ”from Monday to Thursday 19: 30.16+stand! Not that mother will guess the detective with Inga Oboldina and Mikhail Cremer | Mon-hu 19: 3000: 15 Providing others is in his nature. "Forester" from Monday to Thursday at 20: 45.16+a forester only on TV-3 | Mon-ht 20: 4500: 35 Thailand-a real paradise on Earth. But he is fraught with many dangers: deadly ivarous jellyfish and fish-giants and killer plants. It is here that the participants in the new season have to survive! "Last Hero. Stay a family ”on Saturday at 17:00.16+the last hero. To stay a family -legendary project is returning | Saturday 17: 0000: 30 in what is the secret of this cool cap? Genes? Intuition? Or mom? “Wait! Not that mom will guess ”from Monday to Thursday at 19: 30.16+stand! Not that mom will guess what is his secret? | Mon-hu 19: 3001: 0064 hours that will return your faith in people. 128 incredible stories of salvation. See how heroes wake up in people: doctors (new season) returning (new season) Heroes16+History of one salvation00: 20 will Irakli can overcome all trials and not lose himself on the island? "Last Hero. Stay a family ”on Saturday at 17:00.16+the last hero. Will the families be able to cope with Irakli's trials? | Saturday 17: 0000: 35, you hear these sounds, it means he will come soon! Now only on TV-3. "Forester" from Monday to Thursday at 20: 45.16+Lesnikon will protect everyone | Mon-ht 20: 4500: 35, the “Battle of Psychics”, the owner of a unique gift accepts a new call-a taxi call. "Extra Taxi" with Vlad Chervaty on Friday at 16: 45.16+Extra Taxi -Refined shock | Friday 16: 4520: 00 Tipinet Anna Sedokova joined the game to show everyone what she is capable of. But will she get the title of the last hero? "Last Hero. Stay a family ”on Saturday at 17:00.16+the last hero. Will the family will stay with Anna Sedokova to become the last hero? | Saturday 17: 0000: 35 earnest people in a regular taxi with an unusual driver. "Extra Taxi" with Vlad Chervaty on Friday at 16: 45.16+Extra taxosion will surprise you | Friday 16: 45 Automate to see without advertising16+Available until 18.11 Adventional story about a girl with magical abilities of Ebiegiel18+Available until 14.11 -dinked along with her daughter Si in the hope of getting rich in the delivery of precious stones from one of the planets. But there is a breakdown on board ... Perspective12+is available until 15.11 humanity is forced to escape from mutating plant plants. Reloading12+Available until 11/11/11, an known treasure hunter sets off in search of a special figurine of God: Mission Zodiac12+Available until 11.11 Film tells about the legendary journey of the Tour Heyerdal who managed to get from South America to Palinezia by Ploteconi16+Available to 11.11111111111111110th Arsen Lupen is involved in the next adventurisen Lupensotiytv-3 announced the date of the premiere of the unusual business show-3 received 5 awards of the XI contest "Mediabrend" participate in a competitive contract: new names of the participants of the 10th season of the show "Last Hero" on TV-3th play an exclusive ghost ST recorded the soundtrack for the 10th season of the reality show “The Last Hero”, you will receive a special prize-3 revealed the names of the first participants and the date of the premiere of the new family season of the show “The Last Hero” set a frame on the avatar in the classmates of the new project “Kaduni Show” to fulfill the dream of a close human man or esoterics? On TV-3, filming of the unusual business show “Invisible Man” is returning: the filming of the new season of TV-3 started the 3rd season “Tasty with Laysan” The financial forecast from Vasilisa Volodina Exclusive personnel from the filming of the Superivanov series hotly! A new series with Jan Yaman in the main roller guests at the Superivanovs! How was the most magical house created? The Chervatye became the first taxi driver-ex-missile, to find out the superpower of his family and get a family portrait from the neural network? Find out the superpower of their family-3 and nofilters created unique magic Svechitimur of Batrutdinov and Olga Seryabkin became leading karaoke executives of the new season of the legendary project " Last Hero »Super High Sytybor TV-3 Superivan-Historical Documentist: Hunter for the Signs of Cuphantomater: Alienation Zone. Final. Moimm Glavomistargadagdalkaslepayagol. Viigogol. Starting. Terrible renovation. Film Serial -Military Ozer -General Woman. Unbeliable history of the Chernobyl 2. The exclusion zone of the exclusive from the island00: 33anna Sedokova will tell about the features of life on the uninhabited island. 16+the last hero. To remain the family of the island from Anna Sedokova00: 40violetta Chikovani will conduct an excursion to the island of Tigers. Does it differ from the island of elephants? 16+the last hero. Do families live on the island of Tigers? 00: 34 What project participants use banana skins? What are they eating from? And what do they store in the box? Ptach will tell about all this in an exclusive tour of the island. 16+the last hero. Elena Okina, the family of the island of Ilekonovselov Runov Claims of the World and Europe on the Academic Rowing, told how to pull up the body in just 2 weeks! Watch an exclusive selection of exercises only in the program “Women's Journal. ”16+Women's magazine complex of exercises for the whole body from the world champion Elena Ravorina07: 12 To have a beautiful fit figure, you need to spend all your free time in the hall? Not necessary! Inna Malikova will show effective exercises that will not take much time. 16+Women's journal efficient training from Inna Malikova05: 11 Naughty Gasankhanova will share a recipe for a budget mask from kelp. Watch the new issues of the “Women's Journal” on Saturdays at 10: 00.16+Women's magazine to look only 150 rubles? 11: 19, look irresistible? Katya Lel will tell you how to do this and reveal the secrets of real star makeup. Do not miss the new issues of the Women's Journal show every Saturday at 10: 00.16+women's magazine makeup from Katya Lel09: 08, watch the sports section with the hope of Angarskaya. Do not miss the new issues of the Women's Journal of the Women's Journal every Saturday at 10: 00.16+Women's Journal of Journal of Hope Angarskaya10: 10 Clean the exquisite dish to which you need to add wine, but no corkscrew? These life hacks are for you. Together with Tatyana Kotova, you will learn several ways to open a bottle with improvised means. 16+Women's magazine open a bottle without a corkscrew? 08: 59ka, the cosmetologist Maria Malner and Elena Hanga. 16+Women's magazine-Massage from Otokovsdorye00 will tell you independently and effectively cope with edema. : 55 if the IVF procedure can choose the gender of the child? Will children be born with the help of IVF will be barren in the future? It is impossible to get pregnant on the first attempt to get pregnant? The leading programs “Secrets of Health” will tell you what of this is true and what is myth. 16+True or MIFPRI of IVF can you choose the sex of a child? 01: 50 PROBLESS AND ANENIDIDS are inherited? Frequent sore throats can be treated with ice cream? Removing adenoid can worsen the situation? The leading programs “Secrets of Health” will answer these questions in the section “Truth or Myth” .16+True or myth -frequency tonsillitis can be treated with ice cream? 01: 31: 31 can provoke childbirth? Is epidural anesthesia dangerous for the child? Women can give birth thanks to the natural painkiller and the men would have lost their minds from such pain? The leading programs “Secrets of Health” will tell you what of this is true and what is a common myth. 16+True or does mythepidural anesthesia harm the child? 01: 14 Vaccination causes autism? Does vaccinated people change DNA? And is it really possible to chip people with a vaccine? Watch the Truth or Myth section and you will find out! 16+True or the truth about vaccination02: 29 older parents - all the more smarter their children? Or is every child born of a genius? The leading programs “Secrets of Health” will tell you what of this - true and what is myth. 16+True or the myth of adult parents are born geniuses? 01: 30 True, what does intimate life become worse after the birth of a child? Or is it better? Anna Demidovich and Ekaterina Yuryeva will dispel the established myths about this topic. 16+truth or mythrac and myths about an intimate life after childbirth01: 56u alarming mother will grow alarming children? High anxiety causes physical illness? Ekaterina Yuryeva and Anna Demidovich will tell what facts about the alarm are true and which are not. 16+True or myctrevo content provokes diseases? 01: 55, after birth, it is dangerous to take a bath? Does the postpartum bandage help to remove the stomach? The leading programs “Secrets of Health” will answer these and other questions about the recovery period after giving birth. 16+Truth or the MIFMIFs about restoration after childbirth03: 00ka do you think really children always look like dad when they are born? Scientists even conducted research to find out if it really is. See our Truth or Myth heading and everything will learn. 16+True or Mifvs, children at birth are similar to dad? 01: 13 is it possible to observe a strict diet during breastfeeding? Do nursing mothers need to drink tea with milk? Does the type of nutrition of immunity affect? ​​16+True or the mixture of the mixture reduces immunity? Tasty with Laysanolivia from Natalia Medveredvedevy -bodies and salty buckwheat porridge from Mikhail Polis -Blabacular caviar from the faith of a centurion with cabbage and egg from Vlad Kadonisharlot with Sasha Shankararyba in Marino from Anna Shatilovoslovosliyliyl. fuck Languages ​​from Pavel Artemyevasalat with Brynza from Daria Dontsovodets cookies from Julia Kovalton pancakes with a confiture of berries from Pavel Volivareniki with cherries from the winner of the TV-3 contest of the Olga Karshokroshka on Kvas from Alena Apino-owned cheesecakes from Ekaterina Volova-Belowns from Katya Lelborsh. According to the recipe of grandmother Ksenia From Vasilisa Volodinoomlet in the way, in the way from Dmitry Gubernyevaural shanges from Svetlana Permyakova borsch from Tatyana Kotovoyokotlets with potato puree from Zhenya Medvedevedevo Kutzes with a beetroot salad from Alla, an overshuminal cake from Gluc'yziyat from Elena Khangikaraim pies from Natasha Gasanikhanovanovano you with sauerkraut with hope of Angarmacarone along -Flotes from Davydom, dumplings from the migralyakasting, in a casting in the social quiz “more expensive than money” with Anna Hilkevich and get a chance to help a loved one. Type of money not only appearance, but also fate an incredible story about the air projects in the air of the last hero. Stay family! Mom will be guessed by Taxikadoni Showdorozhni Moneynoye day for ghosts for ghosts with liaisanchoric news with Vasilisa Volodino -Secks of health, healthy -washing -waist -like confessions, fateful History History, exile -based reference texture -stupor -contact -ore advertising advertisements in Moscow and Cities of Russia Sponsor and Sponsorship Projects-3 DigitalPress Service of the Copyright Rights of Authority TV-3K-Kontaktederal Advertising in Moscow and the cities of Russia. and sponsorship projects-3 DigitalPress services of copyright rights of copyright rights TV-3 official website of the TV-3 channel (LLC TV Channel TV3) 129090 Moscow Olympic Ave. 14 (495) 937 40 39 E-mail: Info@TV3 .ru Privacy Politics Policy of Privacy</v>
      </c>
    </row>
    <row r="779">
      <c r="A779" s="1" t="s">
        <v>2487</v>
      </c>
      <c r="B779" s="1" t="s">
        <v>2571</v>
      </c>
      <c r="C779" s="1" t="s">
        <v>2489</v>
      </c>
      <c r="D779" s="1">
        <v>4.0</v>
      </c>
      <c r="E779" s="4" t="s">
        <v>2572</v>
      </c>
      <c r="F779" s="1" t="s">
        <v>43</v>
      </c>
      <c r="G779" s="1" t="s">
        <v>336</v>
      </c>
      <c r="H779" s="4" t="s">
        <v>2491</v>
      </c>
      <c r="I779" s="2">
        <v>1.0</v>
      </c>
      <c r="J779" s="5" t="str">
        <f>IFERROR(__xludf.DUMMYFUNCTION("GOOGLETRANSLATE(A779)"),"Program Guide")</f>
        <v>Program Guide</v>
      </c>
      <c r="K779" s="6" t="str">
        <f>IFERROR(__xludf.DUMMYFUNCTION("GOOGLETRANSLATE(B779)"),"TV program in Moscow - Yandex.Toleprogram")</f>
        <v>TV program in Moscow - Yandex.Toleprogram</v>
      </c>
      <c r="L779" s="5" t="str">
        <f>IFERROR(__xludf.DUMMYFUNCTION("GOOGLETRANSLATE(C779)"),"Program program in Moscow. Films, TV shows, sports, children. Basic. All channels selected, on topics, basic, films and series, cognitive, sport ...")</f>
        <v>Program program in Moscow. Films, TV shows, sports, children. Basic. All channels selected, on topics, basic, films and series, cognitive, sport ...</v>
      </c>
      <c r="M779" s="5" t="str">
        <f>IFERROR(__xludf.DUMMYFUNCTION("GOOGLETRANSLATE(G779)"),"Oh!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780">
      <c r="A780" s="1" t="s">
        <v>2487</v>
      </c>
      <c r="B780" s="1" t="s">
        <v>2573</v>
      </c>
      <c r="C780" s="1" t="s">
        <v>2522</v>
      </c>
      <c r="D780" s="1">
        <v>8.0</v>
      </c>
      <c r="E780" s="4" t="s">
        <v>2523</v>
      </c>
      <c r="F780" s="1" t="s">
        <v>43</v>
      </c>
      <c r="I780" s="2">
        <v>2.0</v>
      </c>
      <c r="J780" s="5" t="str">
        <f>IFERROR(__xludf.DUMMYFUNCTION("GOOGLETRANSLATE(A780)"),"Program Guide")</f>
        <v>Program Guide</v>
      </c>
      <c r="K780" s="6" t="str">
        <f>IFERROR(__xludf.DUMMYFUNCTION("GOOGLETRANSLATE(B780)"),"TV program of programs for today and tomorrow ...")</f>
        <v>TV program of programs for today and tomorrow ...</v>
      </c>
      <c r="L780" s="5" t="str">
        <f>IFERROR(__xludf.DUMMYFUNCTION("GOOGLETRANSLATE(C780)"),"The TV program for a week, for today, a television program now. Local and satellite television channels - all channels. TV show archive.")</f>
        <v>The TV program for a week, for today, a television program now. Local and satellite television channels - all channels. TV show archive.</v>
      </c>
      <c r="M780" s="5" t="str">
        <f>IFERROR(__xludf.DUMMYFUNCTION("GOOGLETRANSLATE(G780)"),"#VALUE!")</f>
        <v>#VALUE!</v>
      </c>
    </row>
    <row r="781">
      <c r="A781" s="1" t="s">
        <v>2487</v>
      </c>
      <c r="B781" s="1" t="s">
        <v>2574</v>
      </c>
      <c r="C781" s="1" t="s">
        <v>2575</v>
      </c>
      <c r="D781" s="1">
        <v>9.0</v>
      </c>
      <c r="E781" s="4" t="s">
        <v>2576</v>
      </c>
      <c r="F781" s="1" t="s">
        <v>43</v>
      </c>
      <c r="G781" s="1" t="s">
        <v>2577</v>
      </c>
      <c r="H781" s="4" t="s">
        <v>2578</v>
      </c>
      <c r="I781" s="2">
        <v>1.0</v>
      </c>
      <c r="J781" s="5" t="str">
        <f>IFERROR(__xludf.DUMMYFUNCTION("GOOGLETRANSLATE(A781)"),"Program Guide")</f>
        <v>Program Guide</v>
      </c>
      <c r="K781" s="6" t="str">
        <f>IFERROR(__xludf.DUMMYFUNCTION("GOOGLETRANSLATE(B781)"),"The program of transmission TV channels for today")</f>
        <v>The program of transmission TV channels for today</v>
      </c>
      <c r="L781" s="5" t="str">
        <f>IFERROR(__xludf.DUMMYFUNCTION("GOOGLETRANSLATE(C781)"),"The most complete program of the programs are all channels of Belarus for today. Actual TV program What to see today, schedule and television names ...")</f>
        <v>The most complete program of the programs are all channels of Belarus for today. Actual TV program What to see today, schedule and television names ...</v>
      </c>
      <c r="M781" s="5" t="str">
        <f>IFERROR(__xludf.DUMMYFUNCTION("GOOGLETRANSLATE(G781)"),"Program program for all channels. TV program of Belarus. Television program of the Paragram of the Union -Kububsetaselskaya Gazetasel newspaper Yoostasetznavornal Maintenance Gazeta Gazeta minse Minsk Times to consumer cooperation - trends Publishing Hous"&amp;"e Cracaders of Mermsidiakitiaklam for alpha radioclamic radioclamic projects We are Belarusiproekt 25.Byne -based village of Derenibelarus Remembering the Presidential Control of Presidential Presidential and Reverse Krain.bysapraly Kashto -Nasitelarus Un"&amp;"ited Idemajageria Belarusian angeline -real Genocid Earth Belarusian lights subscriptions subscriptions subscriptions subscription Twokhokurks Author 18+menu × auto-ruble political consignment of economics and economics and colones of the Miretelenegspilk"&amp;"i#pronotumzmosmozdovyedovyvkino in the Chinamosaic of the life of the life of the Telfa Radio-Tall-Program of the East-Kubelarus today's Gazetaselskaya Gazetaseli Yuno-Rughurnal Special Authority Specials Soyuzsoyuznaya Minte Minsk Times, the newspaper of"&amp;" consumer cooperations - the development of the Puting Housekeepers of the Mermsitiakitreklam in the newsphemeraklama for alpha for alpha Radioraklamic -projection Partisans Belarusiproekt 25.Bynieglars are remembered by the Presidential Control President"&amp;"ial Alevers and Reverse Kraina.bysapraly Kashtoranaszіbelarus single -innemeznanka rebugeria Belarusian angels of the Belorous Earth Belorussian fireprojects Twapartizans Belarusiproject 25.BYURY DISTRULARUS Remembering my relatives SKA Honor of good reas"&amp;"on in the focus of SB.Byna focus Control Presidential Control of the Presidential Middle for Alfa Radio Tupleratory Campaign - 2023 Neuromic project ""Strategy"" Donbass. A special reporting of the president - 2023economics and enterprises were set up for"&amp;" a rhodium operation in Ukraine of Protective Extremiyzmuzmuizmuzmuizmuzdaniyazmuzdaniyazmuzdaniyazmizhmuzmoyalruse todayarespub -Kamali newspaper newspaper Zhostannalzhurnal of the Soyuzsoyuznaya Premoperation Times Veransk -Operations Service - Televisi"&amp;"on and Purchase EUR: 3.4 Search for today TALKANE TOMPLANA TOMENTED CANEVALS All Canalkino and Serial -Sports Conscious of the City Council of Surveying Information Information programs for November 12, MN31 WT01 CPE02 Thu03 PT04 SB05 BC06 Mon08 CP09 Chi "&amp;"Erangcartoon Networkda Vinci Learningdisovery Channeldiscopery Scienceeuropa Plus Tveurosport 2EXTREME SPORTSFOXFOX LIFEGLLI GIRLHISTORYNENA Al Geographic Channelnickelodeonparamount ComedySony Scisony TV HDTijitravel Channeltravel+Adventuretv XXITV1000 A"&amp;"ctionTV1000 Russian KinoViasat Historyviasat Natureviasat SP Ortvip Comedyvip Megahitvip Premieraze-TVAVO24 BELARUS 4 (Brest) Belarus 4 (Vitebsk) Belarus 4 (Grodno) Belarus 4 (Mogilev) Belbelfelmuzvbelosbug-TV Brietnettestsky Mirdom Kinodoma -Dom -Divorok"&amp;"inozhorailuzion +Indian filmcarcinomediakinopremier HDKINOVIDANIKINEKINOKINOKINOCHITICHITICUTIICHICHANYA TSMARMALAMIA Planetamuzhsky Kino -Multimultimultimanakanash Favorite Favorite Kinoinash New Kinoinash New Kinoinash New Kinoinash Eokhota and fishing "&amp;"first city Gomelpertsy Internationalpsychology 21 Fighting! Joy of Mereyaretro Filory Film Illusional Extrimsarafanskif Vitebsk-EVERY OF THE Secret Union-3 (Belarus) television channel 2x2 Techno 24TERNATIONAL (Belarus) Baurica HD-Yasnaya TV News and Arti"&amp;"cles © Belarus today 1998-2023. All Belarus Publishing House Publishing House ""Belarus Today"" Citizenship of Citizens and Swearing Services Subscribers Advertising Saitsb. The trends of the Belarusian-based village of Remnitstyanita Kashto-Kashtolyska o"&amp;"f the Great Divigeria Belarusive Fires SB.byelectron Museum of the rural newspaper project 25.BYCOTARCES NOT ANITY ANITY ANITY ANTISTICAL ANGLISTY EASTRALS Belorussian Belorussian-Belorum Trouble-Migration Activities of Lottery-Bleanovoyes Companies of th"&amp;"e Assembly Games Counseline recipes subscription to the newsletter:")</f>
        <v>Program program for all channels. TV program of Belarus. Television program of the Paragram of the Union -Kububsetaselskaya Gazetasel newspaper Yoostasetznavornal Maintenance Gazeta Gazeta minse Minsk Times to consumer cooperation - trends Publishing House Cracaders of Mermsidiakitiaklam for alpha radioclamic radioclamic projects We are Belarusiproekt 25.Byne -based village of Derenibelarus Remembering the Presidential Control of Presidential Presidential and Reverse Krain.bysapraly Kashto -Nasitelarus United Idemajageria Belarusian angeline -real Genocid Earth Belarusian lights subscriptions subscriptions subscriptions subscription Twokhokurks Author 18+menu × auto-ruble political consignment of economics and economics and colones of the Miretelenegspilki#pronotumzmosmozdovyedovyvkino in the Chinamosaic of the life of the life of the Telfa Radio-Tall-Program of the East-Kubelarus today's Gazetaselskaya Gazetaseli Yuno-Rughurnal Special Authority Specials Soyuzsoyuznaya Minte Minsk Times, the newspaper of consumer cooperations - the development of the Puting Housekeepers of the Mermsitiakitreklam in the newsphemeraklama for alpha for alpha Radioraklamic -projection Partisans Belarusiproekt 25.Bynieglars are remembered by the Presidential Control Presidential Alevers and Reverse Kraina.bysapraly Kashtoranaszіbelarus single -innemeznanka rebugeria Belarusian angels of the Belorous Earth Belorussian fireprojects Twapartizans Belarusiproject 25.BYURY DISTRULARUS Remembering my relatives SKA Honor of good reason in the focus of SB.Byna focus Control Presidential Control of the Presidential Middle for Alfa Radio Tupleratory Campaign - 2023 Neuromic project "Strategy" Donbass. A special reporting of the president - 2023economics and enterprises were set up for a rhodium operation in Ukraine of Protective Extremiyzmuzmuizmuzmuizmuzdaniyazmuzdaniyazmuzdaniyazmizhmuzmoyalruse todayarespub -Kamali newspaper newspaper Zhostannalzhurnal of the Soyuzsoyuznaya Premoperation Times Veransk -Operations Service - Television and Purchase EUR: 3.4 Search for today TALKANE TOMPLANA TOMENTED CANEVALS All Canalkino and Serial -Sports Conscious of the City Council of Surveying Information Information programs for November 12, MN31 WT01 CPE02 Thu03 PT04 SB05 BC06 Mon08 CP09 Chi Erangcartoon Networkda Vinci Learningdisovery Channeldiscopery Scienceeuropa Plus Tveurosport 2EXTREME SPORTSFOXFOX LIFEGLLI GIRLHISTORYNENA Al Geographic Channelnickelodeonparamount ComedySony Scisony TV HDTijitravel Channeltravel+Adventuretv XXITV1000 ActionTV1000 Russian KinoViasat Historyviasat Natureviasat SP Ortvip Comedyvip Megahitvip Premieraze-TVAVO24 BELARUS 4 (Brest) Belarus 4 (Vitebsk) Belarus 4 (Grodno) Belarus 4 (Mogilev) Belbelfelmuzvbelosbug-TV Brietnettestsky Mirdom Kinodoma -Dom -Divorokinozhorailuzion +Indian filmcarcinomediakinopremier HDKINOVIDANIKINEKINOKINOKINOCHITICHITICUTIICHICHANYA TSMARMALAMIA Planetamuzhsky Kino -Multimultimultimanakanash Favorite Favorite Kinoinash New Kinoinash New Kinoinash New Kinoinash Eokhota and fishing first city Gomelpertsy Internationalpsychology 21 Fighting! Joy of Mereyaretro Filory Film Illusional Extrimsarafanskif Vitebsk-EVERY OF THE Secret Union-3 (Belarus) television channel 2x2 Techno 24TERNATIONAL (Belarus) Baurica HD-Yasnaya TV News and Articles © Belarus today 1998-2023. All Belarus Publishing House Publishing House "Belarus Today" Citizenship of Citizens and Swearing Services Subscribers Advertising Saitsb. The trends of the Belarusian-based village of Remnitstyanita Kashto-Kashtolyska of the Great Divigeria Belarusive Fires SB.byelectron Museum of the rural newspaper project 25.BYCOTARCES NOT ANITY ANITY ANITY ANTISTICAL ANGLISTY EASTRALS Belorussian Belorussian-Belorum Trouble-Migration Activities of Lottery-Bleanovoyes Companies of the Assembly Games Counseline recipes subscription to the newsletter:</v>
      </c>
    </row>
    <row r="782">
      <c r="A782" s="1" t="s">
        <v>2487</v>
      </c>
      <c r="B782" s="1" t="s">
        <v>2579</v>
      </c>
      <c r="C782" s="1" t="s">
        <v>2580</v>
      </c>
      <c r="D782" s="1">
        <v>11.0</v>
      </c>
      <c r="E782" s="4" t="s">
        <v>2581</v>
      </c>
      <c r="F782" s="1" t="s">
        <v>43</v>
      </c>
      <c r="G782" s="1" t="s">
        <v>2582</v>
      </c>
      <c r="H782" s="4" t="s">
        <v>2583</v>
      </c>
      <c r="I782" s="2">
        <v>2.0</v>
      </c>
      <c r="J782" s="5" t="str">
        <f>IFERROR(__xludf.DUMMYFUNCTION("GOOGLETRANSLATE(A782)"),"Program Guide")</f>
        <v>Program Guide</v>
      </c>
      <c r="K782" s="6" t="str">
        <f>IFERROR(__xludf.DUMMYFUNCTION("GOOGLETRANSLATE(B782)"),"Program program for TNT, REN TV, rain")</f>
        <v>Program program for TNT, REN TV, rain</v>
      </c>
      <c r="L782" s="5" t="str">
        <f>IFERROR(__xludf.DUMMYFUNCTION("GOOGLETRANSLATE(C782)"),"A television program of all popular television channels for today and tomorrow, a program for a week. Films, TV shows, sports, news.")</f>
        <v>A television program of all popular television channels for today and tomorrow, a program for a week. Films, TV shows, sports, news.</v>
      </c>
      <c r="M782" s="5" t="str">
        <f>IFERROR(__xludf.DUMMYFUNCTION("GOOGLETRANSLATE(G782)"),"Kartina TV Canada is the best video service of the CIS and Israeli.kartina TV 1-844-477-8788 Increferial program Russian Russianenglishkartina tvelvodeniyevodeniye programs of the transmission of the company Wizard-appraiser Vosvodtaktovtate the speed of "&amp;"the sales stores referral program to enter the referral program to enter write more than 280 channels from Russia and the CIS countries Repeat of missed programs in the archive See at different Devices of more than 30,000 films and TV shows connect now! 3"&amp;" days free -paying access! Want to know how our service works? You have the opportunity to use free access. When creating your acount on kartina.tv, you get 3 days of free viewing. Activate with friends with friends with friends with friends so that they "&amp;"get a discount and you are a bonus up to $ 50 on your balance. The more friends the more bonuses! Save together with the friends, the site we will watch a brief video review of our service for better perception and familiarization with our services. In th"&amp;"is video, we show how to use the prefix and applications. Enjoy viewing. Watching a receiving card of TV - the best gift to a loved one. Give 1 6 or 12 months of service. Your gift will be evaluated. Impurity TV - the best way to watch televisionkartina T"&amp;"V is ideal for Russian -speaking viewers living abroad. There is no need to install a satellite plate or connect cable television-it is enough to have an Internet access at home. Know more than the Internet-Tramogram of the Transcalglit ClientsTerms OF US"&amp;"E AGREENTPRIVAD POLICYSCRIPRIPRIPIPIPE POLIPENTERNAREMENTERNARYARENTERS Services of the PACBABLISTARY Services of classmates Face OOK VKontakte Twitter Instagram YouTube © Rusmedia Consulting Incoming anywhere in the world")</f>
        <v>Kartina TV Canada is the best video service of the CIS and Israeli.kartina TV 1-844-477-8788 Increferial program Russian Russianenglishkartina tvelvodeniyevodeniye programs of the transmission of the company Wizard-appraiser Vosvodtaktovtate the speed of the sales stores referral program to enter the referral program to enter write more than 280 channels from Russia and the CIS countries Repeat of missed programs in the archive See at different Devices of more than 30,000 films and TV shows connect now! 3 days free -paying access! Want to know how our service works? You have the opportunity to use free access. When creating your acount on kartina.tv, you get 3 days of free viewing. Activate with friends with friends with friends with friends so that they get a discount and you are a bonus up to $ 50 on your balance. The more friends the more bonuses! Save together with the friends, the site we will watch a brief video review of our service for better perception and familiarization with our services. In this video, we show how to use the prefix and applications. Enjoy viewing. Watching a receiving card of TV - the best gift to a loved one. Give 1 6 or 12 months of service. Your gift will be evaluated. Impurity TV - the best way to watch televisionkartina TV is ideal for Russian -speaking viewers living abroad. There is no need to install a satellite plate or connect cable television-it is enough to have an Internet access at home. Know more than the Internet-Tramogram of the Transcalglit ClientsTerms OF USE AGREENTPRIVAD POLICYSCRIPRIPRIPIPIPE POLIPENTERNAREMENTERNARYARENTERS Services of the PACBABLISTARY Services of classmates Face OOK VKontakte Twitter Instagram YouTube © Rusmedia Consulting Incoming anywhere in the world</v>
      </c>
    </row>
    <row r="783">
      <c r="A783" s="1" t="s">
        <v>2487</v>
      </c>
      <c r="B783" s="1" t="s">
        <v>2584</v>
      </c>
      <c r="C783" s="1" t="s">
        <v>2585</v>
      </c>
      <c r="D783" s="1">
        <v>16.0</v>
      </c>
      <c r="E783" s="4" t="s">
        <v>2548</v>
      </c>
      <c r="F783" s="1" t="s">
        <v>43</v>
      </c>
      <c r="G783" s="1" t="s">
        <v>2509</v>
      </c>
      <c r="H783" s="4" t="s">
        <v>2510</v>
      </c>
      <c r="I783" s="2">
        <v>1.0</v>
      </c>
      <c r="J783" s="5" t="str">
        <f>IFERROR(__xludf.DUMMYFUNCTION("GOOGLETRANSLATE(A783)"),"Program Guide")</f>
        <v>Program Guide</v>
      </c>
      <c r="K783" s="6" t="str">
        <f>IFERROR(__xludf.DUMMYFUNCTION("GOOGLETRANSLATE(B783)"),"The television program for today is Yekaterinburg your city ...")</f>
        <v>The television program for today is Yekaterinburg your city ...</v>
      </c>
      <c r="L783" s="5" t="str">
        <f>IFERROR(__xludf.DUMMYFUNCTION("GOOGLETRANSLATE(C783)"),"... program 112 16+. 16: 30 News 16+. 17: 00 main secrets of the world 16+. 18: 00 main secrets of the world 16+. 19: 00information program 112 16+. 19: 30 News 16+. 20: ...")</f>
        <v>... program 112 16+. 16: 30 News 16+. 17: 00 main secrets of the world 16+. 18: 00 main secrets of the world 16+. 19: 00information program 112 16+. 19: 30 News 16+. 20: ...</v>
      </c>
      <c r="M783" s="5" t="str">
        <f>IFERROR(__xludf.DUMMYFUNCTION("GOOGLETRANSLATE(G783)"),"The program program in Moscow: for today for tomorrow for a week - a TV program Starhitvash Browser is outdated, therefore, the site can not be displayed incorrectly. Update your browser to increase the level of speed and comfort of using this site. Updat"&amp;"e the television program of television programs of the star -stellarmogram monk for today - Moskvasesey) 13W 14CH 14CH 16PT 17PT 17SB 18 Seriylyno -Sports of Sports of Loading ... The first05: 10 Podkasta. Lab 16+06: 10 Poddokast. Lab 16+06: 55 playing ha"&amp;"rmonies beloved! 12+07: 40 hours 12+08: 10 Sosdorovy 16+09: 20 ""Dreamalon"". National Lottery 12+09: 40 ""Non -pulp notes"" with Dmitry Krylov 12+10: 00 nobility (with subtitles) 10: 15 Prime Minister. ""Life"" 12+11: 05 premiere. ""Cooks on wheels"" 12+"&amp;"12: 00 nobility (with subtitles) 12: 15 Video? 0+13: 45 Son Son 12+16: 25 ""Hot ice"". Figure skating. Grand Prix of Russia-2023. Arbitrary P ... 18: 00 -haired news (with subtitles) 19: 00 Prime Minister. ""Dispers of Star"" 12+21: 00 time 23: 00zhanna 1"&amp;"6+00: 50 podkasta.mam 16+01: 35 podkasta. Lab 16+02: 20 podkasta. Lab 16+03: 10 podkast. Lab 16+04: 00 podkast. Lab 16+04+04 : 57 Test in broadcasting The whole program Russia 106: 09 Test in broadcasting 06: 10all in search of Alla 12+08: 00. Sunday 08: "&amp;"35th. All houses with Timur Kizyakov 09: 25 -month mail with Nikolai Baskov 10: 10 Sto to one 11: 00 Voro 12: 00 Changes 13: 00hrustic happiness 12+17: 00 -owned 17: 50 Pesnya with all my heart 12+20: 00 Wing 22: 00 Below 22 weeks : 00moskva. Kremlin. Put"&amp;"in 22: 40 -Waste evening with Vladimir Solovyov 12+01: 30alla in search of Alla 12+03: 13 Test in broadcasting the whole program match! 06: 00 ridiculous martial arts. UFC. Direct broadcast from the United States 09: 00 News 09: 05vs for the match! 10: 00"&amp;" Liga Heroes 12+11: 05 Op inhalation 12+13: 15VS for the match! 13: 50 Novosti 13: 55 -volume in the snow. Russian championship. The final. Direct broadcast from Novo ... 16: 00vs for the match! 16: 25 Basketball. Unified VTB League. Direct broadcast 18: "&amp;"30VS for the match! 19: 00 -football. The world is Russian Premier League. Direct broadcast 21:30 ""After football"" with George Cherdantsev 22: 40 football. Italian championship. Direct broadcast 00: 45 football. Brazil championship. Direct broadcast 02:"&amp;" 30 mixed martial arts. UFC. Broadcast from the United States 16+04: 00 nobility 0+04: 05 football. German Championship 6+the entire NTV05 program: 40wells of broken lamps-13 16+06: 35-central television 16+08: 00 this day 08: 20 I win us! 12+10: 00 thous"&amp;"and: 20 first program 16+11: 00 Chudo technology 12+11: 55 -day answer 0+13: 00nashpotrebnadzor 16+14: 05: 16+15: 00svoi game 0+16: 00 thousand 16: 20 people in the right With Andrei Kunitsyn 16+17: 00 The investigation was carried out ... 16+19: 00 “Resu"&amp;"lts of the week” with Irada Zeynalova 20: 20orginal musical “Show Avatar” 12+23: 20 STARS FRIEND 16+00: 55KVARIC NTV at Margulis 16+02: 50 Subters and shadow of the beacon 16+03: 25 Subters and shadow of the lighthouse 16+04: 00svet and shadow of the ligh"&amp;"thouse 16+04: 49 Practice in broadcasting 04: 50 Ulits of broken lamps-13 16+The entire program fifth channel05: 00mash and bear 0+05: 10 Prosecutor’s check 16+06: 05 prosecutor's inspection 16+06: 55 NOVARY 16+07: 45 NOVARY 16+08: 40 NOT 4+09: 30 REMOVER"&amp;" 16+10: 25 NOVARY 16+11: 20 NEW 16+12: 15 REMOVARY 16+13: 10 NEVER 16+14: 14: 14: 14: 14: 14: 14: 10 -standing 16+15: 05 LEARTH 16+15: 55 LEARTH 16+16: 45 LEARTH 16+17: 40NASH Special Forces 12+18: 40Nash Special Forces 12+19: 35NASH Special Forces 12+20:"&amp;" 25 Nash Special Forces 12+21: 20 Nash Special Forces 12+22: 22: 22: 22: 22: 15 Nash Special Forces 12+23: 10 Philine 16+00: 05Filin 16+00: 55 Tyghaya hunt 16+01: 45 Tyghaya hunt 16+02: 30 Tyhay hunt 16+03: 15 Tyhay hunt 16+03: 55 Perseles 16+04: 40 Perse"&amp;"les 16+The whole program+The whole program Home06: 30 effect of Matrona 16+06: 40 Work and Driving 16+10: 15 for 15 minutes 16+10: 30 Non -high forgiveness 16+14: 45 Ty in my heart 16+19: 00 Yar. Flame 16+22: 45th Domas Doctor 16+23 : 00 family portrait 1"&amp;"6+02: 25 effect of Matrona 16+TNT05: 30 INSTRUCTION 16+05: 45 -courine race 6+07: 00th day in Russia. Special Dagages 2023 16+08: 00 item in Russia. Special Dagestes 2023 16+09: 00 picniki 16+09: 30 Bitts of picnics 16+10: 00ecostasens. Battle of the stro"&amp;"ngest 16+10: 30 Extranses. Battle of the strongest 16+11: 00ecstrasens. Battle of the strongest 16+13: 30 Extranses. Battle of the strongest 16+16: 00ecstrasens. The battle of the strongest 16+18: 30NOTA stars in Africa 16+21: 00 Liga cities 16+23: 00 shu"&amp;"ttle will 16+00: 10 Yarsche stars 16+01: 40 I do not believe you 16+02: 30, I do not believe you 16+03: 15MOMODICIZATION. Teams. Digest 16+04: 00Movision. Teams. Digest 16+04: 50 ""Studio"" Soyuz ""16+the Mir05 program: 00multfilms 6+06: 35 I capabilities"&amp;" 12+07: 00 Scab about how King Pyotr Arapa married 16+09: 00 a birthday in the USSR 16+09: 30 Fazendalife 6+ 10: 00 Novosti 10: 10: 10+11: 40 Legs about a circle 16+15: 20 Luminous Varvara-3 16+16: 00 News 16: 15 Luminous Varvara-3 16+18: 30 Varvara Barba"&amp;"ra-3 16+00: 00 Varvas. 16+01: 00 Scab about how Tsar Peter Arapa married 16+02: 40 Hands of life 16+04: 20 multfilms 6+the entire program STS05: 056 frames 16+05: 10 multfilms 0+05: 50ralash 16+06: 00ralash 0+07: 00 ""Hotel"" at the sheep ""0+07: 30 Ural "&amp;"dumplings 16+09: 00rogs in the case 16+10: 00 Ural dumplings 16+10: 30 Ural craftsmen 16+10: 55ural dumplings 16+11: 20mam will be against 16+14: 00 -sized The period is 0+15: 35 Valnic period-2. Global warming 0+17: 20 Valnic period-3. The era of dinosau"&amp;"rs 0+19: 15 Valnic period-4. Continental drift 0+21: 00 Titanic 16+01: 00schef Adam Jones 18+02: 45-Stew-Fede 16+The entire program TV Center05: 20 Nazad in the USSR 16+06: 05 order 16+07: 25 HEARTS SAMITY 16+07: 50 FLASIC-4 12+08: 0 : 00 expensive comrad"&amp;"es. Sunny Secretary General 16+15: 55rs secrets. In bed with a spy 16+16: 40 Lessidenesh 16+17: 35 Lyadenesh 16+18: 50 Shahmati queen 16+19: 40 School queen 16+20: 40 School queen 16+21: 35 School queen 16+22+22: 40 millionaire 12+23: 25 Millionaires 12+ "&amp;"12+ 00: 25 Hollow 6+00: 40 millionaire 12+01: 25 millionaire 12+02: 20 Petrovka 38. Special Saturday production 16+02: 30 from Siberia with love! 12+03: 10 from Siberia with love! 12+03: 50 from Siberia with love! 12+04: 30 from Siberia with love! 12+The "&amp;"entire program public television of Russia06: 00 Clubs 12+07: 20 Dialogs without makeup 12+07: 35ot rights to capabilities 12+07: 50th country 12+08: 45 Tsepapra and crane 0+09: 00vso in an adult 09: 45 calendar 12+ 10: 10 NEW DRISION OF THE COMPLEMENT wi"&amp;"th Maryana Lysenko 12+11: 05th story 12+11: 50 News 11: 55kino at all times 12+12: 50 golden collection of non -aggregate cinema. Russia XX Century 16+13: 00VZHZHING FOR FIRST 12+13: 15 Special project OTP ""Designers of the Future"" 12+13: 30 Grand Count"&amp;"ry 12+14: 30 Calendar 12+15: 00 Nobo 15: 05Saure sea path 12+15: 35Gala-concert of the festival ""In the name of life"" dedicated to the work of Alex ... 12+16: 30svet and shadow 16+17: 00 aukograd 12+17: 25 shelling in the back 12+19: 00 nobody 19: 05 cl"&amp;"ub of the main editors with Pavel Gusev 12+19: 45th length in the length in Life 16+21: 20 Taxi-Blub 16+23: 05 Gunda 6+00: 35 Party and grandfathers 12+01: 55franz 16+03: 45 Tyu yes I am 16+04: 15 Batry-peasants 12+The whole program culture06: 30multfilms"&amp;" 07: 30 Porus 07: 50 PODIRUS 08: 10 POPIC 08: 30 PODIRUS 08: 50 POMIRU 09: 10 POMIS 09: 30 DEALOVs of animals 10: 15USTRADE MARFINO. Soviet Hollywood 10: 55 Legends of world cinema 11: 20 Personal Tours 12: 30 Like Routes of Russia 13: 10 -evsky Ark. Theo"&amp;"ry of the impossible 13:40 “Game of Beads” with Igor Volgin 14: 25 Collection 14: 55 Chudo in Milan 16: 30 Cartin of the world with Mikhail Kovalchuk 17: 10 first in the world 17: 30 Life 18: 20 Dinara Aliyev. The romances of N. Rimsky-Korsakov P. Tchaiko"&amp;"vsky and S. Rach ... 19: 30th culture 19: 45th culture with Vladislav Flyarkovsky 20: 25kin-dza-dza! 22: 35 films-ballet ""Twelfth night or whatever"" 23: 55 Poreal tour 01: 05 Diagles about animals 01: 45 players 02:30 ""Robbery on ... 2"". ""Magnificent"&amp;" Gosha"" 03: 00 Test in broadcasting the entire TV-305: 15Multfilms 0+06: 00 multfilms 0+07: 45 Secrets of Health 16+08: 00vkosno with Lyaysan 16+08: 30noy day 12+09: 00 Money 16+10: 10: 10+10: 00 athrome news with Vasilisa Volodina 16+10: 30 Lestum Hero "&amp;"16+11: 45, 45, 45 Lavernik 16+13: 45 Lavernik 16+14: 45 Lavernik 16+15: 45, 45, 16+16: 45 Lavernik 16+17: 45 Lavernik 16+18+18: 45 Zheleznik 16+20: 00 Lavernik 16+21: 00 zeroil 16+22: 00 zeroil 16+23: 00urdik 16+00: 00 ""Coordinates"" Citadel 16+01: 30 Pr"&amp;"esents 18+03: 00 Test of force 16+03: 30 Test of force 16+ 04: 15 months of force 16+the entire program REN TV05: 00 Schoking hypotheses 16+07: 00s Bodry in the morning! 16+08: 30 News 16+09: 00 School program 16+09: 30 Do you know what? 16+10: 30 Nauka a"&amp;"nd equipment and technology 16+11: 30 Estimated history 16+12: 30 nobility 16+13: 00 a dragon of the dragon 16+14: 55 Besterny 16+17: 00 Serds from steel 16+19: 05 APGRAD 16+21: 00 Hooper on monsters 16+23: 00atically program with Petr Marchenko 16+23: 55"&amp;" Schoking hypotheses 16+The whole program of the star05: 30 knew only in the face of 12+07: 10 Waiting for Colonel Shalygin 12+09: 00 ""News of the Week"" with Yuri Podkopaev 16+09: 25 I will serve Russia 12+09: 55 Water acceptance 12 +10: 40 “Hidden thre"&amp;"ats” with Nikolai Chindyaykin 16+11: 30 core access 12+12: 20 “Army Legends” with Alexander Marshal 12+13: 10 S special report 16+13: 50 Speaking assignment 16+16: 05 Vorchaznit at dawn 16+ 18:00 ""Main"" with Olga Belova 16+19: 45 Legends of the Sovetsky"&amp;" Investigation 16+23: 00fetis 12+23: 50 people of Donbass 16+00: 10 sergeant of police 12+03: 50 Speaking assignment 16+The whole program Savior TV05: 00 Gospel out loud 0+ 06: 15 Washing of the Holy Monastery 0+06: 50 in the search for God 6+07: 20 Profe"&amp;"ssor Osipov 0+07: 55 Subtarius of Russia 6+09: 00 Wrong miracles 12+10: 00 -only liturgy 0+12: 45 zavet 6+13: 50 Russian world 12+15+15 : 00-leggy is looking for a father 0+16: 55 Denelve 16+17: 25-wing 12+18: 00 ""Main"" with Anna Safran 16+20: 05 dawn 1"&amp;"6+21: 50 Biology of betrayal 12+23: 00 Beson 18+00: 10 STIMS 16 +01: 30th Patriarch 0+01: 45 ""Main"" with Anna Sharfran 16+03: 30 ""Traces of the Empire"" with Arkady Mammontov 12+The entire program Friday05: 00 Fuck News 16+05: 25 Takes of Honey Valley "&amp;"12+05: 30 Tales Hedica Valley 12+05: 35 tenders of the honey valley 12+05: 45 Prostokvashino 12+05: 50 Prostokvashino 12+06: 00 fucker News 16+06: 20 Prostokvashino 0+06: 25 Prostokvashino 0+06: 35 Prostokvashino 0+06: 40 Prostokvashino 0+06: 50 cup Eudo "&amp;"6+08: 20 WHOLLOGRANT Startups 16+09: 00Trevel-Battl 16+10: 00 Plant move 16+11: 00 16+13: 00 Bitter of chefs 16+15: 00 Bitter of chefs 16+17: 20 Bitts of chefs 16+19: 30 Bitter of chefs 16+21: 50Ad chef 16+00: 30vo King's name: the history of the siege of"&amp;" the dungeon 16+02: 30 black list 16+03 : 30 black list 16+04: 20 fuckers News 16+04: 50trevel-Battl 16+the entire carousel program05: 00 early birds 0+07: 00s good morning kids! 0+07: 30VIP Pets 6+08: 05 Dracosia 0+09: 00ed with a bang! 0+09: 25 Petronik"&amp;"s 0+10: 00barbooskins 0+11: 00 Beauty 0+11: 20 Tsarevna 0+13: 05 Winx 6+14: 00 ""Hour"" Soyuzmultfilm ""6+15: 00fixiki. Give five! 0+17: 00 Luntik 0+18: 40 Kosheki-horseman 0+20: 30 Copical night kids! 0+20: 45 Ovetel for sheep 0+22: 30 heroes Gudzitsu 6+"&amp;"22: 40 Flip Chenger 6+23: 15Fuzhn Max 6+23: 40ralash 6+00: 30 Bububa 6+01: 30 GRIZLILS AND LEMMINGS 6+02: 30 Draw! 0+02: 55 Derevyes 0+03: 20 laboratorium 0+03: 50noty 0+04: 10 green project 0+04: 30-in-conobert 0+the entire program Yu05: 00mash and a bea"&amp;"r 0+07: 00malyshariki 0+08: 00masha and a bear 0+10: 00-hungry do not look at 16+11: 00bemenna at 16 16+14: 45 Life after show.b16 16+15: 50 Chado from hell 12+22: 00oma- 2. New Life 16+00: 00 aids from the other world 16+01: 55 meters 16+03: 35 Supermam "&amp;"16+The entire program 2x205: 05 Besemmer Cinema 16+05: 25 Fili among strangers 16+05: 35 tourdashev 16+06: 00 Russian cartoons 12+ 12+ 07: 35KAK is built by the Universe 16+08: 35 News 2x2 16+08: 40 spokesmans 2x2 16+09: 05 Discover myths 16+09: 55 sized "&amp;"in Japan. Unrealistic show 16+10: 25 Strim 16+10: 55 Strim 16+11: 20 Strim 16+ 11: 55 Strand 16+12: 20 Strim 16+12: 50stopgame TV 16+13: 50 Slabic Monster 16+14: 15 Slabic Monster 16+14: 40 Slabic Monster 16+15: 15 Slabic Monster 16+15: 40 News 2x2 16+15:"&amp;" 45 Slabic monster 16+16: 05Toples TV 16+17: 10 -family pole 16+17: 35 family pole 16+18: 10 -arranges and cruiser 12+18: 35 -nobo 2x2 16+18: 40 Kontent Content 16+19: 05 inspector 2x2 16+19: 25 Epic Files 16 +19: 35 survival course with Bear Grylls 16+20"&amp;": 30 Simpsons 16+21: 00 Simpsons 16+21: 25 News 2x2 16+21: 30toples TV 16+22: 00 Lugus Bob Square pants 16+22: 30 Lugus Bob Square pants 16+23: 23: 00 Novosti 2x2 16+23: 05 parasitic: the doctrine of life 18+23: 35 Cherynaya Friday 18+01: 20DP 16+01: 45EO"&amp;"N Flax 16+02: 05 IS CITY 18+02: 50 Yuzhnoye Park 18+03: 10JUFF and alien 18+ 03: 35atak Titans 16+03: 55atak titans 16+04: 20ka Universe 16+The whole program Sun05: 00mash and bear 0+06: 55 rinses 0+07: 25 Buba 0+09: 00 Sure dog and turbo cat 6+10: 45egip"&amp;"tus 6+12: 00 Proktokvashino 0+14: 40 Unionsmultfilm 6+16: 40 Mannya 6+18: 25 RIDs. So we live 12+22: 00 Nyanniki 16+23: 40 Dubler 16+01: 10ralash 6+The whole program Saturday! 05: 00mash and bear 0+05: 50 mmash fairy tales 0+06: 00mas and bear 0+06: 20 ma"&amp;"sh fairy tales 0+ 06: 30masha and bear 0+06: 55mashkins horror stories 0+07: 00mash and bear 0+07: 25mashkin horror stories 0+07: 30mash and bear 0+07: 45 mash fairy tale 0+07: 50mash and bear 0+08: 20mashkins of horror stories 0+08: 25machines of fairy t"&amp;"ales 0+08: 40mas and bear 0+09: 00 mash tale 0+09: 10mash and bear 0+09: 40 mmashkens of horror stories 0+09: 50mas and bear 0+10: 30mashs of fairy tales 0+10: 40mas and a bear 0+10: 55mashkin horror stories 0+11: 00mash and bear 0+11: 30masha and bear 0+"&amp;"11: 55mashkin horror stories 0+12: 10mash and bear 0+12: 30mash fairy tales 0+12: 40mas and bear 0+ 13: 00mashkin’s horror stories 0+13: 10masha and a bear 0+13: 35mashins fairy tales 0+13: 40mas and bear 0+14: 05mashkin horror stories 0+14: 10masha and b"&amp;"ear 0+14: 35machins of fairy tales 0+14: 50mas and bear 0+15: 10 Mamashkins of the horror stories 0+15: 20mash and bear 0+15: 40 mash fairy tale 0+15: 50mash and bear 0+16: 15mashkin horror stories 0+16: 20mash and bear 0+17: 30mi-Mimy 0+ 17: 40Mi-MI-MIKI"&amp;" 0+17: 45MI-MI-MIKI 0+17: 55Mi-MI-MIKI 0+18: 00Mi-MI-MIKI 0+18: 05Mi-MI-MIKI 0+18: 15MI-MIM -MIKI 0+18: 20Mi-mi-MIKI 0+18: 30MI-MI-MIKI 0+18: 35Mi-MI-MIKI 0+18: 45Mi-MI-MIKI 0+18: 50Mi-MI-MIMI 0+19 : 00mi-mi-Mimka 0+19: 10 TECHER I am a boss! 16+20: 20 TE"&amp;"THER I am a boss. Under the cover 16+21: 30 Bogin 16+22: 20 Bogin 16+23: 30 Startups 16+00: 10 Bogin Shoping 16+01: 00 My wife steers 16+02: 10k. Call this love 16+02: 30 Princess and Dragon 6+03: 40mas and bear 0+04: 45mashkin horror stories 0+04: 50mash"&amp;"kin horror stories 0+the entire program Russia 2405: 04 city of atom 05: 22 hazardous relationship 06: 00 nobody 06: 22. The attendant part 07: 00 Novosti 07: 08 Radio Investigation of Eduard Petrov 08: 00 Novosti 08: 14ir in the palm of your hand. Histor"&amp;"y day after day 08: 32 formulas of power 09: 07 interview 09: 27 -special reports 10: 05stopfect 10: 27 News 11: 22. The attendant part 12: 09Vs glance from St. Petersburg with Vladimir Bortko 12: 37 -special reports 13: 00 Novosti 13: 10 Parlament hour 1"&amp;"4: 01 How did France lose its influence in Africa? 15: 27 Novosti 16: 24 Molodny wine 17: 00 Novosti 17: 23za tape. 87th Week 18: 00 News 18: 31-gender trip 20: 00 Novosti 20: 17 S special report 20: 44 Gorod technologies 21: 00 News 21: 32-day trip 22: 0"&amp;"0 Novosti 22: 17VZVISIT from St. Petersburg with Vladimir Bortko 22: 45 City technologies 23: 00 Veles 01 : 00 Novosti 01: 36moskva. Kremlin. Putin 02: 36 Workshop with Vladimir Solovyov The whole program Che! 06: 00 -year -old video. The funniest 16+06: "&amp;"20-year-old video 16+08: 00 Master sword 16+10: 00 Iutolizer 16+10: 30 SOLDATES-15 16+20: 40+100500 16+23: 00+100500 18+23: 30+100500 18+03 : 00 ""Disposter"" with Nastya Fog 16+03: 45utizer 16+Abakananadyrkhangelskastrakhanbarnaulgodbelgorodbodzhanbidzha"&amp;"nbigaroblazhvezhenshoschenskivoshlodovladovokazvokazvoldykazvoldimvolgogradovolgogogradovolgogor-dimensor-altables. Yoshkar-O-Olacalinkalingeravkemovokomolsk-on-Amurkostromacroacroacroacroacroacroacroacroaccerson-Yarskkurskkurskkamylyepamagadanmagadanmaga"&amp;"smagnitoroskopmakhamakhamokalipamaquamoskamykamykamykamykamyankanazran-Marnizhnezhevar-Khovartovosybinsk-Rybinneskobirskobirskobloreloregpensza Permpepetropetropetropavlovsk-Kamchatovskovrostov-on-Donuryazansansanskaksankanksankansksaran-Saratovastopolsom"&amp;"olenskistovistavropolitamaksugutsykutsyktsykutsyktytykumytovkamytovkuttitomenyanovsurovsurovsurovskufhabarovskhanti-Mansi-Mansi-Mansiyskhants Sarychelyabinskocherkess-readylistayzhno-Sakhalinskyakutskayaroslavlvs city of the city of Project Zhotereklamani"&amp;"l Participation in the competition of use Cook -Kontakttekhnotka Network Edition ""Online magazine Starhit (StarHit)"" Any reproduction of the site materials without the permission of the editorial office is prohibited. Copyright (c) LLC Shkulev Media Hol"&amp;"ding 2023. Supplier of the program program - ""Service -TV"" Enforce Technologies")</f>
        <v>The program program in Moscow: for today for tomorrow for a week - a TV program Starhitvash Browser is outdated, therefore, the site can not be displayed incorrectly. Update your browser to increase the level of speed and comfort of using this site. Update the television program of television programs of the star -stellarmogram monk for today - Moskvasesey) 13W 14CH 14CH 16PT 17PT 17SB 18 Seriylyno -Sports of Sports of Loading ... The first05: 10 Podkasta. Lab 16+06: 10 Poddokast. Lab 16+06: 55 playing harmonies beloved! 12+07: 40 hours 12+08: 10 Sosdorovy 16+09: 20 "Dreamalon". National Lottery 12+09: 40 "Non -pulp notes" with Dmitry Krylov 12+10: 00 nobility (with subtitles) 10: 15 Prime Minister. "Life" 12+11: 05 premiere. "Cooks on wheels" 12+12: 00 nobility (with subtitles) 12: 15 Video? 0+13: 45 Son Son 12+16: 25 "Hot ice". Figure skating. Grand Prix of Russia-2023. Arbitrary P ... 18: 00 -haired news (with subtitles) 19: 00 Prime Minister. "Dispers of Star" 12+21: 00 time 23: 00zhanna 16+00: 50 podkasta.mam 16+01: 35 podkasta. Lab 16+02: 20 podkasta. Lab 16+03: 10 podkast. Lab 16+04: 00 podkast. Lab 16+04+04 : 57 Test in broadcasting The whole program Russia 106: 09 Test in broadcasting 06: 10all in search of Alla 12+08: 00. Sunday 08: 35th. All houses with Timur Kizyakov 09: 25 -month mail with Nikolai Baskov 10: 10 Sto to one 11: 00 Voro 12: 00 Changes 13: 00hrustic happiness 12+17: 00 -owned 17: 50 Pesnya with all my heart 12+20: 00 Wing 22: 00 Below 22 weeks : 00moskva. Kremlin. Putin 22: 40 -Waste evening with Vladimir Solovyov 12+01: 30alla in search of Alla 12+03: 13 Test in broadcasting the whole program match! 06: 00 ridiculous martial arts. UFC. Direct broadcast from the United States 09: 00 News 09: 05vs for the match! 10: 00 Liga Heroes 12+11: 05 Op inhalation 12+13: 15VS for the match! 13: 50 Novosti 13: 55 -volume in the snow. Russian championship. The final. Direct broadcast from Novo ... 16: 00vs for the match! 16: 25 Basketball. Unified VTB League. Direct broadcast 18: 30VS for the match! 19: 00 -football. The world is Russian Premier League. Direct broadcast 21:30 "After football" with George Cherdantsev 22: 40 football. Italian championship. Direct broadcast 00: 45 football. Brazil championship. Direct broadcast 02: 30 mixed martial arts. UFC. Broadcast from the United States 16+04: 00 nobility 0+04: 05 football. German Championship 6+the entire NTV05 program: 40wells of broken lamps-13 16+06: 35-central television 16+08: 00 this day 08: 20 I win us! 12+10: 00 thousand: 20 first program 16+11: 00 Chudo technology 12+11: 55 -day answer 0+13: 00nashpotrebnadzor 16+14: 05: 16+15: 00svoi game 0+16: 00 thousand 16: 20 people in the right With Andrei Kunitsyn 16+17: 00 The investigation was carried out ... 16+19: 00 “Results of the week” with Irada Zeynalova 20: 20orginal musical “Show Avatar” 12+23: 20 STARS FRIEND 16+00: 55KVARIC NTV at Margulis 16+02: 50 Subters and shadow of the beacon 16+03: 25 Subters and shadow of the lighthouse 16+04: 00svet and shadow of the lighthouse 16+04: 49 Practice in broadcasting 04: 50 Ulits of broken lamps-13 16+The entire program fifth channel05: 00mash and bear 0+05: 10 Prosecutor’s check 16+06: 05 prosecutor's inspection 16+06: 55 NOVARY 16+07: 45 NOVARY 16+08: 40 NOT 4+09: 30 REMOVER 16+10: 25 NOVARY 16+11: 20 NEW 16+12: 15 REMOVARY 16+13: 10 NEVER 16+14: 14: 14: 14: 14: 14: 14: 10 -standing 16+15: 05 LEARTH 16+15: 55 LEARTH 16+16: 45 LEARTH 16+17: 40NASH Special Forces 12+18: 40Nash Special Forces 12+19: 35NASH Special Forces 12+20: 25 Nash Special Forces 12+21: 20 Nash Special Forces 12+22: 22: 22: 22: 22: 15 Nash Special Forces 12+23: 10 Philine 16+00: 05Filin 16+00: 55 Tyghaya hunt 16+01: 45 Tyghaya hunt 16+02: 30 Tyhay hunt 16+03: 15 Tyhay hunt 16+03: 55 Perseles 16+04: 40 Perseles 16+The whole program+The whole program Home06: 30 effect of Matrona 16+06: 40 Work and Driving 16+10: 15 for 15 minutes 16+10: 30 Non -high forgiveness 16+14: 45 Ty in my heart 16+19: 00 Yar. Flame 16+22: 45th Domas Doctor 16+23 : 00 family portrait 16+02: 25 effect of Matrona 16+TNT05: 30 INSTRUCTION 16+05: 45 -courine race 6+07: 00th day in Russia. Special Dagages 2023 16+08: 00 item in Russia. Special Dagestes 2023 16+09: 00 picniki 16+09: 30 Bitts of picnics 16+10: 00ecostasens. Battle of the strongest 16+10: 30 Extranses. Battle of the strongest 16+11: 00ecstrasens. Battle of the strongest 16+13: 30 Extranses. Battle of the strongest 16+16: 00ecstrasens. The battle of the strongest 16+18: 30NOTA stars in Africa 16+21: 00 Liga cities 16+23: 00 shuttle will 16+00: 10 Yarsche stars 16+01: 40 I do not believe you 16+02: 30, I do not believe you 16+03: 15MOMODICIZATION. Teams. Digest 16+04: 00Movision. Teams. Digest 16+04: 50 "Studio" Soyuz "16+the Mir05 program: 00multfilms 6+06: 35 I capabilities 12+07: 00 Scab about how King Pyotr Arapa married 16+09: 00 a birthday in the USSR 16+09: 30 Fazendalife 6+ 10: 00 Novosti 10: 10: 10+11: 40 Legs about a circle 16+15: 20 Luminous Varvara-3 16+16: 00 News 16: 15 Luminous Varvara-3 16+18: 30 Varvara Barbara-3 16+00: 00 Varvas. 16+01: 00 Scab about how Tsar Peter Arapa married 16+02: 40 Hands of life 16+04: 20 multfilms 6+the entire program STS05: 056 frames 16+05: 10 multfilms 0+05: 50ralash 16+06: 00ralash 0+07: 00 "Hotel" at the sheep "0+07: 30 Ural dumplings 16+09: 00rogs in the case 16+10: 00 Ural dumplings 16+10: 30 Ural craftsmen 16+10: 55ural dumplings 16+11: 20mam will be against 16+14: 00 -sized The period is 0+15: 35 Valnic period-2. Global warming 0+17: 20 Valnic period-3. The era of dinosaurs 0+19: 15 Valnic period-4. Continental drift 0+21: 00 Titanic 16+01: 00schef Adam Jones 18+02: 45-Stew-Fede 16+The entire program TV Center05: 20 Nazad in the USSR 16+06: 05 order 16+07: 25 HEARTS SAMITY 16+07: 50 FLASIC-4 12+08: 0 : 00 expensive comrades. Sunny Secretary General 16+15: 55rs secrets. In bed with a spy 16+16: 40 Lessidenesh 16+17: 35 Lyadenesh 16+18: 50 Shahmati queen 16+19: 40 School queen 16+20: 40 School queen 16+21: 35 School queen 16+22+22: 40 millionaire 12+23: 25 Millionaires 12+ 12+ 00: 25 Hollow 6+00: 40 millionaire 12+01: 25 millionaire 12+02: 20 Petrovka 38. Special Saturday production 16+02: 30 from Siberia with love! 12+03: 10 from Siberia with love! 12+03: 50 from Siberia with love! 12+04: 30 from Siberia with love! 12+The entire program public television of Russia06: 00 Clubs 12+07: 20 Dialogs without makeup 12+07: 35ot rights to capabilities 12+07: 50th country 12+08: 45 Tsepapra and crane 0+09: 00vso in an adult 09: 45 calendar 12+ 10: 10 NEW DRISION OF THE COMPLEMENT with Maryana Lysenko 12+11: 05th story 12+11: 50 News 11: 55kino at all times 12+12: 50 golden collection of non -aggregate cinema. Russia XX Century 16+13: 00VZHZHING FOR FIRST 12+13: 15 Special project OTP "Designers of the Future" 12+13: 30 Grand Country 12+14: 30 Calendar 12+15: 00 Nobo 15: 05Saure sea path 12+15: 35Gala-concert of the festival "In the name of life" dedicated to the work of Alex ... 12+16: 30svet and shadow 16+17: 00 aukograd 12+17: 25 shelling in the back 12+19: 00 nobody 19: 05 club of the main editors with Pavel Gusev 12+19: 45th length in the length in Life 16+21: 20 Taxi-Blub 16+23: 05 Gunda 6+00: 35 Party and grandfathers 12+01: 55franz 16+03: 45 Tyu yes I am 16+04: 15 Batry-peasants 12+The whole program culture06: 30multfilms 07: 30 Porus 07: 50 PODIRUS 08: 10 POPIC 08: 30 PODIRUS 08: 50 POMIRU 09: 10 POMIS 09: 30 DEALOVs of animals 10: 15USTRADE MARFINO. Soviet Hollywood 10: 55 Legends of world cinema 11: 20 Personal Tours 12: 30 Like Routes of Russia 13: 10 -evsky Ark. Theory of the impossible 13:40 “Game of Beads” with Igor Volgin 14: 25 Collection 14: 55 Chudo in Milan 16: 30 Cartin of the world with Mikhail Kovalchuk 17: 10 first in the world 17: 30 Life 18: 20 Dinara Aliyev. The romances of N. Rimsky-Korsakov P. Tchaikovsky and S. Rach ... 19: 30th culture 19: 45th culture with Vladislav Flyarkovsky 20: 25kin-dza-dza! 22: 35 films-ballet "Twelfth night or whatever" 23: 55 Poreal tour 01: 05 Diagles about animals 01: 45 players 02:30 "Robbery on ... 2". "Magnificent Gosha" 03: 00 Test in broadcasting the entire TV-305: 15Multfilms 0+06: 00 multfilms 0+07: 45 Secrets of Health 16+08: 00vkosno with Lyaysan 16+08: 30noy day 12+09: 00 Money 16+10: 10: 10+10: 00 athrome news with Vasilisa Volodina 16+10: 30 Lestum Hero 16+11: 45, 45, 45 Lavernik 16+13: 45 Lavernik 16+14: 45 Lavernik 16+15: 45, 45, 16+16: 45 Lavernik 16+17: 45 Lavernik 16+18+18: 45 Zheleznik 16+20: 00 Lavernik 16+21: 00 zeroil 16+22: 00 zeroil 16+23: 00urdik 16+00: 00 "Coordinates" Citadel 16+01: 30 Presents 18+03: 00 Test of force 16+03: 30 Test of force 16+ 04: 15 months of force 16+the entire program REN TV05: 00 Schoking hypotheses 16+07: 00s Bodry in the morning! 16+08: 30 News 16+09: 00 School program 16+09: 30 Do you know what? 16+10: 30 Nauka and equipment and technology 16+11: 30 Estimated history 16+12: 30 nobility 16+13: 00 a dragon of the dragon 16+14: 55 Besterny 16+17: 00 Serds from steel 16+19: 05 APGRAD 16+21: 00 Hooper on monsters 16+23: 00atically program with Petr Marchenko 16+23: 55 Schoking hypotheses 16+The whole program of the star05: 30 knew only in the face of 12+07: 10 Waiting for Colonel Shalygin 12+09: 00 "News of the Week" with Yuri Podkopaev 16+09: 25 I will serve Russia 12+09: 55 Water acceptance 12 +10: 40 “Hidden threats” with Nikolai Chindyaykin 16+11: 30 core access 12+12: 20 “Army Legends” with Alexander Marshal 12+13: 10 S special report 16+13: 50 Speaking assignment 16+16: 05 Vorchaznit at dawn 16+ 18:00 "Main" with Olga Belova 16+19: 45 Legends of the Sovetsky Investigation 16+23: 00fetis 12+23: 50 people of Donbass 16+00: 10 sergeant of police 12+03: 50 Speaking assignment 16+The whole program Savior TV05: 00 Gospel out loud 0+ 06: 15 Washing of the Holy Monastery 0+06: 50 in the search for God 6+07: 20 Professor Osipov 0+07: 55 Subtarius of Russia 6+09: 00 Wrong miracles 12+10: 00 -only liturgy 0+12: 45 zavet 6+13: 50 Russian world 12+15+15 : 00-leggy is looking for a father 0+16: 55 Denelve 16+17: 25-wing 12+18: 00 "Main" with Anna Safran 16+20: 05 dawn 16+21: 50 Biology of betrayal 12+23: 00 Beson 18+00: 10 STIMS 16 +01: 30th Patriarch 0+01: 45 "Main" with Anna Sharfran 16+03: 30 "Traces of the Empire" with Arkady Mammontov 12+The entire program Friday05: 00 Fuck News 16+05: 25 Takes of Honey Valley 12+05: 30 Tales Hedica Valley 12+05: 35 tenders of the honey valley 12+05: 45 Prostokvashino 12+05: 50 Prostokvashino 12+06: 00 fucker News 16+06: 20 Prostokvashino 0+06: 25 Prostokvashino 0+06: 35 Prostokvashino 0+06: 40 Prostokvashino 0+06: 50 cup Eudo 6+08: 20 WHOLLOGRANT Startups 16+09: 00Trevel-Battl 16+10: 00 Plant move 16+11: 00 16+13: 00 Bitter of chefs 16+15: 00 Bitter of chefs 16+17: 20 Bitts of chefs 16+19: 30 Bitter of chefs 16+21: 50Ad chef 16+00: 30vo King's name: the history of the siege of the dungeon 16+02: 30 black list 16+03 : 30 black list 16+04: 20 fuckers News 16+04: 50trevel-Battl 16+the entire carousel program05: 00 early birds 0+07: 00s good morning kids! 0+07: 30VIP Pets 6+08: 05 Dracosia 0+09: 00ed with a bang! 0+09: 25 Petroniks 0+10: 00barbooskins 0+11: 00 Beauty 0+11: 20 Tsarevna 0+13: 05 Winx 6+14: 00 "Hour" Soyuzmultfilm "6+15: 00fixiki. Give five! 0+17: 00 Luntik 0+18: 40 Kosheki-horseman 0+20: 30 Copical night kids! 0+20: 45 Ovetel for sheep 0+22: 30 heroes Gudzitsu 6+22: 40 Flip Chenger 6+23: 15Fuzhn Max 6+23: 40ralash 6+00: 30 Bububa 6+01: 30 GRIZLILS AND LEMMINGS 6+02: 30 Draw! 0+02: 55 Derevyes 0+03: 20 laboratorium 0+03: 50noty 0+04: 10 green project 0+04: 30-in-conobert 0+the entire program Yu05: 00mash and a bear 0+07: 00malyshariki 0+08: 00masha and a bear 0+10: 00-hungry do not look at 16+11: 00bemenna at 16 16+14: 45 Life after show.b16 16+15: 50 Chado from hell 12+22: 00oma- 2. New Life 16+00: 00 aids from the other world 16+01: 55 meters 16+03: 35 Supermam 16+The entire program 2x205: 05 Besemmer Cinema 16+05: 25 Fili among strangers 16+05: 35 tourdashev 16+06: 00 Russian cartoons 12+ 12+ 07: 35KAK is built by the Universe 16+08: 35 News 2x2 16+08: 40 spokesmans 2x2 16+09: 05 Discover myths 16+09: 55 sized in Japan. Unrealistic show 16+10: 25 Strim 16+10: 55 Strim 16+11: 20 Strim 16+ 11: 55 Strand 16+12: 20 Strim 16+12: 50stopgame TV 16+13: 50 Slabic Monster 16+14: 15 Slabic Monster 16+14: 40 Slabic Monster 16+15: 15 Slabic Monster 16+15: 40 News 2x2 16+15: 45 Slabic monster 16+16: 05Toples TV 16+17: 10 -family pole 16+17: 35 family pole 16+18: 10 -arranges and cruiser 12+18: 35 -nobo 2x2 16+18: 40 Kontent Content 16+19: 05 inspector 2x2 16+19: 25 Epic Files 16 +19: 35 survival course with Bear Grylls 16+20: 30 Simpsons 16+21: 00 Simpsons 16+21: 25 News 2x2 16+21: 30toples TV 16+22: 00 Lugus Bob Square pants 16+22: 30 Lugus Bob Square pants 16+23: 23: 00 Novosti 2x2 16+23: 05 parasitic: the doctrine of life 18+23: 35 Cherynaya Friday 18+01: 20DP 16+01: 45EON Flax 16+02: 05 IS CITY 18+02: 50 Yuzhnoye Park 18+03: 10JUFF and alien 18+ 03: 35atak Titans 16+03: 55atak titans 16+04: 20ka Universe 16+The whole program Sun05: 00mash and bear 0+06: 55 rinses 0+07: 25 Buba 0+09: 00 Sure dog and turbo cat 6+10: 45egiptus 6+12: 00 Proktokvashino 0+14: 40 Unionsmultfilm 6+16: 40 Mannya 6+18: 25 RIDs. So we live 12+22: 00 Nyanniki 16+23: 40 Dubler 16+01: 10ralash 6+The whole program Saturday! 05: 00mash and bear 0+05: 50 mmash fairy tales 0+06: 00mas and bear 0+06: 20 mash fairy tales 0+ 06: 30masha and bear 0+06: 55mashkins horror stories 0+07: 00mash and bear 0+07: 25mashkin horror stories 0+07: 30mash and bear 0+07: 45 mash fairy tale 0+07: 50mash and bear 0+08: 20mashkins of horror stories 0+08: 25machines of fairy tales 0+08: 40mas and bear 0+09: 00 mash tale 0+09: 10mash and bear 0+09: 40 mmashkens of horror stories 0+09: 50mas and bear 0+10: 30mashs of fairy tales 0+10: 40mas and a bear 0+10: 55mashkin horror stories 0+11: 00mash and bear 0+11: 30masha and bear 0+11: 55mashkin horror stories 0+12: 10mash and bear 0+12: 30mash fairy tales 0+12: 40mas and bear 0+ 13: 00mashkin’s horror stories 0+13: 10masha and a bear 0+13: 35mashins fairy tales 0+13: 40mas and bear 0+14: 05mashkin horror stories 0+14: 10masha and bear 0+14: 35machins of fairy tales 0+14: 50mas and bear 0+15: 10 Mamashkins of the horror stories 0+15: 20mash and bear 0+15: 40 mash fairy tale 0+15: 50mash and bear 0+16: 15mashkin horror stories 0+16: 20mash and bear 0+17: 30mi-Mimy 0+ 17: 40Mi-MI-MIKI 0+17: 45MI-MI-MIKI 0+17: 55Mi-MI-MIKI 0+18: 00Mi-MI-MIKI 0+18: 05Mi-MI-MIKI 0+18: 15MI-MIM -MIKI 0+18: 20Mi-mi-MIKI 0+18: 30MI-MI-MIKI 0+18: 35Mi-MI-MIKI 0+18: 45Mi-MI-MIKI 0+18: 50Mi-MI-MIMI 0+19 : 00mi-mi-Mimka 0+19: 10 TECHER I am a boss! 16+20: 20 TETHER I am a boss. Under the cover 16+21: 30 Bogin 16+22: 20 Bogin 16+23: 30 Startups 16+00: 10 Bogin Shoping 16+01: 00 My wife steers 16+02: 10k. Call this love 16+02: 30 Princess and Dragon 6+03: 40mas and bear 0+04: 45mashkin horror stories 0+04: 50mashkin horror stories 0+the entire program Russia 2405: 04 city of atom 05: 22 hazardous relationship 06: 00 nobody 06: 22. The attendant part 07: 00 Novosti 07: 08 Radio Investigation of Eduard Petrov 08: 00 Novosti 08: 14ir in the palm of your hand. History day after day 08: 32 formulas of power 09: 07 interview 09: 27 -special reports 10: 05stopfect 10: 27 News 11: 22. The attendant part 12: 09Vs glance from St. Petersburg with Vladimir Bortko 12: 37 -special reports 13: 00 Novosti 13: 10 Parlament hour 14: 01 How did France lose its influence in Africa? 15: 27 Novosti 16: 24 Molodny wine 17: 00 Novosti 17: 23za tape. 87th Week 18: 00 News 18: 31-gender trip 20: 00 Novosti 20: 17 S special report 20: 44 Gorod technologies 21: 00 News 21: 32-day trip 22: 00 Novosti 22: 17VZVISIT from St. Petersburg with Vladimir Bortko 22: 45 City technologies 23: 00 Veles 01 : 00 Novosti 01: 36moskva. Kremlin. Putin 02: 36 Workshop with Vladimir Solovyov The whole program Che! 06: 00 -year -old video. The funniest 16+06: 20-year-old video 16+08: 00 Master sword 16+10: 00 Iutolizer 16+10: 30 SOLDATES-15 16+20: 40+100500 16+23: 00+100500 18+23: 30+100500 18+03 : 00 "Disposter" with Nastya Fog 16+03: 45utizer 16+Abakananadyrkhangelskastrakhanbarnaulgodbelgorodbodzhanbidzhanbigaroblazhvezhenshoschenskivoshlodovladovokazvokazvoldykazvoldimvolgogradovolgogogradovolgogor-dimensor-altables. Yoshkar-O-Olacalinkalingeravkemovokomolsk-on-Amurkostromacroacroacroacroacroacroacroacroaccerson-Yarskkurskkurskkamylyepamagadanmagadanmagasmagnitoroskopmakhamakhamokalipamaquamoskamykamykamykamykamyankanazran-Marnizhnezhevar-Khovartovosybinsk-Rybinneskobirskobirskobloreloregpensza Permpepetropetropetropavlovsk-Kamchatovskovrostov-on-Donuryazansansanskaksankanksankansksaran-Saratovastopolsomolenskistovistavropolitamaksugutsykutsyktsykutsyktytykumytovkamytovkuttitomenyanovsurovsurovsurovskufhabarovskhanti-Mansi-Mansi-Mansiyskhants Sarychelyabinskocherkess-readylistayzhno-Sakhalinskyakutskayaroslavlvs city of the city of Project Zhotereklamanil Participation in the competition of use Cook -Kontakttekhnotka Network Edition "Online magazine Starhit (StarHit)" Any reproduction of the site materials without the permission of the editorial office is prohibited. Copyright (c) LLC Shkulev Media Holding 2023. Supplier of the program program - "Service -TV" Enforce Technologies</v>
      </c>
    </row>
    <row r="784">
      <c r="A784" s="1" t="s">
        <v>2487</v>
      </c>
      <c r="B784" s="1" t="s">
        <v>2586</v>
      </c>
      <c r="D784" s="1">
        <v>18.0</v>
      </c>
      <c r="E784" s="4" t="s">
        <v>2587</v>
      </c>
      <c r="F784" s="1" t="s">
        <v>43</v>
      </c>
      <c r="I784" s="2">
        <v>1.0</v>
      </c>
      <c r="J784" s="5" t="str">
        <f>IFERROR(__xludf.DUMMYFUNCTION("GOOGLETRANSLATE(A784)"),"Program Guide")</f>
        <v>Program Guide</v>
      </c>
      <c r="K784" s="6" t="str">
        <f>IFERROR(__xludf.DUMMYFUNCTION("GOOGLETRANSLATE(B784)"),"Television program. TV program. TV program programs ...")</f>
        <v>Television program. TV program. TV program programs ...</v>
      </c>
      <c r="L784" s="5" t="str">
        <f>IFERROR(__xludf.DUMMYFUNCTION("GOOGLETRANSLATE(C784)"),"#VALUE!")</f>
        <v>#VALUE!</v>
      </c>
      <c r="M784" s="5" t="str">
        <f>IFERROR(__xludf.DUMMYFUNCTION("GOOGLETRANSLATE(G784)"),"#VALUE!")</f>
        <v>#VALUE!</v>
      </c>
    </row>
    <row r="785">
      <c r="A785" s="1" t="s">
        <v>2588</v>
      </c>
      <c r="B785" s="1" t="s">
        <v>1720</v>
      </c>
      <c r="C785" s="1" t="s">
        <v>2589</v>
      </c>
      <c r="D785" s="1">
        <v>1.0</v>
      </c>
      <c r="E785" s="4" t="s">
        <v>1722</v>
      </c>
      <c r="F785" s="1" t="s">
        <v>16</v>
      </c>
      <c r="G785" s="1" t="s">
        <v>1723</v>
      </c>
      <c r="H785" s="4" t="s">
        <v>1724</v>
      </c>
      <c r="I785" s="2">
        <v>0.0</v>
      </c>
      <c r="J785" s="5" t="str">
        <f>IFERROR(__xludf.DUMMYFUNCTION("GOOGLETRANSLATE(A785)"),"Production calendar 2023")</f>
        <v>Production calendar 2023</v>
      </c>
      <c r="K785" s="6" t="str">
        <f>IFERROR(__xludf.DUMMYFUNCTION("GOOGLETRANSLATE(B785)"),"Production calendar for 2023")</f>
        <v>Production calendar for 2023</v>
      </c>
      <c r="L785" s="5" t="str">
        <f>IFERROR(__xludf.DUMMYFUNCTION("GOOGLETRANSLATE(C785)"),"In 2023, as a whole, with a five -day working week with two days off, there will be 247 business days, including 3 working days reduced by one hour of business days ...")</f>
        <v>In 2023, as a whole, with a five -day working week with two days off, there will be 247 business days, including 3 working days reduced by one hour of business days ...</v>
      </c>
      <c r="M785" s="5" t="str">
        <f>IFERROR(__xludf.DUMMYFUNCTION("GOOGLETRANSLATE(G785)"),"“ConsultantPlyus” - Legislation of the Russian Federation: Codes Laws Decrees of Decrees of the Government of the Russian Federation regulatory acts to the system -nuclear Internet version of the company and products to be replaced by the consultantPlussa"&amp;" and the Promotional accessibility to the Supreme Court summarized the practice of protecting consumer rights “Goryazy” Documents of the Russian Federation Presidential Decree and Other Government Decisions and other Normative acts. New documents are rece"&amp;"ived several times a day. The “Designer of Agreements” from Consultant Plus has become even more convenient for the product of the product, judicial practice and its analysis. Comments and explanations. Designer of agreements. Buhgalter -preparations of c"&amp;"larification of departments samples of filling. Video seeders. Calculators designers. Business organization and clarification. Samples of filling video seminars news. Designers. Forty experts Supreme Court summarized the practice of protecting consumers o"&amp;"f news10 On November of November10 they did not support the punishment of an employee who did not prepare for an unscheduled meeting10 on November of the Civil Code of the Russian Federation on the allocation of shares in the Gosdudumun of missing the Tax"&amp;" Code of the Russian Federation: the State Duma adopted amendments in the second reading on November10 for herbalism for traumatism : the court confirmed that the death case does not affect the discount because of third parties on November 10, on the laws"&amp;" No. 44-ФЗ and 223-ФЗ: what practice did the FAS noted in the reviews for September 2023, November 1910, the Ministry of Labor wants to adjust the list of activities of the institutions all news For customers to the ConsultantPlus system for customers for"&amp;" customers, use access access to the consultantPlus system, freeze the system for free proposal for the purchase of the consultantPlus296 967 651 document in the consultant players of the legislation subscription to the interviewer’s mailing list and teac"&amp;"her of the Code of Code (Civil Code of the Russian Federation) Housing Code (Housing and Civil Code of the Russian Federation) Tax Code Tax Code (Tax Code) Labor Code (Labor Code of the Russian Federation) Criminal Code (Criminal Code of the Russian Feder"&amp;"ation) of the Code of Administrative Offenses (Code of Code of Administrative Offenses of the Russian Federation) of the Customs Code of the EAESARBIGRECTIONAL Code (RF RF) of the Land Code (RF RF) Popular documents for the Accounting of Documents Protect"&amp;"ion of Consumeries Bankruptcy Executive The production of personal taxes on the property of the physical persons of the organization PBU 10/99o of the bailiff state registration of the real estate department of the legal calendar for the IV quarter of the"&amp;" 2023 accountant for 2023. The production calendar for 2024 for 2023 for the 2023 calendar for 2023 for 2023 Calculture registration of legal personally -state registration of individual entrepreneursualnature declaration on the accounting reporting of th"&amp;"e Propensation rate of refinancing (accounting rate) established by the Central Bank of the Central Bank of the Central Bank of the Russian Federation for today long -term instructions for the Plastos and their settlement data for 2023 selection of materi"&amp;"als: acts samples of the form of contract mobilization: review of a new Testing information contact information17292 Moscow st. Krzhizhanovsky 6 (Central Office) +7 (495) 956-82-83 +7 (495) 787-92-92Contact@consultant.ru in social networks Kontaktelegram-"&amp;"graders of rights are protected the MPTR of Russia EL No. 77-6731 Politics of processing personal data of access to the site")</f>
        <v>“ConsultantPlyus” - Legislation of the Russian Federation: Codes Laws Decrees of Decrees of the Government of the Russian Federation regulatory acts to the system -nuclear Internet version of the company and products to be replaced by the consultantPlussa and the Promotional accessibility to the Supreme Court summarized the practice of protecting consumer rights “Goryazy” Documents of the Russian Federation Presidential Decree and Other Government Decisions and other Normative acts. New documents are received several times a day. The “Designer of Agreements” from Consultant Plus has become even more convenient for the product of the product, judicial practice and its analysis. Comments and explanations. Designer of agreements. Buhgalter -preparations of clarification of departments samples of filling. Video seeders. Calculators designers. Business organization and clarification. Samples of filling video seminars news. Designers. Forty experts Supreme Court summarized the practice of protecting consumers of news10 On November of November10 they did not support the punishment of an employee who did not prepare for an unscheduled meeting10 on November of the Civil Code of the Russian Federation on the allocation of shares in the Gosdudumun of missing the Tax Code of the Russian Federation: the State Duma adopted amendments in the second reading on November10 for herbalism for traumatism : the court confirmed that the death case does not affect the discount because of third parties on November 10, on the laws No. 44-ФЗ and 223-ФЗ: what practice did the FAS noted in the reviews for September 2023, November 1910, the Ministry of Labor wants to adjust the list of activities of the institutions all news For customers to the ConsultantPlus system for customers for customers, use access access to the consultantPlus system, freeze the system for free proposal for the purchase of the consultantPlus296 967 651 document in the consultant players of the legislation subscription to the interviewer’s mailing list and teacher of the Code of Code (Civil Code of the Russian Federation) Housing Code (Housing and Civil Code of the Russian Federation) Tax Code Tax Code (Tax Code) Labor Code (Labor Code of the Russian Federation) Criminal Code (Criminal Code of the Russian Federation) of the Code of Administrative Offenses (Code of Code of Administrative Offenses of the Russian Federation) of the Customs Code of the EAESARBIGRECTIONAL Code (RF RF) of the Land Code (RF RF) Popular documents for the Accounting of Documents Protection of Consumeries Bankruptcy Executive The production of personal taxes on the property of the physical persons of the organization PBU 10/99o of the bailiff state registration of the real estate department of the legal calendar for the IV quarter of the 2023 accountant for 2023. The production calendar for 2024 for 2023 for the 2023 calendar for 2023 for 2023 Calculture registration of legal personally -state registration of individual entrepreneursualnature declaration on the accounting reporting of the Propensation rate of refinancing (accounting rate) established by the Central Bank of the Central Bank of the Central Bank of the Russian Federation for today long -term instructions for the Plastos and their settlement data for 2023 selection of materials: acts samples of the form of contract mobilization: review of a new Testing information contact information17292 Moscow st. Krzhizhanovsky 6 (Central Office) +7 (495) 956-82-83 +7 (495) 787-92-92Contact@consultant.ru in social networks Kontaktelegram-graders of rights are protected the MPTR of Russia EL No. 77-6731 Politics of processing personal data of access to the site</v>
      </c>
    </row>
    <row r="786">
      <c r="A786" s="1" t="s">
        <v>2588</v>
      </c>
      <c r="B786" s="1" t="s">
        <v>2590</v>
      </c>
      <c r="C786" s="1" t="s">
        <v>2591</v>
      </c>
      <c r="D786" s="1">
        <v>2.0</v>
      </c>
      <c r="E786" s="4" t="s">
        <v>2592</v>
      </c>
      <c r="F786" s="1" t="s">
        <v>16</v>
      </c>
      <c r="G786" s="1" t="s">
        <v>1696</v>
      </c>
      <c r="H786" s="4" t="s">
        <v>1697</v>
      </c>
      <c r="I786" s="2">
        <v>1.0</v>
      </c>
      <c r="J786" s="5" t="str">
        <f>IFERROR(__xludf.DUMMYFUNCTION("GOOGLETRANSLATE(A786)"),"Production calendar 2023")</f>
        <v>Production calendar 2023</v>
      </c>
      <c r="K786" s="6" t="str">
        <f>IFERROR(__xludf.DUMMYFUNCTION("GOOGLETRANSLATE(B786)"),"Production calendar 2023")</f>
        <v>Production calendar 2023</v>
      </c>
      <c r="L786" s="5" t="str">
        <f>IFERROR(__xludf.DUMMYFUNCTION("GOOGLETRANSLATE(C786)"),"The calendar was compiled on the basis of the Decree of the Government of the Russian Federation of August 29, 2022 No. 1505 ""On the transfer of days off in 2023"". On one page ...")</f>
        <v>The calendar was compiled on the basis of the Decree of the Government of the Russian Federation of August 29, 2022 No. 1505 "On the transfer of days off in 2023". On one page ...</v>
      </c>
      <c r="M786" s="5" t="str">
        <f>IFERROR(__xludf.DUMMYFUNCTION("GOOGLETRANSLATE(G786)"),"	������ - ���������������� (������� ������ ����� �������������) �� ��������� ����������� ��������.������������������������������������������� �������������������� ��������								��������							EngRu					������� ������� ������� � ������������ �� ���������"&amp;"�� � ������									�������� ������ �������� �� 1300%				12 ������ 2023�����������		�����	���������������						������� ����� ����������� �����:											������� ������:											���������											������ ������											�� ������ ����� ��������� �����"&amp;"�� ������ ����� �� ���������� �����:					�������� �������������� � ����������������������������������� ������������������������������������IT�������������������������� ����������� ������������� ��������������-20 ��������� � ���������������� � ������������"&amp;"���������� ��������� � 2024����������� ����������� ���������������� ��� ��� ���������� �� �������������� ����������������������� ������������������������� (100+)������ (1267+)���������������� ��������� (1601+)����������� ���������� (5277+)���� �����������"&amp;"����		�����					������������� �� �� ����������� ������������� �������� ����� ����������� ��������� ���������� ���� ��� ������������� �������������� �������� ������� � ����������� �����?					(��������� ������ 12.11.2023)									�� �������������� �������� "&amp;"�������� ������ ���� ���������� ������������� �������� � ���� �����													�� ����� ���� ����� ������� ���� ������������ ���������� �����													�� �� ������ ��� ��������� ���������� ������ ���������������� � �� �������� ����������� ����� ���			"&amp;"										��� ����� �������� ���������� ����������� ���������													��� ������� ��������� �������� ��������������� �������������� ����������� ���� � ������													��� ��������� ��� ����� ��������� ��� ������ ��� ����� ������													���� ��"&amp;"����� (������� � �����������)						���������� ������� ������������� 4 ������� 2023��������� ��������� ������������ ""� ����������� ������� � ����� �������"" (44-��)""�� ���������� ���������� � �� ������� ���� ����������  ��������� ������������� ��������� "&amp;"� �� ''���� �"". ����������  ������� ��������� ��������� �������� ������������� �������������� �������.15 ������ 2023��������� ��������� ������������ ""� ������������� ������""(223-�� �� 18.07.2011)��������� ����������� ��������� � �� ''���� �"".       ��"&amp;"�������� ������� ��������� ��������� �������� �������������       �������������� �������.��������-������ ������� ��������������������� ����� ���������			����������������� ������� ������ ������������ ��������� �� ���					���������� ������ ������ � ��������"&amp;" ��������� ������������ ������� ��					� 1 ������ 2024 ���� ����������� ��������� ������ ���������� �� ������ �������������� ���������������					������������� �� ���������� �������� ����������� ��������� �� �������					����������������� ����� ������������"&amp;"� ������������� �� ����������� ��������					� ������� ���������� ��������� ������� ������ ������� ������������					������ ���������� ����������� ������������ ���������� �� ����					�������� ���� ������������� ��� ����������� �������� �� ����� 2024 ����		�"&amp;"�����10 ������ 18:30			��������� ����					������ � ����� ����������� ������ �������������: �������������� ��������� ��� � 2024		10 ������ 16:47����� ��������			����					����������������� ������� ������ ������������ ��������� �� ���		26 �������			���������"&amp;"					������ ����: ����� ������ � ����� ���������� ������					� ��������������� ����������� � ����� ������� � ������ ������ ������ ��� �� ������ �� ��������������� �� ������������ ���������� � �������� �������� �� ���� ���� � � ����� ���������.		10 ������ "&amp;"13:55����� ��������			��������					���������� ������ ������ � �������� ��������� ������������ ������� ��		10 ������ 13:22			������ � �������					� ������� ������ ������������ � ��������������� ��������� �� �������� ��������������� � ���������������� �����"&amp;"���		17 �������			���					������ ������������� ������: ���������������� � �������� ��������					� ��������������� ������ � �������� ����� �� �������� �������������� ������������ ������������ ������ ��������� ������� ������ ����������� � ��������������� ��"&amp;" ���� ������ ������������� ������ � � ���������.		10 ������ 10:34			������					��������� ������� ������ ������������� ������ ���������� �� ������� ������������ ������ �� ������ � 44-��		10 ������ 09:31			�������� ��������					�� �� ������� ��������� �����"&amp;"�� ������ ��������� � ��� ��� ����������� � ����� �� ������ ����������		 5 �������			IT					������������� ��������� � ������� � ��������					95% ���������� ������-�������� ��� �������� ���������� �� � �������� �������� � �������� ���������.		 9 ������ 16:"&amp;"15			��������					� ������� ���������� ��������� ������� ������ ������� ������������		 9 ������ 15:39			�������� ��������					������������� ��������� ��������: ������ � ���������� ���������� ���� ���� �� �� �������� ���������������� � ������		 9 ������			"&amp;"������				������� �������� ����� ����������� ��������������� ������ ������ � �������					������ ������ ���������� ��� ������� � �������������� ����������� ��� ������� �������� �������������� ������� ������ � ������� ��������. �������������� ��� ����������"&amp;"�� � ��������� �� ������������� ������� �� ������ � 44-�� ���������� � ������� � ���������� �������� ��� ����� ������������� ������ ����� ���������� ������. ����� �������� ������� ������ �������� � ��������� ��������� �������� ""������"" ������ �������.		"&amp;" 9 ������ 14:01			���������					������ �� ������������ ��������� �������� ������������� �� ������� ��������� �����?		 9 ������ 13:32			������ � �������					����������� ����� ����� ������� ������ � ��� ������ �� III ������� 2023 ����		 9 ������ 12:00����� "&amp;"��������			���������� �����					������������ ������� ������� ��� ������������ ���������� ������������� ������� � ��������� ������ �� ��������		 9 ������ 10:34			������ � �������					�� ������ ��������� ����������� ������ �� 2022 ��� �������� ������ ������"&amp;"		30 �������			��������				��� ��������� � ������ � 1 ������ 2023 ����: ���������� ��������� ������������ ����������� ������������ ���-������ ��� �������� �������� ������������ ��������������� ��������					� ����� �������� ����� � ����� ���������� ����� �"&amp;"�������� ������������ ���������� � ����� ������ ���� ������������ ���������� ������� ������� ���������� ������������ ��������� ���������� ��������� � ����������� ������� ������ � �. �.		10 ������ 16:04			������ � �������					� ��������� ��������� ��������"&amp;" ���������� �������� �������� �������� ��������� ������ 03% �� �����������		10 ������ 15:32			���������					�� �� �������� � ������ ����������� ���������� ���� � ���� ��� ���� ������������ � �������� �����������		24 �������			��������� ����				�������� """&amp;"������"" �������� V ����������� ��� ����������� ����������� � ��������� ��������� �����					����������� ������� � ������-������� ��������� ��� ���������� � ������������ ���������� ������ ����������.		10 ������ 12:03�����			��������					� 1 ������ 2024 ���"&amp;"� ����������� ��������� ������ ���������� �� ������ �������������� ���������������		10 ������ 11:35�����			������ � �������					������������� �� ���������� �������� ����������� ��������� �� �������		30 �������			���					������������ ������� �������� �����"&amp;"��������� �������������� ����������� � ����������� ������ ��� �����������					���� �������� ������� ������������ ""��� �����"" ������������ � ���������� ����������� � �������� ������������ � ���� ������������ �� �� ����������.		 9 ������ 18:30			���������"&amp;"					� ������� ������� ������� ������ �� ������������� ������������� ����������������		 9 ������ 17:46			������ � �������					����������� ������� ����������� ����������� �������������� ������� ��������������� � ���������� ��� ���������� ����������		 1 ���"&amp;"���			��������				�������� ������� ���������������� � �����������		 9 ������ 14:55����� ��������			������ � �������					������ ���������� ����������� ������������ ���������� �� ����		 9 ������ 14:38			IT					����� ��������������� ��������� ����� ���������"&amp;" ������������		31 �������			������ � �������					���������������� ��������� �� ������ 2023 ����					�� �������� �������� � ����� ����� ������� � ������ ������� � ������ 2023 ���� � ����� ���������� � ���������������� ����������.		 9 ������ 12:34			������	"&amp;"				�������� ���� ������������� ��� ����������� �������� �� ����� 2024 ����		 9 ������ 11:26			��������					� ������� ���������� �������� ���� � �������������� �����		��� ������������������������������� ������				 2 ������ 2023								������								������"&amp;"� �� ��������� ���������*							��� �� ���� ���� ����������� ��������� ������������������� ������������ �� �������� ����������� �������� ������ ������������� �� �������������� ����. ��������� �� ���� � ���������.							26 ������� 2023								���������				"&amp;"				������ ����: ����� ������ � ����� ���������� ������							� ��������������� ����������� � ����� ������� � ������ ������ ������ ��� �� ������ �� ��������������� �� ������������ ���������� � �������� �������� �� ���� ���� � � ����� ���������.							17 �"&amp;"������ 2023								���								������ ������������� ������: ���������������� � �������� ��������							� ��������������� ������ � �������� ����� �� �������� �������������� ������������ ������������ ������ ��������� ������� ������ ����������� � ������������"&amp;"��� �� ���� ������ ������������� ������ � � ���������.							 4 ������� 2023								IT								������������� ��������� � ������� � ��������							95% ���������� ������ �������� ��� �������� ���������� �� � �������� �������� � �������� ���������.							20 �"&amp;"������� 2023								��������								����������� ������������ � ��� ������������� � �������� ����������� ��� ������ ���������� ������������� ������� ��������� ����							� ��������� ��������������� ������� ������������� �������� ���������� ������������� ��"&amp;"���������� � ����� ����������� (������� ����������� ���������� ��������) � ����������� (������� ��������� �����������).							 1 �������� 2023								�����������								������ ��� � ������ �����: ����������� ����������� �������� �������� � ������������ ��"&amp;" ��������� ���������������							� ���������-������������������ ����������� ��������� ������� ��������� � ������������ ��������� � ����� �� ����������� �������� ������� ����������� ���������� � �������� ����� � � ����� ���������.						��� ������		������  "&amp;"              30 ������� 2023            				���							������������ ������� �������� �������������� �������������� ����������� � ����������� ������ ��� �����������							���� �������� ������� ������������ ""��� �����"" ������������ � ���������� ����������"&amp;"� � �������� ������������ � ���� ������������ �� �� ����������.			                 5 ������� 2023            				������ � �������							����������� ��������� ��������� �������������� ����������� � �������������� ����������������: �������� ���������							"&amp;"��� ���������� ������ �������������� ������������ ��� �������� ������������-�� ������� �������� �� ���������� ��� ���� ��������������� ����� ������������ ������ ���������� ������������ ������������ ""������ � ���������-������������� ����������"" ��� ""���"&amp;"��������� ���������� ����"".			                27 �������� 2023            				������							����� �������� �������� ������ �������� ���������� ��� ������������� ���������� ������������?							� ������ ���������� �������� ���� ����������� ���������� ������"&amp;"� ���������� ���������� �������������� �������� ��� �������� ��������� � ������. ����� ����� � ����������� �������� ��� ""��� �� 115-��"" ��������� � ��������� �� ��� �������� �������� ������������ ���� �� ���/��.			                15 �������� 2023       "&amp;"     				���							������� ��������������: ������� ���������� � ����� ������� ��� �� ������������							� ��� �  ����� ������� �������� � ��������������� ������ �� ���������� �������� �������������� � ��� ����������� ��� ������������� ������� �������� �� "&amp;"����� �� ������������ ������������ ���� �������� ������� ������������ ����������� �������� ""��� �����"".						��� ������					��� ������		������� � ������		������� � ����������			������			����������� �����			�������� �����			����������			��������� ����			"&amp;"��������					������:							���� �������� �� ���������������� ������ � ������� ����������� ��� ���������� ��� (""������ ����� �������"") � �������� �� ������������ �� ������� � �����������. ����������� ����� � ���� ��������� �����							������:							�����"&amp;"� ��� ��� ��������� �������� �� �������� � ������ ������. ������ ������. �������� ������� ��������� ��������							������:							����� ������� ���������� ��� (���) � ��������� ������� �������� � ���������?							������:							����� ������ ��� ����������� "&amp;"�� ��������� ������� ������� ��������� �����							������:							��� ��������� � ������������ ����������� ������������ �� ��������� ���� ��������� ������������� � ���� �������� ����������� ������������ �� ��������� � �������������� ����� ����������?						"&amp;"	������:							������ ���������� ������� �������� �������� � ������ ���� ����� ���� �������� � ������� ���� �� � ������� ���� ���������� � ����� � ��������� �������� ���������� � ���������� �� ������������?							������:							�������� ���� �������� �����"&amp;"���� �������� � ���� �������� ��������� �������� ��������� ������� ����������� ����� ���������������� ��� � ������ � ����������� ������ ���� ��� � ������� 8 103 236 ���. ����� ��������� � ������ ��� ��������� ������������������ �������� �� ������� �������"&amp;"������. �������� ���������� � ��������������� � ���� ������ ��� ����� � ������ ����� � ����� 10 000 000 ������. �������� ������ � ���. ��� ������ � ������������� ��������� ������� ��������. ��������� ����� �������� ���������� � ����� �� ����� 10 000 000 �"&amp;"�����. ��� ������������ ��������� ������� �������� ���� � ������� ������ ������� ����������.����� �� ����� ��������...					������ �����		��� ���������������                        30 �������� 2022                    							������ � �������												����"&amp;"�� ��������											�������������� ��������������� �������� �� 3 ������					""������ ��������� ���� ����������� ������ ��������� ������ ������� � 1 ������ 2023 ����""                        26 �������� 2022                    							��������� ����						"&amp;"						��������� ������											����������� ��������� ������������ ��������� ����������� � ���������� ���������� � ��������������� ������� ������� ������					""�� ����� ��������� ������ �� ���������� ������������ ������� ������� ��������� ���������������"&amp;" ��������� ������������� � ������������� ������������� ��������� �������""		��� ��������	����� � �����                         9 ������ 2023                                                ������                                            ������� �������� "&amp;"����� ����������� ��������������� ������ ������ � �������                                    ������ ������ ���������� ��� ������� � �������������� ����������� ��� ������� �������� �������������� ������� ������ � ������� ��������. �������������� ��� ������"&amp;"������ � ��������� �� ������������� ������� �� ������ � 44-�� ���������� � ������� � ���������� �������� ��� ����� ������������� ������ ����� ���������� ������. ����� �������� ������� ������ �������� � ��������� ��������� �������� ""������"" ������ ������"&amp;"�.                                         7 ������ 2023                                                ��������� ����                                            �������������� � ���������� � 2023: ����� ������� ����� ��������� ����� ������ �� ������ ����"&amp;"���                                    �� ���� � ����������� ��������� ����� ������� �������������� � ������ ������ � ������: ����� ������� �������������� ����� ��������� ����� ������... �� ������� ����� �������� �� ����� ��������� �� ��������� �����. ���"&amp;"������ �������� � �������������� ���� �������� � ���������-�������� ������������ �������� ""��������� �����"" �������� ""������"".                        ��� ������    �����������			31 ������� 2023						������ � �������						���������������� ��������� �� "&amp;"������ 2023 ����					�� �������� �������� � ����� ����� ������� � ������ ������� � ������ 2023 ���� � ����� ���������� � ���������������� ����������.					13 �������� 2023						�����������						����� � 2023: ������� �������� � ���������� � ����������					1"&amp;" �������� �������� ���������� ����� ����� � �����. ����� ���������-������������������ � ������������� ���������� ������������� � ����������? ������ ������������ ������� �������� � ������� ������ � ���? ��� ����� ������ ��� ������������� ����������� ������"&amp;"� ��������? ������� �� ����� �����������.					��� �����������		���������� �������                     7 ������ 2023                					���������									77% ��������� ������� ������.�� ���������� ����������� ������ ������������ ����������� ��������������"&amp;"��				                    30 ������� 2023                					��������									39% ������������ ������������ �������� ��������� � �������� �� �������� ��������� � ��������: �� �������� ���������� ������ � ������� ������� ����������� � �� ����������� �� ��"&amp;"�����				��� ������ ���������������� ���������		�����������		���������������� � ������� �� 10 ������ 2023 �.				������ ��� �� 11 ������� 2023 �. � 2018 ""�� ����������� ����� � ������� �������� � �������� ������ ������ ����� �� ����������� ������� � �����"&amp;"� � �����...							���������� ����������� ��������� ������ �� 9 ������ 2023 �. ""����� ����� �������� ����������������� ����� ������������� ���� �������������""							������������� ������������� �� �� 4 ������ 2023 �. N 1865 ""� ����������� ��������������"&amp;" ������� ""����������� ������ ��������� ������������� �� ���������� ��...						��� ����������� ���������				������						������ ������������ ����������� � ����� �. ������ �� 20 ������� 2023 �. N 990 ""� �������� ��������� � ������ ������������ ����������� "&amp;"� ����� ������ ������...							������ ������������ ��������������� �. ������ �� 26 ������� 2023 �. N 1058 ""� �������� ��������� � ������ ������������ ��������������� ������ ������ �� 5...							������������� ������������� ������ �� 26 ������� 2023 �. N 2"&amp;"042-�� ""� �������� ��������� � ������������� ������������� ������ �� 10 ������� 2004 �. N 77-��""			�������� ������ ��� ����������� ����������� � ����� ""������� ���������"":					�. ������										�. �����-���������										��������� ����										����"&amp;"���� �������										������������� �������										������������ �������										������������ �������										�������� �������										������������ �������										������������� �������										����������� �������										����������� �������							"&amp;"			��������� ���������� �������										������������� ����										���������� �������										��������� �������										���������-���������� ����������										��������������� �������										��������� �������										���������� ����										�����"&amp;"����-���������� ����������										����������� �������										��������� �������										����������� �������										������������� ����										������������ ����										���������� �������										������� �������										������������� �������					"&amp;"					�������� �������										����������� �������										���������� �������										���������� �������										�������� ���������� �����										������������� �������										������������ �������										������������� �������										������ �����"&amp;"��										������������ �������										��������� �������										���������� �������										�������� ����										���������� ����										��������� �������										���������� ������										���������� �����										���������� ������������							"&amp;"			���������� �������										���������� ��������										���������� ���������										���������� ��������										���������� �������										���������� ����										���������� ����										���������� ����� ��										���������� ��������										"&amp;"���������� ���� (������)										���������� �������� ������-������										���������� ���������										���������� ����										���������� �������										���������� �������										��������� �������										��������� �������										����������� �"&amp;"������										����������� �������										������������ �������										�����������										���������� �������										�������������� ����										���������� �������										�������� �������										������� �������										�������� �������							"&amp;"			��������� �������										���������� ����������										����������� �������										����������� ����										�����-���������� ���������� �����-����										����������� �������										��������� ����������										��������� ����������										��"&amp;"������� ���������� �����										�����-�������� ���������� �����										����������� �������									��� ������						��� ������������ ���������				������ �������				���-��������� ������				���������� ������� � ���						����������� ��� �� ������� �������"&amp;"���� ���� ���������� ����� ������������� ����� � ������ ������������ ����������������							����������� ��� ������������ ��������������� ������ ��� ���������� ����������						��� ���������				����� �����������						������������� ������������� �� �� 2 ����"&amp;"�� 2023 �. ��1847 ��� ��������� ��������������� �������� � ����� ��������������� ��������� � � ����������� �������...							����������� ����� ������ �� 9 ������ 2023��. ""�� ������� � ������ �������� �������� ������""							����������� ����� ������ �� 8 �"&amp;"����� 2023��. ��� �������� ����� ������������ ���� �� �������� ������������� ���������						��� �����������		������� ����������		����������		223-��44-��54-����� �������������� ������������������� ������������������� ����������������� ������������ ������� "&amp;"� ���������������� � ������ ���� ����������������� � ������������ ����������� � ������������ � �������� � ������������� �� ���������������� �� �������� �� ����������� �� ������� ������ �������� ������������ �� ����������� ���������������� ��������� ������"&amp;"����������� ����������� ����������������������������� � ������� ����������� ������� ������������������� � ��������� �������������������� �������������� ������������ ����������� �� ����� ��������������� ������������ �������������� ��������������� �������� "&amp;"����� �������� �� ��������� ���		�������						����������� ������							�������� ������							��������� ������							����							��������� ������							����������� �������������� ������							��������-�������������� ������							����������� �������������� �"&amp;"�����							��������� ������							�������� ������							�������� ������							��������� ������							����������������� ������							���������� ������ ����������� �����							������ ����������������� ����������������							��������-�������������� ������		"&amp;"					������ ������							������ ������							��������� ������							������ ��������� ������������							������ ����������� ������� ����������					������						����� ""� ������ ���� ������������""							����� ""�� �����������""							����������� ����� ""� �"&amp;"������""							����������� ����� ""�� ���""							����� ""� �������""							����������� ����� ""� ���������""							����� ""� ���""							����������� ����� ""�� ������""							����������� ����� ""�� ��""							����������� ����� ""�� �����""							��������"&amp;"��� ����� ""� �����""							����������� ����� ""� �������� ����������� � ������� ������""							����������� ����� ""� ������� ��������������""							����� ""� ������""							����������� ����� ""� �������� ������� � ���������� ���������""							�����������"&amp;" ����� ""� �������������� ��������� ����� ������������""							����������� ����� ""� ���������������""							����� ""� ������������ ��������� ����� � ���������� ���������""							����������� ����� ""� ������ � ���������� ������������""							����� �� ����"&amp;"������� ������������							����� ""� ����� �� �����""							����������� ����� ""� ����� ������ �����""							����������� ����� ""� ����������� ���������� ���������""							����������� ����� ""�� ������ ���������� �����""							����������� ����� �� �������"&amp;"���� �������							����� � �����������							����������� ����� ""� ���""							����������� ����� ""� ����������� �������������""							����������� ����� ""� ����������������� (�����������)""							����� � ����������					������-�������				������						��� �"&amp;"��������								�����������				�������				����� ����� 12 ������ 2023			USD �� ��					920535									+01269				EUR �� ��					983155									-00921				������ ���� � ������������ ���������������� 15.00%											������������																									������ �"&amp;"���������																											������ ��������� �� ����������� ������ ��������� ����������																											������ ������ �� ��������� ���������� ��� � ������																											������ ����� �� ������� ������ � �������																"&amp;"											������ ����������� �� �������� ���������� ����� ������ ������� ������ ��� ���������� � ���� ������ ������������� ���������																											������ ���																									��� ������������											���������        ����������������"&amp;" ��������� �� 2023 ���            ���������������� ��������� �� 2024 ���    �������������������������������������������������������������123456789								10												1112								13																				14																				15																				16							"&amp;"													17												1819								20																				21																				22																				23																				24												2526								27																				28																				29																				30												21/91671502998��������"&amp;"������������								1																				2																								3*								456								7																				8																				9																				10												1112								13																				14												15								16																				17									"&amp;"			1819								20																				21																				22																				23																				24												25262728								29												3021/91671502998��������������������12345678910111213141516171819202122232425262728293021/91671502998�������"&amp;"�������������								1												23456								7																				8																				9																				10												1112								13																				14												15								16																				17												181920								21																				2"&amp;"2																				23																				24												252627								28																				29												3021/91671502998������� ����� ������� ���������� ����� �������� ���������� ����������� ��� ���������� 5-������� ����� ���������� �� ������ ������ � "&amp;"�����������?���������� ������ ���������				������� ***							� ����� ����������� ����������� ��������� � ��������							ElenaO							�������� ������ ������������� ������ �������������� ������ ��� ������ ��� ����� ��� ������ ���� � ���							irinaks							"&amp;"������� �������� �������			����������� ��������� 7 �������� 2023 10:52				Cloud4Y �������� ��������� �������������� � ������������ � ������� � ������������ ������							������������� �������� ��������� Cloud4Y ����������� �������� ���������� ������������ "&amp;"�������������� �������� ������� ������ ������.			18 ���� 2023 15:54				������������� ��������� �� ""������- ����������""							������������ � ����� ���������� �� ""����������������"" � ������������� ��� ���������� ������			28 ���� 2023 17:38				����������"&amp;"� ����������� ������������ ISO 14001							ISO 14001 ��������� � ������������ ������������ � ������������ ������������ ����������� � ������ ���.			28 ���� 2023 17:37				������������ ������������ �� ISO 45001							������������ �� ��������� ISO 45001 ���� "&amp;"��� ����������� �������: ���������� ������������ � �������� ���������� ���������� ������ �����.			 7 ���� 2023 12:03				����� ""������"" � ��� �������� �������							""������"" ������ � ������ ������ ������� ����� ����� � �������� � 16 ������� ����			 7 �"&amp;"��� 2023 12:00				��� �������� ������������ ISO 9001							����� ��������� ������� ""�����"" ���������� ������ ������������ �� ���� ������.			20 ������ 2023 15:13				��������-������� ����� ������� ������� � ������ �����							��� �������� ������������� ��"&amp;"������ ������� ���� ���������� � ��������� ����������������� ����������� � ��������� �� ��������� �������.			13 ������ 2023 18:42				��� ������� ������������� ����							� ���� ����������� ������������ ��������� ������������� ���� � ��� ����������� ������"&amp;"������ ��� ����������� ������������ � �������� ��������������� ������ �� ������� ����������. �������� � ���������� �����...			12 ������ 2023 11:38				��������� ""�����"": ��������������� � ����������							������� ����������� ������� �� ���� ��� ������ � "&amp;"������� �������� �������������� �������� ��� ����� ������.			 7 ������ 2023 16:50				���������������� ����������: 5 ���������� ������ �� ������� ������������� ��������������							�������������� � ���� �� ���������� ����� ��������������. ������ � ��� ����"&amp;"����.						��� ���������					�������		��� �������������� ��������������-��������13 ������ 2023 ������ ��������� �������� ��� ���������. ������������ ������������                ���������� �������� �����������            ������� �������14 ������ 2023 ��� 2"&amp;"023-2024: �������� � ����� �������                �������� ����� �����������            ������� �������������� ��������26 ������� 2023		�������� ""������"" ������� ������� � �������� �� ������ ����� � ������	�� ������ ������� ���������� �������� ������ ��"&amp;"������ ���������� ��� ����������� ������� ���������� ������� ����� �� ������������.24 ������� 2023		�������� ""������"" �������� V ����������� ��� ����������� ����������� � ��������� ��������� �����	����������� ������� � ������-������� ��������� ��� �����"&amp;"����� � ������������ ���������� ������ ����������.17 ������� 2023		���������� ����� ����������� ����� ������ ��������	�������� �������� ""������"" ������� ��� � ������ ����� ���������� ���������� ����������� ����������� ����� � �������� �������.13 �������"&amp;" 2023		�������� ""������"" ���������� IV ������������� �������� ����-��������� ""�������+""	���������� �������� ������ � ����������������� ��������� ������� ������.�������� � �������������������-�������� �����������					����������� ������									������� "&amp;"������									�������� ����������									�����									�������� ������ www.garant.ru									""����� �������""									������ ""����������������""									������������ �� ����������� ������									������������� ����������� ������-��������									�����"&amp;"������ ������									""�������� ��������""				���� �������������������������� ������������������ ��������������� ������� �������������� ����-�������������������������� ������������� ��� ""��������������� ����� ������""�������������� � �������� ����������"&amp;"��������� � ����������������					������� ��������									������� ����������� � �������									�������� ��������									�������� �����				�����-�����					������� ��������									���������� ��� ���									�������������� �����������				������� ���������"&amp;"���� ���������� ��������������� � ��������� ��������� ������������ ������������������ ��������������� ��������� �������� ""������""!C�������������������� ""�������� ������""���������������� ������ ������ � ������� ������ ��������� �� 3 ���!�������� ������"&amp;"				� ��� ""��� ""������-������"" 2023. ������� ������ ����������� � 1990 ����. �������� ""������"" � �� �������� �������� ����������� ���������� ���������� �������� ���������� ������.							��� ����� �� ��������� ����� ������.�� ����������� ��� ""��� ""�"&amp;"�����-������"" (��� 7718013048 ���� 1027700495745). ������ ��� ��������� ��������������� ���������� �������� ������ �� ����������� ���������� ���������������. ������� ������������� �������.				������ ������.��  ��������������� � �������� �������� ������� "&amp;"����������� ������� �� ������� � ����� ������������������� ���������� � �������� ������������ (��������������) �� � ��77-58365 �� 18 ���� 2014 ����.			��� ""��� ""������-������"" 119234 �. ������ ��. ��������� ���� �. 1 ���. 77 info@garant.ru.����������� "&amp;"��� ������� ������ � ��� ���� �������-������-������������8-800-200-88-88				(���������� ������������� ������)							��������: +7 (495) 647-62-38 (���. 3145) editor@garant.ru				����� �������: +7 (495) 647-62-38 (���. 3136) adv@garant.ru. ��������� �������"&amp;"���� �����				���� �� �������� �������� � �������������� �� � ������� Ctrl+Enter			 ")</f>
        <v>	������ - ���������������� (������� ������ ����� �������������) �� ��������� ����������� ��������.������������������������������������������� �������������������� ��������								��������							EngRu					������� ������� ������� � ������������ �� ����������� � ������									�������� ������ �������� �� 1300%				12 ������ 2023�����������		�����	���������������						������� ����� ����������� �����:											������� ������:											���������											������ ������											�� ������ ����� ��������� ������� ������ ����� �� ���������� �����:					�������� �������������� � ����������������������������������� ������������������������������������IT�������������������������� ����������� ������������� ��������������-20 ��������� � ���������������� � ���������������������� ��������� � 2024����������� ����������� ���������������� ��� ��� ���������� �� �������������� ����������������������� ������������������������� (100+)������ (1267+)���������������� ��������� (1601+)����������� ���������� (5277+)���� ���������������		�����					������������� �� �� ����������� ������������� �������� ����� ����������� ��������� ���������� ���� ��� ������������� �������������� �������� ������� � ����������� �����?					(��������� ������ 12.11.2023)									�� �������������� �������� �������� ������ ���� ���������� ������������� �������� � ���� �����													�� ����� ���� ����� ������� ���� ������������ ���������� �����													�� �� ������ ��� ��������� ���������� ������ ���������������� � �� �������� ����������� ����� ���													��� ����� �������� ���������� ����������� ���������													��� ������� ��������� �������� ��������������� �������������� ����������� ���� � ������													��� ��������� ��� ����� ��������� ��� ������ ��� ����� ������													���� ������� (������� � �����������)						���������� ������� ������������� 4 ������� 2023��������� ��������� ������������ "� ����������� ������� � ����� �������" (44-��)"�� ���������� ���������� � �� ������� ���� ����������  ��������� ������������� ��������� � �� ''���� �". ����������  ������� ��������� ��������� �������� ������������� �������������� �������.15 ������ 2023��������� ��������� ������������ "� ������������� ������"(223-�� �� 18.07.2011)��������� ����������� ��������� � �� ''���� �".       ���������� ������� ��������� ��������� �������� �������������       �������������� �������.��������-������ ������� ��������������������� ����� ���������			����������������� ������� ������ ������������ ��������� �� ���					���������� ������ ������ � �������� ��������� ������������ ������� ��					� 1 ������ 2024 ���� ����������� ��������� ������ ���������� �� ������ �������������� ���������������					������������� �� ���������� �������� ����������� ��������� �� �������					����������������� ����� ������������� ������������� �� ����������� ��������					� ������� ���������� ��������� ������� ������ ������� ������������					������ ���������� ����������� ������������ ���������� �� ����					�������� ���� ������������� ��� ����������� �������� �� ����� 2024 ����		������10 ������ 18:30			��������� ����					������ � ����� ����������� ������ �������������: �������������� ��������� ��� � 2024		10 ������ 16:47����� ��������			����					����������������� ������� ������ ������������ ��������� �� ���		26 �������			���������					������ ����: ����� ������ � ����� ���������� ������					� ��������������� ����������� � ����� ������� � ������ ������ ������ ��� �� ������ �� ��������������� �� ������������ ���������� � �������� �������� �� ���� ���� � � ����� ���������.		10 ������ 13:55����� ��������			��������					���������� ������ ������ � �������� ��������� ������������ ������� ��		10 ������ 13:22			������ � �������					� ������� ������ ������������ � ��������������� ��������� �� �������� ��������������� � ���������������� ��������		17 �������			���					������ ������������� ������: ���������������� � �������� ��������					� ��������������� ������ � �������� ����� �� �������� �������������� ������������ ������������ ������ ��������� ������� ������ ����������� � ��������������� �� ���� ������ ������������� ������ � � ���������.		10 ������ 10:34			������					��������� ������� ������ ������������� ������ ���������� �� ������� ������������ ������ �� ������ � 44-��		10 ������ 09:31			�������� ��������					�� �� ������� ��������� ������� ������ ��������� � ��� ��� ����������� � ����� �� ������ ����������		 5 �������			IT					������������� ��������� � ������� � ��������					95% ���������� ������-�������� ��� �������� ���������� �� � �������� �������� � �������� ���������.		 9 ������ 16:15			��������					� ������� ���������� ��������� ������� ������ ������� ������������		 9 ������ 15:39			�������� ��������					������������� ��������� ��������: ������ � ���������� ���������� ���� ���� �� �� �������� ���������������� � ������		 9 ������			������				������� �������� ����� ����������� ��������������� ������ ������ � �������					������ ������ ���������� ��� ������� � �������������� ����������� ��� ������� �������� �������������� ������� ������ � ������� ��������. �������������� ��� ������������ � ��������� �� ������������� ������� �� ������ � 44-�� ���������� � ������� � ���������� �������� ��� ����� ������������� ������ ����� ���������� ������. ����� �������� ������� ������ �������� � ��������� ��������� �������� "������" ������ �������.		 9 ������ 14:01			���������					������ �� ������������ ��������� �������� ������������� �� ������� ��������� �����?		 9 ������ 13:32			������ � �������					����������� ����� ����� ������� ������ � ��� ������ �� III ������� 2023 ����		 9 ������ 12:00����� ��������			���������� �����					������������ ������� ������� ��� ������������ ���������� ������������� ������� � ��������� ������ �� ��������		 9 ������ 10:34			������ � �������					�� ������ ��������� ����������� ������ �� 2022 ��� �������� ������ ������		30 �������			��������				��� ��������� � ������ � 1 ������ 2023 ����: ���������� ��������� ������������ ����������� ������������ ���-������ ��� �������� �������� ������������ ��������������� ��������					� ����� �������� ����� � ����� ���������� ����� ��������� ������������ ���������� � ����� ������ ���� ������������ ���������� ������� ������� ���������� ������������ ��������� ���������� ��������� � ����������� ������� ������ � �. �.		10 ������ 16:04			������ � �������					� ��������� ��������� �������� ���������� �������� �������� �������� ��������� ������ 03% �� �����������		10 ������ 15:32			���������					�� �� �������� � ������ ����������� ���������� ���� � ���� ��� ���� ������������ � �������� �����������		24 �������			��������� ����				�������� "������" �������� V ����������� ��� ����������� ����������� � ��������� ��������� �����					����������� ������� � ������-������� ��������� ��� ���������� � ������������ ���������� ������ ����������.		10 ������ 12:03�����			��������					� 1 ������ 2024 ���� ����������� ��������� ������ ���������� �� ������ �������������� ���������������		10 ������ 11:35�����			������ � �������					������������� �� ���������� �������� ����������� ��������� �� �������		30 �������			���					������������ ������� �������� �������������� �������������� ����������� � ����������� ������ ��� �����������					���� �������� ������� ������������ "��� �����" ������������ � ���������� ����������� � �������� ������������ � ���� ������������ �� �� ����������.		 9 ������ 18:30			���������					� ������� ������� ������� ������ �� ������������� ������������� ����������������		 9 ������ 17:46			������ � �������					����������� ������� ����������� ����������� �������������� ������� ��������������� � ���������� ��� ���������� ����������		 1 ������			��������				�������� ������� ���������������� � �����������		 9 ������ 14:55����� ��������			������ � �������					������ ���������� ����������� ������������ ���������� �� ����		 9 ������ 14:38			IT					����� ��������������� ��������� ����� ��������� ������������		31 �������			������ � �������					���������������� ��������� �� ������ 2023 ����					�� �������� �������� � ����� ����� ������� � ������ ������� � ������ 2023 ���� � ����� ���������� � ���������������� ����������.		 9 ������ 12:34			������					�������� ���� ������������� ��� ����������� �������� �� ����� 2024 ����		 9 ������ 11:26			��������					� ������� ���������� �������� ���� � �������������� �����		��� ������������������������������� ������				 2 ������ 2023								������								������� �� ��������� ���������*							��� �� ���� ���� ����������� ��������� ������������������� ������������ �� �������� ����������� �������� ������ ������������� �� �������������� ����. ��������� �� ���� � ���������.							26 ������� 2023								���������								������ ����: ����� ������ � ����� ���������� ������							� ��������������� ����������� � ����� ������� � ������ ������ ������ ��� �� ������ �� ��������������� �� ������������ ���������� � �������� �������� �� ���� ���� � � ����� ���������.							17 ������� 2023								���								������ ������������� ������: ���������������� � �������� ��������							� ��������������� ������ � �������� ����� �� �������� �������������� ������������ ������������ ������ ��������� ������� ������ ����������� � ��������������� �� ���� ������ ������������� ������ � � ���������.							 4 ������� 2023								IT								������������� ��������� � ������� � ��������							95% ���������� ������ �������� ��� �������� ���������� �� � �������� �������� � �������� ���������.							20 �������� 2023								��������								����������� ������������ � ��� ������������� � �������� ����������� ��� ������ ���������� ������������� ������� ��������� ����							� ��������� ��������������� ������� ������������� �������� ���������� ������������� ������������ � ����� ����������� (������� ����������� ���������� ��������) � ����������� (������� ��������� �����������).							 1 �������� 2023								�����������								������ ��� � ������ �����: ����������� ����������� �������� �������� � ������������ �� ��������� ���������������							� ���������-������������������ ����������� ��������� ������� ��������� � ������������ ��������� � ����� �� ����������� �������� ������� ����������� ���������� � �������� ����� � � ����� ���������.						��� ������		������                30 ������� 2023            				���							������������ ������� �������� �������������� �������������� ����������� � ����������� ������ ��� �����������							���� �������� ������� ������������ "��� �����" ������������ � ���������� ����������� � �������� ������������ � ���� ������������ �� �� ����������.			                 5 ������� 2023            				������ � �������							����������� ��������� ��������� �������������� ����������� � �������������� ����������������: �������� ���������							��� ���������� ������ �������������� ������������ ��� �������� ������������-�� ������� �������� �� ���������� ��� ���� ��������������� ����� ������������ ������ ���������� ������������ ������������ "������ � ���������-������������� ����������" ��� "������������ ���������� ����".			                27 �������� 2023            				������							����� �������� �������� ������ �������� ���������� ��� ������������� ���������� ������������?							� ������ ���������� �������� ���� ����������� ���������� ������� ���������� ���������� �������������� �������� ��� �������� ��������� � ������. ����� ����� � ����������� �������� ��� "��� �� 115-��" ��������� � ��������� �� ��� �������� �������� ������������ ���� �� ���/��.			                15 �������� 2023            				���							������� ��������������: ������� ���������� � ����� ������� ��� �� ������������							� ��� �  ����� ������� �������� � ��������������� ������ �� ���������� �������� �������������� � ��� ����������� ��� ������������� ������� �������� �� ����� �� ������������ ������������ ���� �������� ������� ������������ ����������� �������� "��� �����".						��� ������					��� ������		������� � ������		������� � ����������			������			����������� �����			�������� �����			����������			��������� ����			��������					������:							���� �������� �� ���������������� ������ � ������� ����������� ��� ���������� ��� ("������ ����� �������") � �������� �� ������������ �� ������� � �����������. ����������� ����� � ���� ��������� �����							������:							������ ��� ��� ��������� �������� �� �������� � ������ ������. ������ ������. �������� ������� ��������� ��������							������:							����� ������� ���������� ��� (���) � ��������� ������� �������� � ���������?							������:							����� ������ ��� ����������� �� ��������� ������� ������� ��������� �����							������:							��� ��������� � ������������ ����������� ������������ �� ��������� ���� ��������� ������������� � ���� �������� ����������� ������������ �� ��������� � �������������� ����� ����������?							������:							������ ���������� ������� �������� �������� � ������ ���� ����� ���� �������� � ������� ���� �� � ������� ���� ���������� � ����� � ��������� �������� ���������� � ���������� �� ������������?							������:							�������� ���� �������� ��������� �������� � ���� �������� ��������� �������� ��������� ������� ����������� ����� ���������������� ��� � ������ � ����������� ������ ���� ��� � ������� 8 103 236 ���. ����� ��������� � ������ ��� ��������� ������������������ �������� �� ������� �������������. �������� ���������� � ��������������� � ���� ������ ��� ����� � ������ ����� � ����� 10 000 000 ������. �������� ������ � ���. ��� ������ � ������������� ��������� ������� ��������. ��������� ����� �������� ���������� � ����� �� ����� 10 000 000 ������. ��� ������������ ��������� ������� �������� ���� � ������� ������ ������� ����������.����� �� ����� ��������...					������ �����		��� ���������������                        30 �������� 2022                    							������ � �������												������ ��������											�������������� ��������������� �������� �� 3 ������					"������ ��������� ���� ����������� ������ ��������� ������ ������� � 1 ������ 2023 ����"                        26 �������� 2022                    							��������� ����												��������� ������											����������� ��������� ������������ ��������� ����������� � ���������� ���������� � ��������������� ������� ������� ������					"�� ����� ��������� ������ �� ���������� ������������ ������� ������� ��������� ��������������� ��������� ������������� � ������������� ������������� ��������� �������"		��� ��������	����� � �����                         9 ������ 2023                                                ������                                            ������� �������� ����� ����������� ��������������� ������ ������ � �������                                    ������ ������ ���������� ��� ������� � �������������� ����������� ��� ������� �������� �������������� ������� ������ � ������� ��������. �������������� ��� ������������ � ��������� �� ������������� ������� �� ������ � 44-�� ���������� � ������� � ���������� �������� ��� ����� ������������� ������ ����� ���������� ������. ����� �������� ������� ������ �������� � ��������� ��������� �������� "������" ������ �������.                                         7 ������ 2023                                                ��������� ����                                            �������������� � ���������� � 2023: ����� ������� ����� ��������� ����� ������ �� ������ �������                                    �� ���� � ����������� ��������� ����� ������� �������������� � ������ ������ � ������: ����� ������� �������������� ����� ��������� ����� ������... �� ������� ����� �������� �� ����� ��������� �� ��������� �����. ��������� �������� � �������������� ���� �������� � ���������-�������� ������������ �������� "��������� �����" �������� "������".                        ��� ������    �����������			31 ������� 2023						������ � �������						���������������� ��������� �� ������ 2023 ����					�� �������� �������� � ����� ����� ������� � ������ ������� � ������ 2023 ���� � ����� ���������� � ���������������� ����������.					13 �������� 2023						�����������						����� � 2023: ������� �������� � ���������� � ����������					1 �������� �������� ���������� ����� ����� � �����. ����� ���������-������������������ � ������������� ���������� ������������� � ����������? ������ ������������ ������� �������� � ������� ������ � ���? ��� ����� ������ ��� ������������� ����������� ������� ��������? ������� �� ����� �����������.					��� �����������		���������� �������                     7 ������ 2023                					���������									77% ��������� ������� ������.�� ���������� ����������� ������ ������������ ����������� ����������������				                    30 ������� 2023                					��������									39% ������������ ������������ �������� ��������� � �������� �� �������� ��������� � ��������: �� �������� ���������� ������ � ������� ������� ����������� � �� ����������� �� �������				��� ������ ���������������� ���������		�����������		���������������� � ������� �� 10 ������ 2023 �.				������ ��� �� 11 ������� 2023 �. � 2018 "�� ����������� ����� � ������� �������� � �������� ������ ������ ����� �� ����������� ������� � ������ � �����...							���������� ����������� ��������� ������ �� 9 ������ 2023 �. "����� ����� �������� ����������������� ����� ������������� ���� �������������"							������������� ������������� �� �� 4 ������ 2023 �. N 1865 "� ����������� �������������� ������� "����������� ������ ��������� ������������� �� ���������� ��...						��� ����������� ���������				������						������ ������������ ����������� � ����� �. ������ �� 20 ������� 2023 �. N 990 "� �������� ��������� � ������ ������������ ����������� � ����� ������ ������...							������ ������������ ��������������� �. ������ �� 26 ������� 2023 �. N 1058 "� �������� ��������� � ������ ������������ ��������������� ������ ������ �� 5...							������������� ������������� ������ �� 26 ������� 2023 �. N 2042-�� "� �������� ��������� � ������������� ������������� ������ �� 10 ������� 2004 �. N 77-��"			�������� ������ ��� ����������� ����������� � ����� "������� ���������":					�. ������										�. �����-���������										��������� ����										�������� �������										������������� �������										������������ �������										������������ �������										�������� �������										������������ �������										������������� �������										����������� �������										����������� �������										��������� ���������� �������										������������� ����										���������� �������										��������� �������										���������-���������� ����������										��������������� �������										��������� �������										���������� ����										���������-���������� ����������										����������� �������										��������� �������										����������� �������										������������� ����										������������ ����										���������� �������										������� �������										������������� �������										�������� �������										����������� �������										���������� �������										���������� �������										�������� ���������� �����										������������� �������										������������ �������										������������� �������										������ �������										������������ �������										��������� �������										���������� �������										�������� ����										���������� ����										��������� �������										���������� ������										���������� �����										���������� ������������										���������� �������										���������� ��������										���������� ���������										���������� ��������										���������� �������										���������� ����										���������� ����										���������� ����� ��										���������� ��������										���������� ���� (������)										���������� �������� ������-������										���������� ���������										���������� ����										���������� �������										���������� �������										��������� �������										��������� �������										����������� �������										����������� �������										������������ �������										�����������										���������� �������										�������������� ����										���������� �������										�������� �������										������� �������										�������� �������										��������� �������										���������� ����������										����������� �������										����������� ����										�����-���������� ���������� �����-����										����������� �������										��������� ����������										��������� ����������										��������� ���������� �����										�����-�������� ���������� �����										����������� �������									��� ������						��� ������������ ���������				������ �������				���-��������� ������				���������� ������� � ���						����������� ��� �� ������� ����������� ���� ���������� ����� ������������� ����� � ������ ������������ ����������������							����������� ��� ������������ ��������������� ������ ��� ���������� ����������						��� ���������				����� �����������						������������� ������������� �� �� 2 ������ 2023 �. ��1847 ��� ��������� ��������������� �������� � ����� ��������������� ��������� � � ����������� �������...							����������� ����� ������ �� 9 ������ 2023��. "�� ������� � ������ �������� �������� ������"							����������� ����� ������ �� 8 ������ 2023��. ��� �������� ����� ������������ ���� �� �������� ������������� ���������						��� �����������		������� ����������		����������		223-��44-��54-����� �������������� ������������������� ������������������� ����������������� ������������ ������� � ���������������� � ������ ���� ����������������� � ������������ ����������� � ������������ � �������� � ������������� �� ���������������� �� �������� �� ����������� �� ������� ������ �������� ������������ �� ����������� ���������������� ��������� ����������������� ����������� ����������������������������� � ������� ����������� ������� ������������������� � ��������� �������������������� �������������� ������������ ����������� �� ����� ��������������� ������������ �������������� ��������������� �������� ����� �������� �� ��������� ���		�������						����������� ������							�������� ������							��������� ������							����							��������� ������							����������� �������������� ������							��������-�������������� ������							����������� �������������� ������							��������� ������							�������� ������							�������� ������							��������� ������							����������������� ������							���������� ������ ����������� �����							������ ����������������� ����������������							��������-�������������� ������							������ ������							������ ������							��������� ������							������ ��������� ������������							������ ����������� ������� ����������					������						����� "� ������ ���� ������������"							����� "�� �����������"							����������� ����� "� �������"							����������� ����� "�� ���"							����� "� �������"							����������� ����� "� ���������"							����� "� ���"							����������� ����� "�� ������"							����������� ����� "�� ��"							����������� ����� "�� �����"							����������� ����� "� �����"							����������� ����� "� �������� ����������� � ������� ������"							����������� ����� "� ������� ��������������"							����� "� ������"							����������� ����� "� �������� ������� � ���������� ���������"							����������� ����� "� �������������� ��������� ����� ������������"							����������� ����� "� ���������������"							����� "� ������������ ��������� ����� � ���������� ���������"							����������� ����� "� ������ � ���������� ������������"							����� �� ����������� ������������							����� "� ����� �� �����"							����������� ����� "� ����� ������ �����"							����������� ����� "� ����������� ���������� ���������"							����������� ����� "�� ������ ���������� �����"							����������� ����� �� ����������� �������							����� � �����������							����������� ����� "� ���"							����������� ����� "� ����������� �������������"							����������� ����� "� ����������������� (�����������)"							����� � ����������					������-�������				������						��� ���������								�����������				�������				����� ����� 12 ������ 2023			USD �� ��					920535									+01269				EUR �� ��					983155									-00921				������ ���� � ������������ ���������������� 15.00%											������������																									������ ����������																											������ ��������� �� ����������� ������ ��������� ����������																											������ ������ �� ��������� ���������� ��� � ������																											������ ����� �� ������� ������ � �������																											������ ����������� �� �������� ���������� ����� ������ ������� ������ ��� ���������� � ���� ������ ������������� ���������																											������ ���																									��� ������������											���������        ���������������� ��������� �� 2023 ���            ���������������� ��������� �� 2024 ���    �������������������������������������������������������������123456789								10												1112								13																				14																				15																				16																				17												1819								20																				21																				22																				23																				24												2526								27																				28																				29																				30												21/91671502998��������������������								1																				2																								3*								456								7																				8																				9																				10												1112								13																				14												15								16																				17												1819								20																				21																				22																				23																				24												25262728								29												3021/91671502998��������������������12345678910111213141516171819202122232425262728293021/91671502998��������������������								1												23456								7																				8																				9																				10												1112								13																				14												15								16																				17												181920								21																				22																				23																				24												252627								28																				29												3021/91671502998������� ����� ������� ���������� ����� �������� ���������� ����������� ��� ���������� 5-������� ����� ���������� �� ������ ������ � �����������?���������� ������ ���������				������� ***							� ����� ����������� ����������� ��������� � ��������							ElenaO							�������� ������ ������������� ������ �������������� ������ ��� ������ ��� ����� ��� ������ ���� � ���							irinaks							������� �������� �������			����������� ��������� 7 �������� 2023 10:52				Cloud4Y �������� ��������� �������������� � ������������ � ������� � ������������ ������							������������� �������� ��������� Cloud4Y ����������� �������� ���������� ������������ �������������� �������� ������� ������ ������.			18 ���� 2023 15:54				������������� ��������� �� "������- ����������"							������������ � ����� ���������� �� "����������������" � ������������� ��� ���������� ������			28 ���� 2023 17:38				����������� ����������� ������������ ISO 14001							ISO 14001 ��������� � ������������ ������������ � ������������ ������������ ����������� � ������ ���.			28 ���� 2023 17:37				������������ ������������ �� ISO 45001							������������ �� ��������� ISO 45001 ���� ��� ����������� �������: ���������� ������������ � �������� ���������� ���������� ������ �����.			 7 ���� 2023 12:03				����� "������" � ��� �������� �������							"������" ������ � ������ ������ ������� ����� ����� � �������� � 16 ������� ����			 7 ���� 2023 12:00				��� �������� ������������ ISO 9001							����� ��������� ������� "�����" ���������� ������ ������������ �� ���� ������.			20 ������ 2023 15:13				��������-������� ����� ������� ������� � ������ �����							��� �������� ������������� �������� ������� ���� ���������� � ��������� ����������������� ����������� � ��������� �� ��������� �������.			13 ������ 2023 18:42				��� ������� ������������� ����							� ���� ����������� ������������ ��������� ������������� ���� � ��� ����������� ������������ ��� ����������� ������������ � �������� ��������������� ������ �� ������� ����������. �������� � ���������� �����...			12 ������ 2023 11:38				��������� "�����": ��������������� � ����������							������� ����������� ������� �� ���� ��� ������ � ������� �������� �������������� �������� ��� ����� ������.			 7 ������ 2023 16:50				���������������� ����������: 5 ���������� ������ �� ������� ������������� ��������������							�������������� � ���� �� ���������� ����� ��������������. ������ � ��� ��������.						��� ���������					�������		��� �������������� ��������������-��������13 ������ 2023 ������ ��������� �������� ��� ���������. ������������ ������������                ���������� �������� �����������            ������� �������14 ������ 2023 ��� 2023-2024: �������� � ����� �������                �������� ����� �����������            ������� �������������� ��������26 ������� 2023		�������� "������" ������� ������� � �������� �� ������ ����� � ������	�� ������ ������� ���������� �������� ������ �������� ���������� ��� ����������� ������� ���������� ������� ����� �� ������������.24 ������� 2023		�������� "������" �������� V ����������� ��� ����������� ����������� � ��������� ��������� �����	����������� ������� � ������-������� ��������� ��� ���������� � ������������ ���������� ������ ����������.17 ������� 2023		���������� ����� ����������� ����� ������ ��������	�������� �������� "������" ������� ��� � ������ ����� ���������� ���������� ����������� ����������� ����� � �������� �������.13 ������� 2023		�������� "������" ���������� IV ������������� �������� ����-��������� "�������+"	���������� �������� ������ � ����������������� ��������� ������� ������.�������� � �������������������-�������� �����������					����������� ������									������� ������									�������� ����������									�����									�������� ������ www.garant.ru									"����� �������"									������ "����������������"									������������ �� ����������� ������									������������� ����������� ������-��������									����������� ������									"�������� ��������"				���� �������������������������� ������������������ ��������������� ������� �������������� ����-�������������������������� ������������� ��� "��������������� ����� ������"�������������� � �������� ������������������� � ����������������					������� ��������									������� ����������� � �������									�������� ��������									�������� �����				�����-�����					������� ��������									���������� ��� ���									�������������� �����������				������� ������������� ���������� ��������������� � ��������� ��������� ������������ ������������������ ��������������� ��������� �������� "������"!C�������������������� "�������� ������"���������������� ������ ������ � ������� ������ ��������� �� 3 ���!�������� ������				� ��� "��� "������-������" 2023. ������� ������ ����������� � 1990 ����. �������� "������" � �� �������� �������� ����������� ���������� ���������� �������� ���������� ������.							��� ����� �� ��������� ����� ������.�� ����������� ��� "��� "������-������" (��� 7718013048 ���� 1027700495745). ������ ��� ��������� ��������������� ���������� �������� ������ �� ����������� ���������� ���������������. ������� ������������� �������.				������ ������.��  ��������������� � �������� �������� ������� ����������� ������� �� ������� � ����� ������������������� ���������� � �������� ������������ (��������������) �� � ��77-58365 �� 18 ���� 2014 ����.			��� "��� "������-������" 119234 �. ������ ��. ��������� ���� �. 1 ���. 77 info@garant.ru.����������� ��� ������� ������ � ��� ���� �������-������-������������8-800-200-88-88				(���������� ������������� ������)							��������: +7 (495) 647-62-38 (���. 3145) editor@garant.ru				����� �������: +7 (495) 647-62-38 (���. 3136) adv@garant.ru. ��������� ����������� �����				���� �� �������� �������� � �������������� �� � ������� Ctrl+Enter			 </v>
      </c>
    </row>
    <row r="787">
      <c r="A787" s="1" t="s">
        <v>2588</v>
      </c>
      <c r="B787" s="1" t="s">
        <v>1720</v>
      </c>
      <c r="C787" s="1" t="s">
        <v>2593</v>
      </c>
      <c r="D787" s="1">
        <v>3.0</v>
      </c>
      <c r="E787" s="4" t="s">
        <v>2594</v>
      </c>
      <c r="F787" s="1" t="s">
        <v>16</v>
      </c>
      <c r="I787" s="2">
        <v>0.0</v>
      </c>
      <c r="J787" s="5" t="str">
        <f>IFERROR(__xludf.DUMMYFUNCTION("GOOGLETRANSLATE(A787)"),"Production calendar 2023")</f>
        <v>Production calendar 2023</v>
      </c>
      <c r="K787" s="6" t="str">
        <f>IFERROR(__xludf.DUMMYFUNCTION("GOOGLETRANSLATE(B787)"),"Production calendar for 2023")</f>
        <v>Production calendar for 2023</v>
      </c>
      <c r="L787" s="5" t="str">
        <f>IFERROR(__xludf.DUMMYFUNCTION("GOOGLETRANSLATE(C787)"),"The production calendar of Russia for vacation planning, counting working days. Download and print the production calendar for 2023.")</f>
        <v>The production calendar of Russia for vacation planning, counting working days. Download and print the production calendar for 2023.</v>
      </c>
      <c r="M787" s="5" t="str">
        <f>IFERROR(__xludf.DUMMYFUNCTION("GOOGLETRANSLATE(G787)"),"#VALUE!")</f>
        <v>#VALUE!</v>
      </c>
    </row>
    <row r="788">
      <c r="A788" s="1" t="s">
        <v>2588</v>
      </c>
      <c r="B788" s="1" t="s">
        <v>1720</v>
      </c>
      <c r="D788" s="1">
        <v>4.0</v>
      </c>
      <c r="E788" s="4" t="s">
        <v>2595</v>
      </c>
      <c r="F788" s="1" t="s">
        <v>16</v>
      </c>
      <c r="G788" s="1" t="s">
        <v>448</v>
      </c>
      <c r="H788" s="4" t="s">
        <v>449</v>
      </c>
      <c r="I788" s="2">
        <v>0.0</v>
      </c>
      <c r="J788" s="5" t="str">
        <f>IFERROR(__xludf.DUMMYFUNCTION("GOOGLETRANSLATE(A788)"),"Production calendar 2023")</f>
        <v>Production calendar 2023</v>
      </c>
      <c r="K788" s="6" t="str">
        <f>IFERROR(__xludf.DUMMYFUNCTION("GOOGLETRANSLATE(B788)"),"Production calendar for 2023")</f>
        <v>Production calendar for 2023</v>
      </c>
      <c r="L788" s="5" t="str">
        <f>IFERROR(__xludf.DUMMYFUNCTION("GOOGLETRANSLATE(C788)"),"#VALUE!")</f>
        <v>#VALUE!</v>
      </c>
      <c r="M788" s="5" t="str">
        <f>IFERROR(__xludf.DUMMYFUNCTION("GOOGLETRANSLATE(G788)"),"Work in Moscow Search for personnel and publishing vacancies - HH.ru. Working with our site, you need to include JavaScript in your browser. Curi -mosquito -workers, ready -made resumes -wise advice, help, work to make a resumes -winging system finding an"&amp;" employee 65,757 425 haste1 4102 vacancies2 088 561 compliance with the phone so that employers can offer you work to confirm to confirm that you do not introduce the text from the picture: the other text of the text “continue” you confirm that you are fa"&amp;"miliarized with the “Agreement on the provision of assistance in employment (Offer)” Vacancies of the day of the day 7649 Vacanceism of the house83707 Vacancies 72000 to 89 000 000 ₽Rabotahr Moscow employee restaurant 50,000 to 70000 ₽ Dododo pizza (DPM N"&amp;"orth) Moskvalichny assistant psychologist 50,000 to 250,000 ₽ Guphanina Alina Borisovna Moskovaristat 74000 to 91000 ₽ Fleet Moscow Administrator in the hot yogi -2000 to 50,000 ₽Bikram .ru Yoga Moskvalichny driver 100,000 to 120,000 ₽ Hihitrova Anastasia"&amp;" Viktorovna Moskvannoye seller-cashier/Administrator 60,000 ₽ Bukhaev Yusup Sydemyeva Moskvypskor (guard) in the clinic 80,000 to 80,000 ₽ Krapetvei ₽ Defeditrum 87 000 to 121000 ₽rabotahr Moscow Moscow 60,000 to 140,000 ₽ Bukhaev Yusup Saidemeyeva Moscow"&amp;" -Semey driver to 1,20,000 to 140,000 ₽ INSITS Moskovo View all work in the Moscow Automobile Administrative Personnel Safe and Medium Management of the Raw Personnel Management Service -Schools Logiiiscence of entertainment of mass mediamarketing adverti"&amp;"sing PRMMedicin pharmaceuticals Education Production Service Service Service Production Service Maintenance Worker Personnel Trade Trade Clubs Fitness Salons Beauty Strategia Investment Consulting Storestroe Real Estate Sports Transportation Transportuisc"&amp;"ent Hotel Restaurant Management by personnel Training and Office of the Emergenary Gholoset in the rating 000 000 and more work in November with daily payments-welding November with a salary of 150 000 ₽ Vacancia November for managers with a salary of 150"&amp;" 000 ₽, not to spoil the impression of themselves with activity in social networks, to become an accountant from scratch ""R-Farm"": to live a full life and benefit people ""Pentorochka"": how to become the owner of a business and workshop for programmers"&amp;" for engineering for engineering for engineering for engineering The sales manager for directorship for administrator work for marketer work for design will be designed for lawyers in other cities in the Zagoryansk work in Moscow work in prompt work in lo"&amp;"ng -term work in driving work in shopatin work in Bobrov work in Mytishchkhnich work in the Khimki -work in Russia, most of the life of almost every of us. But nothing forever: it happens that one day you have to change the place of work and plunge with y"&amp;"our head in search of vacancies - I want to find a good alternative to the current position. Often when changing work, we think not only about changing the company but also about changing professional activities. And it is at these moments that the questi"&amp;"on arises: “How to find a good job in Moscow now? And most importantly, what should this work be? ”Showing it completely to solve such issues easily and quickly just go to hh.ru! On our website you can always find out the latest labor market news and also"&amp;" study a fresh review of salaries with which it is easy to evaluate what Positions should be aiming. If you have already determined the vacancies of which specialties you are interested in only you can create a resume and start searching for a dream work!"&amp;" It is most convenient to look for a job using our vacancies catalog: by clicking in the mouse, you will get a list of relevant and high -quality vacancies in the Moscow or other region of Russia. But this is not the only option for searching for work. On"&amp;" our site you can create an attractive resume and vacancies will begin to flock to you! And having combined both of these methods, you can get the fastest and most importantly effective way to search for work! Create a summary of the application vacancies"&amp;" answers to responses and access to a resume - always at your fingertips. Just enter the phone camera on the QR-CODDHUNTERO company of the company's vacancies for the site of the personal data of personal data-safety Headhunteretika and complianceheadHunt"&amp;"er Apartneadhunter of the provision of the service of the use of the site and articles of labor in the company of Russian serial workshops SE for applicants for reservations Service Prophorus. Processing Summies Summary for you to work for a production ca"&amp;"lendar expert recommendation with a young specialist for young specialists of the School School School Upon -residents of employees, consonant of the company, by professionals, near the metro notification in the Messengeryswitch to English © 2023 Hadhante"&amp;"r LLC, HH.ru information resource applies (information technologies for the provision of information on the systematization and analysis of information related to the preferences of users of the Internet. Russian Federation) Today on the site 1410102 vaca"&amp;"ncies 65757425 resume 2088561 Company and in a week 3611017 invitations subscribe to the Push notifications of HH.ru now subscribe now")</f>
        <v>Work in Moscow Search for personnel and publishing vacancies - HH.ru. Working with our site, you need to include JavaScript in your browser. Curi -mosquito -workers, ready -made resumes -wise advice, help, work to make a resumes -winging system finding an employee 65,757 425 haste1 4102 vacancies2 088 561 compliance with the phone so that employers can offer you work to confirm to confirm that you do not introduce the text from the picture: the other text of the text “continue” you confirm that you are familiarized with the “Agreement on the provision of assistance in employment (Offer)” Vacancies of the day of the day 7649 Vacanceism of the house83707 Vacancies 72000 to 89 000 000 ₽Rabotahr Moscow employee restaurant 50,000 to 70000 ₽ Dododo pizza (DPM North) Moskvalichny assistant psychologist 50,000 to 250,000 ₽ Guphanina Alina Borisovna Moskovaristat 74000 to 91000 ₽ Fleet Moscow Administrator in the hot yogi -2000 to 50,000 ₽Bikram .ru Yoga Moskvalichny driver 100,000 to 120,000 ₽ Hihitrova Anastasia Viktorovna Moskvannoye seller-cashier/Administrator 60,000 ₽ Bukhaev Yusup Sydemyeva Moskvypskor (guard) in the clinic 80,000 to 80,000 ₽ Krapetvei ₽ Defeditrum 87 000 to 121000 ₽rabotahr Moscow Moscow 60,000 to 140,000 ₽ Bukhaev Yusup Saidemeyeva Moscow -Semey driver to 1,20,000 to 140,000 ₽ INSITS Moskovo View all work in the Moscow Automobile Administrative Personnel Safe and Medium Management of the Raw Personnel Management Service -Schools Logiiiscence of entertainment of mass mediamarketing advertising PRMMedicin pharmaceuticals Education Production Service Service Service Production Service Maintenance Worker Personnel Trade Trade Clubs Fitness Salons Beauty Strategia Investment Consulting Storestroe Real Estate Sports Transportation Transportuiscent Hotel Restaurant Management by personnel Training and Office of the Emergenary Gholoset in the rating 000 000 and more work in November with daily payments-welding November with a salary of 150 000 ₽ Vacancia November for managers with a salary of 150 000 ₽, not to spoil the impression of themselves with activity in social networks, to become an accountant from scratch "R-Farm": to live a full life and benefit people "Pentorochka": how to become the owner of a business and workshop for programmers for engineering for engineering for engineering for engineering The sales manager for directorship for administrator work for marketer work for design will be designed for lawyers in other cities in the Zagoryansk work in Moscow work in prompt work in long -term work in driving work in shopatin work in Bobrov work in Mytishchkhnich work in the Khimki -work in Russia, most of the life of almost every of us. But nothing forever: it happens that one day you have to change the place of work and plunge with your head in search of vacancies - I want to find a good alternative to the current position. Often when changing work, we think not only about changing the company but also about changing professional activities. And it is at these moments that the question arises: “How to find a good job in Moscow now? And most importantly, what should this work be? ”Showing it completely to solve such issues easily and quickly just go to hh.ru! On our website you can always find out the latest labor market news and also study a fresh review of salaries with which it is easy to evaluate what Positions should be aiming. If you have already determined the vacancies of which specialties you are interested in only you can create a resume and start searching for a dream work! It is most convenient to look for a job using our vacancies catalog: by clicking in the mouse, you will get a list of relevant and high -quality vacancies in the Moscow or other region of Russia. But this is not the only option for searching for work. On our site you can create an attractive resume and vacancies will begin to flock to you! And having combined both of these methods, you can get the fastest and most importantly effective way to search for work! Create a summary of the application vacancies answers to responses and access to a resume - always at your fingertips. Just enter the phone camera on the QR-CODDHUNTERO company of the company's vacancies for the site of the personal data of personal data-safety Headhunteretika and complianceheadHunter Apartneadhunter of the provision of the service of the use of the site and articles of labor in the company of Russian serial workshops SE for applicants for reservations Service Prophorus. Processing Summies Summary for you to work for a production calendar expert recommendation with a young specialist for young specialists of the School School School Upon -residents of employees, consonant of the company, by professionals, near the metro notification in the Messengeryswitch to English © 2023 Hadhanter LLC, HH.ru information resource applies (information technologies for the provision of information on the systematization and analysis of information related to the preferences of users of the Internet. Russian Federation) Today on the site 1410102 vacancies 65757425 resume 2088561 Company and in a week 3611017 invitations subscribe to the Push notifications of HH.ru now subscribe now</v>
      </c>
    </row>
    <row r="789">
      <c r="A789" s="1" t="s">
        <v>2588</v>
      </c>
      <c r="B789" s="1" t="s">
        <v>1680</v>
      </c>
      <c r="C789" s="1" t="s">
        <v>1681</v>
      </c>
      <c r="D789" s="1">
        <v>5.0</v>
      </c>
      <c r="E789" s="4" t="s">
        <v>1682</v>
      </c>
      <c r="F789" s="1" t="s">
        <v>16</v>
      </c>
      <c r="I789" s="2">
        <v>1.0</v>
      </c>
      <c r="J789" s="5" t="str">
        <f>IFERROR(__xludf.DUMMYFUNCTION("GOOGLETRANSLATE(A789)"),"Production calendar 2023")</f>
        <v>Production calendar 2023</v>
      </c>
      <c r="K789" s="6" t="str">
        <f>IFERROR(__xludf.DUMMYFUNCTION("GOOGLETRANSLATE(B789)"),"What days in 2023 non -working")</f>
        <v>What days in 2023 non -working</v>
      </c>
      <c r="L789" s="5" t="str">
        <f>IFERROR(__xludf.DUMMYFUNCTION("GOOGLETRANSLATE(C789)"),"The approved production calendar for 2023 in Russia. Holidays, weekends and working days in 2023. Feast and weekend schedule: March, ...")</f>
        <v>The approved production calendar for 2023 in Russia. Holidays, weekends and working days in 2023. Feast and weekend schedule: March, ...</v>
      </c>
      <c r="M789" s="5" t="str">
        <f>IFERROR(__xludf.DUMMYFUNCTION("GOOGLETRANSLATE(G789)"),"#VALUE!")</f>
        <v>#VALUE!</v>
      </c>
    </row>
    <row r="790">
      <c r="A790" s="1" t="s">
        <v>2588</v>
      </c>
      <c r="B790" s="1" t="s">
        <v>2596</v>
      </c>
      <c r="C790" s="1" t="s">
        <v>2597</v>
      </c>
      <c r="D790" s="1">
        <v>6.0</v>
      </c>
      <c r="E790" s="4" t="s">
        <v>2598</v>
      </c>
      <c r="F790" s="1" t="s">
        <v>16</v>
      </c>
      <c r="G790" s="1" t="s">
        <v>2599</v>
      </c>
      <c r="H790" s="4" t="s">
        <v>2600</v>
      </c>
      <c r="I790" s="2">
        <v>1.0</v>
      </c>
      <c r="J790" s="5" t="str">
        <f>IFERROR(__xludf.DUMMYFUNCTION("GOOGLETRANSLATE(A790)"),"Production calendar 2023")</f>
        <v>Production calendar 2023</v>
      </c>
      <c r="K790" s="6" t="str">
        <f>IFERROR(__xludf.DUMMYFUNCTION("GOOGLETRANSLATE(B790)"),"Production calendar for 2023 with ...")</f>
        <v>Production calendar for 2023 with ...</v>
      </c>
      <c r="L790" s="5" t="str">
        <f>IFERROR(__xludf.DUMMYFUNCTION("GOOGLETRANSLATE(C790)"),"The transfer of weekends in 2023 · from December 31, 2022 to January 8, 2023; · From 23 to 26 February; · March 8; · From April 29 to May 1 and from 6 to 9 May; · With 10 ...")</f>
        <v>The transfer of weekends in 2023 · from December 31, 2022 to January 8, 2023; · From 23 to 26 February; · March 8; · From April 29 to May 1 and from 6 to 9 May; · With 10 ...</v>
      </c>
      <c r="M790" s="5" t="str">
        <f>IFERROR(__xludf.DUMMYFUNCTION("GOOGLETRANSLATE(G790)"),"Accounting Taxation Reporting IFRS Analysis of Accounting Information 1C: Accounting | Bukkaya.1C - a site for modern accounting of the day of the day of the BUCHECHECTION and TURGENTIONSHING ATTIMATION OF Automation, FSBUAUTOMATION OF AND APECTIONAL GENA"&amp;"BUCHABUHGALTER in the FSBUABUCHITOMATION OF ANSWER OF STRUCTION OF THE STRUCTION FOR SACKING DISCOUNTION OF PERFORMANCES AND EXTRUCTION OF Pensions and exemption from personal income tax: The most good news of November 10, 202 November 202 3 Federal Tax S"&amp;"ervice allowed not Pay taxes on the amount of the weekend on November 10, 2023 prepared a bill to reduce the duration of the working week on November 10, 2023 The newspaper in 1C: Accounting 8: Exchange with Sedo through the operator on November 9, 2023 T"&amp;"he Government plans to introduce a transactions between interdependent companies on November 9, 2023 whether to pay personal income tax owners of electric vehicles with a free travel on paid roads on November 11, 2023236 The Ministry of Industry and Trade"&amp;" proposed to introduce school textbooks on November 11, 2023253 Discolding of debts Reducing Pensions and exemption from personal income tax: the best news of the week on November 10, 2023576 The police will not be able to institute administrative cases a"&amp;"gainst business November 10, 2023348 The Federal Tax Service allowed not to pay taxes on the amount of the weekend on November 10, 2023436 Rostrud explained whether the company can invite a third -party specialist for the National Assembly on November 10,"&amp;" 2023458 News of Accounting and TaxationusDzb: 92.05 ₽Eurzb: 98.32 ₽MROTA: 15%: 15% New publications Children's manuals in 2023: criteria for the need for the income of the ex -husband and the reasons for the abolition of approved manual on November 10, 2"&amp;"023550 Labor disputes: as an employee can prove that he performed the work on the top on November 10, 2023324 to control the reflection of the UPD in the marking system on November 09, 2023563 Changes in the tax On the property of organizations since 2024"&amp;" on November 09, 2023985, property of individuals for 2022: the procedure for calculating tax benefits and lowering coefficients on November 08, 20231347 The judicial verdict: what documents can be requested at a desk tax audit on November 08, 20231319 Al"&amp;"l publications: new lecturerings in 1C: 1C: ERP/1C: KA 2.5.15 and UT 11.5.15: Reconciliation with the Federal Tax Service for Property Taxes Space VAT SUCH SERVICE for 1C: RMK and much more on November 15, 2023 To Use more: Lecture Actual issues of tracea"&amp;"bility to what to pay attention to November 16, 2023 : Lecturerian accounting of a dubious (hopeless for recovery) debt in 1C: BSU 8 ed. 2. Series 1C: Consulting for the public sector on November 21, 2023 To Use more1c: Lecture Agreements in 1C: ERP 1C: K"&amp;"A “1C: UT”: Work with templates and originals exchange in electronic form on November 23, 2023 To Bolshevs the event of the production calendar -based accountant. Building 1.s No. 11 (November) for 2023 No. 10 (October) for 2023 No. 9 (September) for 2023"&amp;" No. 8 (August) for 2023 No. 7 (July) for 2023 annuals Other sites 1CWWS.1S.ru1s : Link1-online1c: games1C: enterprise 81C: consulting PROTED OF THE PRODUCTIONAL INFORMATION OF PROGRAMENT OF THE PROTECTION OF MADISS SAITALLENCILAL PEUMENTERS OFFICATION © "&amp;"LLC "" 1C ”(website) © LLC“ 1C-Pablining ”(materials) News of news and taxation of automatization,”")</f>
        <v>Accounting Taxation Reporting IFRS Analysis of Accounting Information 1C: Accounting | Bukkaya.1C - a site for modern accounting of the day of the day of the BUCHECHECTION and TURGENTIONSHING ATTIMATION OF Automation, FSBUAUTOMATION OF AND APECTIONAL GENABUCHABUHGALTER in the FSBUABUCHITOMATION OF ANSWER OF STRUCTION OF THE STRUCTION FOR SACKING DISCOUNTION OF PERFORMANCES AND EXTRUCTION OF Pensions and exemption from personal income tax: The most good news of November 10, 202 November 202 3 Federal Tax Service allowed not Pay taxes on the amount of the weekend on November 10, 2023 prepared a bill to reduce the duration of the working week on November 10, 2023 The newspaper in 1C: Accounting 8: Exchange with Sedo through the operator on November 9, 2023 The Government plans to introduce a transactions between interdependent companies on November 9, 2023 whether to pay personal income tax owners of electric vehicles with a free travel on paid roads on November 11, 2023236 The Ministry of Industry and Trade proposed to introduce school textbooks on November 11, 2023253 Discolding of debts Reducing Pensions and exemption from personal income tax: the best news of the week on November 10, 2023576 The police will not be able to institute administrative cases against business November 10, 2023348 The Federal Tax Service allowed not to pay taxes on the amount of the weekend on November 10, 2023436 Rostrud explained whether the company can invite a third -party specialist for the National Assembly on November 10, 2023458 News of Accounting and TaxationusDzb: 92.05 ₽Eurzb: 98.32 ₽MROTA: 15%: 15% New publications Children's manuals in 2023: criteria for the need for the income of the ex -husband and the reasons for the abolition of approved manual on November 10, 2023550 Labor disputes: as an employee can prove that he performed the work on the top on November 10, 2023324 to control the reflection of the UPD in the marking system on November 09, 2023563 Changes in the tax On the property of organizations since 2024 on November 09, 2023985, property of individuals for 2022: the procedure for calculating tax benefits and lowering coefficients on November 08, 20231347 The judicial verdict: what documents can be requested at a desk tax audit on November 08, 20231319 All publications: new lecturerings in 1C: 1C: ERP/1C: KA 2.5.15 and UT 11.5.15: Reconciliation with the Federal Tax Service for Property Taxes Space VAT SUCH SERVICE for 1C: RMK and much more on November 15, 2023 To Use more: Lecture Actual issues of traceability to what to pay attention to November 16, 2023 : Lecturerian accounting of a dubious (hopeless for recovery) debt in 1C: BSU 8 ed. 2. Series 1C: Consulting for the public sector on November 21, 2023 To Use more1c: Lecture Agreements in 1C: ERP 1C: KA “1C: UT”: Work with templates and originals exchange in electronic form on November 23, 2023 To Bolshevs the event of the production calendar -based accountant. Building 1.s No. 11 (November) for 2023 No. 10 (October) for 2023 No. 9 (September) for 2023 No. 8 (August) for 2023 No. 7 (July) for 2023 annuals Other sites 1CWWS.1S.ru1s : Link1-online1c: games1C: enterprise 81C: consulting PROTED OF THE PRODUCTIONAL INFORMATION OF PROGRAMENT OF THE PROTECTION OF MADISS SAITALLENCILAL PEUMENTERS OFFICATION © LLC " 1C ”(website) © LLC“ 1C-Pablining ”(materials) News of news and taxation of automatization,”</v>
      </c>
    </row>
    <row r="791">
      <c r="A791" s="1" t="s">
        <v>2588</v>
      </c>
      <c r="B791" s="1" t="s">
        <v>1720</v>
      </c>
      <c r="D791" s="1">
        <v>7.0</v>
      </c>
      <c r="E791" s="4" t="s">
        <v>2601</v>
      </c>
      <c r="F791" s="1" t="s">
        <v>16</v>
      </c>
      <c r="G791" s="1" t="s">
        <v>614</v>
      </c>
      <c r="H791" s="4" t="s">
        <v>615</v>
      </c>
      <c r="I791" s="2">
        <v>0.0</v>
      </c>
      <c r="J791" s="5" t="str">
        <f>IFERROR(__xludf.DUMMYFUNCTION("GOOGLETRANSLATE(A791)"),"Production calendar 2023")</f>
        <v>Production calendar 2023</v>
      </c>
      <c r="K791" s="6" t="str">
        <f>IFERROR(__xludf.DUMMYFUNCTION("GOOGLETRANSLATE(B791)"),"Production calendar for 2023")</f>
        <v>Production calendar for 2023</v>
      </c>
      <c r="L791" s="5" t="str">
        <f>IFERROR(__xludf.DUMMYFUNCTION("GOOGLETRANSLATE(C791)"),"#VALUE!")</f>
        <v>#VALUE!</v>
      </c>
      <c r="M791" s="5" t="str">
        <f>IFERROR(__xludf.DUMMYFUNCTION("GOOGLETRANSLATE(G791)"),"Tinkoff - credit and debit cards loans for business and individuals for the correct operation of the bank’s services, it is necessary to enable support to JavaScript persons for life to miss the cardcredit cards of the Card Card Card Signature Procedure O"&amp;"rphanage Simcoelectronic Simcatararifferavity Iat the money to any purpose on the collateral of real estate machine Real Estate Refine the credit under the key to the key to the auto -tank -raising accountant to investing score -core -scatalog Market teac"&amp;"hing for investors in terms of Terminaline Cooppyl Culpcrapel Pauls of therass Rousscadolicadolmark is to install insurance cascaps of the Keep -coat -alerture producers for the Roads of the Products of the Khvakinotyatryasalons of the Beauty Bliblogdliyb"&amp;"ildliybildliybildiytatelnatorskii/D Tylets for Travelers of the Stuffing Part Kavtovtsymokhoplivoykhovykhovo-Sobeskoye under DTKART for automotivelistovatokreditovanovanimi business BUSINESS BUSINESS BUSINESSE for the Small Business Account IPROMENTARY AN"&amp;"DPORT OF LLCTIRARIBYBUSTALUTALITARY OF CARTALUTALITARY BUSTSITS AND OVERNAITION OF BUSINESS PROGRASTION OF SUPPLISTION OF THE CROP For OOO, turn-the-road crediterderdraftate-reception lines of the payment of the Paying Acquiringinternet-AC Payments on Qro"&amp;"nline Casserosrossymochdolyamitinkoff Paybonuses for BUSINESS BUSINESS PARTERICIAL STORMARICARTSISTRICARTYSELLERSELLERALLERALLERARETER OF SAITS-ZAKUPEKIKELECTRONAL signature of counterparties for a large business accounting-card of cardiacs according to 1"&amp;"15-fostering reinforcements and Ecommercezerzelznitsa-Credituitual Project vehicle payments for self-employees with self-employees of individuals payments of taxi parking of a pawnshopposure of Mfogogoskupkupkipper account of the payroll ecviringinterinet"&amp;"-ACCOVIRINGPOS-TRADING PAYOFF PAYFF PAYABLIA Resolve Koruskoff will be responding to a partner density and overnights for business verification of counterparty premium-dimensor-premium to miss the card-to-the-service investment for life for life, the help"&amp;" of the help of the investment on taxprivate services for life consumption for Private Talksheposhepo Leznoecurs Valyutbankomata Tinkoffinkoff Pay Payage Continuations Tinkofoff is correctly entrusted by the current situations for product workings for Tin"&amp;"koff work to ITBUSTRISS AND Processing with client -Tink -dealerships of the Options of the Ovoltable Verozhot. What is the newcomer all the construction of customers Cabinetinernet-Bankinvestincoff Mobilltinkoff businessform to Tinkoff with a profitabili"&amp;"ty of up to 15% of the per annum of the annual sub-terminal card recommended by your friends of the ruble up to 30% to 5% per annum of the annual translations without commissioning cardcredit cards of the Credit of the Credit. the attachment of the recomm"&amp;"ended product card with free maintenance of Tinkoff Platinum until November 30 and do not pay for Serving the CartoTinkoff investment of the investment tariffs and the convenient attach to the investor card Tinkoff-patch for free: the telephone secretary "&amp;"Oleg 600 minutes 20 GB vocabulary, start a contribution with replenishment and partial withdrawal. Each month, receive interest on a card or deposit insemination of an inspections with an online calculator and discounts (KBM) for trouble-free, the cost of"&amp;" the products is trusted by more than 38 million customers of the Bank of the Year Bank Bank. Rutinkoff was recognized as the best in the following categories: “Care of Client ""Digital Bank of the Year"" ""Investment Company of the Year"" ""Investment Pr"&amp;"oduct of the Year"" ""Folk rating of insurance companies"" Details and Currency Curries between their accounts Payment for services and the removal of cash services Tinkoff examination of cash with Tinkoff ATss without a commission. И без карты если у вас"&amp;"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кэшб"&amp;"экаПопробоватьМобильное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Decem"&amp;"ber 31 and participate in the rally in details of deposits in rubles up to 141% how to get the maximum headquarters of cashback of the day, Tinkyfr »IPhone and returned to 100% expenditure1 000 000 ₽ for a trip to the trip, form a tourist insurance in Tin"&amp;"koff and participate in the drawing of priestly articles and news - on the blog Tinkoff work and developing your or other city, to take a vacancies, the formation of educational courses and paid development programs for the development F magazine Secret U"&amp;"nions of how to conduct business in Russia to be more fully fulfilled by the filling of full-wrapping in all products on all products in the product in the product of Tinkoff products Restaurants Services and Brands based on real reviews of retrieval holi"&amp;"days in 2023 year-Great Line for providing vacation for participants in their families: 8,800 555-89-77 more in more and more Correct. SK answers to questions of the Po-UskiSkakak write to the chatenstac to download the appendix to enter the personal tran"&amp;"smission of the transmission of the transfer of the transfer to write off the certificate or extract8 800 333-33-33-33 days of calls on the Russian-loop card-densium cards-refuketing, the Automobile Credit of the Authority of the Pro Tinkoff Private -Over"&amp;"puts of Opeling Oo -Sochasco on subscription to the border of Russia -Keep -Classure Predructions Apri -Bi -Vevybiytytytychitotnaturezh/D ticketsTinkoff Software, speech -making, business -consumer counter -regional Skupkupkupkuphkuphightihgaliyabovnia -C"&amp;"artadesityrassprochochkrochkroke of counterparties for businesscaedal-building products of food and orienteatrateatrateratechystavsalones of Beautiful-fuel-Avtopoiliblogloglogloglogs collection collection Pulcollectic collection Juniorfino T-monopolis Tin"&amp;"koffcoforo Tinkoff Gorodbol Shoy Business accountservices for paymentcore ecrings-editions-eedgosykupovusiness-regulations-regions-tinkoff datatinkoff Idtinkoff Casseter-Acquirital cassation, re-investment grab dulls for card-free-grade solutions for QR-c"&amp;"odes-inspection transpondumure KOFF PAIT COMPORTANT TINKOFF IDDENTIONS with Tinkoff Id Paypery Card-Cardioblog Polar-West Carrier-Brinder accounting auspremacy of the vocal-vileagstiligo-pupil of therapils Strategramminolcademia of investment-cardsimtarif"&amp;"ymarifystyumenos. Number-painting Number-sabotage number of Olegtktktkom Zhelnizhnizhnizhnizhchikatimi or refusal money-wrapping in the ITS Entamio Bankenovostiglobrabotatchki replenishment of the Bank of the Currency Counsers of the Contact Serving of th"&amp;"e Investors Centers Center of Corporate Information Information on interest rates under bank deposit agreements from the physical personnel of information by a professional participant in the market, the securities of a large online bank in the world Chan"&amp;"ging the conditions of products and services of the bankcartics of the Remote service of the remote service for the Distilled Democularation of compliance of working conditions by state regulatory requirements of labor protection of Tinkoff Bank JSC Infor"&amp;"mation on the duration of operating rooms of the Haval Automobile Automobile Automobile Automobile Automobile Automobile Automobile Automobile Automobile Automobile Automobile Automobile Automobile Autonom Credit card "" Based on the results of the online"&amp;" voting of the ""Compare"" service of the Service, INNITY.RU in 2023. Among 3 credit organizations in parameters: a) a large grace period for users of card b) Operational service and communication with a client B) Convenient receipt of the card. Tinkoff B"&amp;"ank uses Cookie files to personalize services and improving the convenience of using a website. ""Cookie"" are small files containing information about previous visits to the website. If you do not want to use the Cookie files change the browser settings."&amp;" © 2006–2023 Tinkoff Bank JSC Official Universal License Central Bank of the Russian Federation No. 2673english")</f>
        <v>Tinkoff - credit and debit cards loans for business and individuals for the correct operation of the bank’s services, it is necessary to enable support to JavaScript persons for life to miss the cardcredit cards of the Card Card Card Signature Procedure Orphanage Simcoelectronic Simcatararifferavity Iat the money to any purpose on the collateral of real estate machine Real Estate Refine the credit under the key to the key to the auto -tank -raising accountant to investing score -core -scatalog Market teaching for investors in terms of Terminaline Cooppyl Culpcrapel Pauls of therass Rousscadolicadolmark is to install insurance cascaps of the Keep -coat -alerture producers for the Roads of the Products of the Khvakinotyatryasalons of the Beauty Bliblogdliybildliybildliybildiytatelnatorskii/D Tylets for Travelers of the Stuffing Part Kavtovtsymokhoplivoykhovykhovo-Sobeskoye under DTKART for automotivelistovatokreditovanovanimi business BUSINESS BUSINESS BUSINESSE for the Small Business Account IPROMENTARY ANDPORT OF LLCTIRARIBYBUSTALUTALITARY OF CARTALUTALITARY BUSTSITS AND OVERNAITION OF BUSINESS PROGRASTION OF SUPPLISTION OF THE CROP For OOO, turn-the-road crediterderdraftate-reception lines of the payment of the Paying Acquiringinternet-AC Payments on Qronline Casserosrossymochdolyamitinkoff Paybonuses for BUSINESS BUSINESS PARTERICIAL STORMARICARTSISTRICARTYSELLERSELLERALLERALLERARETER OF SAITS-ZAKUPEKIKELECTRONAL signature of counterparties for a large business accounting-card of cardiacs according to 115-fostering reinforcements and Ecommercezerzelznitsa-Credituitual Project vehicle payments for self-employees with self-employees of individuals payments of taxi parking of a pawnshopposure of Mfogogoskupkupkipper account of the payroll ecviringinterinet-ACCOVIRINGPOS-TRADING PAYOFF PAYFF PAYABLIA Resolve Koruskoff will be responding to a partner density and overnights for business verification of counterparty premium-dimensor-premium to miss the card-to-the-service investment for life for life, the help of the help of the investment on taxprivate services for life consumption for Private Talksheposhepo Leznoecurs Valyutbankomata Tinkoffinkoff Pay Payage Continuations Tinkofoff is correctly entrusted by the current situations for product workings for Tinkoff work to ITBUSTRISS AND Processing with client -Tink -dealerships of the Options of the Ovoltable Verozhot. What is the newcomer all the construction of customers Cabinetinernet-Bankinvestincoff Mobilltinkoff businessform to Tinkoff with a profitability of up to 15% of the per annum of the annual sub-terminal card recommended by your friends of the ruble up to 30% to 5% per annum of the annual translations without commissioning cardcredit cards of the Credit of the Credit. the attachment of the recommended product card with free maintenance of Tinkoff Platinum until November 30 and do not pay for Serving the CartoTinkoff investment of the investment tariffs and the convenient attach to the investor card Tinkoff-patch for free: the telephone secretary Oleg 600 minutes 20 GB vocabulary, start a contribution with replenishment and partial withdrawal. Each month, receive interest on a card or deposit insemination of an inspections with an online calculator and discounts (KBM) for trouble-free, the cost of the products is trusted by more than 38 million customers of the Bank of the Year Bank Bank. Rutinkoff was recognized as the best in the following categories: “Care of Client "Digital Bank of the Year" "Investment Company of the Year" "Investment Product of the Year" "Folk rating of insurance companies" Details and Currency Curries between their accounts Payment for services and the removal of cash services Tinkoff examination of cash with Tinkoff ATss without a commission. И без карты если у вас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December 31 and participate in the rally in details of deposits in rubles up to 141% how to get the maximum headquarters of cashback of the day, Tinkyfr »IPhone and returned to 100% expenditure1 000 000 ₽ for a trip to the trip, form a tourist insurance in Tinkoff and participate in the drawing of priestly articles and news - on the blog Tinkoff work and developing your or other city, to take a vacancies, the formation of educational courses and paid development programs for the development F magazine Secret Unions of how to conduct business in Russia to be more fully fulfilled by the filling of full-wrapping in all products on all products in the product in the product of Tinkoff products Restaurants Services and Brands based on real reviews of retrieval holidays in 2023 year-Great Line for providing vacation for participants in their families: 8,800 555-89-77 more in more and more Correct. SK answers to questions of the Po-UskiSkakak write to the chatenstac to download the appendix to enter the personal transmission of the transmission of the transfer of the transfer to write off the certificate or extract8 800 333-33-33-33 days of calls on the Russian-loop card-densium cards-refuketing, the Automobile Credit of the Authority of the Pro Tinkoff Private -Overputs of Opeling Oo -Sochasco on subscription to the border of Russia -Keep -Classure Predructions Apri -Bi -Vevybiytytytychitotnaturezh/D ticketsTinkoff Software, speech -making, business -consumer counter -regional Skupkupkupkuphkuphightihgaliyabovnia -Cartadesityrassprochochkrochkroke of counterparties for businesscaedal-building products of food and orienteatrateatrateratechystavsalones of Beautiful-fuel-Avtopoiliblogloglogloglogs collection collection Pulcollectic collection Juniorfino T-monopolis Tinkoffcoforo Tinkoff Gorodbol Shoy Business accountservices for paymentcore ecrings-editions-eedgosykupovusiness-regulations-regions-tinkoff datatinkoff Idtinkoff Casseter-Acquirital cassation, re-investment grab dulls for card-free-grade solutions for QR-codes-inspection transpondumure KOFF PAIT COMPORTANT TINKOFF IDDENTIONS with Tinkoff Id Paypery Card-Cardioblog Polar-West Carrier-Brinder accounting auspremacy of the vocal-vileagstiligo-pupil of therapils Strategramminolcademia of investment-cardsimtarifymarifystyumenos. Number-painting Number-sabotage number of Olegtktktkom Zhelnizhnizhnizhnizhchikatimi or refusal money-wrapping in the ITS Entamio Bankenovostiglobrabotatchki replenishment of the Bank of the Currency Counsers of the Contact Serving of the Investors Centers Center of Corporate Information Information on interest rates under bank deposit agreements from the physical personnel of information by a professional participant in the market, the securities of a large online bank in the world Changing the conditions of products and services of the bankcartics of the Remote service of the remote service for the Distilled Democularation of compliance of working conditions by state regulatory requirements of labor protection of Tinkoff Bank JSC Information on the duration of operating rooms of the Haval Automobile Automobile Automobile Automobile Automobile Automobile Automobile Automobile Automobile Automobile Automobile Automobile Automobile Autonom Credit card " Based on the results of the online voting of the "Compare" service of the Service, INNITY.RU in 2023. Among 3 credit organizations in parameters: a) a large grace period for users of card b) Operational service and communication with a client B) Convenient receipt of the card. Tinkoff Bank uses Cookie files to personalize services and improving the convenience of using a website. "Cookie" are small files containing information about previous visits to the website. If you do not want to use the Cookie files change the browser settings. © 2006–2023 Tinkoff Bank JSC Official Universal License Central Bank of the Russian Federation No. 2673english</v>
      </c>
    </row>
    <row r="792">
      <c r="A792" s="1" t="s">
        <v>2588</v>
      </c>
      <c r="B792" s="1" t="s">
        <v>1720</v>
      </c>
      <c r="C792" s="1" t="s">
        <v>2602</v>
      </c>
      <c r="D792" s="1">
        <v>8.0</v>
      </c>
      <c r="E792" s="4" t="s">
        <v>2603</v>
      </c>
      <c r="F792" s="1" t="s">
        <v>16</v>
      </c>
      <c r="G792" s="1" t="s">
        <v>2604</v>
      </c>
      <c r="H792" s="4" t="s">
        <v>2605</v>
      </c>
      <c r="I792" s="2">
        <v>1.0</v>
      </c>
      <c r="J792" s="5" t="str">
        <f>IFERROR(__xludf.DUMMYFUNCTION("GOOGLETRANSLATE(A792)"),"Production calendar 2023")</f>
        <v>Production calendar 2023</v>
      </c>
      <c r="K792" s="6" t="str">
        <f>IFERROR(__xludf.DUMMYFUNCTION("GOOGLETRANSLATE(B792)"),"Production calendar for 2023")</f>
        <v>Production calendar for 2023</v>
      </c>
      <c r="L792" s="5" t="str">
        <f>IFERROR(__xludf.DUMMYFUNCTION("GOOGLETRANSLATE(C792)"),"The production calendar at a five -day working week for 2023: official weekends, holidays, assistance in the calculation of sick leave, vacation and salary ...")</f>
        <v>The production calendar at a five -day working week for 2023: official weekends, holidays, assistance in the calculation of sick leave, vacation and salary ...</v>
      </c>
      <c r="M792" s="5" t="str">
        <f>IFERROR(__xludf.DUMMYFUNCTION("GOOGLETRANSLATE(G792)"),"BUSINESS-Media about business from the Bank of Tinkoffmaterialy Instructions for business businesses for business businesses with zero development business safety experience of the first person in the first person of the articularity-shows of the article "&amp;"outside the work of the article of the article of the Article The templates of the Documents Production Calescapon -Remanding Calcore about business once a week on Saturdays are collecting for you all the most important about business and send it to you m"&amp;"ail. It’s free to subscribe to the digest you agree with the confidentiality of the School of the Business Employment Management of the Company community in telegramic stiminal instructions for business businesses with zero business, business capacity of "&amp;"the first person, the first person’s business, is an articles outside of the articles. Business equipment of the Article-Strashmarkeklasitzovsitzovsovsovsovsovsovitsa-STROPRES Documents of the Documents Production Conductive Correspondence of the Calcatio"&amp;"n Right of Business once a week on Saturdays we collect all the most important things about business And send it to the mail. This is free to sign on a digest, you agree with the confidentiality policy to open an individual entrepreneur and an account for"&amp;" a business school business of business communities of companies in telegraphic in telegram to open up and use the business business with zero production business adoptions outside of the business executive for business analysis of business intelligence o"&amp;"utside the work outside Voknik ""Switching context is one of the most expensive operations in the head"" - Herman Gavrilov about the basics of management#business processes#personal experience#We see a business to answer a business to sell a market for ma"&amp;"rketplaysakhkak IP to pay the tax to become self-employed and pay the taxation experience “Famous chefs are hunting for our dishes: how to establish from zero from zero Production of the ceramiciex director of the Front Front factory was engaged in modeli"&amp;"ng clay and organized a ceramic manufactory on November 9#Personal experience#marketplaces#retails: which niches are popular with the business owners of which sphere are more profitable to start November8#History#Personal Economic Supreme Technical Scienc"&amp;"es Engineer Petersburg opened the sewing workshop and tried five options for the premises, he shot the basement in his house began to almost live at work on November 7#History#Personal Experience#Rodzanitsanovostis 2024, it will be necessary to pay person"&amp;"al income tax twice a month and IP will also have to submit two notifications about the calculated amount of tax November 10#Laws#Taxing outflow of capital from Russia has grown up the reasons - difficulties with the return of export revenue and payment o"&amp;"f foreign companies from Russia on November10#Trends: Families with children - the main buyers for sales of the sixth Russian often make purchases in the discount season#Ozon# Retail#Trendyvs of several regions recorded a surge of registration of IPsher r"&amp;"ecord holders-Kalmykia Mordovia and Chechnya November 110#IP Payments employees accrued in the October School of business13 lessons for 15 minutes to start selling a niche choice and registration of business work with goods cards and registration for a st"&amp;"able earnings from sales from sales13 minute to sell different models of logistics and which are better to choose a price to manage the remains of prices and The promotion of the accounting of accounts to pay taxes and make profits7 modules of 15 minutes "&amp;"of EXCEL for small businesses and functions tools that will simplify examples on the tasks of the business offer of the Tinkoff-Croatcrite of the IP: for free without queues and bindings to the registration of a large-industryplap and startup, “eminent ch"&amp;"efs are hunted for our dishes” like with zero to establish the production of the ceramiciex director of the Rot Front factory began to model clay and organized a ceramic manufactory on November 9#Personal experience#marketplaces#retail is more profitable:"&amp;" to open an order for orders from scratch or buy ready-made pluses and minuses of both methods of November 8#Marketplain Orders: “Six months received the guaranteed 90 thousand from Ozon” The hero was inspired by the example of a friend and invested in op"&amp;"ening the issue point 200 000 ₽ November 2#Personal Experience#Marketplays to sell new to the newcomers to the newspaper for the choice of goods to start work on the marketplace on October 27 #is the market -related is the marking on marketplaces? Yes, if"&amp;" the goods must be label 25#marketplaces#marking the first invitations to the webinars, the announcements of the courses and the selection of the articles, Signing for the digest, you agree with the confidentiality -compact graphic application on the scre"&amp;"en on November1 November#IT “IT” text is one of the most expensive heads in the head ”-German Gavrilov about the foundations of the Office of a novice entrepreneur to divide business and stimulate employees to work for the result of October 30#business pr"&amp;"ocesses#personal experience#Opinion of Waterfall development: what is it and how to apply in businesswaterfall-cascading model of business process management . We analyze how it helps to complete the projects on time on October23#business processes#IT-IT "&amp;"IT: what to do if you do not fit the condition on the revenue of the IT company to pay less taxes and contributions you need to receive 70% of the revenue from IT activities. We understand how to approach under the condition of October 10#IT#tax to find i"&amp;"nvestments Startupus why start finding the first investors and how to prepare for communicating with them on October13#IT#start -updage to the first invitations to webinars of the announcements of the courses and the selection of articles you agree with t"&amp;"he confidentiality politician “for our The dishes are hunted by eminent chefs ”: how to establish the production of the ceramiciex-director of the Front Front factory curated with clay modeling and organized a ceramic manufactory on November 9#Personal Ex"&amp;"perience#retails11 methods of promoting cafes and other establishments of tools that will help attract customers in Coffee house of pizzerias and bistro on November 9#Marketing#retail, an engineer from St. Petersburg opened a sewing workshop and tried fiv"&amp;"e options for the premises, he shot the basement in his house on work on November 7#History#Personal experience The plan for the launch of the packaging business: how to choose the premises what equipment to purchase for work and how to involve customers "&amp;"on October27#ideas for business#retail is the replicas of well -known brands? It is impossible to trade replicas - according to the law, this is a counterfeit and violation of the right of the owner of a trading mark. For this they can be fined and in som"&amp;"e cases even put in jail. We tell when the goods are considered counterfeit and when - no October#retail#trademarks#trademarks first invitations to webinars of courses announcements and collections of articles Signing for a digest, you agree with the Priv"&amp;"acy Policy Following the following articles and how to earn a business marketing - business promotion with other people or companies . We tell you why he needs someone and how to start using it on November10#Marketing#advertising growth for entrepreneurs:"&amp;" ideas for self -development and what they deduced that the personal growth of the business manager differs from the growth of the hired employee November8#Personal efficiency#Useful Council for cargo carriers: what to take into account In 2024, cargo tra"&amp;"nsportation throughout Russia can buy one patent on November 8#IP#Patentblits: which niches are popular with novice entrepreneurs asking business owners from which sphere it is more profitable to start November8#History#Personal Experience: how to make so"&amp;"meone to conclude and how to work with it. Companies or entrepreneur need an intermediary can be attracted to an agent and conclude an agency agreement. For example, according to such a scheme, business works on marketplaces on November8#Agreements#Laws#P"&amp;"arsing Lawyers of Books that helped to develop the online synchronization selection. A selection of books that will help to build a corporate culture to develop useful habits and scaling business7 November#Personal efficiency With the policy of confidenti"&amp;"ality БизнесаКурсыВебинарыДайджест Школы бизнесаОтраслиМаркетплейсыIT и стартапыРозницаДайджест про маркетплейсыБизнес с нуляИдеиНалогиОсновыВопросы-ответыЧек-листыСпецпроектыБлоги компанийБизнес-книгиЖизнь вне работыЛичный опытЛюди в бизнесеОт первого ли"&amp;"цаИсторииКейсыРеалити-шоуДневникиРазвитиеМаркетингАвтоматизацияГосзакупкиПродажиВалютаСотрудникиБезопасностьДоговоры115-ФЗЗаконыРазбор юристаБухгалтерияНалогиЛьготыПатентУСНПроизводственный календарьКалькуляторыЕщеНовостиДайджестКоманда проектаГлоссарийУс"&amp;"луги Тинькофф БизнесаВакансии© 2006—2023 АО «Тинькофф Банк» лицензия ЦБ РФ №2673. Mail for questions: secrets@tinkoff.ru. Tinkoff Privacy Policy Business protects the personal data of users and processes cookies only to personalize services. You can prohi"&amp;"bit cookies in the settings of your browser. Please read the conditions of personal data processing and cookies.")</f>
        <v>BUSINESS-Media about business from the Bank of Tinkoffmaterialy Instructions for business businesses for business businesses with zero development business safety experience of the first person in the first person of the articularity-shows of the article outside the work of the article of the article of the Article The templates of the Documents Production Calescapon -Remanding Calcore about business once a week on Saturdays are collecting for you all the most important about business and send it to you mail. It’s free to subscribe to the digest you agree with the confidentiality of the School of the Business Employment Management of the Company community in telegramic stiminal instructions for business businesses with zero business, business capacity of the first person, the first person’s business, is an articles outside of the articles. Business equipment of the Article-Strashmarkeklasitzovsitzovsovsovsovsovsovitsa-STROPRES Documents of the Documents Production Conductive Correspondence of the Calcation Right of Business once a week on Saturdays we collect all the most important things about business And send it to the mail. This is free to sign on a digest, you agree with the confidentiality policy to open an individual entrepreneur and an account for a business school business of business communities of companies in telegraphic in telegram to open up and use the business business with zero production business adoptions outside of the business executive for business analysis of business intelligence outside the work outside Voknik "Switching context is one of the most expensive operations in the head" - Herman Gavrilov about the basics of management#business processes#personal experience#We see a business to answer a business to sell a market for marketplaysakhkak IP to pay the tax to become self-employed and pay the taxation experience “Famous chefs are hunting for our dishes: how to establish from zero from zero Production of the ceramiciex director of the Front Front factory was engaged in modeling clay and organized a ceramic manufactory on November 9#Personal experience#marketplaces#retails: which niches are popular with the business owners of which sphere are more profitable to start November8#History#Personal Economic Supreme Technical Sciences Engineer Petersburg opened the sewing workshop and tried five options for the premises, he shot the basement in his house began to almost live at work on November 7#History#Personal Experience#Rodzanitsanovostis 2024, it will be necessary to pay personal income tax twice a month and IP will also have to submit two notifications about the calculated amount of tax November 10#Laws#Taxing outflow of capital from Russia has grown up the reasons - difficulties with the return of export revenue and payment of foreign companies from Russia on November10#Trends: Families with children - the main buyers for sales of the sixth Russian often make purchases in the discount season#Ozon# Retail#Trendyvs of several regions recorded a surge of registration of IPsher record holders-Kalmykia Mordovia and Chechnya November 110#IP Payments employees accrued in the October School of business13 lessons for 15 minutes to start selling a niche choice and registration of business work with goods cards and registration for a stable earnings from sales from sales13 minute to sell different models of logistics and which are better to choose a price to manage the remains of prices and The promotion of the accounting of accounts to pay taxes and make profits7 modules of 15 minutes of EXCEL for small businesses and functions tools that will simplify examples on the tasks of the business offer of the Tinkoff-Croatcrite of the IP: for free without queues and bindings to the registration of a large-industryplap and startup, “eminent chefs are hunted for our dishes” like with zero to establish the production of the ceramiciex director of the Rot Front factory began to model clay and organized a ceramic manufactory on November 9#Personal experience#marketplaces#retail is more profitable: to open an order for orders from scratch or buy ready-made pluses and minuses of both methods of November 8#Marketplain Orders: “Six months received the guaranteed 90 thousand from Ozon” The hero was inspired by the example of a friend and invested in opening the issue point 200 000 ₽ November 2#Personal Experience#Marketplays to sell new to the newcomers to the newspaper for the choice of goods to start work on the marketplace on October 27 #is the market -related is the marking on marketplaces? Yes, if the goods must be label 25#marketplaces#marking the first invitations to the webinars, the announcements of the courses and the selection of the articles, Signing for the digest, you agree with the confidentiality -compact graphic application on the screen on November1 November#IT “IT” text is one of the most expensive heads in the head ”-German Gavrilov about the foundations of the Office of a novice entrepreneur to divide business and stimulate employees to work for the result of October 30#business processes#personal experience#Opinion of Waterfall development: what is it and how to apply in businesswaterfall-cascading model of business process management . We analyze how it helps to complete the projects on time on October23#business processes#IT-IT IT: what to do if you do not fit the condition on the revenue of the IT company to pay less taxes and contributions you need to receive 70% of the revenue from IT activities. We understand how to approach under the condition of October 10#IT#tax to find investments Startupus why start finding the first investors and how to prepare for communicating with them on October13#IT#start -updage to the first invitations to webinars of the announcements of the courses and the selection of articles you agree with the confidentiality politician “for our The dishes are hunted by eminent chefs ”: how to establish the production of the ceramiciex-director of the Front Front factory curated with clay modeling and organized a ceramic manufactory on November 9#Personal Experience#retails11 methods of promoting cafes and other establishments of tools that will help attract customers in Coffee house of pizzerias and bistro on November 9#Marketing#retail, an engineer from St. Petersburg opened a sewing workshop and tried five options for the premises, he shot the basement in his house on work on November 7#History#Personal experience The plan for the launch of the packaging business: how to choose the premises what equipment to purchase for work and how to involve customers on October27#ideas for business#retail is the replicas of well -known brands? It is impossible to trade replicas - according to the law, this is a counterfeit and violation of the right of the owner of a trading mark. For this they can be fined and in some cases even put in jail. We tell when the goods are considered counterfeit and when - no October#retail#trademarks#trademarks first invitations to webinars of courses announcements and collections of articles Signing for a digest, you agree with the Privacy Policy Following the following articles and how to earn a business marketing - business promotion with other people or companies . We tell you why he needs someone and how to start using it on November10#Marketing#advertising growth for entrepreneurs: ideas for self -development and what they deduced that the personal growth of the business manager differs from the growth of the hired employee November8#Personal efficiency#Useful Council for cargo carriers: what to take into account In 2024, cargo transportation throughout Russia can buy one patent on November 8#IP#Patentblits: which niches are popular with novice entrepreneurs asking business owners from which sphere it is more profitable to start November8#History#Personal Experience: how to make someone to conclude and how to work with it. Companies or entrepreneur need an intermediary can be attracted to an agent and conclude an agency agreement. For example, according to such a scheme, business works on marketplaces on November8#Agreements#Laws#Parsing Lawyers of Books that helped to develop the online synchronization selection. A selection of books that will help to build a corporate culture to develop useful habits and scaling business7 November#Personal efficiency With the policy of confidentiality БизнесаКурсыВебинарыДайджест Школы бизнесаОтраслиМаркетплейсыIT и стартапыРозницаДайджест про маркетплейсыБизнес с нуляИдеиНалогиОсновыВопросы-ответыЧек-листыСпецпроектыБлоги компанийБизнес-книгиЖизнь вне работыЛичный опытЛюди в бизнесеОт первого лицаИсторииКейсыРеалити-шоуДневникиРазвитиеМаркетингАвтоматизацияГосзакупкиПродажиВалютаСотрудникиБезопасностьДоговоры115-ФЗЗаконыРазбор юристаБухгалтерияНалогиЛьготыПатентУСНПроизводственный календарьКалькуляторыЕщеНовостиДайджестКоманда проектаГлоссарийУслуги Тинькофф БизнесаВакансии© 2006—2023 АО «Тинькофф Банк» лицензия ЦБ РФ №2673. Mail for questions: secrets@tinkoff.ru. Tinkoff Privacy Policy Business protects the personal data of users and processes cookies only to personalize services. You can prohibit cookies in the settings of your browser. Please read the conditions of personal data processing and cookies.</v>
      </c>
    </row>
    <row r="793">
      <c r="A793" s="1" t="s">
        <v>2588</v>
      </c>
      <c r="B793" s="1" t="s">
        <v>1720</v>
      </c>
      <c r="C793" s="1" t="s">
        <v>1735</v>
      </c>
      <c r="D793" s="1">
        <v>9.0</v>
      </c>
      <c r="E793" s="4" t="s">
        <v>1736</v>
      </c>
      <c r="F793" s="1" t="s">
        <v>16</v>
      </c>
      <c r="I793" s="2">
        <v>0.0</v>
      </c>
      <c r="J793" s="5" t="str">
        <f>IFERROR(__xludf.DUMMYFUNCTION("GOOGLETRANSLATE(A793)"),"Production calendar 2023")</f>
        <v>Production calendar 2023</v>
      </c>
      <c r="K793" s="6" t="str">
        <f>IFERROR(__xludf.DUMMYFUNCTION("GOOGLETRANSLATE(B793)"),"Production calendar for 2023")</f>
        <v>Production calendar for 2023</v>
      </c>
      <c r="L793" s="5" t="str">
        <f>IFERROR(__xludf.DUMMYFUNCTION("GOOGLETRANSLATE(C793)"),"30 Aug. 2022G. -")</f>
        <v>30 Aug. 2022G. -</v>
      </c>
      <c r="M793" s="5" t="str">
        <f>IFERROR(__xludf.DUMMYFUNCTION("GOOGLETRANSLATE(G793)"),"#VALUE!")</f>
        <v>#VALUE!</v>
      </c>
    </row>
    <row r="794">
      <c r="A794" s="1" t="s">
        <v>2588</v>
      </c>
      <c r="B794" s="1" t="s">
        <v>2596</v>
      </c>
      <c r="C794" s="1" t="s">
        <v>2606</v>
      </c>
      <c r="D794" s="1">
        <v>10.0</v>
      </c>
      <c r="E794" s="4" t="s">
        <v>2607</v>
      </c>
      <c r="F794" s="1" t="s">
        <v>16</v>
      </c>
      <c r="G794" s="1" t="s">
        <v>2608</v>
      </c>
      <c r="H794" s="4" t="s">
        <v>2609</v>
      </c>
      <c r="I794" s="2">
        <v>0.0</v>
      </c>
      <c r="J794" s="5" t="str">
        <f>IFERROR(__xludf.DUMMYFUNCTION("GOOGLETRANSLATE(A794)"),"Production calendar 2023")</f>
        <v>Production calendar 2023</v>
      </c>
      <c r="K794" s="6" t="str">
        <f>IFERROR(__xludf.DUMMYFUNCTION("GOOGLETRANSLATE(B794)"),"Production calendar for 2023 with ...")</f>
        <v>Production calendar for 2023 with ...</v>
      </c>
      <c r="L794" s="5" t="str">
        <f>IFERROR(__xludf.DUMMYFUNCTION("GOOGLETRANSLATE(C794)"),"Approved production calendar for 2023. How to calculate the norms of working time for 2023. Official holidays and weekend transfers.")</f>
        <v>Approved production calendar for 2023. How to calculate the norms of working time for 2023. Official holidays and weekend transfers.</v>
      </c>
      <c r="M794" s="5" t="str">
        <f>IFERROR(__xludf.DUMMYFUNCTION("GOOGLETRANSLATE(G794)"),"Contour. School: training webinars of seminars recording and online directions of the site version for visually impaired budgets and taxes and HRPACUS 44-FZ 223-Fzhovrans of labor marketing-free-free-former-former-former-educational business and managemen"&amp;"t systems register the main menuing system of the main menuing. for specialists of different levels of training, to grow and confidently feel in professionally Top-training and HRMARKETINGCUPARES 44-FZ 223-FZ entrepreneur is a labor security and managers-"&amp;"practitioners of experts in their industry material, they explain to simple but memorable examples, and their experience of speeches, easily and understands, it allows us to speak Bukino. more than 25 years . Candidate of Economics. The author of more tha"&amp;"n 50 articles in the media of methodological manuals and Bookndrey Lyubimimov expert using the technology for evaluating professional risks of the personnel motivation and training system. The auditor of the quality management system. Work experience - mo"&amp;"re than 19 flyuliy besygina experts on leapsbacks salary and personnel. Scientific experience-more than 20 years. He develops the curricula advises the listeners of the stables of lectures and seminars on labor law and social insurance. Based on knowledge"&amp;", and many years of experience advises students on complex questions of the Safinastazh of practical work on the legal support of procurement activities - over 10 years. She worked as an arbitration judge at the Chamber of Commerce and Industry of the Rep"&amp;"ublic of Bashkortostanalla ZhukunovExpert in the budget sphere. Work experience, including the chief accountant, is more than 10 years. Skobeleval editor of the magazine ""I am an accountant"" participates in the preparation of training courses and webina"&amp;"rovaria. He teaches copywriting and business communications in the magistracy of UrFU. He is leading the Blog “Quotes-Christmas trees” and the podcast “People of the Text” Natalya Nikitchenkostage as the chief accountant of commercial enterprises-more tha"&amp;"n 25 years. Author of advanced training and professional preparations for the commercial organizations of the BOOVENTAL specialization - taxes and taxation. The expert is distinguished by a huge amount of knowledge of 20+ years of experience Professional "&amp;"humor and the ability to explain the complex downtime of the middle specialization-the contract system 44-FZ 223-FZ. Extensive experience on the part of the supplier entered into contracts with Sberbank Aeroflot Megafon of Russian Railways and Anton Telgi"&amp;"n -holder of the management and development of sales in the circuit. The main specialization of the last 10 years is the tactics and strategy of the departments of the sales of the interpretation in the field of public procurement. He leads webinars and c"&amp;"ourses help customers and suppliers prepare to participate in tender purchases for 44-ФЗ and 223-fzmasin Shobokhonovo-specialist for technosphere security expert in the field of labor protection. Huge practical experience, including the head of the labor "&amp;"protection service, birulybo -more for 7 years successfully created and headed the tender departments. A professional seller and the head with the skills of working with the public sector Kravchenkoexpert for accounting in the budget sphere member of the "&amp;"Methodological Council for Budget Accounting and Reporting under the Ministry of Finance of the UR. Work experience 30+ Poypetr Vorontsov expert in the field of antimonopoly law. In the lectures, the analysis of legislative norms with practical advice and"&amp;" real examples Gerasimenorist expert on the protection and economics of labor is skillfully combined. It helps employers to resolve issues on the independent assessment of the qualifications and compliance of specialists of professional standards -efficie"&amp;"nt format for your purposeful educational programs for advanced training or professional processing. At the end of the training, a qualification document is issued. Build training in your work schedule. Disassemble an interesting professional topic live o"&amp;"r record. A new topic is every week. Stock views of cheat sheets and checklists for your work. All materials are written in detail and understandable by our experts. Express courses3-5 practical lessons on a given topic to quickly master the new area of ​"&amp;"​work or refresh knowledge after a long break. The mobile application is at home at work or traveling. In the application, you can watch the lessons undergo testing and ask questions. All data is synchronized with the web version of the school. The school"&amp;" is a licensed center of online education. We help to receive and develop professional knowledge for more than 11 years. The training programs were tested by the Department of Education and Science of the city of Moscow and correspond to industry professi"&amp;"onal standards. Exposure from the license registry1 274 026 formed students30 flax and informative. Timely informing about the current time and conditions of passing the final test. The opportunity to view Internet broadcasts in their free time and get th"&amp;"e necessary knowledge skills without interruption from work. There are a lot of interesting and affordable methodological material that can be used in the future and systematize your experience. Svetlana Vladimirovna -Contactly managers, Svetlana Vladimir"&amp;"ovna -Control. Separately, I want to single out Safin Svetlana Damirovna and Konyukhova Evgeny Vladimirovna - it is interesting to listen to their “living” faces. Martyanova Lyudmila Viktorovyurisk -adviser, the format itself understandable breakdown into"&amp;" lessons. The most competent and professional lecturer working only with fresh material is Marina Vladimirovna Shobokhonova! Thank you very much, I admire the knowledge and ability to convey the material so clearly and with examples. Berezina Albina Sufar"&amp;"ovnasky -specialist in the cadrampressive mood of the goodwill of the lecturers was felt through the screen. Practical examples that the teachers told were relevant and understandable. I note separately that teachers are very interesting to listen to, alt"&amp;"hough the volume of large and combining work and study of strength needed a lot. Thank you very much! Leave a request and we will help the consultant will contact you with the choice during the day and will help you choose your interests and goals to disp"&amp;"lay the form you need to turn on JavaScript in your browser and update the page. Download with App Store with Google Play Management with visibility of the submenu about the school of information about the educational organization Documents for customers "&amp;"Managing Visuality Department of the Accounts for Accounting and Taxes Personnel and HR Purchases 44 -ФЗ Protecting Labor Marketing Entrepreneur IT Lectories Support Center 8,800 500-95-51 Order a call write to the chat write a letter help contacts vkonta"&amp;"kteyoutubeodnoklassnikitelegram use cookies for the correct work of the site personalization of users and other goals provided for by the policy. Personal data processing policy © 1988–2023 SKB Contour")</f>
        <v>Contour. School: training webinars of seminars recording and online directions of the site version for visually impaired budgets and taxes and HRPACUS 44-FZ 223-Fzhovrans of labor marketing-free-free-former-former-former-educational business and management systems register the main menuing system of the main menuing. for specialists of different levels of training, to grow and confidently feel in professionally Top-training and HRMARKETINGCUPARES 44-FZ 223-FZ entrepreneur is a labor security and managers-practitioners of experts in their industry material, they explain to simple but memorable examples, and their experience of speeches, easily and understands, it allows us to speak Bukino. more than 25 years . Candidate of Economics. The author of more than 50 articles in the media of methodological manuals and Bookndrey Lyubimimov expert using the technology for evaluating professional risks of the personnel motivation and training system. The auditor of the quality management system. Work experience - more than 19 flyuliy besygina experts on leapsbacks salary and personnel. Scientific experience-more than 20 years. He develops the curricula advises the listeners of the stables of lectures and seminars on labor law and social insurance. Based on knowledge, and many years of experience advises students on complex questions of the Safinastazh of practical work on the legal support of procurement activities - over 10 years. She worked as an arbitration judge at the Chamber of Commerce and Industry of the Republic of Bashkortostanalla ZhukunovExpert in the budget sphere. Work experience, including the chief accountant, is more than 10 years. Skobeleval editor of the magazine "I am an accountant" participates in the preparation of training courses and webinarovaria. He teaches copywriting and business communications in the magistracy of UrFU. He is leading the Blog “Quotes-Christmas trees” and the podcast “People of the Text” Natalya Nikitchenkostage as the chief accountant of commercial enterprises-more than 25 years. Author of advanced training and professional preparations for the commercial organizations of the BOOVENTAL specialization - taxes and taxation. The expert is distinguished by a huge amount of knowledge of 20+ years of experience Professional humor and the ability to explain the complex downtime of the middle specialization-the contract system 44-FZ 223-FZ. Extensive experience on the part of the supplier entered into contracts with Sberbank Aeroflot Megafon of Russian Railways and Anton Telgin -holder of the management and development of sales in the circuit. The main specialization of the last 10 years is the tactics and strategy of the departments of the sales of the interpretation in the field of public procurement. He leads webinars and courses help customers and suppliers prepare to participate in tender purchases for 44-ФЗ and 223-fzmasin Shobokhonovo-specialist for technosphere security expert in the field of labor protection. Huge practical experience, including the head of the labor protection service, birulybo -more for 7 years successfully created and headed the tender departments. A professional seller and the head with the skills of working with the public sector Kravchenkoexpert for accounting in the budget sphere member of the Methodological Council for Budget Accounting and Reporting under the Ministry of Finance of the UR. Work experience 30+ Poypetr Vorontsov expert in the field of antimonopoly law. In the lectures, the analysis of legislative norms with practical advice and real examples Gerasimenorist expert on the protection and economics of labor is skillfully combined. It helps employers to resolve issues on the independent assessment of the qualifications and compliance of specialists of professional standards -efficient format for your purposeful educational programs for advanced training or professional processing. At the end of the training, a qualification document is issued. Build training in your work schedule. Disassemble an interesting professional topic live or record. A new topic is every week. Stock views of cheat sheets and checklists for your work. All materials are written in detail and understandable by our experts. Express courses3-5 practical lessons on a given topic to quickly master the new area of ​​work or refresh knowledge after a long break. The mobile application is at home at work or traveling. In the application, you can watch the lessons undergo testing and ask questions. All data is synchronized with the web version of the school. The school is a licensed center of online education. We help to receive and develop professional knowledge for more than 11 years. The training programs were tested by the Department of Education and Science of the city of Moscow and correspond to industry professional standards. Exposure from the license registry1 274 026 formed students30 flax and informative. Timely informing about the current time and conditions of passing the final test. The opportunity to view Internet broadcasts in their free time and get the necessary knowledge skills without interruption from work. There are a lot of interesting and affordable methodological material that can be used in the future and systematize your experience. Svetlana Vladimirovna -Contactly managers, Svetlana Vladimirovna -Control. Separately, I want to single out Safin Svetlana Damirovna and Konyukhova Evgeny Vladimirovna - it is interesting to listen to their “living” faces. Martyanova Lyudmila Viktorovyurisk -adviser, the format itself understandable breakdown into lessons. The most competent and professional lecturer working only with fresh material is Marina Vladimirovna Shobokhonova! Thank you very much, I admire the knowledge and ability to convey the material so clearly and with examples. Berezina Albina Sufarovnasky -specialist in the cadrampressive mood of the goodwill of the lecturers was felt through the screen. Practical examples that the teachers told were relevant and understandable. I note separately that teachers are very interesting to listen to, although the volume of large and combining work and study of strength needed a lot. Thank you very much! Leave a request and we will help the consultant will contact you with the choice during the day and will help you choose your interests and goals to display the form you need to turn on JavaScript in your browser and update the page. Download with App Store with Google Play Management with visibility of the submenu about the school of information about the educational organization Documents for customers Managing Visuality Department of the Accounts for Accounting and Taxes Personnel and HR Purchases 44 -ФЗ Protecting Labor Marketing Entrepreneur IT Lectories Support Center 8,800 500-95-51 Order a call write to the chat write a letter help contacts vkontakteyoutubeodnoklassnikitelegram use cookies for the correct work of the site personalization of users and other goals provided for by the policy. Personal data processing policy © 1988–2023 SKB Contour</v>
      </c>
    </row>
    <row r="795">
      <c r="A795" s="1" t="s">
        <v>2588</v>
      </c>
      <c r="B795" s="1" t="s">
        <v>2610</v>
      </c>
      <c r="C795" s="1" t="s">
        <v>2611</v>
      </c>
      <c r="D795" s="1">
        <v>11.0</v>
      </c>
      <c r="E795" s="4" t="s">
        <v>2612</v>
      </c>
      <c r="F795" s="1" t="s">
        <v>16</v>
      </c>
      <c r="G795" s="1" t="s">
        <v>2613</v>
      </c>
      <c r="H795" s="4" t="s">
        <v>2614</v>
      </c>
      <c r="I795" s="2">
        <v>1.0</v>
      </c>
      <c r="J795" s="5" t="str">
        <f>IFERROR(__xludf.DUMMYFUNCTION("GOOGLETRANSLATE(A795)"),"Production calendar 2023")</f>
        <v>Production calendar 2023</v>
      </c>
      <c r="K795" s="6" t="str">
        <f>IFERROR(__xludf.DUMMYFUNCTION("GOOGLETRANSLATE(B795)"),"Production calendar for 2023 (for ...")</f>
        <v>Production calendar for 2023 (for ...</v>
      </c>
      <c r="L795" s="5" t="str">
        <f>IFERROR(__xludf.DUMMYFUNCTION("GOOGLETRANSLATE(C795)"),"23 Mar. 2023. -")</f>
        <v>23 Mar. 2023. -</v>
      </c>
      <c r="M795" s="5" t="str">
        <f>IFERROR(__xludf.DUMMYFUNCTION("GOOGLETRANSLATE(G795)"),"The Higher School of Economics in St. Petersburg is the National Research University ""Higher School of Economics"" in the old versions of browsers The site can be displayed incorrectly. For optimal work with the site, we recommend using a modern browser."&amp;" We use Cookies files to improve the work of the NIU HSE website and more convenience of its use. More information about the use of Cookies files can be found here our rules for processing personal data - here. Continuing to use the site, you confirm that"&amp;" you have been informed about the use of Cookies files by the Higher School of Economics and agree with our personal data processing rules. You can disable cookies in the settings of your browser .✖aaaaaaaaaaaaaaaaaaaaaaaaaaaaaaaaaaaaaaaaaaaaaaaaaaaaaaaaa"&amp;"aaaaaaaaaaaaaaaaaaaaaaaaaaaaaaaaaaaaaaaaaaaaaaaaaaaaaaaaaaaaaaaaaaaaaaaaaabababaaaaaaaa version of the site users and employees and institutes of the world's investigative traffic control of the saunctic-Petersburg-Peterskurnivoric novgorod permissions fo"&amp;"r weak-visible versions for weaknesses During the Usheruencampus employee, vsanko-Petersburgmoskvasank-Petersburg-Peterskagniye Novgorod Permivodka online version for the visually impaired office of the employee to the submissions of the ABC Bachelorial A"&amp;"BTURIABIENTURIARYARY Open-door graduate school for applicants for bachelors of educational programs, get the appropriate program for the undergraduate of the magistracy of additional or business education of a nuclear-human tourist tourism license plate a"&amp;"nd the contestive faculty of the pretequisy education of an open door of the open door/event for the Abideturientovolimpiads ""Conclusive Probe"" Olympics and graduates Olympics and graduates Olympics and graduates ""High League"" ""I am Professional"" In"&amp;"ternational Olympiad Youth -Firewall Olympiad Register to participate in the Olympiads and competitions of the NRU SSEITRISTLY applicant for foreign applicants for the Fully Fully Fifth Foreign Educational Educational Educational Putor +Additional Tour La"&amp;"nguage Infloretalogs of DPPRI programs from several hundred programs with relevant system-assembly programs of the programmagisters. Standards for Education Plane Plansaway Plans: Standard for Education for Educational Standards and the structure of the e"&amp;"ducational programminant individual trajectory of learning training trajectory oncutant -Kurdipl +Fair of Project Unification Textbook Processing School of Educational Classes of the Training Electronic Book of Property of Writing Work for Plagiastra of t"&amp;"he NIU of the Supervisory Department and Employees of Educational Centers and Laboratory of Economic and Sociological Archive of Applied Research and Development of Applied Research and Development Consumer Tekacademic personnel reserve of guest professor"&amp;"s and researchers of the employees for employees about all employees of higher education Economics on their personal pages of research by jurisdiction of scientific events: //spb.hse.ru/news/announcments/scientific_actions/ Outsuscobo university VSE in th"&amp;"e development ratings “Priority 2030” of the corps and dormitory of the corps and dormitory capabilities and factory structures and leadership of the Russian Council Councils and employees of organizational structural Documents of the Station and Authorit"&amp;"y License and Patents on the educational organization Cauline and graduates of the development of quarries and employees and employees and the Institute of Research Institute of International Signature Division190121 St. Petersburg of the Printers Union u"&amp;"l. d.16+7 (812) 644-59-11+7 (812) 644-59-10Office-spb@hse.ru Zadaniyniu HSHE in St. Petersburg 1993–2023Po-sophisticated searches of the open door of the law faculty at 13: 00VSROSY Festival of university Technological project final of the competition on "&amp;"November 29 of the subtranials -Russian Olympiad “I -Professional” Registration Open opened before November 14, the reception of foreign applicants PREVNEXT tower is opened. Emergency communication “Here you can watch science in action”: students of St. P"&amp;"etersburg tower in large companies of the St. Petersburg Thale practical preparation of students. Thanks to this, the guys can build a career in the companies of dreams from the first years of study. Our today's heroes who have trained in Yandex Gazprom N"&amp;"eft know this firsthand the “Air Gates of the Northern Capital” by Ancor and Selectel. How the selection was carried out in the top companies. What tasks the guys performed during the internship and what they especially remembered-in our new material. The"&amp;" university life of the HSE Fest semifinals took place from 21 universities of the semifinals of the anniversary All-Russian festival of university technological projects HSE Fest Fest 2023. Top-35 teams- The festival participants will meet in St. Petersb"&amp;"urg in the semifinals and finals on November 29, 2023. The formation of a design school in St. Petersburg has been opening a new educational profile “Clothing Design” since 2024, the NIU Higher School of Design of the Higher School of Enterprise-St. Peter"&amp;"sburg will be able to choose a new educational profile “Clothing Design” unique For the fashion industry of the Northern capital. The Library Communication “City Legends”: Borislav Nepopokoev about his favorite places in St. Petersburg, Borislav Nepopokoe"&amp;"v, deputy dean of the law faculty. He was born and raised in St. Petersburg and spent his school years in Pavlovsk. The history of the family of the deputy dean is associated with a variety of stages in the life of the city - from the flood of 1924 to the"&amp;" blockade of Leningrad. What connects the relatives of Borislav Borisovich with Repin and where urban beauties are better visible-in an interview. The formation launched a mirror laboratory with the leading technological university of Malaysiniu VSHE-St. "&amp;"Petersburg and the Malaysian Technological University (UTM) laboratory laboratory in the field of social entrepreneurship. The agreement on this was signed on November 9 during a meeting of the joint Russian-Malaysian commission on economic scientific, te"&amp;"chnical and cultural cooperation in Kuala Lumpur. The incoming proceeding of the pan for the Olympiads: what is it and why it is needed - this is a program of high academic load. It is available to students of the School of Economics and Management that e"&amp;"ntered the St. Petersburg tower at the Olympics or passed the exam well. Pan was talked about the impressions of the training on the program with Anastasia Mikheeva, a fourth-year student of OP “Economics”. To order a month. Comfortable-core of the St. Pe"&amp;"tersburg tower has 37 thousand subscribers and this is only common channels and communities. The university is represented by official public and student communities of the faculties group and interest channels. The official St. Petersburg tower is active"&amp;"ly present in all major social networks. The re -submissions of the event “Friendship through the ocean. Brazil-Russia ”in Kochube-Central Central Center at 17: 0013-nailed-haired Career Day at 12: 00antemirovskaya street 3k1 Russia St. Petersburg14-I-Rai"&amp;"stral Registration at the Olympiad“ Professional ”began at 12: 0018-Yabannaya Rights of the Vostokoye program, began at 16: 1528 Nybradniybobilia Arn from Others ""Beginning at 17: 3005 Deecapapricanar"" Genre Features of a Book Review ""began at 17: 3019"&amp;" Decapababricenseminar"" Organizing and Maintaining Peer-Writing Groups ""began at 17: 30: 30: 30: 30: 30: 30: 30: 30: 30: Era in business in public service and science. They prepare high-class specialists in the country's necessary specialists. 360 ° wid"&amp;"th is shown a different-stage life more than 60 clubs and organizations of the Center for the Center for Innovation Entrepreneurship Filia and Business Education Processing Professional Perebetwheat Council Council opening online Current-Economic Activiti"&amp;"es International Mobility IQ.h.hse.ru Talfundant science laboratories and centersifres and facts of training 95 %employment level of graduates, six months after graduation, 41-educational program100 +foreign partner universities1-dimensions in the quality"&amp;" of admission to St. Petersburgprevnext Confontact Department of the Union of the Union of Printers St. d.16+7 (812) 644-59-11+7 (812) 644-59-10OFFICE-SPB@Hse.ru CARE CARENTACT Kontakt-Centers Service+7 (812) 980-00-30Callspb@hse.ru OPARACTION TELE294100 "&amp;"St. Petersburg. Kantemirovskaya House 3 Corpine 1 lit. And com. 239+7 (812) 644-62-12ABITUR-SPB@hse.ru Press Offiscontaks for journalists and representatives of Smikiselov Pavel Evgenievichpkiselev@hse.ru+-921-866-55-21, Campusterity and Continuration Str"&amp;"ucture of the Personnel Councils and Employee Councils Corps and the hostel of the Zakuppupkivs for students with disabilities and disability for the poorly visible payment page of the formation for applicants of the Duzovo-Duzovskoye preparations in the "&amp;"undergraduate in the magistracy of the Dudiper+additional education of the higher education of acadratural scientific centers and laboratory-memorial groups Personnel reserve-resource-proofing archive of economic and sociological data © NIU HSE in St. Pet"&amp;"ersburg 1993–2023 Conditions Using materials Policy of Privacy Rules for the application of recommendation technologies in the Higher School of the Site card Fonts HSE Sans and HSE SLAB designed at the School of Design School")</f>
        <v>The Higher School of Economics in St. Petersburg is the National Research University "Higher School of Economics" in the old versions of browsers The site can be displayed incorrectly. For optimal work with the site, we recommend using a modern browser. We use Cookies files to improve the work of the NIU HSE website and more convenience of its use. More information about the use of Cookies files can be found here our rules for processing personal data - here. Continuing to use the site, you confirm that you have been informed about the use of Cookies files by the Higher School of Economics and agree with our personal data processing rules. You can disable cookies in the settings of your browser .✖aaaaaaaaaaaaaaaaaaaaaaaaaaaaaaaaaaaaaaaaaaaaaaaaaaaaaaaaaaaaaaaaaaaaaaaaaaaaaaaaaaaaaaaaaaaaaaaaaaaaaaaaaaaaaaaaaaaaaaaaaaaaaaaaaaabababaaaaaaaa version of the site users and employees and institutes of the world's investigative traffic control of the saunctic-Petersburg-Peterskurnivoric novgorod permissions for weak-visible versions for weaknesses During the Usheruencampus employee, vsanko-Petersburgmoskvasank-Petersburg-Peterskagniye Novgorod Permivodka online version for the visually impaired office of the employee to the submissions of the ABC Bachelorial ABTURIABIENTURIARYARY Open-door graduate school for applicants for bachelors of educational programs, get the appropriate program for the undergraduate of the magistracy of additional or business education of a nuclear-human tourist tourism license plate and the contestive faculty of the pretequisy education of an open door of the open door/event for the Abideturientovolimpiads "Conclusive Probe" Olympics and graduates Olympics and graduates Olympics and graduates "High League" "I am Professional" International Olympiad Youth -Firewall Olympiad Register to participate in the Olympiads and competitions of the NRU SSEITRISTLY applicant for foreign applicants for the Fully Fully Fifth Foreign Educational Educational Educational Putor +Additional Tour Language Infloretalogs of DPPRI programs from several hundred programs with relevant system-assembly programs of the programmagisters. Standards for Education Plane Plansaway Plans: Standard for Education for Educational Standards and the structure of the educational programminant individual trajectory of learning training trajectory oncutant -Kurdipl +Fair of Project Unification Textbook Processing School of Educational Classes of the Training Electronic Book of Property of Writing Work for Plagiastra of the NIU of the Supervisory Department and Employees of Educational Centers and Laboratory of Economic and Sociological Archive of Applied Research and Development of Applied Research and Development Consumer Tekacademic personnel reserve of guest professors and researchers of the employees for employees about all employees of higher education Economics on their personal pages of research by jurisdiction of scientific events: //spb.hse.ru/news/announcments/scientific_actions/ Outsuscobo university VSE in the development ratings “Priority 2030” of the corps and dormitory of the corps and dormitory capabilities and factory structures and leadership of the Russian Council Councils and employees of organizational structural Documents of the Station and Authority License and Patents on the educational organization Cauline and graduates of the development of quarries and employees and employees and the Institute of Research Institute of International Signature Division190121 St. Petersburg of the Printers Union ul. d.16+7 (812) 644-59-11+7 (812) 644-59-10Office-spb@hse.ru Zadaniyniu HSHE in St. Petersburg 1993–2023Po-sophisticated searches of the open door of the law faculty at 13: 00VSROSY Festival of university Technological project final of the competition on November 29 of the subtranials -Russian Olympiad “I -Professional” Registration Open opened before November 14, the reception of foreign applicants PREVNEXT tower is opened. Emergency communication “Here you can watch science in action”: students of St. Petersburg tower in large companies of the St. Petersburg Thale practical preparation of students. Thanks to this, the guys can build a career in the companies of dreams from the first years of study. Our today's heroes who have trained in Yandex Gazprom Neft know this firsthand the “Air Gates of the Northern Capital” by Ancor and Selectel. How the selection was carried out in the top companies. What tasks the guys performed during the internship and what they especially remembered-in our new material. The university life of the HSE Fest semifinals took place from 21 universities of the semifinals of the anniversary All-Russian festival of university technological projects HSE Fest Fest 2023. Top-35 teams- The festival participants will meet in St. Petersburg in the semifinals and finals on November 29, 2023. The formation of a design school in St. Petersburg has been opening a new educational profile “Clothing Design” since 2024, the NIU Higher School of Design of the Higher School of Enterprise-St. Petersburg will be able to choose a new educational profile “Clothing Design” unique For the fashion industry of the Northern capital. The Library Communication “City Legends”: Borislav Nepopokoev about his favorite places in St. Petersburg, Borislav Nepopokoev, deputy dean of the law faculty. He was born and raised in St. Petersburg and spent his school years in Pavlovsk. The history of the family of the deputy dean is associated with a variety of stages in the life of the city - from the flood of 1924 to the blockade of Leningrad. What connects the relatives of Borislav Borisovich with Repin and where urban beauties are better visible-in an interview. The formation launched a mirror laboratory with the leading technological university of Malaysiniu VSHE-St. Petersburg and the Malaysian Technological University (UTM) laboratory laboratory in the field of social entrepreneurship. The agreement on this was signed on November 9 during a meeting of the joint Russian-Malaysian commission on economic scientific, technical and cultural cooperation in Kuala Lumpur. The incoming proceeding of the pan for the Olympiads: what is it and why it is needed - this is a program of high academic load. It is available to students of the School of Economics and Management that entered the St. Petersburg tower at the Olympics or passed the exam well. Pan was talked about the impressions of the training on the program with Anastasia Mikheeva, a fourth-year student of OP “Economics”. To order a month. Comfortable-core of the St. Petersburg tower has 37 thousand subscribers and this is only common channels and communities. The university is represented by official public and student communities of the faculties group and interest channels. The official St. Petersburg tower is actively present in all major social networks. The re -submissions of the event “Friendship through the ocean. Brazil-Russia ”in Kochube-Central Central Center at 17: 0013-nailed-haired Career Day at 12: 00antemirovskaya street 3k1 Russia St. Petersburg14-I-Raistral Registration at the Olympiad“ Professional ”began at 12: 0018-Yabannaya Rights of the Vostokoye program, began at 16: 1528 Nybradniybobilia Arn from Others "Beginning at 17: 3005 Deecapapricanar" Genre Features of a Book Review "began at 17: 3019 Decapababricenseminar" Organizing and Maintaining Peer-Writing Groups "began at 17: 30: 30: 30: 30: 30: 30: 30: 30: 30: Era in business in public service and science. They prepare high-class specialists in the country's necessary specialists. 360 ° width is shown a different-stage life more than 60 clubs and organizations of the Center for the Center for Innovation Entrepreneurship Filia and Business Education Processing Professional Perebetwheat Council Council opening online Current-Economic Activities International Mobility IQ.h.hse.ru Talfundant science laboratories and centersifres and facts of training 95 %employment level of graduates, six months after graduation, 41-educational program100 +foreign partner universities1-dimensions in the quality of admission to St. Petersburgprevnext Confontact Department of the Union of the Union of Printers St. d.16+7 (812) 644-59-11+7 (812) 644-59-10OFFICE-SPB@Hse.ru CARE CARENTACT Kontakt-Centers Service+7 (812) 980-00-30Callspb@hse.ru OPARACTION TELE294100 St. Petersburg. Kantemirovskaya House 3 Corpine 1 lit. And com. 239+7 (812) 644-62-12ABITUR-SPB@hse.ru Press Offiscontaks for journalists and representatives of Smikiselov Pavel Evgenievichpkiselev@hse.ru+-921-866-55-21, Campusterity and Continuration Structure of the Personnel Councils and Employee Councils Corps and the hostel of the Zakuppupkivs for students with disabilities and disability for the poorly visible payment page of the formation for applicants of the Duzovo-Duzovskoye preparations in the undergraduate in the magistracy of the Dudiper+additional education of the higher education of acadratural scientific centers and laboratory-memorial groups Personnel reserve-resource-proofing archive of economic and sociological data © NIU HSE in St. Petersburg 1993–2023 Conditions Using materials Policy of Privacy Rules for the application of recommendation technologies in the Higher School of the Site card Fonts HSE Sans and HSE SLAB designed at the School of Design School</v>
      </c>
    </row>
    <row r="796">
      <c r="A796" s="1" t="s">
        <v>2588</v>
      </c>
      <c r="B796" s="1" t="s">
        <v>2615</v>
      </c>
      <c r="C796" s="1" t="s">
        <v>2616</v>
      </c>
      <c r="D796" s="1">
        <v>12.0</v>
      </c>
      <c r="E796" s="4" t="s">
        <v>2617</v>
      </c>
      <c r="F796" s="1" t="s">
        <v>16</v>
      </c>
      <c r="I796" s="2">
        <v>1.0</v>
      </c>
      <c r="J796" s="5" t="str">
        <f>IFERROR(__xludf.DUMMYFUNCTION("GOOGLETRANSLATE(A796)"),"Production calendar 2023")</f>
        <v>Production calendar 2023</v>
      </c>
      <c r="K796" s="6" t="str">
        <f>IFERROR(__xludf.DUMMYFUNCTION("GOOGLETRANSLATE(B796)"),"Production calendar for 2023")</f>
        <v>Production calendar for 2023</v>
      </c>
      <c r="L796" s="5" t="str">
        <f>IFERROR(__xludf.DUMMYFUNCTION("GOOGLETRANSLATE(C796)"),"30 Aug. 2023. -")</f>
        <v>30 Aug. 2023. -</v>
      </c>
      <c r="M796" s="5" t="str">
        <f>IFERROR(__xludf.DUMMYFUNCTION("GOOGLETRANSLATE(G796)"),"#VALUE!")</f>
        <v>#VALUE!</v>
      </c>
    </row>
    <row r="797">
      <c r="A797" s="1" t="s">
        <v>2588</v>
      </c>
      <c r="B797" s="1" t="s">
        <v>2590</v>
      </c>
      <c r="C797" s="1" t="s">
        <v>2618</v>
      </c>
      <c r="D797" s="1">
        <v>13.0</v>
      </c>
      <c r="E797" s="4" t="s">
        <v>2619</v>
      </c>
      <c r="F797" s="1" t="s">
        <v>16</v>
      </c>
      <c r="G797" s="1" t="s">
        <v>1437</v>
      </c>
      <c r="H797" s="4" t="s">
        <v>1438</v>
      </c>
      <c r="I797" s="2">
        <v>0.0</v>
      </c>
      <c r="J797" s="5" t="str">
        <f>IFERROR(__xludf.DUMMYFUNCTION("GOOGLETRANSLATE(A797)"),"Production calendar 2023")</f>
        <v>Production calendar 2023</v>
      </c>
      <c r="K797" s="6" t="str">
        <f>IFERROR(__xludf.DUMMYFUNCTION("GOOGLETRANSLATE(B797)"),"Production calendar 2023")</f>
        <v>Production calendar 2023</v>
      </c>
      <c r="L797" s="5" t="str">
        <f>IFERROR(__xludf.DUMMYFUNCTION("GOOGLETRANSLATE(C797)"),"Not just the production calendar for 2023 with the holidays, approved by the Decree of the Government of the Russian Federation. This is a working days calculator, hours of watch.")</f>
        <v>Not just the production calendar for 2023 with the holidays, approved by the Decree of the Government of the Russian Federation. This is a working days calculator, hours of watch.</v>
      </c>
      <c r="M797" s="5" t="str">
        <f>IFERROR(__xludf.DUMMYFUNCTION("GOOGLETRANSLATE(G797)"),"The Portal of Financial Calculatorsfincalculator.ru Portal Financial Calcules for the Credite -Keluridaridically Delicitan Fires of the Rights of the Financial Credit Credit calculator will calculate the full cost of the loan, taking into account the comm"&amp;"issions and other additional costs for credit. It will take into account inflation and will allow you to choose the most comfortable loan terms. Cross! Calculator of deposits will calculate the actual profitability of the contribution, taking into account"&amp;" the fertilized tax frequency of the percentage of the capitalized to their contribution. Go! We calculate how much time it costs? Is it profitable to make purchases in a more expensive store but save 15 minutes of your time? Or maybe you should go to wor"&amp;"k by taxi? Cross! The mortgage calculator will take into account the most common commissions in banks of the insurance requirements and other additional fees that are characteristic of loans issued on security of real estate. Go! Calculator of the car loa"&amp;"n will take into account the most typical additional payments that are characteristic of loans issued for the purchase of a car. Cross! Consumer loan calculator will take into account the commission fees related to loans issued for urgent needs. Go! Calcu"&amp;"lator online calculator with support for currencies calculating interest and calculating complex expressions. Go! Calculator of days Calculator calculating the number of days between two dates and determining the date through the specified number of days."&amp;" Go! Previousnextusd: 9192666 Course of the Central Bank at 10.11EUR: 984076 CURSE OF 10.11 Rubusdeur deposits deposit calculator Calculation of the balance loans credit calculator Consumer loan calculator Calendar Calculator of Days Production Calendar f"&amp;"or 2023 Production calendar for 2024 all calendars different calculator courses online region by phone number how much time costs? Directory of banks transliteration © 2010-2023 Sergey Chepurnov | Feedback | Privacy Policy | User agreement | 18+ For compl"&amp;"ete functional work of this site, it is necessary to enable the performance of JavaScript scenarios. Unfortunately, the site is not optimized for working with this version of the browser. Please try updating the version to the most relevant or using anoth"&amp;"er browser. Hide a notification")</f>
        <v>The Portal of Financial Calculatorsfincalculator.ru Portal Financial Calcules for the Credite -Keluridaridically Delicitan Fires of the Rights of the Financial Credit Credit calculator will calculate the full cost of the loan, taking into account the commissions and other additional costs for credit. It will take into account inflation and will allow you to choose the most comfortable loan terms. Cross! Calculator of deposits will calculate the actual profitability of the contribution, taking into account the fertilized tax frequency of the percentage of the capitalized to their contribution. Go! We calculate how much time it costs? Is it profitable to make purchases in a more expensive store but save 15 minutes of your time? Or maybe you should go to work by taxi? Cross! The mortgage calculator will take into account the most common commissions in banks of the insurance requirements and other additional fees that are characteristic of loans issued on security of real estate. Go! Calculator of the car loan will take into account the most typical additional payments that are characteristic of loans issued for the purchase of a car. Cross! Consumer loan calculator will take into account the commission fees related to loans issued for urgent needs. Go! Calculator online calculator with support for currencies calculating interest and calculating complex expressions. Go! Calculator of days Calculator calculating the number of days between two dates and determining the date through the specified number of days. Go! Previousnextusd: 9192666 Course of the Central Bank at 10.11EUR: 984076 CURSE OF 10.11 Rubusdeur deposits deposit calculator Calculation of the balance loans credit calculator Consumer loan calculator Calendar Calculator of Days Production Calendar for 2023 Production calendar for 2024 all calendars different calculator courses online region by phone number how much time costs? Directory of banks transliteration © 2010-2023 Sergey Chepurnov | Feedback | Privacy Policy | User agreement | 18+ For complete functional work of this site, it is necessary to enable the performance of JavaScript scenarios. Unfortunately, the site is not optimized for working with this version of the browser. Please try updating the version to the most relevant or using another browser. Hide a notification</v>
      </c>
    </row>
    <row r="798">
      <c r="A798" s="1" t="s">
        <v>2588</v>
      </c>
      <c r="B798" s="1" t="s">
        <v>2620</v>
      </c>
      <c r="C798" s="1" t="s">
        <v>2621</v>
      </c>
      <c r="D798" s="1">
        <v>14.0</v>
      </c>
      <c r="E798" s="4" t="s">
        <v>2622</v>
      </c>
      <c r="F798" s="1" t="s">
        <v>16</v>
      </c>
      <c r="G798" s="1" t="s">
        <v>2623</v>
      </c>
      <c r="H798" s="4" t="s">
        <v>2624</v>
      </c>
      <c r="I798" s="2">
        <v>1.0</v>
      </c>
      <c r="J798" s="5" t="str">
        <f>IFERROR(__xludf.DUMMYFUNCTION("GOOGLETRANSLATE(A798)"),"Production calendar 2023")</f>
        <v>Production calendar 2023</v>
      </c>
      <c r="K798" s="6" t="str">
        <f>IFERROR(__xludf.DUMMYFUNCTION("GOOGLETRANSLATE(B798)"),"Production calendar - staff management")</f>
        <v>Production calendar - staff management</v>
      </c>
      <c r="L798" s="5" t="str">
        <f>IFERROR(__xludf.DUMMYFUNCTION("GOOGLETRANSLATE(C798)"),"2023 · 2022 · 2021 · 2020 · 2019 · 2018 · 2017 · 2016.")</f>
        <v>2023 · 2022 · 2021 · 2020 · 2019 · 2018 · 2017 · 2016.</v>
      </c>
      <c r="M798" s="5" t="str">
        <f>IFERROR(__xludf.DUMMYFUNCTION("GOOGLETRANSLATE(G798)"),"Personnel Management - National Research University ""Higher School of Economics"" in the old versions of browsers, the site may not be displayed incorrectly. For optimal work with the site, we recommend using a modern browser. We use cookies to improve t"&amp;"he work of the NIU HSE website and more convenient to use it. More information about the use of Cookies files can be found here our rules for processing personal data - here. Continuing to use the site, you confirm that you have been informed about the us"&amp;"e of Cookies files by the Higher School of Economics and agree with our personal data processing rules. You can disable Cookies files in the settings of your browser. ✖aaaaaaaaaaaaaaabvabvabvabvabvabvabvabvabvabvabvabvabvabvabvabvabvabvabyaaaaaaaaaaaaaaaa"&amp;"aaaaaaaaaaaaaaaaaaaaaaaaaaaaaaaaaaaaaaaaaaahnitiytiystydihnit-playing search for the site personnel workers' personnel examiner for personnel administration of the contest for the posts of researchers101,000 Moscow, 20 5 5th floor. -Pt. From 9.30 to 19.00"&amp;" Tel: (495) 621-55-60 Blanks of applications for the management of medical assistance to a low-visionary-vibrated search for the site for the site of the Economic University ""Higher School of Economics"" Administrative and Management Management Personnel"&amp;" Management of Personnel-Statements MU administration of the Office of the Conduration to the replacement of the posts of scientific employees101 000 Moscow Sensitskaya d. 20 of the 5th floor. From 9.30 to 19.00 Tel: (495) 621-55-60 Blanks of applications"&amp;" for the management of medical assistance management personnel management of personnel development Unified reception Moscow Moscow Myasnitskaya 20 Mon-App. From 9.30 to 19.00, telephone: (495) 621-55-60*12122/12123 Handbook of an employee of the applicati"&amp;"on form to help the head of the production calendar of the contactmoskva st. Myasnitskaya d. 20 5th floor of the room 501-516 Oppertoye Elena Anatolyevna Director of HR Voropaev Sergey Vladimirovich Deputy Director Lesnoy Alexander Georgievich Deputy Dire"&amp;"ctor of Human Resources Natalya Alekseevna Deputy Director of HR Nizhalovskaya Natalia Adamovna Deputy Head of the Department of Mezentseva Yulia Yuryevna Head of the Center Zinkina Julia Anatolyevna Head of the Center for Personnel Administration Yalugin"&amp;"a Anastasia Aleksandrovna Head of the Center for Service for Working with Humanities found a typo? Highlight it click Ctrl+Enter and send us a notification. Thank you for participating! The service is intended only for sending messages about spelling and "&amp;"punctuation errors. Acceptance of AUP NPR Repeat the acceptance of teachers-buyers tutors Treaty GPH Treaty Remote Works for FOREIN SPECialists issuing certificates and copies of documents issuing leave leaves Drawing up business trips Representatives of "&amp;"an electronic labor book of applications Frequent issues Laws and regulatory legal acts Official acts of awarding instructions Workers Procedure for presenting the Higher School Awards State awards of the Russian Federation Award named after B.L. Rudnik H"&amp;"onorary Statuses and titles Registration in the FED of service notes on personnel issues Vaccination from Covid-19 Memo to managers for removing the recommendation of the certificate Commission Procedure for Action and Documents Military Research Universi"&amp;"ty “Higher School of Economics” → Administrative and Management Units → Personnel Office → Personnel Management Tower of the digit and factory farming and the structure of the vehicles and the staff of the corps and the hostel of the rescue of citizens to"&amp;" the NRU SSHEFEFDID TABLE Capital Production of corruption on income expenses and property obligations about the educational organization with disabilities with the limiting benefits of the uniforms in the tower formation I eat in the bachelor's reception"&amp;" in the master's-spiral-filling education center of the development of quarry business-incubator The Highlands Scientific Division of Research Project Monitoring-Generation Councils of dissertation of the Academic Development Comers and Grant-Educational "&amp;"Portal IQ.hse.ruXIV Yasinskaya (April) International Scientific Conference on the Problems of Development of Economics and Society Library House School Shopping Stated grades centers of the Higher Public Archive of the Economic and Sociological Devices of"&amp;" the Prevention of Science and Higher Education of the Russian Federation Enlightenment of the Russian Federation “Russian Education” Mass open online supervisor © NIU HSE 1993–2023 Addresses and contacts The conditions for using materials Privacy Policy "&amp;"Site map Fonts HSE Sans and HSE SLAB developed at the School of Design of the Higher School")</f>
        <v>Personnel Management - National Research University "Higher School of Economics" in the old versions of browsers, the site may not be displayed incorrectly. For optimal work with the site, we recommend using a modern browser. We use cookies to improve the work of the NIU HSE website and more convenient to use it. More information about the use of Cookies files can be found here our rules for processing personal data - here. Continuing to use the site, you confirm that you have been informed about the use of Cookies files by the Higher School of Economics and agree with our personal data processing rules. You can disable Cookies files in the settings of your browser. ✖aaaaaaaaaaaaaaabvabvabvabvabvabvabvabvabvabvabvabvabvabvabvabvabvabvabyaaaaaaaaaaaaaaaaaaaaaaaaaaaaaaaaaaaaaaaaaaaaaaaaaaaaaaaaaaahnitiytiystydihnit-playing search for the site personnel workers' personnel examiner for personnel administration of the contest for the posts of researchers101,000 Moscow, 20 5 5th floor. -Pt. From 9.30 to 19.00 Tel: (495) 621-55-60 Blanks of applications for the management of medical assistance to a low-visionary-vibrated search for the site for the site of the Economic University "Higher School of Economics" Administrative and Management Management Personnel Management of Personnel-Statements MU administration of the Office of the Conduration to the replacement of the posts of scientific employees101 000 Moscow Sensitskaya d. 20 of the 5th floor. From 9.30 to 19.00 Tel: (495) 621-55-60 Blanks of applications for the management of medical assistance management personnel management of personnel development Unified reception Moscow Moscow Myasnitskaya 20 Mon-App. From 9.30 to 19.00, telephone: (495) 621-55-60*12122/12123 Handbook of an employee of the application form to help the head of the production calendar of the contactmoskva st. Myasnitskaya d. 20 5th floor of the room 501-516 Oppertoye Elena Anatolyevna Director of HR Voropaev Sergey Vladimirovich Deputy Director Lesnoy Alexander Georgievich Deputy Director of Human Resources Natalya Alekseevna Deputy Director of HR Nizhalovskaya Natalia Adamovna Deputy Head of the Department of Mezentseva Yulia Yuryevna Head of the Center Zinkina Julia Anatolyevna Head of the Center for Personnel Administration Yalugina Anastasia Aleksandrovna Head of the Center for Service for Working with Humanities found a typo? Highlight it click Ctrl+Enter and send us a notification. Thank you for participating! The service is intended only for sending messages about spelling and punctuation errors. Acceptance of AUP NPR Repeat the acceptance of teachers-buyers tutors Treaty GPH Treaty Remote Works for FOREIN SPECialists issuing certificates and copies of documents issuing leave leaves Drawing up business trips Representatives of an electronic labor book of applications Frequent issues Laws and regulatory legal acts Official acts of awarding instructions Workers Procedure for presenting the Higher School Awards State awards of the Russian Federation Award named after B.L. Rudnik Honorary Statuses and titles Registration in the FED of service notes on personnel issues Vaccination from Covid-19 Memo to managers for removing the recommendation of the certificate Commission Procedure for Action and Documents Military Research University “Higher School of Economics” → Administrative and Management Units → Personnel Office → Personnel Management Tower of the digit and factory farming and the structure of the vehicles and the staff of the corps and the hostel of the rescue of citizens to the NRU SSHEFEFDID TABLE Capital Production of corruption on income expenses and property obligations about the educational organization with disabilities with the limiting benefits of the uniforms in the tower formation I eat in the bachelor's reception in the master's-spiral-filling education center of the development of quarry business-incubator The Highlands Scientific Division of Research Project Monitoring-Generation Councils of dissertation of the Academic Development Comers and Grant-Educational Portal IQ.hse.ruXIV Yasinskaya (April) International Scientific Conference on the Problems of Development of Economics and Society Library House School Shopping Stated grades centers of the Higher Public Archive of the Economic and Sociological Devices of the Prevention of Science and Higher Education of the Russian Federation Enlightenment of the Russian Federation “Russian Education” Mass open online supervisor © NIU HSE 1993–2023 Addresses and contacts The conditions for using materials Privacy Policy Site map Fonts HSE Sans and HSE SLAB developed at the School of Design of the Higher School</v>
      </c>
    </row>
    <row r="799">
      <c r="A799" s="1" t="s">
        <v>2588</v>
      </c>
      <c r="B799" s="1" t="s">
        <v>2625</v>
      </c>
      <c r="C799" s="1" t="s">
        <v>2626</v>
      </c>
      <c r="D799" s="1">
        <v>15.0</v>
      </c>
      <c r="E799" s="4" t="s">
        <v>2627</v>
      </c>
      <c r="F799" s="1" t="s">
        <v>16</v>
      </c>
      <c r="H799" s="4" t="s">
        <v>2628</v>
      </c>
      <c r="I799" s="2">
        <v>1.0</v>
      </c>
      <c r="J799" s="5" t="str">
        <f>IFERROR(__xludf.DUMMYFUNCTION("GOOGLETRANSLATE(A799)"),"Production calendar 2023")</f>
        <v>Production calendar 2023</v>
      </c>
      <c r="K799" s="6" t="str">
        <f>IFERROR(__xludf.DUMMYFUNCTION("GOOGLETRANSLATE(B799)"),"Production calendar for 2023 - reference")</f>
        <v>Production calendar for 2023 - reference</v>
      </c>
      <c r="L799" s="5" t="str">
        <f>IFERROR(__xludf.DUMMYFUNCTION("GOOGLETRANSLATE(C799)"),"Next year there will be eight public holidays. New Year's holidays will last nine days - from December 31, 2022 to January 8, 2023. Last ...")</f>
        <v>Next year there will be eight public holidays. New Year's holidays will last nine days - from December 31, 2022 to January 8, 2023. Last ...</v>
      </c>
      <c r="M799" s="5" t="str">
        <f>IFERROR(__xludf.DUMMYFUNCTION("GOOGLETRANSLATE(G799)"),"#VALUE!")</f>
        <v>#VALUE!</v>
      </c>
    </row>
    <row r="800">
      <c r="A800" s="1" t="s">
        <v>2588</v>
      </c>
      <c r="B800" s="1" t="s">
        <v>2629</v>
      </c>
      <c r="C800" s="1" t="s">
        <v>2630</v>
      </c>
      <c r="D800" s="1">
        <v>16.0</v>
      </c>
      <c r="E800" s="4" t="s">
        <v>2631</v>
      </c>
      <c r="F800" s="1" t="s">
        <v>16</v>
      </c>
      <c r="I800" s="2">
        <v>1.0</v>
      </c>
      <c r="J800" s="5" t="str">
        <f>IFERROR(__xludf.DUMMYFUNCTION("GOOGLETRANSLATE(A800)"),"Production calendar 2023")</f>
        <v>Production calendar 2023</v>
      </c>
      <c r="K800" s="6" t="str">
        <f>IFERROR(__xludf.DUMMYFUNCTION("GOOGLETRANSLATE(B800)"),"Production calendar and explanation of the norm ...")</f>
        <v>Production calendar and explanation of the norm ...</v>
      </c>
      <c r="L800" s="5" t="str">
        <f>IFERROR(__xludf.DUMMYFUNCTION("GOOGLETRANSLATE(C800)"),"Production calendar and clarification about the norm of working time in 2023 ... Continuing to use our site, you consent to the processing of ""cookie"" files ...")</f>
        <v>Production calendar and clarification about the norm of working time in 2023 ... Continuing to use our site, you consent to the processing of "cookie" files ...</v>
      </c>
      <c r="M800" s="5" t="str">
        <f>IFERROR(__xludf.DUMMYFUNCTION("GOOGLETRANSLATE(G800)"),"#VALUE!")</f>
        <v>#VALUE!</v>
      </c>
    </row>
    <row r="801">
      <c r="A801" s="1" t="s">
        <v>2588</v>
      </c>
      <c r="B801" s="1" t="s">
        <v>1737</v>
      </c>
      <c r="C801" s="1" t="s">
        <v>2632</v>
      </c>
      <c r="D801" s="1">
        <v>17.0</v>
      </c>
      <c r="E801" s="4" t="s">
        <v>1739</v>
      </c>
      <c r="F801" s="1" t="s">
        <v>16</v>
      </c>
      <c r="G801" s="1" t="s">
        <v>1740</v>
      </c>
      <c r="H801" s="4" t="s">
        <v>1741</v>
      </c>
      <c r="I801" s="2">
        <v>0.0</v>
      </c>
      <c r="J801" s="5" t="str">
        <f>IFERROR(__xludf.DUMMYFUNCTION("GOOGLETRANSLATE(A801)"),"Production calendar 2023")</f>
        <v>Production calendar 2023</v>
      </c>
      <c r="K801" s="6" t="str">
        <f>IFERROR(__xludf.DUMMYFUNCTION("GOOGLETRANSLATE(B801)"),"Weekend and holidays in 2023: New Year's ...")</f>
        <v>Weekend and holidays in 2023: New Year's ...</v>
      </c>
      <c r="L801" s="5" t="str">
        <f>IFERROR(__xludf.DUMMYFUNCTION("GOOGLETRANSLATE(C801)"),"From January 1 to January 8, 2023 (December 31, 2022 it falls on Saturday, so the New Year holidays will last 9 days - from December 31, 2022 to January 8, 2023); ...")</f>
        <v>From January 1 to January 8, 2023 (December 31, 2022 it falls on Saturday, so the New Year holidays will last 9 days - from December 31, 2022 to January 8, 2023); ...</v>
      </c>
      <c r="M801" s="5" t="str">
        <f>IFERROR(__xludf.DUMMYFUNCTION("GOOGLETRANSLATE(G801)"),"Ministry of Labor and Social Protection of the Russian Federation: Official website | The Ministry of Labor and Social Protecting of the Display mode Close the size of a textual coolercrow-cereal, very large core-male medium-body-bolsifsegote uirialsans-s"&amp;"erifmonospace-color schemes of the dashes of the configuration by the default, to renew the feedback cabinetics Russia Ministry Activities Press Center Picture of the day November 110, 2023V Center for Rehabilitation named after Albrecht was held on an ex"&amp;"it meeting of the Council for the Disabled Affairs under the Federation Council of the Federation November 110, 2023 Dance Flashmob and the show of national costumes took place at the stand “Family. Job. Longevity »All news of the day on December 105, 202"&amp;"3, the All-Russian literary work competition of people with visual impairment named after Eduard Asadov 05 October 202323-24, 2023. At the internship platform, the Sed in the Ryazan Region will be held for seminarve events of the August 3. 2023 Anton Koty"&amp;"akov’s interview with Russia 24 Jun 24. 2023 The Foundation for Russian citizens of the Media-Firalpress Service: +7 (495) 870-68-46Eelectron mail postpressa@mintrud.gov.ru Industrial Service Documents Open Ministry of Contacts News Center for Rehabilitat"&amp;"ion named after Albrecht was held on an off -time meeting of the Council for Disabled Councils under the Federation Council on November 110, 2023, the main interactive map of the active longevity and the personnel center will be presented at the Russian e"&amp;"xhibition on November 02, 2023 Khovozhmin Medminth Russian and the RSSU, the cooperation agreement on November 01, 2023 The best engineer of the metro -Latro electric train works in Moscow on Bolshaya Kolitova Lines on October 31, 2023 Knowsteners were kn"&amp;"own for the finalists of the second All -Russian professional skill contest in the field of employment on October 26, 2023 Elline Social Contract: what is it necessary and how to get it? Read more how to get a subsidy for the employee’s hiring in more det"&amp;"ail how to get a retraining for citizens looking for a job? Read more useful materials to seeking work. The latest news of the Ministry of Labor to employees and employees of the Opportunities of the Latest News State Services of the Ministry of Labor to "&amp;"families with children Opportunities to the latest news to the State Labor Public Services to elderly citizens Possibly News Public Services of the Ministry of Labor to citizens with disabilities of the Minor Service of the Ministry of Labor Little -selli"&amp;"ng citizens Opportunities of the Public Service of the State Labor Opportunities Opportunities The latest news of the State Services of the Ministry of Labor all about the labor rights of mobilized citizens social services in numbers 4566 thousand social "&amp;"workers 75 thousand social services providers in 2022 7888 million services were provided in 2022. 4566 thousand social workers of 75 thousand social services providers in 2022 . 7888 million services were provided in 2022. Do we decide together there are"&amp;" proposals to improve the social sphere to increase the efficiency of employment services or other issues? Write about this - the Ministry of Labor will help with the decision! Write about the problem to solve together the Ministry of Labor and Social Pro"&amp;"tection of the Russian Federation Rostrud Pension Issocial Insurance Fund of the Russian Federation of the state authorities of the constituent entities of the Russian Federation of the Federal Bureau of Medical and Social Expertise all services to the op"&amp;"en Ministry of Public Council Open Data survey on the quality of social. Services Survey on Labor Mobility Internet reception press center Contacts of the event Latest news news. Albrecht took place an exit meeting of the Council for the Disabled Affairs "&amp;"under the Federation Council on November 10, 2023 Dance Flashmob and the show of national costumes took place at the stand “Family. Job. Longevity ”On November 10, 2023 the exposition“ Family. Job. Longevity ”at the Russian exhibition on November 04, 2023"&amp;" submitting a declaration of compliance with working conditions will become easier on November 03, 2023 The first interactive map of“ Active Longevity ”and the personnel center will be presented at the Russian exhibition on November 02, 2023, the Ministry"&amp;" of Labor, on behalf of the President, on the shortest possible time, will make changes to the procedure in the order as soon as possible Payments of a number of benefits on June 16, 2023 Report of the Minister of Labor and Social Protection of the Russia"&amp;"n Federation Anton Kotyakov at the “Government hour” in the State Duma on June 14, 2023 a expanded meeting of the College of the Ministry of Labor of Russia on May 19, 2023 The best driver of the metro electric train works in Moscow on the Bolshaya Ring L"&amp;"ine on October 31, 2023 The finalists of the second All -Russian professional skill competition in the field of employment on October 26, 2023 will determine the liability of employers for non -fulfillment of the quota for hiring citizens with disabilitie"&amp;"s on October 18, 2023 for 2024, a proactive format for the provision of employment centers on October 13, 2023 submit a declaration of compliance of working conditions. November 03, 2023 In Sochi, the VIII All-Russian Labor Protection Week on September 29"&amp;", 2023 The digitalization of labor protection processes became the main theme of the open microphone on VNO-2023 on September 29, 2023 Alexei Vovchenko: about 70 thousand enterprises were connected to the employer of labor protection on September 27, 2023"&amp;" The compliance of working conditions will become easier on November 03, 2023 in Sochi, the VIII All-Russian Labor Protection Week on September 29, 2023 The digitalization of labor protection processes became the main theme of the open microphone on VNO-2"&amp;"023 on September 29, 2023 Aleksey Vovchenko: about 70 thousand enterprises were connected to the personal cabinet of labor protection employer September 27, 2023 at the Center for Rehabilitation. Albrecht took place an exit meeting of the Council for the "&amp;"Disabled Affairs under the Federation Council on November 10, 2023 Dance Flashmob and the show of national costumes took place at the stand “Family. Job. Longevity ”On November 10, 2023 the exposition“ Family. Job. Longevity ”at the Russian exhibition on "&amp;"November 04, 2023 The first interactive map of“ active longevity ”and the personnel center will be presented at the Russian exhibition on November 02, 2023, the report of the Minister of Labor and Social Protection of the Russian Federation Anton Kotyakov"&amp;" at the“ government hour ”in the State Duma on June 14, 2023 with On April 1, social pensions are proposed to preindex to 33% on February 28, 2023, pensioners living abroad will be able to receive a pension to bank accounts opened in Russia February 28, 2"&amp;"023 The results of the All -Russian competition of the best personnel practices in the system of state and municipal administration on May 31, 2023 The All -Russian competition of the best personnel practices started The state and municipal administration"&amp;" on April 10, 2023 in the authorities will take place an experiment on the use of electronic personnel documents on March 24, 2023 questions -fasteners on the organization of remote work and the design of the sick leave during the Coronavirus distribution"&amp;" campaign on March 23, 2020 All news on March 2023 - November 29, 2023 All -Russian All -Russian Championships on professional skills March 21, 2023 - December 29, 2023 “All -Russian Competition“ Russian Organization of High Social Efficiency ” - 2023” Ju"&amp;"ne 01, 2023 - November 16, 2023 All -Russian competition of professional achievements of educational and rehabilitation organizations for disabled people and persons from The disabilities of July 25, 2023 - December 05, 2023 The Second All -Russian Litera"&amp;"ry Work Competition of people with vision of Eduard Assadov’s visual impairment all events of the media -fuelphographicup of sick leave: what do you need to know? February 04, 2022 What income is taken into account and not taken into account when assignin"&amp;"g payments for children under 3 years from maternity capital? July 24, 2023 On parental leave instead of a mother on February 04, 2022 Hospital: what do you need to know? February 04, 2022 What income is taken into account and not taken into account when "&amp;"assigning payments for children under 3 years from maternity capital? July 24, 2023 On a vacation for childcare instead of a mother on February 04, 2022, an interview with Anton Kotyakov television channel ""Russia 24"" 03 August 2023 Deputy Director of t"&amp;"he Department of Demographic and Family Policy of the Ministry of Labor of Russia Vsevolod Borovsky in the program ""Instruction"" of the Russia 24 television channel spoke about the social Contract 21 on February 21, 2023 Deputy Director of the Departmen"&amp;"t of Demographic and Family Policy of the Ministry of Labor of Russia Elena Semenova in the program “Morning of Russia” by Russia 1 told about the monthly payment of children under 3 years of age of Matkapitzed on February 20, 2023 Deputy Director of the "&amp;"Department of Demographic and Family Policy of the Ministry of Labor of Russia Elena Semenova in the program “Instructions” of the Russia 24 television channel spoke about maternal capital on February 01, 2023 All media files of documents of the order of "&amp;"the Center of the Ministry of Labor of Russia No. 771 of October 19, 2023 on amendments to the application to the order of the Ministry of Labor and Social Protection of the Russian Federation of 30 of 30 December 2022 No. 829 Orders Order of the Ministry"&amp;" of Labor of Russia No. 729n dated September 26, 2023 on amendments to Appendix No. 1 - 3 to the Order of the Ministry of Labor and Social Protection of the Russian Federation of December 12, 2022 No. 777n “On Distribution of Russian Subjects The Federati"&amp;"on approved by the Government of the Russian Federation for 2023 a quota for issuing foreign citizens to the Russian Federation on the basis of a visa of work permits and invitations to enter the Russian Federation in order to carry out labor activity ""O"&amp;"rders of the Ministry of Labor of Russia No. 721 of September 19, 2023 on the introduction of the introduction of Changes to the application to the order of the Ministry of Labor and Social Protection of the Russian Federation dated December 30, 2022 No. "&amp;"829 Orders of the Ministry of Labor of Russia No. 716n of September 14, 2023 on the approval of the professional standard “Psychologist in the Social Sphere” Order of the Ministry of Labor of Russia No. 717n dated 14 September 2023 On approval of the prof"&amp;"essional standard “Family Specialist” Orders Order of the Ministry of Labor of Russia No. 698n dated September 7, 2023 on the approval of the professional standard “Specialist for the provision of space services based on the use of global navigation satel"&amp;"lite systems” Letters of a letter dated April 17 2023 No. 14-4/10/B-5676 Employers of the Aviation Industry Organizations Letters Letter of the Ministry of Labor of Russia No. 14-6/10/V-13042 dated September 27, 2022 to the All-Russian Union of Independen"&amp;"t Trade Unions of Russia and the All-Russian Association of Employers “Russian Union of Industrialists and Entrepreneurs” Letters of a letter dated July 1, 2022 No. 14-4/10/B-8784 employers of the housing and communal services of the Russian Federation. L"&amp;"etters letter from the Ministry of Labor of Russia No. 10-9/B-579 dated December 21, 2021 to the heads of organizations under the jurisdiction of the Ministry of Labor of Russia (on the list) of the letter joint clarification of the Ministry of Labor of R"&amp;"ussia and the Rospotrebnadzor for the organization of vaccination in organized workers (labor collectives) and the accounting procedure) The percentage of the Russian Tripartite Commission for the regulation of social and labor relations of the letter let"&amp;"ter of the Ministry of Labor of Russia No. 15-2/10/P-4122 dated June 2, 2021 the highest executive bodies of the constituent entities of the Russian Federation (list) of the telegram Government telegram No. 13-5 /10/B-4180 dated April 12, 2021 to the head"&amp;"s of the highest executive bodies of state power of the constituent entities of the Russian Federation (on the list) of the telegram Government Telegram No. 14-0/10/P-2199 dated March 25, 2021. The highest executive bodies of the constituent entities of t"&amp;"he Russian Federation (on the list) of telegrams Government Telegram No. 14-0/10/P-2198 dated March 25, 2021. Federal state bodies and organizations (on the list) of telegrams Government Telegram No. 28-3/10/B-1152 dated February 4, 2021 G. Higher executi"&amp;"ve bodies of the constituent entities of the Russian Federation (on the list) of the telegram Government Telegram No. 13-5/10/B-7119 dated August 25, 2020 to the heads of the highest executive bodies of state power of the constituent entities of the Russi"&amp;"an Federation (list) of the telegram government telegram No. 13 -5/10/B-2848 dated April 13, 2020 to the heads of the highest executive bodies of state power of the constituent entities of the Russian Federation (according to the list) go to the Useful ex"&amp;"iles state information resources Information Portals and information of the Ministry of Labor of Russia Service and automated information systems subordinate organizations non-governmental organizations Events and competitions The President of the Russian"&amp;" Federation of the Russian Federation of the Government of the Russian Federation of the Russian Federation of the Calculatory and Information Portal ""Public Services"" The website of the State Duma of the Federal Assembly of the Russian Federation of th"&amp;"e Federation Council of the Federal Assembly of the Russian Federation of the Constitutional Court of the Russian Federation of the Supreme Court of the Russian Federation of the Supreme Association of the Russian Federation of the Legal Information Porta"&amp;"l of the Normative Legal Actic Public Initial Initial Informative Legal Public Acts in the Russian Federation Passed the open data of the Russian Federation of the Russian Federation of the Russian Federation of the President of the Russian Federation of "&amp;"the Russian Federation of the Government of the Russian Federation of the Russian Federation of the Russian Federation Calculatory and Information Portal ""Public Services"" The website of the State Duma of the Federal Assembly of the Russian Federation o"&amp;"f the Federation Council of the Constitutional Court of the Russian Federation of the Supreme Court of the Russian Federation of Legal Information Federal Portal Portal Portal Normative legal acting public initiative legal acts in the Russian Federation P"&amp;"ort the open data of the Russian Federation of the Russian Federation of the Russian Assembly Conducting an adult population of the Russian Federation of the Russian Federation on increasing wages of employees of state and municipal institutions on the so"&amp;"cio-economic situation of the Great Patriotic War of the Great Polis on the issues of the disability Tiki in Russians-dependent assessment of the quality of the conditions for the provision of the Service Portal “Live Together” National Information campai"&amp;"gn “Russia-without cruelty to children” State Civil Service-dependent assessment of the qualification of the decrees of the President of the Russian Federation of May 7, 2012 for the implementation of new principles of personnel policy on the state civil "&amp;"service “Society -labor research ""Direction"" Labor Relations ""Direction"" Employment of the Population ""Direction"" Social Protection ""Direction"" Pension Support ""All-Russian medical examination of the adult population of the Russian Federation of "&amp;"the Russian Federation on increasing remuneration of employees of state and municipal institutions on the socio-economic situation of veterans of the Great Patriotic War War line on disability, the concept of a state family policy in Russians-dependent as"&amp;"sessment of the quality of the conditions for the provision of the Service Portal Service Service “Live Together” National Information Campaign “Russia-Without cruelty to children” State Civil Service-dependent assessment of the qualification of the decre"&amp;"es of the President of the Russian Federation of May 7, 2012 on the implementation of new The principles of personnel policy at the State Civil Service of Social and Labor Studies Direction “Labor Relations” Direction “Employment of the Population” Direct"&amp;"ion “Social Protection” Direction “Pension Support” All-Russian Base “Work in Russia” Professional Professional Professional Standerators of the Independent Evaluation Systems of the High-Russian Directory Directory Directorate -information system for the"&amp;" protection of the labor calculators of the Ministry of Labor of Russia in a unified interdepartmental information and statistical system (EMISS) Portal of operational interaction between participants in the SMEVAIK “Migration Quotes” Reform of the contro"&amp;"l and supervisory activity of the phased improvement of the wage system for 2012-2018 in a survey of the quality of services in social services for citizens Ukraine and stateless persons who have left the country's emergency and mass order of the public-R"&amp;"ussian vacancies “Work in Russia” Guide to Professional Professional Standerators of the Independent Evaluation System of Understanding Demonstration and Information System for the Protection of Labor Calcalator of the Ministry of Labor of Russia in the U"&amp;"nified Interdepartmental Information and Statistical System (Emiss nogo Interactions of the participants of SMEVAIK “Migration Quotes” Reform of control and supervisory activities of the phased improvement of the wage system for 2012-2018 in a survey of t"&amp;"he quality of services in social services in Ukraine and stateless persons who left the country's emergency and mass order of the Russian Ministry of Labor of the Russian Russian Federal Bureau Medical and social examination of the Ministry of Labor of th"&amp;"e Russian Russian Research Institute of Labor of the Ministry of Labor of the Russian Russian Federal Bureau of Medical and Social Expertise of the Ministry of Labor of the Russian Russian Labor Organization of the Russian Economic Union of Industrialists"&amp;" and Entrepreneurs of Independent Trade Unions of the Russian Federation for Professional Qualifications for the Development of Qualifications of Qualifications of Qualifications vehicles under the Government of the Russian Federation on The issues of tru"&amp;"steeship in the social sphere fund for supporting children in difficult life situations of the Russian Disabilities of the Disabilities of the Gloritovserossiy Russian Society of the Gully -Russian Public Organization “Perspective” Interregional Public Or"&amp;"ganization “Pilgrim” Charity Fund for Assistance to Elderly and Disabled “Old Age in Joy” Information System for the Council of Europe on Social Support. Information System “Volunteers of Russia” International Organization of the Russian Economic Union Ch"&amp;"amber of the Russian Federation of the Russian Federation of Industrialists and the entrepreneurs of the Independent Trade Unions of the Russian Federation of the Presidential Council for Professional qualifications of the development of the Russian Feder"&amp;"ation under the Government of the Russian Federation on the Social Sphere fund to support children in a difficult life situation, the Presidential Union. Disabilities of the Gluthovserossiysk Society of the Glukhkhro -Russian Public Organization “Perspect"&amp;"ive” Interregional Public Organization “Pilgrim” Charity Fund for Assistance to Elderly and Disabled “Old Age in Joy of Social Supporting Information System“ Volunteers of Russia ”Russian Investment Forum of the All -Russian Professional Professional Exce"&amp;"llent Contest of professional skills The “Best in Profession” All -Russian competition “Russian Organization of High Social Efficiency” Petersburg International Economic Forum V Eastern Economic Forum Competition “Best Personnel Practices at the State Civ"&amp;"il and Municipal Service” Century of the International Labor Organization “Volunteer of Russia” Russian Investment Forum All -Russian professional skill competition “The best in profession” All -Russian competition “Russian Organization of High Social Eff"&amp;"iciency” St. Petersburg International Economic Forum V Eastern Economic Forum Competition “Best Personnel Practices at the State Civil and Municipal Service” Century of the International Labor Organization of Russia Volunteer of Russia to show more × repo"&amp;"rt on the error text With a mistake, your comment is your comment by Verify to send the Ministry of Truda and the Social Protective-Russian Federation of Telphone: +7 (495) 587-88-89Adres: 127994 GSP-4 Moscow st. Ilyinka 21E-Mail: mintrud@mintrud.gov.ru, "&amp;"the card on the map Submit Personal Account The main section of the ministance of the ministry of the Open-consumed ministry of the Ministry of Configuration of the RSS-technical support for the Setaveris vision for the visually impairedenglish Version, a"&amp;"nd the typo? Select the text and click Ctrl+Enter all the materials of the site are available under the license: Creative Commons Attribution 3.0 Official Internet resource proceedings of the open-open website of the Ministry of Economic Council in the Mi"&amp;"nistry the state of state development of early assistance in the Russian Federation for the period until 2020 years of a file of approaches for the development of approaches the testing of new classifications and criteria used in the implementation of med"&amp;"ical and social examination of the children's caption project on the formation of a system of integrated rehabilitation and abbreviations of disabled people and children with disabilities and children of disabilities No. 442-ФЗ dated December 28, 2013 “On"&amp;" the Fundamentals of Social Services of Citizens in the Russian Federation” the implementation of government decree The Russian Federation of May 24, 2014 No. 481VARITION with socially oriented non -profit organization of the decrees of the President of t"&amp;"he Russian Federation dated May 7, 2012 No. 596 - 606 Strategies of the long -term development of the Pension System of the Russian Federation of the Russian Federation for the period until 2025 Until 2025, the qualification of the phased improvement of t"&amp;"he system of remuneration For 2012-2018, re-formation of the control and supervisory activities of the State Civil Service Service Service Policy in the field of combating corruption-state programs for state family policy in the Russian Federation until 2"&amp;"025, the legal status of state (municipal) institutions of labor policy in the Russian Federation in the Russian Federation in the Russian Federation in the Russian Federation of the federalized state information system of social support (EGISO) is качест"&amp;"ваПресс-центрКартина дняМероприятияМедиафайлыДокументыГосударственные услугиПеречень государственных услуг                                Министерства труда и социальной защиты Российской Федерации                                Перечень государственных у"&amp;"слуг                                Роструда                                Перечень государственных услуг Пенсионного фонда Российской Федерации                                                            Перечень государственных услуг Фонда социального с"&amp;"трахования Российской Федерации                            Открытое министерствоПринципы работы системы «Открытое                                министерство»Открытые данныеПроектный центр Минтруда РоссииПубличная декларацияПланы и программа работОбществе"&amp;"нный Council of projects of regulatory legal acts on the results and main activities of the Ministry of Labor of Russia work with reference groups of billing activities Plan of the Ministry of Labor and Social Protection of the Russian Federation for 2013"&amp;"-2018 Contact information × go to the electors! Your message is sent. × write to the technical support of the site in The proposed online form you can leave your comments on the work of the site and suggestions for its development. You can also contact th"&amp;"e technical support of the site by e-mail Support@soctech-it.ru. To send other questions, we ask you to use the Service of the ""Public Reception"". Perhaps the information that interests you is published in the list of typical practical issues of the soc"&amp;"ial and labor sphere. Problems in the work of the site for improving the site *e-mail *telephone message *Enter the code from the picture I allow the processing of Personal ones to control the fields noted *Mandatory for filling out")</f>
        <v>Ministry of Labor and Social Protection of the Russian Federation: Official website | The Ministry of Labor and Social Protecting of the Display mode Close the size of a textual coolercrow-cereal, very large core-male medium-body-bolsifsegote uirialsans-serifmonospace-color schemes of the dashes of the configuration by the default, to renew the feedback cabinetics Russia Ministry Activities Press Center Picture of the day November 110, 2023V Center for Rehabilitation named after Albrecht was held on an exit meeting of the Council for the Disabled Affairs under the Federation Council of the Federation November 110, 2023 Dance Flashmob and the show of national costumes took place at the stand “Family. Job. Longevity »All news of the day on December 105, 2023, the All-Russian literary work competition of people with visual impairment named after Eduard Asadov 05 October 202323-24, 2023. At the internship platform, the Sed in the Ryazan Region will be held for seminarve events of the August 3. 2023 Anton Kotyakov’s interview with Russia 24 Jun 24. 2023 The Foundation for Russian citizens of the Media-Firalpress Service: +7 (495) 870-68-46Eelectron mail postpressa@mintrud.gov.ru Industrial Service Documents Open Ministry of Contacts News Center for Rehabilitation named after Albrecht was held on an off -time meeting of the Council for Disabled Councils under the Federation Council on November 110, 2023, the main interactive map of the active longevity and the personnel center will be presented at the Russian exhibition on November 02, 2023 Khovozhmin Medminth Russian and the RSSU, the cooperation agreement on November 01, 2023 The best engineer of the metro -Latro electric train works in Moscow on Bolshaya Kolitova Lines on October 31, 2023 Knowsteners were known for the finalists of the second All -Russian professional skill contest in the field of employment on October 26, 2023 Elline Social Contract: what is it necessary and how to get it? Read more how to get a subsidy for the employee’s hiring in more detail how to get a retraining for citizens looking for a job? Read more useful materials to seeking work. The latest news of the Ministry of Labor to employees and employees of the Opportunities of the Latest News State Services of the Ministry of Labor to families with children Opportunities to the latest news to the State Labor Public Services to elderly citizens Possibly News Public Services of the Ministry of Labor to citizens with disabilities of the Minor Service of the Ministry of Labor Little -selling citizens Opportunities of the Public Service of the State Labor Opportunities Opportunities The latest news of the State Services of the Ministry of Labor all about the labor rights of mobilized citizens social services in numbers 4566 thousand social workers 75 thousand social services providers in 2022 7888 million services were provided in 2022. 4566 thousand social workers of 75 thousand social services providers in 2022 . 7888 million services were provided in 2022. Do we decide together there are proposals to improve the social sphere to increase the efficiency of employment services or other issues? Write about this - the Ministry of Labor will help with the decision! Write about the problem to solve together the Ministry of Labor and Social Protection of the Russian Federation Rostrud Pension Issocial Insurance Fund of the Russian Federation of the state authorities of the constituent entities of the Russian Federation of the Federal Bureau of Medical and Social Expertise all services to the open Ministry of Public Council Open Data survey on the quality of social. Services Survey on Labor Mobility Internet reception press center Contacts of the event Latest news news. Albrecht took place an exit meeting of the Council for the Disabled Affairs under the Federation Council on November 10, 2023 Dance Flashmob and the show of national costumes took place at the stand “Family. Job. Longevity ”On November 10, 2023 the exposition“ Family. Job. Longevity ”at the Russian exhibition on November 04, 2023 submitting a declaration of compliance with working conditions will become easier on November 03, 2023 The first interactive map of“ Active Longevity ”and the personnel center will be presented at the Russian exhibition on November 02, 2023, the Ministry of Labor, on behalf of the President, on the shortest possible time, will make changes to the procedure in the order as soon as possible Payments of a number of benefits on June 16, 2023 Report of the Minister of Labor and Social Protection of the Russian Federation Anton Kotyakov at the “Government hour” in the State Duma on June 14, 2023 a expanded meeting of the College of the Ministry of Labor of Russia on May 19, 2023 The best driver of the metro electric train works in Moscow on the Bolshaya Ring Line on October 31, 2023 The finalists of the second All -Russian professional skill competition in the field of employment on October 26, 2023 will determine the liability of employers for non -fulfillment of the quota for hiring citizens with disabilities on October 18, 2023 for 2024, a proactive format for the provision of employment centers on October 13, 2023 submit a declaration of compliance of working conditions. November 03, 2023 In Sochi, the VIII All-Russian Labor Protection Week on September 29, 2023 The digitalization of labor protection processes became the main theme of the open microphone on VNO-2023 on September 29, 2023 Alexei Vovchenko: about 70 thousand enterprises were connected to the employer of labor protection on September 27, 2023 The compliance of working conditions will become easier on November 03, 2023 in Sochi, the VIII All-Russian Labor Protection Week on September 29, 2023 The digitalization of labor protection processes became the main theme of the open microphone on VNO-2023 on September 29, 2023 Aleksey Vovchenko: about 70 thousand enterprises were connected to the personal cabinet of labor protection employer September 27, 2023 at the Center for Rehabilitation. Albrecht took place an exit meeting of the Council for the Disabled Affairs under the Federation Council on November 10, 2023 Dance Flashmob and the show of national costumes took place at the stand “Family. Job. Longevity ”On November 10, 2023 the exposition“ Family. Job. Longevity ”at the Russian exhibition on November 04, 2023 The first interactive map of“ active longevity ”and the personnel center will be presented at the Russian exhibition on November 02, 2023, the report of the Minister of Labor and Social Protection of the Russian Federation Anton Kotyakov at the“ government hour ”in the State Duma on June 14, 2023 with On April 1, social pensions are proposed to preindex to 33% on February 28, 2023, pensioners living abroad will be able to receive a pension to bank accounts opened in Russia February 28, 2023 The results of the All -Russian competition of the best personnel practices in the system of state and municipal administration on May 31, 2023 The All -Russian competition of the best personnel practices started The state and municipal administration on April 10, 2023 in the authorities will take place an experiment on the use of electronic personnel documents on March 24, 2023 questions -fasteners on the organization of remote work and the design of the sick leave during the Coronavirus distribution campaign on March 23, 2020 All news on March 2023 - November 29, 2023 All -Russian All -Russian Championships on professional skills March 21, 2023 - December 29, 2023 “All -Russian Competition“ Russian Organization of High Social Efficiency ” - 2023” June 01, 2023 - November 16, 2023 All -Russian competition of professional achievements of educational and rehabilitation organizations for disabled people and persons from The disabilities of July 25, 2023 - December 05, 2023 The Second All -Russian Literary Work Competition of people with vision of Eduard Assadov’s visual impairment all events of the media -fuelphographicup of sick leave: what do you need to know? February 04, 2022 What income is taken into account and not taken into account when assigning payments for children under 3 years from maternity capital? July 24, 2023 On parental leave instead of a mother on February 04, 2022 Hospital: what do you need to know? February 04, 2022 What income is taken into account and not taken into account when assigning payments for children under 3 years from maternity capital? July 24, 2023 On a vacation for childcare instead of a mother on February 04, 2022, an interview with Anton Kotyakov television channel "Russia 24" 03 August 2023 Deputy Director of the Department of Demographic and Family Policy of the Ministry of Labor of Russia Vsevolod Borovsky in the program "Instruction" of the Russia 24 television channel spoke about the social Contract 21 on February 21, 2023 Deputy Director of the Department of Demographic and Family Policy of the Ministry of Labor of Russia Elena Semenova in the program “Morning of Russia” by Russia 1 told about the monthly payment of children under 3 years of age of Matkapitzed on February 20, 2023 Deputy Director of the Department of Demographic and Family Policy of the Ministry of Labor of Russia Elena Semenova in the program “Instructions” of the Russia 24 television channel spoke about maternal capital on February 01, 2023 All media files of documents of the order of the Center of the Ministry of Labor of Russia No. 771 of October 19, 2023 on amendments to the application to the order of the Ministry of Labor and Social Protection of the Russian Federation of 30 of 30 December 2022 No. 829 Orders Order of the Ministry of Labor of Russia No. 729n dated September 26, 2023 on amendments to Appendix No. 1 - 3 to the Order of the Ministry of Labor and Social Protection of the Russian Federation of December 12, 2022 No. 777n “On Distribution of Russian Subjects The Federation approved by the Government of the Russian Federation for 2023 a quota for issuing foreign citizens to the Russian Federation on the basis of a visa of work permits and invitations to enter the Russian Federation in order to carry out labor activity "Orders of the Ministry of Labor of Russia No. 721 of September 19, 2023 on the introduction of the introduction of Changes to the application to the order of the Ministry of Labor and Social Protection of the Russian Federation dated December 30, 2022 No. 829 Orders of the Ministry of Labor of Russia No. 716n of September 14, 2023 on the approval of the professional standard “Psychologist in the Social Sphere” Order of the Ministry of Labor of Russia No. 717n dated 14 September 2023 On approval of the professional standard “Family Specialist” Orders Order of the Ministry of Labor of Russia No. 698n dated September 7, 2023 on the approval of the professional standard “Specialist for the provision of space services based on the use of global navigation satellite systems” Letters of a letter dated April 17 2023 No. 14-4/10/B-5676 Employers of the Aviation Industry Organizations Letters Letter of the Ministry of Labor of Russia No. 14-6/10/V-13042 dated September 27, 2022 to the All-Russian Union of Independent Trade Unions of Russia and the All-Russian Association of Employers “Russian Union of Industrialists and Entrepreneurs” Letters of a letter dated July 1, 2022 No. 14-4/10/B-8784 employers of the housing and communal services of the Russian Federation. Letters letter from the Ministry of Labor of Russia No. 10-9/B-579 dated December 21, 2021 to the heads of organizations under the jurisdiction of the Ministry of Labor of Russia (on the list) of the letter joint clarification of the Ministry of Labor of Russia and the Rospotrebnadzor for the organization of vaccination in organized workers (labor collectives) and the accounting procedure) The percentage of the Russian Tripartite Commission for the regulation of social and labor relations of the letter letter of the Ministry of Labor of Russia No. 15-2/10/P-4122 dated June 2, 2021 the highest executive bodies of the constituent entities of the Russian Federation (list) of the telegram Government telegram No. 13-5 /10/B-4180 dated April 12, 2021 to the heads of the highest executive bodies of state power of the constituent entities of the Russian Federation (on the list) of the telegram Government Telegram No. 14-0/10/P-2199 dated March 25, 2021. The highest executive bodies of the constituent entities of the Russian Federation (on the list) of telegrams Government Telegram No. 14-0/10/P-2198 dated March 25, 2021. Federal state bodies and organizations (on the list) of telegrams Government Telegram No. 28-3/10/B-1152 dated February 4, 2021 G. Higher executive bodies of the constituent entities of the Russian Federation (on the list) of the telegram Government Telegram No. 13-5/10/B-7119 dated August 25, 2020 to the heads of the highest executive bodies of state power of the constituent entities of the Russian Federation (list) of the telegram government telegram No. 13 -5/10/B-2848 dated April 13, 2020 to the heads of the highest executive bodies of state power of the constituent entities of the Russian Federation (according to the list) go to the Useful exiles state information resources Information Portals and information of the Ministry of Labor of Russia Service and automated information systems subordinate organizations non-governmental organizations Events and competitions The President of the Russian Federation of the Russian Federation of the Government of the Russian Federation of the Russian Federation of the Calculatory and Information Portal "Public Services" The website of the State Duma of the Federal Assembly of the Russian Federation of the Federation Council of the Federal Assembly of the Russian Federation of the Constitutional Court of the Russian Federation of the Supreme Court of the Russian Federation of the Supreme Association of the Russian Federation of the Legal Information Portal of the Normative Legal Actic Public Initial Initial Informative Legal Public Acts in the Russian Federation Passed the open data of the Russian Federation of the Russian Federation of the Russian Federation of the President of the Russian Federation of the Russian Federation of the Government of the Russian Federation of the Russian Federation of the Russian Federation Calculatory and Information Portal "Public Services" The website of the State Duma of the Federal Assembly of the Russian Federation of the Federation Council of the Constitutional Court of the Russian Federation of the Supreme Court of the Russian Federation of Legal Information Federal Portal Portal Portal Normative legal acting public initiative legal acts in the Russian Federation Port the open data of the Russian Federation of the Russian Federation of the Russian Assembly Conducting an adult population of the Russian Federation of the Russian Federation on increasing wages of employees of state and municipal institutions on the socio-economic situation of the Great Patriotic War of the Great Polis on the issues of the disability Tiki in Russians-dependent assessment of the quality of the conditions for the provision of the Service Portal “Live Together” National Information campaign “Russia-without cruelty to children” State Civil Service-dependent assessment of the qualification of the decrees of the President of the Russian Federation of May 7, 2012 for the implementation of new principles of personnel policy on the state civil service “Society -labor research "Direction" Labor Relations "Direction" Employment of the Population "Direction" Social Protection "Direction" Pension Support "All-Russian medical examination of the adult population of the Russian Federation of the Russian Federation on increasing remuneration of employees of state and municipal institutions on the socio-economic situation of veterans of the Great Patriotic War War line on disability, the concept of a state family policy in Russians-dependent assessment of the quality of the conditions for the provision of the Service Portal Service Service “Live Together” National Information Campaign “Russia-Without cruelty to children” State Civil Service-dependent assessment of the qualification of the decrees of the President of the Russian Federation of May 7, 2012 on the implementation of new The principles of personnel policy at the State Civil Service of Social and Labor Studies Direction “Labor Relations” Direction “Employment of the Population” Direction “Social Protection” Direction “Pension Support” All-Russian Base “Work in Russia” Professional Professional Professional Standerators of the Independent Evaluation Systems of the High-Russian Directory Directory Directorate -information system for the protection of the labor calculators of the Ministry of Labor of Russia in a unified interdepartmental information and statistical system (EMISS) Portal of operational interaction between participants in the SMEVAIK “Migration Quotes” Reform of the control and supervisory activity of the phased improvement of the wage system for 2012-2018 in a survey of the quality of services in social services for citizens Ukraine and stateless persons who have left the country's emergency and mass order of the public-Russian vacancies “Work in Russia” Guide to Professional Professional Standerators of the Independent Evaluation System of Understanding Demonstration and Information System for the Protection of Labor Calcalator of the Ministry of Labor of Russia in the Unified Interdepartmental Information and Statistical System (Emiss nogo Interactions of the participants of SMEVAIK “Migration Quotes” Reform of control and supervisory activities of the phased improvement of the wage system for 2012-2018 in a survey of the quality of services in social services in Ukraine and stateless persons who left the country's emergency and mass order of the Russian Ministry of Labor of the Russian Russian Federal Bureau Medical and social examination of the Ministry of Labor of the Russian Russian Research Institute of Labor of the Ministry of Labor of the Russian Russian Federal Bureau of Medical and Social Expertise of the Ministry of Labor of the Russian Russian Labor Organization of the Russian Economic Union of Industrialists and Entrepreneurs of Independent Trade Unions of the Russian Federation for Professional Qualifications for the Development of Qualifications of Qualifications of Qualifications vehicles under the Government of the Russian Federation on The issues of trusteeship in the social sphere fund for supporting children in difficult life situations of the Russian Disabilities of the Disabilities of the Gloritovserossiy Russian Society of the Gully -Russian Public Organization “Perspective” Interregional Public Organization “Pilgrim” Charity Fund for Assistance to Elderly and Disabled “Old Age in Joy” Information System for the Council of Europe on Social Support. Information System “Volunteers of Russia” International Organization of the Russian Economic Union Chamber of the Russian Federation of the Russian Federation of Industrialists and the entrepreneurs of the Independent Trade Unions of the Russian Federation of the Presidential Council for Professional qualifications of the development of the Russian Federation under the Government of the Russian Federation on the Social Sphere fund to support children in a difficult life situation, the Presidential Union. Disabilities of the Gluthovserossiysk Society of the Glukhkhro -Russian Public Organization “Perspective” Interregional Public Organization “Pilgrim” Charity Fund for Assistance to Elderly and Disabled “Old Age in Joy of Social Supporting Information System“ Volunteers of Russia ”Russian Investment Forum of the All -Russian Professional Professional Excellent Contest of professional skills The “Best in Profession” All -Russian competition “Russian Organization of High Social Efficiency” Petersburg International Economic Forum V Eastern Economic Forum Competition “Best Personnel Practices at the State Civil and Municipal Service” Century of the International Labor Organization “Volunteer of Russia” Russian Investment Forum All -Russian professional skill competition “The best in profession” All -Russian competition “Russian Organization of High Social Efficiency” St. Petersburg International Economic Forum V Eastern Economic Forum Competition “Best Personnel Practices at the State Civil and Municipal Service” Century of the International Labor Organization of Russia Volunteer of Russia to show more × report on the error text With a mistake, your comment is your comment by Verify to send the Ministry of Truda and the Social Protective-Russian Federation of Telphone: +7 (495) 587-88-89Adres: 127994 GSP-4 Moscow st. Ilyinka 21E-Mail: mintrud@mintrud.gov.ru, the card on the map Submit Personal Account The main section of the ministance of the ministry of the Open-consumed ministry of the Ministry of Configuration of the RSS-technical support for the Setaveris vision for the visually impairedenglish Version, and the typo? Select the text and click Ctrl+Enter all the materials of the site are available under the license: Creative Commons Attribution 3.0 Official Internet resource proceedings of the open-open website of the Ministry of Economic Council in the Ministry the state of state development of early assistance in the Russian Federation for the period until 2020 years of a file of approaches for the development of approaches the testing of new classifications and criteria used in the implementation of medical and social examination of the children's caption project on the formation of a system of integrated rehabilitation and abbreviations of disabled people and children with disabilities and children of disabilities No. 442-ФЗ dated December 28, 2013 “On the Fundamentals of Social Services of Citizens in the Russian Federation” the implementation of government decree The Russian Federation of May 24, 2014 No. 481VARITION with socially oriented non -profit organization of the decrees of the President of the Russian Federation dated May 7, 2012 No. 596 - 606 Strategies of the long -term development of the Pension System of the Russian Federation of the Russian Federation for the period until 2025 Until 2025, the qualification of the phased improvement of the system of remuneration For 2012-2018, re-formation of the control and supervisory activities of the State Civil Service Service Service Policy in the field of combating corruption-state programs for state family policy in the Russian Federation until 2025, the legal status of state (municipal) institutions of labor policy in the Russian Federation in the Russian Federation in the Russian Federation in the Russian Federation of the federalized state information system of social support (EGISO) is качестваПресс-центрКартина дняМероприятияМедиафайлыДокументыГосударственные услугиПеречень государственных услуг                                Министерства труда и социальной защиты Российской Федерации                                Перечень государственных услуг                                Роструда                                Перечень государственных услуг Пенсионного фонда Российской Федерации                                                            Перечень государственных услуг Фонда социального страхования Российской Федерации                            Открытое министерствоПринципы работы системы «Открытое                                министерство»Открытые данныеПроектный центр Минтруда РоссииПубличная декларацияПланы и программа работОбщественный Council of projects of regulatory legal acts on the results and main activities of the Ministry of Labor of Russia work with reference groups of billing activities Plan of the Ministry of Labor and Social Protection of the Russian Federation for 2013-2018 Contact information × go to the electors! Your message is sent. × write to the technical support of the site in The proposed online form you can leave your comments on the work of the site and suggestions for its development. You can also contact the technical support of the site by e-mail Support@soctech-it.ru. To send other questions, we ask you to use the Service of the "Public Reception". Perhaps the information that interests you is published in the list of typical practical issues of the social and labor sphere. Problems in the work of the site for improving the site *e-mail *telephone message *Enter the code from the picture I allow the processing of Personal ones to control the fields noted *Mandatory for filling out</v>
      </c>
    </row>
    <row r="802">
      <c r="A802" s="1" t="s">
        <v>2588</v>
      </c>
      <c r="B802" s="1" t="s">
        <v>1720</v>
      </c>
      <c r="C802" s="1" t="s">
        <v>2633</v>
      </c>
      <c r="D802" s="1">
        <v>18.0</v>
      </c>
      <c r="E802" s="4" t="s">
        <v>2634</v>
      </c>
      <c r="F802" s="1" t="s">
        <v>16</v>
      </c>
      <c r="G802" s="1" t="s">
        <v>1713</v>
      </c>
      <c r="H802" s="4" t="s">
        <v>1714</v>
      </c>
      <c r="I802" s="2">
        <v>0.0</v>
      </c>
      <c r="J802" s="5" t="str">
        <f>IFERROR(__xludf.DUMMYFUNCTION("GOOGLETRANSLATE(A802)"),"Production calendar 2023")</f>
        <v>Production calendar 2023</v>
      </c>
      <c r="K802" s="6" t="str">
        <f>IFERROR(__xludf.DUMMYFUNCTION("GOOGLETRANSLATE(B802)"),"Production calendar for 2023")</f>
        <v>Production calendar for 2023</v>
      </c>
      <c r="L802" s="5" t="str">
        <f>IFERROR(__xludf.DUMMYFUNCTION("GOOGLETRANSLATE(C802)"),"The production calendar for 2023 · from Sunday January 1 to Friday 24; · From Sunday January 8 to Monday May 8.")</f>
        <v>The production calendar for 2023 · from Sunday January 1 to Friday 24; · From Sunday January 8 to Monday May 8.</v>
      </c>
      <c r="M802" s="5" t="str">
        <f>IFERROR(__xludf.DUMMYFUNCTION("GOOGLETRANSLATE(G802)"),"�������������� ������� 1�:���     ����  �� 1�:�������-������������� ��������� �������������� ��������� 1������� ����������������� ����������������� ���������������������������� ������������ ���������� ����������������� �� �������� �������  				������ � ��"&amp;"������ �������:				����� �� ������������													�������� ������ � ���������� �������������� ������� 1�:���:				��������� �� 7 ������ �������� ����� ���� ������������������������������� ����������� ������������������������� ������������������������ ��"&amp;"������������� ������������ 1�������1�:������������� � �������� 1�������� ����� 1��� ����� ��� � ����� �������� ������� �� ������������ � ������ ���������� �����?96������ �� ���������� ����� ������������� ���� ������� ������������� ���������� �� ����������"&amp;"?79������ ������ ��������� � ��������� ������������ ������ ������������� �������� ��� ����������97�� ������� 1�:��� ������������ ����� ������ 3.1.9.209 ""1�:���������� ����������� ���������""17� ������ ����������� ����������� �� ���������� ���������100���"&amp;"�� �� ���������� ������ �������� �� ������� ��� ����� ��������� �����������?95����� �� �� ��� ��������� � ������� � �������������?118�� ������� 1�:��� ������������ ����� ������ 3.1.28.12 ""�������� � ����� ���������������� ���������� ����""4�� ������� 1�:"&amp;"��� ������������ ����� ������ 3.1.28.12 ""�������� � ���������� ���������� ����""4���������� ����� ���������� �� ������ �� ������������837������������ ������� 1�:��� ������������ ����� ������ 3.1.28.12 ""�������� � ����� ���������������� ����������""8�� �"&amp;"������ 1�:��� ������������ ����� ������ 11.5.15.40 ""���������� ���������""2�� ������� 1�:��� ������������ ����� ������ 3.1.28.12 ""�������� � ����� ���������������� ���������� �������""2�� ������� 1�:��� ������������ ����� ������ 3.1.28.12 ""�������� � �"&amp;"��������� ����������""7�� ������� 1�:��� ������������ ����� ������ 2.5.15.40 ""����������� �������������""3��������� ����� ���������� 3-���� �� 2023 ���157�� ������� 1�:��� ������������ ����� ������ 3.1.28.12 ""�������� � ���������� ���������� �������""0�"&amp;"� ������� 1�:��� ������������ ����� ������ 2.5.15.40 ""ERP ���������� ������������""3�� ������� 1�:��� ������������ ����� ������ 3.1.27.113 ""�������� � ����� ���������������� ���������� ����""0�� ������� 1�:��� ������������ ����� ������ 3.1.27.113 ""����"&amp;"���� � ���������� ���������� ����""6�� ������� 1�:��� ������������ ����� ������ 3.1.27.113 ""�������� � ����� ���������������� ����������""10�� ������� 1�:��� ������������ ����� ������ 3.1.27.113 ""�������� � ����� ���������������� ���������� �������""1��"&amp;" ������� 1�:��� ������������ ����� ������ 3.1.27.113 ""�������� � ���������� ����������""11�� ������� 1�:��� ������������ ����� ������ 3.1.27.113 ""�������� � ���������� ���������� �������""0�� ������� 1�:��� ������������ ����� ������ 1.3.215.1 ""1�:�����"&amp;"����� ���������������� ������������""11���������� �� ������: ���� ������������ (����������� � ���������) ������������� � 1�:��� 8 ���. 2112��� � ""1�:��� 8"" (���. 3) ������� ��� ���������� ����� � ��������� �����?160����� �� ������� ���� ���� ��������� �"&amp;"������� ������?124��� ��������� ���� �� ������������ ���������������� ����� ��������� ������� �����?169�������� �� ����������� �� ����������� ������� �� ��� ���� ������� ������?339��� ������ ����� �������� ����?582����������10���'23�� ������� 1�:��� �����"&amp;"������� ����� ������ 2.0.94.37 ""����������� ���������������� ���������� ����""21�� ������� 1�:��� ������������ ����� ������ 2.0.94.37 ""����������� ���������������� ����������""47������� ������� ����� �������������� ���������� ��� �������������202�� ����"&amp;"��� 1�:��� ������������ ����� ������ 2.0.94.37 ""����������� ���������������� ���������� �������""8�� �� ��� � ��� ��������� � �����. ��� ����� � �������� ���� �������� ����� ������?398������� �� ������������ ����������� ������� ������� � 2019 ����?99� ��"&amp;"��� ���� ��������� ����� �������� �������� ���?227����� �� � 2024 ���� �������� ����������� � ����� ������ �� ���������?2211������������� �������� ��� �� ������ ��������� �� ��������� �������� �� ����������?316��� � ""1�:��� 8"" (���. 3) ������������ ����"&amp;"�� ���������� ������ �� �����?457��� � ""1�:��� 8"" �������� ������ �������������� �������� ���� ��� ����� �� ��������-���������142���������� �� ��������� ������� �� ������� 2023 ���� � ""1�:����������� 8""142���������� �� ������ �� ������� �� ������-����"&amp;"��� 2023 ���� � ""1�:����������� 8"" ��� ������ ����������� ��������� �������� ������ �� ����������� �������100����� ����� ��������� � ������ ���������� �� ������ �� ���������?301����� �� ���� ���������� �������� ������ �� ���������� ����������?521�������"&amp;"�������� �� ������� ���� �� �������� � ���������� ��������� ��������486����� �� �������� ���-1 �� ������������ ���� �� �� ����������� ���?549��������������� �� ���������� �������� ������� ����� 3.2 ���� ��������� ������?20509���'23� ����� ������� ��������"&amp;"��� �� ���� � 2024 ���� ����� ������� ������ �� ����������?31908���'23 ��������� ���������� 1�:��������			 ����������� ����		 ������ 2023 ����������� 2023 ������������ 2023 ���������� 2023 �������� 2023 �������� 2023 ������� 2023 ���������� 2023 �������� "&amp;"2023 ����������� 2023 ���������� 2023 ����������� 2022 ������01��02��03��04��05��06��07��08��09��10��11��12��13��14��15��16��17��18��19��20��21��22��23��24��25��26��27��28��29��30 ���������������� ��������� �� 2023 ����������� ���������������� ���������� "&amp;"��������� ����������� ����� ���������� � ������ ������� (�������) � 2023 ��������� ������ ����������� �� ����������� ������� (�������) � 2023 ���������� ��������� ���������������� � 1 ������ 2023 �������-5 �������� �������������������� ������� ���. ������"&amp;"����������������������������������������������������� � ������������������ ��������������-1����������������������������������������� ��������6-������������������������������� �������������� ���������������� ����������������� 1�:����������� �������� ������"&amp;"����-����������� ����� 1�1�.ru������ ���1� ���������� �������1�:����������� 8���.1�.ru1�:����1�:������������1�:����������1����1�-��������������������� ���������1�:�����������1�:����1� �������1� ��� ��������		���������������!���������Telegram� ��� �1�-����"&amp;"�. ��� ����� ��������		������ ����� Liqium  										© ��� �1�-�����. ��� ����� ��������																		�������������� ������� 1�:���								 ���������� �� ����� � ���������� 1����������� �� ���������� �� 1������������� �� ��������������������� � �����"&amp;"�������������� �������������� ����������� �����������������1�:������������� � ������������� � �������� 1������� �� ��� ���������  ")</f>
        <v>�������������� ������� 1�:���     ����  �� 1�:�������-������������� ��������� �������������� ��������� 1������� ����������������� ����������������� ���������������������������� ������������ ���������� ����������������� �� �������� �������  				������ � �������� �������:				����� �� ������������													�������� ������ � ���������� �������������� ������� 1�:���:				��������� �� 7 ������ �������� ����� ���� ������������������������������� ����������� ������������������������� ������������������������ ��������������� ������������ 1�������1�:������������� � �������� 1�������� ����� 1��� ����� ��� � ����� �������� ������� �� ������������ � ������ ���������� �����?96������ �� ���������� ����� ������������� ���� ������� ������������� ���������� �� ����������?79������ ������ ��������� � ��������� ������������ ������ ������������� �������� ��� ����������97�� ������� 1�:��� ������������ ����� ������ 3.1.9.209 "1�:���������� ����������� ���������"17� ������ ����������� ����������� �� ���������� ���������100����� �� ���������� ������ �������� �� ������� ��� ����� ��������� �����������?95����� �� �� ��� ��������� � ������� � �������������?118�� ������� 1�:��� ������������ ����� ������ 3.1.28.12 "�������� � ����� ���������������� ���������� ����"4�� ������� 1�:��� ������������ ����� ������ 3.1.28.12 "�������� � ���������� ���������� ����"4���������� ����� ���������� �� ������ �� ������������837������������ ������� 1�:��� ������������ ����� ������ 3.1.28.12 "�������� � ����� ���������������� ����������"8�� ������� 1�:��� ������������ ����� ������ 11.5.15.40 "���������� ���������"2�� ������� 1�:��� ������������ ����� ������ 3.1.28.12 "�������� � ����� ���������������� ���������� �������"2�� ������� 1�:��� ������������ ����� ������ 3.1.28.12 "�������� � ���������� ����������"7�� ������� 1�:��� ������������ ����� ������ 2.5.15.40 "����������� �������������"3��������� ����� ���������� 3-���� �� 2023 ���157�� ������� 1�:��� ������������ ����� ������ 3.1.28.12 "�������� � ���������� ���������� �������"0�� ������� 1�:��� ������������ ����� ������ 2.5.15.40 "ERP ���������� ������������"3�� ������� 1�:��� ������������ ����� ������ 3.1.27.113 "�������� � ����� ���������������� ���������� ����"0�� ������� 1�:��� ������������ ����� ������ 3.1.27.113 "�������� � ���������� ���������� ����"6�� ������� 1�:��� ������������ ����� ������ 3.1.27.113 "�������� � ����� ���������������� ����������"10�� ������� 1�:��� ������������ ����� ������ 3.1.27.113 "�������� � ����� ���������������� ���������� �������"1�� ������� 1�:��� ������������ ����� ������ 3.1.27.113 "�������� � ���������� ����������"11�� ������� 1�:��� ������������ ����� ������ 3.1.27.113 "�������� � ���������� ���������� �������"0�� ������� 1�:��� ������������ ����� ������ 1.3.215.1 "1�:���������� ���������������� ������������"11���������� �� ������: ���� ������������ (����������� � ���������) ������������� � 1�:��� 8 ���. 2112��� � "1�:��� 8" (���. 3) ������� ��� ���������� ����� � ��������� �����?160����� �� ������� ���� ���� ��������� �������� ������?124��� ��������� ���� �� ������������ ���������������� ����� ��������� ������� �����?169�������� �� ����������� �� ����������� ������� �� ��� ���� ������� ������?339��� ������ ����� �������� ����?582����������10���'23�� ������� 1�:��� ������������ ����� ������ 2.0.94.37 "����������� ���������������� ���������� ����"21�� ������� 1�:��� ������������ ����� ������ 2.0.94.37 "����������� ���������������� ����������"47������� ������� ����� �������������� ���������� ��� �������������202�� ������� 1�:��� ������������ ����� ������ 2.0.94.37 "����������� ���������������� ���������� �������"8�� �� ��� � ��� ��������� � �����. ��� ����� � �������� ���� �������� ����� ������?398������� �� ������������ ����������� ������� ������� � 2019 ����?99� ����� ���� ��������� ����� �������� �������� ���?227����� �� � 2024 ���� �������� ����������� � ����� ������ �� ���������?2211������������� �������� ��� �� ������ ��������� �� ��������� �������� �� ����������?316��� � "1�:��� 8" (���. 3) ������������ ������ ���������� ������ �� �����?457��� � "1�:��� 8" �������� ������ �������������� �������� ���� ��� ����� �� ��������-���������142���������� �� ��������� ������� �� ������� 2023 ���� � "1�:����������� 8"142���������� �� ������ �� ������� �� ������-������� 2023 ���� � "1�:����������� 8" ��� ������ ����������� ��������� �������� ������ �� ����������� �������100����� ����� ��������� � ������ ���������� �� ������ �� ���������?301����� �� ���� ���������� �������� ������ �� ���������� ����������?521��������������� �� ������� ���� �� �������� � ���������� ��������� ��������486����� �� �������� ���-1 �� ������������ ���� �� �� ����������� ���?549��������������� �� ���������� �������� ������� ����� 3.2 ���� ��������� ������?20509���'23� ����� ������� ����������� �� ���� � 2024 ���� ����� ������� ������ �� ����������?31908���'23 ��������� ���������� 1�:��������			 ����������� ����		 ������ 2023 ����������� 2023 ������������ 2023 ���������� 2023 �������� 2023 �������� 2023 ������� 2023 ���������� 2023 �������� 2023 ����������� 2023 ���������� 2023 ����������� 2022 ������01��02��03��04��05��06��07��08��09��10��11��12��13��14��15��16��17��18��19��20��21��22��23��24��25��26��27��28��29��30 ���������������� ��������� �� 2023 ����������� ���������������� ���������� ��������� ����������� ����� ���������� � ������ ������� (�������) � 2023 ��������� ������ ����������� �� ����������� ������� (�������) � 2023 ���������� ��������� ���������������� � 1 ������ 2023 �������-5 �������� �������������������� ������� ���. ����������������������������������������������������������� � ������������������ ��������������-1����������������������������������������� ��������6-������������������������������� �������������� ���������������� ����������������� 1�:����������� �������� ����������-����������� ����� 1�1�.ru������ ���1� ���������� �������1�:����������� 8���.1�.ru1�:����1�:������������1�:����������1����1�-��������������������� ���������1�:�����������1�:����1� �������1� ��� ��������		���������������!���������Telegram� ��� �1�-�����. ��� ����� ��������		������ ����� Liqium  										© ��� �1�-�����. ��� ����� ��������																		�������������� ������� 1�:���								 ���������� �� ����� � ���������� 1����������� �� ���������� �� 1������������� �� ��������������������� � ������������������� �������������� ����������� �����������������1�:������������� � ������������� � �������� 1������� �� ��� ���������  </v>
      </c>
    </row>
    <row r="803">
      <c r="A803" s="1" t="s">
        <v>2588</v>
      </c>
      <c r="B803" s="1" t="s">
        <v>2635</v>
      </c>
      <c r="D803" s="1">
        <v>19.0</v>
      </c>
      <c r="E803" s="4" t="s">
        <v>2636</v>
      </c>
      <c r="F803" s="1" t="s">
        <v>16</v>
      </c>
      <c r="G803" s="1" t="s">
        <v>2637</v>
      </c>
      <c r="H803" s="4" t="s">
        <v>2638</v>
      </c>
      <c r="I803" s="2">
        <v>2.0</v>
      </c>
      <c r="J803" s="5" t="str">
        <f>IFERROR(__xludf.DUMMYFUNCTION("GOOGLETRANSLATE(A803)"),"Production calendar 2023")</f>
        <v>Production calendar 2023</v>
      </c>
      <c r="K803" s="6" t="str">
        <f>IFERROR(__xludf.DUMMYFUNCTION("GOOGLETRANSLATE(B803)"),"Production calendar of the accountant for 2023")</f>
        <v>Production calendar of the accountant for 2023</v>
      </c>
      <c r="L803" s="5" t="str">
        <f>IFERROR(__xludf.DUMMYFUNCTION("GOOGLETRANSLATE(C803)"),"#VALUE!")</f>
        <v>#VALUE!</v>
      </c>
      <c r="M803" s="5" t="str">
        <f>IFERROR(__xludf.DUMMYFUNCTION("GOOGLETRANSLATE(G803)"),"Contour. Extern - Sending reports via the Internet to the beginning of the page Ecosystem for business, reporting accounting salary and personnel electronic signature verification of counterparties Electronic document management trade online cash desk Tra"&amp;"des and purchasing business to new business. Real estate import substitution can still be useful to you accounting+school of theDadiac and medium -sized businesses to accounting companies to large companies, journal still reporting to small and medium -si"&amp;"zed businesses to accounting companies to large companies, accounting magazine to join, to join reliable reporting via the Internet, it will always be relevant and the built -in verification will provide submission of the report first time to connect for "&amp;"free FNSSFRSRRPRRPNCB for a small and medium business Actual and necessary reports for each form of ownership and taxation regime for accounting firms Svorical reporting table for all organizations and multi -user regime for large companies integrating th"&amp;"e possibilities of the external system through the APIs through the APIs for quick reporting. Convenient reporting, take the time excretion without error -free explanations for the refusals 1 Swear reporting, track reports, report without errors get expla"&amp;"nations for refusals of the Federal Tax Service, work with reports directly from 1C, keep in the course - even if you are far -Existle in a timely manner about the requirements and letters from the regulatory authorities. Get SMS messages for email or pus"&amp;"h notifications in a mobile application. Send reports to any tariff send an unlimited number of reports to any divisions of state bodies of all regions without surcharges to choose tariffsterns and tell me a digest for the accounting station to receive 2 "&amp;"times a month of news reviews Announcements of events And learn about the new one in the externe. Immediately, as you sign, we will send you a memo with key numbers to calculate taxes and contributions. Subscribe to subscribing to you agree to process per"&amp;"sonal data and obtaining information messages from the Group of Companies SKB Contour. Sign on us in social networks of the exterior communities experts are divided by the news and accountants 一 with their experience. And we also show useful videos conduc"&amp;"t broadcasting on hot topics and joke a little. Everything to work with the demand for letters and requirements for the payment of payment of the scan to the requirement you can immediately leave the non -service yourself and you can only pay a convenient"&amp;" way to download the scan to the service all the details Automatic expansion will be filled out-not only about the reporting of the building legal framework, forget about expensive reference and legal systems. There is a necessary legal framework with a c"&amp;"onvenient search in externs. In more detail online training, improve your qualifications at a convenient time and in a convenient place. Ask questions and get answers from experts. More details checking counterparties in one click Order an extract from th"&amp;"e Unified State Register of Legal Entities and the Unified State Register of Legal Entities and receive all the open information about the counterparty. In more detail we are in connection with the weekend and breaks of the weekend and breaks in touch eve"&amp;"ry day 24 hours a day. Both at night and in the rain and in the New Year. The questions are answering questions to questions on the day of circulation and help send reports if difficulties arise. We help everywhere we advise where it is convenient for you"&amp;". Call or write to us in messengers chat on the site by mail. It is easy to cross and start work 1. We will configure the workplace, technical support will help you configure the workplace and you do not have to fill out anything yourself. 2. Use your sig"&amp;"nature you can start working with any CEP certificate: the head of the employee or individual. Or we will give it out for free. 3. We will transfer the data from another program for the details of the payer and the power of attorney archive of the Federal"&amp;" Tax Service and the registration data of the SFR. We are trusted to leave the application of the reporting of2 billion - legal entities and individual entrepreneurs throughout Russia168 million, we delivered all regulatory authorities 22 years of age we "&amp;"send reports and not one has lost its work with an exterine completely. Like that the externs is in a timely manner in connection with changes in the law. We use encryption of reporting to the administrator’s key - a very necessary opportunity given that "&amp;"the reporting is submitted by a large circle of persons. It is convenient that there is a unloading of lists of sent reports to Excel also use the reporting table in the work. We have used the externs since 2007 have reported for more than 150 separate di"&amp;"visions. In our opinion, this is a comprehensive and very comfortable user of the TKS environment that is timely updated taking into account changes in the law and is constantly being improved. In the process, the VAT+ service was used, including to obtai"&amp;"n information on counterparties.Lisaalisochka01.03.2022 I have been happy for years! For several years in this program. Convenient program. At first, I set up for some time I figured out what then everything became easy for and just well, well, as well as"&amp;" everything new, you need to figure it out with this new one later, then everything becomes clear and understandable. Read the whole of the responsiveness 20.07.2022 Connectively facilitates the work with reporting. We use externs from the 2nd quarter of "&amp;"2020 in a small production organization. What does this give us: 1. Savings of time and money for reports compared to sending by mail or campaign/trip personally to the regulatory authorities. Read all the reviews all the reviews do you still think? Just "&amp;"try to leave a request and we will help you choose the right tariff. Nash the consultant will contact you within three working hours and select a suitable tariff for your company. We will configure the workplace and help you transfer the document manageme"&amp;"nt from another service. Products and services to connect services to small and medium-sized businesses to accounting companies to large companies accounting for API individual solutions of the price-license agreement License agreement Journal of Accounta"&amp;"nt Reporting Forms News Support 800 500-70-70-70-70-70 75 Order a call to the celestrree of the Approach of the App-Store Google-Play © 1988–2023 SKB Contour We use cookies for the correct operation of the user personalization site and other purposes prov"&amp;"ided for by personal data processing policy.")</f>
        <v>Contour. Extern - Sending reports via the Internet to the beginning of the page Ecosystem for business, reporting accounting salary and personnel electronic signature verification of counterparties Electronic document management trade online cash desk Trades and purchasing business to new business. Real estate import substitution can still be useful to you accounting+school of theDadiac and medium -sized businesses to accounting companies to large companies, journal still reporting to small and medium -sized businesses to accounting companies to large companies, accounting magazine to join, to join reliable reporting via the Internet, it will always be relevant and the built -in verification will provide submission of the report first time to connect for free FNSSFRSRRPRRPNCB for a small and medium business Actual and necessary reports for each form of ownership and taxation regime for accounting firms Svorical reporting table for all organizations and multi -user regime for large companies integrating the possibilities of the external system through the APIs through the APIs for quick reporting. Convenient reporting, take the time excretion without error -free explanations for the refusals 1 Swear reporting, track reports, report without errors get explanations for refusals of the Federal Tax Service, work with reports directly from 1C, keep in the course - even if you are far -Existle in a timely manner about the requirements and letters from the regulatory authorities. Get SMS messages for email or push notifications in a mobile application. Send reports to any tariff send an unlimited number of reports to any divisions of state bodies of all regions without surcharges to choose tariffsterns and tell me a digest for the accounting station to receive 2 times a month of news reviews Announcements of events And learn about the new one in the externe. Immediately, as you sign, we will send you a memo with key numbers to calculate taxes and contributions. Subscribe to subscribing to you agree to process personal data and obtaining information messages from the Group of Companies SKB Contour. Sign on us in social networks of the exterior communities experts are divided by the news and accountants 一 with their experience. And we also show useful videos conduct broadcasting on hot topics and joke a little. Everything to work with the demand for letters and requirements for the payment of payment of the scan to the requirement you can immediately leave the non -service yourself and you can only pay a convenient way to download the scan to the service all the details Automatic expansion will be filled out-not only about the reporting of the building legal framework, forget about expensive reference and legal systems. There is a necessary legal framework with a convenient search in externs. In more detail online training, improve your qualifications at a convenient time and in a convenient place. Ask questions and get answers from experts. More details checking counterparties in one click Order an extract from the Unified State Register of Legal Entities and the Unified State Register of Legal Entities and receive all the open information about the counterparty. In more detail we are in connection with the weekend and breaks of the weekend and breaks in touch every day 24 hours a day. Both at night and in the rain and in the New Year. The questions are answering questions to questions on the day of circulation and help send reports if difficulties arise. We help everywhere we advise where it is convenient for you. Call or write to us in messengers chat on the site by mail. It is easy to cross and start work 1. We will configure the workplace, technical support will help you configure the workplace and you do not have to fill out anything yourself. 2. Use your signature you can start working with any CEP certificate: the head of the employee or individual. Or we will give it out for free. 3. We will transfer the data from another program for the details of the payer and the power of attorney archive of the Federal Tax Service and the registration data of the SFR. We are trusted to leave the application of the reporting of2 billion - legal entities and individual entrepreneurs throughout Russia168 million, we delivered all regulatory authorities 22 years of age we send reports and not one has lost its work with an exterine completely. Like that the externs is in a timely manner in connection with changes in the law. We use encryption of reporting to the administrator’s key - a very necessary opportunity given that the reporting is submitted by a large circle of persons. It is convenient that there is a unloading of lists of sent reports to Excel also use the reporting table in the work. We have used the externs since 2007 have reported for more than 150 separate divisions. In our opinion, this is a comprehensive and very comfortable user of the TKS environment that is timely updated taking into account changes in the law and is constantly being improved. In the process, the VAT+ service was used, including to obtain information on counterparties.Lisaalisochka01.03.2022 I have been happy for years! For several years in this program. Convenient program. At first, I set up for some time I figured out what then everything became easy for and just well, well, as well as everything new, you need to figure it out with this new one later, then everything becomes clear and understandable. Read the whole of the responsiveness 20.07.2022 Connectively facilitates the work with reporting. We use externs from the 2nd quarter of 2020 in a small production organization. What does this give us: 1. Savings of time and money for reports compared to sending by mail or campaign/trip personally to the regulatory authorities. Read all the reviews all the reviews do you still think? Just try to leave a request and we will help you choose the right tariff. Nash the consultant will contact you within three working hours and select a suitable tariff for your company. We will configure the workplace and help you transfer the document management from another service. Products and services to connect services to small and medium-sized businesses to accounting companies to large companies accounting for API individual solutions of the price-license agreement License agreement Journal of Accountant Reporting Forms News Support 800 500-70-70-70-70-70 75 Order a call to the celestrree of the Approach of the App-Store Google-Play © 1988–2023 SKB Contour We use cookies for the correct operation of the user personalization site and other purposes provided for by personal data processing policy.</v>
      </c>
    </row>
    <row r="804">
      <c r="A804" s="1" t="s">
        <v>2588</v>
      </c>
      <c r="B804" s="1" t="s">
        <v>1720</v>
      </c>
      <c r="C804" s="1" t="s">
        <v>2639</v>
      </c>
      <c r="D804" s="1">
        <v>4.0</v>
      </c>
      <c r="E804" s="4" t="s">
        <v>2640</v>
      </c>
      <c r="F804" s="1" t="s">
        <v>43</v>
      </c>
      <c r="I804" s="2">
        <v>1.0</v>
      </c>
      <c r="J804" s="5" t="str">
        <f>IFERROR(__xludf.DUMMYFUNCTION("GOOGLETRANSLATE(A804)"),"Production calendar 2023")</f>
        <v>Production calendar 2023</v>
      </c>
      <c r="K804" s="6" t="str">
        <f>IFERROR(__xludf.DUMMYFUNCTION("GOOGLETRANSLATE(B804)"),"Production calendar for 2023")</f>
        <v>Production calendar for 2023</v>
      </c>
      <c r="L804" s="5" t="str">
        <f>IFERROR(__xludf.DUMMYFUNCTION("GOOGLETRANSLATE(C804)"),"Calendar 2023. Production calendar for 2023. I quarter. Amount of days. Calendar: 90. Workers: 57. Non -working: 33. Work hours: 40 hours. Week: 454 ...")</f>
        <v>Calendar 2023. Production calendar for 2023. I quarter. Amount of days. Calendar: 90. Workers: 57. Non -working: 33. Work hours: 40 hours. Week: 454 ...</v>
      </c>
      <c r="M804" s="5" t="str">
        <f>IFERROR(__xludf.DUMMYFUNCTION("GOOGLETRANSLATE(G804)"),"#VALUE!")</f>
        <v>#VALUE!</v>
      </c>
    </row>
    <row r="805">
      <c r="A805" s="1" t="s">
        <v>2588</v>
      </c>
      <c r="B805" s="1" t="s">
        <v>2641</v>
      </c>
      <c r="C805" s="1" t="s">
        <v>2642</v>
      </c>
      <c r="D805" s="1">
        <v>11.0</v>
      </c>
      <c r="E805" s="4" t="s">
        <v>2643</v>
      </c>
      <c r="F805" s="1" t="s">
        <v>43</v>
      </c>
      <c r="G805" s="1" t="s">
        <v>2644</v>
      </c>
      <c r="H805" s="4" t="s">
        <v>2645</v>
      </c>
      <c r="I805" s="2">
        <v>0.0</v>
      </c>
      <c r="J805" s="5" t="str">
        <f>IFERROR(__xludf.DUMMYFUNCTION("GOOGLETRANSLATE(A805)"),"Production calendar 2023")</f>
        <v>Production calendar 2023</v>
      </c>
      <c r="K805" s="6" t="str">
        <f>IFERROR(__xludf.DUMMYFUNCTION("GOOGLETRANSLATE(B805)"),"January")</f>
        <v>January</v>
      </c>
      <c r="L805" s="5" t="str">
        <f>IFERROR(__xludf.DUMMYFUNCTION("GOOGLETRANSLATE(C805)"),"Production calendar for 2023. (for a six -day working week) ... in this. The production calendar provides the number of calendar/workers ...")</f>
        <v>Production calendar for 2023. (for a six -day working week) ... in this. The production calendar provides the number of calendar/workers ...</v>
      </c>
      <c r="M805" s="5" t="str">
        <f>IFERROR(__xludf.DUMMYFUNCTION("GOOGLETRANSLATE(G805)"),"RUVSE Portal Portal Urfuo division of the personnel of personnel buildings from working with a person-member of the personnel department of accounting and personnel paperwork department of statistics and information and analytical work of the staff of sci"&amp;"entific workers and legal regulation of documents of labor contracts of the leaf of inconsistency information. The presentation for awarding and legal regulation of the authorization of the presentation for awarding general information about the effective"&amp;" contract of the highest achievements may conclude The ECVDILLY of the ECVDICAL COURSE OF ACTIONS OF ACTIONALLY ACTIVITIES AND CONDITIONS PAYS OF PAYS OF EXPECTION OF ELECTRICAL COPPLICACTION OF Electronic Labor Books of INSTALLY ABOUT AND Electronic Work"&amp;" Book of Companing Companies of the Form of Maintenance of the Directable Payment-Rform of the employee of the employee of the employee of the certificate of the presence (absence) of a judgment Vacancies Professor-based computer at the Institute of Educa"&amp;"tional Department of Administrative Management and Management Personnel Conduct On the replacement of the positions of the post-scientists to replace the positions of scientific workers, the documents provided by applicants for participation in the compet"&amp;"ition of scientific workers, the results of the tender committee of the scientific employees of the PPS of the posts of the PPS of the PPS presented by applicants for the participation of the PPS and/or elections of the head. Department of Coaching Person"&amp;"al Account Nabituriestudentudentudentudentuodendo -employee of the vradman of the certificate of certificates Online Blankidoskidomaccodes Kontaktynovosti -Strength Management of the Personnel -Kakanks. GAOU in URFU named after the First President of Russ"&amp;"ia B.N. Yeltsin ”saw a mistake? Highlight the fragment and click: Ctrl+Enter Portal Design: ArtsofTemonitoring the availability of Isadres: g. Yekaterinburg st. Mira 19 +7 (343) 375-44-29 Lenin Ave. 51 +7 (343) 389-93-03 hours of work hours of work, hours"&amp;" of work. 08: 30-17: 15 pt. 08: 30-16: 00 Visitors' reception: Mon-t. 13: 00-17: 00 pt. 13: 00-16: 00e-mail: uk@urfu.ru")</f>
        <v>RUVSE Portal Portal Urfuo division of the personnel of personnel buildings from working with a person-member of the personnel department of accounting and personnel paperwork department of statistics and information and analytical work of the staff of scientific workers and legal regulation of documents of labor contracts of the leaf of inconsistency information. The presentation for awarding and legal regulation of the authorization of the presentation for awarding general information about the effective contract of the highest achievements may conclude The ECVDILLY of the ECVDICAL COURSE OF ACTIONS OF ACTIONALLY ACTIVITIES AND CONDITIONS PAYS OF PAYS OF EXPECTION OF ELECTRICAL COPPLICACTION OF Electronic Labor Books of INSTALLY ABOUT AND Electronic Work Book of Companing Companies of the Form of Maintenance of the Directable Payment-Rform of the employee of the employee of the employee of the certificate of the presence (absence) of a judgment Vacancies Professor-based computer at the Institute of Educational Department of Administrative Management and Management Personnel Conduct On the replacement of the positions of the post-scientists to replace the positions of scientific workers, the documents provided by applicants for participation in the competition of scientific workers, the results of the tender committee of the scientific employees of the PPS of the posts of the PPS of the PPS presented by applicants for the participation of the PPS and/or elections of the head. Department of Coaching Personal Account Nabituriestudentudentudentudentuodendo -employee of the vradman of the certificate of certificates Online Blankidoskidomaccodes Kontaktynovosti -Strength Management of the Personnel -Kakanks. GAOU in URFU named after the First President of Russia B.N. Yeltsin ”saw a mistake? Highlight the fragment and click: Ctrl+Enter Portal Design: ArtsofTemonitoring the availability of Isadres: g. Yekaterinburg st. Mira 19 +7 (343) 375-44-29 Lenin Ave. 51 +7 (343) 389-93-03 hours of work hours of work, hours of work. 08: 30-17: 15 pt. 08: 30-16: 00 Visitors' reception: Mon-t. 13: 00-17: 00 pt. 13: 00-16: 00e-mail: uk@urfu.ru</v>
      </c>
    </row>
    <row r="806">
      <c r="A806" s="1" t="s">
        <v>2588</v>
      </c>
      <c r="B806" s="1" t="s">
        <v>1720</v>
      </c>
      <c r="C806" s="1" t="s">
        <v>2646</v>
      </c>
      <c r="D806" s="1">
        <v>12.0</v>
      </c>
      <c r="E806" s="4" t="s">
        <v>2647</v>
      </c>
      <c r="F806" s="1" t="s">
        <v>43</v>
      </c>
      <c r="G806" s="1" t="s">
        <v>2648</v>
      </c>
      <c r="H806" s="4" t="s">
        <v>2649</v>
      </c>
      <c r="I806" s="2">
        <v>0.0</v>
      </c>
      <c r="J806" s="5" t="str">
        <f>IFERROR(__xludf.DUMMYFUNCTION("GOOGLETRANSLATE(A806)"),"Production calendar 2023")</f>
        <v>Production calendar 2023</v>
      </c>
      <c r="K806" s="6" t="str">
        <f>IFERROR(__xludf.DUMMYFUNCTION("GOOGLETRANSLATE(B806)"),"Production calendar for 2023")</f>
        <v>Production calendar for 2023</v>
      </c>
      <c r="L806" s="5" t="str">
        <f>IFERROR(__xludf.DUMMYFUNCTION("GOOGLETRANSLATE(C806)"),"Production calendar for 2023. 1. For a five -day working week. Months and other periods of the year. Amount of days. The estimated norm of working time. (V ...")</f>
        <v>Production calendar for 2023. 1. For a five -day working week. Months and other periods of the year. Amount of days. The estimated norm of working time. (V ...</v>
      </c>
      <c r="M806" s="5" t="str">
        <f>IFERROR(__xludf.DUMMYFUNCTION("GOOGLETRANSLATE(G806)"),"   The Ministry of Labor and Social Protection of the Republic of Belarus. Official website of the Ministry of Labor and Social Protection of the Republic of Belarus Infolinius 8 (017) 309-93-09 Mon-Fine 9.00-10.30 ""Hot Line"" 8 (017) 222-49-42 Mon-PT 14"&amp;".00-16.00 Rus Bel Ministry of subordinate organizations Heraldic symbols of the ministry Regulation on the ministry Supporting State Body Hymn of the Ministry of Labor and Social Protection The structure of the central apparatus of the Ministry of Labor a"&amp;"nd Social Protection Committees for the work of employment and social protection of the Oblast Executive Committee of the Ministry of Civil Code of the Minsk Regional Executive Committee. Labor Protection other issues of citizens and legal entities, the p"&amp;"rocedure for submitting appeals Appeal of answers to the appeal schedule of personal acceptance by the leadership of the ministry schedule of “direct telephone lines” regulatory legal acts Administrative procedures statistics on electronic appeals procedu"&amp;"re for sending and consideration of electronic appeals Questions-all-time employment of citizens of countries Social services and social support wages security and state examination Working conditions Pension Support Alternative Service Family Policy Cont"&amp;"acts of the event of the Ministry of Events Movies Subordinate Organization Heraldic Symbols of the Ministry Regulations on the ministry, a higher state body Hymn of the Ministry of Labor and Social Protection, the structure of the central apparatus of th"&amp;"e Ministry of Labor and Social Protection Committees for Employment and Social Protection of the Oblast Executive Committee of the Minsk Executive Committee Activities Activities Activities Activities Labor social protection other issues of citizens and l"&amp;"egal entities procedure for submitting appeals Procedure for consideration of appeals to appeal answers to appeals a schedule of personal acceptance by the leadership of the ministry. Direct telephone lines schedule regulatory legal acts administrative pr"&amp;"ocedures statistics of circulations electronic appeals and consideration of electronic appeals Question-Opin Employment of the population employment of citizens of countries Social services and social support wages security and state examination of workin"&amp;"g conditions Pension Support Alternative Service Family Policy Labor Relations Contacts of the event Rus Bel Infographics Information Documents Information Systems containing personal data Registration of the Ministry of Activities Social Protection other"&amp;" issues of labor market. Employment of the population Remuneration Organization and standardization of labor Labor Relations Protection of Labor and State Expertise of working conditions Office business trips National qualifications of social partnership "&amp;"Alternative Service State Labor Inspectorate Social Services and Social Support Pension Support Population Population Gender and Family Policy Active Longevity Active Longevity -2030 The goals of sustainable development in Belarus are social standards. In"&amp;"dexing. Reservation of funds international cooperation Control (supervisory) Departmental reporting Decree No. 7 “On the Development of Entrepreneurship” Countering Corruption on the Development of the Orsha District of the Vitebsk Region Prevention of do"&amp;"mestic violence by the Ministry of Labor and Social Protection Humanitarian Cooperation Discussion of NPA News in the country 11.11.2023 The allowance for caring for a child under the age of 3 years 11.11.2023 The October issue of the “Bulletin of the Min"&amp;"istry of Labor and Social Protection of the Republic of Belarus” 10.11.2023 from January 1, 2024 will grow wages in budget organizations 10.11.2023 in Baranavichy. Republican contest of professional skill among workers with hearing impairment in the nomin"&amp;"ation “Sewing” 08.11.2023 I. Kostevich will hold a visiting reception of citizens on November 11 in Volozhin on the issues of the social and labor sphere 08.11.2023 Grodno Vitebsk and Minsk regions received from the Ministry of Labor and social protection"&amp;" of the OJSC Brestmash all news on 10/01/2023 Presidential congratulations on the day of the elderly on 08.02.2023 Alexander Lukashenko signed the Law ""On the All -Belorussian People's Assembly"" 12.12.2022 Congratulations to the President of the Republi"&amp;"c of Belarus on December 01, 2022 on raising labor pensions in December 2022 01.11 .2022 On the transfer of working days in 2023 all news on 11/07/2023 Congratulation of the president on the Day of the October Revolution 06.22.2023 The President’s appeal "&amp;"on the occasion of the National In memory of the victims of the Great Patriotic War and the Genocide of the Belarusian people on 16.06.2023 Lukashenko held a meeting on the improvement of personnel policy 14.05 . 2023 I.Kostevich: The Day of the State Fla"&amp;"g of the State Emblem and the State Anthem will further strengthen in us the sense of significance of the personal contribution to the prosperity of the country on 05/14/2023 Congratulations to the President on the Day of the State Flag of the State Emble"&amp;"m and the State Anthem of the Republic of Belarus 09.05.2023 Congratulations to the President of the Republic of Belarus from Victory Day All News Socio-Economic Indicators State Address Social Assistance Read more all socio-economic indicators Family Cap"&amp;"ital more than all socio-economic indicators Assistance to Employment more than all socio-economic indicators of children's benefits. All socio-economic indicators of the Belarusian Map Committees for Employment and Employment Committee and Social Protect"&amp;"ion of the Republic of Belarus Committee on Employment and Social Protection of the Gomel Regional Executive Committee Committee for employment and social protection of the Brest Regional Executive Committee Committee for the work of employment and social"&amp;" protection of the Mogilev Regional Executive Committee Committee on the work of the Minsk Regional Executive Committee. the work of employment and social protection of the Grodno Regional Executive Committee Committee for employment and social protection"&amp;" of the Vitebsk Regional Executive Committee Committee for Employment and Social Protection of the Minsk City Executive Committee Portal of the State Employment Service of the Republic of Belarus Belarusian Protection Belarusian public association of phot"&amp;"o gallery of veterans of the Great Patriotic War Of the former employees of the Ministry of the Papa photo project, all photos of video 100 questions to an adult | Irina Kostievich | Career childhood family all videos Social advertising pope Social insura"&amp;"nce all advertising Useful resources National Legal Portal Gender Statistics The Legal Forum of Belarus AIS “Monitoring of labor conditions” Social project Biometric Documents Children's Legal Site Rating of Organizations System for searching for vacancie"&amp;"s and resumes in the EAEU Belorussian children Fund Administrative Resources Official website of the President of the Republic of Belarus of the Republic of Belarus Council of the Republic of National Assembly House of Representatives of the National Asse"&amp;"mbly National Legal Portal Catalog of Official Sites of all Public Bodies The Unified Portal of Electronic Services The Republic of Belarus of the Republic of Belarus of Labor and Social Protection of Belarus 2012 © Based on Materials from the Site The so"&amp;"urce is required")</f>
        <v>   The Ministry of Labor and Social Protection of the Republic of Belarus. Official website of the Ministry of Labor and Social Protection of the Republic of Belarus Infolinius 8 (017) 309-93-09 Mon-Fine 9.00-10.30 "Hot Line" 8 (017) 222-49-42 Mon-PT 14.00-16.00 Rus Bel Ministry of subordinate organizations Heraldic symbols of the ministry Regulation on the ministry Supporting State Body Hymn of the Ministry of Labor and Social Protection The structure of the central apparatus of the Ministry of Labor and Social Protection Committees for the work of employment and social protection of the Oblast Executive Committee of the Ministry of Civil Code of the Minsk Regional Executive Committee. Labor Protection other issues of citizens and legal entities, the procedure for submitting appeals Appeal of answers to the appeal schedule of personal acceptance by the leadership of the ministry schedule of “direct telephone lines” regulatory legal acts Administrative procedures statistics on electronic appeals procedure for sending and consideration of electronic appeals Questions-all-time employment of citizens of countries Social services and social support wages security and state examination Working conditions Pension Support Alternative Service Family Policy Contacts of the event of the Ministry of Events Movies Subordinate Organization Heraldic Symbols of the Ministry Regulations on the ministry, a higher state body Hymn of the Ministry of Labor and Social Protection, the structure of the central apparatus of the Ministry of Labor and Social Protection Committees for Employment and Social Protection of the Oblast Executive Committee of the Minsk Executive Committee Activities Activities Activities Activities Labor social protection other issues of citizens and legal entities procedure for submitting appeals Procedure for consideration of appeals to appeal answers to appeals a schedule of personal acceptance by the leadership of the ministry. Direct telephone lines schedule regulatory legal acts administrative procedures statistics of circulations electronic appeals and consideration of electronic appeals Question-Opin Employment of the population employment of citizens of countries Social services and social support wages security and state examination of working conditions Pension Support Alternative Service Family Policy Labor Relations Contacts of the event Rus Bel Infographics Information Documents Information Systems containing personal data Registration of the Ministry of Activities Social Protection other issues of labor market. Employment of the population Remuneration Organization and standardization of labor Labor Relations Protection of Labor and State Expertise of working conditions Office business trips National qualifications of social partnership Alternative Service State Labor Inspectorate Social Services and Social Support Pension Support Population Population Gender and Family Policy Active Longevity Active Longevity -2030 The goals of sustainable development in Belarus are social standards. Indexing. Reservation of funds international cooperation Control (supervisory) Departmental reporting Decree No. 7 “On the Development of Entrepreneurship” Countering Corruption on the Development of the Orsha District of the Vitebsk Region Prevention of domestic violence by the Ministry of Labor and Social Protection Humanitarian Cooperation Discussion of NPA News in the country 11.11.2023 The allowance for caring for a child under the age of 3 years 11.11.2023 The October issue of the “Bulletin of the Ministry of Labor and Social Protection of the Republic of Belarus” 10.11.2023 from January 1, 2024 will grow wages in budget organizations 10.11.2023 in Baranavichy. Republican contest of professional skill among workers with hearing impairment in the nomination “Sewing” 08.11.2023 I. Kostevich will hold a visiting reception of citizens on November 11 in Volozhin on the issues of the social and labor sphere 08.11.2023 Grodno Vitebsk and Minsk regions received from the Ministry of Labor and social protection of the OJSC Brestmash all news on 10/01/2023 Presidential congratulations on the day of the elderly on 08.02.2023 Alexander Lukashenko signed the Law "On the All -Belorussian People's Assembly" 12.12.2022 Congratulations to the President of the Republic of Belarus on December 01, 2022 on raising labor pensions in December 2022 01.11 .2022 On the transfer of working days in 2023 all news on 11/07/2023 Congratulation of the president on the Day of the October Revolution 06.22.2023 The President’s appeal on the occasion of the National In memory of the victims of the Great Patriotic War and the Genocide of the Belarusian people on 16.06.2023 Lukashenko held a meeting on the improvement of personnel policy 14.05 . 2023 I.Kostevich: The Day of the State Flag of the State Emblem and the State Anthem will further strengthen in us the sense of significance of the personal contribution to the prosperity of the country on 05/14/2023 Congratulations to the President on the Day of the State Flag of the State Emblem and the State Anthem of the Republic of Belarus 09.05.2023 Congratulations to the President of the Republic of Belarus from Victory Day All News Socio-Economic Indicators State Address Social Assistance Read more all socio-economic indicators Family Capital more than all socio-economic indicators Assistance to Employment more than all socio-economic indicators of children's benefits. All socio-economic indicators of the Belarusian Map Committees for Employment and Employment Committee and Social Protection of the Republic of Belarus Committee on Employment and Social Protection of the Gomel Regional Executive Committee Committee for employment and social protection of the Brest Regional Executive Committee Committee for the work of employment and social protection of the Mogilev Regional Executive Committee Committee on the work of the Minsk Regional Executive Committee. the work of employment and social protection of the Grodno Regional Executive Committee Committee for employment and social protection of the Vitebsk Regional Executive Committee Committee for Employment and Social Protection of the Minsk City Executive Committee Portal of the State Employment Service of the Republic of Belarus Belarusian Protection Belarusian public association of photo gallery of veterans of the Great Patriotic War Of the former employees of the Ministry of the Papa photo project, all photos of video 100 questions to an adult | Irina Kostievich | Career childhood family all videos Social advertising pope Social insurance all advertising Useful resources National Legal Portal Gender Statistics The Legal Forum of Belarus AIS “Monitoring of labor conditions” Social project Biometric Documents Children's Legal Site Rating of Organizations System for searching for vacancies and resumes in the EAEU Belorussian children Fund Administrative Resources Official website of the President of the Republic of Belarus of the Republic of Belarus Council of the Republic of National Assembly House of Representatives of the National Assembly National Legal Portal Catalog of Official Sites of all Public Bodies The Unified Portal of Electronic Services The Republic of Belarus of the Republic of Belarus of Labor and Social Protection of Belarus 2012 © Based on Materials from the Site The source is required</v>
      </c>
    </row>
    <row r="807">
      <c r="A807" s="1" t="s">
        <v>2588</v>
      </c>
      <c r="B807" s="1" t="s">
        <v>1720</v>
      </c>
      <c r="C807" s="1" t="s">
        <v>2650</v>
      </c>
      <c r="D807" s="1">
        <v>18.0</v>
      </c>
      <c r="E807" s="4" t="s">
        <v>2651</v>
      </c>
      <c r="F807" s="1" t="s">
        <v>43</v>
      </c>
      <c r="G807" s="1" t="s">
        <v>2652</v>
      </c>
      <c r="H807" s="4" t="s">
        <v>2653</v>
      </c>
      <c r="I807" s="2">
        <v>0.0</v>
      </c>
      <c r="J807" s="5" t="str">
        <f>IFERROR(__xludf.DUMMYFUNCTION("GOOGLETRANSLATE(A807)"),"Production calendar 2023")</f>
        <v>Production calendar 2023</v>
      </c>
      <c r="K807" s="6" t="str">
        <f>IFERROR(__xludf.DUMMYFUNCTION("GOOGLETRANSLATE(B807)"),"Production calendar for 2023")</f>
        <v>Production calendar for 2023</v>
      </c>
      <c r="L807" s="5" t="str">
        <f>IFERROR(__xludf.DUMMYFUNCTION("GOOGLETRANSLATE(C807)"),"Production calendar for 2023. I1! Var. FEBRUARY. MARCH. APRIL. PN WT WRTETH FT Sat SB SB Mon Wine W. Tue Wed PT SB SB SB Mon Wine W. PT SB Arc.")</f>
        <v>Production calendar for 2023. I1! Var. FEBRUARY. MARCH. APRIL. PN WT WRTETH FT Sat SB SB Mon Wine W. Tue Wed PT SB SB SB Mon Wine W. PT SB Arc.</v>
      </c>
      <c r="M807" s="5" t="str">
        <f>IFERROR(__xludf.DUMMYFUNCTION("GOOGLETRANSLATE(G807)"),"Ministry of Social Security and Migration +996 (312) 66 01 07 +99 (312) 66 57 24 19 1996 MSD@mlsp.KG Bishkek urs. Tynystanova Confidence Phone 111 Version of the number of interdeal cooperation of the delegation of the system of inter-existing existing ex"&amp;"changes for degradation of delication of delication of delication of delication of delication of deepens of delication of delication of delication of deepens of denials of delication of delication of deepens of detection of shurtdliness. IZ) For the count"&amp;"ry's history and father, on November 7, 7-8, the history and father in our country on November 7-8 in our country on November 7-8 The days of memorial days are celebrated. The common dates will be memorial to the common dates, and the common people who pr"&amp;"esented a well-rich history of our country, and we will worship the bright melter of our country. And in the way of independence has experienced many trials. And by knowing our history we can take true lessons. Therefore, we look at the future in the memo"&amp;"rial of history and ancestors. For us, worshiping our forefathers, a holy duty to our ancestors. Interesting in Kyrgyzstan is peaceful and peaceful peacefulness of peace. Speaking to the father of the Deputy Minister of Speaker of Uzbekistan, Uyrnara Bawa"&amp;"ya, Deputy Minister of Scholars of the Young People's Mother, who was transferred to the father of his mother, said Uzbekistan, Minister of Poverty and Poverty Reduction met with Minister of Foreign Affairs and Poverty Reduction Information District Labor"&amp;" and Migration Social Security and Migration Polucel: Socio-Oceuna and Migration Polucel: Sociower Equalcareti Kyrgyzstan. Ain: 003122021110175 Central Treasury Treasury MF KKOID Plate : 14511900 forecasion fire sponsorshovHttifts :/Yyoutu.be/piqzo3uqzo3u"&amp;"qzo3uqzo3uqzo3uqzo3uqzo3uqzo3uqzo3u.uf ""Good news to the child"" one-time payment ""to the family Aidary-based social benefits as unemployment benefits and childbirth benefits as a prerequisite system of benefits and birth benefits as a public compensati"&amp;"on benefit to the child in terms of rendering of mortal compensation and birth benefits. Informing the private assistant on the application of the application for the competition of the useful ministry for 2024 to 2024, and monitoring markets for the prod"&amp;"uction strategy of the budget expenditure of the Kyrgyz Republic for 2024 to 2023-2027 on the basis of budgeting strategies (project) Production calendar for 2024 Pospiramarian citizens! Corruption schemes and appearances of the Government of the Kyrgyz R"&amp;"epublic Sitting to Government Office: (0312) 625-385 (9:0018:00), look at children and young people in Kara-Kul Livestock of children and youth in Kul (Rpobm) Rehabilitation center for rehabilitation of people with disabilities (Rpobm) (Rpobmit) Rehabilit"&amp;"ation center for publication of the Center for the Employment Center ""Children Services Request for Social Services Facilitation of the Salary Labor Labels Department of Public Procurement of Political Policy National Procurement of Public Policy Ministr"&amp;"y of Foreign Lands to Public Procurement of Public Policy Community Ministry of Public Language Community Public Language Public Language Public Language Community Public Language Community Public Language Public Language Community Public Language Public "&amp;"Language Community Public Language Community Public Language Community Community Public Recreation Ministry of Foreign Affairs Portural Services of Open Data Government of the Kyrgyz Republic Unified Portal of Public Discussions of Regulations of Regulato"&amp;"ry Legal Acts of the Kyrgyz Republic")</f>
        <v>Ministry of Social Security and Migration +996 (312) 66 01 07 +99 (312) 66 57 24 19 1996 MSD@mlsp.KG Bishkek urs. Tynystanova Confidence Phone 111 Version of the number of interdeal cooperation of the delegation of the system of inter-existing existing exchanges for degradation of delication of delication of delication of delication of delication of deepens of delication of delication of delication of deepens of denials of delication of delication of deepens of detection of shurtdliness. IZ) For the country's history and father, on November 7, 7-8, the history and father in our country on November 7-8 in our country on November 7-8 The days of memorial days are celebrated. The common dates will be memorial to the common dates, and the common people who presented a well-rich history of our country, and we will worship the bright melter of our country. And in the way of independence has experienced many trials. And by knowing our history we can take true lessons. Therefore, we look at the future in the memorial of history and ancestors. For us, worshiping our forefathers, a holy duty to our ancestors. Interesting in Kyrgyzstan is peaceful and peaceful peacefulness of peace. Speaking to the father of the Deputy Minister of Speaker of Uzbekistan, Uyrnara Bawaya, Deputy Minister of Scholars of the Young People's Mother, who was transferred to the father of his mother, said Uzbekistan, Minister of Poverty and Poverty Reduction met with Minister of Foreign Affairs and Poverty Reduction Information District Labor and Migration Social Security and Migration Polucel: Socio-Oceuna and Migration Polucel: Sociower Equalcareti Kyrgyzstan. Ain: 003122021110175 Central Treasury Treasury MF KKOID Plate : 14511900 forecasion fire sponsorshovHttifts :/Yyoutu.be/piqzo3uqzo3uqzo3uqzo3uqzo3uqzo3uqzo3uqzo3uqzo3u.uf "Good news to the child" one-time payment "to the family Aidary-based social benefits as unemployment benefits and childbirth benefits as a prerequisite system of benefits and birth benefits as a public compensation benefit to the child in terms of rendering of mortal compensation and birth benefits. Informing the private assistant on the application of the application for the competition of the useful ministry for 2024 to 2024, and monitoring markets for the production strategy of the budget expenditure of the Kyrgyz Republic for 2024 to 2023-2027 on the basis of budgeting strategies (project) Production calendar for 2024 Pospiramarian citizens! Corruption schemes and appearances of the Government of the Kyrgyz Republic Sitting to Government Office: (0312) 625-385 (9:0018:00), look at children and young people in Kara-Kul Livestock of children and youth in Kul (Rpobm) Rehabilitation center for rehabilitation of people with disabilities (Rpobm) (Rpobmit) Rehabilitation center for publication of the Center for the Employment Center "Children Services Request for Social Services Facilitation of the Salary Labor Labels Department of Public Procurement of Political Policy National Procurement of Public Policy Ministry of Foreign Lands to Public Procurement of Public Policy Community Ministry of Public Language Community Public Language Public Language Public Language Community Public Language Community Public Language Public Language Community Public Language Public Language Community Public Language Community Public Language Community Community Public Recreation Ministry of Foreign Affairs Portural Services of Open Data Government of the Kyrgyz Republic Unified Portal of Public Discussions of Regulations of Regulatory Legal Acts of the Kyrgyz Republic</v>
      </c>
    </row>
    <row r="808">
      <c r="A808" s="1" t="s">
        <v>2654</v>
      </c>
      <c r="B808" s="1" t="s">
        <v>2655</v>
      </c>
      <c r="C808" s="1" t="s">
        <v>2656</v>
      </c>
      <c r="D808" s="1">
        <v>1.0</v>
      </c>
      <c r="E808" s="4" t="s">
        <v>2657</v>
      </c>
      <c r="F808" s="1" t="s">
        <v>43</v>
      </c>
      <c r="G808" s="1" t="s">
        <v>2658</v>
      </c>
      <c r="H808" s="4" t="s">
        <v>2659</v>
      </c>
      <c r="I808" s="2">
        <v>2.0</v>
      </c>
      <c r="J808" s="5" t="str">
        <f>IFERROR(__xludf.DUMMYFUNCTION("GOOGLETRANSLATE(A808)"),"Happy birthday")</f>
        <v>Happy birthday</v>
      </c>
      <c r="K808" s="6" t="str">
        <f>IFERROR(__xludf.DUMMYFUNCTION("GOOGLETRANSLATE(B808)"),"Happy birthday greetings - congratulations")</f>
        <v>Happy birthday greetings - congratulations</v>
      </c>
      <c r="L808" s="5" t="str">
        <f>IFERROR(__xludf.DUMMYFUNCTION("GOOGLETRANSLATE(C808)"),"Happy birthday, I congratulate you, smiles, I wish you joy. Love, family warmth, comfort, happiness and good! Always achieve success, let the sea of ​​laughter be in life. Let ...")</f>
        <v>Happy birthday, I congratulate you, smiles, I wish you joy. Love, family warmth, comfort, happiness and good! Always achieve success, let the sea of ​​laughter be in life. Let ...</v>
      </c>
      <c r="M808" s="5" t="str">
        <f>IFERROR(__xludf.DUMMYFUNCTION("GOOGLETRANSLATE(G808)"),"������������ �� �������� ��     �������� �������������� �� �������� �������������� � ��� �� ��� ���������� ��������� ������ �� ������� �������������� ���� �������! �� ��� � ������ ������� ��� ������� �������� �� ������� � �������� ���������� � ��������� �"&amp;" ������ ������. ������ �� ����� ���� ������� ���� ��������� ������������� 447 000 ������������ ���������� �������� ����� ����������� ���������� ��� ���. ������ ������� ����� ��������� ���������� ����� ���� ���������� ������� ������������ �� ����������� ��"&amp;"� ������ ������ �������� �� ��������� ������!� ���� ��������������� ������� ������� ������� ������ ����� ���� ����� �������� ���� ������� ���������� ���� ������� ���������� ���� ���� ������� ������� ����� …�� ������������� ��������� ������ ��������� �����"&amp;" �������� ������� �������� ����� ����� ������� ������� ���� ����� ������ ������� ������ ����� ������ ������ …� �������������� 18 ��� ������� 50 ��� 30 ��� 35 ��� 60 ��� � ������� (�������������) …�� ��������������� ����������� ���������� �� ��������� …���"&amp;"���������� ���� ��������� ���� ������� ������������� ��������� �������� …������� ���� �������� �� ������ �� ������� ���������� � ��������� …��������� �� ���� �������� �� �������� ��������� �� �Pozdravok�. ����� �� ������� ����� ������������ ������������ �"&amp;" ���� �������� ������� ���������� �������� ������� � ����-������ ������ ���������������� � ������ ����� ������� ��� ��������� ��������� ����������� ���������!��������� ������������ ������������ �������������� � ��� �������� �������� ����������� � ��������"&amp;"�� ����� ���������� ��� 8 ����� 23 ������� ����� ��� ���� ������ ���� ������� ����� ���� ������ � ���������. �������� ���������� ������ ������� ������������ � ������ � ��������� ����� ����. ������ ����� ���� �������� ����� �������� � � ���� ������������ �"&amp;"�� ������� ���������� ������� ������ �� ���� ���� ���� ��� ����������. �������� ���� �� ������� ����� ��� ��������� ����� ������������� � ������ ������� � �������� �� ���� ��� ������ ������ �� ��� �� ��� ���� ��������� � ����� ������! �������� �������� ��"&amp;"��� ���������� �������� � ��������������� ���������. �� ����� ����� ������������ �������� ���������� ��������� ������������ �������� � ��������� ���������� ��� ������� � �������� � �� ������ �� ������� ����������. �������� ��� � ����� ����������� ������� "&amp;"����� ��� � ����� ������ ���������. ��������� ���������� ������ ���������� ��������� ������ ����� � ������ ���� �� ������������ � ������ ��� ���������� ����� � �� � ������������� ������� ��� � ������ ���� �������� ���������! �������� � ����������HTML-��� "&amp;"��� ������� �� ���� ��� � ����:&lt;a href=""https://pozdravok.com/""&gt;&lt;img src=""https://pozdravok.com/cards/prazdniki/pozdravok_ru.gif"" alt=""������������"" /&gt;&lt;/a&gt;BB-��� ��� ������� �� �����:[URL=https://pozdravok.com/][IMG]https://pozdravok.com/cards/prazd"&amp;"niki/pozdravok_ru.gif[/IMG][/URL]������������� ���� ��������� ��������� ���������������� ������������ �����������������...������� ���� ���������� �������� ��������������������...����������� ����������������������������������� � ����������� ���������������"&amp;"��12.11 ���� ���������� ��������� ���������� ����������� �� ������������13.11 ��������� ���� �������������������� ���� ������14.11 ������������� ���� ������������ ������������������ ���� ������ � ��������15.11 ���� �������� ������������� �� ������ � �����"&amp;"��������� �������������16.11 ���� ������������������ ������������� (����������)������������� ���� ������ �� ���������������� ���� ������������� ���������� ����� ����������� � ����� ����������� ����������� ���������� ...26.11 ���� ��������������� ���������"&amp;"� →�������12.11 ��������� ����� ��������� ������ ����� ����� ������ ����� ������ ���� ������ ������13.11 ����� ��������� ������� �������� ������� ������� �������� ������ ���� ������� ����� ����� ������ ��������� ������ �������� ������������ �� ������ →���"&amp;"����:pozdravokru@gmail.com������ ""������������ �� �������� ��"". © 2011-2023 2024. ��� ������������ � ������ � ����� �������� �������� � ����� �� ���������. ��������� ���������! ��� ������������� ���������� �������� ������ �� ���� �����������! ����������"&amp;" ��������� �� ��������������� ����� - ���������! ")</f>
        <v>������������ �� �������� ��     �������� �������������� �� �������� �������������� � ��� �� ��� ���������� ��������� ������ �� ������� �������������� ���� �������! �� ��� � ������ ������� ��� ������� �������� �� ������� � �������� ���������� � ��������� � ������ ������. ������ �� ����� ���� ������� ���� ��������� ������������� 447 000 ������������ ���������� �������� ����� ����������� ���������� ��� ���. ������ ������� ����� ��������� ���������� ����� ���� ���������� ������� ������������ �� ����������� ��� ������ ������ �������� �� ��������� ������!� ���� ��������������� ������� ������� ������� ������ ����� ���� ����� �������� ���� ������� ���������� ���� ������� ���������� ���� ���� ������� ������� ����� …�� ������������� ��������� ������ ��������� ����� �������� ������� �������� ����� ����� ������� ������� ���� ����� ������ ������� ������ ����� ������ ������ …� �������������� 18 ��� ������� 50 ��� 30 ��� 35 ��� 60 ��� � ������� (�������������) …�� ��������������� ����������� ���������� �� ��������� …������������� ���� ��������� ���� ������� ������������� ��������� �������� …������� ���� �������� �� ������ �� ������� ���������� � ��������� …��������� �� ���� �������� �� �������� ��������� �� �Pozdravok�. ����� �� ������� ����� ������������ ������������ � ���� �������� ������� ���������� �������� ������� � ����-������ ������ ���������������� � ������ ����� ������� ��� ��������� ��������� ����������� ���������!��������� ������������ ������������ �������������� � ��� �������� �������� ����������� � ���������� ����� ���������� ��� 8 ����� 23 ������� ����� ��� ���� ������ ���� ������� ����� ���� ������ � ���������. �������� ���������� ������ ������� ������������ � ������ � ��������� ����� ����. ������ ����� ���� �������� ����� �������� � � ���� ������������ ��� ������� ���������� ������� ������ �� ���� ���� ���� ��� ����������. �������� ���� �� ������� ����� ��� ��������� ����� ������������� � ������ ������� � �������� �� ���� ��� ������ ������ �� ��� �� ��� ���� ��������� � ����� ������! �������� �������� ����� ���������� �������� � ��������������� ���������. �� ����� ����� ������������ �������� ���������� ��������� ������������ �������� � ��������� ���������� ��� ������� � �������� � �� ������ �� ������� ����������. �������� ��� � ����� ����������� ������� ����� ��� � ����� ������ ���������. ��������� ���������� ������ ���������� ��������� ������ ����� � ������ ���� �� ������������ � ������ ��� ���������� ����� � �� � ������������� ������� ��� � ������ ���� �������� ���������! �������� � ����������HTML-��� ��� ������� �� ���� ��� � ����:&lt;a href="https://pozdravok.com/"&gt;&lt;img src="https://pozdravok.com/cards/prazdniki/pozdravok_ru.gif" alt="������������" /&gt;&lt;/a&gt;BB-��� ��� ������� �� �����:[URL=https://pozdravok.com/][IMG]https://pozdravok.com/cards/prazdniki/pozdravok_ru.gif[/IMG][/URL]������������� ���� ��������� ��������� ���������������� ������������ �����������������...������� ���� ���������� �������� ��������������������...����������� ����������������������������������� � ����������� �����������������12.11 ���� ���������� ��������� ���������� ����������� �� ������������13.11 ��������� ���� �������������������� ���� ������14.11 ������������� ���� ������������ ������������������ ���� ������ � ��������15.11 ���� �������� ������������� �� ������ � �������������� �������������16.11 ���� ������������������ ������������� (����������)������������� ���� ������ �� ���������������� ���� ������������� ���������� ����� ����������� � ����� ����������� ����������� ���������� ...26.11 ���� ��������������� ���������� →�������12.11 ��������� ����� ��������� ������ ����� ����� ������ ����� ������ ���� ������ ������13.11 ����� ��������� ������� �������� ������� ������� �������� ������ ���� ������� ����� ����� ������ ��������� ������ �������� ������������ �� ������ →�������:pozdravokru@gmail.com������ "������������ �� �������� ��". © 2011-2023 2024. ��� ������������ � ������ � ����� �������� �������� � ����� �� ���������. ��������� ���������! ��� ������������� ���������� �������� ������ �� ���� �����������! ���������� ��������� �� ��������������� ����� - ���������! </v>
      </c>
    </row>
    <row r="809">
      <c r="A809" s="1" t="s">
        <v>2654</v>
      </c>
      <c r="B809" s="1" t="s">
        <v>2660</v>
      </c>
      <c r="D809" s="1">
        <v>2.0</v>
      </c>
      <c r="E809" s="4" t="s">
        <v>2661</v>
      </c>
      <c r="F809" s="1" t="s">
        <v>43</v>
      </c>
      <c r="G809" s="1" t="s">
        <v>2662</v>
      </c>
      <c r="H809" s="4" t="s">
        <v>2663</v>
      </c>
      <c r="I809" s="2">
        <v>1.0</v>
      </c>
      <c r="J809" s="5" t="str">
        <f>IFERROR(__xludf.DUMMYFUNCTION("GOOGLETRANSLATE(A809)"),"Happy birthday")</f>
        <v>Happy birthday</v>
      </c>
      <c r="K809" s="6" t="str">
        <f>IFERROR(__xludf.DUMMYFUNCTION("GOOGLETRANSLATE(B809)"),"Happy birthday in your own words")</f>
        <v>Happy birthday in your own words</v>
      </c>
      <c r="L809" s="5" t="str">
        <f>IFERROR(__xludf.DUMMYFUNCTION("GOOGLETRANSLATE(C809)"),"#VALUE!")</f>
        <v>#VALUE!</v>
      </c>
      <c r="M809" s="5" t="str">
        <f>IFERROR(__xludf.DUMMYFUNCTION("GOOGLETRANSLATE(G809)"),"Useful site for the residents of Zaporizhzhia, the content of the Zaporozhye -Regionicness of Berdyanskanoskanoskanosty of Melitopolyanism of Energdaragoda Ring in Zaporozhivka in Akimovkeponda in Vasaskogoda. The weather in a guliwapole in the Dneprodnnn"&amp;"nbrog in Kamenke-Dneprovskaya Ring in Kuybyshevoy in Melitopolegoda in Mikhailovkepor in Michael's Prima -porch in a pierced in a porch in a talking meter in a Chernihiv kichod in an energy -ecotracker Zaporozhye Garamkart -Devskachart Melitopolycard Mikh"&amp;"ailovkarta Molochakachart Novonikolakolaevkarta Orekhovakart Pologarta Pryazov Cartard Primorskacart Roseskarta Tokmakart Chernihivkarta Energy Delivation of Germany next year. Instead of four billion euros, Melitopol News will now be allocated for the Ar"&amp;"med Forces of the Armed Forces will become colored diesel and gasoline for the army. This will be done in order to reduce Melitopol News why the Russian Federation is in vain to win Trump in the future presidential election: the expert has answered Russia"&amp;" in vain for the victory of Donald Trump in the future election of the US President. About this the newness of Melitopol ""left the apartment in the pensioner's pants"": in Germany, Pakistani raped a 93-year-old woman in the east of Germany in the town of"&amp;" Reichenbach-Im-Fogtland, a 49-year-old migrant from Pakistan raped a 93-year pensioner. Subsequently, Melitopol's newness border guards raised the Ukrainian flag in the poplars of Kharkiv region, the border guards raised the flag of Ukraine in the villag"&amp;"e of Topoli, which is located in the ""gray zone"" From the past, it is somewhat somewhat new to Melitopol Presimination of Purchasing Iphones 13 About Max Lyubaya Mobilnaya Technik Navigious Company Apple does not require an auxiliary advertisement for a"&amp;" long time in the Zaporozhye region. Illustrative photo: pixabay.com in the territory of Zaporizhzhya Zaporozhye in Zaporozhye rename the Mayakovsky Square: what new name in Zaporozhye rename the Mayakovsky Square: which has chosen a new name. Photo: uk.w"&amp;"ikipedia.org/ Victor Babenko in Zaporozhye Novosti Zaporozhye tried to get out of the rubble of the dead brother: an 85-year-old woman who survived the shelling and lost the house-video | Zaporozhye News Terror in occupation: In Tokmak, the Russians detai"&amp;"ned a 15-year-old teenager allegedly for ""storage of ammunition"" the source of Novosti Zaporozhye ""I am not afraid of fighting"": the history of the soldier in the Zaporozhye direction | Zaporozhye News Fighter of the Red Kalina Brigade, which is curre"&amp;"ntly fighting in Zaporizhzhya direction about its combat novoices of Zaporozhye ""We must sympathize with Russian guys"": Musk advised Zelensky to meet Putin by American billionaire Ilon Musk again a scandalous statement. This time the famous inventor adv"&amp;"ised Vladimir Novosti Melitopol Podolyak sharply responded to a scandalous statement by Mask: ""invites the Russian Federation to cut the population"" in the President's office responded to the scandalous appeals got into a car accident. As a result of th"&amp;"e event, he received serious newsties of Melitopol PPO forces destroyed 19 ""Shahaneda: at night the army of Russian attacked Ukraine with aircraft aircraft forces destroyed 19"" Shahaneda: at night the army of the Russian Federation attacked Ukraine with"&amp;" drones: Glavcom.ua Novosty Knozhnya. Abroad strike on Zarichny: Two affected girls will be treated abroad. Photo: t.me/komish_gromada two girls of Novosti Zaporozhye Russia has increased the intensity of shelling of Zaporizhzhya region since the beginnin"&amp;"g of the cold. /Oleksandr Yermochenko Russian News of Zaporizhzhya Increased the intensity of shelling of Zaporizhzhya region since the beginning of the cold | News of Zaporizhzhya, the number of shelling of Zaporizhzhya region has increased recently the "&amp;"enemy in the peaceful cities and villages of Novosta Zaporozhye in Zaporizhzhia region recorded death from botulism | The news of Zaporizhzhya as of November 10 in the territory of Zaporizhzhya region registered four cases of botulism of Novosti Zaporozhy"&amp;"e Terror in occupation: in Tokmak the Russians detained a 15-year-old teenager allegedly for ""storage of ammunition"" | The news of Zaporizhzhya on the inhabitants of the occupied part of the Zaporizhzhya region collapsed another wave of terror. In the p"&amp;"risoner, they take for the News of the Zaporozhynavigation on the writings12 ... 352 -Dalee in Zaporozhye continue to work in the house on the avenue of the Soborna Wall, which can move as a result of rocket strike - photo | News of Zaporozhye Zaporozhye "&amp;"Tspnye saws - what will choose the disadvantage of the Zaporozhye Fabriot Romano: ""The sediment is completed - Kane goes to Bavaria (11 August 2023 NSK is too Ukrainian For the Russians, the Melitopol army in Berdyansk explosions. The invaders claim the "&amp;"work of PEEO. -News of Berdyanskanosti Berdyansk Students can be involved in the Scholarship project in Ukraine of Zaporozhye Second Line of Defense get out of the Kremlin to take Participation in elections: Photonovations of Melitopol The occupiers annou"&amp;"nced the opening of cadet classes in the Zaporozhye region: why will children teach children | Zaporozhye Zaporozhye News in the Zaporizhzhya direction the enemy suffered significant losses: details | The news of Zaporizhia Zaporozhye Kakie Essentials - T"&amp;"ypes and their characteristics? News Company Azerbaijan developed a plan for ""reintegration"" of the Armenians of the Karabakhunosti Melitopol of the Armed Forces Poplar In Zaporizhzhya there will not be a CNAP: the hole of Melitopol Zelensky signed the "&amp;"law on the salaries of prisoners of war of Zaporozhye enemy built a multi -kilometer fortification structures that combined two settlements of Zaporizhzhya region | Zaporizhzhian Zaporozhye News Doctors advised people after 60 to forget about these foods "&amp;"and habits: what to eat in such a religion of Melitopol © 2023 Useful site for residents of Zaporizhzhia city")</f>
        <v>Useful site for the residents of Zaporizhzhia, the content of the Zaporozhye -Regionicness of Berdyanskanoskanoskanosty of Melitopolyanism of Energdaragoda Ring in Zaporozhivka in Akimovkeponda in Vasaskogoda. The weather in a guliwapole in the Dneprodnnnnbrog in Kamenke-Dneprovskaya Ring in Kuybyshevoy in Melitopolegoda in Mikhailovkepor in Michael's Prima -porch in a pierced in a porch in a talking meter in a Chernihiv kichod in an energy -ecotracker Zaporozhye Garamkart -Devskachart Melitopolycard Mikhailovkarta Molochakachart Novonikolakolaevkarta Orekhovakart Pologarta Pryazov Cartard Primorskacart Roseskarta Tokmakart Chernihivkarta Energy Delivation of Germany next year. Instead of four billion euros, Melitopol News will now be allocated for the Armed Forces of the Armed Forces will become colored diesel and gasoline for the army. This will be done in order to reduce Melitopol News why the Russian Federation is in vain to win Trump in the future presidential election: the expert has answered Russia in vain for the victory of Donald Trump in the future election of the US President. About this the newness of Melitopol "left the apartment in the pensioner's pants": in Germany, Pakistani raped a 93-year-old woman in the east of Germany in the town of Reichenbach-Im-Fogtland, a 49-year-old migrant from Pakistan raped a 93-year pensioner. Subsequently, Melitopol's newness border guards raised the Ukrainian flag in the poplars of Kharkiv region, the border guards raised the flag of Ukraine in the village of Topoli, which is located in the "gray zone" From the past, it is somewhat somewhat new to Melitopol Presimination of Purchasing Iphones 13 About Max Lyubaya Mobilnaya Technik Navigious Company Apple does not require an auxiliary advertisement for a long time in the Zaporozhye region. Illustrative photo: pixabay.com in the territory of Zaporizhzhya Zaporozhye in Zaporozhye rename the Mayakovsky Square: what new name in Zaporozhye rename the Mayakovsky Square: which has chosen a new name. Photo: uk.wikipedia.org/ Victor Babenko in Zaporozhye Novosti Zaporozhye tried to get out of the rubble of the dead brother: an 85-year-old woman who survived the shelling and lost the house-video | Zaporozhye News Terror in occupation: In Tokmak, the Russians detained a 15-year-old teenager allegedly for "storage of ammunition" the source of Novosti Zaporozhye "I am not afraid of fighting": the history of the soldier in the Zaporozhye direction | Zaporozhye News Fighter of the Red Kalina Brigade, which is currently fighting in Zaporizhzhya direction about its combat novoices of Zaporozhye "We must sympathize with Russian guys": Musk advised Zelensky to meet Putin by American billionaire Ilon Musk again a scandalous statement. This time the famous inventor advised Vladimir Novosti Melitopol Podolyak sharply responded to a scandalous statement by Mask: "invites the Russian Federation to cut the population" in the President's office responded to the scandalous appeals got into a car accident. As a result of the event, he received serious newsties of Melitopol PPO forces destroyed 19 "Shahaneda: at night the army of Russian attacked Ukraine with aircraft aircraft forces destroyed 19" Shahaneda: at night the army of the Russian Federation attacked Ukraine with drones: Glavcom.ua Novosty Knozhnya. Abroad strike on Zarichny: Two affected girls will be treated abroad. Photo: t.me/komish_gromada two girls of Novosti Zaporozhye Russia has increased the intensity of shelling of Zaporizhzhya region since the beginning of the cold. /Oleksandr Yermochenko Russian News of Zaporizhzhya Increased the intensity of shelling of Zaporizhzhya region since the beginning of the cold | News of Zaporizhzhya, the number of shelling of Zaporizhzhya region has increased recently the enemy in the peaceful cities and villages of Novosta Zaporozhye in Zaporizhzhia region recorded death from botulism | The news of Zaporizhzhya as of November 10 in the territory of Zaporizhzhya region registered four cases of botulism of Novosti Zaporozhye Terror in occupation: in Tokmak the Russians detained a 15-year-old teenager allegedly for "storage of ammunition" | The news of Zaporizhzhya on the inhabitants of the occupied part of the Zaporizhzhya region collapsed another wave of terror. In the prisoner, they take for the News of the Zaporozhynavigation on the writings12 ... 352 -Dalee in Zaporozhye continue to work in the house on the avenue of the Soborna Wall, which can move as a result of rocket strike - photo | News of Zaporozhye Zaporozhye Tspnye saws - what will choose the disadvantage of the Zaporozhye Fabriot Romano: "The sediment is completed - Kane goes to Bavaria (11 August 2023 NSK is too Ukrainian For the Russians, the Melitopol army in Berdyansk explosions. The invaders claim the work of PEEO. -News of Berdyanskanosti Berdyansk Students can be involved in the Scholarship project in Ukraine of Zaporozhye Second Line of Defense get out of the Kremlin to take Participation in elections: Photonovations of Melitopol The occupiers announced the opening of cadet classes in the Zaporozhye region: why will children teach children | Zaporozhye Zaporozhye News in the Zaporizhzhya direction the enemy suffered significant losses: details | The news of Zaporizhia Zaporozhye Kakie Essentials - Types and their characteristics? News Company Azerbaijan developed a plan for "reintegration" of the Armenians of the Karabakhunosti Melitopol of the Armed Forces Poplar In Zaporizhzhya there will not be a CNAP: the hole of Melitopol Zelensky signed the law on the salaries of prisoners of war of Zaporozhye enemy built a multi -kilometer fortification structures that combined two settlements of Zaporizhzhya region | Zaporizhzhian Zaporozhye News Doctors advised people after 60 to forget about these foods and habits: what to eat in such a religion of Melitopol © 2023 Useful site for residents of Zaporizhzhia city</v>
      </c>
    </row>
    <row r="810">
      <c r="A810" s="1" t="s">
        <v>2654</v>
      </c>
      <c r="B810" s="1" t="s">
        <v>2664</v>
      </c>
      <c r="D810" s="1">
        <v>3.0</v>
      </c>
      <c r="E810" s="4" t="s">
        <v>2665</v>
      </c>
      <c r="F810" s="1" t="s">
        <v>43</v>
      </c>
      <c r="G810" s="1" t="s">
        <v>2666</v>
      </c>
      <c r="H810" s="4" t="s">
        <v>2667</v>
      </c>
      <c r="I810" s="2">
        <v>1.0</v>
      </c>
      <c r="J810" s="5" t="str">
        <f>IFERROR(__xludf.DUMMYFUNCTION("GOOGLETRANSLATE(A810)"),"Happy birthday")</f>
        <v>Happy birthday</v>
      </c>
      <c r="K810" s="6" t="str">
        <f>IFERROR(__xludf.DUMMYFUNCTION("GOOGLETRANSLATE(B810)"),"TOP 100 congratulations on birthday +discussion")</f>
        <v>TOP 100 congratulations on birthday +discussion</v>
      </c>
      <c r="L810" s="5" t="str">
        <f>IFERROR(__xludf.DUMMYFUNCTION("GOOGLETRANSLATE(C810)"),"#VALUE!")</f>
        <v>#VALUE!</v>
      </c>
      <c r="M810" s="5" t="str">
        <f>IFERROR(__xludf.DUMMYFUNCTION("GOOGLETRANSLATE(G810)"),"ᐉ Sevimi jewelry store Delivery in Minsk and all Belarus reviews Viber | Instagram | Discounts%our viber | Instagram | Discounts% paired jewelry steam bracelets paired pendants for women Women Bracelets Women's Kulons and Suspensions Earrings Female Books"&amp;" Women's Clans women for men Men Bracelets and pendants Rings men's chains men's male Earrings about us 0 pcs. Search 💏 Parish decorations of the bracelet -pair of kulny -pairing rings🎀zhno decorates of the brilliants of the Sergibrochykolkikolskieukepo"&amp;"chkochka⚔️ Muzhniye decorations of the Kovyatytynya -Army Utony -Esergikolsepochka 🔥 Wizards with engravitroopakovstagram recovery shopposch 0 pcs. 1000+ jewelry of unique unique exquisite desired regular updates the assortment expands and replenishes fr"&amp;"ee delivery to any settlement of Belarus for 2-4 days Convenient payment online or upon receipt of Belparta decorations with engraving decorations to examine female jewelry for women pairs of earrings Suspension Ring Rings Krasnaya Presnya TOP 10 Jewelry "&amp;"with a discount men's jewelry decorations for men to examine men's earright jewelry pendants and pendants (286) 286 products Male Bracelets (238) 238 products Men's chain (45) 45 products Male (38) 38 products 38 Products Popular Section Paris bracelet -f"&amp;"ired pendants for parpar with magnets🧲 Parainnaya with engraving icons and crosses of bells of bracelets tokens of the new jewelry hit golden jewelry steel with engraving inside you in my heart39 rub. Bracelet made of jewelry steel with an engraving silv"&amp;"er39 rub.-20%hit pair bracelets from jewelry steel my madness at first glance 74 rubles. 59 rub. Hit Army token man Bracelet made of jewelry steel with original engraving (different options) 39 rubles. Interesting on the blog advice of the first piercing "&amp;"- how to care for pierced ears? 02.11.2023 on 02.11.2023 0 Comments Multiple Congratulations to the teacher. In prose and verses on 10.20.2023 on 09.10.2023 0 Comments Modavso about men's piercing: Types of piercing tips choice for decorations care +discu"&amp;"ssion 05.04.2023 on 01.02.2021 30 comments Modeshlet Pandora. Story. Types of charm. How to wear? +Discussion 06.06.2023 on 04.11.2020 32 Comments of different -designs of weaving chains on the neck. Which one to choose? +Discussion 10.02.2023 on 01.11.20"&amp;"20 32 Comments Modavids of male pendants and pendants. Councils on choice +discussion 06/28/2023 ON 31.10.2020 13 comments Modatop 10 famous jewelry brands +discussion 03/03/2023 on 04.09.2020 11 Comments Multi -Slavic symbols in jewelry and their signifi"&amp;"cance +discussion 03/18/2023 On 28.08.2020 11 Comments go to Blog Buyer reviews are very good. It goes exactly in size. Thin elegant. I took in the kit to the silver suspension that I brought from Europe. In silver, I didn’t find this like this - this wil"&amp;"l fit. It looks worthy not cheap. The price is excellent tonya - Minsk is beautiful paired bracelets I am delighted. Everything as I wanted. Well packed order, you will not regret the Christina - Gomel elegant earrings are very spectacular not heavy at al"&amp;"l! Where I do not come to them, they cause compliments and interest) but for a long time it is not possible to wear not gold from a simple metal for me starting to stimulate the lobes over time. But in general, I am very, very happy! Super earrings! Anya "&amp;"- Brest frequent questions How to order a jewelry in our store? Choose your favorite product in the catalog of our store of stylish jewelry and click the “I want!” Button. Go to the basket check the cost enter your contact details and confirm the order. A"&amp;"fter receiving the application, the manager will contact you to clarify the details whether it is necessary to make an advance payment? You can place an order both with preliminary payment on-line and without prepayment-with payment upon receipt of the go"&amp;"ods in your post office (in cash or card). Choose any way convenient for you what delivery methods are provided in the online store? We deliver jewelry to customers of Belposhta in Minsk and all of Belarus. The average order delivery time is 2-3 business "&amp;"days. If necessary, we can send an order by accelerated by mail or courier can I return or exchange the jewelry and under what conditions? We examine each jewelry twice: when collecting an order and when it packages, which excludes the probability of marr"&amp;"iage or a breakdown in the order. But if still questions arise, we will definitely solve them and go to everything to be satisfied 🙂 Are there discounts and stocks for jewelry? You can find out about all the current promotions in the “%discount%” section"&amp;" and also subscribe to our Instagram 😉 Does our jewelry get dark? We carefully choose jewelry suppliers so that the decorations bought from us pleased you as long as possible. When choosing jewelry, we recommend that you pay attention to products with gi"&amp;"lding and silvering (for example, the Krasnaya Presnya brand can be attributed to the category of expensive jewelry) as well as hand-made jewelry made of jewelry steel of our own manufacture. To extend the life of jewelry, follow simple rules when wearing"&amp;" which we talked about in a separate article. Sevimi-online store of stylish designer jewelry of jewelry accessories storage-storage: +375 29 817-27-68 Processing of orders: Mon-Pt: 10: 00- 19:00; SB BC - output e -mail: shop@sevimi.Bypotal information ab"&amp;"out the confidentiality store Delivery Payment for a guarantee in the trading register from 03.24.2021 No. Registration 505545 IP Kozak V.V. UNP 291690156 is registered by Kobrinsky RIK 03/19/2021 Jur. Adre: 225306 Brest region. Kobrinsky district. Ostroz"&amp;"hnaya collective farm 19 Instagram Catalog Viber Search Partial Jewelry Foil Bracelets Foil Rings Women's Jewelry Bracelets Women's Puppies and Suspensions Earrings Women Books Women Male Jewelry Bracelets Men's Pools and Sushes Ring Men Men's Jewelry Men"&amp;" koy kulons with engraving army tokens Instagram reviews for decorations of a shopping shop")</f>
        <v>ᐉ Sevimi jewelry store Delivery in Minsk and all Belarus reviews Viber | Instagram | Discounts%our viber | Instagram | Discounts% paired jewelry steam bracelets paired pendants for women Women Bracelets Women's Kulons and Suspensions Earrings Female Books Women's Clans women for men Men Bracelets and pendants Rings men's chains men's male Earrings about us 0 pcs. Search 💏 Parish decorations of the bracelet -pair of kulny -pairing rings🎀zhno decorates of the brilliants of the Sergibrochykolkikolskieukepochkochka⚔️ Muzhniye decorations of the Kovyatytynya -Army Utony -Esergikolsepochka 🔥 Wizards with engravitroopakovstagram recovery shopposch 0 pcs. 1000+ jewelry of unique unique exquisite desired regular updates the assortment expands and replenishes free delivery to any settlement of Belarus for 2-4 days Convenient payment online or upon receipt of Belparta decorations with engraving decorations to examine female jewelry for women pairs of earrings Suspension Ring Rings Krasnaya Presnya TOP 10 Jewelry with a discount men's jewelry decorations for men to examine men's earright jewelry pendants and pendants (286) 286 products Male Bracelets (238) 238 products Men's chain (45) 45 products Male (38) 38 products 38 Products Popular Section Paris bracelet -fired pendants for parpar with magnets🧲 Parainnaya with engraving icons and crosses of bells of bracelets tokens of the new jewelry hit golden jewelry steel with engraving inside you in my heart39 rub. Bracelet made of jewelry steel with an engraving silver39 rub.-20%hit pair bracelets from jewelry steel my madness at first glance 74 rubles. 59 rub. Hit Army token man Bracelet made of jewelry steel with original engraving (different options) 39 rubles. Interesting on the blog advice of the first piercing - how to care for pierced ears? 02.11.2023 on 02.11.2023 0 Comments Multiple Congratulations to the teacher. In prose and verses on 10.20.2023 on 09.10.2023 0 Comments Modavso about men's piercing: Types of piercing tips choice for decorations care +discussion 05.04.2023 on 01.02.2021 30 comments Modeshlet Pandora. Story. Types of charm. How to wear? +Discussion 06.06.2023 on 04.11.2020 32 Comments of different -designs of weaving chains on the neck. Which one to choose? +Discussion 10.02.2023 on 01.11.2020 32 Comments Modavids of male pendants and pendants. Councils on choice +discussion 06/28/2023 ON 31.10.2020 13 comments Modatop 10 famous jewelry brands +discussion 03/03/2023 on 04.09.2020 11 Comments Multi -Slavic symbols in jewelry and their significance +discussion 03/18/2023 On 28.08.2020 11 Comments go to Blog Buyer reviews are very good. It goes exactly in size. Thin elegant. I took in the kit to the silver suspension that I brought from Europe. In silver, I didn’t find this like this - this will fit. It looks worthy not cheap. The price is excellent tonya - Minsk is beautiful paired bracelets I am delighted. Everything as I wanted. Well packed order, you will not regret the Christina - Gomel elegant earrings are very spectacular not heavy at all! Where I do not come to them, they cause compliments and interest) but for a long time it is not possible to wear not gold from a simple metal for me starting to stimulate the lobes over time. But in general, I am very, very happy! Super earrings! Anya - Brest frequent questions How to order a jewelry in our store? Choose your favorite product in the catalog of our store of stylish jewelry and click the “I want!” Button. Go to the basket check the cost enter your contact details and confirm the order. After receiving the application, the manager will contact you to clarify the details whether it is necessary to make an advance payment? You can place an order both with preliminary payment on-line and without prepayment-with payment upon receipt of the goods in your post office (in cash or card). Choose any way convenient for you what delivery methods are provided in the online store? We deliver jewelry to customers of Belposhta in Minsk and all of Belarus. The average order delivery time is 2-3 business days. If necessary, we can send an order by accelerated by mail or courier can I return or exchange the jewelry and under what conditions? We examine each jewelry twice: when collecting an order and when it packages, which excludes the probability of marriage or a breakdown in the order. But if still questions arise, we will definitely solve them and go to everything to be satisfied 🙂 Are there discounts and stocks for jewelry? You can find out about all the current promotions in the “%discount%” section and also subscribe to our Instagram 😉 Does our jewelry get dark? We carefully choose jewelry suppliers so that the decorations bought from us pleased you as long as possible. When choosing jewelry, we recommend that you pay attention to products with gilding and silvering (for example, the Krasnaya Presnya brand can be attributed to the category of expensive jewelry) as well as hand-made jewelry made of jewelry steel of our own manufacture. To extend the life of jewelry, follow simple rules when wearing which we talked about in a separate article. Sevimi-online store of stylish designer jewelry of jewelry accessories storage-storage: +375 29 817-27-68 Processing of orders: Mon-Pt: 10: 00- 19:00; SB BC - output e -mail: shop@sevimi.Bypotal information about the confidentiality store Delivery Payment for a guarantee in the trading register from 03.24.2021 No. Registration 505545 IP Kozak V.V. UNP 291690156 is registered by Kobrinsky RIK 03/19/2021 Jur. Adre: 225306 Brest region. Kobrinsky district. Ostrozhnaya collective farm 19 Instagram Catalog Viber Search Partial Jewelry Foil Bracelets Foil Rings Women's Jewelry Bracelets Women's Puppies and Suspensions Earrings Women Books Women Male Jewelry Bracelets Men's Pools and Sushes Ring Men Men's Jewelry Men koy kulons with engraving army tokens Instagram reviews for decorations of a shopping shop</v>
      </c>
    </row>
    <row r="811">
      <c r="A811" s="1" t="s">
        <v>2654</v>
      </c>
      <c r="B811" s="1" t="s">
        <v>2668</v>
      </c>
      <c r="D811" s="1">
        <v>4.0</v>
      </c>
      <c r="E811" s="4" t="s">
        <v>2669</v>
      </c>
      <c r="F811" s="1" t="s">
        <v>43</v>
      </c>
      <c r="G811" s="1" t="s">
        <v>2670</v>
      </c>
      <c r="H811" s="4" t="s">
        <v>2671</v>
      </c>
      <c r="I811" s="2">
        <v>2.0</v>
      </c>
      <c r="J811" s="5" t="str">
        <f>IFERROR(__xludf.DUMMYFUNCTION("GOOGLETRANSLATE(A811)"),"Happy birthday")</f>
        <v>Happy birthday</v>
      </c>
      <c r="K811" s="6" t="str">
        <f>IFERROR(__xludf.DUMMYFUNCTION("GOOGLETRANSLATE(B811)"),"TOP 100 birthday greetings")</f>
        <v>TOP 100 birthday greetings</v>
      </c>
      <c r="L811" s="5" t="str">
        <f>IFERROR(__xludf.DUMMYFUNCTION("GOOGLETRANSLATE(C811)"),"#VALUE!")</f>
        <v>#VALUE!</v>
      </c>
      <c r="M811" s="5" t="str">
        <f>IFERROR(__xludf.DUMMYFUNCTION("GOOGLETRANSLATE(G811)"),"Congratulations and poems on TOP - Loves Poems • SMS • Congratulations • Statuses The main source of the romance of congratulations and good mood;) Poems: Happy Birthday | Romantic | Poems for the New Year! | Woman | Man | Girl | Guy | Husband | Wife | Mo"&amp;"m | Children's | About love | Former | Former | Sad | About friendship | About childhood | About school | About the homeland | About life | About parents | At a distance, poetry is a joy or experience and maybe both. And it is not necessary to have a poet"&amp;"ic gift to beautifully and accurately express your feelings in them. The main thing is to be sincere. Read poems write poems fill your life with spiritual meaning! Happy Birthday: Best | In prose | Short | Funny | man | woman | Mom | Dad | Son | Daughter "&amp;"| Friend | girlfriend | niece | Husband | wife | son -in -law | Brother | Sister | Namely | beloved | beloved | Aunt | Uncle | Mother -in -law | mother -in -law | Colleague | Boss | Happy anniversary | With a newborn | One year old to a boy | One year old"&amp;" girl congratulations: Happy New Year 2024 | Merry Christmas | With the baptism of the Lord | With Tatyana's Day | Happy Valentine's Day | From February 23 | With Shrovetide | Since March 8 | With Annunciation | Happy Sunday | With Easter Christ | Happy V"&amp;"ictory Day | With the Holy Trinity | From September 1 | Kurban-Bayram | On family day | Happy Mother's Day | Pokrov | Happy National Unity | For a wedding | On graduation | Video congratulations from Santa Claus Congratulations are pleasant words and wish"&amp;"es that we speak to each other for the holiday. Do not forget the beautiful congratulation not only emphasizes your care, but also leaves a good impression! With professional holidays: Happy Fire Department | Happy Border Guard War | Nurse | Happy Oilman'"&amp;"s Day | Hairdresser | Happy Secretary Day | Programmer | Educator | Teacher | motorist | Police | Accountant | Lawyer | Energy | FSB Day | EMERCOM | Other personal congratulations: Natalia | Tatyana | Olga | Elena | Christine | Julia | Valery | Konstantin"&amp;" | Fedor | Tamara | Yuri | Angelica | Lilies | Alexandra | Larisa | Svetlana | Alla | Roman | Maria | Ulyana | Albine | Anna | Irina | Vera | Mikhail | Cyril | Yaroslav toasts are not only beautiful words this is already an established tradition. Saying a"&amp;" toast at the festive table, we put all our feelings into it and pronounce them to others in a short form. With a good toast, you can always emphasize your erudite and originality! Toasts: on name day | For a wedding | Christmas | On the day of the defend"&amp;"er | On March 8 | For the New Year contests: for the New Year | Children's contests are an integral part of any holiday. They bring a lot of positive emotions making the celebration interesting and unforgettable! Compliments: for a beloved guy | For a bel"&amp;"oved girl, compliments are the best way to express their feelings and attitude to a person. To emphasize all its qualities: character traits intellectuality external data all that is distinguished against the background of others! Wishes: good night to yo"&amp;"ur beloved | Good night to your beloved | Good morning a guy | Good morning girl | Have a good day beloved | Good day beloved | Recovery | New Year's admission of love: in your own words | Guy | A girl recognition of love is a way to tell about her feelin"&amp;"gs. Sometimes there are moments when we understand that we cannot live without this person. Emotions accumulate inside and it is no longer possible to stop them! Assignment: Before the guy | In front of a girl | Before my husband | Before his wife, an apo"&amp;"logy - the words in which we ask for forgiveness for unworthy actions or behavior. But the main thing is not just to apologize to the main thing to realize that you were wrong and henceforth prevent such mistakes! Stories: Romantic about love | Sad invita"&amp;"tions: on a date | On the birthday of the invitation - a request for a person to whom you actually address your invitation at any event. It can be a wedding birthday or a long -awaited date! Statuses: about love | About girls | About guys | About my husba"&amp;"nd about love | About work | With meaning | About life | About happiness | Funny | About the virtual world | New Year's | About Men's Day | About women's day, statuses are an indicator of our mood. People who have read your status on social networks will "&amp;"know what you are now feeling about and just your views on life. Status along with photography are the business cards of your page! Postcards: Happy Birthday | Romantic | Beloved | New Year's | On February 23 | On March 8 | On February 14 | Easter New Yea"&amp;"r: stencils for the New Year 2024 | The wishes for the New Year of the Rabbit New Year 2024 - according to the eastern calendar it will be the year of the green wooden dragon. Ahead of us is waiting for the New Year's bustle! Waiting for a miracle fascina"&amp;"tes and beckons. The anticipation of your favorite holiday is customized and tuned in a positive way! New pages: touching congratulations to a woman | Touching congratulations to a friend | Touching delays from March 8 | Congratulations on March 8 to the "&amp;"teacher | Happy birthday in your own words | Happy birthday to mom | Happy birthday to a woman | Voice congratulations from Putin are our communities: Copyright © 2011-2023 congratulations and poems on TOP-Loves-by-Copying Materials Active link to the sit"&amp;"e is required! Send questions about cooperation and work of the site to e-mail: t-loves@yandex.ru")</f>
        <v>Congratulations and poems on TOP - Loves Poems • SMS • Congratulations • Statuses The main source of the romance of congratulations and good mood;) Poems: Happy Birthday | Romantic | Poems for the New Year! | Woman | Man | Girl | Guy | Husband | Wife | Mom | Children's | About love | Former | Former | Sad | About friendship | About childhood | About school | About the homeland | About life | About parents | At a distance, poetry is a joy or experience and maybe both. And it is not necessary to have a poetic gift to beautifully and accurately express your feelings in them. The main thing is to be sincere. Read poems write poems fill your life with spiritual meaning! Happy Birthday: Best | In prose | Short | Funny | man | woman | Mom | Dad | Son | Daughter | Friend | girlfriend | niece | Husband | wife | son -in -law | Brother | Sister | Namely | beloved | beloved | Aunt | Uncle | Mother -in -law | mother -in -law | Colleague | Boss | Happy anniversary | With a newborn | One year old to a boy | One year old girl congratulations: Happy New Year 2024 | Merry Christmas | With the baptism of the Lord | With Tatyana's Day | Happy Valentine's Day | From February 23 | With Shrovetide | Since March 8 | With Annunciation | Happy Sunday | With Easter Christ | Happy Victory Day | With the Holy Trinity | From September 1 | Kurban-Bayram | On family day | Happy Mother's Day | Pokrov | Happy National Unity | For a wedding | On graduation | Video congratulations from Santa Claus Congratulations are pleasant words and wishes that we speak to each other for the holiday. Do not forget the beautiful congratulation not only emphasizes your care, but also leaves a good impression! With professional holidays: Happy Fire Department | Happy Border Guard War | Nurse | Happy Oilman's Day | Hairdresser | Happy Secretary Day | Programmer | Educator | Teacher | motorist | Police | Accountant | Lawyer | Energy | FSB Day | EMERCOM | Other personal congratulations: Natalia | Tatyana | Olga | Elena | Christine | Julia | Valery | Konstantin | Fedor | Tamara | Yuri | Angelica | Lilies | Alexandra | Larisa | Svetlana | Alla | Roman | Maria | Ulyana | Albine | Anna | Irina | Vera | Mikhail | Cyril | Yaroslav toasts are not only beautiful words this is already an established tradition. Saying a toast at the festive table, we put all our feelings into it and pronounce them to others in a short form. With a good toast, you can always emphasize your erudite and originality! Toasts: on name day | For a wedding | Christmas | On the day of the defender | On March 8 | For the New Year contests: for the New Year | Children's contests are an integral part of any holiday. They bring a lot of positive emotions making the celebration interesting and unforgettable! Compliments: for a beloved guy | For a beloved girl, compliments are the best way to express their feelings and attitude to a person. To emphasize all its qualities: character traits intellectuality external data all that is distinguished against the background of others! Wishes: good night to your beloved | Good night to your beloved | Good morning a guy | Good morning girl | Have a good day beloved | Good day beloved | Recovery | New Year's admission of love: in your own words | Guy | A girl recognition of love is a way to tell about her feelings. Sometimes there are moments when we understand that we cannot live without this person. Emotions accumulate inside and it is no longer possible to stop them! Assignment: Before the guy | In front of a girl | Before my husband | Before his wife, an apology - the words in which we ask for forgiveness for unworthy actions or behavior. But the main thing is not just to apologize to the main thing to realize that you were wrong and henceforth prevent such mistakes! Stories: Romantic about love | Sad invitations: on a date | On the birthday of the invitation - a request for a person to whom you actually address your invitation at any event. It can be a wedding birthday or a long -awaited date! Statuses: about love | About girls | About guys | About my husband about love | About work | With meaning | About life | About happiness | Funny | About the virtual world | New Year's | About Men's Day | About women's day, statuses are an indicator of our mood. People who have read your status on social networks will know what you are now feeling about and just your views on life. Status along with photography are the business cards of your page! Postcards: Happy Birthday | Romantic | Beloved | New Year's | On February 23 | On March 8 | On February 14 | Easter New Year: stencils for the New Year 2024 | The wishes for the New Year of the Rabbit New Year 2024 - according to the eastern calendar it will be the year of the green wooden dragon. Ahead of us is waiting for the New Year's bustle! Waiting for a miracle fascinates and beckons. The anticipation of your favorite holiday is customized and tuned in a positive way! New pages: touching congratulations to a woman | Touching congratulations to a friend | Touching delays from March 8 | Congratulations on March 8 to the teacher | Happy birthday in your own words | Happy birthday to mom | Happy birthday to a woman | Voice congratulations from Putin are our communities: Copyright © 2011-2023 congratulations and poems on TOP-Loves-by-Copying Materials Active link to the site is required! Send questions about cooperation and work of the site to e-mail: t-loves@yandex.ru</v>
      </c>
    </row>
    <row r="812">
      <c r="A812" s="1" t="s">
        <v>2654</v>
      </c>
      <c r="B812" s="1" t="s">
        <v>2672</v>
      </c>
      <c r="D812" s="1">
        <v>5.0</v>
      </c>
      <c r="E812" s="4" t="s">
        <v>2673</v>
      </c>
      <c r="F812" s="1" t="s">
        <v>43</v>
      </c>
      <c r="G812" s="1" t="s">
        <v>2674</v>
      </c>
      <c r="H812" s="4" t="s">
        <v>2675</v>
      </c>
      <c r="I812" s="2">
        <v>1.0</v>
      </c>
      <c r="J812" s="5" t="str">
        <f>IFERROR(__xludf.DUMMYFUNCTION("GOOGLETRANSLATE(A812)"),"Happy birthday")</f>
        <v>Happy birthday</v>
      </c>
      <c r="K812" s="6" t="str">
        <f>IFERROR(__xludf.DUMMYFUNCTION("GOOGLETRANSLATE(B812)"),"Happy birthday in your own words - Sumy news")</f>
        <v>Happy birthday in your own words - Sumy news</v>
      </c>
      <c r="L812" s="5" t="str">
        <f>IFERROR(__xludf.DUMMYFUNCTION("GOOGLETRANSLATE(C812)"),"#VALUE!")</f>
        <v>#VALUE!</v>
      </c>
      <c r="M812" s="5" t="str">
        <f>IFERROR(__xludf.DUMMYFUNCTION("GOOGLETRANSLATE(G812)"),"Sumy’s news - go to the Concertunsk: the main nominovo namnovo of the dummies of the drone hectopanovo romnovo athletics of the shots of the Boxingovanovosti Boxing Boxing Tennisanovosti of the footlanasovo hockey -hop -hogodapogoda in Sumytirkepogoda in "&amp;"Belopolnipogoda in Vorozhbodhogodogodogodogo in the Glass In a friendly manner in Konotop-Potopogoda in Krasnopolipogoda in Krolevcepogoda in a swan at Putivlepogoda in Romnah Pogogoda in the middle Trostyantsopogoda in Shostkepogoda in the Yampolkartakca"&amp;"rtcartcartcartam Akhtyrkikarta Belopolykarta Buryonikart Great Pisarevkikarta Golokhobykarta Glukhovakarta Druotpartic Card Kronopolycarta Croovecarticcarticcard Lipovakart Lipova Cardead Cardeleworma Puteliaccarta Roenatcarta Trostyantcarta Carmons Shost"&amp;"kikarta of the Economy -Economic Authority of the Currency Currencies in Sumakheshkarte Boyovikhi Dy Deep State Card of the Trivog in Ukrainian Skcheny Putim Potim - Beauty in MISTI! ”: Glukhovi of the ACC“ Groshi on ZSU ”11 leaf fall at Glukhovi Piditrim"&amp;"ali all -Ukrainian Aktica of the participants of the Blagov’s non -social news of Glukhov residents for excellent muddy thames in one, the central locom I can be shouted to the shouted mlintsi that Zigriyt Garyachi News Glukhov About those yak of a reside"&amp;"nt of S.- Blave ositіlikhilikh of the new .... Odnі, Khranechi News Glukhova Danylov, explaining Chomu Rovkhid Ekononiki Ukrainian on Vynni “Reiki” non -unwashed Dinilov: “If Vicoristovati is picked up“ Relokіd Ekonni “Reiki” Tom Varto Economics of the Im"&amp;"plementation of the Implement for $ 900 million with huts tigers, wake RISSHENNYA about the Nadannya Finannuvannya Kiwa Miracity Fund (IMF) The Economy is the problem of Borgiv for the Energorinka demand in the Union of Minergo - Zmi ""Ukrenergo"" MAH LEA"&amp;"RITION OF THE ROBOTA ZABMINA - Obivoking the Tariff for the population ""for the economy of Real. LUNIN VIDID ZVID Hwilin Yaremchuk at the reserve Andrei Lunin photo - Getty images became the start of Real Streets of Real Maje on the Football Football Foo"&amp;"tball I Krivbas Rosigi Rosigi Cup of the Ukrainian teams SCDNIPRO1.com.ua. NI Match Cup of Ukraine with football, middle Zhinochny teams. Vorskla Football News of Racchi poured a cucum of the Tsivilny on Sumshchini for the Summarian Kerivnitwani Prosecuto"&amp;"r's Oblastyato Rosodov Rosslіdovanni for the fact of the vicious law of Sumy, the Summies of Sumy Lygrohkhi: 6 community at the Summodnin on the Prordordonni Stan at 21 p.m. in ova. The day of the day of Sumska Ophthalmologists Valeriy Bereznyak: “Kozhezu"&amp;" Virishyu himself: I want Bachiti Chi ni”, our hour is a matter of Vyusliv izhormatsky Chi Robot is to know the news of Sumy Rachman: I put it in the beret in the battle of osuurі Oleksandr VMIN TRIMATI A blow to the Great Claptsiv Alexander Usyk photo-Ge"&amp;"tty Images Eex-champion Svit in the Super Vazi Khasim Rachmana, saying boxing news Terent Crawford Title of the IBF Chassa Crawford. Photo - Getty images of the people Boxer federals (IBF) OFITION I called the title of the Boxing Boxing Boxing Boxing Comp"&amp;"lex Tu Ta Wilder Talking about the Rozdilni in the Vechir in the Saudivskiy Aranei Joshua Photo - Getty images of Kolishni CCA in the supervazhi vasi Briton Entoni news Boxing Zbirna Khokuya Dramatically entered the Slovenia on the memoraal Charcose team "&amp;"of Ukraine in hockey. Photo-Facebook.com/fhu.com.ua Zbirna Ukrainian with Hoques at the effective Verilzi News Hockey NHL: Chicago Zolov Tampa Boston Vancouver Ta San Jose Photo: Getty Images Chikago Tampa at the National Hookery Duba 11 Hockey News Brigg"&amp;"s Having called the Night Super Vajakovik, the captivity is a photo: Getty images Briggs, the Vistupi Lennoks Lewsi Kolishniy Chemon Svita Boxing Boxing Boxing Promoter F'yuri Vidpoviv on Zvinuvachennya near “Brouping” Nganna Photo: Getty IMAGES Ri Vyglya"&amp;"dav Nonovnovno at the battle of Ngann Frenk Vrren Shcho news of boxing at Sumy PID HOUSED IS ISHISTOH ITOOH people Bulf Bulo Date Photo: Gu DSNS Ukrainian at Sumskiy Vnochi 11 leaf fall in Sumy’s one news in zbirna іbirna, I was a pre -mixed trend Irna il"&amp;"las is not conductable The pre-mixed trend in the Leverkuzeni on the Stadіon “Bayarena” the day before the VIDBIRKOVO cycle є 2024 News Football News Igor Tsiganik: “Dynamo” MAH BUTY GROTY ORE KRIVBASU VIDOMIA WROSENSKY IGOR ROSOVAVIV VIIN VIIN Cheka vid "&amp;"central match of the 14th round Football News Oleg Kuznetsov about the Neviklik of Krevsun Z “Borussi” d: “Not can for the All -Union of Medices. The two tizho did not know about the nyoye, the head coach of the Yunatska Zbirnoya U-19 Oleg Kuznov Rozoviv "&amp;"Chomu, not woking to the PIVZAXHISKA DORTMUNDSKO “BORUSSIA Football News, Mati Pistol-Yastremsyka Photo: Getty IMages Yastremska holled non -western wta Ukrainian Tenіsist Rozedalika WTA for the vidsuteni reaction tennis news was a stallion of the match C"&amp;"up Bill Jin Klang Ukraina - nіterlandi photo: FTU Zbirni Ukrainian I. Nerdlande at Vilnyusі on the Hard Cortion we are a young warehouse marriage, Dosvіd photo: FC Zorya Luhansk Valeriy Kriventsov Valeriy Kriventsov Rozpoviv about the reasons for praying "&amp;"vid maccabi football news Dovbik, athletico photo: Getty images Dovbik Ozkavituvykavka Grand Foreword Catalan of Zhironi, Kholdiyna news agriculture Product Photo: Minvilnoye Rukh with the Ukrainian corridor, not caught by the Popri systematic attack Z 8 "&amp;"Serpnya Economics Ukrainan more and more IMPORTUS INSISTE IT - to Polish photo: Metіnsvest threw up to the triges of ekportovanikov wages for ten mysyv Economics at the roma named pam'yvreyv єvreyv 1941 Rock + Photo 10 leaf fall The Pam'yat єvreyv Rosstil"&amp;"anyi 1941 in the Schilas of the Green Yar was laid down near the village of News of Romnov Law -School of Law Office of the sequel of the schematic of Shahrales for Persul 9 residents of the regional center was embedded in the SIKI Shakhrav TA, Romnovigat"&amp;"ion Romnovigation on records12 ... 354 days Square records “Spending Polim - Beauty in MISTI! ”: At Glukhovi, the acts“ Groshi on ZSU ”Glukhіvchan are frequently frequent, Garykhaya tea tu Mlylintsyro, those yak residents s.- Osiritіlikhiyilikhiyilikhiyli"&amp;"khiylikhi, explaining Chomu Perekhid Yekonnika“ Raiki ” We lived a tranche for $ 900 million ink Ukrainian Kherson © 2023 Sumyremlam News: [Email Protected] Go to Mobile Version")</f>
        <v>Sumy’s news - go to the Concertunsk: the main nominovo namnovo of the dummies of the drone hectopanovo romnovo athletics of the shots of the Boxingovanovosti Boxing Boxing Tennisanovosti of the footlanasovo hockey -hop -hogodapogoda in Sumytirkepogoda in Belopolnipogoda in Vorozhbodhogodogodogodogo in the Glass In a friendly manner in Konotop-Potopogoda in Krasnopolipogoda in Krolevcepogoda in a swan at Putivlepogoda in Romnah Pogogoda in the middle Trostyantsopogoda in Shostkepogoda in the Yampolkartakcartcartcartcartam Akhtyrkikarta Belopolykarta Buryonikart Great Pisarevkikarta Golokhobykarta Glukhovakarta Druotpartic Card Kronopolycarta Croovecarticcarticcard Lipovakart Lipova Cardead Cardeleworma Puteliaccarta Roenatcarta Trostyantcarta Carmons Shostkikarta of the Economy -Economic Authority of the Currency Currencies in Sumakheshkarte Boyovikhi Dy Deep State Card of the Trivog in Ukrainian Skcheny Putim Potim - Beauty in MISTI! ”: Glukhovi of the ACC“ Groshi on ZSU ”11 leaf fall at Glukhovi Piditrimali all -Ukrainian Aktica of the participants of the Blagov’s non -social news of Glukhov residents for excellent muddy thames in one, the central locom I can be shouted to the shouted mlintsi that Zigriyt Garyachi News Glukhov About those yak of a resident of S.- Blave ositіlikhilikh of the new .... Odnі, Khranechi News Glukhova Danylov, explaining Chomu Rovkhid Ekononiki Ukrainian on Vynni “Reiki” non -unwashed Dinilov: “If Vicoristovati is picked up“ Relokіd Ekonni “Reiki” Tom Varto Economics of the Implementation of the Implement for $ 900 million with huts tigers, wake RISSHENNYA about the Nadannya Finannuvannya Kiwa Miracity Fund (IMF) The Economy is the problem of Borgiv for the Energorinka demand in the Union of Minergo - Zmi "Ukrenergo" MAH LEARITION OF THE ROBOTA ZABMINA - Obivoking the Tariff for the population "for the economy of Real. LUNIN VIDID ZVID Hwilin Yaremchuk at the reserve Andrei Lunin photo - Getty images became the start of Real Streets of Real Maje on the Football Football Football I Krivbas Rosigi Rosigi Cup of the Ukrainian teams SCDNIPRO1.com.ua. NI Match Cup of Ukraine with football, middle Zhinochny teams. Vorskla Football News of Racchi poured a cucum of the Tsivilny on Sumshchini for the Summarian Kerivnitwani Prosecutor's Oblastyato Rosodov Rosslіdovanni for the fact of the vicious law of Sumy, the Summies of Sumy Lygrohkhi: 6 community at the Summodnin on the Prordordonni Stan at 21 p.m. in ova. The day of the day of Sumska Ophthalmologists Valeriy Bereznyak: “Kozhezu Virishyu himself: I want Bachiti Chi ni”, our hour is a matter of Vyusliv izhormatsky Chi Robot is to know the news of Sumy Rachman: I put it in the beret in the battle of osuurі Oleksandr VMIN TRIMATI A blow to the Great Claptsiv Alexander Usyk photo-Getty Images Eex-champion Svit in the Super Vazi Khasim Rachmana, saying boxing news Terent Crawford Title of the IBF Chassa Crawford. Photo - Getty images of the people Boxer federals (IBF) OFITION I called the title of the Boxing Boxing Boxing Boxing Complex Tu Ta Wilder Talking about the Rozdilni in the Vechir in the Saudivskiy Aranei Joshua Photo - Getty images of Kolishni CCA in the supervazhi vasi Briton Entoni news Boxing Zbirna Khokuya Dramatically entered the Slovenia on the memoraal Charcose team of Ukraine in hockey. Photo-Facebook.com/fhu.com.ua Zbirna Ukrainian with Hoques at the effective Verilzi News Hockey NHL: Chicago Zolov Tampa Boston Vancouver Ta San Jose Photo: Getty Images Chikago Tampa at the National Hookery Duba 11 Hockey News Briggs Having called the Night Super Vajakovik, the captivity is a photo: Getty images Briggs, the Vistupi Lennoks Lewsi Kolishniy Chemon Svita Boxing Boxing Boxing Promoter F'yuri Vidpoviv on Zvinuvachennya near “Brouping” Nganna Photo: Getty IMAGES Ri Vyglyadav Nonovnovno at the battle of Ngann Frenk Vrren Shcho news of boxing at Sumy PID HOUSED IS ISHISTOH ITOOH people Bulf Bulo Date Photo: Gu DSNS Ukrainian at Sumskiy Vnochi 11 leaf fall in Sumy’s one news in zbirna іbirna, I was a pre -mixed trend Irna illas is not conductable The pre-mixed trend in the Leverkuzeni on the Stadіon “Bayarena” the day before the VIDBIRKOVO cycle є 2024 News Football News Igor Tsiganik: “Dynamo” MAH BUTY GROTY ORE KRIVBASU VIDOMIA WROSENSKY IGOR ROSOVAVIV VIIN VIIN Cheka vid central match of the 14th round Football News Oleg Kuznetsov about the Neviklik of Krevsun Z “Borussi” d: “Not can for the All -Union of Medices. The two tizho did not know about the nyoye, the head coach of the Yunatska Zbirnoya U-19 Oleg Kuznov Rozoviv Chomu, not woking to the PIVZAXHISKA DORTMUNDSKO “BORUSSIA Football News, Mati Pistol-Yastremsyka Photo: Getty IMages Yastremska holled non -western wta Ukrainian Tenіsist Rozedalika WTA for the vidsuteni reaction tennis news was a stallion of the match Cup Bill Jin Klang Ukraina - nіterlandi photo: FTU Zbirni Ukrainian I. Nerdlande at Vilnyusі on the Hard Cortion we are a young warehouse marriage, Dosvіd photo: FC Zorya Luhansk Valeriy Kriventsov Valeriy Kriventsov Rozpoviv about the reasons for praying vid maccabi football news Dovbik, athletico photo: Getty images Dovbik Ozkavituvykavka Grand Foreword Catalan of Zhironi, Kholdiyna news agriculture Product Photo: Minvilnoye Rukh with the Ukrainian corridor, not caught by the Popri systematic attack Z 8 Serpnya Economics Ukrainan more and more IMPORTUS INSISTE IT - to Polish photo: Metіnsvest threw up to the triges of ekportovanikov wages for ten mysyv Economics at the roma named pam'yvreyv єvreyv 1941 Rock + Photo 10 leaf fall The Pam'yat єvreyv Rosstilanyi 1941 in the Schilas of the Green Yar was laid down near the village of News of Romnov Law -School of Law Office of the sequel of the schematic of Shahrales for Persul 9 residents of the regional center was embedded in the SIKI Shakhrav TA, Romnovigation Romnovigation on records12 ... 354 days Square records “Spending Polim - Beauty in MISTI! ”: At Glukhovi, the acts“ Groshi on ZSU ”Glukhіvchan are frequently frequent, Garykhaya tea tu Mlylintsyro, those yak residents s.- Osiritіlikhiyilikhiyilikhiylikhiylikhi, explaining Chomu Perekhid Yekonnika“ Raiki ” We lived a tranche for $ 900 million ink Ukrainian Kherson © 2023 Sumyremlam News: [Email Protected] Go to Mobile Version</v>
      </c>
    </row>
    <row r="813">
      <c r="A813" s="1" t="s">
        <v>2654</v>
      </c>
      <c r="B813" s="1" t="s">
        <v>2676</v>
      </c>
      <c r="C813" s="1" t="s">
        <v>153</v>
      </c>
      <c r="D813" s="1">
        <v>6.0</v>
      </c>
      <c r="E813" s="4" t="s">
        <v>2677</v>
      </c>
      <c r="F813" s="1" t="s">
        <v>43</v>
      </c>
      <c r="G813" s="1" t="s">
        <v>2678</v>
      </c>
      <c r="H813" s="4" t="s">
        <v>2679</v>
      </c>
      <c r="I813" s="2">
        <v>2.0</v>
      </c>
      <c r="J813" s="5" t="str">
        <f>IFERROR(__xludf.DUMMYFUNCTION("GOOGLETRANSLATE(A813)"),"Happy birthday")</f>
        <v>Happy birthday</v>
      </c>
      <c r="K813" s="6" t="str">
        <f>IFERROR(__xludf.DUMMYFUNCTION("GOOGLETRANSLATE(B813)"),"Beautiful birthday greetings")</f>
        <v>Beautiful birthday greetings</v>
      </c>
      <c r="L813" s="5" t="str">
        <f>IFERROR(__xludf.DUMMYFUNCTION("GOOGLETRANSLATE(C813)"),"3 days ago -")</f>
        <v>3 days ago -</v>
      </c>
      <c r="M813" s="5" t="str">
        <f>IFERROR(__xludf.DUMMYFUNCTION("GOOGLETRANSLATE(G813)"),"Congratulations: Poems and prose - Datki.net Skip to Content Head congratulations 📱 The birthday of the Kartinki -colorful -hungry -in -chief -in -thechlegepole of the Ugricular Ugricidanitic chief of the anniversarine -cheat -cheeseculchikurabenkuv pros"&amp;"e and Diving of attention, the wishes of the good morning of the good morning thanks to the gratitude of the sleeping night, I, according to the tebsplimomanic samples in love -eerotic sms of embezzlement of the sample -sample events of thevadbagoda, wedd"&amp;"ings of the child -resettlement for Pennsthenstniki holidays by the holidays of January February February February February February nicknames Augustus holidays Martas holidays September by the holidays April with the holidays of October with holidays by "&amp;"the holidays by the holidays of June holidays by June holidays by December Audio 📞 Audios on Drischyvnikhnobychinezhinopoliacul Housing -ladder -Rouarginal -Memalguccalucca support 13.1111111 Radiation chemical and biological protection (RHBZ Day) congra"&amp;"tulations on the Day of RHBZ 19 Distributions of a conscript Day 11.11 Tess -Russian Day of Design of the Designer Day16.11 Cultivale Day of Refusal of Smoking 11/17/11, international day of student development on the day of the student 11/17/11 of the di"&amp;"strict commissioners of police officers on the day of the district police officer 11/11/11 of the birth of the birthday of the grandfather's birthday of the grandfather’s birth on the holidays of the Equario -Yamarte -Bayuyuyuyuyuyuyuyuyakovgustasyakovnya"&amp;"vleskvyakovnyavleskhovnyavleskvyakovykh. Birth of Posepo Pozpo namedam -rod -rod -dimensional -mesh -rod -rhyme -rhyme -rhythinal -related projectiles with a delay in the delays in the murmur of people to congratulate the ⇳ ⇳ ⇳ ⇳ ⇳ ⇳ ⇳ ⇳ ⇳ ⇳ ⇳ ⇳ ⇳ ⇳ ⇳ ⇳ ⇳"&amp;" ⇳ ⇳ ⇳ ⇳ ⇳ ⇳ ⇳ ⇳ ⇳ ⇳ ⇳ ⇳ ⇳ ⇳ ⇳ ⇳ ⇳ ⇳ ⇳ ⇳ ⇳ ⇳ ⇳ ⇳ ⇳ ⇳ ⇳ ⇳ ⇳ ⇳ ⇳ ⇳ssed aim. Rooseticreflappecrepesolisholovykovo -Kovyenitsynynibodededyubeedeskudyudeskudyukudyeskudestyusetvyutsovyatuyatyatyatyatykhrevyatykhrevyatyulykoprodyunsyuyaksurinuyurinuyurinuyuyuri"&amp;"nuyuyurino -grader worker, a student of a classmate, a single -grader of a single -grader, a detector We have collected large collections of all kinds of congratulations for friend or girlfriend. Need wishes for familiar men or women? Your relatives will "&amp;"not be left without cool birthday congratulations. Click to show the entire list of ⇳. Offer wishes for the anniversary for close veasis, nicknamed -Genefine -eaten -egraugpapapapapapapapapapapapapapapamamemamamamamyazhozhozhozhneshoshozhozhneshobeshkutes"&amp;"khoteskhoteshotable and funny wishes on the wedding congratulations of the pokers of nicknames of prime -resistant, beautifully poured, ridiculous funny -native grains Ansky -male -muzymized friends of friends of parents Mamyot Pipvyat to someone and from"&amp;" whom congratulations! ⇳zhenichudgububububububreguthotok of the bridegroom’s parents of the bridegroom of the bridegroom dad of bridegroom -rag -ugar -haired parents Bride -bride to my mother’s bridebes Daddy's anniversary of the wedding of you! In the po"&amp;"kery of prose, 1 year of 2 years 19 years 19 years 19 years2 years 230 years old 40 years of age for all cases: gratitude of apologies and wishes for gratitude for work for working for work for working for work for working Help Friends to parents teacher,"&amp;" colleagues of students' parents in prose, all words of gratitude apologies Successful appetite of the health of the happiness of the happiness of the goodness of the well -being of good rest wishes in prose all wishes to her daughter to his friend to his"&amp;" friend to a friend of attention and just funny words good morning Funny to a woman to a man to a man beloved girlfriend to a guy sooner ⇳ All in prose in poems to a beloved beloved recognition of love of a child and christening recognition of love ⇳ All "&amp;"in prose in verses are a short woman with the birth of a child Boy granddaughter Granddaughter with christening A man to his wife to her wife to a teacher teacher Erotic SMS ⇳ All in prose in poems to a guy a girl romantic SMS ⇳ All in prose in poems belo"&amp;"ved cool wishes for a housewarming and when he entered a pension with a newswriter ⇳ All in poetry in prose, funny to a man, a colleague to a colleague to the head of congratulations in verses, I wish the sea and success of the ocean. Let the sun give you"&amp;"r warm ray sincerely. I am pleased to let the smiles of the days of the beautiful series. The world is good and inspiration with you always go. Especially for Datki.net, the fire of the enthusiasm in the heart I want to wish you. And let it not be a minut"&amp;"e to be sad to get bored. Life is to taste sincere so that there was delight. So that in happiness you meet a languid evening and sunrise. Especially for Datki.net, in prose, I wish that every day it begins with a smile and with the expectation of an incr"&amp;"edible life episode, let it be for someone to wake up, let only attractive and joyful emotions await the constantly around the bend. Especially for Datki.net, on your birthday, I want to wish the spiritual harmony of determination and a reliable environme"&amp;"nt that will support you in any endeavors. Let life be full of rich and bright moments and let the achieved goals motivate new achievements! Especially for Datki.net Happy Day of your birth! Well, what do you wish that it does not sound banal and boring? "&amp;"I wish you to become a snowball. Be light gentle and beautiful; Test the whole white light to look at all countries and melt the lips of the most beautiful prince in the world. Let your heart be cold so that it could not break his misfortunes and difficul"&amp;"ties. But let it melt from a delicate and loving touch. I wish you great love and great happiness! No suitable? Watch your birthday greetings. Popular Musical congratulations of your birth, your birth, Putin congratulates a happy birthday and a bright son"&amp;"g for your birthday +dqo8is0tigvuzdogz3jhrpybzag93Y2FZSBTZW51ic0tpg == Happy birthday in poems in the prose of names. Figure beautiful musical pictures The anniversary of the word of gratitude with Good morning good night, compliments apologies for other "&amp;"reasons with the wedding with the anniversary of the wedding with the birth of a child with christening with a retirement with a newswriter of recognition of love romantic SMS erotic smsdatki.net in social. сетях:  PGRpdiBjbGFzcz0ieWEtc2l0ZS1mb3JtIHlhLXNp"&amp;"dGUtZm9ybV9pbml0ZWRfbm8iIGRhdGEtYmVtPSJ7JnF1b3Q7YWN0aW9uJnF1b3Q7OiZxdW90O2h0dHBzOi8veWFuZGV4LnJ1L3NlYXJjaC9zaXRlLyZxdW90OywmcXVvdDthcnJvdyZxdW90Ozp0cnVlLCZxdW90O2JnJnF1b3Q7OiZxdW90OyNmZmNjMDAmcXVvdDssJnF1b3Q7Zm9udHNpemUmcXVvdDs6MTIsJnF1b3Q7ZmcmcXVvdDs6JnF"&amp;"1b3Q7IzAwMDAwMCZxdW90OywmcXVvdDtsYW5ndWFnZSZxdW90OzomcXVvdDtydSZxdW90OywmcXVvdDtsb2dvJnF1b3Q7OiZxdW90O3JiJnF1b3Q7LCZxdW90O3B1YmxpY25hbWUmcXVvdDs6JnF1b3Q70J/QvtC40YHQuiDQv9C+INGB0LDQudGC0YMmcXVvdDssJnF1b3Q7c3VnZ2VzdCZxdW90Ozp0cnVlLCZxdW90O3RhcmdldCZxdW90Oz"&amp;"omcXVvdDtfc2VsZiZxdW90OywmcXVvdDt0bGQmcXVvdDs6JnF1b3Q7cnUmcXVvdDssJnF1b3Q7dHlwZSZxdW90OzoyLCZxdW90O3VzZWJpZ2RpY3Rpb25hcnkmcXVvdDs6ZmFsc2UsJnF1b3Q7c2VhcmNoaWQmcXVvdDs6MjM0MTM2MiwmcXVvdDtpbnB1dF9mZyZxdW90OzomcXVvdDsjMDAwMDAwJnF1b3Q7LCZxdW90O2lucHV0X2JnJnF1b"&amp;"3Q7OiZxdW90OyNmZmZmZmYmcXVvdDssJnF1b3Q7aW5wdXRfZm9udFN0eWxlJnF1b3Q7OiZxdW90O25vcm1hbCZxdW90OywmcXVvdDtpbnB1dF9mb250V2VpZ2h0JnF1b3Q7OiZxdW90O25vcm1hbCZxdW90OywmcXVvdDtpbnB1dF9wbGFjZWhvbGRlciZxdW90OzomcXVvdDvQndCw0LnRgtC4INC/0L7Qt9C00YDQsNCy0LvQtdC90LjQtSZx"&amp;"dW90OywmcXVvdDtpbnB1dF9wbGFjZWhvbGRlckNvbG9yJnF1b3Q7OiZxdW90OyMwMDAwMDAmcXVvdDssJnF1b3Q7aW5wdXRfYm9yZGVyQ29sb3ImcXVvdDs6JnF1b3Q7I2ZmOGMwMCZxdW90O30iPjxmb3JtIGFjdGlvbj0iaHR0cHM6Ly95YW5kZXgucnUvc2VhcmNoL3NpdGUvIiBtZXRob2Q9ImdldCIgdGFyZ2V0PSJfc2VsZiIgYWNjZXB"&amp;"0LWNoYXJzZXQ9InV0Zi04Ij48aW5wdXQgdHlwZT0iaGlkZGVuIiBuYW1lPSJzZWFyY2hpZCIgdmFsdWU9IjIzNDEzNjIiLz48aW5wdXQgdHlwZT0iaGlkZGVuIiBuYW1lPSJsMTBuIiB2YWx1ZT0icnUiLz48aW5wdXQgdHlwZT0iaGlkZGVuIiBuYW1lPSJyZXFlbmMiIHZhbHVlPSIiLz48aW5wdXQgdHlwZT0ic2VhcmNoIiBuYW1lPSJ0ZX"&amp;"h0IiB2YWx1ZT0iIi8+PGlucHV0IHR5cGU9InN1Ym1pdCIgdmFsdWU9ItCd0LDQudGC0LgiLz48L2Zvcm0+PC9kaXY+PHN0eWxlIHR5cGU9InRleHQvY3NzIj4ueWEtcGFnZV9qc195ZXMgLnlhLXNpdGUtZm9ybV9pbml0ZWRfbm8geyBkaXNwbGF5OiBub25lOyB9PC9zdHlsZT48c2NyaXB0IHR5cGU9InRleHQvamF2YXNjcmlwdCI+KGZ1b"&amp;"mN0aW9uKHcsZCxjKXt2YXIgcz1kLmNyZWF0ZUVsZW1lbnQoJ3NjcmlwdCcpLGg9ZC5nZXRFbGVtZW50c0J5VGFnTmFtZSgnc2NyaXB0JylbMF0sZT1kLmRvY3VtZW50RWxlbWVudDtpZigoJyAnK2UuY2xhc3NOYW1lKycgJykuaW5kZXhPZignIHlhLXBhZ2VfanNfeWVzICcpPT09LTEpe2UuY2xhc3NOYW1lKz0nIHlhLXBhZ2VfanNfeWVz"&amp;"Jzt9cy50eXBlPSd0ZXh0L2phdmFzY3JpcHQnO3MuYXN5bmM9dHJ1ZTtzLmNoYXJzZXQ9J3V0Zi04JztzLnNyYz0oZC5sb2NhdGlvbi5wcm90b2NvbD09PSdodHRwczonPydodHRwczonOidodHRwOicpKycvL3NpdGUueWFuZGV4Lm5ldC92Mi4wL2pzL2FsbC5qcyc7aC5wYXJlbnROb2RlLmluc2VydEJlZm9yZShzLGgpOyh3W2NdfHwod1t"&amp;"jXT1bXSkpLnB1c2goZnVuY3Rpb24oKXtZYS5TaXRlLkZvcm0uaW5pdCgpfSl9KSh3aW5kb3csZG9jdW1lbnQsJ3lhbmRleF9zaXRlX2NhbGxiYWNrcycpOzwvc2NyaXB0Pg0KPHNjcmlwdCBzcmM9Imh0dHBzOi8vY29kZS5qcXVlcnkuY29tL2pxdWVyeS0yLjIuMS5taW4uanMiPjwvc2NyaXB0Pg0KPHNjcmlwdCBzcmM9Imh0dHBzOi8vcy"&amp;"52b2ljZWNhcmRzLnJ1L2pzL2NhdGVnb3J5L21lZGlhZWxlbWVudC1hbmQtcGxheWVyLmpzIj48L3NjcmlwdD4NCjxzY3JpcHQgc3JjPSJodHRwczovL3Mudm9pY2VjYXJkcy5ydS9qcy9jYXRlZ29yeS9tYWluLmpzP2xhc3Q9MTIiPjwvc2NyaXB0Pg0KPHNjcmlwdD4kKGZ1bmN0aW9uKCkgeyB3aW5kb3cuZ2V0Q29udGV4dFdpZGdldCgkK"&amp;"CcjdmNfY29udGV4dF9jb250ZW50LmRuX2xhenlfbG9hZC0zJyksMjM2ODgsNDE3Mik7fSk7PC9zY3JpcHQ+DQo8ZGl2IGlkPSJ2Y19jb250ZXh0X2NvbnRlbnQiIGNsYXNzPSdkbl9sYXp5X2xvYWQtMyc+PC9kaXY+Скопировано!Стихи и проза. Musical and voice congratulations on the phone. Copying of materi"&amp;"als is allowed only with an active reference to the site Datki.net © 2023 Policy Privacy Support FACAQ Project -Documentary recipe for the holiday of us")</f>
        <v>Congratulations: Poems and prose - Datki.net Skip to Content Head congratulations 📱 The birthday of the Kartinki -colorful -hungry -in -chief -in -thechlegepole of the Ugricular Ugricidanitic chief of the anniversarine -cheat -cheeseculchikurabenkuv prose and Diving of attention, the wishes of the good morning of the good morning thanks to the gratitude of the sleeping night, I, according to the tebsplimomanic samples in love -eerotic sms of embezzlement of the sample -sample events of thevadbagoda, weddings of the child -resettlement for Pennsthenstniki holidays by the holidays of January February February February February February nicknames Augustus holidays Martas holidays September by the holidays April with the holidays of October with holidays by the holidays by the holidays of June holidays by June holidays by December Audio 📞 Audios on Drischyvnikhnobychinezhinopoliacul Housing -ladder -Rouarginal -Memalguccalucca support 13.1111111 Radiation chemical and biological protection (RHBZ Day) congratulations on the Day of RHBZ 19 Distributions of a conscript Day 11.11 Tess -Russian Day of Design of the Designer Day16.11 Cultivale Day of Refusal of Smoking 11/17/11, international day of student development on the day of the student 11/17/11 of the district commissioners of police officers on the day of the district police officer 11/11/11 of the birth of the birthday of the grandfather's birthday of the grandfather’s birth on the holidays of the Equario -Yamarte -Bayuyuyuyuyuyuyuyuyakovgustasyakovnyavleskvyakovnyavleskhovnyavleskvyakovykh. Birth of Posepo Pozpo namedam -rod -rod -dimensional -mesh -rod -rhyme -rhyme -rhythinal -related projectiles with a delay in the delays in the murmur of people to congratulate the ⇳ ⇳ ⇳ ⇳ ⇳ ⇳ ⇳ ⇳ ⇳ ⇳ ⇳ ⇳ ⇳ ⇳ ⇳ ⇳ ⇳ ⇳ ⇳ ⇳ ⇳ ⇳ ⇳ ⇳ ⇳ ⇳ ⇳ ⇳ ⇳ ⇳ ⇳ ⇳ ⇳ ⇳ ⇳ ⇳ ⇳ ⇳ ⇳ ⇳ ⇳ ⇳ ⇳ ⇳ ⇳ ⇳ ⇳ ⇳ ⇳ssed aim. Rooseticreflappecrepesolisholovykovo -Kovyenitsynynibodededyubeedeskudyudeskudyukudyeskudestyusetvyutsovyatuyatyatyatyatykhrevyatykhrevyatyulykoprodyunsyuyaksurinuyurinuyurinuyuyurinuyuyurino -grader worker, a student of a classmate, a single -grader of a single -grader, a detector We have collected large collections of all kinds of congratulations for friend or girlfriend. Need wishes for familiar men or women? Your relatives will not be left without cool birthday congratulations. Click to show the entire list of ⇳. Offer wishes for the anniversary for close veasis, nicknamed -Genefine -eaten -egraugpapapapapapapapapapapapapapapamamemamamamamyazhozhozhozhneshoshozhozhneshobeshkuteskhoteskhoteshotable and funny wishes on the wedding congratulations of the pokers of nicknames of prime -resistant, beautifully poured, ridiculous funny -native grains Ansky -male -muzymized friends of friends of parents Mamyot Pipvyat to someone and from whom congratulations! ⇳zhenichudgububububububreguthotok of the bridegroom’s parents of the bridegroom of the bridegroom dad of bridegroom -rag -ugar -haired parents Bride -bride to my mother’s bridebes Daddy's anniversary of the wedding of you! In the pokery of prose, 1 year of 2 years 19 years 19 years 19 years2 years 230 years old 40 years of age for all cases: gratitude of apologies and wishes for gratitude for work for working for work for working for work for working Help Friends to parents teacher, colleagues of students' parents in prose, all words of gratitude apologies Successful appetite of the health of the happiness of the happiness of the goodness of the well -being of good rest wishes in prose all wishes to her daughter to his friend to his friend to a friend of attention and just funny words good morning Funny to a woman to a man to a man beloved girlfriend to a guy sooner ⇳ All in prose in poems to a beloved beloved recognition of love of a child and christening recognition of love ⇳ All in prose in verses are a short woman with the birth of a child Boy granddaughter Granddaughter with christening A man to his wife to her wife to a teacher teacher Erotic SMS ⇳ All in prose in poems to a guy a girl romantic SMS ⇳ All in prose in poems beloved cool wishes for a housewarming and when he entered a pension with a newswriter ⇳ All in poetry in prose, funny to a man, a colleague to a colleague to the head of congratulations in verses, I wish the sea and success of the ocean. Let the sun give your warm ray sincerely. I am pleased to let the smiles of the days of the beautiful series. The world is good and inspiration with you always go. Especially for Datki.net, the fire of the enthusiasm in the heart I want to wish you. And let it not be a minute to be sad to get bored. Life is to taste sincere so that there was delight. So that in happiness you meet a languid evening and sunrise. Especially for Datki.net, in prose, I wish that every day it begins with a smile and with the expectation of an incredible life episode, let it be for someone to wake up, let only attractive and joyful emotions await the constantly around the bend. Especially for Datki.net, on your birthday, I want to wish the spiritual harmony of determination and a reliable environment that will support you in any endeavors. Let life be full of rich and bright moments and let the achieved goals motivate new achievements! Especially for Datki.net Happy Day of your birth! Well, what do you wish that it does not sound banal and boring? I wish you to become a snowball. Be light gentle and beautiful; Test the whole white light to look at all countries and melt the lips of the most beautiful prince in the world. Let your heart be cold so that it could not break his misfortunes and difficulties. But let it melt from a delicate and loving touch. I wish you great love and great happiness! No suitable? Watch your birthday greetings. Popular Musical congratulations of your birth, your birth, Putin congratulates a happy birthday and a bright song for your birthday +dqo8is0tigvuzdogz3jhrpybzag93Y2FZSBTZW51ic0tpg == Happy birthday in poems in the prose of names. Figure beautiful musical pictures The anniversary of the word of gratitude with Good morning good night, compliments apologies for other reasons with the wedding with the anniversary of the wedding with the birth of a child with christening with a retirement with a newswriter of recognition of love romantic SMS erotic smsdatki.net in social. сетях:  PGRpdiBjbGFzcz0ieWEtc2l0ZS1mb3JtIHlhLXNpdGUtZm9ybV9pbml0ZWRfbm8iIGRhdGEtYmVtPSJ7JnF1b3Q7YWN0aW9uJnF1b3Q7OiZxdW90O2h0dHBzOi8veWFuZGV4LnJ1L3NlYXJjaC9zaXRlLyZxdW90OywmcXVvdDthcnJvdyZxdW90Ozp0cnVlLCZxdW90O2JnJnF1b3Q7OiZxdW90OyNmZmNjMDAmcXVvdDssJnF1b3Q7Zm9udHNpemUmcXVvdDs6MTIsJnF1b3Q7ZmcmcXVvdDs6JnF1b3Q7IzAwMDAwMCZxdW90OywmcXVvdDtsYW5ndWFnZSZxdW90OzomcXVvdDtydSZxdW90OywmcXVvdDtsb2dvJnF1b3Q7OiZxdW90O3JiJnF1b3Q7LCZxdW90O3B1YmxpY25hbWUmcXVvdDs6JnF1b3Q70J/QvtC40YHQuiDQv9C+INGB0LDQudGC0YMmcXVvdDssJnF1b3Q7c3VnZ2VzdCZxdW90Ozp0cnVlLCZxdW90O3RhcmdldCZxdW90OzomcXVvdDtfc2VsZiZxdW90OywmcXVvdDt0bGQmcXVvdDs6JnF1b3Q7cnUmcXVvdDssJnF1b3Q7dHlwZSZxdW90OzoyLCZxdW90O3VzZWJpZ2RpY3Rpb25hcnkmcXVvdDs6ZmFsc2UsJnF1b3Q7c2VhcmNoaWQmcXVvdDs6MjM0MTM2MiwmcXVvdDtpbnB1dF9mZyZxdW90OzomcXVvdDsjMDAwMDAwJnF1b3Q7LCZxdW90O2lucHV0X2JnJnF1b3Q7OiZxdW90OyNmZmZmZmYmcXVvdDssJnF1b3Q7aW5wdXRfZm9udFN0eWxlJnF1b3Q7OiZxdW90O25vcm1hbCZxdW90OywmcXVvdDtpbnB1dF9mb250V2VpZ2h0JnF1b3Q7OiZxdW90O25vcm1hbCZxdW90OywmcXVvdDtpbnB1dF9wbGFjZWhvbGRlciZxdW90OzomcXVvdDvQndCw0LnRgtC4INC/0L7Qt9C00YDQsNCy0LvQtdC90LjQtSZxdW90OywmcXVvdDtpbnB1dF9wbGFjZWhvbGRlckNvbG9yJnF1b3Q7OiZxdW90OyMwMDAwMDAmcXVvdDssJnF1b3Q7aW5wdXRfYm9yZGVyQ29sb3ImcXVvdDs6JnF1b3Q7I2ZmOGMwMCZxdW90O30iPjxmb3JtIGFjdGlvbj0iaHR0cHM6Ly95YW5kZXgucnUvc2VhcmNoL3NpdGUvIiBtZXRob2Q9ImdldCIgdGFyZ2V0PSJfc2VsZiIgYWNjZXB0LWNoYXJzZXQ9InV0Zi04Ij48aW5wdXQgdHlwZT0iaGlkZGVuIiBuYW1lPSJzZWFyY2hpZCIgdmFsdWU9IjIzNDEzNjIiLz48aW5wdXQgdHlwZT0iaGlkZGVuIiBuYW1lPSJsMTBuIiB2YWx1ZT0icnUiLz48aW5wdXQgdHlwZT0iaGlkZGVuIiBuYW1lPSJyZXFlbmMiIHZhbHVlPSIiLz48aW5wdXQgdHlwZT0ic2VhcmNoIiBuYW1lPSJ0ZXh0IiB2YWx1ZT0iIi8+PGlucHV0IHR5cGU9InN1Ym1pdCIgdmFsdWU9ItCd0LDQudGC0LgiLz48L2Zvcm0+PC9kaXY+PHN0eWxlIHR5cGU9InRleHQvY3NzIj4ueWEtcGFnZV9qc195ZXMgLnlhLXNpdGUtZm9ybV9pbml0ZWRfbm8geyBkaXNwbGF5OiBub25lOyB9PC9zdHlsZT48c2NyaXB0IHR5cGU9InRleHQvamF2YXNjcmlwdCI+KGZ1bmN0aW9uKHcsZCxjKXt2YXIgcz1kLmNyZWF0ZUVsZW1lbnQoJ3NjcmlwdCcpLGg9ZC5nZXRFbGVtZW50c0J5VGFnTmFtZSgnc2NyaXB0JylbMF0sZT1kLmRvY3VtZW50RWxlbWVudDtpZigoJyAnK2UuY2xhc3NOYW1lKycgJykuaW5kZXhPZignIHlhLXBhZ2VfanNfeWVzICcpPT09LTEpe2UuY2xhc3NOYW1lKz0nIHlhLXBhZ2VfanNfeWVzJzt9cy50eXBlPSd0ZXh0L2phdmFzY3JpcHQnO3MuYXN5bmM9dHJ1ZTtzLmNoYXJzZXQ9J3V0Zi04JztzLnNyYz0oZC5sb2NhdGlvbi5wcm90b2NvbD09PSdodHRwczonPydodHRwczonOidodHRwOicpKycvL3NpdGUueWFuZGV4Lm5ldC92Mi4wL2pzL2FsbC5qcyc7aC5wYXJlbnROb2RlLmluc2VydEJlZm9yZShzLGgpOyh3W2NdfHwod1tjXT1bXSkpLnB1c2goZnVuY3Rpb24oKXtZYS5TaXRlLkZvcm0uaW5pdCgpfSl9KSh3aW5kb3csZG9jdW1lbnQsJ3lhbmRleF9zaXRlX2NhbGxiYWNrcycpOzwvc2NyaXB0Pg0KPHNjcmlwdCBzcmM9Imh0dHBzOi8vY29kZS5qcXVlcnkuY29tL2pxdWVyeS0yLjIuMS5taW4uanMiPjwvc2NyaXB0Pg0KPHNjcmlwdCBzcmM9Imh0dHBzOi8vcy52b2ljZWNhcmRzLnJ1L2pzL2NhdGVnb3J5L21lZGlhZWxlbWVudC1hbmQtcGxheWVyLmpzIj48L3NjcmlwdD4NCjxzY3JpcHQgc3JjPSJodHRwczovL3Mudm9pY2VjYXJkcy5ydS9qcy9jYXRlZ29yeS9tYWluLmpzP2xhc3Q9MTIiPjwvc2NyaXB0Pg0KPHNjcmlwdD4kKGZ1bmN0aW9uKCkgeyB3aW5kb3cuZ2V0Q29udGV4dFdpZGdldCgkKCcjdmNfY29udGV4dF9jb250ZW50LmRuX2xhenlfbG9hZC0zJyksMjM2ODgsNDE3Mik7fSk7PC9zY3JpcHQ+DQo8ZGl2IGlkPSJ2Y19jb250ZXh0X2NvbnRlbnQiIGNsYXNzPSdkbl9sYXp5X2xvYWQtMyc+PC9kaXY+Скопировано!Стихи и проза. Musical and voice congratulations on the phone. Copying of materials is allowed only with an active reference to the site Datki.net © 2023 Policy Privacy Support FACAQ Project -Documentary recipe for the holiday of us</v>
      </c>
    </row>
    <row r="814">
      <c r="A814" s="1" t="s">
        <v>2654</v>
      </c>
      <c r="B814" s="1" t="s">
        <v>2680</v>
      </c>
      <c r="D814" s="1">
        <v>7.0</v>
      </c>
      <c r="E814" s="4" t="s">
        <v>2681</v>
      </c>
      <c r="F814" s="1" t="s">
        <v>43</v>
      </c>
      <c r="I814" s="2">
        <v>1.0</v>
      </c>
      <c r="J814" s="5" t="str">
        <f>IFERROR(__xludf.DUMMYFUNCTION("GOOGLETRANSLATE(A814)"),"Happy birthday")</f>
        <v>Happy birthday</v>
      </c>
      <c r="K814" s="6" t="str">
        <f>IFERROR(__xludf.DUMMYFUNCTION("GOOGLETRANSLATE(B814)"),"Happy birthday greetings in prose, verses and ...")</f>
        <v>Happy birthday greetings in prose, verses and ...</v>
      </c>
      <c r="L814" s="5" t="str">
        <f>IFERROR(__xludf.DUMMYFUNCTION("GOOGLETRANSLATE(C814)"),"#VALUE!")</f>
        <v>#VALUE!</v>
      </c>
      <c r="M814" s="5" t="str">
        <f>IFERROR(__xludf.DUMMYFUNCTION("GOOGLETRANSLATE(G814)"),"#VALUE!")</f>
        <v>#VALUE!</v>
      </c>
    </row>
    <row r="815">
      <c r="A815" s="1" t="s">
        <v>2654</v>
      </c>
      <c r="B815" s="1" t="s">
        <v>2682</v>
      </c>
      <c r="D815" s="1">
        <v>8.0</v>
      </c>
      <c r="E815" s="4" t="s">
        <v>2683</v>
      </c>
      <c r="F815" s="1" t="s">
        <v>43</v>
      </c>
      <c r="G815" s="1" t="s">
        <v>588</v>
      </c>
      <c r="H815" s="4" t="s">
        <v>589</v>
      </c>
      <c r="I815" s="2">
        <v>1.0</v>
      </c>
      <c r="J815" s="5" t="str">
        <f>IFERROR(__xludf.DUMMYFUNCTION("GOOGLETRANSLATE(A815)"),"Happy birthday")</f>
        <v>Happy birthday</v>
      </c>
      <c r="K815" s="6" t="str">
        <f>IFERROR(__xludf.DUMMYFUNCTION("GOOGLETRANSLATE(B815)"),"Ideas on the topic ""Happy Birthday"" (560) in 2023")</f>
        <v>Ideas on the topic "Happy Birthday" (560) in 2023</v>
      </c>
      <c r="L815" s="5" t="str">
        <f>IFERROR(__xludf.DUMMYFUNCTION("GOOGLETRANSLATE(C815)"),"#VALUE!")</f>
        <v>#VALUE!</v>
      </c>
      <c r="M815" s="5" t="str">
        <f>IFERROR(__xludf.DUMMYFUNCTION("GOOGLETRANSLATE(G815)"),"Pinterest – ПинтерестOh no! Pinterest doesn't work unless you turn on JavaScript.")</f>
        <v>Pinterest – ПинтерестOh no! Pinterest doesn't work unless you turn on JavaScript.</v>
      </c>
    </row>
    <row r="816">
      <c r="A816" s="1" t="s">
        <v>2654</v>
      </c>
      <c r="B816" s="1" t="s">
        <v>2684</v>
      </c>
      <c r="D816" s="1">
        <v>9.0</v>
      </c>
      <c r="E816" s="4" t="s">
        <v>2685</v>
      </c>
      <c r="F816" s="1" t="s">
        <v>43</v>
      </c>
      <c r="G816" s="1" t="s">
        <v>2686</v>
      </c>
      <c r="H816" s="4" t="s">
        <v>2687</v>
      </c>
      <c r="I816" s="2">
        <v>2.0</v>
      </c>
      <c r="J816" s="5" t="str">
        <f>IFERROR(__xludf.DUMMYFUNCTION("GOOGLETRANSLATE(A816)"),"Happy birthday")</f>
        <v>Happy birthday</v>
      </c>
      <c r="K816" s="6" t="str">
        <f>IFERROR(__xludf.DUMMYFUNCTION("GOOGLETRANSLATE(B816)"),"Happy Birthday")</f>
        <v>Happy Birthday</v>
      </c>
      <c r="L816" s="5" t="str">
        <f>IFERROR(__xludf.DUMMYFUNCTION("GOOGLETRANSLATE(C816)"),"#VALUE!")</f>
        <v>#VALUE!</v>
      </c>
      <c r="M816" s="5" t="str">
        <f>IFERROR(__xludf.DUMMYFUNCTION("GOOGLETRANSLATE(G816)"),"������������ � ���� �������� ������������ �� ������ ������������ �� �������. ��� ����� ����� � �������������������� � ���� �������� �� ������� ��������!�������������������������������������������������Ҹ�����������������������������������������������������"&amp;"�������������������������������� � ������Ҹ�������������������������������������������������� ������� ����������� ����������������������������������� ������ ������������������ ������������������ ������������� �� ������������� �� ���������������������������"&amp;"������������������ ����� ��������� ����������� �������� ������������������������������������������ ������ ������������ ��������� ����������� �������������� �������� ����������� ������������������� ��������� ����������� ��������������� ����������� ������� "&amp;"���������� ��������� ��������� ���������������������������� �� ������������������������������������������������������������������������������������������������������� ����� ���������� ����� ������������������� � �������30 ���45 ���50 ���55 ���60 ���70 ���"&amp;"75 ���80 ������������������� �� ��������� ���������������� ������������������������� ����������������������������������������� ������������� ����������������� ����������� ����������� ���� ���������� �������� ���������������������������������������������� "&amp;"�������� ��������� �������������� ���� ���������� �� �������!	���������10 ������ (���������) ���� ���������� ������� ���������� ��� �� (������ ���� �������)������������ ������������11 ������ (�����) ���� ������ �������� � ������ ������� �����12 ������ (��"&amp;"�����) ���� ����������� �� ������������������������ � ���� �������� ����������� �� ������������13 ������ (������) ���� ����� ������������ ���������� � ������������� ������ ������������ ������� ��14 ������ (�����������) ��������� ���� ������ � ��������15 �"&amp;"����� (����� 3 ���) ������������� ���� ����������17 ������ (����� 5 ����) ���� ���������� �������������� ������� (���� �����������)19 ������ (����� 7 ����) ���� �������� ����� � ����������19 ������ (����� 7 ����) ������������� ������� ���������������� �� "&amp;"������������� ���� ������21 ������ (����� 9 ����) ���� ��������� ��������� ������������������� � ���� ���������21 ������ (����� 9 ����) ���� ���������� � ������������������ ���������� � ���� ����������21 ������ (����� 9 ����) ��������� ���� ��������������"&amp;"��������� � ���� �����������22 ������ (����� 10 ����) ���� ���������24 ������ (����� 12 ����) ���� �����26 ������ (����� 14 ����) ���� ������ ������ (���� �������)������������ � ���� ������������������ �� ���� ������26 ������ (����� 14 ����) ��������� ���"&amp;"� ����������27 ������ (����� 15 ����) ���� ������� ������27 ������ (����� 15 ����) ���� �������������������� �� ���� ��������27 ������ (����� 15 ����) ���� ���������� (������������ ���������)������������ �� ���� ����������30 ������ (����� 18 ����) �������"&amp;"������ ���� ������ ����������30 ������ (����� 18 ����) ��������� ���� �������� ��������1 ������� (����� 19 ����) ���� ������ ������� ������� ��� �������� �������� � ���� ����� (1853 ���)1 ������� (����� 19 ����) ������������� ���� ������1 ������� (����� 1"&amp;"9 ����) ��������� ���� ������ �� ������1 ������� (����� 19 ����) ������ ���� ���������������� � ������ ���� ����2 ������� (����� 20 ����) ���� ����������� ��������� ������������������ � ���� ����������� ���������3 ������� (����� 21 ����) ���� ������������"&amp;"���� ������������ ������ �� ���� ������3 ������� (����� 21 ����) ���� �������� � ������3 ������� (����� 21 ����) ���� ������������ �������4 ������� (����� 22 ���) ���� ����������������������� � ���� �����������4 ������� (����� 22 ���) �������� �� ���� ���"&amp;"������ ����������5 ������� (����� 23 ���) ���� ������ ���������������� ��������� ����� ������ �������-���������� ����� � ����� ��� ������� (1941 ���)8 ������� (����� 26 ����) ���� ����������� ����������� ������������8 ������� (����� 26 ����) �������������"&amp;" ���� ���������9 ������� (����� 27 ����) ���� ������ ��������������������� � ���� ������ ���������10 ������� (����� 28 ����) ��������� ���� ������������������� � ���� �������10 ������� (����� 28 ����) ���� �������� ������ ����� ��� ������������������ � ��"&amp;"�� ����������� ������ �����10 ������� (����� 28 ����) ������������������ �� ������10 ������� (����� 28 ����) ���� ���� �������������������� � ���� ���� ������������� ������������������� �� ���� �������� ������ 45 ��������������� �� ���� �������� ������ 40"&amp;" ��������������� �� ���� �������� ���� 45 ��������������� �� ���� �������� ���� 40 ��������������� � ������������ �� ����������������� � ����� ����� 2023������������ � ����� ����� ����������������� � ����� ����� 2022������������ � ������������������������"&amp;"��� � ���� ����������� � ����������� �������������� ������������� ���� �������� �����!!!�� ����� ������ ���������� � ���� ������������� ����������� ������ ����� ��������� ����� ���������� � ����� ��� ����������� �� �������� ������� �� ��������� ����.�����"&amp;"�� ���� �������� ����� ����� ������� ������� � ������ �������� ���� ������� �� ����� ������ ������������ ������ ��� ����� � ����� � ����.������ �� 45 ���� ���� �������� �����!!!� ���� �������� ���� �������� ������������� ���� �������� ����������� ������ �"&amp;"����� �������� �������� ���������� ����� � ���� �����.�� ����� �������� ������������������ �� ����� ��� ��� ����� ���������� ������ ����� � ����� ��������� ����� ����� ���� �������� ���� �����.������ �� 45 ���� ���� �������� �����!!!��� ������� � ������� "&amp;"���������� ���������� � ���� �������� ��������� ���� ���� ���������� ����� �������������� ���� ������ ����� ����.����� ����� ���� ���� ��� �� ������������ � ���� � ������ ��������� ���� �� ����� �� �� ��� �� ������� ���� ������� � ����� �� �������.������ "&amp;"�� 45 ���� ���� �������� �����!!!�� ����� ������ ���������� � ���� ������������ ����������� ������� ����� ��������� ����� ���������� � ����� ��� ����������� �� ��� ������ ���� � ����� �������.�� ���� ���������� ����� ����� � ���� ����� �������� ���� �����"&amp;" ������� ���������� ����� ������ ��� �� ����� ������������� ����� � ����� ��� ����� �����.������ �� 45 ���� ���� �������� �����!!!���� ����������� ������� ����� ����� ���������� � ���� �������� ���� ���������� ����� � ������ ������� ����������� ����� ����"&amp;" ����� ����� �������� �� ��������.����� �������� ���� ������ � �������������� ���� � ���� ������� �� �������������� �� ������� ������ �� ����� ����������� ��������� ���� ������ � ����.������ �� 45 ���� ���� �������� �����!!!����� ���� ���� ����������� ���"&amp;"�������������� � ���� �������� ��������� ����� ��� ����� � ���� ���� ��������� ������ ������ �������� ����.� ���� ����� ����� ���� ������������������ ������ �������� ������������������ ����� ������ � �������������� �� ������ �� ����� ������.������ �� 45 �"&amp;"��� ���� �������� �����!!!����������� ������� ����� ����� ���� �������� ���� � ����������� ���� ���� � ����� ����������� ���� ���� �� �������� �������.�� ������ ����� ����� �� ���� ����� �� ������� ������ ��� ���������� �������� �� ��� �� ��������� ������"&amp;"��� ������ � ����� ������ ����� �����.������ �� 45 ���� ���� �������� ���!!!����� ������� ������������ ��� ��������� ������� ��� �������� ������������ ������ ������ ����� ��� ����� �������� ������ ������� ��� ������ ��� ���� ����.���� ������� ���������� �"&amp;" ���� ������������ ����������� ������� ����� ��������� ���� ������� ����� ����������� ����� ������ ������ ����� ����� ����.���� �� 40 ���� ���� �������� ���!!!� ���������� � ���� �������� ���� ������� ����� ���� ���������� � ����� ��������� ����� ������ �"&amp;" ����� ��� ������� ������� � ����� ���� � ������ � � �������.����� �������� �������� ���� �������� ������ �� �������� ��������� ��� ���� ����������� ������������ ����� ������ �������� ����.���� �� 40 ���� ���� �������� ���!!!�� ����� ������ ���������� � �"&amp;"��� ������������ ����������� ������� ����� �������� ����� ������ �� ������ ������������ ����� ������ ������ ����� ����� ����.����� ����� ��������� ���� �������� ���� ������������ ���� ������� ����������� ����� ����� ������ � ��� ���������� ��������� � ���"&amp;"�� ���� ������ ����.���� �� 40 ����� ���� �������������� ��������� ������ � ������� ����������� ����������������� �������������� � ������������� ���������������������� ����� � ��� �������������������������������������������������������� ��������� 10.11���"&amp;"��������� ������������12.11������������ � ���� �������� ����������� �� ������������19.11������������ �� ������������� ���� ������21.11������������ � ���� ���������21.11������������ ���������� � ���� ����������21.11������������ � ���� �����������������  12"&amp;"3456789101112131415161718192021222324252627282930   ← ������� | ������� →������ ������� ���� ������ ��� ���� ���� ������ �������� ������� ������ 			��������� 2023��� �������� �� ��������?					© ���������� ������: ""������������ � ���� �������� �����������"&amp;"� �� ������ ������������ �� �������. ��� ����� ����� � ��������""					��������� ���������! ��� ������������� ���������� �������� ������ �� ���� �����������! ���������� ������������ �� ������ ������������ �� �����������.����� �����")</f>
        <v>������������ � ���� �������� ������������ �� ������ ������������ �� �������. ��� ����� ����� � �������������������� � ���� �������� �� ������� ��������!�������������������������������������������������Ҹ������������������������������������������������������������������������������������� � ������Ҹ�������������������������������������������������� ������� ����������� ����������������������������������� ������ ������������������ ������������������ ������������� �� ������������� �� ��������������������������������������������� ����� ��������� ����������� �������� ������������������������������������������ ������ ������������ ��������� ����������� �������������� �������� ����������� ������������������� ��������� ����������� ��������������� ����������� ������� ���������� ��������� ��������� ���������������������������� �� ������������������������������������������������������������������������������������������������������� ����� ���������� ����� ������������������� � �������30 ���45 ���50 ���55 ���60 ���70 ���75 ���80 ������������������� �� ��������� ���������������� ������������������������� ����������������������������������������� ������������� ����������������� ����������� ����������� ���� ���������� �������� ���������������������������������������������� �������� ��������� �������������� ���� ���������� �� �������!	���������10 ������ (���������) ���� ���������� ������� ���������� ��� �� (������ ���� �������)������������ ������������11 ������ (�����) ���� ������ �������� � ������ ������� �����12 ������ (�������) ���� ����������� �� ������������������������ � ���� �������� ����������� �� ������������13 ������ (������) ���� ����� ������������ ���������� � ������������� ������ ������������ ������� ��14 ������ (�����������) ��������� ���� ������ � ��������15 ������ (����� 3 ���) ������������� ���� ����������17 ������ (����� 5 ����) ���� ���������� �������������� ������� (���� �����������)19 ������ (����� 7 ����) ���� �������� ����� � ����������19 ������ (����� 7 ����) ������������� ������� ���������������� �� ������������� ���� ������21 ������ (����� 9 ����) ���� ��������� ��������� ������������������� � ���� ���������21 ������ (����� 9 ����) ���� ���������� � ������������������ ���������� � ���� ����������21 ������ (����� 9 ����) ��������� ���� ����������������������� � ���� �����������22 ������ (����� 10 ����) ���� ���������24 ������ (����� 12 ����) ���� �����26 ������ (����� 14 ����) ���� ������ ������ (���� �������)������������ � ���� ������������������ �� ���� ������26 ������ (����� 14 ����) ��������� ���� ����������27 ������ (����� 15 ����) ���� ������� ������27 ������ (����� 15 ����) ���� �������������������� �� ���� ��������27 ������ (����� 15 ����) ���� ���������� (������������ ���������)������������ �� ���� ����������30 ������ (����� 18 ����) ������������� ���� ������ ����������30 ������ (����� 18 ����) ��������� ���� �������� ��������1 ������� (����� 19 ����) ���� ������ ������� ������� ��� �������� �������� � ���� ����� (1853 ���)1 ������� (����� 19 ����) ������������� ���� ������1 ������� (����� 19 ����) ��������� ���� ������ �� ������1 ������� (����� 19 ����) ������ ���� ���������������� � ������ ���� ����2 ������� (����� 20 ����) ���� ����������� ��������� ������������������ � ���� ����������� ���������3 ������� (����� 21 ����) ���� ���������������� ������������ ������ �� ���� ������3 ������� (����� 21 ����) ���� �������� � ������3 ������� (����� 21 ����) ���� ������������ �������4 ������� (����� 22 ���) ���� ����������������������� � ���� �����������4 ������� (����� 22 ���) �������� �� ���� ��������� ����������5 ������� (����� 23 ���) ���� ������ ���������������� ��������� ����� ������ �������-���������� ����� � ����� ��� ������� (1941 ���)8 ������� (����� 26 ����) ���� ����������� ����������� ������������8 ������� (����� 26 ����) ������������� ���� ���������9 ������� (����� 27 ����) ���� ������ ��������������������� � ���� ������ ���������10 ������� (����� 28 ����) ��������� ���� ������������������� � ���� �������10 ������� (����� 28 ����) ���� �������� ������ ����� ��� ������������������ � ���� ����������� ������ �����10 ������� (����� 28 ����) ������������������ �� ������10 ������� (����� 28 ����) ���� ���� �������������������� � ���� ���� ������������� ������������������� �� ���� �������� ������ 45 ��������������� �� ���� �������� ������ 40 ��������������� �� ���� �������� ���� 45 ��������������� �� ���� �������� ���� 40 ��������������� � ������������ �� ����������������� � ����� ����� 2023������������ � ����� ����� ����������������� � ����� ����� 2022������������ � ��������������������������� � ���� ����������� � ����������� �������������� ������������� ���� �������� �����!!!�� ����� ������ ���������� � ���� ������������� ����������� ������ ����� ��������� ����� ���������� � ����� ��� ����������� �� �������� ������� �� ��������� ����.������� ���� �������� ����� ����� ������� ������� � ������ �������� ���� ������� �� ����� ������ ������������ ������ ��� ����� � ����� � ����.������ �� 45 ���� ���� �������� �����!!!� ���� �������� ���� �������� ������������� ���� �������� ����������� ������ ������ �������� �������� ���������� ����� � ���� �����.�� ����� �������� ������������������ �� ����� ��� ��� ����� ���������� ������ ����� � ����� ��������� ����� ����� ���� �������� ���� �����.������ �� 45 ���� ���� �������� �����!!!��� ������� � ������� ���������� ���������� � ���� �������� ��������� ���� ���� ���������� ����� �������������� ���� ������ ����� ����.����� ����� ���� ���� ��� �� ������������ � ���� � ������ ��������� ���� �� ����� �� �� ��� �� ������� ���� ������� � ����� �� �������.������ �� 45 ���� ���� �������� �����!!!�� ����� ������ ���������� � ���� ������������ ����������� ������� ����� ��������� ����� ���������� � ����� ��� ����������� �� ��� ������ ���� � ����� �������.�� ���� ���������� ����� ����� � ���� ����� �������� ���� ����� ������� ���������� ����� ������ ��� �� ����� ������������� ����� � ����� ��� ����� �����.������ �� 45 ���� ���� �������� �����!!!���� ����������� ������� ����� ����� ���������� � ���� �������� ���� ���������� ����� � ������ ������� ����������� ����� ���� ����� ����� �������� �� ��������.����� �������� ���� ������ � �������������� ���� � ���� ������� �� �������������� �� ������� ������ �� ����� ����������� ��������� ���� ������ � ����.������ �� 45 ���� ���� �������� �����!!!����� ���� ���� ����������� ����������������� � ���� �������� ��������� ����� ��� ����� � ���� ���� ��������� ������ ������ �������� ����.� ���� ����� ����� ���� ������������������ ������ �������� ������������������ ����� ������ � �������������� �� ������ �� ����� ������.������ �� 45 ���� ���� �������� �����!!!����������� ������� ����� ����� ���� �������� ���� � ����������� ���� ���� � ����� ����������� ���� ���� �� �������� �������.�� ������ ����� ����� �� ���� ����� �� ������� ������ ��� ���������� �������� �� ��� �� ��������� ��������� ������ � ����� ������ ����� �����.������ �� 45 ���� ���� �������� ���!!!����� ������� ������������ ��� ��������� ������� ��� �������� ������������ ������ ������ ����� ��� ����� �������� ������ ������� ��� ������ ��� ���� ����.���� ������� ���������� � ���� ������������ ����������� ������� ����� ��������� ���� ������� ����� ����������� ����� ������ ������ ����� ����� ����.���� �� 40 ���� ���� �������� ���!!!� ���������� � ���� �������� ���� ������� ����� ���� ���������� � ����� ��������� ����� ������ � ����� ��� ������� ������� � ����� ���� � ������ � � �������.����� �������� �������� ���� �������� ������ �� �������� ��������� ��� ���� ����������� ������������ ����� ������ �������� ����.���� �� 40 ���� ���� �������� ���!!!�� ����� ������ ���������� � ���� ������������ ����������� ������� ����� �������� ����� ������ �� ������ ������������ ����� ������ ������ ����� ����� ����.����� ����� ��������� ���� �������� ���� ������������ ���� ������� ����������� ����� ����� ������ � ��� ���������� ��������� � ����� ���� ������ ����.���� �� 40 ����� ���� �������������� ��������� ������ � ������� ����������� ����������������� �������������� � ������������� ���������������������� ����� � ��� �������������������������������������������������������� ��������� 10.11������������ ������������12.11������������ � ���� �������� ����������� �� ������������19.11������������ �� ������������� ���� ������21.11������������ � ���� ���������21.11������������ ���������� � ���� ����������21.11������������ � ���� �����������������  123456789101112131415161718192021222324252627282930   ← ������� | ������� →������ ������� ���� ������ ��� ���� ���� ������ �������� ������� ������ 			��������� 2023��� �������� �� ��������?					© ���������� ������: "������������ � ���� �������� ������������ �� ������ ������������ �� �������. ��� ����� ����� � ��������"					��������� ���������! ��� ������������� ���������� �������� ������ �� ���� �����������! ���������� ������������ �� ������ ������������ �� �����������.����� �����</v>
      </c>
    </row>
    <row r="817">
      <c r="A817" s="1" t="s">
        <v>2654</v>
      </c>
      <c r="B817" s="1" t="s">
        <v>2688</v>
      </c>
      <c r="D817" s="1">
        <v>10.0</v>
      </c>
      <c r="E817" s="4" t="s">
        <v>2689</v>
      </c>
      <c r="F817" s="1" t="s">
        <v>43</v>
      </c>
      <c r="G817" s="1" t="s">
        <v>588</v>
      </c>
      <c r="H817" s="4" t="s">
        <v>589</v>
      </c>
      <c r="I817" s="2">
        <v>1.0</v>
      </c>
      <c r="J817" s="5" t="str">
        <f>IFERROR(__xludf.DUMMYFUNCTION("GOOGLETRANSLATE(A817)"),"Happy birthday")</f>
        <v>Happy birthday</v>
      </c>
      <c r="K817" s="6" t="str">
        <f>IFERROR(__xludf.DUMMYFUNCTION("GOOGLETRANSLATE(B817)"),"Happy birthday | Family days ...")</f>
        <v>Happy birthday | Family days ...</v>
      </c>
      <c r="L817" s="5" t="str">
        <f>IFERROR(__xludf.DUMMYFUNCTION("GOOGLETRANSLATE(C817)"),"#VALUE!")</f>
        <v>#VALUE!</v>
      </c>
      <c r="M817" s="5" t="str">
        <f>IFERROR(__xludf.DUMMYFUNCTION("GOOGLETRANSLATE(G817)"),"Pinterest – ПинтерестOh no! Pinterest doesn't work unless you turn on JavaScript.")</f>
        <v>Pinterest – ПинтерестOh no! Pinterest doesn't work unless you turn on JavaScript.</v>
      </c>
    </row>
    <row r="818">
      <c r="A818" s="1" t="s">
        <v>2654</v>
      </c>
      <c r="B818" s="1" t="s">
        <v>2690</v>
      </c>
      <c r="D818" s="1">
        <v>11.0</v>
      </c>
      <c r="E818" s="4" t="s">
        <v>2691</v>
      </c>
      <c r="F818" s="1" t="s">
        <v>43</v>
      </c>
      <c r="G818" s="1" t="s">
        <v>336</v>
      </c>
      <c r="H818" s="4" t="s">
        <v>2692</v>
      </c>
      <c r="I818" s="2">
        <v>2.0</v>
      </c>
      <c r="J818" s="5" t="str">
        <f>IFERROR(__xludf.DUMMYFUNCTION("GOOGLETRANSLATE(A818)"),"Happy birthday")</f>
        <v>Happy birthday</v>
      </c>
      <c r="K818" s="6" t="str">
        <f>IFERROR(__xludf.DUMMYFUNCTION("GOOGLETRANSLATE(B818)"),"Congratulations and wishes on your birthday ...")</f>
        <v>Congratulations and wishes on your birthday ...</v>
      </c>
      <c r="L818" s="5" t="str">
        <f>IFERROR(__xludf.DUMMYFUNCTION("GOOGLETRANSLATE(C818)"),"#VALUE!")</f>
        <v>#VALUE!</v>
      </c>
      <c r="M818" s="5" t="str">
        <f>IFERROR(__xludf.DUMMYFUNCTION("GOOGLETRANSLATE(G818)"),"Oh!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819">
      <c r="A819" s="1" t="s">
        <v>2654</v>
      </c>
      <c r="B819" s="1" t="s">
        <v>2693</v>
      </c>
      <c r="C819" s="1" t="s">
        <v>2694</v>
      </c>
      <c r="D819" s="1">
        <v>12.0</v>
      </c>
      <c r="E819" s="4" t="s">
        <v>2695</v>
      </c>
      <c r="F819" s="1" t="s">
        <v>43</v>
      </c>
      <c r="G819" s="1" t="s">
        <v>38</v>
      </c>
      <c r="H819" s="4" t="s">
        <v>39</v>
      </c>
      <c r="I819" s="2">
        <v>1.0</v>
      </c>
      <c r="J819" s="5" t="str">
        <f>IFERROR(__xludf.DUMMYFUNCTION("GOOGLETRANSLATE(A819)"),"Happy birthday")</f>
        <v>Happy birthday</v>
      </c>
      <c r="K819" s="6" t="str">
        <f>IFERROR(__xludf.DUMMYFUNCTION("GOOGLETRANSLATE(B819)"),"Luxurious birthday greetings!")</f>
        <v>Luxurious birthday greetings!</v>
      </c>
      <c r="L819" s="5" t="str">
        <f>IFERROR(__xludf.DUMMYFUNCTION("GOOGLETRANSLATE(C819)"),"June 24 2023. -")</f>
        <v>June 24 2023. -</v>
      </c>
      <c r="M819" s="5" t="str">
        <f>IFERROR(__xludf.DUMMYFUNCTION("GOOGLETRANSLATE(G819)"),"YouTubeAboutPressCopyrightContact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820">
      <c r="A820" s="1" t="s">
        <v>2654</v>
      </c>
      <c r="B820" s="1" t="s">
        <v>2696</v>
      </c>
      <c r="C820" s="1" t="s">
        <v>2697</v>
      </c>
      <c r="D820" s="1">
        <v>13.0</v>
      </c>
      <c r="E820" s="4" t="s">
        <v>2698</v>
      </c>
      <c r="F820" s="1" t="s">
        <v>43</v>
      </c>
      <c r="G820" s="1" t="s">
        <v>2699</v>
      </c>
      <c r="H820" s="4" t="s">
        <v>2700</v>
      </c>
      <c r="I820" s="2">
        <v>1.0</v>
      </c>
      <c r="J820" s="5" t="str">
        <f>IFERROR(__xludf.DUMMYFUNCTION("GOOGLETRANSLATE(A820)"),"Happy birthday")</f>
        <v>Happy birthday</v>
      </c>
      <c r="K820" s="6" t="str">
        <f>IFERROR(__xludf.DUMMYFUNCTION("GOOGLETRANSLATE(B820)"),"Happy birthday greetings in prose")</f>
        <v>Happy birthday greetings in prose</v>
      </c>
      <c r="L820" s="5" t="str">
        <f>IFERROR(__xludf.DUMMYFUNCTION("GOOGLETRANSLATE(C820)"),"Happy birthday! Let happiness smile at you so that you are always happy, loved, healthy, beautiful, fulfilling! And all your desires always come true!")</f>
        <v>Happy birthday! Let happiness smile at you so that you are always happy, loved, healthy, beautiful, fulfilling! And all your desires always come true!</v>
      </c>
      <c r="M820" s="5" t="str">
        <f>IFERROR(__xludf.DUMMYFUNCTION("GOOGLETRANSLATE(G820)"),"Greetings site. Congratulations on the birthday and holy munzori - Moonzoriskip to contentz the birthday of the birthday of the mudzhchydrugumamitamitamitamitamitamitamitamitamitam Birthday Eovonging Our Short Birthday Congress Officer Birthdays will help"&amp;" you inspire and pick up the necessary Words to… 1 min read05.11.2023Trendingrecommendedz Gill Birthday on Birthday1 min Read05.06.2023 Ways Happy Birthday Men Amazing on Birthday in Prose1 min Read05.06.2023 p. Women happy birthday greetings Birth Sister"&amp;": 💐 Pictures of prose verse1 min Read27.09.2023 For birthday greeted birthday greetings Z🎉modzh1 min read05.11.2023 Ways on birthday birthday to Escape Birthday Sister Pictures1 MIN Read20.09.2023 Wors with birthday to the birthday of the woman💐1 min R"&amp;"ead08.09.2023 Greetings on the birthday and the holy birthdays on the birthday of the Greetings on the birthday of the sister: 💐 Pictures of prose verse - one of the most native people in life. The Moonzori team has prepared a series of poetic and prose "&amp;"greetings for the sister among whom… 1 min Read27.09.2023. Moonzori is eager to share with you wonderful greetings for the holiday ... 1 min Read20.09.2023 Women Happy Birthday to Woman Music Video Video Video for Women Woman - a source of the warmest fee"&amp;"lings of support and love. Women play an important role in the family of society ... 1 min Read08.09.2023 Women on their birthday men with birthdays and grandparents' Video leading in every family older generation deserves respect and warm attitude. Throu"&amp;"ghout their lives, they gained invaluable experience and wisdom… 1 min Read07.09.2023 Women Happy Birthday Greetings Mammus greetings for mom mom - the biggest gift in our lives. She always gives her tenderness love and wisdom… .1 min Read25.08.2023. But "&amp;"despite the full -scale war that lasts for the second year in… 1 min Read21.08.2023Somthing Went Wrong with Loading More Posts about Moonzoripolitics")</f>
        <v>Greetings site. Congratulations on the birthday and holy munzori - Moonzoriskip to contentz the birthday of the birthday of the mudzhchydrugumamitamitamitamitamitamitamitamitamitam Birthday Eovonging Our Short Birthday Congress Officer Birthdays will help you inspire and pick up the necessary Words to… 1 min read05.11.2023Trendingrecommendedz Gill Birthday on Birthday1 min Read05.06.2023 Ways Happy Birthday Men Amazing on Birthday in Prose1 min Read05.06.2023 p. Women happy birthday greetings Birth Sister: 💐 Pictures of prose verse1 min Read27.09.2023 For birthday greeted birthday greetings Z🎉modzh1 min read05.11.2023 Ways on birthday birthday to Escape Birthday Sister Pictures1 MIN Read20.09.2023 Wors with birthday to the birthday of the woman💐1 min Read08.09.2023 Greetings on the birthday and the holy birthdays on the birthday of the Greetings on the birthday of the sister: 💐 Pictures of prose verse - one of the most native people in life. The Moonzori team has prepared a series of poetic and prose greetings for the sister among whom… 1 min Read27.09.2023. Moonzori is eager to share with you wonderful greetings for the holiday ... 1 min Read20.09.2023 Women Happy Birthday to Woman Music Video Video Video for Women Woman - a source of the warmest feelings of support and love. Women play an important role in the family of society ... 1 min Read08.09.2023 Women on their birthday men with birthdays and grandparents' Video leading in every family older generation deserves respect and warm attitude. Throughout their lives, they gained invaluable experience and wisdom… 1 min Read07.09.2023 Women Happy Birthday Greetings Mammus greetings for mom mom - the biggest gift in our lives. She always gives her tenderness love and wisdom… .1 min Read25.08.2023. But despite the full -scale war that lasts for the second year in… 1 min Read21.08.2023Somthing Went Wrong with Loading More Posts about Moonzoripolitics</v>
      </c>
    </row>
    <row r="821">
      <c r="A821" s="1" t="s">
        <v>2654</v>
      </c>
      <c r="B821" s="1" t="s">
        <v>2701</v>
      </c>
      <c r="C821" s="1" t="s">
        <v>745</v>
      </c>
      <c r="D821" s="1">
        <v>14.0</v>
      </c>
      <c r="E821" s="4" t="s">
        <v>2702</v>
      </c>
      <c r="F821" s="1" t="s">
        <v>43</v>
      </c>
      <c r="G821" s="1" t="s">
        <v>2703</v>
      </c>
      <c r="H821" s="4" t="s">
        <v>2704</v>
      </c>
      <c r="I821" s="2">
        <v>2.0</v>
      </c>
      <c r="J821" s="5" t="str">
        <f>IFERROR(__xludf.DUMMYFUNCTION("GOOGLETRANSLATE(A821)"),"Happy birthday")</f>
        <v>Happy birthday</v>
      </c>
      <c r="K821" s="6" t="str">
        <f>IFERROR(__xludf.DUMMYFUNCTION("GOOGLETRANSLATE(B821)"),"Happy Birthday at Genshin Impact: How to Start and Find ...")</f>
        <v>Happy Birthday at Genshin Impact: How to Start and Find ...</v>
      </c>
      <c r="L821" s="5" t="str">
        <f>IFERROR(__xludf.DUMMYFUNCTION("GOOGLETRANSLATE(C821)"),"2 days ago -")</f>
        <v>2 days ago -</v>
      </c>
      <c r="M821" s="5" t="str">
        <f>IFERROR(__xludf.DUMMYFUNCTION("GOOGLETRANSLATE(G821)"),"Wotpack.ru-Games News Genshin Impact News News Honkai: Star Railegrygenshin Impacthonkai: Star Railbaldur's Gate 3Counter-STRIKE 2MARVELS Spider-Man 2cyBERPUNK 2077DIABLO 4atom IC Hearthogwarts Legatic Tank (Wot) RobloxGod of Warculum of the Game of Inter"&amp;"esting Foreign Assistance and Sdicaeanima No Result View All Result News of Genshin News Honkai Impact Council: Star Railegenshin Impacthonkai: Star Railbaldur's Gate 3Counter-STRIKE 2MARELS SPIDER-Man 2CYBERPUNK 4ATOMIC HeARTHOGOGOGWARTHOGOGOGENTS LEGAGE"&amp;"MIMI TANCES (W. OT) RobLoxGod of Warculum of the romantics of the game of interests and serial minimum no Result View All Result No Result View GenShin Impact for Flowers Light Bell. In Genshin Impact: how to get an achievement 11.11.2023genshin impact, w"&amp;"ith water intelligence crystals in the Erinius Forest in Genshin Impact: how to solve 11.11.2023genshin impact for the Genshin impact: elevations and talents 11.11.2023genshin Im Pact Square Teleports in the Erinius forest in Genshin Impact: How to open 1"&amp;"1.11.2023honkai: Star rayl -bangs in Honkai: Star Rail [Best build] 💪 11.11.2023genshin impact -winging underwater in the eye of water and Earth - Palace in the Genshin Impact: How to Open 11/11/2023GENSHIN IMPACTDEARYERS mpact: how to find and win 11.11"&amp;".2023genshin impact -making with a giant shell in the Erinius forest in Genshin Impact: how to solve the puzzle 11.11.2023genshin Impactmagic sword of circles in Genshin Impact: How to find and win 11.11.2023 LOAD MORENIMENIMENCED AMI “Witcher” with Geral"&amp;"t - “Sirens of the depths” by BottleOFSKUMA 11.11.2023animeaanons continued the ANIMEN ANime: the first teaser and the release of the outp. 11/10/2023 films and the first trailer for the series Avatar: Legend of Aange from Netflixby ISEOKA 10.11.2023Anamo"&amp;" for Joe for Joe Well, the weekend ""has already been launched into production and prepare another project ISEOKA 10.11.2023honkai: Star Rail how many star nephritis can be obtained for patch 1.5 in Honkai: Star Railby Futsuri 09.11.2023genshin Impact Gen"&amp;"shin Impact 4.3: Date of Banners and Events Dairnin 07.11.20120 Load Moregryldays Goneresished EvillageGegeGegenshin Impactvalheimcyberpunk 20777minecraftersrobloxysims 4hitman 3The Elder Scrolls Onlinewothassin'sin's CREED: Valhallaamong USGENSHIN IMPACT"&amp;"NA FILITY LAMPLE BOLOPS means in Genshin Impact: how to get an achievement of the Benshin Impact: Anturers and Talansby Daria Materials 11.11.2023genshin. Impact Squeaks in the Erinius Forest in Genshin Impact: how to open Valery 11.11.2023honkai : Star R"&amp;"ailha in Honkai: Star Rail [Best build] 💪by vickie 11.11.2023genshin Impact underwater underwater in the eye of water and land - Palace in Genshin Impact: how to open Ferskani 11.11.2023genshin Impteseniyanneranera in Genshin in Genshin Impact: how to fi"&amp;"nd and winby Silveross 11.11.2023genshin Impact, with a giant shell in the Erinius forest in Genshin Impact: how to solve the puzzle daria 11.11.2023genshin Impactmagic circle in Genshin Impact: how to find and defeat Silveross 11.11.2023genshin Impacac T"&amp;"rading chest underwater in Mort in Genshin Impact: how to open the Ferskani 11.11 .2023 Load Meret to see thellinamophiles and serial minimeaanized anime on “Witcher” with herald - “Sirens of the depths” 11.11.2023animeaanimaanized the continuation of the"&amp;" anime “Arken”: the first teaser and release date 10.11.2023Films and the TV shows were the first trailer for the series “Avatar: Legendary About Aang ""from Netflix 10.11.2023animeanima for John Wick has already been launched into production and the proj"&amp;"ect 10.11.2023 Ainema of Russia “Boy and Poultry” is being prepared from Miyazaki will receive two voice acting 02.11.2023Animetop-10 at the Newtype Anward 2023 30.10.10.10.10.2023 Load Morticiaminamiyama TOP-10 anime At the Newtype Anime Award 2023by iso"&amp;"ka on 10.10.2023animetop-15 the most anticipated anime of the fall 2023by isoka 09/18/2023animetop-10 of the best half of the first half of summer 2023 according to Malby ISEOKA 13.08.2023 T: TOP-25 neural networks in 2023BY Ann 07.08.2023animetop -25 of "&amp;"the best anime characters of all time according to IGNBY ISEOKA 30.07.2023Animetop-10 the best anime of the spring season 2023 according to Anitrendzby isoka 20.07.2023 Load Morein Code 2023 for World of Tanksinovite Codes for WoT for WOT for November 202"&amp;"3 [acting] 10/30/2023in Code 2023 For World of Tanksinite Codes WOT for beginners [November 2023] 10/30/2023 Bonuses and invite codes World of Tanksinite Code for the World of Ships 2023 30.10.2023 Advertisers of Confidential Policy Political Agreement © "&amp;"2023 No Result View All Ressu LT News of Genshin Impact Honkai: Star Railegrygenshin Impacthonkai: Star Railbaldur's Gate 3counter-Strike 2marvel's Spider-Man 2Cyberpunk 2077777DIABLO 4ATOMIC HEARTHOGOGWARTS LeGACYMIMI TANCES (WOT) ROBLOXGOD of the romanc"&amp;"e Neufilms and serialanima © 2023")</f>
        <v>Wotpack.ru-Games News Genshin Impact News News Honkai: Star Railegrygenshin Impacthonkai: Star Railbaldur's Gate 3Counter-STRIKE 2MARVELS Spider-Man 2cyBERPUNK 2077DIABLO 4atom IC Hearthogwarts Legatic Tank (Wot) RobloxGod of Warculum of the Game of Interesting Foreign Assistance and Sdicaeanima No Result View All Result News of Genshin News Honkai Impact Council: Star Railegenshin Impacthonkai: Star Railbaldur's Gate 3Counter-STRIKE 2MARELS SPIDER-Man 2CYBERPUNK 4ATOMIC HeARTHOGOGOGWARTHOGOGOGENTS LEGAGEMIMI TANCES (W. OT) RobLoxGod of Warculum of the romantics of the game of interests and serial minimum no Result View All Result No Result View GenShin Impact for Flowers Light Bell. In Genshin Impact: how to get an achievement 11.11.2023genshin impact, with water intelligence crystals in the Erinius Forest in Genshin Impact: how to solve 11.11.2023genshin impact for the Genshin impact: elevations and talents 11.11.2023genshin Im Pact Square Teleports in the Erinius forest in Genshin Impact: How to open 11.11.2023honkai: Star rayl -bangs in Honkai: Star Rail [Best build] 💪 11.11.2023genshin impact -winging underwater in the eye of water and Earth - Palace in the Genshin Impact: How to Open 11/11/2023GENSHIN IMPACTDEARYERS mpact: how to find and win 11.11.2023genshin impact -making with a giant shell in the Erinius forest in Genshin Impact: how to solve the puzzle 11.11.2023genshin Impactmagic sword of circles in Genshin Impact: How to find and win 11.11.2023 LOAD MORENIMENIMENCED AMI “Witcher” with Geralt - “Sirens of the depths” by BottleOFSKUMA 11.11.2023animeaanons continued the ANIMEN ANime: the first teaser and the release of the outp. 11/10/2023 films and the first trailer for the series Avatar: Legend of Aange from Netflixby ISEOKA 10.11.2023Anamo for Joe for Joe Well, the weekend "has already been launched into production and prepare another project ISEOKA 10.11.2023honkai: Star Rail how many star nephritis can be obtained for patch 1.5 in Honkai: Star Railby Futsuri 09.11.2023genshin Impact Genshin Impact 4.3: Date of Banners and Events Dairnin 07.11.20120 Load Moregryldays Goneresished EvillageGegeGegenshin Impactvalheimcyberpunk 20777minecraftersrobloxysims 4hitman 3The Elder Scrolls Onlinewothassin'sin's CREED: Valhallaamong USGENSHIN IMPACTNA FILITY LAMPLE BOLOPS means in Genshin Impact: how to get an achievement of the Benshin Impact: Anturers and Talansby Daria Materials 11.11.2023genshin. Impact Squeaks in the Erinius Forest in Genshin Impact: how to open Valery 11.11.2023honkai : Star Railha in Honkai: Star Rail [Best build] 💪by vickie 11.11.2023genshin Impact underwater underwater in the eye of water and land - Palace in Genshin Impact: how to open Ferskani 11.11.2023genshin Impteseniyanneranera in Genshin in Genshin Impact: how to find and winby Silveross 11.11.2023genshin Impact, with a giant shell in the Erinius forest in Genshin Impact: how to solve the puzzle daria 11.11.2023genshin Impactmagic circle in Genshin Impact: how to find and defeat Silveross 11.11.2023genshin Impacac Trading chest underwater in Mort in Genshin Impact: how to open the Ferskani 11.11 .2023 Load Meret to see thellinamophiles and serial minimeaanized anime on “Witcher” with herald - “Sirens of the depths” 11.11.2023animeaanimaanized the continuation of the anime “Arken”: the first teaser and release date 10.11.2023Films and the TV shows were the first trailer for the series “Avatar: Legendary About Aang "from Netflix 10.11.2023animeanima for John Wick has already been launched into production and the project 10.11.2023 Ainema of Russia “Boy and Poultry” is being prepared from Miyazaki will receive two voice acting 02.11.2023Animetop-10 at the Newtype Anward 2023 30.10.10.10.10.2023 Load Morticiaminamiyama TOP-10 anime At the Newtype Anime Award 2023by isoka on 10.10.2023animetop-15 the most anticipated anime of the fall 2023by isoka 09/18/2023animetop-10 of the best half of the first half of summer 2023 according to Malby ISEOKA 13.08.2023 T: TOP-25 neural networks in 2023BY Ann 07.08.2023animetop -25 of the best anime characters of all time according to IGNBY ISEOKA 30.07.2023Animetop-10 the best anime of the spring season 2023 according to Anitrendzby isoka 20.07.2023 Load Morein Code 2023 for World of Tanksinovite Codes for WoT for WOT for November 2023 [acting] 10/30/2023in Code 2023 For World of Tanksinite Codes WOT for beginners [November 2023] 10/30/2023 Bonuses and invite codes World of Tanksinite Code for the World of Ships 2023 30.10.2023 Advertisers of Confidential Policy Political Agreement © 2023 No Result View All Ressu LT News of Genshin Impact Honkai: Star Railegrygenshin Impacthonkai: Star Railbaldur's Gate 3counter-Strike 2marvel's Spider-Man 2Cyberpunk 2077777DIABLO 4ATOMIC HEARTHOGOGWARTS LeGACYMIMI TANCES (WOT) ROBLOXGOD of the romance Neufilms and serialanima © 2023</v>
      </c>
    </row>
    <row r="822">
      <c r="A822" s="1" t="s">
        <v>2654</v>
      </c>
      <c r="B822" s="1" t="s">
        <v>2705</v>
      </c>
      <c r="C822" s="1" t="s">
        <v>2706</v>
      </c>
      <c r="D822" s="1">
        <v>15.0</v>
      </c>
      <c r="E822" s="4" t="s">
        <v>2707</v>
      </c>
      <c r="F822" s="1" t="s">
        <v>43</v>
      </c>
      <c r="G822" s="1" t="s">
        <v>38</v>
      </c>
      <c r="H822" s="4" t="s">
        <v>39</v>
      </c>
      <c r="I822" s="2">
        <v>1.0</v>
      </c>
      <c r="J822" s="5" t="str">
        <f>IFERROR(__xludf.DUMMYFUNCTION("GOOGLETRANSLATE(A822)"),"Happy birthday")</f>
        <v>Happy birthday</v>
      </c>
      <c r="K822" s="6" t="str">
        <f>IFERROR(__xludf.DUMMYFUNCTION("GOOGLETRANSLATE(B822)"),"Happy Birthday")</f>
        <v>Happy Birthday</v>
      </c>
      <c r="L822" s="5" t="str">
        <f>IFERROR(__xludf.DUMMYFUNCTION("GOOGLETRANSLATE(C822)"),"May 6, 2023 -")</f>
        <v>May 6, 2023 -</v>
      </c>
      <c r="M822" s="5" t="str">
        <f>IFERROR(__xludf.DUMMYFUNCTION("GOOGLETRANSLATE(G822)"),"YouTubeAboutPressCopyrightContact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823">
      <c r="A823" s="1" t="s">
        <v>2654</v>
      </c>
      <c r="B823" s="1" t="s">
        <v>2708</v>
      </c>
      <c r="C823" s="1" t="s">
        <v>2709</v>
      </c>
      <c r="D823" s="1">
        <v>16.0</v>
      </c>
      <c r="E823" s="4" t="s">
        <v>2710</v>
      </c>
      <c r="F823" s="1" t="s">
        <v>43</v>
      </c>
      <c r="G823" s="1" t="s">
        <v>336</v>
      </c>
      <c r="H823" s="4" t="s">
        <v>453</v>
      </c>
      <c r="I823" s="2">
        <v>2.0</v>
      </c>
      <c r="J823" s="5" t="str">
        <f>IFERROR(__xludf.DUMMYFUNCTION("GOOGLETRANSLATE(A823)"),"Happy birthday")</f>
        <v>Happy birthday</v>
      </c>
      <c r="K823" s="6" t="str">
        <f>IFERROR(__xludf.DUMMYFUNCTION("GOOGLETRANSLATE(B823)"),"Birthday congratulations: 2 thousand videos found ...")</f>
        <v>Birthday congratulations: 2 thousand videos found ...</v>
      </c>
      <c r="L823" s="5" t="str">
        <f>IFERROR(__xludf.DUMMYFUNCTION("GOOGLETRANSLATE(C823)"),"Happy birthday. Beautiful birthday congratulation. YouTube. May 12, 2017. 545 thousand views.")</f>
        <v>Happy birthday. Beautiful birthday congratulation. YouTube. May 12, 2017. 545 thousand views.</v>
      </c>
      <c r="M823" s="5" t="str">
        <f>IFERROR(__xludf.DUMMYFUNCTION("GOOGLETRANSLATE(G823)"),"Oh!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824">
      <c r="A824" s="1" t="s">
        <v>2654</v>
      </c>
      <c r="B824" s="1" t="s">
        <v>2711</v>
      </c>
      <c r="D824" s="1">
        <v>17.0</v>
      </c>
      <c r="E824" s="4" t="s">
        <v>2712</v>
      </c>
      <c r="F824" s="1" t="s">
        <v>43</v>
      </c>
      <c r="G824" s="1" t="s">
        <v>273</v>
      </c>
      <c r="H824" s="4" t="s">
        <v>476</v>
      </c>
      <c r="I824" s="2">
        <v>1.0</v>
      </c>
      <c r="J824" s="5" t="str">
        <f>IFERROR(__xludf.DUMMYFUNCTION("GOOGLETRANSLATE(A824)"),"Happy birthday")</f>
        <v>Happy birthday</v>
      </c>
      <c r="K824" s="6" t="str">
        <f>IFERROR(__xludf.DUMMYFUNCTION("GOOGLETRANSLATE(B824)"),"Happy birthday!")</f>
        <v>Happy birthday!</v>
      </c>
      <c r="L824" s="5" t="str">
        <f>IFERROR(__xludf.DUMMYFUNCTION("GOOGLETRANSLATE(C824)"),"#VALUE!")</f>
        <v>#VALUE!</v>
      </c>
      <c r="M824" s="5" t="str">
        <f>IFERROR(__xludf.DUMMYFUNCTION("GOOGLETRANSLATE(G824)"),"Update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825">
      <c r="A825" s="1" t="s">
        <v>2713</v>
      </c>
      <c r="B825" s="1" t="s">
        <v>2714</v>
      </c>
      <c r="C825" s="1" t="s">
        <v>2715</v>
      </c>
      <c r="D825" s="1">
        <v>1.0</v>
      </c>
      <c r="E825" s="4" t="s">
        <v>2716</v>
      </c>
      <c r="F825" s="1" t="s">
        <v>43</v>
      </c>
      <c r="I825" s="2">
        <v>1.0</v>
      </c>
      <c r="J825" s="5" t="str">
        <f>IFERROR(__xludf.DUMMYFUNCTION("GOOGLETRANSLATE(A825)"),"Sberbank")</f>
        <v>Sberbank</v>
      </c>
      <c r="K825" s="6" t="str">
        <f>IFERROR(__xludf.DUMMYFUNCTION("GOOGLETRANSLATE(B825)"),"Sberbank for individuals - banking services")</f>
        <v>Sberbank for individuals - banking services</v>
      </c>
      <c r="L825" s="5" t="str">
        <f>IFERROR(__xludf.DUMMYFUNCTION("GOOGLETRANSLATE(C825)"),"Sberbank - banking services for individuals. Loans and deposits, mortgages, debit and credit cards and other banking services for private customers.")</f>
        <v>Sberbank - banking services for individuals. Loans and deposits, mortgages, debit and credit cards and other banking services for private customers.</v>
      </c>
      <c r="M825" s="5" t="str">
        <f>IFERROR(__xludf.DUMMYFUNCTION("GOOGLETRANSLATE(G825)"),"#VALUE!")</f>
        <v>#VALUE!</v>
      </c>
    </row>
    <row r="826">
      <c r="A826" s="1" t="s">
        <v>2713</v>
      </c>
      <c r="B826" s="1" t="s">
        <v>2717</v>
      </c>
      <c r="C826" s="1" t="s">
        <v>2718</v>
      </c>
      <c r="D826" s="1">
        <v>2.0</v>
      </c>
      <c r="E826" s="4" t="s">
        <v>2719</v>
      </c>
      <c r="F826" s="1" t="s">
        <v>43</v>
      </c>
      <c r="G826" s="1" t="s">
        <v>2720</v>
      </c>
      <c r="H826" s="4" t="s">
        <v>2721</v>
      </c>
      <c r="I826" s="2">
        <v>1.0</v>
      </c>
      <c r="J826" s="5" t="str">
        <f>IFERROR(__xludf.DUMMYFUNCTION("GOOGLETRANSLATE(A826)"),"Sberbank")</f>
        <v>Sberbank</v>
      </c>
      <c r="K826" s="6" t="str">
        <f>IFERROR(__xludf.DUMMYFUNCTION("GOOGLETRANSLATE(B826)"),"Sberbank")</f>
        <v>Sberbank</v>
      </c>
      <c r="L826" s="5" t="str">
        <f>IFERROR(__xludf.DUMMYFUNCTION("GOOGLETRANSLATE(C826)"),"Update the browser to enter Sberbank online · Sberbank. Entrance by phone number. Login.")</f>
        <v>Update the browser to enter Sberbank online · Sberbank. Entrance by phone number. Login.</v>
      </c>
      <c r="M826" s="5" t="str">
        <f>IFERROR(__xludf.DUMMYFUNCTION("GOOGLETRANSLATE(G826)"),"You can not enter Sberbank online in this browser. Non -will enter Sberbank online in this browser. Please try another browser. If it doesn’t work, call us by number 900 or +7 495 500-55-50 if you are abroad. Support id: &lt;18005308073735164417&gt; [backward]")</f>
        <v>You can not enter Sberbank online in this browser. Non -will enter Sberbank online in this browser. Please try another browser. If it doesn’t work, call us by number 900 or +7 495 500-55-50 if you are abroad. Support id: &lt;18005308073735164417&gt; [backward]</v>
      </c>
    </row>
    <row r="827">
      <c r="A827" s="1" t="s">
        <v>2713</v>
      </c>
      <c r="B827" s="1" t="s">
        <v>2722</v>
      </c>
      <c r="C827" s="1" t="s">
        <v>2723</v>
      </c>
      <c r="D827" s="1">
        <v>3.0</v>
      </c>
      <c r="E827" s="4" t="s">
        <v>2724</v>
      </c>
      <c r="F827" s="1" t="s">
        <v>43</v>
      </c>
      <c r="G827" s="1" t="s">
        <v>2725</v>
      </c>
      <c r="H827" s="4" t="s">
        <v>2726</v>
      </c>
      <c r="I827" s="2">
        <v>1.0</v>
      </c>
      <c r="J827" s="5" t="str">
        <f>IFERROR(__xludf.DUMMYFUNCTION("GOOGLETRANSLATE(A827)"),"Sberbank")</f>
        <v>Sberbank</v>
      </c>
      <c r="K827" s="6" t="str">
        <f>IFERROR(__xludf.DUMMYFUNCTION("GOOGLETRANSLATE(B827)"),"Sberbank")</f>
        <v>Sberbank</v>
      </c>
      <c r="L827" s="5" t="str">
        <f>IFERROR(__xludf.DUMMYFUNCTION("GOOGLETRANSLATE(C827)"),"At sberbank.com you will find information about the development and system of corporate governance of Sberbank, regulating documents, press releases and information for shareholders ...")</f>
        <v>At sberbank.com you will find information about the development and system of corporate governance of Sberbank, regulating documents, press releases and information for shareholders ...</v>
      </c>
      <c r="M827" s="5" t="str">
        <f>IFERROR(__xludf.DUMMYFUNCTION("GOOGLETRANSLATE(G827)"),"sberbank.ru Zavoznika problem when opening the Sberbank website in this browser. You may not have certificates of the National MIT MIC of the Ministry of Culture of Russia. You can meet the installation instructions at https://www.gosuslugi.ru/crtlibo try"&amp;" to enter the site in another browser by reference https://wwww.sberbank.com/en/certificate Error will repeat to us by number 900 or + 7495 500-55-50 If you are abroad and inform your Support IDSUPORT ID: &lt;370812367088881761&gt; [backward] [back]")</f>
        <v>sberbank.ru Zavoznika problem when opening the Sberbank website in this browser. You may not have certificates of the National MIT MIC of the Ministry of Culture of Russia. You can meet the installation instructions at https://www.gosuslugi.ru/crtlibo try to enter the site in another browser by reference https://wwww.sberbank.com/en/certificate Error will repeat to us by number 900 or + 7495 500-55-50 If you are abroad and inform your Support IDSUPORT ID: &lt;370812367088881761&gt; [backward] [back]</v>
      </c>
    </row>
    <row r="828">
      <c r="A828" s="1" t="s">
        <v>2713</v>
      </c>
      <c r="B828" s="1" t="s">
        <v>2727</v>
      </c>
      <c r="C828" s="1" t="s">
        <v>2728</v>
      </c>
      <c r="D828" s="1">
        <v>4.0</v>
      </c>
      <c r="E828" s="4" t="s">
        <v>2729</v>
      </c>
      <c r="F828" s="1" t="s">
        <v>43</v>
      </c>
      <c r="G828" s="1" t="s">
        <v>2725</v>
      </c>
      <c r="H828" s="4" t="s">
        <v>2726</v>
      </c>
      <c r="I828" s="2">
        <v>1.0</v>
      </c>
      <c r="J828" s="5" t="str">
        <f>IFERROR(__xludf.DUMMYFUNCTION("GOOGLETRANSLATE(A828)"),"Sberbank")</f>
        <v>Sberbank</v>
      </c>
      <c r="K828" s="6" t="str">
        <f>IFERROR(__xludf.DUMMYFUNCTION("GOOGLETRANSLATE(B828)"),"Sberbank")</f>
        <v>Sberbank</v>
      </c>
      <c r="L828" s="5" t="str">
        <f>IFERROR(__xludf.DUMMYFUNCTION("GOOGLETRANSLATE(C828)"),"Information about SberBank's development and corporate governance for shareholders and investors ✓ Annual shareholders' meeting ✓ Annual reports ✓ The ...")</f>
        <v>Information about SberBank's development and corporate governance for shareholders and investors ✓ Annual shareholders' meeting ✓ Annual reports ✓ The ...</v>
      </c>
      <c r="M828" s="5" t="str">
        <f>IFERROR(__xludf.DUMMYFUNCTION("GOOGLETRANSLATE(G828)"),"sberbank.ru Zavoznika problem when opening the Sberbank website in this browser. You may not have certificates of the National MIT MIC of the Ministry of Culture of Russia. You can meet the installation instructions at https://www.gosuslugi.ru/crtlibo try"&amp;" to enter the site in another browser by reference https://wwww.sberbank.com/en/certificate Error will repeat to us by number 900 or + 7495 500-55-50 If you are abroad and inform your Support IDSUPORT ID: &lt;370812367088881761&gt; [backward] [back]")</f>
        <v>sberbank.ru Zavoznika problem when opening the Sberbank website in this browser. You may not have certificates of the National MIT MIC of the Ministry of Culture of Russia. You can meet the installation instructions at https://www.gosuslugi.ru/crtlibo try to enter the site in another browser by reference https://wwww.sberbank.com/en/certificate Error will repeat to us by number 900 or + 7495 500-55-50 If you are abroad and inform your Support IDSUPORT ID: &lt;370812367088881761&gt; [backward] [back]</v>
      </c>
    </row>
    <row r="829">
      <c r="A829" s="1" t="s">
        <v>2713</v>
      </c>
      <c r="B829" s="1" t="s">
        <v>2730</v>
      </c>
      <c r="D829" s="1">
        <v>5.0</v>
      </c>
      <c r="E829" s="4" t="s">
        <v>2731</v>
      </c>
      <c r="F829" s="1" t="s">
        <v>43</v>
      </c>
      <c r="G829" s="1" t="s">
        <v>31</v>
      </c>
      <c r="H829" s="4" t="s">
        <v>32</v>
      </c>
      <c r="I829" s="2">
        <v>0.0</v>
      </c>
      <c r="J829" s="5" t="str">
        <f>IFERROR(__xludf.DUMMYFUNCTION("GOOGLETRANSLATE(A829)"),"Sberbank")</f>
        <v>Sberbank</v>
      </c>
      <c r="K829" s="6" t="str">
        <f>IFERROR(__xludf.DUMMYFUNCTION("GOOGLETRANSLATE(B829)"),"Sberbank of Russia")</f>
        <v>Sberbank of Russia</v>
      </c>
      <c r="L829" s="5" t="str">
        <f>IFERROR(__xludf.DUMMYFUNCTION("GOOGLETRANSLATE(C829)"),"#VALUE!")</f>
        <v>#VALUE!</v>
      </c>
      <c r="M829" s="5" t="str">
        <f>IFERROR(__xludf.DUMMYFUNCTION("GOOGLETRANSLATE(G829)"),"Wikipedia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830">
      <c r="A830" s="1" t="s">
        <v>2713</v>
      </c>
      <c r="B830" s="1" t="s">
        <v>2732</v>
      </c>
      <c r="C830" s="1" t="s">
        <v>2733</v>
      </c>
      <c r="D830" s="1">
        <v>6.0</v>
      </c>
      <c r="E830" s="4" t="s">
        <v>2734</v>
      </c>
      <c r="F830" s="1" t="s">
        <v>43</v>
      </c>
      <c r="G830" s="1" t="s">
        <v>2735</v>
      </c>
      <c r="H830" s="4" t="s">
        <v>2736</v>
      </c>
      <c r="I830" s="2">
        <v>0.0</v>
      </c>
      <c r="J830" s="5" t="str">
        <f>IFERROR(__xludf.DUMMYFUNCTION("GOOGLETRANSLATE(A830)"),"Sberbank")</f>
        <v>Sberbank</v>
      </c>
      <c r="K830" s="6" t="str">
        <f>IFERROR(__xludf.DUMMYFUNCTION("GOOGLETRANSLATE(B830)"),"BPS-Sberbank")</f>
        <v>BPS-Sberbank</v>
      </c>
      <c r="L830" s="5" t="str">
        <f>IFERROR(__xludf.DUMMYFUNCTION("GOOGLETRANSLATE(C830)"),"Sber Bank is working as usual · New version of Sberbank online · Account in your favor · Consumer loan for repairs “Comfort with Sberbian Bank” · Sbercard ...")</f>
        <v>Sber Bank is working as usual · New version of Sberbank online · Account in your favor · Consumer loan for repairs “Comfort with Sberbian Bank” · Sbercard ...</v>
      </c>
      <c r="M830" s="5" t="str">
        <f>IFERROR(__xludf.DUMMYFUNCTION("GOOGLETRANSLATE(G830)"),"Sberbian Bank OJSC - the main department and ATMS Bank Bank Bank is working in the usual regime, on the main questions about the current situation in Banquet, to know in detail Sberbank online, the online consurnts with income of up to 126% of the anniver"&amp;"sary of the anniversary of the Comfort Comfort Comfort Credit for your comfort! Details of detailed every day is the pleasure of shopping with a free digital card with truly large manibs up to 100%more detailed identification of electronic wallets of the "&amp;"Yumoney defense for reducing the tariff for identifying to 10 by is extended until the end of the summer! For more and more consumer loan “just on the Online” is easy to pay! Paybestate payment using smartphone in detail financial security is the main tas"&amp;"k- the preservation of your finances and personal data of the subbelnye bank works in the usual regime on the main issues about the current situation in Bankeuum, the details of the Sberbank Online Currency Currencies in our bankonaline service in our ban"&amp;"konaline service helps to keep the Money- Back making purchases in Yandex. Food Mark Formelle and the National Art Museum-Comprehensive Subscription Sberpraim-entertainment services and a profitable map for Vasuridic services with a discount of 20%of SB G"&amp;"lobal LLC provides a discount for corporate customers for various industries SBPOSBUSTIRING SBPOSBESTIONAL Contemporary acceptance acceptance of currencyc Onversioned Besternasyenyenetz Bankpupupupupupupopa sales1 USD31700319501 EUR3350034100100 RUB340003"&amp;"4700 Course for 11.11 .2023 C 09: 00VS CUSPRIADY ANSWERS OF ALL IS COMPLESS AND EARTHING TIME and MONEY COMPLE OF BANKS? 100 tips from a score of 1 check-list-by-demonstrations-a new type of fraud is more details for a new web version of the Sberbank Onli"&amp;"ne system more than the algorithm of actions to update the Sberbank Online application in detail the operating mode of the bank’s divisions in festive days of customer services to understand banking services? 100 tips from the Sberbank in 1 checklist-List"&amp;"o-start of the placement of bonds of the 121st issue of Sber Bank OJSC for an individual to amend the Black Service package businesscack to understand banking services? 100 tips from the Sberbank to 1 checklist-listoral deregistration of non-working mobil"&amp;"e applications SBPOS conditions of currency exchange operations at BVFB Trades, on behalf of and at the expense of corporate customer tenders on November 15 and 17 and 17th, November 7 to 8 to 8 to 8 to 8 to 8 to 8 to 8 to 8 to 8 News Bancacifre Bank in y"&amp;"our pocket! Scan the QR code of your smartphone camera is useful to you? Dunkets of card-payroll-investigation packages and transdiconnine service is the Premesberbank Premiersberus and mobile number 15-148-148A1 MTC LIFEAL Client support Eracentr Clienta"&amp;"lization of property financial literacy to the acts and investors in the processing of personal data of theengoAO Sberbian Bank ""(Hereinafter referred to as the bank) uses Cookie files to increase the efficiency of working with the web site of the Bank's"&amp;" Web Sit Bank for your needs and simplify your interaction with the bank's web site during future sessions. If you do not want to use files “Cookie” we recommend that you change your browser settings or stop working with the bank’s web site. © 1993–2023 S"&amp;"ber Bank OJSC to order to call the issue for emails with banking “Sber Bank” uses Cookie to personalize services and user convenience. You can prohibit the preservation of “cookie” in the settings of your browser or refuse on the website of Sber Bank OJSC"&amp;".")</f>
        <v>Sberbian Bank OJSC - the main department and ATMS Bank Bank Bank is working in the usual regime, on the main questions about the current situation in Banquet, to know in detail Sberbank online, the online consurnts with income of up to 126% of the anniversary of the anniversary of the Comfort Comfort Comfort Credit for your comfort! Details of detailed every day is the pleasure of shopping with a free digital card with truly large manibs up to 100%more detailed identification of electronic wallets of the Yumoney defense for reducing the tariff for identifying to 10 by is extended until the end of the summer! For more and more consumer loan “just on the Online” is easy to pay! Paybestate payment using smartphone in detail financial security is the main task- the preservation of your finances and personal data of the subbelnye bank works in the usual regime on the main issues about the current situation in Bankeuum, the details of the Sberbank Online Currency Currencies in our bankonaline service in our bankonaline service helps to keep the Money- Back making purchases in Yandex. Food Mark Formelle and the National Art Museum-Comprehensive Subscription Sberpraim-entertainment services and a profitable map for Vasuridic services with a discount of 20%of SB Global LLC provides a discount for corporate customers for various industries SBPOSBUSTIRING SBPOSBESTIONAL Contemporary acceptance acceptance of currencyc Onversioned Besternasyenyenetz Bankpupupupupupupopa sales1 USD31700319501 EUR3350034100100 RUB3400034700 Course for 11.11 .2023 C 09: 00VS CUSPRIADY ANSWERS OF ALL IS COMPLESS AND EARTHING TIME and MONEY COMPLE OF BANKS? 100 tips from a score of 1 check-list-by-demonstrations-a new type of fraud is more details for a new web version of the Sberbank Online system more than the algorithm of actions to update the Sberbank Online application in detail the operating mode of the bank’s divisions in festive days of customer services to understand banking services? 100 tips from the Sberbank in 1 checklist-Listo-start of the placement of bonds of the 121st issue of Sber Bank OJSC for an individual to amend the Black Service package businesscack to understand banking services? 100 tips from the Sberbank to 1 checklist-listoral deregistration of non-working mobile applications SBPOS conditions of currency exchange operations at BVFB Trades, on behalf of and at the expense of corporate customer tenders on November 15 and 17 and 17th, November 7 to 8 to 8 to 8 to 8 to 8 to 8 to 8 to 8 to 8 News Bancacifre Bank in your pocket! Scan the QR code of your smartphone camera is useful to you? Dunkets of card-payroll-investigation packages and transdiconnine service is the Premesberbank Premiersberus and mobile number 15-148-148A1 MTC LIFEAL Client support Eracentr Clientalization of property financial literacy to the acts and investors in the processing of personal data of theengoAO Sberbian Bank "(Hereinafter referred to as the bank) uses Cookie files to increase the efficiency of working with the web site of the Bank's Web Sit Bank for your needs and simplify your interaction with the bank's web site during future sessions. If you do not want to use files “Cookie” we recommend that you change your browser settings or stop working with the bank’s web site. © 1993–2023 Sber Bank OJSC to order to call the issue for emails with banking “Sber Bank” uses Cookie to personalize services and user convenience. You can prohibit the preservation of “cookie” in the settings of your browser or refuse on the website of Sber Bank OJSC.</v>
      </c>
    </row>
    <row r="831">
      <c r="A831" s="1" t="s">
        <v>2713</v>
      </c>
      <c r="B831" s="1" t="s">
        <v>2737</v>
      </c>
      <c r="C831" s="1" t="s">
        <v>2738</v>
      </c>
      <c r="D831" s="1">
        <v>7.0</v>
      </c>
      <c r="E831" s="4" t="s">
        <v>2739</v>
      </c>
      <c r="F831" s="1" t="s">
        <v>43</v>
      </c>
      <c r="G831" s="1" t="s">
        <v>34</v>
      </c>
      <c r="H831" s="4" t="s">
        <v>35</v>
      </c>
      <c r="I831" s="2">
        <v>1.0</v>
      </c>
      <c r="J831" s="5" t="str">
        <f>IFERROR(__xludf.DUMMYFUNCTION("GOOGLETRANSLATE(A831)"),"Sberbank")</f>
        <v>Sberbank</v>
      </c>
      <c r="K831" s="6" t="str">
        <f>IFERROR(__xludf.DUMMYFUNCTION("GOOGLETRANSLATE(B831)"),"Sber")</f>
        <v>Sber</v>
      </c>
      <c r="L831" s="5" t="str">
        <f>IFERROR(__xludf.DUMMYFUNCTION("GOOGLETRANSLATE(C831)"),"Sberbank mistakenly took my money to himself and does not return them to me. There is no information in the media about the failure, from the words of Sberbank specialists this ...")</f>
        <v>Sberbank mistakenly took my money to himself and does not return them to me. There is no information in the media about the failure, from the words of Sberbank specialists this ...</v>
      </c>
      <c r="M831" s="5" t="str">
        <f>IFERROR(__xludf.DUMMYFUNCTION("GOOGLETRANSLATE(G831)"),"VK.com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832">
      <c r="A832" s="1" t="s">
        <v>2713</v>
      </c>
      <c r="B832" s="4" t="s">
        <v>2740</v>
      </c>
      <c r="D832" s="1">
        <v>8.0</v>
      </c>
      <c r="E832" s="4" t="s">
        <v>2741</v>
      </c>
      <c r="F832" s="1" t="s">
        <v>43</v>
      </c>
      <c r="I832" s="2">
        <v>1.0</v>
      </c>
      <c r="J832" s="5" t="str">
        <f>IFERROR(__xludf.DUMMYFUNCTION("GOOGLETRANSLATE(A832)"),"Sberbank")</f>
        <v>Sberbank</v>
      </c>
      <c r="K832" s="7" t="str">
        <f>IFERROR(__xludf.DUMMYFUNCTION("GOOGLETRANSLATE(B832)"),"Sbrf.ru")</f>
        <v>Sbrf.ru</v>
      </c>
      <c r="L832" s="5" t="str">
        <f>IFERROR(__xludf.DUMMYFUNCTION("GOOGLETRANSLATE(C832)"),"#VALUE!")</f>
        <v>#VALUE!</v>
      </c>
      <c r="M832" s="5" t="str">
        <f>IFERROR(__xludf.DUMMYFUNCTION("GOOGLETRANSLATE(G832)"),"#VALUE!")</f>
        <v>#VALUE!</v>
      </c>
    </row>
    <row r="833">
      <c r="A833" s="1" t="s">
        <v>2713</v>
      </c>
      <c r="B833" s="1" t="s">
        <v>2737</v>
      </c>
      <c r="C833" s="1" t="s">
        <v>2742</v>
      </c>
      <c r="D833" s="1">
        <v>9.0</v>
      </c>
      <c r="E833" s="4" t="s">
        <v>2743</v>
      </c>
      <c r="F833" s="1" t="s">
        <v>43</v>
      </c>
      <c r="G833" s="1" t="s">
        <v>273</v>
      </c>
      <c r="H833" s="4" t="s">
        <v>476</v>
      </c>
      <c r="I833" s="2">
        <v>1.0</v>
      </c>
      <c r="J833" s="5" t="str">
        <f>IFERROR(__xludf.DUMMYFUNCTION("GOOGLETRANSLATE(A833)"),"Sberbank")</f>
        <v>Sberbank</v>
      </c>
      <c r="K833" s="6" t="str">
        <f>IFERROR(__xludf.DUMMYFUNCTION("GOOGLETRANSLATE(B833)"),"Sber")</f>
        <v>Sber</v>
      </c>
      <c r="L833" s="5" t="str">
        <f>IFERROR(__xludf.DUMMYFUNCTION("GOOGLETRANSLATE(C833)"),"The Sberbank online application has been working for you for 11 years! From a simple application for money transfers, it became a superpop, where 70% of all services are available and ...")</f>
        <v>The Sberbank online application has been working for you for 11 years! From a simple application for money transfers, it became a superpop, where 70% of all services are available and ...</v>
      </c>
      <c r="M833" s="5" t="str">
        <f>IFERROR(__xludf.DUMMYFUNCTION("GOOGLETRANSLATE(G833)"),"Update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834">
      <c r="A834" s="1" t="s">
        <v>2713</v>
      </c>
      <c r="B834" s="1" t="s">
        <v>2744</v>
      </c>
      <c r="C834" s="1" t="s">
        <v>2745</v>
      </c>
      <c r="D834" s="1">
        <v>10.0</v>
      </c>
      <c r="E834" s="4" t="s">
        <v>2746</v>
      </c>
      <c r="F834" s="1" t="s">
        <v>43</v>
      </c>
      <c r="G834" s="1" t="s">
        <v>273</v>
      </c>
      <c r="H834" s="4" t="s">
        <v>274</v>
      </c>
      <c r="I834" s="2">
        <v>1.0</v>
      </c>
      <c r="J834" s="5" t="str">
        <f>IFERROR(__xludf.DUMMYFUNCTION("GOOGLETRANSLATE(A834)"),"Sberbank")</f>
        <v>Sberbank</v>
      </c>
      <c r="K834" s="6" t="str">
        <f>IFERROR(__xludf.DUMMYFUNCTION("GOOGLETRANSLATE(B834)"),"Sber / Sber (@sberbank) • Instagram Photos and Videos")</f>
        <v>Sber / Sber (@sberbank) • Instagram Photos and Videos</v>
      </c>
      <c r="L834" s="5" t="str">
        <f>IFERROR(__xludf.DUMMYFUNCTION("GOOGLETRANSLATE(C834)"),"The long -awaited feature is already available! Update Sberbank's application online to: - choose which ones.")</f>
        <v>The long -awaited feature is already available! Update Sberbank's application online to: - choose which ones.</v>
      </c>
      <c r="M834" s="5" t="str">
        <f>IFERROR(__xludf.DUMMYFUNCTION("GOOGLETRANSLATE(G834)"),"Update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835">
      <c r="A835" s="1" t="s">
        <v>2713</v>
      </c>
      <c r="B835" s="1" t="s">
        <v>2747</v>
      </c>
      <c r="C835" s="1" t="s">
        <v>2748</v>
      </c>
      <c r="D835" s="1">
        <v>11.0</v>
      </c>
      <c r="E835" s="4" t="s">
        <v>2749</v>
      </c>
      <c r="F835" s="1" t="s">
        <v>43</v>
      </c>
      <c r="I835" s="2">
        <v>1.0</v>
      </c>
      <c r="J835" s="5" t="str">
        <f>IFERROR(__xludf.DUMMYFUNCTION("GOOGLETRANSLATE(A835)"),"Sberbank")</f>
        <v>Sberbank</v>
      </c>
      <c r="K835" s="6" t="str">
        <f>IFERROR(__xludf.DUMMYFUNCTION("GOOGLETRANSLATE(B835)"),"sberbank-ast")</f>
        <v>sberbank-ast</v>
      </c>
      <c r="L835" s="5" t="str">
        <f>IFERROR(__xludf.DUMMYFUNCTION("GOOGLETRANSLATE(C835)"),"Error. &lt;Actions are blocked by ETP protection. Office on. The Session ID IS: N/A the Event ID is: 7093436189073565431. HOST: www.sberbank-ast.ru.")</f>
        <v>Error. &lt;Actions are blocked by ETP protection. Office on. The Session ID IS: N/A the Event ID is: 7093436189073565431. HOST: www.sberbank-ast.ru.</v>
      </c>
      <c r="M835" s="5" t="str">
        <f>IFERROR(__xludf.DUMMYFUNCTION("GOOGLETRANSLATE(G835)"),"#VALUE!")</f>
        <v>#VALUE!</v>
      </c>
    </row>
    <row r="836">
      <c r="A836" s="1" t="s">
        <v>2713</v>
      </c>
      <c r="B836" s="1" t="s">
        <v>2750</v>
      </c>
      <c r="C836" s="1" t="s">
        <v>2751</v>
      </c>
      <c r="D836" s="1">
        <v>12.0</v>
      </c>
      <c r="E836" s="4" t="s">
        <v>2752</v>
      </c>
      <c r="F836" s="1" t="s">
        <v>43</v>
      </c>
      <c r="G836" s="1" t="s">
        <v>2753</v>
      </c>
      <c r="H836" s="4" t="s">
        <v>2754</v>
      </c>
      <c r="I836" s="2">
        <v>2.0</v>
      </c>
      <c r="J836" s="5" t="str">
        <f>IFERROR(__xludf.DUMMYFUNCTION("GOOGLETRANSLATE(A836)"),"Sberbank")</f>
        <v>Sberbank</v>
      </c>
      <c r="K836" s="6" t="str">
        <f>IFERROR(__xludf.DUMMYFUNCTION("GOOGLETRANSLATE(B836)"),"Sbermobail - Sberbank Communications Operator")</f>
        <v>Sbermobail - Sberbank Communications Operator</v>
      </c>
      <c r="L836" s="5" t="str">
        <f>IFERROR(__xludf.DUMMYFUNCTION("GOOGLETRANSLATE(C836)"),"Bonuses are accrued only when replenishing the balance through the Sbermobail mobile application when paying for Sberbank with a card. To get discounts using ...")</f>
        <v>Bonuses are accrued only when replenishing the balance through the Sbermobail mobile application when paying for Sberbank with a card. To get discounts using ...</v>
      </c>
      <c r="M836" s="5" t="str">
        <f>IFERROR(__xludf.DUMMYFUNCTION("GOOGLETRANSLATE(G836)"),"Sbermobail-Sberbank Communications operator your browser Obrenzheradl of the correct work of the site, go to another browserifyesimpraimperemperstance of the number of persons of the Partner of a friend Personal cabinet download the TariffiSim service of "&amp;"the Tariffi-Fi calling for the world of Russian mobile appendix. Smartfonaurara - protection against fraudo -enlarged Auto -Coatersberemopime Poppilo Put the Balanssber Spasibo -Pla -Pacchant Support for the Internet? Questions and Replying the SIM-cartin"&amp;"g USSD-the feedback commanding command in Sbermobail order SIM-carting with an unlimited music with the HiFi-fasting of the Sound Tariffs Optimum and Sberpraim Hit with the Sberpraime Subscribing at the Light Tariffs Optimum premium. more timid to the att"&amp;"empts of advantageous tariffs for roaming. ""Unlimited messengers"" for 139 rubles. On a day more, Esim salute is a 40% discount on a subscription fee at a tariff with unlimited services to form tariff information more profitable with a Sberpraime subscri"&amp;"ption more than information on the legal information wow! Up to 99% of the payment can be made by bonuses Sberspasibo when paying more details more in more detail to watch all tariff conditions of services depends on the chosen tariff plan. The subscripti"&amp;"on fee is charged in full when the service is connected. Subsequent write -offs of the monthly fee will occur in the same number of each calendar month. If the service is connected on the 31th of the month, then the write -off of the subscription fee in t"&amp;"he months in which there is no 31rd of the month will occur on the last day of the month. If at the time of writing off the monthly fee in the account is not enough funds, then the service of the service will be blocked before replenishing the bill and th"&amp;"e receipt of the payment. Services operate on trips to Russia. Services operate only when using official applications and websites. Pages containing content of other sites spend the main package of Internet traffic. Services do not work when using VPN pro"&amp;"xy server or traffic compression tools. When the main and additional packets of traffic are exhausted, access to services is not guaranteed. If it is impossible to write off the next subscription fee at the tariff, the effect of services is blocked before"&amp;" replenishing the account and the write -off of the subscription fee. After replenishing the account and writing off the subscription fee at the tariff, the action of services will be extended for the blocking period. Go to Sbermobail with your number of "&amp;"Sberpraim Hit1200 minutes and 40 Gbili 40% discounts on a monthly fee for other tariffs. Settings Tariff Settings Replenishment Minus Minus Control: Coatings and Sales Offices Offices Offices We use COOKIE files. Detailing Sberbank-Telecom LLC uses COOKIE"&amp;" (file with data on past visits to the site) to personalize services and the convenience of visitors to the site. Sberbank-Telecom seriously refers to the protection of personal data-read the conditions and principles of their processing. You can prohibit"&amp;" the preservation of cookies in the settings of your browser. Take tariff tariffs of tariffs of tariffimsberpympis to Sbermobalykat coatings Pay Pay Balance Spasybuzkakak to configure the Internet? Questions and responding to the Sim-Cardi-Cardi-Card of R"&amp;"evealing Swerbacias of the Calculation of the World Elubicular Academy Tyvation Sim-Cardymim Automobile Counter CHOUSENTS CHOUSED PARTENSIA PARTENTS UPPP storesload vrustore-to-state Kazraz resume vappgallery © Sberbank-Telecom 2017-2023 . I give my conse"&amp;"nt LLC Sberbank-Telecom with the location: Moscow 117997 st. Vavilova d. 19 (hereinafter referred to as the operator) to the collection systematization accumulation storage clarification (update change) extraction use of depersonalization of blocking and "&amp;"destruction, including automated their personal data in the specialized electronic database about my contact details that can be used by the operator when informing me about the products and services of the offer to me the products and services of the ope"&amp;"rator and in order to participate in polls/questioning by the operator to study and study the opinions of customers about the quality of service and the services of the operator, provided that the non -disclosure of this information is guaranteed to third"&amp;" parties. I agree to provide me with information and proposal Products by sending postal correspondence by e-mail of telephone appeals of SMS messages. An appropriate consent has been valid from the moment of signing this application during the deadline f"&amp;"or the provision of services by the operator and five years after the termination of these services. After the specified period, the validity of this application is considered extended for every five years in the absence of the operator of information abo"&amp;"ut its review. You can at any time withdraw consent to the processing of personal data by means of a written notification of the operator at the email address Privacy@sberbank-xom or To the address: 117977 Moscow st. Vavilova d. 19 with a note “Review of "&amp;"consent to the processing of personal data”, In this case, you realize that if the consent to the processing of personal data, the operator has the right to continue processing personal data without the consent of the subject of personal data if the groun"&amp;"ds specified in paragraphs 2 - 11 of part 1 of article 1 6 Part 2 of Article 10 and Part 2 of Article 11 of the Law on Personal Data. More about the conditions for processing personal data can be found in the policy of processing personal data. I give my "&amp;"consent of Sberbank-Telecom LLC with the location: Moscow 117997 st. Vavilova d. 19 (hereinafter referred to as the operator) for collection recording systematization accumulation storage clarification (updating change) extraction use depersonalization of"&amp;" blocking and destruction, including automated their personal data in order to search for candidates for a vacant position. I agree to provide me with information and proposal products by sending postal correspondence by e-mail of telephone appeals of SMS"&amp;" messages. An appropriate consent is valid from the moment of signing this application until a decision on employment or refusal to employ the candidate for a vacant position. You can at any time withdraw consent to the processing of personal data through"&amp;" a written notification Operator at the email address Privacy@sberbank- Tele.com or to the address: 117977 Moscow st. Vavilova d. 19 with a note “Review of consent to the processing of personal data”, In this case, you realize that if the consent to the p"&amp;"rocessing of personal data, the operator has the right to continue processing personal data without the consent of the subject of personal data if the grounds specified in paragraphs 2 - 11 of part 1 of article 1 6 Part 2 of Article 10 and Part 2 of Artic"&amp;"le 11 of the Law on Personal Data. More about the conditions for processing personal data can be found in the policy of processing personal data. It is clear to the processing of personal data for visitors to the site. Continuing work on the site I expres"&amp;"s my consent LLC Sberbank-Telecom (Address: 117977. Moscow St. On the site information about the user's equipment Date and time of the session) including using the Metric programs of Yandex.metric Google Analytics Firebas Google with action: collection re"&amp;"cord Systematization accumulation storage clarification (update Change) Extracting use depreciation Blocking Dematization of transmission (Provision of access) Including cross-border partners of Sberbank-Telecom LLC providing a service under the specified"&amp;" metric programs. Personal data processing is carried out in order to improve the work of the site for improving the products and services of Sberbank-Telecom LLC to determine the preferences of the visitor to the site of the provision of targeted informa"&amp;"tion on the products and services of LLC Sberbank-Telecom and its partners. As possible consent has been valid from the moment it is submitted during its provision The total period of use of the site. In case of refusal to process personal data by metric "&amp;"programs, I am informed about the need to stop using the site or disable Cookie files in the browser settings. I give my consent of Sberbank-Telecom LLC with the location: 117997 Moscow st. Vavilova d. 19 (hereinafter referred to as the operator) on the p"&amp;"rocessing of my personal data in the following composition: surname name middle name; Subscriber number (mobile phone number); E-mail address; information about my actions on the site and (or) the mobile application of the operator in the information and "&amp;"telecommunication network ""Internet""; information about the client identifier formed by Sberbank PJSC (Sberbuer ID) including information on the bonus balance Sberspasibo; Information on payment of goods and products ordered on the site; information on "&amp;"the availability and validity of the Sberim Sberim subscription; Information on the availability of bonuses from partners' companies to provide me with discounts when buying goods and services for the following purposes: Determining me as a client of the "&amp;"bank of the Bank Bank Bank Group; Personalization of Products of the Bank products of the Bank Group Partners of the Bank; Formation of personal proposals of the operator and third parties as well as the provision of information about them in the methods "&amp;"provided for in paragraph 3 of Art. 3 of the Federal Law of 07.27.2006 N 152-ФЗ “On Personal Data” namely: automated and non-automated (mixed) processing with the following actions: collection record systematization accumulation storage Cenption (update C"&amp;"hanges) use transfer (provision of access) Blocking Removal and Destruction. The current consent has been valid from the date of its signing and really during the period of use of services as well as within 3 (three) years after the termination. You can a"&amp;"t any time withdraw consent to the processing of personal data through the written notification of the operator to the email address of Privacy@sberbank -tele.com or address: 117977 Moscow st. Vavilova d. 19 with a note “Review of consent to the processin"&amp;"g of personal data”, In this case, you realize that if the consent to the processing of personal data, the operator has the right to continue processing personal data without the consent of the subject of personal data if the grounds specified in paragrap"&amp;"hs 2 - 11 of part 1 of article 1 6 Part 2 of Article 10 and Part 2 of Article 11 of the Law on Personal Data. More about the conditions for processing personal data can be found in the policy of processing personal data. The subject is really clear from 0"&amp;"8/20/19 to 09/30/19 for participants in the program “Thank you from Sberbank” (valid from 12.11.11 and is not limited by the deadline). Organizer - PJSC Sberbank (Bank of Russia General License to carry out banking operations No. 1481 dated 08/11/2015. Re"&amp;"ad more: SpasibosBerbank.ru and consists in the possibility of exchanging bonuses accumulated in the communication service of the program provided by the partner: LLC Sberbank -Telecom OGRN: 1167746305430 117997 Moscow st. Vavilova d.19. Bonuses are accru"&amp;"ed only when replenishing the balance through the Sbermobail mobile application when paying for Sberbank with a card. To receive discounts using bonuses, the participant is obliged to perform an expenditure operation, the minimum amount of which is 1 (one"&amp;") ruble. The number of bonuses used by the participant should be equal or exceed 300 (three hundred) bonuses. Read more on: spasibosberbank.ru/partners/sbermobile. Information about 99% discount is given as an example. If the initial cost of the service i"&amp;"s 1000 rubles. then to receive a discount, the participant needs to write off 990 bonuses. Terms with the title letter are used in the meaning of the program determined in the rules. The cost of services depends on the chosen tariff plan. The abdominal fe"&amp;"e is charged in full when the service is connected. The subscribing fee will take place in the number of each calendar month. If the service is connected 31 days of the month The write -off of the subscription fee in which there is no 31rd of the month on"&amp;" the last day of the month. If, at the time of writing off the monthly fee on the account, there are not enough funds, then until replenishment of the account and the receipt of the payment, the service will be blocked. Services act on trips to Russia. th"&amp;"e use of official applications and websites. The pages containing the content of other sites consumes the main package of Internet traffic. Services do not work when using the VPN proxy server or traffic compression tools. When the main and additional tra"&amp;"ffic packages, access to services is not guaranteed, is not guaranteed. If it is impossible to write off the next The subscription fee at the tariff action of the services is blocked until the account is replenished and the subscriber fee. After replenish"&amp;"ing the account and writing off the subscription fee at the tariff, the action of services will be extended for the blocking period. The introductory is indeed from 01/11/2019. For participants in the program “Thank you from Sberbank” (valid from 12/12/11"&amp;" and is not limited to term). Organizer - PJSC Sberbank (Bank of Russia General License to carry out banking operations No. 1481 dated 08/11/2015. Read more: SpasibosBerbank.ru and consists in the possibility of exchanging bonuses accumulated in the commu"&amp;"nication service of the program provided by the partner: LLC Sberbank -Telecom OGRN: 1167746305430 117997 Moscow st. Vavilova d.19. To receive discounts using bonuses, the participant is obliged to perform an expenditure operation, the minimum amount of w"&amp;"hich is 1 (one) ruble. The number of bonuses used by the participant should be equal or exceed 300 (three hundred) bonuses. Read more on: spasibosberbank.ru/partners/sbermobile. Information about 99% discount is given as an example. If the initial cost of"&amp;" the service is 1000 rubles. then to receive a discount, the participant needs to write off 990 bonuses. The terms with the title letter are used in the meaning of the program specified in the rules. Your application is accepted! An error has occurred. Tr"&amp;"y repeating later. *** Australia Austria Belgium Britain Hungaria Hungary Guideloud germanium giblaltar Hong Kong Greece Denmark Ireland Ireland Imlands Spain Kazakhstan Canada Cyprus China Latvia Lithuania Lietenstein Luxembourg Martinon Martinon Martino"&amp;"n Martinon New Zealand Norway Portugal Slovakur Slovakia of the Slovakia Tailand Tailand Tource Finn NDIA France French Guiana Croatia Czech Republic Switzerland Швеция Эстония Южная Корея ЯпонияПонятноСписок стран в международном роуминге в которых дейст"&amp;"вует предложение:АвстрияАвстрияБельгияБолгарияВеликобританияВенгрияГваделупаГерманияГибралтарГонконгГрецияДанияИрландияИсландияИспанияИталияКазахстанКанадаКипрКитайКореяЛатвияЛитваЛихтенштейнЛюксембургМальтаМартиникаНидерландыНовая ЗеландияНорвегияПольшаП"&amp;"ортугалияРеюньонРумынияСингапурСловакияСловенияСШАТаиландТурцияФинляндияФранцияФранцузская ГвианаХорватияЧехияШвейцарияШвецияЭстонияЯпония")</f>
        <v>Sbermobail-Sberbank Communications operator your browser Obrenzheradl of the correct work of the site, go to another browserifyesimpraimperemperstance of the number of persons of the Partner of a friend Personal cabinet download the TariffiSim service of the Tariffi-Fi calling for the world of Russian mobile appendix. Smartfonaurara - protection against fraudo -enlarged Auto -Coatersberemopime Poppilo Put the Balanssber Spasibo -Pla -Pacchant Support for the Internet? Questions and Replying the SIM-carting USSD-the feedback commanding command in Sbermobail order SIM-carting with an unlimited music with the HiFi-fasting of the Sound Tariffs Optimum and Sberpraim Hit with the Sberpraime Subscribing at the Light Tariffs Optimum premium. more timid to the attempts of advantageous tariffs for roaming. "Unlimited messengers" for 139 rubles. On a day more, Esim salute is a 40% discount on a subscription fee at a tariff with unlimited services to form tariff information more profitable with a Sberpraime subscription more than information on the legal information wow! Up to 99% of the payment can be made by bonuses Sberspasibo when paying more details more in more detail to watch all tariff conditions of services depends on the chosen tariff plan. The subscription fee is charged in full when the service is connected. Subsequent write -offs of the monthly fee will occur in the same number of each calendar month. If the service is connected on the 31th of the month, then the write -off of the subscription fee in the months in which there is no 31rd of the month will occur on the last day of the month. If at the time of writing off the monthly fee in the account is not enough funds, then the service of the service will be blocked before replenishing the bill and the receipt of the payment. Services operate on trips to Russia. Services operate only when using official applications and websites. Pages containing content of other sites spend the main package of Internet traffic. Services do not work when using VPN proxy server or traffic compression tools. When the main and additional packets of traffic are exhausted, access to services is not guaranteed. If it is impossible to write off the next subscription fee at the tariff, the effect of services is blocked before replenishing the account and the write -off of the subscription fee. After replenishing the account and writing off the subscription fee at the tariff, the action of services will be extended for the blocking period. Go to Sbermobail with your number of Sberpraim Hit1200 minutes and 40 Gbili 40% discounts on a monthly fee for other tariffs. Settings Tariff Settings Replenishment Minus Minus Control: Coatings and Sales Offices Offices Offices We use COOKIE files. Detailing Sberbank-Telecom LLC uses COOKIE (file with data on past visits to the site) to personalize services and the convenience of visitors to the site. Sberbank-Telecom seriously refers to the protection of personal data-read the conditions and principles of their processing. You can prohibit the preservation of cookies in the settings of your browser. Take tariff tariffs of tariffs of tariffimsberpympis to Sbermobalykat coatings Pay Pay Balance Spasybuzkakak to configure the Internet? Questions and responding to the Sim-Cardi-Cardi-Card of Revealing Swerbacias of the Calculation of the World Elubicular Academy Tyvation Sim-Cardymim Automobile Counter CHOUSENTS CHOUSED PARTENSIA PARTENTS UPPP storesload vrustore-to-state Kazraz resume vappgallery © Sberbank-Telecom 2017-2023 . I give my consent LLC Sberbank-Telecom with the location: Moscow 117997 st. Vavilova d. 19 (hereinafter referred to as the operator) to the collection systematization accumulation storage clarification (update change) extraction use of depersonalization of blocking and destruction, including automated their personal data in the specialized electronic database about my contact details that can be used by the operator when informing me about the products and services of the offer to me the products and services of the operator and in order to participate in polls/questioning by the operator to study and study the opinions of customers about the quality of service and the services of the operator, provided that the non -disclosure of this information is guaranteed to third parties. I agree to provide me with information and proposal Products by sending postal correspondence by e-mail of telephone appeals of SMS messages. An appropriate consent has been valid from the moment of signing this application during the deadline for the provision of services by the operator and five years after the termination of these services. After the specified period, the validity of this application is considered extended for every five years in the absence of the operator of information about its review. You can at any time withdraw consent to the processing of personal data by means of a written notification of the operator at the email address Privacy@sberbank-xom or To the address: 117977 Moscow st. Vavilova d. 19 with a note “Review of consent to the processing of personal data”, In this case, you realize that if the consent to the processing of personal data, the operator has the right to continue processing personal data without the consent of the subject of personal data if the grounds specified in paragraphs 2 - 11 of part 1 of article 1 6 Part 2 of Article 10 and Part 2 of Article 11 of the Law on Personal Data. More about the conditions for processing personal data can be found in the policy of processing personal data. I give my consent of Sberbank-Telecom LLC with the location: Moscow 117997 st. Vavilova d. 19 (hereinafter referred to as the operator) for collection recording systematization accumulation storage clarification (updating change) extraction use depersonalization of blocking and destruction, including automated their personal data in order to search for candidates for a vacant position. I agree to provide me with information and proposal products by sending postal correspondence by e-mail of telephone appeals of SMS messages. An appropriate consent is valid from the moment of signing this application until a decision on employment or refusal to employ the candidate for a vacant position. You can at any time withdraw consent to the processing of personal data through a written notification Operator at the email address Privacy@sberbank- Tele.com or to the address: 117977 Moscow st. Vavilova d. 19 with a note “Review of consent to the processing of personal data”, In this case, you realize that if the consent to the processing of personal data, the operator has the right to continue processing personal data without the consent of the subject of personal data if the grounds specified in paragraphs 2 - 11 of part 1 of article 1 6 Part 2 of Article 10 and Part 2 of Article 11 of the Law on Personal Data. More about the conditions for processing personal data can be found in the policy of processing personal data. It is clear to the processing of personal data for visitors to the site. Continuing work on the site I express my consent LLC Sberbank-Telecom (Address: 117977. Moscow St. On the site information about the user's equipment Date and time of the session) including using the Metric programs of Yandex.metric Google Analytics Firebas Google with action: collection record Systematization accumulation storage clarification (update Change) Extracting use depreciation Blocking Dematization of transmission (Provision of access) Including cross-border partners of Sberbank-Telecom LLC providing a service under the specified metric programs. Personal data processing is carried out in order to improve the work of the site for improving the products and services of Sberbank-Telecom LLC to determine the preferences of the visitor to the site of the provision of targeted information on the products and services of LLC Sberbank-Telecom and its partners. As possible consent has been valid from the moment it is submitted during its provision The total period of use of the site. In case of refusal to process personal data by metric programs, I am informed about the need to stop using the site or disable Cookie files in the browser settings. I give my consent of Sberbank-Telecom LLC with the location: 117997 Moscow st. Vavilova d. 19 (hereinafter referred to as the operator) on the processing of my personal data in the following composition: surname name middle name; Subscriber number (mobile phone number); E-mail address; information about my actions on the site and (or) the mobile application of the operator in the information and telecommunication network "Internet"; information about the client identifier formed by Sberbank PJSC (Sberbuer ID) including information on the bonus balance Sberspasibo; Information on payment of goods and products ordered on the site; information on the availability and validity of the Sberim Sberim subscription; Information on the availability of bonuses from partners' companies to provide me with discounts when buying goods and services for the following purposes: Determining me as a client of the bank of the Bank Bank Bank Group; Personalization of Products of the Bank products of the Bank Group Partners of the Bank; Formation of personal proposals of the operator and third parties as well as the provision of information about them in the methods provided for in paragraph 3 of Art. 3 of the Federal Law of 07.27.2006 N 152-ФЗ “On Personal Data” namely: automated and non-automated (mixed) processing with the following actions: collection record systematization accumulation storage Cenption (update Changes) use transfer (provision of access) Blocking Removal and Destruction. The current consent has been valid from the date of its signing and really during the period of use of services as well as within 3 (three) years after the termination. You can at any time withdraw consent to the processing of personal data through the written notification of the operator to the email address of Privacy@sberbank -tele.com or address: 117977 Moscow st. Vavilova d. 19 with a note “Review of consent to the processing of personal data”, In this case, you realize that if the consent to the processing of personal data, the operator has the right to continue processing personal data without the consent of the subject of personal data if the grounds specified in paragraphs 2 - 11 of part 1 of article 1 6 Part 2 of Article 10 and Part 2 of Article 11 of the Law on Personal Data. More about the conditions for processing personal data can be found in the policy of processing personal data. The subject is really clear from 08/20/19 to 09/30/19 for participants in the program “Thank you from Sberbank” (valid from 12.11.11 and is not limited by the deadline). Organizer - PJSC Sberbank (Bank of Russia General License to carry out banking operations No. 1481 dated 08/11/2015. Read more: SpasibosBerbank.ru and consists in the possibility of exchanging bonuses accumulated in the communication service of the program provided by the partner: LLC Sberbank -Telecom OGRN: 1167746305430 117997 Moscow st. Vavilova d.19. Bonuses are accrued only when replenishing the balance through the Sbermobail mobile application when paying for Sberbank with a card. To receive discounts using bonuses, the participant is obliged to perform an expenditure operation, the minimum amount of which is 1 (one) ruble. The number of bonuses used by the participant should be equal or exceed 300 (three hundred) bonuses. Read more on: spasibosberbank.ru/partners/sbermobile. Information about 99% discount is given as an example. If the initial cost of the service is 1000 rubles. then to receive a discount, the participant needs to write off 990 bonuses. Terms with the title letter are used in the meaning of the program determined in the rules. The cost of services depends on the chosen tariff plan. The abdominal fee is charged in full when the service is connected. The subscribing fee will take place in the number of each calendar month. If the service is connected 31 days of the month The write -off of the subscription fee in which there is no 31rd of the month on the last day of the month. If, at the time of writing off the monthly fee on the account, there are not enough funds, then until replenishment of the account and the receipt of the payment, the service will be blocked. Services act on trips to Russia. the use of official applications and websites. The pages containing the content of other sites consumes the main package of Internet traffic. Services do not work when using the VPN proxy server or traffic compression tools. When the main and additional traffic packages, access to services is not guaranteed, is not guaranteed. If it is impossible to write off the next The subscription fee at the tariff action of the services is blocked until the account is replenished and the subscriber fee. After replenishing the account and writing off the subscription fee at the tariff, the action of services will be extended for the blocking period. The introductory is indeed from 01/11/2019. For participants in the program “Thank you from Sberbank” (valid from 12/12/11 and is not limited to term). Organizer - PJSC Sberbank (Bank of Russia General License to carry out banking operations No. 1481 dated 08/11/2015. Read more: SpasibosBerbank.ru and consists in the possibility of exchanging bonuses accumulated in the communication service of the program provided by the partner: LLC Sberbank -Telecom OGRN: 1167746305430 117997 Moscow st. Vavilova d.19. To receive discounts using bonuses, the participant is obliged to perform an expenditure operation, the minimum amount of which is 1 (one) ruble. The number of bonuses used by the participant should be equal or exceed 300 (three hundred) bonuses. Read more on: spasibosberbank.ru/partners/sbermobile. Information about 99% discount is given as an example. If the initial cost of the service is 1000 rubles. then to receive a discount, the participant needs to write off 990 bonuses. The terms with the title letter are used in the meaning of the program specified in the rules. Your application is accepted! An error has occurred. Try repeating later. *** Australia Austria Belgium Britain Hungaria Hungary Guideloud germanium giblaltar Hong Kong Greece Denmark Ireland Ireland Imlands Spain Kazakhstan Canada Cyprus China Latvia Lithuania Lietenstein Luxembourg Martinon Martinon Martinon Martinon New Zealand Norway Portugal Slovakur Slovakia of the Slovakia Tailand Tailand Tource Finn NDIA France French Guiana Croatia Czech Republic Switzerland Швеция Эстония Южная Корея ЯпонияПонятноСписок стран в международном роуминге в которых действует предложение:АвстрияАвстрияБельгияБолгарияВеликобританияВенгрияГваделупаГерманияГибралтарГонконгГрецияДанияИрландияИсландияИспанияИталияКазахстанКанадаКипрКитайКореяЛатвияЛитваЛихтенштейнЛюксембургМальтаМартиникаНидерландыНовая ЗеландияНорвегияПольшаПортугалияРеюньонРумынияСингапурСловакияСловенияСШАТаиландТурцияФинляндияФранцияФранцузская ГвианаХорватияЧехияШвейцарияШвецияЭстонияЯпония</v>
      </c>
    </row>
    <row r="837">
      <c r="A837" s="1" t="s">
        <v>2713</v>
      </c>
      <c r="B837" s="1" t="s">
        <v>2755</v>
      </c>
      <c r="C837" s="1" t="s">
        <v>2756</v>
      </c>
      <c r="D837" s="1">
        <v>13.0</v>
      </c>
      <c r="E837" s="4" t="s">
        <v>2757</v>
      </c>
      <c r="F837" s="1" t="s">
        <v>43</v>
      </c>
      <c r="I837" s="2">
        <v>1.0</v>
      </c>
      <c r="J837" s="5" t="str">
        <f>IFERROR(__xludf.DUMMYFUNCTION("GOOGLETRANSLATE(A837)"),"Sberbank")</f>
        <v>Sberbank</v>
      </c>
      <c r="K837" s="6" t="str">
        <f>IFERROR(__xludf.DUMMYFUNCTION("GOOGLETRANSLATE(B837)"),"Sberbank Hot Line phone for individuals. ...")</f>
        <v>Sberbank Hot Line phone for individuals. ...</v>
      </c>
      <c r="L837" s="5" t="str">
        <f>IFERROR(__xludf.DUMMYFUNCTION("GOOGLETRANSLATE(C837)"),"All about Sberbank - a hot line for individuals, products and services of a bank, ratings, official website.")</f>
        <v>All about Sberbank - a hot line for individuals, products and services of a bank, ratings, official website.</v>
      </c>
      <c r="M837" s="5" t="str">
        <f>IFERROR(__xludf.DUMMYFUNCTION("GOOGLETRANSLATE(G837)"),"#VALUE!")</f>
        <v>#VALUE!</v>
      </c>
    </row>
    <row r="838">
      <c r="A838" s="1" t="s">
        <v>2713</v>
      </c>
      <c r="B838" s="1" t="s">
        <v>2758</v>
      </c>
      <c r="C838" s="1" t="s">
        <v>2759</v>
      </c>
      <c r="D838" s="1">
        <v>14.0</v>
      </c>
      <c r="E838" s="4" t="s">
        <v>2760</v>
      </c>
      <c r="F838" s="1" t="s">
        <v>43</v>
      </c>
      <c r="G838" s="1" t="s">
        <v>2761</v>
      </c>
      <c r="H838" s="4" t="s">
        <v>2762</v>
      </c>
      <c r="I838" s="2">
        <v>2.0</v>
      </c>
      <c r="J838" s="5" t="str">
        <f>IFERROR(__xludf.DUMMYFUNCTION("GOOGLETRANSLATE(A838)"),"Sberbank")</f>
        <v>Sberbank</v>
      </c>
      <c r="K838" s="6" t="str">
        <f>IFERROR(__xludf.DUMMYFUNCTION("GOOGLETRANSLATE(B838)"),"Sberbank online on Android")</f>
        <v>Sberbank online on Android</v>
      </c>
      <c r="L838" s="5" t="str">
        <f>IFERROR(__xludf.DUMMYFUNCTION("GOOGLETRANSLATE(C838)"),"October 23 2023. -")</f>
        <v>October 23 2023. -</v>
      </c>
      <c r="M838" s="5" t="str">
        <f>IFERROR(__xludf.DUMMYFUNCTION("GOOGLETRANSLATE(G838)"),"Catalog of Appendix Applications Applications of the Sberblastic Application Application for Android to load APK for smart devices for the Mincyfryoni certificates are necessary for uninterrupted and safe access to sites to Sbery Sberbire for Android Busi"&amp;"ness and Finance Bank - Salutspasibankokokokokokokokokokokokokokokosbermagamarama The productivity and utility of Jazzzdl of the Assistant Salutigrydl children's music and video products and the utility of the heapons business and the finance of life of t"&amp;"he heart and fitness and drinks formation and culture right on the site0+games of the fact puzzle 2048: TOP BRICS0+Games Parking: Parking Auto0+Games Golovyki Sorting balls6+Games ofhable riddles6+Games of Yarosta6+Games Grivest Bloks6+Games SO -SOSIK VS "&amp;"Vilka 6+Game of Popular 6+Education and Cultural Research Naturals 6+Health and Fitness Stress6+Life Life Supervisor 6+Games Theatrical Theater+Education and Culture of Misis18+BuyingScp Foundation6+Productivity and Utility Calculator for Androidkak to es"&amp;"tablish developers © 1997–2023 Sberbank PJSC. General license to carry out banking operations of August 11, 2015. Registration number - 1481")</f>
        <v>Catalog of Appendix Applications Applications of the Sberblastic Application Application for Android to load APK for smart devices for the Mincyfryoni certificates are necessary for uninterrupted and safe access to sites to Sbery Sberbire for Android Business and Finance Bank - Salutspasibankokokokokokokokokokokokokokokosbermagamarama The productivity and utility of Jazzzdl of the Assistant Salutigrydl children's music and video products and the utility of the heapons business and the finance of life of the heart and fitness and drinks formation and culture right on the site0+games of the fact puzzle 2048: TOP BRICS0+Games Parking: Parking Auto0+Games Golovyki Sorting balls6+Games ofhable riddles6+Games of Yarosta6+Games Grivest Bloks6+Games SO -SOSIK VS Vilka 6+Game of Popular 6+Education and Cultural Research Naturals 6+Health and Fitness Stress6+Life Life Supervisor 6+Games Theatrical Theater+Education and Culture of Misis18+BuyingScp Foundation6+Productivity and Utility Calculator for Androidkak to establish developers © 1997–2023 Sberbank PJSC. General license to carry out banking operations of August 11, 2015. Registration number - 1481</v>
      </c>
    </row>
    <row r="839">
      <c r="A839" s="1" t="s">
        <v>2713</v>
      </c>
      <c r="B839" s="1" t="s">
        <v>2763</v>
      </c>
      <c r="C839" s="1" t="s">
        <v>2764</v>
      </c>
      <c r="D839" s="1">
        <v>15.0</v>
      </c>
      <c r="E839" s="4" t="s">
        <v>2765</v>
      </c>
      <c r="F839" s="1" t="s">
        <v>43</v>
      </c>
      <c r="I839" s="2">
        <v>1.0</v>
      </c>
      <c r="J839" s="5" t="str">
        <f>IFERROR(__xludf.DUMMYFUNCTION("GOOGLETRANSLATE(A839)"),"Sberbank")</f>
        <v>Sberbank</v>
      </c>
      <c r="K839" s="6" t="str">
        <f>IFERROR(__xludf.DUMMYFUNCTION("GOOGLETRANSLATE(B839)"),"Sberbank of Russia - latest news today")</f>
        <v>Sberbank of Russia - latest news today</v>
      </c>
      <c r="L839" s="5" t="str">
        <f>IFERROR(__xludf.DUMMYFUNCTION("GOOGLETRANSLATE(C839)"),"Sberbank of Russia. Read the latest news on the topic in the news feed on the RIA Novosti website. The State Duma approved in the second and third reading the law on the extension on ...")</f>
        <v>Sberbank of Russia. Read the latest news on the topic in the news feed on the RIA Novosti website. The State Duma approved in the second and third reading the law on the extension on ...</v>
      </c>
      <c r="M839" s="5" t="str">
        <f>IFERROR(__xludf.DUMMYFUNCTION("GOOGLETRANSLATE(G839)"),"#VALUE!")</f>
        <v>#VALUE!</v>
      </c>
    </row>
    <row r="840">
      <c r="A840" s="1" t="s">
        <v>2713</v>
      </c>
      <c r="B840" s="1" t="s">
        <v>2766</v>
      </c>
      <c r="D840" s="1">
        <v>16.0</v>
      </c>
      <c r="E840" s="4" t="s">
        <v>2767</v>
      </c>
      <c r="F840" s="1" t="s">
        <v>43</v>
      </c>
      <c r="G840" s="1" t="s">
        <v>444</v>
      </c>
      <c r="H840" s="4" t="s">
        <v>445</v>
      </c>
      <c r="I840" s="2">
        <v>2.0</v>
      </c>
      <c r="J840" s="5" t="str">
        <f>IFERROR(__xludf.DUMMYFUNCTION("GOOGLETRANSLATE(A840)"),"Sberbank")</f>
        <v>Sberbank</v>
      </c>
      <c r="K840" s="6" t="str">
        <f>IFERROR(__xludf.DUMMYFUNCTION("GOOGLETRANSLATE(B840)"),"Sberbank - Sber")</f>
        <v>Sberbank - Sber</v>
      </c>
      <c r="L840" s="5" t="str">
        <f>IFERROR(__xludf.DUMMYFUNCTION("GOOGLETRANSLATE(C840)"),"#VALUE!")</f>
        <v>#VALUE!</v>
      </c>
      <c r="M840" s="5" t="str">
        <f>IFERROR(__xludf.DUMMYFUNCTION("GOOGLETRANSLATE(G840)"),"JavaScript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841">
      <c r="A841" s="1" t="s">
        <v>2713</v>
      </c>
      <c r="B841" s="1" t="s">
        <v>2768</v>
      </c>
      <c r="D841" s="1">
        <v>17.0</v>
      </c>
      <c r="E841" s="4" t="s">
        <v>2769</v>
      </c>
      <c r="F841" s="1" t="s">
        <v>43</v>
      </c>
      <c r="G841" s="1" t="s">
        <v>302</v>
      </c>
      <c r="H841" s="4" t="s">
        <v>303</v>
      </c>
      <c r="I841" s="2">
        <v>2.0</v>
      </c>
      <c r="J841" s="5" t="str">
        <f>IFERROR(__xludf.DUMMYFUNCTION("GOOGLETRANSLATE(A841)"),"Sberbank")</f>
        <v>Sberbank</v>
      </c>
      <c r="K841" s="6" t="str">
        <f>IFERROR(__xludf.DUMMYFUNCTION("GOOGLETRANSLATE(B841)"),"Elephant on the dance floor. How Herman Gref and his team teach ...")</f>
        <v>Elephant on the dance floor. How Herman Gref and his team teach ...</v>
      </c>
      <c r="L841" s="5" t="str">
        <f>IFERROR(__xludf.DUMMYFUNCTION("GOOGLETRANSLATE(C841)"),"#VALUE!")</f>
        <v>#VALUE!</v>
      </c>
      <c r="M841" s="5" t="str">
        <f>IFERROR(__xludf.DUMMYFUNCTION("GOOGLETRANSLATE(G841)"),"Google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42">
      <c r="A842" s="1" t="s">
        <v>2713</v>
      </c>
      <c r="B842" s="1" t="s">
        <v>2770</v>
      </c>
      <c r="D842" s="1">
        <v>18.0</v>
      </c>
      <c r="E842" s="4" t="s">
        <v>2771</v>
      </c>
      <c r="F842" s="1" t="s">
        <v>43</v>
      </c>
      <c r="G842" s="1" t="s">
        <v>302</v>
      </c>
      <c r="H842" s="4" t="s">
        <v>303</v>
      </c>
      <c r="I842" s="2">
        <v>1.0</v>
      </c>
      <c r="J842" s="5" t="str">
        <f>IFERROR(__xludf.DUMMYFUNCTION("GOOGLETRANSLATE(A842)"),"Sberbank")</f>
        <v>Sberbank</v>
      </c>
      <c r="K842" s="6" t="str">
        <f>IFERROR(__xludf.DUMMYFUNCTION("GOOGLETRANSLATE(B842)"),"Expert North-West 07-2012")</f>
        <v>Expert North-West 07-2012</v>
      </c>
      <c r="L842" s="5" t="str">
        <f>IFERROR(__xludf.DUMMYFUNCTION("GOOGLETRANSLATE(C842)"),"#VALUE!")</f>
        <v>#VALUE!</v>
      </c>
      <c r="M842" s="5" t="str">
        <f>IFERROR(__xludf.DUMMYFUNCTION("GOOGLETRANSLATE(G842)"),"Google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43">
      <c r="A843" s="1" t="s">
        <v>2713</v>
      </c>
      <c r="B843" s="1" t="s">
        <v>2772</v>
      </c>
      <c r="D843" s="1">
        <v>23.0</v>
      </c>
      <c r="E843" s="4" t="s">
        <v>2731</v>
      </c>
      <c r="F843" s="1" t="s">
        <v>43</v>
      </c>
      <c r="G843" s="1" t="s">
        <v>31</v>
      </c>
      <c r="H843" s="4" t="s">
        <v>32</v>
      </c>
      <c r="I843" s="2">
        <v>1.0</v>
      </c>
      <c r="J843" s="5" t="str">
        <f>IFERROR(__xludf.DUMMYFUNCTION("GOOGLETRANSLATE(A843)"),"Sberbank")</f>
        <v>Sberbank</v>
      </c>
      <c r="K843" s="6" t="str">
        <f>IFERROR(__xludf.DUMMYFUNCTION("GOOGLETRANSLATE(B843)"),"Sberbank of Russia - Wikipedia")</f>
        <v>Sberbank of Russia - Wikipedia</v>
      </c>
      <c r="L843" s="5" t="str">
        <f>IFERROR(__xludf.DUMMYFUNCTION("GOOGLETRANSLATE(C843)"),"#VALUE!")</f>
        <v>#VALUE!</v>
      </c>
      <c r="M843" s="5" t="str">
        <f>IFERROR(__xludf.DUMMYFUNCTION("GOOGLETRANSLATE(G843)"),"Wikipedia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844">
      <c r="A844" s="1" t="s">
        <v>2713</v>
      </c>
      <c r="B844" s="1" t="s">
        <v>2773</v>
      </c>
      <c r="D844" s="1">
        <v>24.0</v>
      </c>
      <c r="E844" s="4" t="s">
        <v>2757</v>
      </c>
      <c r="F844" s="1" t="s">
        <v>43</v>
      </c>
      <c r="I844" s="2">
        <v>3.0</v>
      </c>
      <c r="J844" s="5" t="str">
        <f>IFERROR(__xludf.DUMMYFUNCTION("GOOGLETRANSLATE(A844)"),"Sberbank")</f>
        <v>Sberbank</v>
      </c>
      <c r="K844" s="6" t="str">
        <f>IFERROR(__xludf.DUMMYFUNCTION("GOOGLETRANSLATE(B844)"),"Sberbank Hot Line phone for individuals ...")</f>
        <v>Sberbank Hot Line phone for individuals ...</v>
      </c>
      <c r="L844" s="5" t="str">
        <f>IFERROR(__xludf.DUMMYFUNCTION("GOOGLETRANSLATE(C844)"),"#VALUE!")</f>
        <v>#VALUE!</v>
      </c>
      <c r="M844" s="5" t="str">
        <f>IFERROR(__xludf.DUMMYFUNCTION("GOOGLETRANSLATE(G844)"),"#VALUE!")</f>
        <v>#VALUE!</v>
      </c>
    </row>
    <row r="845">
      <c r="A845" s="1" t="s">
        <v>2713</v>
      </c>
      <c r="B845" s="1" t="s">
        <v>2774</v>
      </c>
      <c r="C845" s="1" t="s">
        <v>2738</v>
      </c>
      <c r="D845" s="1">
        <v>26.0</v>
      </c>
      <c r="E845" s="4" t="s">
        <v>2739</v>
      </c>
      <c r="F845" s="1" t="s">
        <v>43</v>
      </c>
      <c r="G845" s="1" t="s">
        <v>34</v>
      </c>
      <c r="H845" s="4" t="s">
        <v>35</v>
      </c>
      <c r="I845" s="2">
        <v>2.0</v>
      </c>
      <c r="J845" s="5" t="str">
        <f>IFERROR(__xludf.DUMMYFUNCTION("GOOGLETRANSLATE(A845)"),"Sberbank")</f>
        <v>Sberbank</v>
      </c>
      <c r="K845" s="6" t="str">
        <f>IFERROR(__xludf.DUMMYFUNCTION("GOOGLETRANSLATE(B845)"),"Sber - VKontakte")</f>
        <v>Sber - VKontakte</v>
      </c>
      <c r="L845" s="5" t="str">
        <f>IFERROR(__xludf.DUMMYFUNCTION("GOOGLETRANSLATE(C845)"),"Sberbank mistakenly took my money to himself and does not return them to me. There is no information in the media about the failure, from the words of Sberbank specialists this ...")</f>
        <v>Sberbank mistakenly took my money to himself and does not return them to me. There is no information in the media about the failure, from the words of Sberbank specialists this ...</v>
      </c>
      <c r="M845" s="5" t="str">
        <f>IFERROR(__xludf.DUMMYFUNCTION("GOOGLETRANSLATE(G845)"),"VK.com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846">
      <c r="A846" s="1" t="s">
        <v>2713</v>
      </c>
      <c r="B846" s="1" t="s">
        <v>2775</v>
      </c>
      <c r="C846" s="1" t="s">
        <v>2776</v>
      </c>
      <c r="D846" s="1">
        <v>28.0</v>
      </c>
      <c r="E846" s="4" t="s">
        <v>2777</v>
      </c>
      <c r="F846" s="1" t="s">
        <v>43</v>
      </c>
      <c r="G846" s="1" t="s">
        <v>2778</v>
      </c>
      <c r="H846" s="4" t="s">
        <v>2779</v>
      </c>
      <c r="I846" s="2">
        <v>1.0</v>
      </c>
      <c r="J846" s="5" t="str">
        <f>IFERROR(__xludf.DUMMYFUNCTION("GOOGLETRANSLATE(A846)"),"Sberbank")</f>
        <v>Sberbank</v>
      </c>
      <c r="K846" s="6" t="str">
        <f>IFERROR(__xludf.DUMMYFUNCTION("GOOGLETRANSLATE(B846)"),"Work in the savings")</f>
        <v>Work in the savings</v>
      </c>
      <c r="L846" s="5" t="str">
        <f>IFERROR(__xludf.DUMMYFUNCTION("GOOGLETRANSLATE(C846)"),"... Data processing · Cooking Policy. © 2023 PJSC Sberbank. Coolies. We use cookies to make our site more convenient for you. Read more.")</f>
        <v>... Data processing · Cooking Policy. © 2023 PJSC Sberbank. Coolies. We use cookies to make our site more convenient for you. Read more.</v>
      </c>
      <c r="M846" s="5" t="str">
        <f>IFERROR(__xludf.DUMMYFUNCTION("GOOGLETRANSLATE(G846)"),"Work in Sberbanics of Media Acomers and Students -Wansit, Java or Marketing Sber is an example, this is a storage salary and social support of employees of the employee of the employee of the Children's Council from the first day and preferential insuranc"&amp;"e for the professional council of professionals professional and thematic commentary support for the initiative for the initiative for the initiative for the initiative. Gile work on Agile3000 of grocery commands and the possibility of internal displaceme"&amp;"nts of the Conductive conditions of the Conductive conditions bending formats Work online services for employees and modern offices of technologies-bond-products for the whole country the best world practices and modern stack of technologies of developmen"&amp;"tal development on internal and external programs to participate in conferences as a listener and speaker and another of the best corporate universities the best client service service day initiating changes for comfort for comfort and the achievements of"&amp;" the goals of 98 million customers of the maintenance of the storage salary and the social support of employees of the employees of the employees of the employees of the DMS from the first day and preferential insurance for relatives of professional and t"&amp;"hematic commander support for initiative work on agile3000 product commands and the possibility of internal movements Online services for employees and modern Office Technical University-Branding Products for the whole country the best world practices and"&amp;" modern technologies of technologies of development of learning on internal and external programs to participate in conferences as a listener and speaker and another of the best corporate universities, the best client service client service is initiating "&amp;"changes for comfort and achievement of the goals fret and social support of the employees of the employees about employees of the employees of the Children's House from the first day and preferential insurance for close association Professional Commander "&amp;"Professional Professional and thematic communities support for initiative work on agile3000 grocery teams and the possibility of internal movements of the Corruptible conditions of the work of online services and modern office -based technology. IT produc"&amp;"ts for the whole country are the best World practices and modern stack of technologies of developmental development at internal and external programs participation in conferences as a listener and speaker and another of the best corporate universities, th"&amp;"e best client service client service is initiating changes for comfort and achieving the goals of 98 million clients of the agiles of the AGledata-PEOPLECLECTIONAL Support Support for Support for Support for Services of Services Professionals of the leadi"&amp;"ng-safe-security-support and person Studies of the Politics Policy Politics Politics of use Cookies © 2023 Sberbank PJSC vacancies to media graduates and students")</f>
        <v>Work in Sberbanics of Media Acomers and Students -Wansit, Java or Marketing Sber is an example, this is a storage salary and social support of employees of the employee of the employee of the Children's Council from the first day and preferential insurance for the professional council of professionals professional and thematic commentary support for the initiative for the initiative for the initiative for the initiative. Gile work on Agile3000 of grocery commands and the possibility of internal displacements of the Conductive conditions of the Conductive conditions bending formats Work online services for employees and modern offices of technologies-bond-products for the whole country the best world practices and modern stack of technologies of developmental development on internal and external programs to participate in conferences as a listener and speaker and another of the best corporate universities the best client service service day initiating changes for comfort for comfort and the achievements of the goals of 98 million customers of the maintenance of the storage salary and the social support of employees of the employees of the employees of the employees of the DMS from the first day and preferential insurance for relatives of professional and thematic commander support for initiative work on agile3000 product commands and the possibility of internal movements Online services for employees and modern Office Technical University-Branding Products for the whole country the best world practices and modern technologies of technologies of development of learning on internal and external programs to participate in conferences as a listener and speaker and another of the best corporate universities, the best client service client service is initiating changes for comfort and achievement of the goals fret and social support of the employees of the employees about employees of the employees of the Children's House from the first day and preferential insurance for close association Professional Commander Professional Professional and thematic communities support for initiative work on agile3000 grocery teams and the possibility of internal movements of the Corruptible conditions of the work of online services and modern office -based technology. IT products for the whole country are the best World practices and modern stack of technologies of developmental development at internal and external programs participation in conferences as a listener and speaker and another of the best corporate universities, the best client service client service is initiating changes for comfort and achieving the goals of 98 million clients of the agiles of the AGledata-PEOPLECLECTIONAL Support Support for Support for Support for Services of Services Professionals of the leading-safe-security-support and person Studies of the Politics Policy Politics Politics of use Cookies © 2023 Sberbank PJSC vacancies to media graduates and students</v>
      </c>
    </row>
    <row r="847">
      <c r="A847" s="1" t="s">
        <v>2713</v>
      </c>
      <c r="B847" s="1" t="s">
        <v>2780</v>
      </c>
      <c r="C847" s="1" t="s">
        <v>2781</v>
      </c>
      <c r="D847" s="1">
        <v>29.0</v>
      </c>
      <c r="E847" s="4" t="s">
        <v>2782</v>
      </c>
      <c r="F847" s="1" t="s">
        <v>43</v>
      </c>
      <c r="I847" s="2">
        <v>1.0</v>
      </c>
      <c r="J847" s="5" t="str">
        <f>IFERROR(__xludf.DUMMYFUNCTION("GOOGLETRANSLATE(A847)"),"Sberbank")</f>
        <v>Sberbank</v>
      </c>
      <c r="K847" s="6" t="str">
        <f>IFERROR(__xludf.DUMMYFUNCTION("GOOGLETRANSLATE(B847)"),"Sberbank Insurance")</f>
        <v>Sberbank Insurance</v>
      </c>
      <c r="L847" s="5" t="str">
        <f>IFERROR(__xludf.DUMMYFUNCTION("GOOGLETRANSLATE(C847)"),"Sberbank Insurance offers a wide range of insurance products for private and legal entities. Registration of insurance online. Help and support 24/7.")</f>
        <v>Sberbank Insurance offers a wide range of insurance products for private and legal entities. Registration of insurance online. Help and support 24/7.</v>
      </c>
      <c r="M847" s="5" t="str">
        <f>IFERROR(__xludf.DUMMYFUNCTION("GOOGLETRANSLATE(G847)"),"#VALUE!")</f>
        <v>#VALUE!</v>
      </c>
    </row>
    <row r="848">
      <c r="A848" s="1" t="s">
        <v>2713</v>
      </c>
      <c r="B848" s="1" t="s">
        <v>2783</v>
      </c>
      <c r="D848" s="1">
        <v>30.0</v>
      </c>
      <c r="E848" s="4" t="s">
        <v>2784</v>
      </c>
      <c r="F848" s="1" t="s">
        <v>43</v>
      </c>
      <c r="I848" s="2">
        <v>1.0</v>
      </c>
      <c r="J848" s="5" t="str">
        <f>IFERROR(__xludf.DUMMYFUNCTION("GOOGLETRANSLATE(A848)"),"Sberbank")</f>
        <v>Sberbank</v>
      </c>
      <c r="K848" s="6" t="str">
        <f>IFERROR(__xludf.DUMMYFUNCTION("GOOGLETRANSLATE(B848)"),"Sberbank is Sberbank")</f>
        <v>Sberbank is Sberbank</v>
      </c>
      <c r="L848" s="5" t="str">
        <f>IFERROR(__xludf.DUMMYFUNCTION("GOOGLETRANSLATE(C848)"),"#VALUE!")</f>
        <v>#VALUE!</v>
      </c>
      <c r="M848" s="5" t="str">
        <f>IFERROR(__xludf.DUMMYFUNCTION("GOOGLETRANSLATE(G848)"),"#VALUE!")</f>
        <v>#VALUE!</v>
      </c>
    </row>
    <row r="849">
      <c r="A849" s="1" t="s">
        <v>2713</v>
      </c>
      <c r="B849" s="1" t="s">
        <v>2785</v>
      </c>
      <c r="D849" s="1">
        <v>34.0</v>
      </c>
      <c r="E849" s="4" t="s">
        <v>2786</v>
      </c>
      <c r="F849" s="1" t="s">
        <v>43</v>
      </c>
      <c r="G849" s="1" t="s">
        <v>302</v>
      </c>
      <c r="H849" s="4" t="s">
        <v>303</v>
      </c>
      <c r="I849" s="2">
        <v>3.0</v>
      </c>
      <c r="J849" s="5" t="str">
        <f>IFERROR(__xludf.DUMMYFUNCTION("GOOGLETRANSLATE(A849)"),"Sberbank")</f>
        <v>Sberbank</v>
      </c>
      <c r="K849" s="6" t="str">
        <f>IFERROR(__xludf.DUMMYFUNCTION("GOOGLETRANSLATE(B849)"),"Spear's Russia. Private Banking &amp; Wealth Management ...")</f>
        <v>Spear's Russia. Private Banking &amp; Wealth Management ...</v>
      </c>
      <c r="L849" s="5" t="str">
        <f>IFERROR(__xludf.DUMMYFUNCTION("GOOGLETRANSLATE(C849)"),"#VALUE!")</f>
        <v>#VALUE!</v>
      </c>
      <c r="M849" s="5" t="str">
        <f>IFERROR(__xludf.DUMMYFUNCTION("GOOGLETRANSLATE(G849)"),"Google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50">
      <c r="A850" s="1" t="s">
        <v>2713</v>
      </c>
      <c r="B850" s="1" t="s">
        <v>2787</v>
      </c>
      <c r="D850" s="1">
        <v>36.0</v>
      </c>
      <c r="E850" s="4" t="s">
        <v>2767</v>
      </c>
      <c r="F850" s="1" t="s">
        <v>43</v>
      </c>
      <c r="G850" s="1" t="s">
        <v>444</v>
      </c>
      <c r="H850" s="4" t="s">
        <v>445</v>
      </c>
      <c r="I850" s="2">
        <v>1.0</v>
      </c>
      <c r="J850" s="5" t="str">
        <f>IFERROR(__xludf.DUMMYFUNCTION("GOOGLETRANSLATE(A850)"),"Sberbank")</f>
        <v>Sberbank</v>
      </c>
      <c r="K850" s="6" t="str">
        <f>IFERROR(__xludf.DUMMYFUNCTION("GOOGLETRANSLATE(B850)"),"Sber (@sberbank) / x")</f>
        <v>Sber (@sberbank) / x</v>
      </c>
      <c r="L850" s="5" t="str">
        <f>IFERROR(__xludf.DUMMYFUNCTION("GOOGLETRANSLATE(C850)"),"#VALUE!")</f>
        <v>#VALUE!</v>
      </c>
      <c r="M850" s="5" t="str">
        <f>IFERROR(__xludf.DUMMYFUNCTION("GOOGLETRANSLATE(G850)"),"JavaScript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851">
      <c r="A851" s="1" t="s">
        <v>2788</v>
      </c>
      <c r="B851" s="1" t="s">
        <v>2789</v>
      </c>
      <c r="C851" s="1" t="s">
        <v>2718</v>
      </c>
      <c r="D851" s="1">
        <v>1.0</v>
      </c>
      <c r="E851" s="4" t="s">
        <v>2719</v>
      </c>
      <c r="F851" s="1" t="s">
        <v>16</v>
      </c>
      <c r="G851" s="1" t="s">
        <v>2720</v>
      </c>
      <c r="H851" s="4" t="s">
        <v>2721</v>
      </c>
      <c r="I851" s="2">
        <v>1.0</v>
      </c>
      <c r="J851" s="5" t="str">
        <f>IFERROR(__xludf.DUMMYFUNCTION("GOOGLETRANSLATE(A851)"),"Sberbank Online")</f>
        <v>Sberbank Online</v>
      </c>
      <c r="K851" s="6" t="str">
        <f>IFERROR(__xludf.DUMMYFUNCTION("GOOGLETRANSLATE(B851)"),"Sberbank Online")</f>
        <v>Sberbank Online</v>
      </c>
      <c r="L851" s="5" t="str">
        <f>IFERROR(__xludf.DUMMYFUNCTION("GOOGLETRANSLATE(C851)"),"Update the browser to enter Sberbank online · Sberbank. Entrance by phone number. Login.")</f>
        <v>Update the browser to enter Sberbank online · Sberbank. Entrance by phone number. Login.</v>
      </c>
      <c r="M851" s="5" t="str">
        <f>IFERROR(__xludf.DUMMYFUNCTION("GOOGLETRANSLATE(G851)"),"You can not enter Sberbank online in this browser. Non -will enter Sberbank online in this browser. Please try another browser. If it doesn’t work, call us by number 900 or +7 495 500-55-50 if you are abroad. Support id: &lt;18005308073735164417&gt; [backward]")</f>
        <v>You can not enter Sberbank online in this browser. Non -will enter Sberbank online in this browser. Please try another browser. If it doesn’t work, call us by number 900 or +7 495 500-55-50 if you are abroad. Support id: &lt;18005308073735164417&gt; [backward]</v>
      </c>
    </row>
    <row r="852">
      <c r="A852" s="1" t="s">
        <v>2788</v>
      </c>
      <c r="B852" s="1" t="s">
        <v>2790</v>
      </c>
      <c r="C852" s="1" t="s">
        <v>2791</v>
      </c>
      <c r="D852" s="1">
        <v>2.0</v>
      </c>
      <c r="E852" s="4" t="s">
        <v>2792</v>
      </c>
      <c r="F852" s="1" t="s">
        <v>16</v>
      </c>
      <c r="I852" s="2">
        <v>1.0</v>
      </c>
      <c r="J852" s="5" t="str">
        <f>IFERROR(__xludf.DUMMYFUNCTION("GOOGLETRANSLATE(A852)"),"Sberbank Online")</f>
        <v>Sberbank Online</v>
      </c>
      <c r="K852" s="6" t="str">
        <f>IFERROR(__xludf.DUMMYFUNCTION("GOOGLETRANSLATE(B852)"),"Web version of Sberbank online")</f>
        <v>Web version of Sberbank online</v>
      </c>
      <c r="L852" s="5" t="str">
        <f>IFERROR(__xludf.DUMMYFUNCTION("GOOGLETRANSLATE(C852)"),"Web version of Sberbank online ✓ online is more profitable than in the office of the bank ✓ instantly transfer money ✓ pay services.")</f>
        <v>Web version of Sberbank online ✓ online is more profitable than in the office of the bank ✓ instantly transfer money ✓ pay services.</v>
      </c>
      <c r="M852" s="5" t="str">
        <f>IFERROR(__xludf.DUMMYFUNCTION("GOOGLETRANSLATE(G852)"),"#VALUE!")</f>
        <v>#VALUE!</v>
      </c>
    </row>
    <row r="853">
      <c r="A853" s="1" t="s">
        <v>2788</v>
      </c>
      <c r="B853" s="1" t="s">
        <v>2714</v>
      </c>
      <c r="C853" s="1" t="s">
        <v>2793</v>
      </c>
      <c r="D853" s="1">
        <v>3.0</v>
      </c>
      <c r="E853" s="4" t="s">
        <v>2716</v>
      </c>
      <c r="F853" s="1" t="s">
        <v>16</v>
      </c>
      <c r="I853" s="2">
        <v>1.0</v>
      </c>
      <c r="J853" s="5" t="str">
        <f>IFERROR(__xludf.DUMMYFUNCTION("GOOGLETRANSLATE(A853)"),"Sberbank Online")</f>
        <v>Sberbank Online</v>
      </c>
      <c r="K853" s="6" t="str">
        <f>IFERROR(__xludf.DUMMYFUNCTION("GOOGLETRANSLATE(B853)"),"Sberbank for individuals - banking services")</f>
        <v>Sberbank for individuals - banking services</v>
      </c>
      <c r="L853" s="5" t="str">
        <f>IFERROR(__xludf.DUMMYFUNCTION("GOOGLETRANSLATE(C853)"),"Sberbank application online for android. Download or update the application and manage personal finances online · We will help install the application on the iPhone.")</f>
        <v>Sberbank application online for android. Download or update the application and manage personal finances online · We will help install the application on the iPhone.</v>
      </c>
      <c r="M853" s="5" t="str">
        <f>IFERROR(__xludf.DUMMYFUNCTION("GOOGLETRANSLATE(G853)"),"#VALUE!")</f>
        <v>#VALUE!</v>
      </c>
    </row>
    <row r="854">
      <c r="A854" s="1" t="s">
        <v>2788</v>
      </c>
      <c r="B854" s="1" t="s">
        <v>2794</v>
      </c>
      <c r="C854" s="1" t="s">
        <v>2795</v>
      </c>
      <c r="D854" s="1">
        <v>4.0</v>
      </c>
      <c r="E854" s="4" t="s">
        <v>2796</v>
      </c>
      <c r="F854" s="1" t="s">
        <v>16</v>
      </c>
      <c r="G854" s="1" t="s">
        <v>2735</v>
      </c>
      <c r="H854" s="4" t="s">
        <v>2736</v>
      </c>
      <c r="I854" s="2">
        <v>2.0</v>
      </c>
      <c r="J854" s="5" t="str">
        <f>IFERROR(__xludf.DUMMYFUNCTION("GOOGLETRANSLATE(A854)"),"Sberbank Online")</f>
        <v>Sberbank Online</v>
      </c>
      <c r="K854" s="6" t="str">
        <f>IFERROR(__xludf.DUMMYFUNCTION("GOOGLETRANSLATE(B854)"),"Sber Bank OJSC")</f>
        <v>Sber Bank OJSC</v>
      </c>
      <c r="L854" s="5" t="str">
        <f>IFERROR(__xludf.DUMMYFUNCTION("GOOGLETRANSLATE(C854)"),"Cash transfers between the maps of the Sberbank of Russia and Belarus. Translate regardless of sanctions restrictions. The Sberbank online service has a service ...")</f>
        <v>Cash transfers between the maps of the Sberbank of Russia and Belarus. Translate regardless of sanctions restrictions. The Sberbank online service has a service ...</v>
      </c>
      <c r="M854" s="5" t="str">
        <f>IFERROR(__xludf.DUMMYFUNCTION("GOOGLETRANSLATE(G854)"),"Sberbian Bank OJSC - the main department and ATMS Bank Bank Bank is working in the usual regime, on the main questions about the current situation in Banquet, to know in detail Sberbank online, the online consurnts with income of up to 126% of the anniver"&amp;"sary of the anniversary of the Comfort Comfort Comfort Credit for your comfort! Details of detailed every day is the pleasure of shopping with a free digital card with truly large manibs up to 100%more detailed identification of electronic wallets of the "&amp;"Yumoney defense for reducing the tariff for identifying to 10 by is extended until the end of the summer! For more and more consumer loan “just on the Online” is easy to pay! Paybestate payment using smartphone in detail financial security is the main tas"&amp;"k- the preservation of your finances and personal data of the subbelnye bank works in the usual regime on the main issues about the current situation in Bankeuum, the details of the Sberbank Online Currency Currencies in our bankonaline service in our ban"&amp;"konaline service helps to keep the Money- Back making purchases in Yandex. Food Mark Formelle and the National Art Museum-Comprehensive Subscription Sberpraim-entertainment services and a profitable map for Vasuridic services with a discount of 20%of SB G"&amp;"lobal LLC provides a discount for corporate customers for various industries SBPOSBUSTIRING SBPOSBESTIONAL Contemporary acceptance acceptance of currencyc Onversioned Besternasyenyenetz Bankpupupupupupupopa sales1 USD31700319501 EUR3350034100100 RUB340003"&amp;"4700 Course for 11.11 .2023 C 09: 00VS CUSPRIADY ANSWERS OF ALL IS COMPLESS AND EARTHING TIME and MONEY COMPLE OF BANKS? 100 tips from a score of 1 check-list-by-demonstrations-a new type of fraud is more details for a new web version of the Sberbank Onli"&amp;"ne system more than the algorithm of actions to update the Sberbank Online application in detail the operating mode of the bank’s divisions in festive days of customer services to understand banking services? 100 tips from the Sberbank in 1 checklist-List"&amp;"o-start of the placement of bonds of the 121st issue of Sber Bank OJSC for an individual to amend the Black Service package businesscack to understand banking services? 100 tips from the Sberbank to 1 checklist-listoral deregistration of non-working mobil"&amp;"e applications SBPOS conditions of currency exchange operations at BVFB Trades, on behalf of and at the expense of corporate customer tenders on November 15 and 17 and 17th, November 7 to 8 to 8 to 8 to 8 to 8 to 8 to 8 to 8 to 8 News Bancacifre Bank in y"&amp;"our pocket! Scan the QR code of your smartphone camera is useful to you? Dunkets of card-payroll-investigation packages and transdiconnine service is the Premesberbank Premiersberus and mobile number 15-148-148A1 MTC LIFEAL Client support Eracentr Clienta"&amp;"lization of property financial literacy to the acts and investors in the processing of personal data of theengoAO Sberbian Bank ""(Hereinafter referred to as the bank) uses Cookie files to increase the efficiency of working with the web site of the Bank's"&amp;" Web Sit Bank for your needs and simplify your interaction with the bank's web site during future sessions. If you do not want to use files “Cookie” we recommend that you change your browser settings or stop working with the bank’s web site. © 1993–2023 S"&amp;"ber Bank OJSC to order to call the issue for emails with banking “Sber Bank” uses Cookie to personalize services and user convenience. You can prohibit the preservation of “cookie” in the settings of your browser or refuse on the website of Sber Bank OJSC"&amp;".")</f>
        <v>Sberbian Bank OJSC - the main department and ATMS Bank Bank Bank is working in the usual regime, on the main questions about the current situation in Banquet, to know in detail Sberbank online, the online consurnts with income of up to 126% of the anniversary of the anniversary of the Comfort Comfort Comfort Credit for your comfort! Details of detailed every day is the pleasure of shopping with a free digital card with truly large manibs up to 100%more detailed identification of electronic wallets of the Yumoney defense for reducing the tariff for identifying to 10 by is extended until the end of the summer! For more and more consumer loan “just on the Online” is easy to pay! Paybestate payment using smartphone in detail financial security is the main task- the preservation of your finances and personal data of the subbelnye bank works in the usual regime on the main issues about the current situation in Bankeuum, the details of the Sberbank Online Currency Currencies in our bankonaline service in our bankonaline service helps to keep the Money- Back making purchases in Yandex. Food Mark Formelle and the National Art Museum-Comprehensive Subscription Sberpraim-entertainment services and a profitable map for Vasuridic services with a discount of 20%of SB Global LLC provides a discount for corporate customers for various industries SBPOSBUSTIRING SBPOSBESTIONAL Contemporary acceptance acceptance of currencyc Onversioned Besternasyenyenetz Bankpupupupupupupopa sales1 USD31700319501 EUR3350034100100 RUB3400034700 Course for 11.11 .2023 C 09: 00VS CUSPRIADY ANSWERS OF ALL IS COMPLESS AND EARTHING TIME and MONEY COMPLE OF BANKS? 100 tips from a score of 1 check-list-by-demonstrations-a new type of fraud is more details for a new web version of the Sberbank Online system more than the algorithm of actions to update the Sberbank Online application in detail the operating mode of the bank’s divisions in festive days of customer services to understand banking services? 100 tips from the Sberbank in 1 checklist-Listo-start of the placement of bonds of the 121st issue of Sber Bank OJSC for an individual to amend the Black Service package businesscack to understand banking services? 100 tips from the Sberbank to 1 checklist-listoral deregistration of non-working mobile applications SBPOS conditions of currency exchange operations at BVFB Trades, on behalf of and at the expense of corporate customer tenders on November 15 and 17 and 17th, November 7 to 8 to 8 to 8 to 8 to 8 to 8 to 8 to 8 to 8 News Bancacifre Bank in your pocket! Scan the QR code of your smartphone camera is useful to you? Dunkets of card-payroll-investigation packages and transdiconnine service is the Premesberbank Premiersberus and mobile number 15-148-148A1 MTC LIFEAL Client support Eracentr Clientalization of property financial literacy to the acts and investors in the processing of personal data of theengoAO Sberbian Bank "(Hereinafter referred to as the bank) uses Cookie files to increase the efficiency of working with the web site of the Bank's Web Sit Bank for your needs and simplify your interaction with the bank's web site during future sessions. If you do not want to use files “Cookie” we recommend that you change your browser settings or stop working with the bank’s web site. © 1993–2023 Sber Bank OJSC to order to call the issue for emails with banking “Sber Bank” uses Cookie to personalize services and user convenience. You can prohibit the preservation of “cookie” in the settings of your browser or refuse on the website of Sber Bank OJSC.</v>
      </c>
    </row>
    <row r="855">
      <c r="A855" s="1" t="s">
        <v>2788</v>
      </c>
      <c r="B855" s="1" t="s">
        <v>2797</v>
      </c>
      <c r="C855" s="1" t="s">
        <v>2798</v>
      </c>
      <c r="D855" s="1">
        <v>5.0</v>
      </c>
      <c r="E855" s="4" t="s">
        <v>2799</v>
      </c>
      <c r="F855" s="1" t="s">
        <v>16</v>
      </c>
      <c r="I855" s="2">
        <v>1.0</v>
      </c>
      <c r="J855" s="5" t="str">
        <f>IFERROR(__xludf.DUMMYFUNCTION("GOOGLETRANSLATE(A855)"),"Sberbank Online")</f>
        <v>Sberbank Online</v>
      </c>
      <c r="K855" s="6" t="str">
        <f>IFERROR(__xludf.DUMMYFUNCTION("GOOGLETRANSLATE(B855)"),"Sberbank online system")</f>
        <v>Sberbank online system</v>
      </c>
      <c r="L855" s="5" t="str">
        <f>IFERROR(__xludf.DUMMYFUNCTION("GOOGLETRANSLATE(C855)"),"November 29. 2011 -")</f>
        <v>November 29. 2011 -</v>
      </c>
      <c r="M855" s="5" t="str">
        <f>IFERROR(__xludf.DUMMYFUNCTION("GOOGLETRANSLATE(G855)"),"#VALUE!")</f>
        <v>#VALUE!</v>
      </c>
    </row>
    <row r="856">
      <c r="A856" s="1" t="s">
        <v>2788</v>
      </c>
      <c r="B856" s="1" t="s">
        <v>2800</v>
      </c>
      <c r="C856" s="1" t="s">
        <v>2801</v>
      </c>
      <c r="D856" s="1">
        <v>6.0</v>
      </c>
      <c r="E856" s="4" t="s">
        <v>2802</v>
      </c>
      <c r="F856" s="1" t="s">
        <v>16</v>
      </c>
      <c r="G856" s="1" t="s">
        <v>1168</v>
      </c>
      <c r="H856" s="4" t="s">
        <v>1169</v>
      </c>
      <c r="I856" s="2">
        <v>1.0</v>
      </c>
      <c r="J856" s="5" t="str">
        <f>IFERROR(__xludf.DUMMYFUNCTION("GOOGLETRANSLATE(A856)"),"Sberbank Online")</f>
        <v>Sberbank Online</v>
      </c>
      <c r="K856" s="6" t="str">
        <f>IFERROR(__xludf.DUMMYFUNCTION("GOOGLETRANSLATE(B856)"),"Sberbank Online - Entrance to Personal Account ...")</f>
        <v>Sberbank Online - Entrance to Personal Account ...</v>
      </c>
      <c r="L856" s="5" t="str">
        <f>IFERROR(__xludf.DUMMYFUNCTION("GOOGLETRANSLATE(C856)"),"Through the Internet. To register, you need to go to this page: https://online.sberbank.ru/csafront/index.do#/registration. To get started, the site ...")</f>
        <v>Through the Internet. To register, you need to go to this page: https://online.sberbank.ru/csafront/index.do#/registration. To get started, the site ...</v>
      </c>
      <c r="M856" s="5" t="str">
        <f>IFERROR(__xludf.DUMMYFUNCTION("GOOGLETRANSLATE(G856)"),"Compare the selection and comparison of credit cards of credit cards Car insurance Calculator Calculator and CASCO Rating of insurance companies of the credit use of credit recovery of auto -credit Credit Credit Credit Credits online bankcrodins without c"&amp;"ertificates of real estate income with poor credit history of exchange of foreign currency exchange rates NG Banking Services Banking Covers on Banning -Supervision Options Supervision Mortgage of Travelers Insurance Aparties athletes Discard Medical Insu"&amp;"rance Critical Disease Craduation from a bite tick -luggage of the house and animal overthrow daching KBMRrating of insurance companies of insurance companies. Outputs about insurance companies on insurance storage online posts on crankcases without refus"&amp;"al from bad kizima without interest -free, borrowed borrowings for the deposit of Ptszami -long -term borrowing loans of the MFOspections FOOPOTETECIPENITIONAL CRIENTS for a mortgage online family mortgage with state -cervical vehicle housing housing cons"&amp;"truction. House -refinancing mortgages in new buildings Piccalculator of a mortgage of a mortgage without initial contributions on mortgages for a young family for a young family mortgage mortgage for Banking Service Banking Card Card Credit Credit Card C"&amp;"ard Card Credit Cards with Free Service Card Credit Cards with an instant decision of the Card of Cards without Outcredit cards with delivery cards without confirming an income card of an installmentar cards with cashbacks of banking records of banking ch"&amp;"ecks about banks Board of depository investment investment deposit deposit invoice to invest money and investment Investment insurance programs for life-saving insurance of Life-rending banking records banks of bankshakhi-rating Blackracies Conducting Off"&amp;"ice of Business Service Service Universal Conductors Quillingwed Registration Business-Ling-Gallery Services Services for Markets of Changes to IP and LLC LLC IPREETISITS BANKS ON BUSINESS OF BUSINESS OF BAST CONCLUSIONS ON THE BANCHOOKSHINALINAL Skillbox"&amp;" programmakesino-School management Analyticamarketing PROTEMING to the USE and OGED development for python1-programingq testing graphic-design-designing Language Curses about courses of schools of schools of schools of schools and response and response an"&amp;"d response of companies and games. Ting experts of the Creditan investigation of the insurance of lifting aids, we will save money to compare prices and save up to 5,500 ₽ Com bosom to place prices for 1 minute to place the banks ready to give out a loan "&amp;"on the right You are conditions of a card for 10 minutes 0%insurance of an insurance for a bankprise of 500 000 ₽ Credit rating of a credit history for the absence of delays and an error -free pay -off -class, the best conditions are the best conditions f"&amp;"or tourist insurance athletes Service 9 thousand. Responsive Often searchcifers of cash registering loan loan loans for cartridges on security for car loans on the security of real estate application For creditcredites with poor bickens without a certific"&amp;"ate of launcher, liner -term accounts with monthly payments to dollarshvallete deposits for retirees in euro -ranges in the yuanahpets on the deposit of the deposit of the hen There are a suburban boat mortgage with state support for a young family of a f"&amp;"amily in new buildings in new buildings in the new building cards to the best credit card cards without refusal cards with poor kyvirtual credit card cards installments with 100 % approval by instant solutions by conding cards with delivery cards Unionpay"&amp;"cobeiding Cards Card Card Card Card Card Cards with cashback cards for a child with free service cards of Mirsa Process by the residual -concrete cards for pensioner -concern cards Unionpaycobejing debit card -bearing -based maps for cartridges without pe"&amp;"rcentage without verification Online poses on a map without refusalsayamsim for ptszams without refusal from poor kions and promotional c do in the Mfostorovannannanikalchata OSAGOOSAGO ONLYKASKAROSKAING FOR LIFE -Building Life for Mortgage Supervision of"&amp;" Real Estate from accidents of cases of civicnutic codes Redites at 0%long -term microcreditic codes through public services business architecture business -register for business accounts for ipcredit for LLC Ekweingbank guarantees of food products for a "&amp;"medical medical insurance for the GoddMS with dentistry with telemedicine insurance from bite tick -pacing from critical illness from heart attack and stroke from racin -investment service to open up the overwhelming of the Onlineis for the IPREATIVE BROK"&amp;"ROGRABLIC score for legal limits NGRACTION OF THE CONTRODUCTURENCENT PROGNITION for the exam and OGESELS - In the mobile application, Implay, Open Open Services Online Controls Contacts Checks and Contacts Insurance Consure Evaluate your credit The possib"&amp;"ilities to use the QR -codal of the installation, enter the phone camera on the QR -KODO project of the project -Partner program of the agent -user agreement Politician Politicia of the Privacy of the Setanashi Expertsai Vacancies © 2009–2023 LLC ""Reflas"&amp;"is"". When using materials, a hyperlink on sravni.ru is required. TIN 7710718303 OGRN 1087746642774. 109544 Moscow Boulevard Enthusiasts House 26th floor ""Reflasis.ru"" operates activities in the IT field: the service provides online selection services a"&amp;"s advertising organizations - partners in the Internet using COOKIE files In order to provide users with more opportunities when visiting the site sravni.ru. Read more about the conditions of use.")</f>
        <v>Compare the selection and comparison of credit cards of credit cards Car insurance Calculator Calculator and CASCO Rating of insurance companies of the credit use of credit recovery of auto -credit Credit Credit Credit Credits online bankcrodins without certificates of real estate income with poor credit history of exchange of foreign currency exchange rates NG Banking Services Banking Covers on Banning -Supervision Options Supervision Mortgage of Travelers Insurance Aparties athletes Discard Medical Insurance Critical Disease Craduation from a bite tick -luggage of the house and animal overthrow daching KBMRrating of insurance companies of insurance companies. Outputs about insurance companies on insurance storage online posts on crankcases without refusal from bad kizima without interest -free, borrowed borrowings for the deposit of Ptszami -long -term borrowing loans of the MFOspections FOOPOTETECIPENITIONAL CRIENTS for a mortgage online family mortgage with state -cervical vehicle housing housing construction. House -refinancing mortgages in new buildings Piccalculator of a mortgage of a mortgage without initial contributions on mortgages for a young family for a young family mortgage mortgage for Banking Service Banking Card Card Credit Credit Card Card Card Credit Cards with Free Service Card Credit Cards with an instant decision of the Card of Cards without Outcredit cards with delivery cards without confirming an income card of an installmentar cards with cashbacks of banking records of banking checks about banks Board of depository investment investment deposit deposit invoice to invest money and investment Investment insurance programs for life-saving insurance of Life-rending banking records banks of bankshakhi-rating Blackracies Conducting Office of Business Service Service Universal Conductors Quillingwed Registration Business-Ling-Gallery Services Services for Markets of Changes to IP and LLC LLC IPREETISITS BANKS ON BUSINESS OF BUSINESS OF BAST CONCLUSIONS ON THE BANCHOOKSHINALINAL Skillbox programmakesino-School management Analyticamarketing PROTEMING to the USE and OGED development for python1-programingq testing graphic-design-designing Language Curses about courses of schools of schools of schools of schools and response and response and response of companies and games. Ting experts of the Creditan investigation of the insurance of lifting aids, we will save money to compare prices and save up to 5,500 ₽ Com bosom to place prices for 1 minute to place the banks ready to give out a loan on the right You are conditions of a card for 10 minutes 0%insurance of an insurance for a bankprise of 500 000 ₽ Credit rating of a credit history for the absence of delays and an error -free pay -off -class, the best conditions are the best conditions for tourist insurance athletes Service 9 thousand. Responsive Often searchcifers of cash registering loan loan loans for cartridges on security for car loans on the security of real estate application For creditcredites with poor bickens without a certificate of launcher, liner -term accounts with monthly payments to dollarshvallete deposits for retirees in euro -ranges in the yuanahpets on the deposit of the deposit of the hen There are a suburban boat mortgage with state support for a young family of a family in new buildings in new buildings in the new building cards to the best credit card cards without refusal cards with poor kyvirtual credit card cards installments with 100 % approval by instant solutions by conding cards with delivery cards Unionpaycobeiding Cards Card Card Card Card Card Cards with cashback cards for a child with free service cards of Mirsa Process by the residual -concrete cards for pensioner -concern cards Unionpaycobejing debit card -bearing -based maps for cartridges without percentage without verification Online poses on a map without refusalsayamsim for ptszams without refusal from poor kions and promotional c do in the Mfostorovannannanikalchata OSAGOOSAGO ONLYKASKAROSKAING FOR LIFE -Building Life for Mortgage Supervision of Real Estate from accidents of cases of civicnutic codes Redites at 0%long -term microcreditic codes through public services business architecture business -register for business accounts for ipcredit for LLC Ekweingbank guarantees of food products for a medical medical insurance for the GoddMS with dentistry with telemedicine insurance from bite tick -pacing from critical illness from heart attack and stroke from racin -investment service to open up the overwhelming of the Onlineis for the IPREATIVE BROKROGRABLIC score for legal limits NGRACTION OF THE CONTRODUCTURENCENT PROGNITION for the exam and OGESELS - In the mobile application, Implay, Open Open Services Online Controls Contacts Checks and Contacts Insurance Consure Evaluate your credit The possibilities to use the QR -codal of the installation, enter the phone camera on the QR -KODO project of the project -Partner program of the agent -user agreement Politician Politicia of the Privacy of the Setanashi Expertsai Vacancies © 2009–2023 LLC "Reflasis". When using materials, a hyperlink on sravni.ru is required. TIN 7710718303 OGRN 1087746642774. 109544 Moscow Boulevard Enthusiasts House 26th floor "Reflasis.ru" operates activities in the IT field: the service provides online selection services as advertising organizations - partners in the Internet using COOKIE files In order to provide users with more opportunities when visiting the site sravni.ru. Read more about the conditions of use.</v>
      </c>
    </row>
    <row r="857">
      <c r="A857" s="1" t="s">
        <v>2788</v>
      </c>
      <c r="B857" s="1" t="s">
        <v>2803</v>
      </c>
      <c r="C857" s="1" t="s">
        <v>2804</v>
      </c>
      <c r="D857" s="1">
        <v>7.0</v>
      </c>
      <c r="E857" s="4" t="s">
        <v>2805</v>
      </c>
      <c r="F857" s="1" t="s">
        <v>16</v>
      </c>
      <c r="G857" s="1" t="s">
        <v>2725</v>
      </c>
      <c r="H857" s="4" t="s">
        <v>2726</v>
      </c>
      <c r="I857" s="2">
        <v>1.0</v>
      </c>
      <c r="J857" s="5" t="str">
        <f>IFERROR(__xludf.DUMMYFUNCTION("GOOGLETRANSLATE(A857)"),"Sberbank Online")</f>
        <v>Sberbank Online</v>
      </c>
      <c r="K857" s="6" t="str">
        <f>IFERROR(__xludf.DUMMYFUNCTION("GOOGLETRANSLATE(B857)"),"Sberbank mobile application online for Android")</f>
        <v>Sberbank mobile application online for Android</v>
      </c>
      <c r="L857" s="5" t="str">
        <f>IFERROR(__xludf.DUMMYFUNCTION("GOOGLETRANSLATE(C857)"),"Method 2. On the site sberbank.ru · 1. Download the file for installation in APK format. · 2. If necessary, confirm the load. Please note: on your phone ...")</f>
        <v>Method 2. On the site sberbank.ru · 1. Download the file for installation in APK format. · 2. If necessary, confirm the load. Please note: on your phone ...</v>
      </c>
      <c r="M857" s="5" t="str">
        <f>IFERROR(__xludf.DUMMYFUNCTION("GOOGLETRANSLATE(G857)"),"sberbank.ru Zavoznika problem when opening the Sberbank website in this browser. You may not have certificates of the National MIT MIC of the Ministry of Culture of Russia. You can meet the installation instructions at https://www.gosuslugi.ru/crtlibo try"&amp;" to enter the site in another browser by reference https://wwww.sberbank.com/en/certificate Error will repeat to us by number 900 or + 7495 500-55-50 If you are abroad and inform your Support IDSUPORT ID: &lt;370812367088881761&gt; [backward] [back]")</f>
        <v>sberbank.ru Zavoznika problem when opening the Sberbank website in this browser. You may not have certificates of the National MIT MIC of the Ministry of Culture of Russia. You can meet the installation instructions at https://www.gosuslugi.ru/crtlibo try to enter the site in another browser by reference https://wwww.sberbank.com/en/certificate Error will repeat to us by number 900 or + 7495 500-55-50 If you are abroad and inform your Support IDSUPORT ID: &lt;370812367088881761&gt; [backward] [back]</v>
      </c>
    </row>
    <row r="858">
      <c r="A858" s="1" t="s">
        <v>2788</v>
      </c>
      <c r="B858" s="1" t="s">
        <v>2758</v>
      </c>
      <c r="C858" s="1" t="s">
        <v>2759</v>
      </c>
      <c r="D858" s="1">
        <v>8.0</v>
      </c>
      <c r="E858" s="4" t="s">
        <v>2760</v>
      </c>
      <c r="F858" s="1" t="s">
        <v>16</v>
      </c>
      <c r="G858" s="1" t="s">
        <v>2761</v>
      </c>
      <c r="H858" s="4" t="s">
        <v>2762</v>
      </c>
      <c r="I858" s="2">
        <v>1.0</v>
      </c>
      <c r="J858" s="5" t="str">
        <f>IFERROR(__xludf.DUMMYFUNCTION("GOOGLETRANSLATE(A858)"),"Sberbank Online")</f>
        <v>Sberbank Online</v>
      </c>
      <c r="K858" s="6" t="str">
        <f>IFERROR(__xludf.DUMMYFUNCTION("GOOGLETRANSLATE(B858)"),"Sberbank online on Android")</f>
        <v>Sberbank online on Android</v>
      </c>
      <c r="L858" s="5" t="str">
        <f>IFERROR(__xludf.DUMMYFUNCTION("GOOGLETRANSLATE(C858)"),"October 23 2023. -")</f>
        <v>October 23 2023. -</v>
      </c>
      <c r="M858" s="5" t="str">
        <f>IFERROR(__xludf.DUMMYFUNCTION("GOOGLETRANSLATE(G858)"),"Catalog of Appendix Applications Applications of the Sberblastic Application Application for Android to load APK for smart devices for the Mincyfryoni certificates are necessary for uninterrupted and safe access to sites to Sbery Sberbire for Android Busi"&amp;"ness and Finance Bank - Salutspasibankokokokokokokokokokokokokokokosbermagamarama The productivity and utility of Jazzzdl of the Assistant Salutigrydl children's music and video products and the utility of the heapons business and the finance of life of t"&amp;"he heart and fitness and drinks formation and culture right on the site0+games of the fact puzzle 2048: TOP BRICS0+Games Parking: Parking Auto0+Games Golovyki Sorting balls6+Games ofhable riddles6+Games of Yarosta6+Games Grivest Bloks6+Games SO -SOSIK VS "&amp;"Vilka 6+Game of Popular 6+Education and Cultural Research Naturals 6+Health and Fitness Stress6+Life Life Supervisor 6+Games Theatrical Theater+Education and Culture of Misis18+BuyingScp Foundation6+Productivity and Utility Calculator for Androidkak to es"&amp;"tablish developers © 1997–2023 Sberbank PJSC. General license to carry out banking operations of August 11, 2015. Registration number - 1481")</f>
        <v>Catalog of Appendix Applications Applications of the Sberblastic Application Application for Android to load APK for smart devices for the Mincyfryoni certificates are necessary for uninterrupted and safe access to sites to Sbery Sberbire for Android Business and Finance Bank - Salutspasibankokokokokokokokokokokokokokokosbermagamarama The productivity and utility of Jazzzdl of the Assistant Salutigrydl children's music and video products and the utility of the heapons business and the finance of life of the heart and fitness and drinks formation and culture right on the site0+games of the fact puzzle 2048: TOP BRICS0+Games Parking: Parking Auto0+Games Golovyki Sorting balls6+Games ofhable riddles6+Games of Yarosta6+Games Grivest Bloks6+Games SO -SOSIK VS Vilka 6+Game of Popular 6+Education and Cultural Research Naturals 6+Health and Fitness Stress6+Life Life Supervisor 6+Games Theatrical Theater+Education and Culture of Misis18+BuyingScp Foundation6+Productivity and Utility Calculator for Androidkak to establish developers © 1997–2023 Sberbank PJSC. General license to carry out banking operations of August 11, 2015. Registration number - 1481</v>
      </c>
    </row>
    <row r="859">
      <c r="A859" s="1" t="s">
        <v>2788</v>
      </c>
      <c r="B859" s="1" t="s">
        <v>2806</v>
      </c>
      <c r="C859" s="1" t="s">
        <v>2807</v>
      </c>
      <c r="D859" s="1">
        <v>9.0</v>
      </c>
      <c r="E859" s="4" t="s">
        <v>2808</v>
      </c>
      <c r="F859" s="1" t="s">
        <v>16</v>
      </c>
      <c r="I859" s="2">
        <v>1.0</v>
      </c>
      <c r="J859" s="5" t="str">
        <f>IFERROR(__xludf.DUMMYFUNCTION("GOOGLETRANSLATE(A859)"),"Sberbank Online")</f>
        <v>Sberbank Online</v>
      </c>
      <c r="K859" s="6" t="str">
        <f>IFERROR(__xludf.DUMMYFUNCTION("GOOGLETRANSLATE(B859)"),"Online services of the bank and partners")</f>
        <v>Online services of the bank and partners</v>
      </c>
      <c r="L859" s="5" t="str">
        <f>IFERROR(__xludf.DUMMYFUNCTION("GOOGLETRANSLATE(C859)"),"Sberbank Online, SMS Bank, Sberbank Investor and other Sberbank online services.")</f>
        <v>Sberbank Online, SMS Bank, Sberbank Investor and other Sberbank online services.</v>
      </c>
      <c r="M859" s="5" t="str">
        <f>IFERROR(__xludf.DUMMYFUNCTION("GOOGLETRANSLATE(G859)"),"#VALUE!")</f>
        <v>#VALUE!</v>
      </c>
    </row>
    <row r="860">
      <c r="A860" s="1" t="s">
        <v>2788</v>
      </c>
      <c r="B860" s="1" t="s">
        <v>2809</v>
      </c>
      <c r="C860" s="1" t="s">
        <v>2810</v>
      </c>
      <c r="D860" s="1">
        <v>10.0</v>
      </c>
      <c r="E860" s="4" t="s">
        <v>2811</v>
      </c>
      <c r="F860" s="1" t="s">
        <v>16</v>
      </c>
      <c r="G860" s="1" t="s">
        <v>2725</v>
      </c>
      <c r="H860" s="4" t="s">
        <v>2726</v>
      </c>
      <c r="I860" s="2">
        <v>2.0</v>
      </c>
      <c r="J860" s="5" t="str">
        <f>IFERROR(__xludf.DUMMYFUNCTION("GOOGLETRANSLATE(A860)"),"Sberbank Online")</f>
        <v>Sberbank Online</v>
      </c>
      <c r="K860" s="6" t="str">
        <f>IFERROR(__xludf.DUMMYFUNCTION("GOOGLETRANSLATE(B860)"),"Sberbank Mobile application online for iPhone")</f>
        <v>Sberbank Mobile application online for iPhone</v>
      </c>
      <c r="L860" s="5" t="str">
        <f>IFERROR(__xludf.DUMMYFUNCTION("GOOGLETRANSLATE(C860)"),"There is no previously installed application on the phone? You can use the Sberbank online web version ... Open Sberbank online in the Safari mobile browser.")</f>
        <v>There is no previously installed application on the phone? You can use the Sberbank online web version ... Open Sberbank online in the Safari mobile browser.</v>
      </c>
      <c r="M860" s="5" t="str">
        <f>IFERROR(__xludf.DUMMYFUNCTION("GOOGLETRANSLATE(G860)"),"sberbank.ru Zavoznika problem when opening the Sberbank website in this browser. You may not have certificates of the National MIT MIC of the Ministry of Culture of Russia. You can meet the installation instructions at https://www.gosuslugi.ru/crtlibo try"&amp;" to enter the site in another browser by reference https://wwww.sberbank.com/en/certificate Error will repeat to us by number 900 or + 7495 500-55-50 If you are abroad and inform your Support IDSUPORT ID: &lt;370812367088881761&gt; [backward] [back]")</f>
        <v>sberbank.ru Zavoznika problem when opening the Sberbank website in this browser. You may not have certificates of the National MIT MIC of the Ministry of Culture of Russia. You can meet the installation instructions at https://www.gosuslugi.ru/crtlibo try to enter the site in another browser by reference https://wwww.sberbank.com/en/certificate Error will repeat to us by number 900 or + 7495 500-55-50 If you are abroad and inform your Support IDSUPORT ID: &lt;370812367088881761&gt; [backward] [back]</v>
      </c>
    </row>
    <row r="861">
      <c r="A861" s="1" t="s">
        <v>2788</v>
      </c>
      <c r="B861" s="1" t="s">
        <v>2789</v>
      </c>
      <c r="D861" s="1">
        <v>11.0</v>
      </c>
      <c r="E861" s="4" t="s">
        <v>2812</v>
      </c>
      <c r="F861" s="1" t="s">
        <v>16</v>
      </c>
      <c r="G861" s="1" t="s">
        <v>31</v>
      </c>
      <c r="H861" s="4" t="s">
        <v>32</v>
      </c>
      <c r="I861" s="2">
        <v>1.0</v>
      </c>
      <c r="J861" s="5" t="str">
        <f>IFERROR(__xludf.DUMMYFUNCTION("GOOGLETRANSLATE(A861)"),"Sberbank Online")</f>
        <v>Sberbank Online</v>
      </c>
      <c r="K861" s="6" t="str">
        <f>IFERROR(__xludf.DUMMYFUNCTION("GOOGLETRANSLATE(B861)"),"Sberbank Online")</f>
        <v>Sberbank Online</v>
      </c>
      <c r="L861" s="5" t="str">
        <f>IFERROR(__xludf.DUMMYFUNCTION("GOOGLETRANSLATE(C861)"),"#VALUE!")</f>
        <v>#VALUE!</v>
      </c>
      <c r="M861" s="5" t="str">
        <f>IFERROR(__xludf.DUMMYFUNCTION("GOOGLETRANSLATE(G861)"),"Wikipedia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862">
      <c r="A862" s="1" t="s">
        <v>2788</v>
      </c>
      <c r="B862" s="1" t="s">
        <v>2813</v>
      </c>
      <c r="C862" s="1" t="s">
        <v>2814</v>
      </c>
      <c r="D862" s="1">
        <v>12.0</v>
      </c>
      <c r="E862" s="4" t="s">
        <v>2815</v>
      </c>
      <c r="F862" s="1" t="s">
        <v>16</v>
      </c>
      <c r="G862" s="1" t="s">
        <v>2816</v>
      </c>
      <c r="H862" s="4" t="s">
        <v>2817</v>
      </c>
      <c r="I862" s="2">
        <v>1.0</v>
      </c>
      <c r="J862" s="5" t="str">
        <f>IFERROR(__xludf.DUMMYFUNCTION("GOOGLETRANSLATE(A862)"),"Sberbank Online")</f>
        <v>Sberbank Online</v>
      </c>
      <c r="K862" s="6" t="str">
        <f>IFERROR(__xludf.DUMMYFUNCTION("GOOGLETRANSLATE(B862)"),"Sberbank online APK for Android - Download")</f>
        <v>Sberbank online APK for Android - Download</v>
      </c>
      <c r="L862" s="5" t="str">
        <f>IFERROR(__xludf.DUMMYFUNCTION("GOOGLETRANSLATE(C862)"),"Jul 10. 2023. -")</f>
        <v>Jul 10. 2023. -</v>
      </c>
      <c r="M862" s="5" t="str">
        <f>IFERROR(__xludf.DUMMYFUNCTION("GOOGLETRANSLATE(G862)"),"Sberbank Online APK for Android - Download Application Menus Menus Page of the game Explification Arcadanasta Games Carticular Games Games Semey Games Mastery Games Sports Sports Sports Sports Supply Supply Games IIIII IIIIA CHICIA CODISIONS AND INIA IMA "&amp;"Productivity Iigenerator and editor of the video from the Iisibrusary menus page of browser buildings and instrumentation-browser safety and confidential menu page safety and confidential control accessories advertising vehicles From unwanted mail and esp"&amp;"ionage programmantivitting aimauer -based control by passwords, and performance menuing page business and productivity of the day and calendaribanka and ATMs of the Electronic post -financial security, personal financial management of Project -based Pkine"&amp;"rnet and Network Menus. Internet page and Internet for loading -free file access and one -ranking interactions of searching and viewingwifimultimedia main menu page multimedia Audio recording of a discount and designer and TVMUSICS AND A radio-photography"&amp;" of the current video development and an implicit menu page Development and Itrezer Copying and Cloudy Storage of Database Complexes of the Developer Development Environmental Environmental Environmental Effectors/Editors of Programing Seti-Delivery Manag"&amp;"ement Management Managements These head menuing page Education and Reference Tsnegikatogatogovarias for reading electronic books and transfers and translations and translations and translations Gazetnoukapedagogika and training of life -headed menu page L"&amp;"ife Life of Kuponymoda and Styed and Drinking Products of Products and Fitteeskhobbimedician examinations and comparison of product -based services for the sale of tickets for sports, the main mencal pages of personalization of the course and font -free E"&amp;"Ts Cranes -ecene -fucked -up drawing networks and interaction menuing page Social networks and interaction and interaction and instant messenger access to photo and video social сетиПутешествия и навигацияГлавное менюГлавная страница Путешествия и навигац"&amp;"ияПутеводители по городамКарты и GPSОбщественный транспортАрендаУправление поездкамиСлужебные программы и средстваГлавное менюГлавная страница Служебные программы и средстваСканирование штрихкодаЧасы и будильникиВосстановление данныхСжатие файловДиспетчер"&amp;"ы файловКлавиатурыИзмерениеСнимки экранаИгры RobloxРасширения Google ChromeИзменить операционную системуГлавное менюWindowsAndroidMaciPhonePWAWeb Appsизменить языкГлавное менюSoftonic на:عربيDeutschEnglishEspañolFrançaisBahasa IndonesiaItaliano日本語한국어/조선말N"&amp;"ederlandsPolskiPortuguêsРусскийภาษา ไทย türkçetiếng việt 中文 Softonic What would you like to find today? Appendices for the CREARMAREMANMANDDORIDSUSTIC AND Productivity Online STRISBANCH Online APK for Android Besides Russian 04.8.04.5 (145) APK to status "&amp;"spent for Android, Softonic Best Pacific Program for Android for Android for Android From Sberbank of Russia. Sberbank online application of Sberbank for Android is very useful and A convenient banking application that provides users with a wide range of "&amp;"functions and opportunities for managing their finances anywhere and any time. The application is easily navigable and has a simple and intuitive interface that makes it easier for users to access all the necessary functions and capabilities. One of the m"&amp;"ost impressive features of the Sberbank application is its ability to provide users with access to a wide range of financial products and services. This includes the ability to make payments to transfer money to check account balance and much more. The ap"&amp;"plication also provides users with a wide selection of useful tools and resources, including calculators of currency converters and other useful financial information. In general, I strongly recommend Sberbank's application for Android everyone who is loo"&amp;"king for a simple and effective way to manage their finance anywhere and at any time. The application is reliably easy to use and provides users with a wide selection of useful functions and capabilities that make it an indispensable tool to manage their "&amp;"money. Whether you are looking for the opportunity to make payments to transfer money or just track your finances, Sberbank app is definitely worth a try. 1/8Sberbank online 2/8Sberbank online 3/8Sberbank online 4/8Sberbank online 5/8Sberbank online 6/8Sb"&amp;"erbank online 7/8Sberbank online 8/8 Championship Applications of the Causiasum Paul version14.8.0 Date of update Jul Jul. 2023 Platformandroid -dried platforms (1) Osandroid 9.0YUKURUSISIAN MARPLASION495KAROKS Over the past month53K designberbank of Russ"&amp;"ia | Other programs (11) Parameters of the loading -google Playa Filesberbankonline.apkkkok! To report on the planning applications is also available on other platformakhsberbank online programs for other languages, Sberbank online [tr] ダウンロード Sberbank on"&amp;"line [ja] koestenlo ser download Sberbank online [de] ดาวน์โหลดฟรี Sberbank Online [Th] 다운로드 다운로드 다운로드 다운로드 다운로드 다운로드 다운로드 다운로드 다운로드 online [ko] téléchargement gratuit Sberbank online [FR] Download Gratuito Sberbank online [it] Pobierz Bezpiecznie Sberban"&amp;"k online POLSKU [PL] Download Gratuituito Sberbank Online [PT] Tải xuống miễn phiant Sberbank online [VI ] 免费 下载 下载 Sberbank online [zh] تمüspics مجالي Sberbank online [ar] gratis download Sberbank online [nl] Descarga gratuita online [es] free download S"&amp;"berbank Sberbank Sberbank online [id] Sberbank online Androidbestone language Russian 14.8.04.5 (145) APK Status to Free APK for Android Converts of users about Sberbank Online Tied Sberbank Online? Be the first to leave your opinion! Evaluate! Additions "&amp;"Best Finance downloads for Androidinkoff -paying program for Android from Tinkoff Bank. Sberbank online paying program for Android from Sberbank of Russia. Bank Opening Online Bank Opening online: Convenient mobile application for banking. Khombankbank -p"&amp;"aying application for Android from PAO "" SOCCOMBANK ». Old Freight application from a reliable banking-banking-salary-saffer-payerbank Online UKRARANEBUSTIES PAYSHIC program for Android from Sberbank JSC. 3 -time paying android program for Android from T"&amp;"inkoff Bank. Siberbusiness 3.6 -Free pay for Android from Sberbank of Russia. Office online4.1 Building application from a reliable bankbank oskombank4.3 -paid paying application for Android from PJSC SBCOMBANK. SBERKIDS2 FOR PAUSE for Android from Sberba"&amp;"nk of Russia.fp Audit2 Fix -saving program for Androids from Fix Pric E Russia. Conducting the programs of the programs - Global Kripto Para alım Satımı4.6 Basethodex - Global platform for trading cryptocurrencytmes Energo4.2 Bestum -paying -fuelmir yener"&amp;"go: the best online solution for paying for electric service for the debtor 4.5 Basily paying an application for those who are fighting debts .Sec check first4.5 BNOSEC check first: Investment application for Androidbank Opening online3. 9th-paying off Op"&amp;"ening online: Convenient mobile application for banking. SOLADARY OF ONLYCRETMENT FIVITIONAL SOLYARNARY Online: Banking application for convenient transactions vtb-online3 pay-saving application for Android from VTB. ONLIDELD4.1 Bank-FIVE FROM FROM THE RE"&amp;"LECTIVE BANKATINKOFF4.3 BESTS PART ID from Tinkoff Bank. Khalva Skombank4.3. Android from PJSC “SOCCOMBAK”. Reclamazacons regarding the use of this software vary from the country to the country. We do not encourage and do not approve of the use of this pr"&amp;"ogram if it violates these laws. Information about the pavement of Softonic management and support for the Vacanciab2Bmonetization Solutions for PubliShers your IMPLOY OF Politician Management for advertising notifications of the use of the use of the COO"&amp;"KIEPRAMAREMAREMEN Ial Medias to the fan club Softonic follow us日本語 한국어/조선말 Nederlandspolskiportuguê ภาษา ไทย türkçetiếng việt 中文 copyright Softonic International S.A. © 1997-2023-All Softonic protection rights we scan all files posted on our platform to e"&amp;"valuate any potential harm to your device and prevent its application. Our team performs checks every time a new file is downloaded and periodically checks the files to confirm or update their condition. This comprehensive process allows us to establish a"&amp;" condition for any uploaded file as follows: it is purely highly likely that this program is clean. What does this mean? We have scanned a file and URL addresses in more than 50 leading world antiviral programs. The possible threat was not revealed. Provi"&amp;"dence of the program is potentially harmful or may contain undesirable related software. Why is this program still available? Based on the results of the work of our scanning system, we determined the likelihood that these flags may indicate false positiv"&amp;"e results. What is false A positive result? This means that the non -hazardous program is mistakenly marked as malicious since the antivirus program uses an algorithm or a detection signature with insufficiently strict conditions. Blocked the likelihood t"&amp;"hat this program is harmful or contains unwanted related software. Why this program is more unavailable in our catalog ? Based on the results of the work of our scanning system, we determined the likelihood that these flags indicate reliable positive resu"&amp;"lts. We would like to emphasize that a periodically potentially harmful program may not be found. In order to further ensure the absence of malware and applications in the catalog, our team integrated the software opportunity to draw up reports on each pa"&amp;"ge of the catalog that redirects us your reviews. Put any problems with which you may encounter and Softonic will eliminate them as soon as possible. Your review about Sberbank Online Right Assessment Review of Sberbank Online Blagodarim for the assessmen"&amp;"t! What do you think of Sberbank online? Do you recommend this product? Why? Write a review! Regret ... something went wrong. Try it")</f>
        <v>Sberbank Online APK for Android - Download Application Menus Menus Page of the game Explification Arcadanasta Games Carticular Games Games Semey Games Mastery Games Sports Sports Sports Sports Supply Supply Games IIIII IIIIA CHICIA CODISIONS AND INIA IMA Productivity Iigenerator and editor of the video from the Iisibrusary menus page of browser buildings and instrumentation-browser safety and confidential menu page safety and confidential control accessories advertising vehicles From unwanted mail and espionage programmantivitting aimauer -based control by passwords, and performance menuing page business and productivity of the day and calendaribanka and ATMs of the Electronic post -financial security, personal financial management of Project -based Pkinernet and Network Menus. Internet page and Internet for loading -free file access and one -ranking interactions of searching and viewingwifimultimedia main menu page multimedia Audio recording of a discount and designer and TVMUSICS AND A radio-photography of the current video development and an implicit menu page Development and Itrezer Copying and Cloudy Storage of Database Complexes of the Developer Development Environmental Environmental Environmental Effectors/Editors of Programing Seti-Delivery Management Management Managements These head menuing page Education and Reference Tsnegikatogatogovarias for reading electronic books and transfers and translations and translations and translations Gazetnoukapedagogika and training of life -headed menu page Life Life of Kuponymoda and Styed and Drinking Products of Products and Fitteeskhobbimedician examinations and comparison of product -based services for the sale of tickets for sports, the main mencal pages of personalization of the course and font -free ETs Cranes -ecene -fucked -up drawing networks and interaction menuing page Social networks and interaction and interaction and instant messenger access to photo and video social сетиПутешествия и навигацияГлавное менюГлавная страница Путешествия и навигацияПутеводители по городамКарты и GPSОбщественный транспортАрендаУправление поездкамиСлужебные программы и средстваГлавное менюГлавная страница Служебные программы и средстваСканирование штрихкодаЧасы и будильникиВосстановление данныхСжатие файловДиспетчеры файловКлавиатурыИзмерениеСнимки экранаИгры RobloxРасширения Google ChromeИзменить операционную системуГлавное менюWindowsAndroidMaciPhonePWAWeb Appsизменить языкГлавное менюSoftonic на:عربيDeutschEnglishEspañolFrançaisBahasa IndonesiaItaliano日本語한국어/조선말NederlandsPolskiPortuguêsРусскийภาษา ไทย türkçetiếng việt 中文 Softonic What would you like to find today? Appendices for the CREARMAREMANMANDDORIDSUSTIC AND Productivity Online STRISBANCH Online APK for Android Besides Russian 04.8.04.5 (145) APK to status spent for Android, Softonic Best Pacific Program for Android for Android for Android From Sberbank of Russia. Sberbank online application of Sberbank for Android is very useful and A convenient banking application that provides users with a wide range of functions and opportunities for managing their finances anywhere and any time. The application is easily navigable and has a simple and intuitive interface that makes it easier for users to access all the necessary functions and capabilities. One of the most impressive features of the Sberbank application is its ability to provide users with access to a wide range of financial products and services. This includes the ability to make payments to transfer money to check account balance and much more. The application also provides users with a wide selection of useful tools and resources, including calculators of currency converters and other useful financial information. In general, I strongly recommend Sberbank's application for Android everyone who is looking for a simple and effective way to manage their finance anywhere and at any time. The application is reliably easy to use and provides users with a wide selection of useful functions and capabilities that make it an indispensable tool to manage their money. Whether you are looking for the opportunity to make payments to transfer money or just track your finances, Sberbank app is definitely worth a try. 1/8Sberbank online 2/8Sberbank online 3/8Sberbank online 4/8Sberbank online 5/8Sberbank online 6/8Sberbank online 7/8Sberbank online 8/8 Championship Applications of the Causiasum Paul version14.8.0 Date of update Jul Jul. 2023 Platformandroid -dried platforms (1) Osandroid 9.0YUKURUSISIAN MARPLASION495KAROKS Over the past month53K designberbank of Russia | Other programs (11) Parameters of the loading -google Playa Filesberbankonline.apkkkok! To report on the planning applications is also available on other platformakhsberbank online programs for other languages, Sberbank online [tr] ダウンロード Sberbank online [ja] koestenlo ser download Sberbank online [de] ดาวน์โหลดฟรี Sberbank Online [Th] 다운로드 다운로드 다운로드 다운로드 다운로드 다운로드 다운로드 다운로드 다운로드 online [ko] téléchargement gratuit Sberbank online [FR] Download Gratuito Sberbank online [it] Pobierz Bezpiecznie Sberbank online POLSKU [PL] Download Gratuituito Sberbank Online [PT] Tải xuống miễn phiant Sberbank online [VI ] 免费 下载 下载 Sberbank online [zh] تمüspics مجالي Sberbank online [ar] gratis download Sberbank online [nl] Descarga gratuita online [es] free download Sberbank Sberbank Sberbank online [id] Sberbank online Androidbestone language Russian 14.8.04.5 (145) APK Status to Free APK for Android Converts of users about Sberbank Online Tied Sberbank Online? Be the first to leave your opinion! Evaluate! Additions Best Finance downloads for Androidinkoff -paying program for Android from Tinkoff Bank. Sberbank online paying program for Android from Sberbank of Russia. Bank Opening Online Bank Opening online: Convenient mobile application for banking. Khombankbank -paying application for Android from PAO " SOCCOMBANK ». Old Freight application from a reliable banking-banking-salary-saffer-payerbank Online UKRARANEBUSTIES PAYSHIC program for Android from Sberbank JSC. 3 -time paying android program for Android from Tinkoff Bank. Siberbusiness 3.6 -Free pay for Android from Sberbank of Russia. Office online4.1 Building application from a reliable bankbank oskombank4.3 -paid paying application for Android from PJSC SBCOMBANK. SBERKIDS2 FOR PAUSE for Android from Sberbank of Russia.fp Audit2 Fix -saving program for Androids from Fix Pric E Russia. Conducting the programs of the programs - Global Kripto Para alım Satımı4.6 Basethodex - Global platform for trading cryptocurrencytmes Energo4.2 Bestum -paying -fuelmir yenergo: the best online solution for paying for electric service for the debtor 4.5 Basily paying an application for those who are fighting debts .Sec check first4.5 BNOSEC check first: Investment application for Androidbank Opening online3. 9th-paying off Opening online: Convenient mobile application for banking. SOLADARY OF ONLYCRETMENT FIVITIONAL SOLYARNARY Online: Banking application for convenient transactions vtb-online3 pay-saving application for Android from VTB. ONLIDELD4.1 Bank-FIVE FROM FROM THE RELECTIVE BANKATINKOFF4.3 BESTS PART ID from Tinkoff Bank. Khalva Skombank4.3. Android from PJSC “SOCCOMBAK”. Reclamazacons regarding the use of this software vary from the country to the country. We do not encourage and do not approve of the use of this program if it violates these laws. Information about the pavement of Softonic management and support for the Vacanciab2Bmonetization Solutions for PubliShers your IMPLOY OF Politician Management for advertising notifications of the use of the use of the COOKIEPRAMAREMAREMEN Ial Medias to the fan club Softonic follow us日本語 한국어/조선말 Nederlandspolskiportuguê ภาษา ไทย türkçetiếng việt 中文 copyright Softonic International S.A. © 1997-2023-All Softonic protection rights we scan all files posted on our platform to evaluate any potential harm to your device and prevent its application. Our team performs checks every time a new file is downloaded and periodically checks the files to confirm or update their condition. This comprehensive process allows us to establish a condition for any uploaded file as follows: it is purely highly likely that this program is clean. What does this mean? We have scanned a file and URL addresses in more than 50 leading world antiviral programs. The possible threat was not revealed. Providence of the program is potentially harmful or may contain undesirable related software. Why is this program still available? Based on the results of the work of our scanning system, we determined the likelihood that these flags may indicate false positive results. What is false A positive result? This means that the non -hazardous program is mistakenly marked as malicious since the antivirus program uses an algorithm or a detection signature with insufficiently strict conditions. Blocked the likelihood that this program is harmful or contains unwanted related software. Why this program is more unavailable in our catalog ? Based on the results of the work of our scanning system, we determined the likelihood that these flags indicate reliable positive results. We would like to emphasize that a periodically potentially harmful program may not be found. In order to further ensure the absence of malware and applications in the catalog, our team integrated the software opportunity to draw up reports on each page of the catalog that redirects us your reviews. Put any problems with which you may encounter and Softonic will eliminate them as soon as possible. Your review about Sberbank Online Right Assessment Review of Sberbank Online Blagodarim for the assessment! What do you think of Sberbank online? Do you recommend this product? Why? Write a review! Regret ... something went wrong. Try it</v>
      </c>
    </row>
    <row r="863">
      <c r="A863" s="1" t="s">
        <v>2788</v>
      </c>
      <c r="B863" s="1" t="s">
        <v>2818</v>
      </c>
      <c r="C863" s="1" t="s">
        <v>2819</v>
      </c>
      <c r="D863" s="1">
        <v>13.0</v>
      </c>
      <c r="E863" s="4" t="s">
        <v>2820</v>
      </c>
      <c r="F863" s="1" t="s">
        <v>16</v>
      </c>
      <c r="I863" s="2">
        <v>2.0</v>
      </c>
      <c r="J863" s="5" t="str">
        <f>IFERROR(__xludf.DUMMYFUNCTION("GOOGLETRANSLATE(A863)"),"Sberbank Online")</f>
        <v>Sberbank Online</v>
      </c>
      <c r="K863" s="6" t="str">
        <f>IFERROR(__xludf.DUMMYFUNCTION("GOOGLETRANSLATE(B863)"),"Sberbank online - with salute")</f>
        <v>Sberbank online - with salute</v>
      </c>
      <c r="L863" s="5" t="str">
        <f>IFERROR(__xludf.DUMMYFUNCTION("GOOGLETRANSLATE(C863)"),"Sberbank online - with a salute from the developer PAO Sberbank in the Rustore catalog. Download ""Sberbank online - with salute"" for Android, free - rustore.")</f>
        <v>Sberbank online - with a salute from the developer PAO Sberbank in the Rustore catalog. Download "Sberbank online - with salute" for Android, free - rustore.</v>
      </c>
      <c r="M863" s="5" t="str">
        <f>IFERROR(__xludf.DUMMYFUNCTION("GOOGLETRANSLATE(G863)"),"#VALUE!")</f>
        <v>#VALUE!</v>
      </c>
    </row>
    <row r="864">
      <c r="A864" s="1" t="s">
        <v>2788</v>
      </c>
      <c r="B864" s="1" t="s">
        <v>2821</v>
      </c>
      <c r="C864" s="1" t="s">
        <v>2822</v>
      </c>
      <c r="D864" s="1">
        <v>14.0</v>
      </c>
      <c r="E864" s="4" t="s">
        <v>2823</v>
      </c>
      <c r="F864" s="1" t="s">
        <v>16</v>
      </c>
      <c r="I864" s="2">
        <v>1.0</v>
      </c>
      <c r="J864" s="5" t="str">
        <f>IFERROR(__xludf.DUMMYFUNCTION("GOOGLETRANSLATE(A864)"),"Sberbank Online")</f>
        <v>Sberbank Online</v>
      </c>
      <c r="K864" s="6" t="str">
        <f>IFERROR(__xludf.DUMMYFUNCTION("GOOGLETRANSLATE(B864)"),"How to use Sberbank online - Instruction")</f>
        <v>How to use Sberbank online - Instruction</v>
      </c>
      <c r="L864" s="5" t="str">
        <f>IFERROR(__xludf.DUMMYFUNCTION("GOOGLETRANSLATE(C864)"),"26 Sept. 2023. -")</f>
        <v>26 Sept. 2023. -</v>
      </c>
      <c r="M864" s="5" t="str">
        <f>IFERROR(__xludf.DUMMYFUNCTION("GOOGLETRANSLATE(G864)"),"#VALUE!")</f>
        <v>#VALUE!</v>
      </c>
    </row>
    <row r="865">
      <c r="A865" s="1" t="s">
        <v>2788</v>
      </c>
      <c r="B865" s="1" t="s">
        <v>2824</v>
      </c>
      <c r="D865" s="1">
        <v>15.0</v>
      </c>
      <c r="E865" s="4" t="s">
        <v>2825</v>
      </c>
      <c r="F865" s="1" t="s">
        <v>16</v>
      </c>
      <c r="G865" s="1" t="s">
        <v>2826</v>
      </c>
      <c r="H865" s="4" t="s">
        <v>2827</v>
      </c>
      <c r="I865" s="2">
        <v>1.0</v>
      </c>
      <c r="J865" s="5" t="str">
        <f>IFERROR(__xludf.DUMMYFUNCTION("GOOGLETRANSLATE(A865)"),"Sberbank Online")</f>
        <v>Sberbank Online</v>
      </c>
      <c r="K865" s="6" t="str">
        <f>IFERROR(__xludf.DUMMYFUNCTION("GOOGLETRANSLATE(B865)"),"Sberbank - Sberbank online - Field - Sberbank Onl@yn")</f>
        <v>Sberbank - Sberbank online - Field - Sberbank Onl@yn</v>
      </c>
      <c r="L865" s="5" t="str">
        <f>IFERROR(__xludf.DUMMYFUNCTION("GOOGLETRANSLATE(C865)"),"#VALUE!")</f>
        <v>#VALUE!</v>
      </c>
      <c r="M865" s="5" t="str">
        <f>IFERROR(__xludf.DUMMYFUNCTION("GOOGLETRANSLATE(G865)"),"Online publication about high technologies-CNEWSOSTOSHOSTICALISTIONALIATIONALIALS-MARKKELICARISE ARE SAME ... TechnicianAUKABABBARYAMAVAKAKAKANISIAKYAYANDEX.ZENFACEBOOKVKTWITUTUTURAMELAGRAMENALIALIALISTIONALIALISTICTIONALISTICTIONALISTITIONALS-MARKETTICTI"&amp;"ONARY AS FZ-152VPS/VDSDEDEDCETEDENCETED OFTRASVDICHOSHOSHODICHDBAASSAAS OF IT SAVISTICTISTICCRPMRPARPARPARPADIBPMSHRMLOW-CODEBIASKUBAASKUBERNETES SELL Accounting of Smmcamcommication IP- telephony deskvk Corporate instant messengers DESKDRIENCE COLOCATION"&amp;"ITSMCDSMCDSMCDSMCDNECTIONARY SYSTURENCHICTSECTSICTSECTSENITSENSEDS SBERCRM for businessCoprovization with Sberprosystem Orion Soft Business Submissions. T in trade cyfrovization of the internettite-business, Russian signalmen will be able to use foreign s"&amp;"atellites, but only with the permission of the army and the FSB in Russia the first software and hardware complex was released for Information protection fully complies with the requirements of the state-owned IT-Schools was filled with the “second-rate” "&amp;"IT. High-quality experts were dismantled in the rest due to a shortage of personnel, employers rushed to the money of money android, android, completely independent of Googlemegabit technology, was not enough for everyone. Mobile Internet in the regions i"&amp;"s degrading because a good “iron” was taken to the Moscow Aviatiki ex-get of the Aviation in the Ministry of Industry and Trade of 240 million rubles. Distilled to the shipbuilding in Youtube drives users into advertising slavery. All applications cutting"&amp;" out the advertising will be destroyed: the assistant in the messenger made it possible to increase the number of business payments in a service service service station of the STSP finally leaves Russia. The liquidation of the legal entities of the Popopu"&amp;"lar-West Suggesters will be able to use foreign satellites, but only with the permission of the army and the FSB in Russia the first software and hardware complex was released to protect information that the State-rate IT-Shniki was flooded with the requi"&amp;"rements of the State Council. High-quality experts were dismantled in the rest due to a shortage of personnel, employers rushed with money Amazon created the “killer” of Android, completely independent of Google technology, megabit was not enough for ever"&amp;"yone. Mobile Internet in the regions degrades because good “iron” was taken to Moscow arrested by the ex-genwate director of the Aviatiki in the case of the theft in the Ministry of Industry and Trade 240 million rubles. Highlighted on the shipbuilding on"&amp;" YouTube drives users into advertising slavery. All applications cutting out advertising will be destroyed by the PSB: the assistant in the messenger made it possible to increase the number of business payments by a hundred times HP finally leaves Russia."&amp;" The liquidation of the legal entity of the Ultradesh SSD era has begun to an end. The world on the threshold of a new price shortage of prices is inevitable created an ultra-shit lithograph for a 5-nanometer chips that costs 10 times less than the famous"&amp;" ASML analogues “Yandex Station” with a paid subscription of the steel “which cannot be turned off”. Users threaten to sell the columns of the Ultradesh SSD era came to an end. The world on the threshold of a new deficit of prices inevitable inevitable an"&amp;" ultra-shit lithograph for a 5-nanometer chips that costs 10 times less than the famous ASML analogues “Yandex Station” with a paid subscription of the steel “which cannot be turned off”. Users threaten to sell the colonquisy business and the Internet of "&amp;"the future: who will win in the era of neurinet -cassocks can receive up to 100 million rubles for the pilot introduction of iimport substitution. Prices for “1C” jump for tens of thousands of rubles LBT created a server complex for the operation of virtu"&amp;"al machines in a cloud based on the VTB.Cloud-Russian infrastructure giant buying Russian e-mail for the replacement of Microsoft Exchangezoom: the best devices of the Dreame for the sale of 11.11 Interview CNews: Our neural network recognizes more than 1"&amp;"50 types of weeds in Russia in one day: how domestic CRM accelerated orders by 30%how to choose a convenient CRM: 6 criteria of agriculture: how artificial intelligence helps to sow wheat mines Sberbianum Business Siber It is necessary to automatically au"&amp;"tomatically automate from the level of self-employedcock, but to transform the HR-function is better-GLONASS or GPS: the main differences in the Navigation Systems of the Haval Plant recalls 55 thousand cars in Russia to put on them a quarter group of the"&amp;" pirate group of the overroofing TV channel and as it can be able Legally shooting an UAV in Russia, the founder of Apple and Steve Jobs's friend in a hospital with a stroke of Sitronics GropRPRSHB on Finopolis: import substitution leads to a reduction in"&amp;" costs and acceleration of the development of the domestic software market conference “Modern Contact Center 2023” will be added to December 5 “Aquarium” asks The state 105 billion rubles. To capture the market-boned man, he killed a man who was repaired "&amp;"by the AI ​​developers: “Stop rushing forward, sweeping away everything in its path” The number of bot-attacks on online stores and pharmacies is an ultra-shit lithograph for a 5-nanometer chips that costs 10 times less famous analogues. The ASMLRISSIC in"&amp;"frastructure giant buys Russian email to replace the Microsoft Exchange Epo with ultra -dex SSD. The world on the threshold of a new deficiency of prices of prices inevitable SSD is expelled from the register of Russian ""iron"". To stay, they need domest"&amp;"ic controllers, but they do not exist in the nature of the Yandex Station with a paid subscription of began to broadcast the advertisement ""which cannot be disconnected."" Users threaten to sell the coloncription captivated by the “second-rate” IT shniks"&amp;". High-quality experts were dismantled in the rest due to a shortage of personnel, employers rushing the money of Russia, retail sales of devices on the Russian Aurora OS began. So far, inexpensively, then prices grow up will drive users into advertising "&amp;"slavery. All applications cutting out advertising will be destroyed by the heaps of portion. Prices for “1C” jump up for tens of thousands of rubles in Russia, super -accessful smartphones Samsung A05 and A05S appeared. They are cheaper than XiaomiHP fina"&amp;"lly leaves Russia. The liquidation of Journish-Russian IT shnaks has begun to pay almost a million per month if only they would not leave. Salaries in the industry are recorded recordly by the USSR-operator and the data center broke down for a long time l"&amp;"eaving users without the Internet and electronic payments Aquarius asks the state asks the state 105 billion rubles. Safety systems in the industrial-director “Technonikol Trading Network” in an interview with CNews are digging up for the capture of the m"&amp;"arket: it is pointless to wait for the return of SAP and Microsoft when there is a unique opportunity to “get off the needle” market.cnews published the first Rittle of Russian UKS 2023 CHALLISTIONS OF Automation of budgeting MAK .Cnews published a new SL"&amp;"A IAAS 2023 rating to automate the process of ensuring the continuity of business Imlets Mamleev “Impulse Telecom”: one parallel import of the problem does not solve the IT-in-arms rackets can receive up to 100 million rubles for the pilot implementation "&amp;"of Juserge Golitsyn VTB: In the near future, personal advisers will become personal advisers: Personal advisers will become: the trend in the development of Jivasilia Guryev “Inferit Itman”: the study showed that in 2024 the business will buy the infrastr"&amp;"uctural postponement of important points that should be fixed to Slamikhail Sartakov X5 Group: we created a corporate university in a different way: Contact centers hold a course to increase automation CRM systems processing processes 2023. Map of the mar"&amp;"ketcnews tvglav MCKSUTRA MAKSUT SHADAEV answered the ICT-industry questions ... Effective cybersecurity: IB experts told how ... the CNEWS FORUM video review? »Interviews of the month is consistent to wait for the return of SAP and Microsoft when there is"&amp;" a unique opportunity to“ get off the needle ”Dmitry Vanyushkinder of the IT retailer“ Troops Technonikol Tseral Network ”The Strategy of the Month Near Set with more than 150 species of Vrexago-Vortion Petrovo-Director of the Rusagro, the company Monthly"&amp;" needs to be automated in the old way — цифровая трансформация может принести значительно больше пользыАлександр Глазковуправляющий директор компании «Диасофт» Карты рынкаАтласИмпортозамещение•    Аппаратное обеспечение•    Корпоративное ПО•    Офисное ПО"&amp;" Интервью месяцаБессмысленно ждать возвращения SAP и Microsoft когда есть уникальная возможность «слезть с иглы» Дмитрий Ванюшкиндиректор ИТ-департамента ритейлера«Торговая сеть Technonikol ""arrested ex-get the Aviatiki in the case of the theft in the Mi"&amp;"nistry of Industry and Trade of 240 million rubles. Distilled to the shipbuilding in Youtube drives users into advertising slavery. All applications cutting out the advertising will be destroyed: the assistant in the messenger made it possible to increase"&amp;" the number of business payments in a service service service station of the STSP finally leaves Russia. The liquidation of the legal entity and the Internet of the future has begun: who will win in the era of neurinet -cassocks can receive up to 100 mill"&amp;"ion rubles for the pilot introduction of the Jeshee of the ultradeis SSD. The world on the threshold of a new deficit of prices inevitable inevitable an ultra-shit lithograph for a 5-nanometer chips that costs 10 times less than the famous ASML analogues "&amp;"“Yandex Station” with a paid subscription of the steel “which cannot be turned off”. Users threaten to sell a column to order another import -substitute gets more expensive. Цены на ПО «1C» подскочат на десятки тысяч рублейВТБ создал серверный комплекс дл"&amp;"я работы виртуальных машин в облаке на базе платформы VTB.CloudРоссийский инфраструктурный гигант покупает российскую электронную почту на замену Microsoft ExchangeИТ-директор «Русагро» в интервью CNews: Наша нейросеть распознает более 150 Types of weeds "&amp;"in Russia in one day: as a domestic CRM accelerated orders by 30%how to choose a convenient CRM: 6 criteria of agriculture: how artificial intelligence helps to sow wheatzoom: the best devices of Dreame on sale 11.11 What is better - GLONASS or GPS: the m"&amp;"ain differences in systems: the main differences in systems: the main differences in systems Navigationiadiadiad Oblya Sberbus Business Soft: I need to introduce a CRM system from the level of the Haval self-employed factory recalls 55 thousand cars in Ru"&amp;"ssia to put on them the “Era-Glonass” arrested a quarter of the pirate group of the chopped TV channel and how can be legally converted to the UAV in Russia, the founder of Apple and the friend Steve Jobs in a hospital with a stroke ofisource signed an ag"&amp;"reement with Sitronics Groprshb on Finopolis: import substitution leads to a reduction in expenses and accelerating the development of the domestic software market conference “Modern Contact Center 2023” will be held on December 5 “Aquarius” asks the stat"&amp;"e 105 billion rubles. To capture the market-boned man, he killed a person who is repaired by the AI ​​developers: “Stop rushing forward, sweeping away everything in its path” in Russia anomally increased the number of bot-attenu for online stores and phar"&amp;"macies: the best devices of Dreame on sale 11.1 What is better-GLONASS or GPS: the main Differences of navigation systems News Analytic Safety-Aleksander Metulin: DDOS attacks today are one of the most relevant problems of modern IT safety to automate the"&amp;" process of ensuring the continuity of business Conference Electronic Documentation: Results 2023 Years SberProineurone and not only: where the Russian IT conference is moving in the new conditions Bankachsergei Golitsyn VTB: In the near future, personal "&amp;"advisers will become a trend in the development of AI Business Commentary to organize corporate communications at the Banking Business Service Guryev “Inferit Itman”: the study showed that in 2024 the business will buy an infrastructural business of busin"&amp;"ess to the Business of the Security Code of the Security Code of the Secution Vision: Partnership status should depend not on the turnover, but on the examination of an integrator of the business communications, to organize hybrid training using Russian t"&amp;"echnologies, a conference-based digital office of 2023MOSKA IT in the banks of the data and create a global information ecosystem? Case Rosselkhozbank Conference Electronics of the Russian Russian Communication Medication Mikhail Sartakov X5 Group: We hav"&amp;"e created a corporate university in a different business communications of transport logistics change so quickly that the safety of Yankin “Infosystem Jet” cannot be done without online communication: I would recommend that the company would recommend a d"&amp;"ysfunction With the plot of “Hack of the Contractor” digitalization of Issues: Contact centers keep a course to increase the automation of routine processes support for IT-producing IT products to the market and scale the business: why participate in the "&amp;"“Sprint accelerator” Mamleev “Impulse Telecom”: one parallel import of the problem not Solve the workflow of WSS-Consulting Popov: modern EDMS should be able to quickly solve the most difficult tasks. At the same time, minimal refinements of import-depend"&amp;"ent hyperconduring solutions: how to get away from the classical architecture of document management to control digital content-Evolution Evolution Digital Environmental Environmental thoused the work of the tour operator in The Zelevikovator Silkin Techn"&amp;"ician Superweve Group: Careful attitude to resources becomes a good tone of digitalization of the Tikhomirov Custis: banks can compose real competition to IT companies in creating final digital products for other industries to protect the containerization"&amp;" platform at all stages of the Safety-Safety-Safety-SERGITITS “GAZINFORFERSServis”: The time has come from a simple automation of the IB processes to conscious strategic cooperation of import-dependent, the centrally solving problems of import substitutio"&amp;"n of business systems of the businessman simply pictures: DAM platform manufacturers divide the market in $ 8 imported ossako-depends Issaco T1 EasyTAX: to become a member It -Markutandry’s marshmallows EXPRESS: Choosing a VKS, you need to not forget abou"&amp;"t chats digitalization of insurance: what new products are the market leaders of the cloud -Konstantin Simonov Dataspace Cloud: Hybrid cloud has become a key service for today in the state sector to enter the university? Safety questions of the top manage"&amp;"r should ask his CISO about the security of his company digiribrition nun Naumen: IT strategy is not the response to incidents, but the continuation of the Documentwood Business Document Management Strategies: the SED can be recalculated on the market in "&amp;"the fingers in which artificial intelligence of the businessman is implemented Arenadata: The Data River of the Date today is one of the most investmently attractive Russian telecommunication telecommunications in the country: there are not enough free fr"&amp;"equencies and communication satellites SIEM Security Integles and analyzes signals from IB-components of infrastructure business services on the lead: the children from the Sirius passed the holding of the holding T1 Importone dependence to make sure that"&amp;" the chosen Russian OS is sanctionally safe? IT in Bankhnicolai Ulyanov Rosselkhozbank: the spread of the II solutions has become the mainstream in the banking industry of the import dependence of the national import substitution: we analyze typical probl"&amp;"ems (part 3) Markettimur Poroshin T1CRM: the need for migration is an occasion to conduct IT REVISIONS SAVENTHREAT Intelligence Platform. Analytical comparison of the solutions of Security Vision Tip and Anomaly Importone depending on the Baulin F.A.C.T.:"&amp;" We inherited the Group-IB examination in all key areas of cybersecurity to also order the cloud service of the News Cloud Service of the News10.1117: 10VK CLOUD Vil free access for their users to the emergency recovery service ""Highstex ... 10.1117: 00-"&amp;"study “Contur. Tolk”: 20% of office employees conducts more than 5 online meetings every day10.1116: 11 “Nota” and “Post Bank” expand cooperation10.1116: 02Sberbank and Lipetsk region will jointly prepare IT specialists10.11115 : 51 Petersburg services fo"&amp;"r the townspeople “I live here” will appear in two more regions of Russia10.1115: 27 Caption for the maximum: Updated Bloody S9810.115: 22 -UM columns VK can now be used as a radio -tank 110.1114: 18 WHOKELD KUSTSYNA Director of Digital Platforms SALZ-Hou"&amp;"se Gazprom-Media 10.1114: 13QAPP and “Association Finteh” agreed on cooperation in the field of quantum and resistant protection of information and technology ... 10.1114: 12 days of import substitution of the key banking, a new industrial competency cent"&amp;"er10.1114: 10 testing of VK: 57 % of users plan to buy household appliances and offline electronics 110.1113: 25X-COM scaled the video surveillance system of the Academy of the Federal Penitentiary Service of Russia10.1113: 20 formats NX and solidWorks ar"&amp;"e added to the C3D Converter10.1113: 18 ""T1 integration"" will jointly take up the development IB-systems10.1113: 15NSPK and QAPP implemented a pilot to protect data based on post-sculatory encryption algorithms10.1113: 05AML CRYPTO, an independent audit"&amp;" of information security in the Softline10.1112: 56biline Group of Companies will give the opportunity to assign its number with smart watches or tablet10.1111: 59 ""59"" Megaphone ”accelerated the Internet in the country of Valdai bells 110.1111: 57MTS d"&amp;"ispersed mobile Internet in the oldest city of Karelia10.1111: 53 cholesting“ T1 ”and the Bank of Russia will develop the educational programs“ Fintech Khaba ”10.11111: 48 -amplifier“ Synergy ”and“ Sberbeshoes ”will be created by the creation of education"&amp;"al Electronic trading programs are more than the news of the technicom-ammartphone-in-chief technician-video technician room technicium appliances appliances appliances of the applianate technicianAuadiochael-based Dreame device on the sale of 11.11: the "&amp;"choice of zoomnaacaughrosis from the abyss: in the deepest oceanic vengeance of the Earth, a new viro-linked routers with support for Wi-Fi-Fi-Fi 6 were discovered: the choice of zoomna -adolescence of the accumulation of galaxies of which should not be I"&amp;"t is possible to go to the cosmological theory of Listen to listen to music in 2023: Streaming musical services in Russia and services for organizing the workflow: Choosing a zoom technology bog, deductions in streaming services are arranged and why young"&amp;" wealthy rock stars will no longer be light and powerful: the most productive laptops weighing up to 13 kg. The Office of events15th -Yam 2023elma Day'2316th -Yam 2023TEAMTALK 202317th 2023YUSSIAN REALITY? Virtuality! 21 -Yabriean 2023Electron Document Ma"&amp;"nagement: The results of 202322 22323Best integration in the new conditions of 222323IT Elements22 Larno-Kincent-specialized projectmarket technicians of the CCNEWSCOTECHACHAMAVACACACASISISECTACTELAGRAMIARARARARARARARARARARARARARARARARARARARARARARAMARAMIA"&amp;"DELARARAMENTERS CONSUTELARAMIARARAMENTER CHARTEGRAMIARARAMENTER CHEIVENTERS Subscription for news © 1995 - 2023 -net publication “CNews” (“Xinhu) is registered by the Federal Service for Supervision of Information Technologies and Mass Communications on 1"&amp;"1/09/2018 at the EL No. FS77 - 74283 × Free Subscription CNews, clicking the“ Subscribe ”button, you give your consent to the processing and storage of personal data. × token: 1 advertiser: 1inn/OGRN: 1 Sit: 1 Sigch for Narralykayandx.Zentelegramwontakte")</f>
        <v>Online publication about high technologies-CNEWSOSTOSHOSTICALISTIONALIATIONALIALS-MARKKELICARISE ARE SAME ... TechnicianAUKABABBARYAMAVAKAKAKANISIAKYAYANDEX.ZENFACEBOOKVKTWITUTUTURAMELAGRAMENALIALIALISTIONALIALISTICTIONALISTICTIONALISTITIONALS-MARKETTICTIONARY AS FZ-152VPS/VDSDEDEDCETEDENCETED OFTRASVDICHOSHOSHODICHDBAASSAAS OF IT SAVISTICTISTICCRPMRPARPARPARPADIBPMSHRMLOW-CODEBIASKUBAASKUBERNETES SELL Accounting of Smmcamcommication IP- telephony deskvk Corporate instant messengers DESKDRIENCE COLOCATIONITSMCDSMCDSMCDSMCDNECTIONARY SYSTURENCHICTSECTSICTSECTSENITSENSEDS SBERCRM for businessCoprovization with Sberprosystem Orion Soft Business Submissions. T in trade cyfrovization of the internettite-business, Russian signalmen will be able to use foreign satellites, but only with the permission of the army and the FSB in Russia the first software and hardware complex was released for Information protection fully complies with the requirements of the state-owned IT-Schools was filled with the “second-rate” IT. High-quality experts were dismantled in the rest due to a shortage of personnel, employers rushed to the money of money android, android, completely independent of Googlemegabit technology, was not enough for everyone. Mobile Internet in the regions is degrading because a good “iron” was taken to the Moscow Aviatiki ex-get of the Aviation in the Ministry of Industry and Trade of 240 million rubles. Distilled to the shipbuilding in Youtube drives users into advertising slavery. All applications cutting out the advertising will be destroyed: the assistant in the messenger made it possible to increase the number of business payments in a service service service station of the STSP finally leaves Russia. The liquidation of the legal entities of the Popopular-West Suggesters will be able to use foreign satellites, but only with the permission of the army and the FSB in Russia the first software and hardware complex was released to protect information that the State-rate IT-Shniki was flooded with the requirements of the State Council. High-quality experts were dismantled in the rest due to a shortage of personnel, employers rushed with money Amazon created the “killer” of Android, completely independent of Google technology, megabit was not enough for everyone. Mobile Internet in the regions degrades because good “iron” was taken to Moscow arrested by the ex-genwate director of the Aviatiki in the case of the theft in the Ministry of Industry and Trade 240 million rubles. Highlighted on the shipbuilding on YouTube drives users into advertising slavery. All applications cutting out advertising will be destroyed by the PSB: the assistant in the messenger made it possible to increase the number of business payments by a hundred times HP finally leaves Russia. The liquidation of the legal entity of the Ultradesh SSD era has begun to an end. The world on the threshold of a new price shortage of prices is inevitable created an ultra-shit lithograph for a 5-nanometer chips that costs 10 times less than the famous ASML analogues “Yandex Station” with a paid subscription of the steel “which cannot be turned off”. Users threaten to sell the columns of the Ultradesh SSD era came to an end. The world on the threshold of a new deficit of prices inevitable inevitable an ultra-shit lithograph for a 5-nanometer chips that costs 10 times less than the famous ASML analogues “Yandex Station” with a paid subscription of the steel “which cannot be turned off”. Users threaten to sell the colonquisy business and the Internet of the future: who will win in the era of neurinet -cassocks can receive up to 100 million rubles for the pilot introduction of iimport substitution. Prices for “1C” jump for tens of thousands of rubles LBT created a server complex for the operation of virtual machines in a cloud based on the VTB.Cloud-Russian infrastructure giant buying Russian e-mail for the replacement of Microsoft Exchangezoom: the best devices of the Dreame for the sale of 11.11 Interview CNews: Our neural network recognizes more than 150 types of weeds in Russia in one day: how domestic CRM accelerated orders by 30%how to choose a convenient CRM: 6 criteria of agriculture: how artificial intelligence helps to sow wheat mines Sberbianum Business Siber It is necessary to automatically automatically automate from the level of self-employedcock, but to transform the HR-function is better-GLONASS or GPS: the main differences in the Navigation Systems of the Haval Plant recalls 55 thousand cars in Russia to put on them a quarter group of the pirate group of the overroofing TV channel and as it can be able Legally shooting an UAV in Russia, the founder of Apple and Steve Jobs's friend in a hospital with a stroke of Sitronics GropRPRSHB on Finopolis: import substitution leads to a reduction in costs and acceleration of the development of the domestic software market conference “Modern Contact Center 2023” will be added to December 5 “Aquarium” asks The state 105 billion rubles. To capture the market-boned man, he killed a man who was repaired by the AI ​​developers: “Stop rushing forward, sweeping away everything in its path” The number of bot-attacks on online stores and pharmacies is an ultra-shit lithograph for a 5-nanometer chips that costs 10 times less famous analogues. The ASMLRISSIC infrastructure giant buys Russian email to replace the Microsoft Exchange Epo with ultra -dex SSD. The world on the threshold of a new deficiency of prices of prices inevitable SSD is expelled from the register of Russian "iron". To stay, they need domestic controllers, but they do not exist in the nature of the Yandex Station with a paid subscription of began to broadcast the advertisement "which cannot be disconnected." Users threaten to sell the coloncription captivated by the “second-rate” IT shniks. High-quality experts were dismantled in the rest due to a shortage of personnel, employers rushing the money of Russia, retail sales of devices on the Russian Aurora OS began. So far, inexpensively, then prices grow up will drive users into advertising slavery. All applications cutting out advertising will be destroyed by the heaps of portion. Prices for “1C” jump up for tens of thousands of rubles in Russia, super -accessful smartphones Samsung A05 and A05S appeared. They are cheaper than XiaomiHP finally leaves Russia. The liquidation of Journish-Russian IT shnaks has begun to pay almost a million per month if only they would not leave. Salaries in the industry are recorded recordly by the USSR-operator and the data center broke down for a long time leaving users without the Internet and electronic payments Aquarius asks the state asks the state 105 billion rubles. Safety systems in the industrial-director “Technonikol Trading Network” in an interview with CNews are digging up for the capture of the market: it is pointless to wait for the return of SAP and Microsoft when there is a unique opportunity to “get off the needle” market.cnews published the first Rittle of Russian UKS 2023 CHALLISTIONS OF Automation of budgeting MAK .Cnews published a new SLA IAAS 2023 rating to automate the process of ensuring the continuity of business Imlets Mamleev “Impulse Telecom”: one parallel import of the problem does not solve the IT-in-arms rackets can receive up to 100 million rubles for the pilot implementation of Juserge Golitsyn VTB: In the near future, personal advisers will become personal advisers: Personal advisers will become: the trend in the development of Jivasilia Guryev “Inferit Itman”: the study showed that in 2024 the business will buy the infrastructural postponement of important points that should be fixed to Slamikhail Sartakov X5 Group: we created a corporate university in a different way: Contact centers hold a course to increase automation CRM systems processing processes 2023. Map of the marketcnews tvglav MCKSUTRA MAKSUT SHADAEV answered the ICT-industry questions ... Effective cybersecurity: IB experts told how ... the CNEWS FORUM video review? »Interviews of the month is consistent to wait for the return of SAP and Microsoft when there is a unique opportunity to“ get off the needle ”Dmitry Vanyushkinder of the IT retailer“ Troops Technonikol Tseral Network ”The Strategy of the Month Near Set with more than 150 species of Vrexago-Vortion Petrovo-Director of the Rusagro, the company Monthly needs to be automated in the old way — цифровая трансформация может принести значительно больше пользыАлександр Глазковуправляющий директор компании «Диасофт» Карты рынкаАтласИмпортозамещение•    Аппаратное обеспечение•    Корпоративное ПО•    Офисное ПО Интервью месяцаБессмысленно ждать возвращения SAP и Microsoft когда есть уникальная возможность «слезть с иглы» Дмитрий Ванюшкиндиректор ИТ-департамента ритейлера«Торговая сеть Technonikol "arrested ex-get the Aviatiki in the case of the theft in the Ministry of Industry and Trade of 240 million rubles. Distilled to the shipbuilding in Youtube drives users into advertising slavery. All applications cutting out the advertising will be destroyed: the assistant in the messenger made it possible to increase the number of business payments in a service service service station of the STSP finally leaves Russia. The liquidation of the legal entity and the Internet of the future has begun: who will win in the era of neurinet -cassocks can receive up to 100 million rubles for the pilot introduction of the Jeshee of the ultradeis SSD. The world on the threshold of a new deficit of prices inevitable inevitable an ultra-shit lithograph for a 5-nanometer chips that costs 10 times less than the famous ASML analogues “Yandex Station” with a paid subscription of the steel “which cannot be turned off”. Users threaten to sell a column to order another import -substitute gets more expensive. Цены на ПО «1C» подскочат на десятки тысяч рублейВТБ создал серверный комплекс для работы виртуальных машин в облаке на базе платформы VTB.CloudРоссийский инфраструктурный гигант покупает российскую электронную почту на замену Microsoft ExchangeИТ-директор «Русагро» в интервью CNews: Наша нейросеть распознает более 150 Types of weeds in Russia in one day: as a domestic CRM accelerated orders by 30%how to choose a convenient CRM: 6 criteria of agriculture: how artificial intelligence helps to sow wheatzoom: the best devices of Dreame on sale 11.11 What is better - GLONASS or GPS: the main differences in systems: the main differences in systems: the main differences in systems Navigationiadiadiad Oblya Sberbus Business Soft: I need to introduce a CRM system from the level of the Haval self-employed factory recalls 55 thousand cars in Russia to put on them the “Era-Glonass” arrested a quarter of the pirate group of the chopped TV channel and how can be legally converted to the UAV in Russia, the founder of Apple and the friend Steve Jobs in a hospital with a stroke ofisource signed an agreement with Sitronics Groprshb on Finopolis: import substitution leads to a reduction in expenses and accelerating the development of the domestic software market conference “Modern Contact Center 2023” will be held on December 5 “Aquarius” asks the state 105 billion rubles. To capture the market-boned man, he killed a person who is repaired by the AI ​​developers: “Stop rushing forward, sweeping away everything in its path” in Russia anomally increased the number of bot-attenu for online stores and pharmacies: the best devices of Dreame on sale 11.1 What is better-GLONASS or GPS: the main Differences of navigation systems News Analytic Safety-Aleksander Metulin: DDOS attacks today are one of the most relevant problems of modern IT safety to automate the process of ensuring the continuity of business Conference Electronic Documentation: Results 2023 Years SberProineurone and not only: where the Russian IT conference is moving in the new conditions Bankachsergei Golitsyn VTB: In the near future, personal advisers will become a trend in the development of AI Business Commentary to organize corporate communications at the Banking Business Service Guryev “Inferit Itman”: the study showed that in 2024 the business will buy an infrastructural business of business to the Business of the Security Code of the Security Code of the Secution Vision: Partnership status should depend not on the turnover, but on the examination of an integrator of the business communications, to organize hybrid training using Russian technologies, a conference-based digital office of 2023MOSKA IT in the banks of the data and create a global information ecosystem? Case Rosselkhozbank Conference Electronics of the Russian Russian Communication Medication Mikhail Sartakov X5 Group: We have created a corporate university in a different business communications of transport logistics change so quickly that the safety of Yankin “Infosystem Jet” cannot be done without online communication: I would recommend that the company would recommend a dysfunction With the plot of “Hack of the Contractor” digitalization of Issues: Contact centers keep a course to increase the automation of routine processes support for IT-producing IT products to the market and scale the business: why participate in the “Sprint accelerator” Mamleev “Impulse Telecom”: one parallel import of the problem not Solve the workflow of WSS-Consulting Popov: modern EDMS should be able to quickly solve the most difficult tasks. At the same time, minimal refinements of import-dependent hyperconduring solutions: how to get away from the classical architecture of document management to control digital content-Evolution Evolution Digital Environmental Environmental thoused the work of the tour operator in The Zelevikovator Silkin Technician Superweve Group: Careful attitude to resources becomes a good tone of digitalization of the Tikhomirov Custis: banks can compose real competition to IT companies in creating final digital products for other industries to protect the containerization platform at all stages of the Safety-Safety-Safety-SERGITITS “GAZINFORFERSServis”: The time has come from a simple automation of the IB processes to conscious strategic cooperation of import-dependent, the centrally solving problems of import substitution of business systems of the businessman simply pictures: DAM platform manufacturers divide the market in $ 8 imported ossako-depends Issaco T1 EasyTAX: to become a member It -Markutandry’s marshmallows EXPRESS: Choosing a VKS, you need to not forget about chats digitalization of insurance: what new products are the market leaders of the cloud -Konstantin Simonov Dataspace Cloud: Hybrid cloud has become a key service for today in the state sector to enter the university? Safety questions of the top manager should ask his CISO about the security of his company digiribrition nun Naumen: IT strategy is not the response to incidents, but the continuation of the Documentwood Business Document Management Strategies: the SED can be recalculated on the market in the fingers in which artificial intelligence of the businessman is implemented Arenadata: The Data River of the Date today is one of the most investmently attractive Russian telecommunication telecommunications in the country: there are not enough free frequencies and communication satellites SIEM Security Integles and analyzes signals from IB-components of infrastructure business services on the lead: the children from the Sirius passed the holding of the holding T1 Importone dependence to make sure that the chosen Russian OS is sanctionally safe? IT in Bankhnicolai Ulyanov Rosselkhozbank: the spread of the II solutions has become the mainstream in the banking industry of the import dependence of the national import substitution: we analyze typical problems (part 3) Markettimur Poroshin T1CRM: the need for migration is an occasion to conduct IT REVISIONS SAVENTHREAT Intelligence Platform. Analytical comparison of the solutions of Security Vision Tip and Anomaly Importone depending on the Baulin F.A.C.T.: We inherited the Group-IB examination in all key areas of cybersecurity to also order the cloud service of the News Cloud Service of the News10.1117: 10VK CLOUD Vil free access for their users to the emergency recovery service "Highstex ... 10.1117: 00-study “Contur. Tolk”: 20% of office employees conducts more than 5 online meetings every day10.1116: 11 “Nota” and “Post Bank” expand cooperation10.1116: 02Sberbank and Lipetsk region will jointly prepare IT specialists10.11115 : 51 Petersburg services for the townspeople “I live here” will appear in two more regions of Russia10.1115: 27 Caption for the maximum: Updated Bloody S9810.115: 22 -UM columns VK can now be used as a radio -tank 110.1114: 18 WHOKELD KUSTSYNA Director of Digital Platforms SALZ-House Gazprom-Media 10.1114: 13QAPP and “Association Finteh” agreed on cooperation in the field of quantum and resistant protection of information and technology ... 10.1114: 12 days of import substitution of the key banking, a new industrial competency center10.1114: 10 testing of VK: 57 % of users plan to buy household appliances and offline electronics 110.1113: 25X-COM scaled the video surveillance system of the Academy of the Federal Penitentiary Service of Russia10.1113: 20 formats NX and solidWorks are added to the C3D Converter10.1113: 18 "T1 integration" will jointly take up the development IB-systems10.1113: 15NSPK and QAPP implemented a pilot to protect data based on post-sculatory encryption algorithms10.1113: 05AML CRYPTO, an independent audit of information security in the Softline10.1112: 56biline Group of Companies will give the opportunity to assign its number with smart watches or tablet10.1111: 59 "59" Megaphone ”accelerated the Internet in the country of Valdai bells 110.1111: 57MTS dispersed mobile Internet in the oldest city of Karelia10.1111: 53 cholesting“ T1 ”and the Bank of Russia will develop the educational programs“ Fintech Khaba ”10.11111: 48 -amplifier“ Synergy ”and“ Sberbeshoes ”will be created by the creation of educational Electronic trading programs are more than the news of the technicom-ammartphone-in-chief technician-video technician room technicium appliances appliances appliances of the applianate technicianAuadiochael-based Dreame device on the sale of 11.11: the choice of zoomnaacaughrosis from the abyss: in the deepest oceanic vengeance of the Earth, a new viro-linked routers with support for Wi-Fi-Fi-Fi 6 were discovered: the choice of zoomna -adolescence of the accumulation of galaxies of which should not be It is possible to go to the cosmological theory of Listen to listen to music in 2023: Streaming musical services in Russia and services for organizing the workflow: Choosing a zoom technology bog, deductions in streaming services are arranged and why young wealthy rock stars will no longer be light and powerful: the most productive laptops weighing up to 13 kg. The Office of events15th -Yam 2023elma Day'2316th -Yam 2023TEAMTALK 202317th 2023YUSSIAN REALITY? Virtuality! 21 -Yabriean 2023Electron Document Management: The results of 202322 22323Best integration in the new conditions of 222323IT Elements22 Larno-Kincent-specialized projectmarket technicians of the CCNEWSCOTECHACHAMAVACACACASISISECTACTELAGRAMIARARARARARARARARARARARARARARARARARARARARARARAMARAMIADELARARAMENTERS CONSUTELARAMIARARAMENTER CHARTEGRAMIARARAMENTER CHEIVENTERS Subscription for news © 1995 - 2023 -net publication “CNews” (“Xinhu) is registered by the Federal Service for Supervision of Information Technologies and Mass Communications on 11/09/2018 at the EL No. FS77 - 74283 × Free Subscription CNews, clicking the“ Subscribe ”button, you give your consent to the processing and storage of personal data. × token: 1 advertiser: 1inn/OGRN: 1 Sit: 1 Sigch for Narralykayandx.Zentelegramwontakte</v>
      </c>
    </row>
    <row r="866">
      <c r="A866" s="1" t="s">
        <v>2788</v>
      </c>
      <c r="B866" s="1" t="s">
        <v>2737</v>
      </c>
      <c r="C866" s="1" t="s">
        <v>2828</v>
      </c>
      <c r="D866" s="1">
        <v>16.0</v>
      </c>
      <c r="E866" s="4" t="s">
        <v>2739</v>
      </c>
      <c r="F866" s="1" t="s">
        <v>16</v>
      </c>
      <c r="G866" s="1" t="s">
        <v>34</v>
      </c>
      <c r="H866" s="4" t="s">
        <v>35</v>
      </c>
      <c r="I866" s="2">
        <v>1.0</v>
      </c>
      <c r="J866" s="5" t="str">
        <f>IFERROR(__xludf.DUMMYFUNCTION("GOOGLETRANSLATE(A866)"),"Sberbank Online")</f>
        <v>Sberbank Online</v>
      </c>
      <c r="K866" s="6" t="str">
        <f>IFERROR(__xludf.DUMMYFUNCTION("GOOGLETRANSLATE(B866)"),"Sber")</f>
        <v>Sber</v>
      </c>
      <c r="L866" s="5" t="str">
        <f>IFERROR(__xludf.DUMMYFUNCTION("GOOGLETRANSLATE(C866)"),"Here we tell all our news, share life hacks and report on promotions. Site: Sberbank.ru · online bank.")</f>
        <v>Here we tell all our news, share life hacks and report on promotions. Site: Sberbank.ru · online bank.</v>
      </c>
      <c r="M866" s="5" t="str">
        <f>IFERROR(__xludf.DUMMYFUNCTION("GOOGLETRANSLATE(G866)"),"VK.com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867">
      <c r="A867" s="1" t="s">
        <v>2788</v>
      </c>
      <c r="B867" s="1" t="s">
        <v>2789</v>
      </c>
      <c r="C867" s="1" t="s">
        <v>2829</v>
      </c>
      <c r="D867" s="1">
        <v>17.0</v>
      </c>
      <c r="E867" s="4" t="s">
        <v>2830</v>
      </c>
      <c r="F867" s="1" t="s">
        <v>16</v>
      </c>
      <c r="I867" s="2">
        <v>1.0</v>
      </c>
      <c r="J867" s="5" t="str">
        <f>IFERROR(__xludf.DUMMYFUNCTION("GOOGLETRANSLATE(A867)"),"Sberbank Online")</f>
        <v>Sberbank Online</v>
      </c>
      <c r="K867" s="6" t="str">
        <f>IFERROR(__xludf.DUMMYFUNCTION("GOOGLETRANSLATE(B867)"),"Sberbank Online")</f>
        <v>Sberbank Online</v>
      </c>
      <c r="L867" s="5" t="str">
        <f>IFERROR(__xludf.DUMMYFUNCTION("GOOGLETRANSLATE(C867)"),"Sberbank Online. Read the latest news on the topic in the news feed on the RIA Novosti website. Difficulties with the entrance to the Sberbank mobile application arose ...")</f>
        <v>Sberbank Online. Read the latest news on the topic in the news feed on the RIA Novosti website. Difficulties with the entrance to the Sberbank mobile application arose ...</v>
      </c>
      <c r="M867" s="5" t="str">
        <f>IFERROR(__xludf.DUMMYFUNCTION("GOOGLETRANSLATE(G867)"),"#VALUE!")</f>
        <v>#VALUE!</v>
      </c>
    </row>
    <row r="868">
      <c r="A868" s="1" t="s">
        <v>2788</v>
      </c>
      <c r="B868" s="1" t="s">
        <v>2831</v>
      </c>
      <c r="C868" s="1" t="s">
        <v>2832</v>
      </c>
      <c r="D868" s="1">
        <v>18.0</v>
      </c>
      <c r="E868" s="4" t="s">
        <v>2833</v>
      </c>
      <c r="F868" s="1" t="s">
        <v>16</v>
      </c>
      <c r="G868" s="1" t="s">
        <v>135</v>
      </c>
      <c r="H868" s="4" t="s">
        <v>136</v>
      </c>
      <c r="I868" s="2">
        <v>3.0</v>
      </c>
      <c r="J868" s="5" t="str">
        <f>IFERROR(__xludf.DUMMYFUNCTION("GOOGLETRANSLATE(A868)"),"Sberbank Online")</f>
        <v>Sberbank Online</v>
      </c>
      <c r="K868" s="6" t="str">
        <f>IFERROR(__xludf.DUMMYFUNCTION("GOOGLETRANSLATE(B868)"),"Sberbank Online »The application reappeared in App ...")</f>
        <v>Sberbank Online »The application reappeared in App ...</v>
      </c>
      <c r="L868" s="5" t="str">
        <f>IFERROR(__xludf.DUMMYFUNCTION("GOOGLETRANSLATE(C868)"),"October 10. 2022 -")</f>
        <v>October 10. 2022 -</v>
      </c>
      <c r="M868" s="5" t="str">
        <f>IFERROR(__xludf.DUMMYFUNCTION("GOOGLETRANSLATE(G868)"),"Forbes.ru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869">
      <c r="A869" s="1" t="s">
        <v>2788</v>
      </c>
      <c r="B869" s="1" t="s">
        <v>2834</v>
      </c>
      <c r="C869" s="1" t="s">
        <v>2835</v>
      </c>
      <c r="D869" s="1">
        <v>36.0</v>
      </c>
      <c r="E869" s="4" t="s">
        <v>2836</v>
      </c>
      <c r="F869" s="1" t="s">
        <v>16</v>
      </c>
      <c r="G869" s="1" t="s">
        <v>2837</v>
      </c>
      <c r="H869" s="4" t="s">
        <v>2838</v>
      </c>
      <c r="I869" s="2">
        <v>3.0</v>
      </c>
      <c r="J869" s="5" t="str">
        <f>IFERROR(__xludf.DUMMYFUNCTION("GOOGLETRANSLATE(A869)"),"Sberbank Online")</f>
        <v>Sberbank Online</v>
      </c>
      <c r="K869" s="6" t="str">
        <f>IFERROR(__xludf.DUMMYFUNCTION("GOOGLETRANSLATE(B869)"),"Payment through the Sberbank application online on ...")</f>
        <v>Payment through the Sberbank application online on ...</v>
      </c>
      <c r="L869" s="5" t="str">
        <f>IFERROR(__xludf.DUMMYFUNCTION("GOOGLETRANSLATE(C869)"),"Payment through the Sberbank online application on the phone · 2. After choosing a card, it is necessary to select item · 3. In the ""Payments and Translations"" menu, you must select ...")</f>
        <v>Payment through the Sberbank online application on the phone · 2. After choosing a card, it is necessary to select item · 3. In the "Payments and Translations" menu, you must select ...</v>
      </c>
      <c r="M869" s="5" t="str">
        <f>IFERROR(__xludf.DUMMYFUNCTION("GOOGLETRANSLATE(G869)"),"Online store for farmers of summer residents and gardeners. The official website of the company ""Institute of Agricultural Technics"". Internet store for farmers of personal subsidiary farms of summer residents and gardeners. Delivery in Russia. 8 (800) "&amp;"222-60-74PN-pt from 07: 00–16: 00 mskopa-placed the catalog Catalog of goods-in-cubature processing Molocaucashelobykiecyshilki-meshplex-legged leaf-legged and spare parts for grain-zeros. and spare parts for milking machines and spare parts for grain gri"&amp;"nders and feed columns instructions for the basket empty Find it! Hits sales of aPopularity recommended recommended by installments a milking apparatus for Milk Farm cows Model 2P25 700 P28 700 RBEST Delivery to the terminal of a transport company to your"&amp;" city nipple rubber production of 8-10 cows into a grapible capacity of 550 Bidona 226 kggaranty 18 months in 18 months. Basinus -rh. Silicone kit 4 pieces 950 rfkomple of nipple rubber for milking machines ""Milk Farm"". The grain-beeps/crusher of corn a"&amp;"nd stalking feed is available in the basket-Instagro IZ-27 900 REZNO: 180-200 kg/chukukuruza: 200-250 kg/shaped food: 200-250 kg/h/h: 220 half-wable power: 25 kW of rotation frequency : 2850 rpm of the SIT Miner complex: 4 sieves (2345 mm) Mass: 193 kg in"&amp;" the basket is available in installments Smart incubator ""Bird Yard"" Smart-6013 700 Rujlota: 60 chicken ores for different types of ovary-control over the ovary of moisture control of the moisture content of the moisture-resistant spinning spinning over"&amp;" the AKB 12VARTIA 12VA. Months in the baszyelectrocoptillan “Alvin” ECU Combined6 890 Robbu loading 20 liter voltage 220 220 captured power 800 VTKOLICIALES 3 SHOLS 3 SUV 12 kg in a grain of grain 175 mm.150 RESPECTIONS in grain -thresholds of the Lineche"&amp;"k Khrusha Bizon Bizon Grand and Feron measures. As well as in the forage targeters of the KR-02 and KR-03. The knife day is 175 mm. In the basket of the sipper for a milking apparatus (alkaline), 6 kg. 600 rprofessional liquid alkaline low -fluid detergen"&amp;"t with a disinfectant effect based on active chlorine. Smart-6013 700 Rujatmnika Smart Enterprise Enterprise Enterprise Enterprise Enterprise Enterprise: 60 chicken ovary for different types of ovary-like ovum-regulation of the control of the moisture-bas"&amp;"ed spitting temperature on the Bena-Building of 12 months in the basket is available in the basket of the smart yard, Smart-2014 900 Ruplam : 120 chicken ores for different types of ovary-like revolution IIITSELOGULATION OF MONTROL MOLSTROLSTROL OF THE MO"&amp;"TS OF THE ACB 12 VARARANTION 12 months in the basket is available in installments Automatic Incubator ""Standart-6011 500 RNE. mouth -reicing temperature control of moisture Automatic transmission on the 12V AKB in the basket is available in installments "&amp;"Automatic incubator ""Bird yard"" Max-7012 500 Rups: 70 chicken ores for different types of ovary-luminous revolution of the temperature control of the moisture-built oscillator of the AKB 12V in the basket of the grain-thriller Izk review of the grain -c"&amp;"ircuit for households19 March Cares and reviews On the dairy farm milking apparatus, video reviews of milking devices. On February 8, an automatic incubator automatic incubator for eggs “Bird Dvor” Model A-6420 Augustaphot and assembly of the milking appa"&amp;"ratus from the Family in the Village channel, Anton Khoroshev, Holder YouTube Channel “Family in the village” receives and collects Milk farm milking apparatus on June 13, Maral Farm, Operation on a large farm (video) on June 13, Instagro, sells wholesale"&amp;" and retail automatic incubators for grain -drift eggs and other agricultural equipment for farms and cattle -breeding farms and cattle -breeding farms as well as household appliances for agriculture and cottages. Equipment can be bought with large and sm"&amp;"all wholesale from any region of Russia and the CIS countries with a guarantee. For a request from the wholesale price price, write on Opt@instagro.ruvs the goods are certified and comply with the norms and standards of the Russian Federation. The Company"&amp;" of the Institute of Agricultural Technology is responsible for the quality of the proposed products and the timely delivery time. Why are we? Favorable prices offer favorable prices for our products. We provide a flexible system of discounts and bonuses "&amp;"to regular and wholesale customers. The accuracy of buying our site you save time and you can make a purchase in a matter of minutes and also trace the progress of the execution of your order by contacting the manager. Consumer goods we offer only proven "&amp;"goods from the best manufacturers of Russia. Each unit is being verified before sending to the buyer. The Institute of Agricultural Engineering works in accordance with the legislation of the Russian Federation. If the goods purchased from us turned out t"&amp;"o be inadequate quality, we will replace it. The individual approach is found an individual approach to each client. Personal manager will keep your order from registration before you receive the goods. Payment of individuals • Payment for receipt at a ba"&amp;"nk or details through a mobile bank • Payment through payment terminals on the details of the organization of legal entities • Payment on the account, legal entities and individual entrepreneurs need to pay an account that the manager is issued by the man"&amp;"ager. Money for the billing account will be shipped to a transport company. For issues of shipment of goods, you can contact our managers. As soon as the order arrives in your city, a representative of the transport company will contact you and reports th"&amp;"e order and terms of receipt of the order. More about delivery, we produce milking devices ""Dairy Farm"" 8 (800) 222-60-74 Sales@instagro.rupn-PT from 07 : 00–16: 00 Mskkatalog. Goods of appliances of ancubature processing Molocaelectrosushilkikoptilniso"&amp;"kolnisokomkalno-linen-compounded sparetime columns of the Contactyo company Kontaktyopt IP Khristolyubov A.V. Offis: Chelyabinsk region Miass Prospect. Avtozavtsy 65 of. 403/2inn: 741511542909OGRN: 317745600007724R/CU 40802810938040003081 Filial ""Yekater"&amp;"inburg"" Alfa-Bank K/SMS 301018101000000964 BIK 046577964 REMODENT OF RHORECIAL SALESS@Instag .ru 8 (800) 222-60-74 (call in the Russian Federation free) +7 (900 ) 025-60-74 (WhatsApp Viber Telegram) Department of wholesale sales ofopt@instagro.ru + 7 (34"&amp;"3) 30-22-847 ven. 111 + 7 (900) 025-60-74 graphics of managers: Mon-Fri from 07: 00-16: 00 Moscow time")</f>
        <v>Online store for farmers of summer residents and gardeners. The official website of the company "Institute of Agricultural Technics". Internet store for farmers of personal subsidiary farms of summer residents and gardeners. Delivery in Russia. 8 (800) 222-60-74PN-pt from 07: 00–16: 00 mskopa-placed the catalog Catalog of goods-in-cubature processing Molocaucashelobykiecyshilki-meshplex-legged leaf-legged and spare parts for grain-zeros. and spare parts for milking machines and spare parts for grain grinders and feed columns instructions for the basket empty Find it! Hits sales of aPopularity recommended recommended by installments a milking apparatus for Milk Farm cows Model 2P25 700 P28 700 RBEST Delivery to the terminal of a transport company to your city nipple rubber production of 8-10 cows into a grapible capacity of 550 Bidona 226 kggaranty 18 months in 18 months. Basinus -rh. Silicone kit 4 pieces 950 rfkomple of nipple rubber for milking machines "Milk Farm". The grain-beeps/crusher of corn and stalking feed is available in the basket-Instagro IZ-27 900 REZNO: 180-200 kg/chukukuruza: 200-250 kg/shaped food: 200-250 kg/h/h: 220 half-wable power: 25 kW of rotation frequency : 2850 rpm of the SIT Miner complex: 4 sieves (2345 mm) Mass: 193 kg in the basket is available in installments Smart incubator "Bird Yard" Smart-6013 700 Rujlota: 60 chicken ores for different types of ovary-control over the ovary of moisture control of the moisture content of the moisture-resistant spinning spinning over the AKB 12VARTIA 12VA. Months in the baszyelectrocoptillan “Alvin” ECU Combined6 890 Robbu loading 20 liter voltage 220 220 captured power 800 VTKOLICIALES 3 SHOLS 3 SUV 12 kg in a grain of grain 175 mm.150 RESPECTIONS in grain -thresholds of the Linechek Khrusha Bizon Bizon Grand and Feron measures. As well as in the forage targeters of the KR-02 and KR-03. The knife day is 175 mm. In the basket of the sipper for a milking apparatus (alkaline), 6 kg. 600 rprofessional liquid alkaline low -fluid detergent with a disinfectant effect based on active chlorine. Smart-6013 700 Rujatmnika Smart Enterprise Enterprise Enterprise Enterprise Enterprise Enterprise: 60 chicken ovary for different types of ovary-like ovum-regulation of the control of the moisture-based spitting temperature on the Bena-Building of 12 months in the basket is available in the basket of the smart yard, Smart-2014 900 Ruplam : 120 chicken ores for different types of ovary-like revolution IIITSELOGULATION OF MONTROL MOLSTROLSTROL OF THE MOTS OF THE ACB 12 VARARANTION 12 months in the basket is available in installments Automatic Incubator "Standart-6011 500 RNE. mouth -reicing temperature control of moisture Automatic transmission on the 12V AKB in the basket is available in installments Automatic incubator "Bird yard" Max-7012 500 Rups: 70 chicken ores for different types of ovary-luminous revolution of the temperature control of the moisture-built oscillator of the AKB 12V in the basket of the grain-thriller Izk review of the grain -circuit for households19 March Cares and reviews On the dairy farm milking apparatus, video reviews of milking devices. On February 8, an automatic incubator automatic incubator for eggs “Bird Dvor” Model A-6420 Augustaphot and assembly of the milking apparatus from the Family in the Village channel, Anton Khoroshev, Holder YouTube Channel “Family in the village” receives and collects Milk farm milking apparatus on June 13, Maral Farm, Operation on a large farm (video) on June 13, Instagro, sells wholesale and retail automatic incubators for grain -drift eggs and other agricultural equipment for farms and cattle -breeding farms and cattle -breeding farms as well as household appliances for agriculture and cottages. Equipment can be bought with large and small wholesale from any region of Russia and the CIS countries with a guarantee. For a request from the wholesale price price, write on Opt@instagro.ruvs the goods are certified and comply with the norms and standards of the Russian Federation. The Company of the Institute of Agricultural Technology is responsible for the quality of the proposed products and the timely delivery time. Why are we? Favorable prices offer favorable prices for our products. We provide a flexible system of discounts and bonuses to regular and wholesale customers. The accuracy of buying our site you save time and you can make a purchase in a matter of minutes and also trace the progress of the execution of your order by contacting the manager. Consumer goods we offer only proven goods from the best manufacturers of Russia. Each unit is being verified before sending to the buyer. The Institute of Agricultural Engineering works in accordance with the legislation of the Russian Federation. If the goods purchased from us turned out to be inadequate quality, we will replace it. The individual approach is found an individual approach to each client. Personal manager will keep your order from registration before you receive the goods. Payment of individuals • Payment for receipt at a bank or details through a mobile bank • Payment through payment terminals on the details of the organization of legal entities • Payment on the account, legal entities and individual entrepreneurs need to pay an account that the manager is issued by the manager. Money for the billing account will be shipped to a transport company. For issues of shipment of goods, you can contact our managers. As soon as the order arrives in your city, a representative of the transport company will contact you and reports the order and terms of receipt of the order. More about delivery, we produce milking devices "Dairy Farm" 8 (800) 222-60-74 Sales@instagro.rupn-PT from 07 : 00–16: 00 Mskkatalog. Goods of appliances of ancubature processing Molocaelectrosushilkikoptilnisokolnisokomkalno-linen-compounded sparetime columns of the Contactyo company Kontaktyopt IP Khristolyubov A.V. Offis: Chelyabinsk region Miass Prospect. Avtozavtsy 65 of. 403/2inn: 741511542909OGRN: 317745600007724R/CU 40802810938040003081 Filial "Yekaterinburg" Alfa-Bank K/SMS 301018101000000964 BIK 046577964 REMODENT OF RHORECIAL SALESS@Instag .ru 8 (800) 222-60-74 (call in the Russian Federation free) +7 (900 ) 025-60-74 (WhatsApp Viber Telegram) Department of wholesale sales ofopt@instagro.ru + 7 (343) 30-22-847 ven. 111 + 7 (900) 025-60-74 graphics of managers: Mon-Fri from 07: 00-16: 00 Moscow time</v>
      </c>
    </row>
    <row r="870">
      <c r="A870" s="1" t="s">
        <v>2788</v>
      </c>
      <c r="B870" s="1" t="s">
        <v>2839</v>
      </c>
      <c r="C870" s="1" t="s">
        <v>2840</v>
      </c>
      <c r="D870" s="1">
        <v>10.0</v>
      </c>
      <c r="E870" s="4" t="s">
        <v>2841</v>
      </c>
      <c r="F870" s="1" t="s">
        <v>43</v>
      </c>
      <c r="G870" s="1" t="s">
        <v>2842</v>
      </c>
      <c r="H870" s="4" t="s">
        <v>2843</v>
      </c>
      <c r="I870" s="2">
        <v>1.0</v>
      </c>
      <c r="J870" s="5" t="str">
        <f>IFERROR(__xludf.DUMMYFUNCTION("GOOGLETRANSLATE(A870)"),"Sberbank Online")</f>
        <v>Sberbank Online</v>
      </c>
      <c r="K870" s="6" t="str">
        <f>IFERROR(__xludf.DUMMYFUNCTION("GOOGLETRANSLATE(B870)"),"Entrance to the Internet Bank CJSC ""Pridnestrovsky Sberbank""")</f>
        <v>Entrance to the Internet Bank CJSC "Pridnestrovsky Sberbank"</v>
      </c>
      <c r="L870" s="5" t="str">
        <f>IFERROR(__xludf.DUMMYFUNCTION("GOOGLETRANSLATE(C870)"),"You can connect for free to the Sberbank-Online system in any department of the Transnistrian Sberbank. To connect, just present a passport and ...")</f>
        <v>You can connect for free to the Sberbank-Online system in any department of the Transnistrian Sberbank. To connect, just present a passport and ...</v>
      </c>
      <c r="M870" s="5" t="str">
        <f>IFERROR(__xludf.DUMMYFUNCTION("GOOGLETRANSLATE(G870)"),"Entrance to the Internet bank of CJSC Donestrovsky Sberbank Loginparol to connect for free to the Sberbank-Online system in any department of the Transnistrian Sberbank. To connect, it is enough to present a passport and sign an application for accession "&amp;"to a remote service. Now you can use the services of the bank using the Internet and the Sberbank -Online system around the clock at work or on vacation - where it is convenient for you. CAREFULLY! Fraudsters1. Enter the username and password from the Int"&amp;"ernet bank of Sberbank only on the website https://online.prisbank.com. Carefully check the spelling of each word in the address line. 2. Never report to anyone the data of the card: number (16 digits) and CVC code on the back. Remember the bank employees"&amp;" never call and do not ask this data to us, they are already known. 3. Never tell anyone a code from SMS even if you are addressed on behalf of Sberbank. These are scammers.")</f>
        <v>Entrance to the Internet bank of CJSC Donestrovsky Sberbank Loginparol to connect for free to the Sberbank-Online system in any department of the Transnistrian Sberbank. To connect, it is enough to present a passport and sign an application for accession to a remote service. Now you can use the services of the bank using the Internet and the Sberbank -Online system around the clock at work or on vacation - where it is convenient for you. CAREFULLY! Fraudsters1. Enter the username and password from the Internet bank of Sberbank only on the website https://online.prisbank.com. Carefully check the spelling of each word in the address line. 2. Never report to anyone the data of the card: number (16 digits) and CVC code on the back. Remember the bank employees never call and do not ask this data to us, they are already known. 3. Never tell anyone a code from SMS even if you are addressed on behalf of Sberbank. These are scammers.</v>
      </c>
    </row>
    <row r="871">
      <c r="A871" s="1" t="s">
        <v>2788</v>
      </c>
      <c r="B871" s="1" t="s">
        <v>2844</v>
      </c>
      <c r="C871" s="1" t="s">
        <v>2781</v>
      </c>
      <c r="D871" s="1">
        <v>11.0</v>
      </c>
      <c r="E871" s="4" t="s">
        <v>2782</v>
      </c>
      <c r="F871" s="1" t="s">
        <v>43</v>
      </c>
      <c r="I871" s="2">
        <v>1.0</v>
      </c>
      <c r="J871" s="5" t="str">
        <f>IFERROR(__xludf.DUMMYFUNCTION("GOOGLETRANSLATE(A871)"),"Sberbank Online")</f>
        <v>Sberbank Online</v>
      </c>
      <c r="K871" s="6" t="str">
        <f>IFERROR(__xludf.DUMMYFUNCTION("GOOGLETRANSLATE(B871)"),"Sberction Libration: To arrange insurance online for ...")</f>
        <v>Sberction Libration: To arrange insurance online for ...</v>
      </c>
      <c r="L871" s="5" t="str">
        <f>IFERROR(__xludf.DUMMYFUNCTION("GOOGLETRANSLATE(C871)"),"Sberbank Insurance offers a wide range of insurance products for private and legal entities. Registration of insurance online. Help and support 24/7.")</f>
        <v>Sberbank Insurance offers a wide range of insurance products for private and legal entities. Registration of insurance online. Help and support 24/7.</v>
      </c>
      <c r="M871" s="5" t="str">
        <f>IFERROR(__xludf.DUMMYFUNCTION("GOOGLETRANSLATE(G871)"),"#VALUE!")</f>
        <v>#VALUE!</v>
      </c>
    </row>
    <row r="872">
      <c r="A872" s="1" t="s">
        <v>2788</v>
      </c>
      <c r="B872" s="1" t="s">
        <v>2845</v>
      </c>
      <c r="C872" s="1" t="s">
        <v>2846</v>
      </c>
      <c r="D872" s="1">
        <v>12.0</v>
      </c>
      <c r="E872" s="4" t="s">
        <v>2847</v>
      </c>
      <c r="F872" s="1" t="s">
        <v>43</v>
      </c>
      <c r="G872" s="1" t="s">
        <v>2848</v>
      </c>
      <c r="H872" s="4" t="s">
        <v>2849</v>
      </c>
      <c r="I872" s="2">
        <v>1.0</v>
      </c>
      <c r="J872" s="5" t="str">
        <f>IFERROR(__xludf.DUMMYFUNCTION("GOOGLETRANSLATE(A872)"),"Sberbank Online")</f>
        <v>Sberbank Online</v>
      </c>
      <c r="K872" s="6" t="str">
        <f>IFERROR(__xludf.DUMMYFUNCTION("GOOGLETRANSLATE(B872)"),"How to pay for services to Sberbank online?")</f>
        <v>How to pay for services to Sberbank online?</v>
      </c>
      <c r="L872" s="5" t="str">
        <f>IFERROR(__xludf.DUMMYFUNCTION("GOOGLETRANSLATE(C872)"),"To pay for services, including VDGO, in Sberbank online you need to do the following: · install the application on the phone Sberbank online; · Enter the application ...")</f>
        <v>To pay for services, including VDGO, in Sberbank online you need to do the following: · install the application on the phone Sberbank online; · Enter the application ...</v>
      </c>
      <c r="M872" s="5" t="str">
        <f>IFERROR(__xludf.DUMMYFUNCTION("GOOGLETRANSLATE(G872)"),"Home Gas Service Service 04 104 Dressing Federal Number 8 800 234 1795 Caus-Palace Service Cash Cabinet will be the form of entry and registration of the company-householding and MGP of the Volgograd Contribution Contact contact information communication "&amp;"communications of the region Politicoponulation of personal data and methodological and methodological Center for Prophetic Propromy About customer centaccents with Eskpkak Pay services to Sberbank online? Volgogradgorgaz JSC On the company and the invest"&amp;"ors of the Klice -Prescriptions, the contraception of the information on the contract, the contract of the Vogo -Coaming Information Information in accordance with the Government Decree of October 29, 2010. No. 872 Information, according to the Federal La"&amp;"w of the Russian Federation No. 426-ФЗ “On a Special Assessment of Work Wonditioners”, Grovakanias at Gazprom Gas Distribution of Volgograd LLC Work in Volgogradogorgaz JSC Internet stores and answers about customer centihiner-reception filians and MGP of"&amp;" the Volgograd region in the city R.P. Elanphilial in the city of Kalachfilial in Kamyshinfilial in Kotovophilial in the city of Mikhailovkaphilial in the city of Nikolaevskfilial in the city of Novoanninskfilia in the city of Pallasovychychiliaal in the "&amp;"city of Surovykinofilia in the city of Uryupinskfilial in the city of Frolovoye ""Gorodischenskoye"" MGP "" Zhirnovskoye ""MGP"" Kotelnikovskoye ""Emergency Service of Gas 04 104 Dressed federal number 8 800 234 1795O Clientamao"" Volgogradgorgaz ""Docume"&amp;"ntation of the Infantic-Steppendication of the Interpore-Reception Service_1Slaider_2 Slider_4 Slider_5 Slider_ Volgograd account the VDGAZARIPARITIONSISES OF SUITIONARY STATIONS INTERESTIONAL Consistency Consistency Safety of Safety of Profsonoye Press C"&amp;"enter Volgograd gas workers provided assistance to participants on 11/09/2023 Quantity connecting houses to gas networks in the framework of the dumping in January-October grew 15 times on 11/08/2023 at the PMGF presented a “smart counter” with the possib"&amp;"ility of remote gas payment 02.11.2023 Volgograd gas workers summed up the results of the overhaul of gas distribution networks 02.11.2023 attention. Technical work on the site. 02.11.2023 Network gas accessed new consumers in the regions of Russia 01.11."&amp;"2023 Dear gas consumers! From September 1, 2023, amendments to the Federal Law “On Gas Supply in the Russian Federation” Housing Code of the Russian Federation and the Rules for using gas No. 410 according to which the technical Only gas distribution orga"&amp;"nizations can maintain house and intra -apartment gas equipment. Until December 31, 2023, you need to reneglect the maintenance of gas equipment Read more✖ © Gazprom Gas Distribution Volgograd 400005 G. Volgograd ul. Communist 38 Telephone: +7 (8442) 49-1"&amp;"7-95 +7 (8442) 24-88-88Electron mail: Office@vlg-gaz.ru Site Support-Magwai Gazprom Gas Distribution Volgograd uses Cookie files. Continuing to work with 34gaz.ru, you confirm the use of your browser cookies with the cookies with the Cookies website that "&amp;"helps us make this site more convenient for users. The collection and processing of information about the site visitors is carried out using the Yandex Metric service. However, you can prohibit saving certain cookies in the settings of your browser. Read "&amp;"more user data processing in accordance with the Personal Data Processing Policy and the COOKIE files notification. The understanding of subscribers is clear! The procedure for access to the Personal Account has been changed! It is necessary to register! "&amp;"If you already had an entrance to your personal account and e -mail is made using the password restoration function.")</f>
        <v>Home Gas Service Service 04 104 Dressing Federal Number 8 800 234 1795 Caus-Palace Service Cash Cabinet will be the form of entry and registration of the company-householding and MGP of the Volgograd Contribution Contact contact information communication communications of the region Politicoponulation of personal data and methodological and methodological Center for Prophetic Propromy About customer centaccents with Eskpkak Pay services to Sberbank online? Volgogradgorgaz JSC On the company and the investors of the Klice -Prescriptions, the contraception of the information on the contract, the contract of the Vogo -Coaming Information Information in accordance with the Government Decree of October 29, 2010. No. 872 Information, according to the Federal Law of the Russian Federation No. 426-ФЗ “On a Special Assessment of Work Wonditioners”, Grovakanias at Gazprom Gas Distribution of Volgograd LLC Work in Volgogradogorgaz JSC Internet stores and answers about customer centihiner-reception filians and MGP of the Volgograd region in the city R.P. Elanphilial in the city of Kalachfilial in Kamyshinfilial in Kotovophilial in the city of Mikhailovkaphilial in the city of Nikolaevskfilial in the city of Novoanninskfilia in the city of Pallasovychychiliaal in the city of Surovykinofilia in the city of Uryupinskfilial in the city of Frolovoye "Gorodischenskoye" MGP " Zhirnovskoye "MGP" Kotelnikovskoye "Emergency Service of Gas 04 104 Dressed federal number 8 800 234 1795O Clientamao" Volgogradgorgaz "Documentation of the Infantic-Steppendication of the Interpore-Reception Service_1Slaider_2 Slider_4 Slider_5 Slider_ Volgograd account the VDGAZARIPARITIONSISES OF SUITIONARY STATIONS INTERESTIONAL Consistency Consistency Safety of Safety of Profsonoye Press Center Volgograd gas workers provided assistance to participants on 11/09/2023 Quantity connecting houses to gas networks in the framework of the dumping in January-October grew 15 times on 11/08/2023 at the PMGF presented a “smart counter” with the possibility of remote gas payment 02.11.2023 Volgograd gas workers summed up the results of the overhaul of gas distribution networks 02.11.2023 attention. Technical work on the site. 02.11.2023 Network gas accessed new consumers in the regions of Russia 01.11.2023 Dear gas consumers! From September 1, 2023, amendments to the Federal Law “On Gas Supply in the Russian Federation” Housing Code of the Russian Federation and the Rules for using gas No. 410 according to which the technical Only gas distribution organizations can maintain house and intra -apartment gas equipment. Until December 31, 2023, you need to reneglect the maintenance of gas equipment Read more✖ © Gazprom Gas Distribution Volgograd 400005 G. Volgograd ul. Communist 38 Telephone: +7 (8442) 49-17-95 +7 (8442) 24-88-88Electron mail: Office@vlg-gaz.ru Site Support-Magwai Gazprom Gas Distribution Volgograd uses Cookie files. Continuing to work with 34gaz.ru, you confirm the use of your browser cookies with the cookies with the Cookies website that helps us make this site more convenient for users. The collection and processing of information about the site visitors is carried out using the Yandex Metric service. However, you can prohibit saving certain cookies in the settings of your browser. Read more user data processing in accordance with the Personal Data Processing Policy and the COOKIE files notification. The understanding of subscribers is clear! The procedure for access to the Personal Account has been changed! It is necessary to register! If you already had an entrance to your personal account and e -mail is made using the password restoration function.</v>
      </c>
    </row>
    <row r="873">
      <c r="A873" s="1" t="s">
        <v>2788</v>
      </c>
      <c r="B873" s="1" t="s">
        <v>2850</v>
      </c>
      <c r="D873" s="1">
        <v>14.0</v>
      </c>
      <c r="E873" s="4" t="s">
        <v>2851</v>
      </c>
      <c r="F873" s="1" t="s">
        <v>43</v>
      </c>
      <c r="G873" s="1" t="s">
        <v>2850</v>
      </c>
      <c r="H873" s="4" t="s">
        <v>2852</v>
      </c>
      <c r="I873" s="2">
        <v>2.0</v>
      </c>
      <c r="J873" s="5" t="str">
        <f>IFERROR(__xludf.DUMMYFUNCTION("GOOGLETRANSLATE(A873)"),"Sberbank Online")</f>
        <v>Sberbank Online</v>
      </c>
      <c r="K873" s="6" t="str">
        <f>IFERROR(__xludf.DUMMYFUNCTION("GOOGLETRANSLATE(B873)"),"Sberbank Business online-Internet bank")</f>
        <v>Sberbank Business online-Internet bank</v>
      </c>
      <c r="L873" s="5" t="str">
        <f>IFERROR(__xludf.DUMMYFUNCTION("GOOGLETRANSLATE(C873)"),"#VALUE!")</f>
        <v>#VALUE!</v>
      </c>
      <c r="M873" s="5" t="str">
        <f>IFERROR(__xludf.DUMMYFUNCTION("GOOGLETRANSLATE(G873)"),"Sberbank Business online-Internet bank")</f>
        <v>Sberbank Business online-Internet bank</v>
      </c>
    </row>
    <row r="874">
      <c r="A874" s="1" t="s">
        <v>2788</v>
      </c>
      <c r="B874" s="1" t="s">
        <v>2853</v>
      </c>
      <c r="D874" s="1">
        <v>15.0</v>
      </c>
      <c r="E874" s="4" t="s">
        <v>2854</v>
      </c>
      <c r="F874" s="1" t="s">
        <v>43</v>
      </c>
      <c r="G874" s="1" t="s">
        <v>1168</v>
      </c>
      <c r="H874" s="4" t="s">
        <v>1169</v>
      </c>
      <c r="I874" s="2">
        <v>1.0</v>
      </c>
      <c r="J874" s="5" t="str">
        <f>IFERROR(__xludf.DUMMYFUNCTION("GOOGLETRANSLATE(A874)"),"Sberbank Online")</f>
        <v>Sberbank Online</v>
      </c>
      <c r="K874" s="6" t="str">
        <f>IFERROR(__xludf.DUMMYFUNCTION("GOOGLETRANSLATE(B874)"),"How to register with Sberbank online")</f>
        <v>How to register with Sberbank online</v>
      </c>
      <c r="L874" s="5" t="str">
        <f>IFERROR(__xludf.DUMMYFUNCTION("GOOGLETRANSLATE(C874)"),"#VALUE!")</f>
        <v>#VALUE!</v>
      </c>
      <c r="M874" s="5" t="str">
        <f>IFERROR(__xludf.DUMMYFUNCTION("GOOGLETRANSLATE(G874)"),"Compare the selection and comparison of credit cards of credit cards Car insurance Calculator Calculator and CASCO Rating of insurance companies of the credit use of credit recovery of auto -credit Credit Credit Credit Credits online bankcrodins without c"&amp;"ertificates of real estate income with poor credit history of exchange of foreign currency exchange rates NG Banking Services Banking Covers on Banning -Supervision Options Supervision Mortgage of Travelers Insurance Aparties athletes Discard Medical Insu"&amp;"rance Critical Disease Craduation from a bite tick -luggage of the house and animal overthrow daching KBMRrating of insurance companies of insurance companies. Outputs about insurance companies on insurance storage online posts on crankcases without refus"&amp;"al from bad kizima without interest -free, borrowed borrowings for the deposit of Ptszami -long -term borrowing loans of the MFOspections FOOPOTETECIPENITIONAL CRIENTS for a mortgage online family mortgage with state -cervical vehicle housing housing cons"&amp;"truction. House -refinancing mortgages in new buildings Piccalculator of a mortgage of a mortgage without initial contributions on mortgages for a young family for a young family mortgage mortgage for Banking Service Banking Card Card Credit Credit Card C"&amp;"ard Card Credit Cards with Free Service Card Credit Cards with an instant decision of the Card of Cards without Outcredit cards with delivery cards without confirming an income card of an installmentar cards with cashbacks of banking records of banking ch"&amp;"ecks about banks Board of depository investment investment deposit deposit invoice to invest money and investment Investment insurance programs for life-saving insurance of Life-rending banking records banks of bankshakhi-rating Blackracies Conducting Off"&amp;"ice of Business Service Service Universal Conductors Quillingwed Registration Business-Ling-Gallery Services Services for Markets of Changes to IP and LLC LLC IPREETISITS BANKS ON BUSINESS OF BUSINESS OF BAST CONCLUSIONS ON THE BANCHOOKSHINALINAL Skillbox"&amp;" programmakesino-School management Analyticamarketing PROTEMING to the USE and OGED development for python1-programingq testing graphic-design-designing Language Curses about courses of schools of schools of schools of schools and response and response an"&amp;"d response of companies and games. Ting experts of the Creditan investigation of the insurance of lifting aids, we will save money to compare prices and save up to 5,500 ₽ Com bosom to place prices for 1 minute to place the banks ready to give out a loan "&amp;"on the right You are conditions of a card for 10 minutes 0%insurance of an insurance for a bankprise of 500 000 ₽ Credit rating of a credit history for the absence of delays and an error -free pay -off -class, the best conditions are the best conditions f"&amp;"or tourist insurance athletes Service 9 thousand. Responsive Often searchcifers of cash registering loan loan loans for cartridges on security for car loans on the security of real estate application For creditcredites with poor bickens without a certific"&amp;"ate of launcher, liner -term accounts with monthly payments to dollarshvallete deposits for retirees in euro -ranges in the yuanahpets on the deposit of the deposit of the hen There are a suburban boat mortgage with state support for a young family of a f"&amp;"amily in new buildings in new buildings in the new building cards to the best credit card cards without refusal cards with poor kyvirtual credit card cards installments with 100 % approval by instant solutions by conding cards with delivery cards Unionpay"&amp;"cobeiding Cards Card Card Card Card Card Cards with cashback cards for a child with free service cards of Mirsa Process by the residual -concrete cards for pensioner -concern cards Unionpaycobejing debit card -bearing -based maps for cartridges without pe"&amp;"rcentage without verification Online poses on a map without refusalsayamsim for ptszams without refusal from poor kions and promotional c do in the Mfostorovannannanikalchata OSAGOOSAGO ONLYKASKAROSKAING FOR LIFE -Building Life for Mortgage Supervision of"&amp;" Real Estate from accidents of cases of civicnutic codes Redites at 0%long -term microcreditic codes through public services business architecture business -register for business accounts for ipcredit for LLC Ekweingbank guarantees of food products for a "&amp;"medical medical insurance for the GoddMS with dentistry with telemedicine insurance from bite tick -pacing from critical illness from heart attack and stroke from racin -investment service to open up the overwhelming of the Onlineis for the IPREATIVE BROK"&amp;"ROGRABLIC score for legal limits NGRACTION OF THE CONTRODUCTURENCENT PROGNITION for the exam and OGESELS - In the mobile application, Implay, Open Open Services Online Controls Contacts Checks and Contacts Insurance Consure Evaluate your credit The possib"&amp;"ilities to use the QR -codal of the installation, enter the phone camera on the QR -KODO project of the project -Partner program of the agent -user agreement Politician Politicia of the Privacy of the Setanashi Expertsai Vacancies © 2009–2023 LLC ""Reflas"&amp;"is"". When using materials, a hyperlink on sravni.ru is required. TIN 7710718303 OGRN 1087746642774. 109544 Moscow Boulevard Enthusiasts House 26th floor ""Reflasis.ru"" operates activities in the IT field: the service provides online selection services a"&amp;"s advertising organizations - partners in the Internet using COOKIE files In order to provide users with more opportunities when visiting the site sravni.ru. Read more about the conditions of use.")</f>
        <v>Compare the selection and comparison of credit cards of credit cards Car insurance Calculator Calculator and CASCO Rating of insurance companies of the credit use of credit recovery of auto -credit Credit Credit Credit Credits online bankcrodins without certificates of real estate income with poor credit history of exchange of foreign currency exchange rates NG Banking Services Banking Covers on Banning -Supervision Options Supervision Mortgage of Travelers Insurance Aparties athletes Discard Medical Insurance Critical Disease Craduation from a bite tick -luggage of the house and animal overthrow daching KBMRrating of insurance companies of insurance companies. Outputs about insurance companies on insurance storage online posts on crankcases without refusal from bad kizima without interest -free, borrowed borrowings for the deposit of Ptszami -long -term borrowing loans of the MFOspections FOOPOTETECIPENITIONAL CRIENTS for a mortgage online family mortgage with state -cervical vehicle housing housing construction. House -refinancing mortgages in new buildings Piccalculator of a mortgage of a mortgage without initial contributions on mortgages for a young family for a young family mortgage mortgage for Banking Service Banking Card Card Credit Credit Card Card Card Credit Cards with Free Service Card Credit Cards with an instant decision of the Card of Cards without Outcredit cards with delivery cards without confirming an income card of an installmentar cards with cashbacks of banking records of banking checks about banks Board of depository investment investment deposit deposit invoice to invest money and investment Investment insurance programs for life-saving insurance of Life-rending banking records banks of bankshakhi-rating Blackracies Conducting Office of Business Service Service Universal Conductors Quillingwed Registration Business-Ling-Gallery Services Services for Markets of Changes to IP and LLC LLC IPREETISITS BANKS ON BUSINESS OF BUSINESS OF BAST CONCLUSIONS ON THE BANCHOOKSHINALINAL Skillbox programmakesino-School management Analyticamarketing PROTEMING to the USE and OGED development for python1-programingq testing graphic-design-designing Language Curses about courses of schools of schools of schools of schools and response and response and response of companies and games. Ting experts of the Creditan investigation of the insurance of lifting aids, we will save money to compare prices and save up to 5,500 ₽ Com bosom to place prices for 1 minute to place the banks ready to give out a loan on the right You are conditions of a card for 10 minutes 0%insurance of an insurance for a bankprise of 500 000 ₽ Credit rating of a credit history for the absence of delays and an error -free pay -off -class, the best conditions are the best conditions for tourist insurance athletes Service 9 thousand. Responsive Often searchcifers of cash registering loan loan loans for cartridges on security for car loans on the security of real estate application For creditcredites with poor bickens without a certificate of launcher, liner -term accounts with monthly payments to dollarshvallete deposits for retirees in euro -ranges in the yuanahpets on the deposit of the deposit of the hen There are a suburban boat mortgage with state support for a young family of a family in new buildings in new buildings in the new building cards to the best credit card cards without refusal cards with poor kyvirtual credit card cards installments with 100 % approval by instant solutions by conding cards with delivery cards Unionpaycobeiding Cards Card Card Card Card Card Cards with cashback cards for a child with free service cards of Mirsa Process by the residual -concrete cards for pensioner -concern cards Unionpaycobejing debit card -bearing -based maps for cartridges without percentage without verification Online poses on a map without refusalsayamsim for ptszams without refusal from poor kions and promotional c do in the Mfostorovannannanikalchata OSAGOOSAGO ONLYKASKAROSKAING FOR LIFE -Building Life for Mortgage Supervision of Real Estate from accidents of cases of civicnutic codes Redites at 0%long -term microcreditic codes through public services business architecture business -register for business accounts for ipcredit for LLC Ekweingbank guarantees of food products for a medical medical insurance for the GoddMS with dentistry with telemedicine insurance from bite tick -pacing from critical illness from heart attack and stroke from racin -investment service to open up the overwhelming of the Onlineis for the IPREATIVE BROKROGRABLIC score for legal limits NGRACTION OF THE CONTRODUCTURENCENT PROGNITION for the exam and OGESELS - In the mobile application, Implay, Open Open Services Online Controls Contacts Checks and Contacts Insurance Consure Evaluate your credit The possibilities to use the QR -codal of the installation, enter the phone camera on the QR -KODO project of the project -Partner program of the agent -user agreement Politician Politicia of the Privacy of the Setanashi Expertsai Vacancies © 2009–2023 LLC "Reflasis". When using materials, a hyperlink on sravni.ru is required. TIN 7710718303 OGRN 1087746642774. 109544 Moscow Boulevard Enthusiasts House 26th floor "Reflasis.ru" operates activities in the IT field: the service provides online selection services as advertising organizations - partners in the Internet using COOKIE files In order to provide users with more opportunities when visiting the site sravni.ru. Read more about the conditions of use.</v>
      </c>
    </row>
    <row r="875">
      <c r="A875" s="1" t="s">
        <v>2788</v>
      </c>
      <c r="B875" s="1" t="s">
        <v>2855</v>
      </c>
      <c r="C875" s="1" t="s">
        <v>153</v>
      </c>
      <c r="D875" s="1">
        <v>17.0</v>
      </c>
      <c r="E875" s="4" t="s">
        <v>2856</v>
      </c>
      <c r="F875" s="1" t="s">
        <v>43</v>
      </c>
      <c r="G875" s="1" t="s">
        <v>135</v>
      </c>
      <c r="H875" s="4" t="s">
        <v>136</v>
      </c>
      <c r="I875" s="2">
        <v>1.0</v>
      </c>
      <c r="J875" s="5" t="str">
        <f>IFERROR(__xludf.DUMMYFUNCTION("GOOGLETRANSLATE(A875)"),"Sberbank Online")</f>
        <v>Sberbank Online</v>
      </c>
      <c r="K875" s="6" t="str">
        <f>IFERROR(__xludf.DUMMYFUNCTION("GOOGLETRANSLATE(B875)"),"Sberbank online »The application has disappeared from the App Store")</f>
        <v>Sberbank online »The application has disappeared from the App Store</v>
      </c>
      <c r="L875" s="5" t="str">
        <f>IFERROR(__xludf.DUMMYFUNCTION("GOOGLETRANSLATE(C875)"),"3 days ago -")</f>
        <v>3 days ago -</v>
      </c>
      <c r="M875" s="5" t="str">
        <f>IFERROR(__xludf.DUMMYFUNCTION("GOOGLETRANSLATE(G875)"),"Forbes.ru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876">
      <c r="A876" s="1" t="s">
        <v>2788</v>
      </c>
      <c r="B876" s="1" t="s">
        <v>2857</v>
      </c>
      <c r="C876" s="1" t="s">
        <v>2858</v>
      </c>
      <c r="D876" s="1">
        <v>36.0</v>
      </c>
      <c r="E876" s="4" t="s">
        <v>2859</v>
      </c>
      <c r="F876" s="1" t="s">
        <v>43</v>
      </c>
      <c r="I876" s="2">
        <v>1.0</v>
      </c>
      <c r="J876" s="5" t="str">
        <f>IFERROR(__xludf.DUMMYFUNCTION("GOOGLETRANSLATE(A876)"),"Sberbank Online")</f>
        <v>Sberbank Online</v>
      </c>
      <c r="K876" s="6" t="str">
        <f>IFERROR(__xludf.DUMMYFUNCTION("GOOGLETRANSLATE(B876)"),"A mortgage of 8%")</f>
        <v>A mortgage of 8%</v>
      </c>
      <c r="L876" s="5" t="str">
        <f>IFERROR(__xludf.DUMMYFUNCTION("GOOGLETRANSLATE(C876)"),"To change the date, go to Sberbank online, open the “loans” section and select a mortgage loan. Go to the ""Operation"" tab, then - to ""Change ...")</f>
        <v>To change the date, go to Sberbank online, open the “loans” section and select a mortgage loan. Go to the "Operation" tab, then - to "Change ...</v>
      </c>
      <c r="M876" s="5" t="str">
        <f>IFERROR(__xludf.DUMMYFUNCTION("GOOGLETRANSLATE(G876)"),"#VALUE!")</f>
        <v>#VALUE!</v>
      </c>
    </row>
    <row r="877">
      <c r="A877" s="1" t="s">
        <v>2860</v>
      </c>
      <c r="B877" s="1" t="s">
        <v>2861</v>
      </c>
      <c r="D877" s="1">
        <v>1.0</v>
      </c>
      <c r="E877" s="4" t="s">
        <v>2862</v>
      </c>
      <c r="F877" s="1" t="s">
        <v>16</v>
      </c>
      <c r="G877" s="1" t="s">
        <v>2863</v>
      </c>
      <c r="H877" s="4" t="s">
        <v>2864</v>
      </c>
      <c r="I877" s="2">
        <v>2.0</v>
      </c>
      <c r="J877" s="5" t="str">
        <f>IFERROR(__xludf.DUMMYFUNCTION("GOOGLETRANSLATE(A877)"),"Network city")</f>
        <v>Network city</v>
      </c>
      <c r="K877" s="6" t="str">
        <f>IFERROR(__xludf.DUMMYFUNCTION("GOOGLETRANSLATE(B877)"),"Network city. Education")</f>
        <v>Network city. Education</v>
      </c>
      <c r="L877" s="5" t="str">
        <f>IFERROR(__xludf.DUMMYFUNCTION("GOOGLETRANSLATE(C877)"),"#VALUE!")</f>
        <v>#VALUE!</v>
      </c>
      <c r="M877" s="5" t="str">
        <f>IFERROR(__xludf.DUMMYFUNCTION("GOOGLETRANSLATE(G877)"),"Network city. Education city. To form in the GIS ""Education of the Ulyanovsk Region"" Entrance for Parental Assistance for students for employees you receive state (municipal) services in the field of the Ulyanovsk region in electronic form. The entrance"&amp;" requires a confirmed account of public services. It can be issued at the nearest user service center. Pupils under 14 years of age can enter through the login and password issued at school. Instructions for input 1246 KB withdraw the file to print files "&amp;"and technologies for the field of education")</f>
        <v>Network city. Education city. To form in the GIS "Education of the Ulyanovsk Region" Entrance for Parental Assistance for students for employees you receive state (municipal) services in the field of the Ulyanovsk region in electronic form. The entrance requires a confirmed account of public services. It can be issued at the nearest user service center. Pupils under 14 years of age can enter through the login and password issued at school. Instructions for input 1246 KB withdraw the file to print files and technologies for the field of education</v>
      </c>
    </row>
    <row r="878">
      <c r="A878" s="1" t="s">
        <v>2860</v>
      </c>
      <c r="B878" s="1" t="s">
        <v>2861</v>
      </c>
      <c r="D878" s="1">
        <v>2.0</v>
      </c>
      <c r="E878" s="4" t="s">
        <v>2865</v>
      </c>
      <c r="F878" s="1" t="s">
        <v>16</v>
      </c>
      <c r="G878" s="1" t="s">
        <v>2866</v>
      </c>
      <c r="H878" s="4" t="s">
        <v>2867</v>
      </c>
      <c r="I878" s="2">
        <v>2.0</v>
      </c>
      <c r="J878" s="5" t="str">
        <f>IFERROR(__xludf.DUMMYFUNCTION("GOOGLETRANSLATE(A878)"),"Network city")</f>
        <v>Network city</v>
      </c>
      <c r="K878" s="6" t="str">
        <f>IFERROR(__xludf.DUMMYFUNCTION("GOOGLETRANSLATE(B878)"),"Network city. Education")</f>
        <v>Network city. Education</v>
      </c>
      <c r="L878" s="5" t="str">
        <f>IFERROR(__xludf.DUMMYFUNCTION("GOOGLETRANSLATE(C878)"),"#VALUE!")</f>
        <v>#VALUE!</v>
      </c>
      <c r="M878" s="5" t="str">
        <f>IFERROR(__xludf.DUMMYFUNCTION("GOOGLETRANSLATE(G878)"),"Network city. Education")</f>
        <v>Network city. Education</v>
      </c>
    </row>
    <row r="879">
      <c r="A879" s="1" t="s">
        <v>2860</v>
      </c>
      <c r="B879" s="1" t="s">
        <v>2861</v>
      </c>
      <c r="C879" s="1" t="s">
        <v>2868</v>
      </c>
      <c r="D879" s="1">
        <v>3.0</v>
      </c>
      <c r="E879" s="4" t="s">
        <v>2869</v>
      </c>
      <c r="F879" s="1" t="s">
        <v>16</v>
      </c>
      <c r="G879" s="1" t="s">
        <v>2870</v>
      </c>
      <c r="H879" s="4" t="s">
        <v>2871</v>
      </c>
      <c r="I879" s="2">
        <v>1.0</v>
      </c>
      <c r="J879" s="5" t="str">
        <f>IFERROR(__xludf.DUMMYFUNCTION("GOOGLETRANSLATE(A879)"),"Network city")</f>
        <v>Network city</v>
      </c>
      <c r="K879" s="6" t="str">
        <f>IFERROR(__xludf.DUMMYFUNCTION("GOOGLETRANSLATE(B879)"),"Network city. Education")</f>
        <v>Network city. Education</v>
      </c>
      <c r="L879" s="5" t="str">
        <f>IFERROR(__xludf.DUMMYFUNCTION("GOOGLETRANSLATE(C879)"),"The state information system of the Kamchatka Territory ""Network City"". Information about the student performance*. *Providing information about the current ...")</f>
        <v>The state information system of the Kamchatka Territory "Network City". Information about the student performance*. *Providing information about the current ...</v>
      </c>
      <c r="M879" s="5" t="str">
        <f>IFERROR(__xludf.DUMMYFUNCTION("GOOGLETRANSLATE(G879)"),"Network city. The education of the state -state information system of the Kamchatka Territory ""Network City"" Information about the academic performance ** Providing information about the current academic performance of the student and electronic journal"&amp;" of academic performance of the public service than it seems! To obtain a public service, you will need to enter Esaa. What is Esaa? Esia is a unified system Identification and authorization of citizens in state and municipal systems of the Russian Federa"&amp;"tion. How to get an account in Yesia? Fill out a questionnaire on the Electronic Government website. Fire questionnaires at any paragraph of the MFC. Kraikamchatsky Kraikamchatsky Chikamcetskoye Kraikamchatsky Kraikhatsky Krakhmachtsky Territory of the Ka"&amp;"mchatka Territory ""Network City"" (Regional segment of GIS ""Container"") Information about the student’s performance ** Providing information on the current academic performance of the student by maintaining an electronic diary and an electronic journal"&amp;" academic performance! Continuing the education education of professional education as: Parent student of the student to prolong the automatic transition to the server of additional education ... if on some kind of then reasons for a long time do not open"&amp;", try to go through this reference to the automatic transition to the professional education server ... If for some reason the page does not open for a long time try to go through this reference to the automatic transition to the school server ... If for "&amp;"some reason the page It doesn’t open for a long time try to go on this exile-wing-covering questions, you can contact Support@kcioko.ru. KGAU “Kamchatka Center for Informatization and Evaluation of Education” &lt;!-&lt;Script SRC = ""JS/Browser_Detect.js""&gt;-&gt;-&gt;"&amp;"-&gt;-&gt;-&gt;-&gt;-&gt;-&gt;-&gt;-&gt;")</f>
        <v>Network city. The education of the state -state information system of the Kamchatka Territory "Network City" Information about the academic performance ** Providing information about the current academic performance of the student and electronic journal of academic performance of the public service than it seems! To obtain a public service, you will need to enter Esaa. What is Esaa? Esia is a unified system Identification and authorization of citizens in state and municipal systems of the Russian Federation. How to get an account in Yesia? Fill out a questionnaire on the Electronic Government website. Fire questionnaires at any paragraph of the MFC. Kraikamchatsky Kraikamchatsky Chikamcetskoye Kraikamchatsky Kraikhatsky Krakhmachtsky Territory of the Kamchatka Territory "Network City" (Regional segment of GIS "Container") Information about the student’s performance ** Providing information on the current academic performance of the student by maintaining an electronic diary and an electronic journal academic performance! Continuing the education education of professional education as: Parent student of the student to prolong the automatic transition to the server of additional education ... if on some kind of then reasons for a long time do not open, try to go through this reference to the automatic transition to the professional education server ... If for some reason the page does not open for a long time try to go through this reference to the automatic transition to the school server ... If for some reason the page It doesn’t open for a long time try to go on this exile-wing-covering questions, you can contact Support@kcioko.ru. KGAU “Kamchatka Center for Informatization and Evaluation of Education” &lt;!-&lt;Script SRC = "JS/Browser_Detect.js"&gt;-&gt;-&gt;-&gt;-&gt;-&gt;-&gt;-&gt;-&gt;-&gt;-&gt;</v>
      </c>
    </row>
    <row r="880">
      <c r="A880" s="1" t="s">
        <v>2860</v>
      </c>
      <c r="B880" s="1" t="s">
        <v>2861</v>
      </c>
      <c r="D880" s="1">
        <v>4.0</v>
      </c>
      <c r="E880" s="4" t="s">
        <v>2872</v>
      </c>
      <c r="F880" s="1" t="s">
        <v>16</v>
      </c>
      <c r="G880" s="1" t="s">
        <v>2866</v>
      </c>
      <c r="H880" s="4" t="s">
        <v>2873</v>
      </c>
      <c r="I880" s="2">
        <v>2.0</v>
      </c>
      <c r="J880" s="5" t="str">
        <f>IFERROR(__xludf.DUMMYFUNCTION("GOOGLETRANSLATE(A880)"),"Network city")</f>
        <v>Network city</v>
      </c>
      <c r="K880" s="6" t="str">
        <f>IFERROR(__xludf.DUMMYFUNCTION("GOOGLETRANSLATE(B880)"),"Network city. Education")</f>
        <v>Network city. Education</v>
      </c>
      <c r="L880" s="5" t="str">
        <f>IFERROR(__xludf.DUMMYFUNCTION("GOOGLETRANSLATE(C880)"),"#VALUE!")</f>
        <v>#VALUE!</v>
      </c>
      <c r="M880" s="5" t="str">
        <f>IFERROR(__xludf.DUMMYFUNCTION("GOOGLETRANSLATE(G880)"),"Network city. Education")</f>
        <v>Network city. Education</v>
      </c>
    </row>
    <row r="881">
      <c r="A881" s="1" t="s">
        <v>2860</v>
      </c>
      <c r="B881" s="1" t="s">
        <v>2874</v>
      </c>
      <c r="D881" s="1">
        <v>5.0</v>
      </c>
      <c r="E881" s="4" t="s">
        <v>2875</v>
      </c>
      <c r="F881" s="1" t="s">
        <v>16</v>
      </c>
      <c r="I881" s="2">
        <v>1.0</v>
      </c>
      <c r="J881" s="5" t="str">
        <f>IFERROR(__xludf.DUMMYFUNCTION("GOOGLETRANSLATE(A881)"),"Network city")</f>
        <v>Network city</v>
      </c>
      <c r="K881" s="6" t="str">
        <f>IFERROR(__xludf.DUMMYFUNCTION("GOOGLETRANSLATE(B881)"),"Electronic education")</f>
        <v>Electronic education</v>
      </c>
      <c r="L881" s="5" t="str">
        <f>IFERROR(__xludf.DUMMYFUNCTION("GOOGLETRANSLATE(C881)"),"#VALUE!")</f>
        <v>#VALUE!</v>
      </c>
      <c r="M881" s="5" t="str">
        <f>IFERROR(__xludf.DUMMYFUNCTION("GOOGLETRANSLATE(G881)"),"#VALUE!")</f>
        <v>#VALUE!</v>
      </c>
    </row>
    <row r="882">
      <c r="A882" s="1" t="s">
        <v>2860</v>
      </c>
      <c r="B882" s="1" t="s">
        <v>2861</v>
      </c>
      <c r="D882" s="1">
        <v>6.0</v>
      </c>
      <c r="E882" s="4" t="s">
        <v>2876</v>
      </c>
      <c r="F882" s="1" t="s">
        <v>16</v>
      </c>
      <c r="G882" s="1" t="s">
        <v>2866</v>
      </c>
      <c r="H882" s="4" t="s">
        <v>2877</v>
      </c>
      <c r="I882" s="2">
        <v>1.0</v>
      </c>
      <c r="J882" s="5" t="str">
        <f>IFERROR(__xludf.DUMMYFUNCTION("GOOGLETRANSLATE(A882)"),"Network city")</f>
        <v>Network city</v>
      </c>
      <c r="K882" s="6" t="str">
        <f>IFERROR(__xludf.DUMMYFUNCTION("GOOGLETRANSLATE(B882)"),"Network city. Education")</f>
        <v>Network city. Education</v>
      </c>
      <c r="L882" s="5" t="str">
        <f>IFERROR(__xludf.DUMMYFUNCTION("GOOGLETRANSLATE(C882)"),"#VALUE!")</f>
        <v>#VALUE!</v>
      </c>
      <c r="M882" s="5" t="str">
        <f>IFERROR(__xludf.DUMMYFUNCTION("GOOGLETRANSLATE(G882)"),"Network city. Education")</f>
        <v>Network city. Education</v>
      </c>
    </row>
    <row r="883">
      <c r="A883" s="1" t="s">
        <v>2860</v>
      </c>
      <c r="B883" s="1" t="s">
        <v>2874</v>
      </c>
      <c r="D883" s="1">
        <v>7.0</v>
      </c>
      <c r="E883" s="4" t="s">
        <v>2878</v>
      </c>
      <c r="F883" s="1" t="s">
        <v>16</v>
      </c>
      <c r="I883" s="2">
        <v>1.0</v>
      </c>
      <c r="J883" s="5" t="str">
        <f>IFERROR(__xludf.DUMMYFUNCTION("GOOGLETRANSLATE(A883)"),"Network city")</f>
        <v>Network city</v>
      </c>
      <c r="K883" s="6" t="str">
        <f>IFERROR(__xludf.DUMMYFUNCTION("GOOGLETRANSLATE(B883)"),"Electronic education")</f>
        <v>Electronic education</v>
      </c>
      <c r="L883" s="5" t="str">
        <f>IFERROR(__xludf.DUMMYFUNCTION("GOOGLETRANSLATE(C883)"),"#VALUE!")</f>
        <v>#VALUE!</v>
      </c>
      <c r="M883" s="5" t="str">
        <f>IFERROR(__xludf.DUMMYFUNCTION("GOOGLETRANSLATE(G883)"),"#VALUE!")</f>
        <v>#VALUE!</v>
      </c>
    </row>
    <row r="884">
      <c r="A884" s="1" t="s">
        <v>2860</v>
      </c>
      <c r="B884" s="1" t="s">
        <v>2861</v>
      </c>
      <c r="D884" s="1">
        <v>8.0</v>
      </c>
      <c r="E884" s="4" t="s">
        <v>2879</v>
      </c>
      <c r="F884" s="1" t="s">
        <v>16</v>
      </c>
      <c r="G884" s="1" t="s">
        <v>2866</v>
      </c>
      <c r="H884" s="4" t="s">
        <v>2880</v>
      </c>
      <c r="I884" s="2">
        <v>1.0</v>
      </c>
      <c r="J884" s="5" t="str">
        <f>IFERROR(__xludf.DUMMYFUNCTION("GOOGLETRANSLATE(A884)"),"Network city")</f>
        <v>Network city</v>
      </c>
      <c r="K884" s="6" t="str">
        <f>IFERROR(__xludf.DUMMYFUNCTION("GOOGLETRANSLATE(B884)"),"Network city. Education")</f>
        <v>Network city. Education</v>
      </c>
      <c r="L884" s="5" t="str">
        <f>IFERROR(__xludf.DUMMYFUNCTION("GOOGLETRANSLATE(C884)"),"#VALUE!")</f>
        <v>#VALUE!</v>
      </c>
      <c r="M884" s="5" t="str">
        <f>IFERROR(__xludf.DUMMYFUNCTION("GOOGLETRANSLATE(G884)"),"Network city. Education")</f>
        <v>Network city. Education</v>
      </c>
    </row>
    <row r="885">
      <c r="A885" s="1" t="s">
        <v>2860</v>
      </c>
      <c r="B885" s="1" t="s">
        <v>2881</v>
      </c>
      <c r="C885" s="1" t="s">
        <v>2882</v>
      </c>
      <c r="D885" s="1">
        <v>9.0</v>
      </c>
      <c r="E885" s="4" t="s">
        <v>2883</v>
      </c>
      <c r="F885" s="1" t="s">
        <v>16</v>
      </c>
      <c r="G885" s="1" t="s">
        <v>2884</v>
      </c>
      <c r="H885" s="4" t="s">
        <v>2885</v>
      </c>
      <c r="I885" s="2">
        <v>1.0</v>
      </c>
      <c r="J885" s="5" t="str">
        <f>IFERROR(__xludf.DUMMYFUNCTION("GOOGLETRANSLATE(A885)"),"Network city")</f>
        <v>Network city</v>
      </c>
      <c r="K885" s="6" t="str">
        <f>IFERROR(__xludf.DUMMYFUNCTION("GOOGLETRANSLATE(B885)"),"Network city")</f>
        <v>Network city</v>
      </c>
      <c r="L885" s="5" t="str">
        <f>IFERROR(__xludf.DUMMYFUNCTION("GOOGLETRANSLATE(C885)"),"State information system ""Education in the Chelyabinsk region"" Module ""Network City. Education"". Enter through public services.")</f>
        <v>State information system "Education in the Chelyabinsk region" Module "Network City. Education". Enter through public services.</v>
      </c>
      <c r="M885" s="5" t="str">
        <f>IFERROR(__xludf.DUMMYFUNCTION("GOOGLETRANSLATE(G885)"),"Chelyabinsk region. | AIS ""Network Region. Education"" | Rice ""Network Territory. Education"" State Information System ""Education in the Chelyabinsk Region"" Module of the Network City. Education ""Enter through the state -owned users of the system! Fr"&amp;"om October 2, 2023, in the"" network city. Education ""for all users will only be possible with the help ESIA accounts (public services portal). You can familiarize yourself with the instructions by pressing user technical support to the Banner: Support@c"&amp;"hiro74.ru")</f>
        <v>Chelyabinsk region. | AIS "Network Region. Education" | Rice "Network Territory. Education" State Information System "Education in the Chelyabinsk Region" Module of the Network City. Education "Enter through the state -owned users of the system! From October 2, 2023, in the" network city. Education "for all users will only be possible with the help ESIA accounts (public services portal). You can familiarize yourself with the instructions by pressing user technical support to the Banner: Support@chiro74.ru</v>
      </c>
    </row>
    <row r="886">
      <c r="A886" s="1" t="s">
        <v>2860</v>
      </c>
      <c r="B886" s="1" t="s">
        <v>2861</v>
      </c>
      <c r="D886" s="1">
        <v>10.0</v>
      </c>
      <c r="E886" s="4" t="s">
        <v>2886</v>
      </c>
      <c r="F886" s="1" t="s">
        <v>16</v>
      </c>
      <c r="G886" s="1" t="s">
        <v>2866</v>
      </c>
      <c r="H886" s="4" t="s">
        <v>2887</v>
      </c>
      <c r="I886" s="2">
        <v>1.0</v>
      </c>
      <c r="J886" s="5" t="str">
        <f>IFERROR(__xludf.DUMMYFUNCTION("GOOGLETRANSLATE(A886)"),"Network city")</f>
        <v>Network city</v>
      </c>
      <c r="K886" s="6" t="str">
        <f>IFERROR(__xludf.DUMMYFUNCTION("GOOGLETRANSLATE(B886)"),"Network city. Education")</f>
        <v>Network city. Education</v>
      </c>
      <c r="L886" s="5" t="str">
        <f>IFERROR(__xludf.DUMMYFUNCTION("GOOGLETRANSLATE(C886)"),"#VALUE!")</f>
        <v>#VALUE!</v>
      </c>
      <c r="M886" s="5" t="str">
        <f>IFERROR(__xludf.DUMMYFUNCTION("GOOGLETRANSLATE(G886)"),"Network city. Education")</f>
        <v>Network city. Education</v>
      </c>
    </row>
    <row r="887">
      <c r="A887" s="1" t="s">
        <v>2860</v>
      </c>
      <c r="B887" s="1" t="s">
        <v>2874</v>
      </c>
      <c r="D887" s="1">
        <v>11.0</v>
      </c>
      <c r="E887" s="4" t="s">
        <v>2888</v>
      </c>
      <c r="F887" s="1" t="s">
        <v>16</v>
      </c>
      <c r="I887" s="2">
        <v>1.0</v>
      </c>
      <c r="J887" s="5" t="str">
        <f>IFERROR(__xludf.DUMMYFUNCTION("GOOGLETRANSLATE(A887)"),"Network city")</f>
        <v>Network city</v>
      </c>
      <c r="K887" s="6" t="str">
        <f>IFERROR(__xludf.DUMMYFUNCTION("GOOGLETRANSLATE(B887)"),"Electronic education")</f>
        <v>Electronic education</v>
      </c>
      <c r="L887" s="5" t="str">
        <f>IFERROR(__xludf.DUMMYFUNCTION("GOOGLETRANSLATE(C887)"),"#VALUE!")</f>
        <v>#VALUE!</v>
      </c>
      <c r="M887" s="5" t="str">
        <f>IFERROR(__xludf.DUMMYFUNCTION("GOOGLETRANSLATE(G887)"),"#VALUE!")</f>
        <v>#VALUE!</v>
      </c>
    </row>
    <row r="888">
      <c r="A888" s="1" t="s">
        <v>2860</v>
      </c>
      <c r="B888" s="1" t="s">
        <v>2861</v>
      </c>
      <c r="D888" s="1">
        <v>12.0</v>
      </c>
      <c r="E888" s="4" t="s">
        <v>2889</v>
      </c>
      <c r="F888" s="1" t="s">
        <v>16</v>
      </c>
      <c r="I888" s="2">
        <v>1.0</v>
      </c>
      <c r="J888" s="5" t="str">
        <f>IFERROR(__xludf.DUMMYFUNCTION("GOOGLETRANSLATE(A888)"),"Network city")</f>
        <v>Network city</v>
      </c>
      <c r="K888" s="6" t="str">
        <f>IFERROR(__xludf.DUMMYFUNCTION("GOOGLETRANSLATE(B888)"),"Network city. Education")</f>
        <v>Network city. Education</v>
      </c>
      <c r="L888" s="5" t="str">
        <f>IFERROR(__xludf.DUMMYFUNCTION("GOOGLETRANSLATE(C888)"),"#VALUE!")</f>
        <v>#VALUE!</v>
      </c>
      <c r="M888" s="5" t="str">
        <f>IFERROR(__xludf.DUMMYFUNCTION("GOOGLETRANSLATE(G888)"),"#VALUE!")</f>
        <v>#VALUE!</v>
      </c>
    </row>
    <row r="889">
      <c r="A889" s="1" t="s">
        <v>2860</v>
      </c>
      <c r="B889" s="1" t="s">
        <v>2890</v>
      </c>
      <c r="C889" s="1" t="s">
        <v>2891</v>
      </c>
      <c r="D889" s="1">
        <v>13.0</v>
      </c>
      <c r="E889" s="4" t="s">
        <v>2892</v>
      </c>
      <c r="F889" s="1" t="s">
        <v>16</v>
      </c>
      <c r="G889" s="1" t="s">
        <v>2893</v>
      </c>
      <c r="H889" s="4" t="s">
        <v>2894</v>
      </c>
      <c r="I889" s="2">
        <v>1.0</v>
      </c>
      <c r="J889" s="5" t="str">
        <f>IFERROR(__xludf.DUMMYFUNCTION("GOOGLETRANSLATE(A889)"),"Network city")</f>
        <v>Network city</v>
      </c>
      <c r="K889" s="6" t="str">
        <f>IFERROR(__xludf.DUMMYFUNCTION("GOOGLETRANSLATE(B889)"),"Altai Territory | AIS ""Network Region. Education ...")</f>
        <v>Altai Territory | AIS "Network Region. Education ...</v>
      </c>
      <c r="L889" s="5" t="str">
        <f>IFERROR(__xludf.DUMMYFUNCTION("GOOGLETRANSLATE(C889)"),"Do you have a question? Go to the site http://neteducation.edu22.info. The Ministry of Education and Science of the Altai Territory AIS ""Network Region. Education"".")</f>
        <v>Do you have a question? Go to the site http://neteducation.edu22.info. The Ministry of Education and Science of the Altai Territory AIS "Network Region. Education".</v>
      </c>
      <c r="M889" s="5" t="str">
        <f>IFERROR(__xludf.DUMMYFUNCTION("GOOGLETRANSLATE(G889)"),"Altai Territory | AIS ""Network Region. Education"" | Rice ""Network Territory. Education"" do you have a question? Go to the site http: //neteducation To enter the Support Portal, a confirmed account (Esaa) is required. You can draw up users in the neare"&amp;"st center of service. Instructions for use 840 KB withdraw the file print the filemate through the login and password issued in the educational organization.")</f>
        <v>Altai Territory | AIS "Network Region. Education" | Rice "Network Territory. Education" do you have a question? Go to the site http: //neteducation To enter the Support Portal, a confirmed account (Esaa) is required. You can draw up users in the nearest center of service. Instructions for use 840 KB withdraw the file print the filemate through the login and password issued in the educational organization.</v>
      </c>
    </row>
    <row r="890">
      <c r="A890" s="1" t="s">
        <v>2860</v>
      </c>
      <c r="B890" s="1" t="s">
        <v>2895</v>
      </c>
      <c r="D890" s="1">
        <v>14.0</v>
      </c>
      <c r="E890" s="4" t="s">
        <v>2896</v>
      </c>
      <c r="F890" s="1" t="s">
        <v>16</v>
      </c>
      <c r="I890" s="2">
        <v>2.0</v>
      </c>
      <c r="J890" s="5" t="str">
        <f>IFERROR(__xludf.DUMMYFUNCTION("GOOGLETRANSLATE(A890)"),"Network city")</f>
        <v>Network city</v>
      </c>
      <c r="K890" s="6" t="str">
        <f>IFERROR(__xludf.DUMMYFUNCTION("GOOGLETRANSLATE(B890)"),"Network city. Education is a portal of educational ...")</f>
        <v>Network city. Education is a portal of educational ...</v>
      </c>
      <c r="L890" s="5" t="str">
        <f>IFERROR(__xludf.DUMMYFUNCTION("GOOGLETRANSLATE(C890)"),"#VALUE!")</f>
        <v>#VALUE!</v>
      </c>
      <c r="M890" s="5" t="str">
        <f>IFERROR(__xludf.DUMMYFUNCTION("GOOGLETRANSLATE(G890)"),"#VALUE!")</f>
        <v>#VALUE!</v>
      </c>
    </row>
    <row r="891">
      <c r="A891" s="1" t="s">
        <v>2860</v>
      </c>
      <c r="B891" s="1" t="s">
        <v>2861</v>
      </c>
      <c r="D891" s="1">
        <v>15.0</v>
      </c>
      <c r="E891" s="4" t="s">
        <v>2897</v>
      </c>
      <c r="F891" s="1" t="s">
        <v>16</v>
      </c>
      <c r="G891" s="1" t="s">
        <v>2866</v>
      </c>
      <c r="H891" s="4" t="s">
        <v>2898</v>
      </c>
      <c r="I891" s="2">
        <v>2.0</v>
      </c>
      <c r="J891" s="5" t="str">
        <f>IFERROR(__xludf.DUMMYFUNCTION("GOOGLETRANSLATE(A891)"),"Network city")</f>
        <v>Network city</v>
      </c>
      <c r="K891" s="6" t="str">
        <f>IFERROR(__xludf.DUMMYFUNCTION("GOOGLETRANSLATE(B891)"),"Network city. Education")</f>
        <v>Network city. Education</v>
      </c>
      <c r="L891" s="5" t="str">
        <f>IFERROR(__xludf.DUMMYFUNCTION("GOOGLETRANSLATE(C891)"),"#VALUE!")</f>
        <v>#VALUE!</v>
      </c>
      <c r="M891" s="5" t="str">
        <f>IFERROR(__xludf.DUMMYFUNCTION("GOOGLETRANSLATE(G891)"),"Network city. Education")</f>
        <v>Network city. Education</v>
      </c>
    </row>
    <row r="892">
      <c r="A892" s="1" t="s">
        <v>2860</v>
      </c>
      <c r="B892" s="1" t="s">
        <v>2874</v>
      </c>
      <c r="C892" s="1" t="s">
        <v>2899</v>
      </c>
      <c r="D892" s="1">
        <v>16.0</v>
      </c>
      <c r="E892" s="4" t="s">
        <v>2900</v>
      </c>
      <c r="F892" s="1" t="s">
        <v>16</v>
      </c>
      <c r="I892" s="2">
        <v>2.0</v>
      </c>
      <c r="J892" s="5" t="str">
        <f>IFERROR(__xludf.DUMMYFUNCTION("GOOGLETRANSLATE(A892)"),"Network city")</f>
        <v>Network city</v>
      </c>
      <c r="K892" s="6" t="str">
        <f>IFERROR(__xludf.DUMMYFUNCTION("GOOGLETRANSLATE(B892)"),"Electronic education")</f>
        <v>Electronic education</v>
      </c>
      <c r="L892" s="5" t="str">
        <f>IFERROR(__xludf.DUMMYFUNCTION("GOOGLETRANSLATE(C892)"),"Enter the AIS ""Network City. Education"" of the Kaluga region through the portal of public services. Entrance for parents Entrance for students Entrance for employees.")</f>
        <v>Enter the AIS "Network City. Education" of the Kaluga region through the portal of public services. Entrance for parents Entrance for students Entrance for employees.</v>
      </c>
      <c r="M892" s="5" t="str">
        <f>IFERROR(__xludf.DUMMYFUNCTION("GOOGLETRANSLATE(G892)"),"#VALUE!")</f>
        <v>#VALUE!</v>
      </c>
    </row>
    <row r="893">
      <c r="A893" s="1" t="s">
        <v>2860</v>
      </c>
      <c r="B893" s="1" t="s">
        <v>2901</v>
      </c>
      <c r="D893" s="1">
        <v>17.0</v>
      </c>
      <c r="E893" s="4" t="s">
        <v>2902</v>
      </c>
      <c r="F893" s="1" t="s">
        <v>16</v>
      </c>
      <c r="H893" s="4" t="s">
        <v>2903</v>
      </c>
      <c r="I893" s="2">
        <v>2.0</v>
      </c>
      <c r="J893" s="5" t="str">
        <f>IFERROR(__xludf.DUMMYFUNCTION("GOOGLETRANSLATE(A893)"),"Network city")</f>
        <v>Network city</v>
      </c>
      <c r="K893" s="6" t="str">
        <f>IFERROR(__xludf.DUMMYFUNCTION("GOOGLETRANSLATE(B893)"),"Network city - E -Yakutia")</f>
        <v>Network city - E -Yakutia</v>
      </c>
      <c r="L893" s="5" t="str">
        <f>IFERROR(__xludf.DUMMYFUNCTION("GOOGLETRANSLATE(C893)"),"#VALUE!")</f>
        <v>#VALUE!</v>
      </c>
      <c r="M893" s="5" t="str">
        <f>IFERROR(__xludf.DUMMYFUNCTION("GOOGLETRANSLATE(G893)"),"#VALUE!")</f>
        <v>#VALUE!</v>
      </c>
    </row>
    <row r="894">
      <c r="A894" s="1" t="s">
        <v>2860</v>
      </c>
      <c r="B894" s="1" t="s">
        <v>2904</v>
      </c>
      <c r="D894" s="1">
        <v>18.0</v>
      </c>
      <c r="E894" s="4" t="s">
        <v>2905</v>
      </c>
      <c r="F894" s="1" t="s">
        <v>16</v>
      </c>
      <c r="I894" s="2">
        <v>1.0</v>
      </c>
      <c r="J894" s="5" t="str">
        <f>IFERROR(__xludf.DUMMYFUNCTION("GOOGLETRANSLATE(A894)"),"Network city")</f>
        <v>Network city</v>
      </c>
      <c r="K894" s="6" t="str">
        <f>IFERROR(__xludf.DUMMYFUNCTION("GOOGLETRANSLATE(B894)"),"Electronic education of the Tula region ...")</f>
        <v>Electronic education of the Tula region ...</v>
      </c>
      <c r="L894" s="5" t="str">
        <f>IFERROR(__xludf.DUMMYFUNCTION("GOOGLETRANSLATE(C894)"),"#VALUE!")</f>
        <v>#VALUE!</v>
      </c>
      <c r="M894" s="5" t="str">
        <f>IFERROR(__xludf.DUMMYFUNCTION("GOOGLETRANSLATE(G894)"),"#VALUE!")</f>
        <v>#VALUE!</v>
      </c>
    </row>
    <row r="895">
      <c r="A895" s="1" t="s">
        <v>2860</v>
      </c>
      <c r="B895" s="1" t="s">
        <v>2906</v>
      </c>
      <c r="D895" s="1">
        <v>19.0</v>
      </c>
      <c r="E895" s="4" t="s">
        <v>2907</v>
      </c>
      <c r="F895" s="1" t="s">
        <v>16</v>
      </c>
      <c r="I895" s="2">
        <v>1.0</v>
      </c>
      <c r="J895" s="5" t="str">
        <f>IFERROR(__xludf.DUMMYFUNCTION("GOOGLETRANSLATE(A895)"),"Network city")</f>
        <v>Network city</v>
      </c>
      <c r="K895" s="6" t="str">
        <f>IFERROR(__xludf.DUMMYFUNCTION("GOOGLETRANSLATE(B895)"),"Network city - electronic diary - Komi Republic")</f>
        <v>Network city - electronic diary - Komi Republic</v>
      </c>
      <c r="L895" s="5" t="str">
        <f>IFERROR(__xludf.DUMMYFUNCTION("GOOGLETRANSLATE(C895)"),"#VALUE!")</f>
        <v>#VALUE!</v>
      </c>
      <c r="M895" s="5" t="str">
        <f>IFERROR(__xludf.DUMMYFUNCTION("GOOGLETRANSLATE(G895)"),"#VALUE!")</f>
        <v>#VALUE!</v>
      </c>
    </row>
    <row r="896">
      <c r="A896" s="1" t="s">
        <v>2860</v>
      </c>
      <c r="B896" s="1" t="s">
        <v>2861</v>
      </c>
      <c r="D896" s="1">
        <v>20.0</v>
      </c>
      <c r="E896" s="4" t="s">
        <v>2908</v>
      </c>
      <c r="F896" s="1" t="s">
        <v>16</v>
      </c>
      <c r="I896" s="2">
        <v>2.0</v>
      </c>
      <c r="J896" s="5" t="str">
        <f>IFERROR(__xludf.DUMMYFUNCTION("GOOGLETRANSLATE(A896)"),"Network city")</f>
        <v>Network city</v>
      </c>
      <c r="K896" s="6" t="str">
        <f>IFERROR(__xludf.DUMMYFUNCTION("GOOGLETRANSLATE(B896)"),"Network city. Education")</f>
        <v>Network city. Education</v>
      </c>
      <c r="L896" s="5" t="str">
        <f>IFERROR(__xludf.DUMMYFUNCTION("GOOGLETRANSLATE(C896)"),"#VALUE!")</f>
        <v>#VALUE!</v>
      </c>
      <c r="M896" s="5" t="str">
        <f>IFERROR(__xludf.DUMMYFUNCTION("GOOGLETRANSLATE(G896)"),"#VALUE!")</f>
        <v>#VALUE!</v>
      </c>
    </row>
    <row r="897">
      <c r="A897" s="1" t="s">
        <v>2860</v>
      </c>
      <c r="B897" s="1" t="s">
        <v>2861</v>
      </c>
      <c r="D897" s="1">
        <v>8.0</v>
      </c>
      <c r="E897" s="4" t="s">
        <v>2909</v>
      </c>
      <c r="F897" s="1" t="s">
        <v>43</v>
      </c>
      <c r="G897" s="1" t="s">
        <v>2866</v>
      </c>
      <c r="H897" s="4" t="s">
        <v>2867</v>
      </c>
      <c r="I897" s="2">
        <v>1.0</v>
      </c>
      <c r="J897" s="5" t="str">
        <f>IFERROR(__xludf.DUMMYFUNCTION("GOOGLETRANSLATE(A897)"),"Network city")</f>
        <v>Network city</v>
      </c>
      <c r="K897" s="6" t="str">
        <f>IFERROR(__xludf.DUMMYFUNCTION("GOOGLETRANSLATE(B897)"),"Network city. Education")</f>
        <v>Network city. Education</v>
      </c>
      <c r="L897" s="5" t="str">
        <f>IFERROR(__xludf.DUMMYFUNCTION("GOOGLETRANSLATE(C897)"),"#VALUE!")</f>
        <v>#VALUE!</v>
      </c>
      <c r="M897" s="5" t="str">
        <f>IFERROR(__xludf.DUMMYFUNCTION("GOOGLETRANSLATE(G897)"),"Network city. Education")</f>
        <v>Network city. Education</v>
      </c>
    </row>
    <row r="898">
      <c r="A898" s="1" t="s">
        <v>2860</v>
      </c>
      <c r="B898" s="1" t="s">
        <v>2861</v>
      </c>
      <c r="D898" s="1">
        <v>9.0</v>
      </c>
      <c r="E898" s="4" t="s">
        <v>2910</v>
      </c>
      <c r="F898" s="1" t="s">
        <v>43</v>
      </c>
      <c r="I898" s="2">
        <v>1.0</v>
      </c>
      <c r="J898" s="5" t="str">
        <f>IFERROR(__xludf.DUMMYFUNCTION("GOOGLETRANSLATE(A898)"),"Network city")</f>
        <v>Network city</v>
      </c>
      <c r="K898" s="6" t="str">
        <f>IFERROR(__xludf.DUMMYFUNCTION("GOOGLETRANSLATE(B898)"),"Network city. Education")</f>
        <v>Network city. Education</v>
      </c>
      <c r="L898" s="5" t="str">
        <f>IFERROR(__xludf.DUMMYFUNCTION("GOOGLETRANSLATE(C898)"),"#VALUE!")</f>
        <v>#VALUE!</v>
      </c>
      <c r="M898" s="5" t="str">
        <f>IFERROR(__xludf.DUMMYFUNCTION("GOOGLETRANSLATE(G898)"),"#VALUE!")</f>
        <v>#VALUE!</v>
      </c>
    </row>
    <row r="899">
      <c r="A899" s="1" t="s">
        <v>2860</v>
      </c>
      <c r="B899" s="1" t="s">
        <v>2861</v>
      </c>
      <c r="D899" s="1">
        <v>10.0</v>
      </c>
      <c r="E899" s="4" t="s">
        <v>2911</v>
      </c>
      <c r="F899" s="1" t="s">
        <v>43</v>
      </c>
      <c r="G899" s="1" t="s">
        <v>2866</v>
      </c>
      <c r="H899" s="4" t="s">
        <v>2912</v>
      </c>
      <c r="I899" s="2">
        <v>2.0</v>
      </c>
      <c r="J899" s="5" t="str">
        <f>IFERROR(__xludf.DUMMYFUNCTION("GOOGLETRANSLATE(A899)"),"Network city")</f>
        <v>Network city</v>
      </c>
      <c r="K899" s="6" t="str">
        <f>IFERROR(__xludf.DUMMYFUNCTION("GOOGLETRANSLATE(B899)"),"Network city. Education")</f>
        <v>Network city. Education</v>
      </c>
      <c r="L899" s="5" t="str">
        <f>IFERROR(__xludf.DUMMYFUNCTION("GOOGLETRANSLATE(C899)"),"#VALUE!")</f>
        <v>#VALUE!</v>
      </c>
      <c r="M899" s="5" t="str">
        <f>IFERROR(__xludf.DUMMYFUNCTION("GOOGLETRANSLATE(G899)"),"Network city. Education")</f>
        <v>Network city. Education</v>
      </c>
    </row>
    <row r="900">
      <c r="A900" s="1" t="s">
        <v>2860</v>
      </c>
      <c r="B900" s="1" t="s">
        <v>2861</v>
      </c>
      <c r="D900" s="1">
        <v>11.0</v>
      </c>
      <c r="E900" s="4" t="s">
        <v>2913</v>
      </c>
      <c r="F900" s="1" t="s">
        <v>43</v>
      </c>
      <c r="I900" s="2">
        <v>1.0</v>
      </c>
      <c r="J900" s="5" t="str">
        <f>IFERROR(__xludf.DUMMYFUNCTION("GOOGLETRANSLATE(A900)"),"Network city")</f>
        <v>Network city</v>
      </c>
      <c r="K900" s="6" t="str">
        <f>IFERROR(__xludf.DUMMYFUNCTION("GOOGLETRANSLATE(B900)"),"Network city. Education")</f>
        <v>Network city. Education</v>
      </c>
      <c r="L900" s="5" t="str">
        <f>IFERROR(__xludf.DUMMYFUNCTION("GOOGLETRANSLATE(C900)"),"#VALUE!")</f>
        <v>#VALUE!</v>
      </c>
      <c r="M900" s="5" t="str">
        <f>IFERROR(__xludf.DUMMYFUNCTION("GOOGLETRANSLATE(G900)"),"#VALUE!")</f>
        <v>#VALUE!</v>
      </c>
    </row>
    <row r="901">
      <c r="A901" s="1" t="s">
        <v>2860</v>
      </c>
      <c r="B901" s="1" t="s">
        <v>2861</v>
      </c>
      <c r="D901" s="1">
        <v>16.0</v>
      </c>
      <c r="E901" s="4" t="s">
        <v>2914</v>
      </c>
      <c r="F901" s="1" t="s">
        <v>43</v>
      </c>
      <c r="I901" s="2">
        <v>2.0</v>
      </c>
      <c r="J901" s="5" t="str">
        <f>IFERROR(__xludf.DUMMYFUNCTION("GOOGLETRANSLATE(A901)"),"Network city")</f>
        <v>Network city</v>
      </c>
      <c r="K901" s="6" t="str">
        <f>IFERROR(__xludf.DUMMYFUNCTION("GOOGLETRANSLATE(B901)"),"Network city. Education")</f>
        <v>Network city. Education</v>
      </c>
      <c r="L901" s="5" t="str">
        <f>IFERROR(__xludf.DUMMYFUNCTION("GOOGLETRANSLATE(C901)"),"#VALUE!")</f>
        <v>#VALUE!</v>
      </c>
      <c r="M901" s="5" t="str">
        <f>IFERROR(__xludf.DUMMYFUNCTION("GOOGLETRANSLATE(G901)"),"#VALUE!")</f>
        <v>#VALUE!</v>
      </c>
    </row>
    <row r="902">
      <c r="A902" s="1" t="s">
        <v>2860</v>
      </c>
      <c r="B902" s="1" t="s">
        <v>2861</v>
      </c>
      <c r="D902" s="1">
        <v>18.0</v>
      </c>
      <c r="E902" s="4" t="s">
        <v>2915</v>
      </c>
      <c r="F902" s="1" t="s">
        <v>43</v>
      </c>
      <c r="G902" s="1" t="s">
        <v>2916</v>
      </c>
      <c r="H902" s="4" t="s">
        <v>2917</v>
      </c>
      <c r="I902" s="2">
        <v>1.0</v>
      </c>
      <c r="J902" s="5" t="str">
        <f>IFERROR(__xludf.DUMMYFUNCTION("GOOGLETRANSLATE(A902)"),"Network city")</f>
        <v>Network city</v>
      </c>
      <c r="K902" s="6" t="str">
        <f>IFERROR(__xludf.DUMMYFUNCTION("GOOGLETRANSLATE(B902)"),"Network city. Education")</f>
        <v>Network city. Education</v>
      </c>
      <c r="L902" s="5" t="str">
        <f>IFERROR(__xludf.DUMMYFUNCTION("GOOGLETRANSLATE(C902)"),"#VALUE!")</f>
        <v>#VALUE!</v>
      </c>
      <c r="M902" s="5" t="str">
        <f>IFERROR(__xludf.DUMMYFUNCTION("GOOGLETRANSLATE(G902)"),"Electronic education and entered through the login and password issued at the school. In the connection with risks of incidence of COVID-19 in the region, it is necessary to strictly comply with the requirements of self-isolation. By violating restrictive"&amp;" measures, you risk your health and the health of others. Dear residents and guests of the Kostroma region, observe the self -isolation regime and use the protective equipment when leaving the house. The entrance requires a confirmed account of public ser"&amp;"vices. It can be issued at the nearest user service center. Instructions for use 693 KB withdraw the file print the file")</f>
        <v>Electronic education and entered through the login and password issued at the school. In the connection with risks of incidence of COVID-19 in the region, it is necessary to strictly comply with the requirements of self-isolation. By violating restrictive measures, you risk your health and the health of others. Dear residents and guests of the Kostroma region, observe the self -isolation regime and use the protective equipment when leaving the house. The entrance requires a confirmed account of public services. It can be issued at the nearest user service center. Instructions for use 693 KB withdraw the file print the file</v>
      </c>
    </row>
    <row r="903">
      <c r="A903" s="1" t="s">
        <v>2860</v>
      </c>
      <c r="B903" s="1" t="s">
        <v>2861</v>
      </c>
      <c r="D903" s="1">
        <v>20.0</v>
      </c>
      <c r="E903" s="4" t="s">
        <v>2918</v>
      </c>
      <c r="F903" s="1" t="s">
        <v>43</v>
      </c>
      <c r="I903" s="2">
        <v>1.0</v>
      </c>
      <c r="J903" s="5" t="str">
        <f>IFERROR(__xludf.DUMMYFUNCTION("GOOGLETRANSLATE(A903)"),"Network city")</f>
        <v>Network city</v>
      </c>
      <c r="K903" s="6" t="str">
        <f>IFERROR(__xludf.DUMMYFUNCTION("GOOGLETRANSLATE(B903)"),"Network city. Education")</f>
        <v>Network city. Education</v>
      </c>
      <c r="L903" s="5" t="str">
        <f>IFERROR(__xludf.DUMMYFUNCTION("GOOGLETRANSLATE(C903)"),"#VALUE!")</f>
        <v>#VALUE!</v>
      </c>
      <c r="M903" s="5" t="str">
        <f>IFERROR(__xludf.DUMMYFUNCTION("GOOGLETRANSLATE(G903)"),"#VALUE!")</f>
        <v>#VALUE!</v>
      </c>
    </row>
    <row r="904">
      <c r="A904" s="1" t="s">
        <v>2919</v>
      </c>
      <c r="B904" s="1" t="s">
        <v>2920</v>
      </c>
      <c r="C904" s="1" t="s">
        <v>2921</v>
      </c>
      <c r="D904" s="1">
        <v>1.0</v>
      </c>
      <c r="E904" s="4" t="s">
        <v>2922</v>
      </c>
      <c r="F904" s="1" t="s">
        <v>43</v>
      </c>
      <c r="G904" s="1" t="s">
        <v>2920</v>
      </c>
      <c r="H904" s="4" t="s">
        <v>2923</v>
      </c>
      <c r="I904" s="2">
        <v>0.0</v>
      </c>
      <c r="J904" s="5" t="str">
        <f>IFERROR(__xludf.DUMMYFUNCTION("GOOGLETRANSLATE(A904)"),"telegram")</f>
        <v>telegram</v>
      </c>
      <c r="K904" s="6" t="str">
        <f>IFERROR(__xludf.DUMMYFUNCTION("GOOGLETRANSLATE(B904)"),"Telegram Web")</f>
        <v>Telegram Web</v>
      </c>
      <c r="L904" s="5" t="str">
        <f>IFERROR(__xludf.DUMMYFUNCTION("GOOGLETRANSLATE(C904)"),"Telegram is a cloud-based mobile and desktop messaging app with a focus on security and speed.")</f>
        <v>Telegram is a cloud-based mobile and desktop messaging app with a focus on security and speed.</v>
      </c>
      <c r="M904" s="5" t="str">
        <f>IFERROR(__xludf.DUMMYFUNCTION("GOOGLETRANSLATE(G904)"),"Telegram Web")</f>
        <v>Telegram Web</v>
      </c>
    </row>
    <row r="905">
      <c r="A905" s="1" t="s">
        <v>2919</v>
      </c>
      <c r="B905" s="1" t="s">
        <v>2924</v>
      </c>
      <c r="D905" s="1">
        <v>2.0</v>
      </c>
      <c r="E905" s="4" t="s">
        <v>2925</v>
      </c>
      <c r="F905" s="1" t="s">
        <v>43</v>
      </c>
      <c r="G905" s="1" t="s">
        <v>120</v>
      </c>
      <c r="H905" s="4" t="s">
        <v>121</v>
      </c>
      <c r="I905" s="2">
        <v>0.0</v>
      </c>
      <c r="J905" s="5" t="str">
        <f>IFERROR(__xludf.DUMMYFUNCTION("GOOGLETRANSLATE(A905)"),"telegram")</f>
        <v>telegram</v>
      </c>
      <c r="K905" s="6" t="str">
        <f>IFERROR(__xludf.DUMMYFUNCTION("GOOGLETRANSLATE(B905)"),"Telegram - Apps on Google Play")</f>
        <v>Telegram - Apps on Google Play</v>
      </c>
      <c r="L905" s="5" t="str">
        <f>IFERROR(__xludf.DUMMYFUNCTION("GOOGLETRANSLATE(C905)"),"#VALUE!")</f>
        <v>#VALUE!</v>
      </c>
      <c r="M905" s="5" t="str">
        <f>IFERROR(__xludf.DUMMYFUNCTION("GOOGLETRANSLATE(G905)"),"Android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906">
      <c r="A906" s="1" t="s">
        <v>2919</v>
      </c>
      <c r="B906" s="1" t="s">
        <v>2926</v>
      </c>
      <c r="C906" s="1" t="s">
        <v>2927</v>
      </c>
      <c r="D906" s="1">
        <v>3.0</v>
      </c>
      <c r="E906" s="4" t="s">
        <v>2928</v>
      </c>
      <c r="F906" s="1" t="s">
        <v>43</v>
      </c>
      <c r="G906" s="1" t="s">
        <v>97</v>
      </c>
      <c r="H906" s="4" t="s">
        <v>98</v>
      </c>
      <c r="I906" s="2">
        <v>0.0</v>
      </c>
      <c r="J906" s="5" t="str">
        <f>IFERROR(__xludf.DUMMYFUNCTION("GOOGLETRANSLATE(A906)"),"telegram")</f>
        <v>telegram</v>
      </c>
      <c r="K906" s="6" t="str">
        <f>IFERROR(__xludf.DUMMYFUNCTION("GOOGLETRANSLATE(B906)"),"Telegram Messenger on the App Store")</f>
        <v>Telegram Messenger on the App Store</v>
      </c>
      <c r="L906" s="5" t="str">
        <f>IFERROR(__xludf.DUMMYFUNCTION("GOOGLETRANSLATE(C906)"),"FAST: Telegram is the fastest messaging app on the market, connecting people via a unique, distributed network of data centers around the globe.")</f>
        <v>FAST: Telegram is the fastest messaging app on the market, connecting people via a unique, distributed network of data centers around the globe.</v>
      </c>
      <c r="M906" s="5" t="str">
        <f>IFERROR(__xludf.DUMMYFUNCTION("GOOGLETRANSLATE(G906)"),"App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907">
      <c r="A907" s="1" t="s">
        <v>2919</v>
      </c>
      <c r="B907" s="1" t="s">
        <v>2929</v>
      </c>
      <c r="C907" s="1" t="s">
        <v>2930</v>
      </c>
      <c r="D907" s="1">
        <v>4.0</v>
      </c>
      <c r="E907" s="4" t="s">
        <v>2931</v>
      </c>
      <c r="F907" s="1" t="s">
        <v>43</v>
      </c>
      <c r="G907" s="1" t="s">
        <v>120</v>
      </c>
      <c r="H907" s="4" t="s">
        <v>121</v>
      </c>
      <c r="I907" s="2">
        <v>1.0</v>
      </c>
      <c r="J907" s="5" t="str">
        <f>IFERROR(__xludf.DUMMYFUNCTION("GOOGLETRANSLATE(A907)"),"telegram")</f>
        <v>telegram</v>
      </c>
      <c r="K907" s="6" t="str">
        <f>IFERROR(__xludf.DUMMYFUNCTION("GOOGLETRANSLATE(B907)"),"Telegram - Google Play apps")</f>
        <v>Telegram - Google Play apps</v>
      </c>
      <c r="L907" s="5" t="str">
        <f>IFERROR(__xludf.DUMMYFUNCTION("GOOGLETRANSLATE(C907)"),"Telegram is a simple, quick and safe messaging application. Telegram is part of the ten most downloaded applications in the world, they use it ...")</f>
        <v>Telegram is a simple, quick and safe messaging application. Telegram is part of the ten most downloaded applications in the world, they use it ...</v>
      </c>
      <c r="M907" s="5" t="str">
        <f>IFERROR(__xludf.DUMMYFUNCTION("GOOGLETRANSLATE(G907)"),"Android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908">
      <c r="A908" s="1" t="s">
        <v>2919</v>
      </c>
      <c r="B908" s="1" t="s">
        <v>2932</v>
      </c>
      <c r="C908" s="1" t="s">
        <v>2933</v>
      </c>
      <c r="D908" s="1">
        <v>5.0</v>
      </c>
      <c r="E908" s="4" t="s">
        <v>2934</v>
      </c>
      <c r="F908" s="1" t="s">
        <v>43</v>
      </c>
      <c r="G908" s="1" t="s">
        <v>31</v>
      </c>
      <c r="H908" s="4" t="s">
        <v>32</v>
      </c>
      <c r="I908" s="2">
        <v>1.0</v>
      </c>
      <c r="J908" s="5" t="str">
        <f>IFERROR(__xludf.DUMMYFUNCTION("GOOGLETRANSLATE(A908)"),"telegram")</f>
        <v>telegram</v>
      </c>
      <c r="K908" s="6" t="str">
        <f>IFERROR(__xludf.DUMMYFUNCTION("GOOGLETRANSLATE(B908)"),"Telegram")</f>
        <v>Telegram</v>
      </c>
      <c r="L908" s="5" t="str">
        <f>IFERROR(__xludf.DUMMYFUNCTION("GOOGLETRANSLATE(C908)"),"Telegram (from other Greek τῆλε “Far” + Dr.-Greek γράμα “Record”)-cross-platform system of instant messaging (messenger) with functions ...")</f>
        <v>Telegram (from other Greek τῆλε “Far” + Dr.-Greek γράμα “Record”)-cross-platform system of instant messaging (messenger) with functions ...</v>
      </c>
      <c r="M908" s="5" t="str">
        <f>IFERROR(__xludf.DUMMYFUNCTION("GOOGLETRANSLATE(G908)"),"Wikipedia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09">
      <c r="A909" s="1" t="s">
        <v>2919</v>
      </c>
      <c r="B909" s="1" t="s">
        <v>2935</v>
      </c>
      <c r="C909" s="1" t="s">
        <v>2936</v>
      </c>
      <c r="D909" s="1">
        <v>6.0</v>
      </c>
      <c r="E909" s="4" t="s">
        <v>2937</v>
      </c>
      <c r="F909" s="1" t="s">
        <v>43</v>
      </c>
      <c r="G909" s="1" t="s">
        <v>2938</v>
      </c>
      <c r="H909" s="1" t="s">
        <v>2939</v>
      </c>
      <c r="I909" s="2">
        <v>1.0</v>
      </c>
      <c r="J909" s="5" t="str">
        <f>IFERROR(__xludf.DUMMYFUNCTION("GOOGLETRANSLATE(A909)"),"telegram")</f>
        <v>telegram</v>
      </c>
      <c r="K909" s="6" t="str">
        <f>IFERROR(__xludf.DUMMYFUNCTION("GOOGLETRANSLATE(B909)"),"Telegram online (unofficial version)")</f>
        <v>Telegram online (unofficial version)</v>
      </c>
      <c r="L909" s="5" t="str">
        <f>IFERROR(__xludf.DUMMYFUNCTION("GOOGLETRANSLATE(C909)"),"Telegram online in Russian unofficial web version of the popular Telegram messenger.")</f>
        <v>Telegram online in Russian unofficial web version of the popular Telegram messenger.</v>
      </c>
      <c r="M909" s="5" t="str">
        <f>IFERROR(__xludf.DUMMYFUNCTION("GOOGLETRANSLATE(G909)"),"Telegram online (unofficial version) telegram online* unofficial βurs * notification of the unofficial version of telegram")</f>
        <v>Telegram online (unofficial version) telegram online* unofficial βurs * notification of the unofficial version of telegram</v>
      </c>
    </row>
    <row r="910">
      <c r="A910" s="1" t="s">
        <v>2919</v>
      </c>
      <c r="B910" s="1" t="s">
        <v>2932</v>
      </c>
      <c r="C910" s="1" t="s">
        <v>2940</v>
      </c>
      <c r="D910" s="1">
        <v>7.0</v>
      </c>
      <c r="E910" s="4" t="s">
        <v>2941</v>
      </c>
      <c r="F910" s="1" t="s">
        <v>43</v>
      </c>
      <c r="G910" s="1" t="s">
        <v>2942</v>
      </c>
      <c r="H910" s="1" t="s">
        <v>2943</v>
      </c>
      <c r="I910" s="2">
        <v>1.0</v>
      </c>
      <c r="J910" s="5" t="str">
        <f>IFERROR(__xludf.DUMMYFUNCTION("GOOGLETRANSLATE(A910)"),"telegram")</f>
        <v>telegram</v>
      </c>
      <c r="K910" s="6" t="str">
        <f>IFERROR(__xludf.DUMMYFUNCTION("GOOGLETRANSLATE(B910)"),"Telegram")</f>
        <v>Telegram</v>
      </c>
      <c r="L910" s="5" t="str">
        <f>IFERROR(__xludf.DUMMYFUNCTION("GOOGLETRANSLATE(C910)"),"Russian-speaking web version of the Telegram messenger (unofficial)")</f>
        <v>Russian-speaking web version of the Telegram messenger (unofficial)</v>
      </c>
      <c r="M910" s="5" t="str">
        <f>IFERROR(__xludf.DUMMYFUNCTION("GOOGLETRANSLATE(G910)"),"TelegramTelegram WebPlease enable JavaScript to open the app.")</f>
        <v>TelegramTelegram WebPlease enable JavaScript to open the app.</v>
      </c>
    </row>
    <row r="911">
      <c r="A911" s="1" t="s">
        <v>2919</v>
      </c>
      <c r="B911" s="1" t="s">
        <v>2920</v>
      </c>
      <c r="C911" s="1" t="s">
        <v>2944</v>
      </c>
      <c r="D911" s="1">
        <v>8.0</v>
      </c>
      <c r="E911" s="4" t="s">
        <v>2945</v>
      </c>
      <c r="F911" s="1" t="s">
        <v>43</v>
      </c>
      <c r="G911" s="1" t="s">
        <v>2946</v>
      </c>
      <c r="H911" s="4" t="s">
        <v>2947</v>
      </c>
      <c r="I911" s="2">
        <v>1.0</v>
      </c>
      <c r="J911" s="5" t="str">
        <f>IFERROR(__xludf.DUMMYFUNCTION("GOOGLETRANSLATE(A911)"),"telegram")</f>
        <v>telegram</v>
      </c>
      <c r="K911" s="6" t="str">
        <f>IFERROR(__xludf.DUMMYFUNCTION("GOOGLETRANSLATE(B911)"),"Telegram Web")</f>
        <v>Telegram Web</v>
      </c>
      <c r="L911" s="5" t="str">
        <f>IFERROR(__xludf.DUMMYFUNCTION("GOOGLETRANSLATE(C911)"),"Telegram Web is an online version of popular Telegram messenger - fast and secure. You can use Telegram Web on any browsers or devices. Get apps Start ...")</f>
        <v>Telegram Web is an online version of popular Telegram messenger - fast and secure. You can use Telegram Web on any browsers or devices. Get apps Start ...</v>
      </c>
      <c r="M911" s="5" t="str">
        <f>IFERROR(__xludf.DUMMYFUNCTION("GOOGLETRANSLATE(G911)"),"Telegram WebTelegram WebTelegram Web is an online version of popular Telegram messenger - fast and secure. You can use Telegram Web on any browsers or devices.Get apps Start messaging        Troubles with connection? Try VPN.")</f>
        <v>Telegram WebTelegram WebTelegram Web is an online version of popular Telegram messenger - fast and secure. You can use Telegram Web on any browsers or devices.Get apps Start messaging        Troubles with connection? Try VPN.</v>
      </c>
    </row>
    <row r="912">
      <c r="A912" s="1" t="s">
        <v>2919</v>
      </c>
      <c r="B912" s="1" t="s">
        <v>2948</v>
      </c>
      <c r="C912" s="1" t="s">
        <v>2949</v>
      </c>
      <c r="D912" s="1">
        <v>9.0</v>
      </c>
      <c r="E912" s="4" t="s">
        <v>2950</v>
      </c>
      <c r="F912" s="1" t="s">
        <v>43</v>
      </c>
      <c r="G912" s="1" t="s">
        <v>2951</v>
      </c>
      <c r="H912" s="4" t="s">
        <v>2952</v>
      </c>
      <c r="I912" s="2">
        <v>1.0</v>
      </c>
      <c r="J912" s="5" t="str">
        <f>IFERROR(__xludf.DUMMYFUNCTION("GOOGLETRANSLATE(A912)"),"telegram")</f>
        <v>telegram</v>
      </c>
      <c r="K912" s="6" t="str">
        <f>IFERROR(__xludf.DUMMYFUNCTION("GOOGLETRANSLATE(B912)"),"Worcester Telegram : Local News, Politics &amp; Sports in ...")</f>
        <v>Worcester Telegram : Local News, Politics &amp; Sports in ...</v>
      </c>
      <c r="L912" s="5" t="str">
        <f>IFERROR(__xludf.DUMMYFUNCTION("GOOGLETRANSLATE(C912)"),"Get the latest breaking news, sports, entertainment and obituaries in Worcester, MA from Worcester Telegram .")</f>
        <v>Get the latest breaking news, sports, entertainment and obituaries in Worcester, MA from Worcester Telegram .</v>
      </c>
      <c r="M912" s="5" t="str">
        <f>IFERROR(__xludf.DUMMYFUNCTION("GOOGLETRANSLATE(G912)"),"Worcester Telegram : Local News Politics &amp; Sports in Worcester MANews Sports Entertainment Lifestyle Opinion Advertise Obituaries eNewspaper Legals  Valor in step: City Veterans Day parade grows in marchers turnoutOne in custody after fatal stabbing at Gr"&amp;"eat Brook Valley in WorcesterRecognizing veterans: Area events remembrances for Veterans Day SaturdayNew pitch from WooSox: Ownership looking to sell team Lucchino says Massachusetts officially hits shelter cap. What happens… Worcester State shooting susp"&amp;"ect appears in court… A turning point or not? Key takeaways from Worcester… Heywood Hospital named as defendant in lawsuit - what's…  Building a legacy: R.H. White Companies celebrates 100th… Valor in step: City Veterans Day parade grows in marchers turno"&amp;"ut  One in custody after fatal stabbing at Great Brook Valley in Worcester  Recognizing veterans: Area events remembrances for Veterans Day Saturday More in News Bouchard helps Uxbridge field hockey roll past Quabbin in D4 quarterfinal  Undefeated Uxbridg"&amp;"e shows no letup in D7 quarterfinal win over Tyngsborough  Live: High school fall sports schedule results box scores and recaps More in Sports 'She starts to believe in magic': 'Nutcracker' returns to Hanover  Laurel: Sunny smile up  Worcester hip-hop pro"&amp;"ducer Kas Kastal active on several fronts More in Entertainment How much did the new neighbors pay?  Table Hoppin': A little bit of Havana set for Worcester Public Market  Beyond Beer: Tree House Brewing Co. set for new Saratoga Springs site More in Life "&amp;"Veterans Day: What's open closed this weekend  Fallon Health to relocate headquarters within downtown Worcester  What's the latest business news in Central Mass.? More in Business Mariano: Biden needs a plan for the Southern border Raymond V. Mariano  Fir"&amp;"st Person: The way in is by opting out Mark Wagner  Worcesteria: Inspections hit Steel &amp; Wire White Eagle with limits Victor D. Infante More in Opinion IKEA is recalling 25000 mirrors because they can fall and shatter  Patriots vs. Colts: How to watch NFL"&amp;" game in Germany  How to watch Joe Walsh Jeff Lynne's ELO headline VetsAid 2023 concert More in TrendingEnter today!       Enter Now!       ENTER TODAY!       More in ContestsWorcester eighth graders create donate art to Veterans Inc. City eyes bar sprink"&amp;"ler hassle; councilor Toomey calls for assistance Veterans Day: What's open closed this weekend Mariano: Biden needs a plan for the Southern borderRaymond V. Mariano 'She starts to believe in magic': 'Nutcracker' returns to HanoverCareers Accessibility Si"&amp;"te Map Legals Our Ethical Principles Subscription Terms &amp; Conditions Terms of Service Privacy Policy Your California Privacy Rights / Privacy PolicyDo Not Sell / Share / Target My InfoCookie SettingsStaff DirectoryContact Us Support Local Business Adverti"&amp;"se Your Business Advertising Terms and Conditions Buy and Sell Licensing &amp; Reprints Help Center Subscriber Guide My Account Give FeedbackSubscribe Today Newsletters Facebook Twitter Instagram eNewspaper ArchivesJobs Cars Homes Classifieds Sports Betting R"&amp;"eviewed.com 10Best LocaliQ Digital Marketing Solutions© 2023 www.telegram.com. All rights reserved.")</f>
        <v>Worcester Telegram : Local News Politics &amp; Sports in Worcester MANews Sports Entertainment Lifestyle Opinion Advertise Obituaries eNewspaper Legals  Valor in step: City Veterans Day parade grows in marchers turnoutOne in custody after fatal stabbing at Great Brook Valley in WorcesterRecognizing veterans: Area events remembrances for Veterans Day SaturdayNew pitch from WooSox: Ownership looking to sell team Lucchino says Massachusetts officially hits shelter cap. What happens… Worcester State shooting suspect appears in court… A turning point or not? Key takeaways from Worcester… Heywood Hospital named as defendant in lawsuit - what's…  Building a legacy: R.H. White Companies celebrates 100th… Valor in step: City Veterans Day parade grows in marchers turnout  One in custody after fatal stabbing at Great Brook Valley in Worcester  Recognizing veterans: Area events remembrances for Veterans Day Saturday More in News Bouchard helps Uxbridge field hockey roll past Quabbin in D4 quarterfinal  Undefeated Uxbridge shows no letup in D7 quarterfinal win over Tyngsborough  Live: High school fall sports schedule results box scores and recaps More in Sports 'She starts to believe in magic': 'Nutcracker' returns to Hanover  Laurel: Sunny smile up  Worcester hip-hop producer Kas Kastal active on several fronts More in Entertainment How much did the new neighbors pay?  Table Hoppin': A little bit of Havana set for Worcester Public Market  Beyond Beer: Tree House Brewing Co. set for new Saratoga Springs site More in Life Veterans Day: What's open closed this weekend  Fallon Health to relocate headquarters within downtown Worcester  What's the latest business news in Central Mass.? More in Business Mariano: Biden needs a plan for the Southern border Raymond V. Mariano  First Person: The way in is by opting out Mark Wagner  Worcesteria: Inspections hit Steel &amp; Wire White Eagle with limits Victor D. Infante More in Opinion IKEA is recalling 25000 mirrors because they can fall and shatter  Patriots vs. Colts: How to watch NFL game in Germany  How to watch Joe Walsh Jeff Lynne's ELO headline VetsAid 2023 concert More in TrendingEnter today!       Enter Now!       ENTER TODAY!       More in ContestsWorcester eighth graders create donate art to Veterans Inc. City eyes bar sprinkler hassle; councilor Toomey calls for assistance Veterans Day: What's open closed this weekend Mariano: Biden needs a plan for the Southern borderRaymond V. Mariano 'She starts to believe in magic': 'Nutcracker' returns to HanoverCareers Accessibility Site Map Legals Our Ethical Principles Subscription Terms &amp; Conditions Terms of Service Privacy Policy Your California Privacy Rights / Privacy PolicyDo Not Sell / Share / Target My InfoCookie SettingsStaff DirectoryContact Us Support Local Business Advertise Your Business Advertising Terms and Conditions Buy and Sell Licensing &amp; Reprints Help Center Subscriber Guide My Account Give FeedbackSubscribe Today Newsletters Facebook Twitter Instagram eNewspaper ArchivesJobs Cars Homes Classifieds Sports Betting Reviewed.com 10Best LocaliQ Digital Marketing Solutions© 2023 www.telegram.com. All rights reserved.</v>
      </c>
    </row>
    <row r="913">
      <c r="A913" s="1" t="s">
        <v>2919</v>
      </c>
      <c r="B913" s="1" t="s">
        <v>2953</v>
      </c>
      <c r="C913" s="1" t="s">
        <v>2954</v>
      </c>
      <c r="D913" s="1">
        <v>10.0</v>
      </c>
      <c r="E913" s="4" t="s">
        <v>2955</v>
      </c>
      <c r="F913" s="1" t="s">
        <v>43</v>
      </c>
      <c r="G913" s="1" t="s">
        <v>457</v>
      </c>
      <c r="H913" s="4" t="s">
        <v>458</v>
      </c>
      <c r="I913" s="2">
        <v>1.0</v>
      </c>
      <c r="J913" s="5" t="str">
        <f>IFERROR(__xludf.DUMMYFUNCTION("GOOGLETRANSLATE(A913)"),"telegram")</f>
        <v>telegram</v>
      </c>
      <c r="K913" s="6" t="str">
        <f>IFERROR(__xludf.DUMMYFUNCTION("GOOGLETRANSLATE(B913)"),"Contact @telegram")</f>
        <v>Contact @telegram</v>
      </c>
      <c r="L913" s="5" t="str">
        <f>IFERROR(__xludf.DUMMYFUNCTION("GOOGLETRANSLATE(C913)"),"The official Telegram on Telegram. Much recursion. Very Telegram. Wow. View in Telegram · Preview channel. If you have Telegram, you can view and join. Telegram ...")</f>
        <v>The official Telegram on Telegram. Much recursion. Very Telegram. Wow. View in Telegram · Preview channel. If you have Telegram, you can view and join. Telegram ...</v>
      </c>
      <c r="M913" s="5" t="str">
        <f>IFERROR(__xludf.DUMMYFUNCTION("GOOGLETRANSLATE(G913)"),"Telegram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Premi"&amp;"umOct 28Replies 2.0 Adjustable Link Previews Name Colors and MoreSep 22Stories in Channels View-Once Media and Morea new era of messagingTelegram for AndroidTelegram for iPhone / iPad  Telegram for Windows / Mac / LinuxBrowse more Telegram apps           "&amp;" Telegram for PC / Linux            Telegram for macOSRecent NewsGiveaways in Channels and Free PremiumChannel owners can now launch Giveaways to randomly distribute prizes among their followers. This is great if you want to promote your channel get new s"&amp;"ubscribers or reward existing…Nov 6 2023Replies 2.0 Adjustable Link Previews Name Colors and MoreToday's update lets you quote specific parts of messages when replying send your replies to other chats add quote formatting to any text…Oct 28 2023Why Telegr"&amp;"am?SimpleTelegram is so simple you already know how to use it.PrivateTelegram messages are heavily encrypted and can self-destruct.SyncedTelegram lets you access your chats from multiple devices.FastTelegram delivers messages faster than any other applica"&amp;"tion.PowerfulTelegram has no limits on the size of your media and chats.OpenTelegram has an open API and source code free for everyone.SecureTelegram keeps your messages safe from hacker attacks.SocialTelegram groups can hold up to 200000 members.Expressi"&amp;"veTelegram lets you completely customize your messenger.Telegram      Telegram is a cloud-based mobile and desktop messaging app with a focus on security and speed.    AboutFAQPrivacyPressMobile AppsiPhone/iPadAndroidMobile WebDesktop AppsPC/Mac/LinuxmacO"&amp;"SWeb-browserPlatformAPITranslationsInstant ViewAboutBlogAppsPlatformPress")</f>
        <v>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v>
      </c>
    </row>
    <row r="914">
      <c r="A914" s="1" t="s">
        <v>2919</v>
      </c>
      <c r="B914" s="1" t="s">
        <v>2956</v>
      </c>
      <c r="C914" s="1" t="s">
        <v>2957</v>
      </c>
      <c r="D914" s="1">
        <v>11.0</v>
      </c>
      <c r="E914" s="4" t="s">
        <v>2958</v>
      </c>
      <c r="F914" s="1" t="s">
        <v>43</v>
      </c>
      <c r="G914" s="1" t="s">
        <v>2959</v>
      </c>
      <c r="H914" s="4" t="s">
        <v>2960</v>
      </c>
      <c r="I914" s="2">
        <v>0.0</v>
      </c>
      <c r="J914" s="5" t="str">
        <f>IFERROR(__xludf.DUMMYFUNCTION("GOOGLETRANSLATE(A914)"),"telegram")</f>
        <v>telegram</v>
      </c>
      <c r="K914" s="6" t="str">
        <f>IFERROR(__xludf.DUMMYFUNCTION("GOOGLETRANSLATE(B914)"),"telegramdesktop/tdesktop: Telegram Desktop messaging app")</f>
        <v>telegramdesktop/tdesktop: Telegram Desktop messaging app</v>
      </c>
      <c r="L914" s="5" t="str">
        <f>IFERROR(__xludf.DUMMYFUNCTION("GOOGLETRANSLATE(C914)"),"Telegram Desktop messaging app. Contribute to telegramdesktop/tdesktop development by creating an account on GitHub.")</f>
        <v>Telegram Desktop messaging app. Contribute to telegramdesktop/tdesktop development by creating an account on GitHub.</v>
      </c>
      <c r="M914" s="5" t="str">
        <f>IFERROR(__xludf.DUMMYFUNCTION("GOOGLETRANSLATE(G914)"),"GitHub: Let’s build from here · GitHubSkip to contentToggle navigation            Sign up                   Product        Actions        Automate any workflow      Packages        Host and manage packages      Security        Find and fix vulnerabilities"&amp;"      Codespaces        Instant dev environments      Copilot        Write better code with AI      Code review        Manage code changes      Issues        Plan and track work      Discussions        Collaborate outside of code      Explore      All fea"&amp;"tures          Documentation          GitHub Skills          Blog            Solutions        For      Enterprise          Teams          Startups          Education    By Solution      CI/CD &amp; Automation          DevOps          DevSecOps    Resources   "&amp;"   Learning Pathways          White papers Ebooks Webinars          Customer Stories          Partners            Open Source        GitHub Sponsors        Fund open source developers      The ReadME Project        GitHub community articles      Repositor"&amp;"ies      Topics          Trending          Collections    PricingSearch or jump to...Search code repositories users issues pull requests...         Search      Clear                Search syntax tips         Provide feedback       We read every piece of f"&amp;"eedback and take your input very seriously.Include my email address so I can be contacted     Cancel    Submit feedback        Saved searches      Use saved searches to filter your results more quickly NameQuery            To see all available qualifiers "&amp;"see our documentation.                Cancel    Create saved search              Sign in                          Sign up            You signed in with another tab or window. Reload to refresh your session.You signed out in another tab or window. Reload t"&amp;"o refresh your session.You switched accounts on another tab or window. Reload to refresh your session.  Dismiss alertGitHub Universe: AI. Security. DevExRegister for free and join us on Nov 8-9Let’s build from here          The world’s leading AI-powered "&amp;"developer platform.         Email address  Sign up for GitHub      Start a free enterprise trial    Trusted by the world’s leading organizations ↘︎ProductivityCollaborationSecurity  Start a free enterprise trial      Sign up for GitHub    ProductivityAcce"&amp;"lerate innovation        Our AI-powered platform increases the pace of software development.      GitHub Copilot empowers developers to complete tasks 55% faster with contextualized AI coding assistance across workflows.    Explore GitHub Copilot Did you "&amp;"know?22% increasein developer productivity after three years with GitHub    Read the report GitHub Actions automates your build test and deployment workflow with simple and secure CI/CD.     Discover GitHub Actions  GitHub Codespaces offers a complete dev"&amp;" environment in seconds. Code build test and open pull requests from any repo.     Check out GitHub Codespaces  GitHub Mobile fits your projects in your pocket so you never miss a beat while on the go.     Download GitHub Mobile  Application securityEmpow"&amp;"er developers With GitHub you can secure code in minutes.      cmake.ymlon: pushBuild1m 21s            Steps          Initialize CodeQL1m 42sAutobuild1m 24sPerform CodeQL Analyses1m 36sGitHub Advanced Security enables you to find and fix vulnerabilities w"&amp;"ith ease and ship secure code quickly.    Dive into GitHub Advanced Security Did you know?7x fastervulnerability fixes with GitHub1Code scanning is our code analysis tool that helps you remediate issues in your code.     Download the latest SAST ebook  De"&amp;"pendabot makes it easy to find and fix vulnerable dependencies in your supply chain.     Explore Dependabot  Secret scanning automatically looks for partner patterns and prevents fraudulent use of accidentally committed secrets.     Read about secret scan"&amp;"ning  CollaborationSupercharge collaboration        GitHub helps your teams work more efficiently together.      GitHub Issues and GitHub Projects supply project management tools that adapt to your team alongside your code.    Get started with GitHub Issu"&amp;"es Did you know?80%reduction in onboarding time with GitHub2GitHub Discussions creates space to ask questions and have open-ended conversations.     Jump into GitHub Discussions  Pull requests allow real-time communication and collaboration about code cha"&amp;"nges.     Check out pull requests  GitHub Sponsors lets you support your favorite open source maintainers and projects.     Invest with GitHub Sponsors sindresorhus Sponsor Samuel Sponsor Homebrew Sponsor Nick DeJesus Sponsor chaynHQ Sponsor kazuya kawagu"&amp;"chi Sponsor CommandPost Sponsor Directus Sponsor Evan You Sponsor  Over 100 million developers call GitHub home3Whether you’re scaling your startup or just learning how to code GitHub is your home. Join the world’s largest developer platform to build the "&amp;"innovations that empower humanity. Let’s build from here. Email address  Sign up for GitHub      Start a free enterprise trial    1 This 7X times factor is based on data from the industry’s longest running analysis of fix ratesVeracode State of Software S"&amp;"ecurity 2023 which cites the average time to fix 50% of flaws as 198 days vs. GitHub’s fix rates of 72% of flaws with in 28 days which is at a minimum of 7X faster when compared.2 The Total Economic Impact™ Of GitHub Enterprise Cloud and Advanced Security"&amp;" a commissioned study conducted by Forrester Consulting 2022. Results are for a composite organization based on interviewed customers.3 There are now 100 million developers around the world using GitHub. Read the blog post.Subscribe to The GitHub InsiderD"&amp;"iscover tips technical guides and best practices in our monthly newsletter for developers.  Subscribe              Product        FeaturesEnterpriseCopilotSecurityPricingTeamResourcesRoadmapCompare GitHub          Platform        Developer APIPartnersElec"&amp;"tronGitHub Desktop          Support        DocsCommunity ForumProfessional ServicesPremium SupportSkillsStatusContact GitHub          Company        AboutCustomer storiesBlogThe ReadME ProjectCareersPressInclusionSocial ImpactShopGitHub on XGitHub on Face"&amp;"bookGitHub on LinkedInGitHub on YouTubeGitHub on TwitchGitHub on TikTokGitHub’s organization on GitHub          © 2023 GitHub Inc.        TermsPrivacy          (Updated 08/2022)        SitemapWhat is Git?    You can’t perform that action at this time.")</f>
        <v>GitHub: Let’s build from here · GitHubSkip to contentToggle navigation            Sign up                   Product        Actions        Automate any workflow      Packages        Host and manage packages      Security        Find and fix vulnerabilities      Codespaces        Instant dev environments      Copilot        Write better code with AI      Code review        Manage code changes      Issues        Plan and track work      Discussions        Collaborate outside of code      Explore      All features          Documentation          GitHub Skills          Blog            Solutions        For      Enterprise          Teams          Startups          Education    By Solution      CI/CD &amp; Automation          DevOps          DevSecOps    Resources      Learning Pathways          White papers Ebooks Webinars          Customer Stories          Partners            Open Source        GitHub Sponsors        Fund open source developers      The ReadME Project        GitHub community articles      Repositories      Topics          Trending          Collections    PricingSearch or jump to...Search code repositories users issues pull requests...         Search      Clear                Search syntax tips         Provide feedback       We read every piece of feedback and take your input very seriously.Include my email address so I can be contacted     Cancel    Submit feedback        Saved searches      Use saved searches to filter your results more quickly NameQuery            To see all available qualifiers see our documentation.                Cancel    Create saved search              Sign in                          Sign up            You signed in with another tab or window. Reload to refresh your session.You signed out in another tab or window. Reload to refresh your session.You switched accounts on another tab or window. Reload to refresh your session.  Dismiss alertGitHub Universe: AI. Security. DevExRegister for free and join us on Nov 8-9Let’s build from here          The world’s leading AI-powered developer platform.         Email address  Sign up for GitHub      Start a free enterprise trial    Trusted by the world’s leading organizations ↘︎ProductivityCollaborationSecurity  Start a free enterprise trial      Sign up for GitHub    ProductivityAccelerate innovation        Our AI-powered platform increases the pace of software development.      GitHub Copilot empowers developers to complete tasks 55% faster with contextualized AI coding assistance across workflows.    Explore GitHub Copilot Did you know?22% increasein developer productivity after three years with GitHub    Read the report GitHub Actions automates your build test and deployment workflow with simple and secure CI/CD.     Discover GitHub Actions  GitHub Codespaces offers a complete dev environment in seconds. Code build test and open pull requests from any repo.     Check out GitHub Codespaces  GitHub Mobile fits your projects in your pocket so you never miss a beat while on the go.     Download GitHub Mobile  Application securityEmpower developers With GitHub you can secure code in minutes.      cmake.ymlon: pushBuild1m 21s            Steps          Initialize CodeQL1m 42sAutobuild1m 24sPerform CodeQL Analyses1m 36sGitHub Advanced Security enables you to find and fix vulnerabilities with ease and ship secure code quickly.    Dive into GitHub Advanced Security Did you know?7x fastervulnerability fixes with GitHub1Code scanning is our code analysis tool that helps you remediate issues in your code.     Download the latest SAST ebook  Dependabot makes it easy to find and fix vulnerable dependencies in your supply chain.     Explore Dependabot  Secret scanning automatically looks for partner patterns and prevents fraudulent use of accidentally committed secrets.     Read about secret scanning  CollaborationSupercharge collaboration        GitHub helps your teams work more efficiently together.      GitHub Issues and GitHub Projects supply project management tools that adapt to your team alongside your code.    Get started with GitHub Issues Did you know?80%reduction in onboarding time with GitHub2GitHub Discussions creates space to ask questions and have open-ended conversations.     Jump into GitHub Discussions  Pull requests allow real-time communication and collaboration about code changes.     Check out pull requests  GitHub Sponsors lets you support your favorite open source maintainers and projects.     Invest with GitHub Sponsors sindresorhus Sponsor Samuel Sponsor Homebrew Sponsor Nick DeJesus Sponsor chaynHQ Sponsor kazuya kawaguchi Sponsor CommandPost Sponsor Directus Sponsor Evan You Sponsor  Over 100 million developers call GitHub home3Whether you’re scaling your startup or just learning how to code GitHub is your home. Join the world’s largest developer platform to build the innovations that empower humanity. Let’s build from here. Email address  Sign up for GitHub      Start a free enterprise trial    1 This 7X times factor is based on data from the industry’s longest running analysis of fix ratesVeracode State of Software Security 2023 which cites the average time to fix 50% of flaws as 198 days vs. GitHub’s fix rates of 72% of flaws with in 28 days which is at a minimum of 7X faster when compared.2 The Total Economic Impact™ Of GitHub Enterprise Cloud and Advanced Security a commissioned study conducted by Forrester Consulting 2022. Results are for a composite organization based on interviewed customers.3 There are now 100 million developers around the world using GitHub. Read the blog post.Subscribe to The GitHub InsiderDiscover tips technical guides and best practices in our monthly newsletter for developers.  Subscribe              Product        FeaturesEnterpriseCopilotSecurityPricingTeamResourcesRoadmapCompare GitHub          Platform        Developer APIPartnersElectronGitHub Desktop          Support        DocsCommunity ForumProfessional ServicesPremium SupportSkillsStatusContact GitHub          Company        AboutCustomer storiesBlogThe ReadME ProjectCareersPressInclusionSocial ImpactShopGitHub on XGitHub on FacebookGitHub on LinkedInGitHub on YouTubeGitHub on TwitchGitHub on TikTokGitHub’s organization on GitHub          © 2023 GitHub Inc.        TermsPrivacy          (Updated 08/2022)        SitemapWhat is Git?    You can’t perform that action at this time.</v>
      </c>
    </row>
    <row r="915">
      <c r="A915" s="1" t="s">
        <v>2919</v>
      </c>
      <c r="B915" s="1" t="s">
        <v>2961</v>
      </c>
      <c r="C915" s="1" t="s">
        <v>2962</v>
      </c>
      <c r="D915" s="1">
        <v>12.0</v>
      </c>
      <c r="E915" s="4" t="s">
        <v>2963</v>
      </c>
      <c r="F915" s="1" t="s">
        <v>43</v>
      </c>
      <c r="G915" s="1" t="s">
        <v>2964</v>
      </c>
      <c r="H915" s="4" t="s">
        <v>2965</v>
      </c>
      <c r="I915" s="2">
        <v>0.0</v>
      </c>
      <c r="J915" s="5" t="str">
        <f>IFERROR(__xludf.DUMMYFUNCTION("GOOGLETRANSLATE(A915)"),"telegram")</f>
        <v>telegram</v>
      </c>
      <c r="K915" s="6" t="str">
        <f>IFERROR(__xludf.DUMMYFUNCTION("GOOGLETRANSLATE(B915)"),"Telegram - Messenger for iPhone, Android and Windows ...")</f>
        <v>Telegram - Messenger for iPhone, Android and Windows ...</v>
      </c>
      <c r="L915" s="5" t="str">
        <f>IFERROR(__xludf.DUMMYFUNCTION("GOOGLETRANSLATE(C915)"),"Convenient, fast and safe Telegram messenger. Posts encryption, group chats, YouTube support, sending any files without restrictions.")</f>
        <v>Convenient, fast and safe Telegram messenger. Posts encryption, group chats, YouTube support, sending any files without restrictions.</v>
      </c>
      <c r="M915" s="5" t="str">
        <f>IFERROR(__xludf.DUMMYFUNCTION("GOOGLETRANSLATE(G915)"),"Telegram - Messenger for iPhone Android and Windows Phone The best stickers from VK on our channel menu channels download Telegram frequently asked TEELEGRAM Webogram News Blog Steaks download for your OS Telegram for Android Telegram for IOS Telegram for"&amp;" Windows Telegram For MacOS Telegram for Linux, all applications support Windows MacOS and Linux meet telegram: the best messenger in the world. The kit includes: stickers channels of the game and much more. Fastelogram delivers messages faster than other"&amp;" applications. Free television celebrations are free now and forever. No advertising. No paid subscriptions. The powerful telegram has no restrictions on the number of investments and chat messages. Safe telegram encrypts all your correspondence and prote"&amp;"cts you from hacker attacks. In clouds allows you to access your correspondence from an unlimited number of devices. Private messages in Telegram are encrypted and are able to self -destruct. In the clouds, it allows you to correspond on various devices ("&amp;"including online). FastyTelegram works faster than any other application. The distributed Telegram server is distributed around the world for greater speed and security. Open Telegram uses an open protocol and API is free for everyone. FreeTelegram will a"&amp;"lways be free. Without advertising. Without paid subscriptions. SafeTelegram saves your security messages from hackers. PowerfulTelegram does not limit the size of your messages and investments. Help the community again make communication safe - tell your"&amp;" friends about Telegram. Telegram site in Russian (unofficial). Complete applications on the basis of MTPROTO translated some documentation from the official website and also work webogram. Washing -canalfaqblogglogation.")</f>
        <v>Telegram - Messenger for iPhone Android and Windows Phone The best stickers from VK on our channel menu channels download Telegram frequently asked TEELEGRAM Webogram News Blog Steaks download for your OS Telegram for Android Telegram for IOS Telegram for Windows Telegram For MacOS Telegram for Linux, all applications support Windows MacOS and Linux meet telegram: the best messenger in the world. The kit includes: stickers channels of the game and much more. Fastelogram delivers messages faster than other applications. Free television celebrations are free now and forever. No advertising. No paid subscriptions. The powerful telegram has no restrictions on the number of investments and chat messages. Safe telegram encrypts all your correspondence and protects you from hacker attacks. In clouds allows you to access your correspondence from an unlimited number of devices. Private messages in Telegram are encrypted and are able to self -destruct. In the clouds, it allows you to correspond on various devices (including online). FastyTelegram works faster than any other application. The distributed Telegram server is distributed around the world for greater speed and security. Open Telegram uses an open protocol and API is free for everyone. FreeTelegram will always be free. Without advertising. Without paid subscriptions. SafeTelegram saves your security messages from hackers. PowerfulTelegram does not limit the size of your messages and investments. Help the community again make communication safe - tell your friends about Telegram. Telegram site in Russian (unofficial). Complete applications on the basis of MTPROTO translated some documentation from the official website and also work webogram. Washing -canalfaqblogglogation.</v>
      </c>
    </row>
    <row r="916">
      <c r="A916" s="1" t="s">
        <v>2919</v>
      </c>
      <c r="B916" s="1" t="s">
        <v>2966</v>
      </c>
      <c r="D916" s="1">
        <v>13.0</v>
      </c>
      <c r="E916" s="4" t="s">
        <v>2967</v>
      </c>
      <c r="F916" s="1" t="s">
        <v>43</v>
      </c>
      <c r="I916" s="2">
        <v>2.0</v>
      </c>
      <c r="J916" s="5" t="str">
        <f>IFERROR(__xludf.DUMMYFUNCTION("GOOGLETRANSLATE(A916)"),"telegram")</f>
        <v>telegram</v>
      </c>
      <c r="K916" s="6" t="str">
        <f>IFERROR(__xludf.DUMMYFUNCTION("GOOGLETRANSLATE(B916)"),"Fort Worth Star-Telegram: Fort Worth Breaking News &amp; Sports")</f>
        <v>Fort Worth Star-Telegram: Fort Worth Breaking News &amp; Sports</v>
      </c>
      <c r="L916" s="5" t="str">
        <f>IFERROR(__xludf.DUMMYFUNCTION("GOOGLETRANSLATE(C916)"),"#VALUE!")</f>
        <v>#VALUE!</v>
      </c>
      <c r="M916" s="5" t="str">
        <f>IFERROR(__xludf.DUMMYFUNCTION("GOOGLETRANSLATE(G916)"),"#VALUE!")</f>
        <v>#VALUE!</v>
      </c>
    </row>
    <row r="917">
      <c r="A917" s="1" t="s">
        <v>2919</v>
      </c>
      <c r="B917" s="1" t="s">
        <v>2968</v>
      </c>
      <c r="C917" s="1" t="s">
        <v>2969</v>
      </c>
      <c r="D917" s="1">
        <v>14.0</v>
      </c>
      <c r="E917" s="4" t="s">
        <v>2970</v>
      </c>
      <c r="F917" s="1" t="s">
        <v>43</v>
      </c>
      <c r="G917" s="1" t="s">
        <v>2971</v>
      </c>
      <c r="H917" s="4" t="s">
        <v>2972</v>
      </c>
      <c r="I917" s="2">
        <v>2.0</v>
      </c>
      <c r="J917" s="5" t="str">
        <f>IFERROR(__xludf.DUMMYFUNCTION("GOOGLETRANSLATE(A917)"),"telegram")</f>
        <v>telegram</v>
      </c>
      <c r="K917" s="6" t="str">
        <f>IFERROR(__xludf.DUMMYFUNCTION("GOOGLETRANSLATE(B917)"),"Long Beach Press-Telegram: Local News, Sports, Things to Do")</f>
        <v>Long Beach Press-Telegram: Local News, Sports, Things to Do</v>
      </c>
      <c r="L917" s="5" t="str">
        <f>IFERROR(__xludf.DUMMYFUNCTION("GOOGLETRANSLATE(C917)"),"The Press-Telegram is the local news source for Long Beach and the surrounding area providing breaking news, sports, business, entertainment, things to do, ...")</f>
        <v>The Press-Telegram is the local news source for Long Beach and the surrounding area providing breaking news, sports, business, entertainment, things to do, ...</v>
      </c>
      <c r="M917" s="5" t="str">
        <f>IFERROR(__xludf.DUMMYFUNCTION("GOOGLETRANSLATE(G917)"),"Long Beach Press-Telegram: Local News Sports Things to Do Skip to contentAll SectionsSubscribe Now 66°F 							Saturday November 11th 2023									e-Edition Home PageClose MenuNewsNewsCrime and Public SafetyInvestigative ReportingPoliticsHealthEnvironment"&amp;"BusinessHousingJobsLocal NewsLocal NewsLong BeachLos AngelesLos Angeles CountySportsSportsHigh School SportsChargersRamsLakersClippersDodgersAngelsCollege SportsUCLA SportsUSC SportsLong Beach State sportsKingsDucksBoxing/MMASoccerThings To DoThings To Do"&amp;"Restaurants Food and DrinkMoviesMusic + ConcertsTheaterTV and StreamingHome + GardenTravelAmusement ParksComicsPuzzlesEventsObituariesObituariesPlace an ObituaryOpinionOpinionEditorialsOpinion ColumnsGuest CommentaryLetters to the EditorEditorial BoardThe"&amp;" GrunionThe GrunionNewsEducationSportsThings to DoOpinionE-EditionAdvertisingContact UsSCNG PremiumThe T.E.A.SubscribePress-Telegram StoreLog InLogoutClose Menu Get the latest news delivered daily!				Sign Up SubscribeLog In Account SettingsContact UsLog "&amp;"OutSpoof a userGet the latest news delivered daily!				Sign UpSubscribeLog In Search Press Telegram 66°F 							Saturday November 11th 2023									e-Edition   NewsLocal NewsSportsThings to DoObituariesOpinionThe T.E.A. 			Trending:		Motorsports |  			Den"&amp;"gue fever in Long beach		Motorsports |  			Guilty of ‘seaman’s manslaughter’		Motorsports |  			Safe parking for homeless		Motorsports |  			High School Football		Motorsports |  			Veterans Day events 🇺🇸		  FeaturedMotorsports |  			Photos: Long Beach h"&amp;"osts Veterans Day Celebration at Houghton Park		 			Long Beach honored four individuals and organizations who've dedicated themselves to serving the city's veteran population — which totals around 16000 individuals and their families — during the free eve"&amp;"nt.		Related Motorsports |  			Long Beach veteran was homeless. Then she found US Vets — and wants to bring veterans hope		12 hours agoMotorsports |  			Veterans Day: LA County throngs turn out under sunny skies to honor those who served		3 hours agoMotor"&amp;"sports |  			Marine veterans find new mission as firefighters helping people “having the worst day”		7 hours ago   Motorsports |  			Remembering Bob Crow: Long Beach Pride community honor cofounder/LGBTQ icon at memorial procession		 Motorsports |  			Rem"&amp;"aining George’s Greek Cafe in Belmont Shore celebrates remodel		 Motorsports |  			Long Beach Poly football loses heartbreaker to Servite in overtime in Division 2 quarterfinals		 Motorsports |  			Rich Archbold: Veteran at Long Beach VA remains optimisti"&amp;"c despite quadriplegia		Latest HeadlinesMotorsports |  			2 women wounded in Long Beach shooting; 2 men sought		5 hours agoMotorsports |  			1 officer shot at stabbing suspect in North Long Beach		1 day agoMotorsports |  			Veterans Day: LA County throngs"&amp;" turn out under sunny skies to honor those who served		3 hours agoMotorsports |  			Photos: Whittier marks Veterans Day with annual celebrations		6 hours agoMotorsports |  			Hospitals have special protection under the rules of war. Why are they in the cr"&amp;"osshairs in Gaza?		4 hours agoMotorsports |  			Trump joins media outlets in pushing for his federal election interference case to be televised		7 hours agoMotorsports |  			Jim Biden’s last name has helped open doors. It also has made him a target of Hou"&amp;"se GOP		7 hours agoGet the latest news delivered daily!		Sign Up		 Most PopularTop Posts &amp; Pages14 injured when Long Beach Transit bus crashes into restaurant14 injured when Long Beach Transit bus crashes into restaurantSt. John Bosco football tested by S"&amp;"an Clemente before rolling into Division 1 semifinalsSt. John Bosco football tested by San Clemente before rolling into Division 1 semifinalsHigh school football playoffs: All of Friday’s CIF-SS scores and schedule for the semifinalsHigh school football p"&amp;"layoffs: All of Friday’s CIF-SS scores and schedule for the semifinalsLong Beach Poly football loses heartbreaker to Servite in overtime in Division 2 quarterfinalsLong Beach Poly football loses heartbreaker to Servite in overtime in Division 2 quarterfin"&amp;"als1 officer shot at stabbing suspect in North Long Beach1 officer shot at stabbing suspect in North Long BeachUSA Volleyball suspends beach icon Sinjin SmithUSA Volleyball suspends beach icon Sinjin SmithLong Beach rally march draws hundreds in support o"&amp;"f Palestinians in GazaLong Beach rally march draws hundreds in support of Palestinians in GazaLong Beach celebrates opening of new Alamitos Beach concession standLong Beach celebrates opening of new Alamitos Beach concession standLong Beach confirms 1st h"&amp;"uman case of mosquito-borne St. Louis Encephalitis since 1984Long Beach confirms 1st human case of mosquito-borne St. Louis Encephalitis since 1984Long Beach Poly football has something to prove vs. Servite in CIF-SS D2 quarterfinalsLong Beach Poly footba"&amp;"ll has something to prove vs. Servite in CIF-SS D2 quarterfinals  				Crime and Public Safety Motorsports |  			Major pallet fire shuts both sides of 10 Freeway in downtown LA					Firefighters from 26 companies worked this morning to extinguish the fire t"&amp;"hat started in one downtown pallet yard and spread consuming a fire engine.		SUBSCRIBER ONLYMotorsports |  			Green street markings have been around for years — do you know what they mean?		Motorsports |  			Driver charged with killing sheriff’s cadet inj"&amp;"uring 24 in South Whittier		Motorsports |  			14 injured when Long Beach Transit bus crashes into restaurant						Local News Motorsports |  			Long Beach veteran was homeless. Then she found US Vets — and wants to bring veterans hope					U.S Army veteran "&amp;"Shanaide Robinson has faced many obstacles. But she still keeps a smile and shines as a beacon of hope for veterans.		Motorsports |  			More Crystal Cove cottages are about to be available — tips on how to score		Motorsports |  			Long Beach celebrates op"&amp;"ening of new Alamitos Beach concession stand		Motorsports |  			Long Beach rally march draws hundreds in support of Palestinians in Gaza						high school football Motorsports |  			Mayfair football takes down No. 1 seed Chino advances to Division 7 semifi"&amp;"nals					Mayfair's strong second half allowed it to take down No. 1 seed Chino in the CIF Southern Section Division 7 quarterfinals.		Motorsports |  			Warren football wins overtime thriller over Oak Hills in quarterfinals		Motorsports |  			St. Pius X-St"&amp;". Matthias football dominates St. Anthony in CIF-SS quarterfinals		Motorsports |  			Press-Telegram football wrap-up: Stories scores and photos from Friday’s CIF-SS quarterfinal playoff games		Photos Motorsports |  			A chunk of the Berlin Wall displayed "&amp;"at Reagan Library gets cosmetic update					Why was one side of the Berlin Wall white? So East German soldiers could see someone trying to escape and shoot them		 Motorsports |  			Photos: Breeders’ Cup Day 2 at Santa Anita Park		 Motorsports |  			Hollywo"&amp;"od Sign Day honors LA’s globally beloved promotion from 1923		 Motorsports |  			Tens of thousands take to the 110 Freeway for ArroyoFest event		 Motorsports |  			Rams collapse in fourth quarter of loss to Steelers		 Motorsports |  			Chargers’ inability"&amp;" to do ‘little things’ proves costly in loss to Cowboys		 Motorsports |  			Jason Yang beats defending champ to win 39th Long Beach Marathon		Show More Photos Motorsports |  			Kings can’t slow Avalanche’s top line in season opener		 Motorsports |  			Cla"&amp;"yton Kershaw chased in 1st inning as Dodgers lose NLDS opener to Diamondbacks		 Motorsports |  			Kaiser strike begins sending tens of thousands to the picket lines		 Motorsports |  			Justin Herbert Chargers show their toughness in victory over Raiders		"&amp;" Motorsports |  			Photos: Dianne Feinstein the oldest sitting U.S. Senator dies at 90						Things To Do Motorsports |  			Why that jar of canned tomatoes might not taste so good					Laura Simpson writes the Master Gardener column each week.		Motorsports "&amp;"|  			Why these drought-tolerant grasses can light up your winter garden		Motorsports |  			Home decor: A little bit of great beats a lot of mediocre		Motorsports |  			12 Disneyland Festival of Holidays foods ranked from best to worst						Sports Motorsp"&amp;"orts |  			Laiatu Latu UCLA football live updates vs. Arizona State					Follow along for updates before during and after the game for the latest news on...		Motorsports |  			Caleb Williams USC football live updates vs. Oregon		SUBSCRIBER ONLYMotorsports "&amp;"|  			Will Austin Reaves’ role ‘realignment’ for Lakers continue?		SUBSCRIBER ONLYMotorsports |  			Clippers and James Harden still trying to figure it out						Opinion Motorsports |  			Is reality finally catching up to Gov. Gavin Newsom?					In fact it "&amp;"seems like Newsom sinks in the polls whenever it becomes impossible to...		Motorsports |  			Hawaii takes on the rising seas around it		Motorsports |  			Los Angeles County supervisors ignore the jailed mentally ill		Motorsports |  			The many ways that C"&amp;"alifornia’s online age-verification law is unconstitutional						Israel-Hamas War SUBSCRIBER ONLYMotorsports |  			‘From the river to the sea’: Why these 6 words spark fury and passion over the Israel-Hamas war					“From the river to the sea” has become a"&amp;" battle cry with new power to...		Motorsports |  			Thousands sheltering at Gaza City’s hospitals flee as Israel-Hamas war closes in		Motorsports |  			Macron hosts Gaza aid conference urges Israel to protect civilians		Motorsports |  			Satellite photos "&amp;"show Israeli push this week into Gaza		 Trending NationallyWhat happens next with the burned-out blimp hangar?Elementary school custodian helps diffuse situation involving ‘distraught’ individual with stolen gunSon of Hollywood agent and producer arrested"&amp;" for murder after woman’s torso found in plastic bagAustralian cattleman attacked by crocodile bites back and livesWith the strike over here’s when to expect the return of your favorite TV stars and shows   SubscribeSign Up For Newsletterse-EditionBreakin"&amp;"g NewsContact UsCorrectionsWork With UsNewspapers in EducationWorship DirectoryPress Telegram StoreAbout UsSouthern California News GroupMediaNews GroupPartnersCareersLive Traffic MapPrivacy PolicyAccessibilitySite MapMarketplaceClassifiedLegalsObituaryLB"&amp;" City GuidePlace an AdMedia KitsAdvertising Contact InformationReader RewardsPhoto ReprintsSponsored AccessSponsor a StudentSubscribe Now Terms of UseCookie PolicyCalifornia Notice at CollectionNotice of Financial IncentiveDo Not Sell/Share My Personal In"&amp;"formationArbitrationPowered by WordPress.com VIP Copyright © 2023 MediaNews Group  Close")</f>
        <v>Long Beach Press-Telegram: Local News Sports Things to Do Skip to contentAll SectionsSubscribe Now 66°F 							Saturday November 11th 2023									e-Edition Home PageClose MenuNewsNewsCrime and Public SafetyInvestigative ReportingPoliticsHealthEnvironmentBusinessHousingJobsLocal NewsLocal NewsLong BeachLos AngelesLos Angeles CountySportsSportsHigh School SportsChargersRamsLakersClippersDodgersAngelsCollege SportsUCLA SportsUSC SportsLong Beach State sportsKingsDucksBoxing/MMASoccerThings To DoThings To DoRestaurants Food and DrinkMoviesMusic + ConcertsTheaterTV and StreamingHome + GardenTravelAmusement ParksComicsPuzzlesEventsObituariesObituariesPlace an ObituaryOpinionOpinionEditorialsOpinion ColumnsGuest CommentaryLetters to the EditorEditorial BoardThe GrunionThe GrunionNewsEducationSportsThings to DoOpinionE-EditionAdvertisingContact UsSCNG PremiumThe T.E.A.SubscribePress-Telegram StoreLog InLogoutClose Menu Get the latest news delivered daily!				Sign Up SubscribeLog In Account SettingsContact UsLog OutSpoof a userGet the latest news delivered daily!				Sign UpSubscribeLog In Search Press Telegram 66°F 							Saturday November 11th 2023									e-Edition   NewsLocal NewsSportsThings to DoObituariesOpinionThe T.E.A. 			Trending:		Motorsports |  			Dengue fever in Long beach		Motorsports |  			Guilty of ‘seaman’s manslaughter’		Motorsports |  			Safe parking for homeless		Motorsports |  			High School Football		Motorsports |  			Veterans Day events 🇺🇸		  FeaturedMotorsports |  			Photos: Long Beach hosts Veterans Day Celebration at Houghton Park		 			Long Beach honored four individuals and organizations who've dedicated themselves to serving the city's veteran population — which totals around 16000 individuals and their families — during the free event.		Related Motorsports |  			Long Beach veteran was homeless. Then she found US Vets — and wants to bring veterans hope		12 hours agoMotorsports |  			Veterans Day: LA County throngs turn out under sunny skies to honor those who served		3 hours agoMotorsports |  			Marine veterans find new mission as firefighters helping people “having the worst day”		7 hours ago   Motorsports |  			Remembering Bob Crow: Long Beach Pride community honor cofounder/LGBTQ icon at memorial procession		 Motorsports |  			Remaining George’s Greek Cafe in Belmont Shore celebrates remodel		 Motorsports |  			Long Beach Poly football loses heartbreaker to Servite in overtime in Division 2 quarterfinals		 Motorsports |  			Rich Archbold: Veteran at Long Beach VA remains optimistic despite quadriplegia		Latest HeadlinesMotorsports |  			2 women wounded in Long Beach shooting; 2 men sought		5 hours agoMotorsports |  			1 officer shot at stabbing suspect in North Long Beach		1 day agoMotorsports |  			Veterans Day: LA County throngs turn out under sunny skies to honor those who served		3 hours agoMotorsports |  			Photos: Whittier marks Veterans Day with annual celebrations		6 hours agoMotorsports |  			Hospitals have special protection under the rules of war. Why are they in the crosshairs in Gaza?		4 hours agoMotorsports |  			Trump joins media outlets in pushing for his federal election interference case to be televised		7 hours agoMotorsports |  			Jim Biden’s last name has helped open doors. It also has made him a target of House GOP		7 hours agoGet the latest news delivered daily!		Sign Up		 Most PopularTop Posts &amp; Pages14 injured when Long Beach Transit bus crashes into restaurant14 injured when Long Beach Transit bus crashes into restaurantSt. John Bosco football tested by San Clemente before rolling into Division 1 semifinalsSt. John Bosco football tested by San Clemente before rolling into Division 1 semifinalsHigh school football playoffs: All of Friday’s CIF-SS scores and schedule for the semifinalsHigh school football playoffs: All of Friday’s CIF-SS scores and schedule for the semifinalsLong Beach Poly football loses heartbreaker to Servite in overtime in Division 2 quarterfinalsLong Beach Poly football loses heartbreaker to Servite in overtime in Division 2 quarterfinals1 officer shot at stabbing suspect in North Long Beach1 officer shot at stabbing suspect in North Long BeachUSA Volleyball suspends beach icon Sinjin SmithUSA Volleyball suspends beach icon Sinjin SmithLong Beach rally march draws hundreds in support of Palestinians in GazaLong Beach rally march draws hundreds in support of Palestinians in GazaLong Beach celebrates opening of new Alamitos Beach concession standLong Beach celebrates opening of new Alamitos Beach concession standLong Beach confirms 1st human case of mosquito-borne St. Louis Encephalitis since 1984Long Beach confirms 1st human case of mosquito-borne St. Louis Encephalitis since 1984Long Beach Poly football has something to prove vs. Servite in CIF-SS D2 quarterfinalsLong Beach Poly football has something to prove vs. Servite in CIF-SS D2 quarterfinals  				Crime and Public Safety Motorsports |  			Major pallet fire shuts both sides of 10 Freeway in downtown LA					Firefighters from 26 companies worked this morning to extinguish the fire that started in one downtown pallet yard and spread consuming a fire engine.		SUBSCRIBER ONLYMotorsports |  			Green street markings have been around for years — do you know what they mean?		Motorsports |  			Driver charged with killing sheriff’s cadet injuring 24 in South Whittier		Motorsports |  			14 injured when Long Beach Transit bus crashes into restaurant						Local News Motorsports |  			Long Beach veteran was homeless. Then she found US Vets — and wants to bring veterans hope					U.S Army veteran Shanaide Robinson has faced many obstacles. But she still keeps a smile and shines as a beacon of hope for veterans.		Motorsports |  			More Crystal Cove cottages are about to be available — tips on how to score		Motorsports |  			Long Beach celebrates opening of new Alamitos Beach concession stand		Motorsports |  			Long Beach rally march draws hundreds in support of Palestinians in Gaza						high school football Motorsports |  			Mayfair football takes down No. 1 seed Chino advances to Division 7 semifinals					Mayfair's strong second half allowed it to take down No. 1 seed Chino in the CIF Southern Section Division 7 quarterfinals.		Motorsports |  			Warren football wins overtime thriller over Oak Hills in quarterfinals		Motorsports |  			St. Pius X-St. Matthias football dominates St. Anthony in CIF-SS quarterfinals		Motorsports |  			Press-Telegram football wrap-up: Stories scores and photos from Friday’s CIF-SS quarterfinal playoff games		Photos Motorsports |  			A chunk of the Berlin Wall displayed at Reagan Library gets cosmetic update					Why was one side of the Berlin Wall white? So East German soldiers could see someone trying to escape and shoot them		 Motorsports |  			Photos: Breeders’ Cup Day 2 at Santa Anita Park		 Motorsports |  			Hollywood Sign Day honors LA’s globally beloved promotion from 1923		 Motorsports |  			Tens of thousands take to the 110 Freeway for ArroyoFest event		 Motorsports |  			Rams collapse in fourth quarter of loss to Steelers		 Motorsports |  			Chargers’ inability to do ‘little things’ proves costly in loss to Cowboys		 Motorsports |  			Jason Yang beats defending champ to win 39th Long Beach Marathon		Show More Photos Motorsports |  			Kings can’t slow Avalanche’s top line in season opener		 Motorsports |  			Clayton Kershaw chased in 1st inning as Dodgers lose NLDS opener to Diamondbacks		 Motorsports |  			Kaiser strike begins sending tens of thousands to the picket lines		 Motorsports |  			Justin Herbert Chargers show their toughness in victory over Raiders		 Motorsports |  			Photos: Dianne Feinstein the oldest sitting U.S. Senator dies at 90						Things To Do Motorsports |  			Why that jar of canned tomatoes might not taste so good					Laura Simpson writes the Master Gardener column each week.		Motorsports |  			Why these drought-tolerant grasses can light up your winter garden		Motorsports |  			Home decor: A little bit of great beats a lot of mediocre		Motorsports |  			12 Disneyland Festival of Holidays foods ranked from best to worst						Sports Motorsports |  			Laiatu Latu UCLA football live updates vs. Arizona State					Follow along for updates before during and after the game for the latest news on...		Motorsports |  			Caleb Williams USC football live updates vs. Oregon		SUBSCRIBER ONLYMotorsports |  			Will Austin Reaves’ role ‘realignment’ for Lakers continue?		SUBSCRIBER ONLYMotorsports |  			Clippers and James Harden still trying to figure it out						Opinion Motorsports |  			Is reality finally catching up to Gov. Gavin Newsom?					In fact it seems like Newsom sinks in the polls whenever it becomes impossible to...		Motorsports |  			Hawaii takes on the rising seas around it		Motorsports |  			Los Angeles County supervisors ignore the jailed mentally ill		Motorsports |  			The many ways that California’s online age-verification law is unconstitutional						Israel-Hamas War SUBSCRIBER ONLYMotorsports |  			‘From the river to the sea’: Why these 6 words spark fury and passion over the Israel-Hamas war					“From the river to the sea” has become a battle cry with new power to...		Motorsports |  			Thousands sheltering at Gaza City’s hospitals flee as Israel-Hamas war closes in		Motorsports |  			Macron hosts Gaza aid conference urges Israel to protect civilians		Motorsports |  			Satellite photos show Israeli push this week into Gaza		 Trending NationallyWhat happens next with the burned-out blimp hangar?Elementary school custodian helps diffuse situation involving ‘distraught’ individual with stolen gunSon of Hollywood agent and producer arrested for murder after woman’s torso found in plastic bagAustralian cattleman attacked by crocodile bites back and livesWith the strike over here’s when to expect the return of your favorite TV stars and shows   SubscribeSign Up For Newsletterse-EditionBreaking NewsContact UsCorrectionsWork With UsNewspapers in EducationWorship DirectoryPress Telegram StoreAbout UsSouthern California News GroupMediaNews GroupPartnersCareersLive Traffic MapPrivacy PolicyAccessibilitySite MapMarketplaceClassifiedLegalsObituaryLB City GuidePlace an AdMedia KitsAdvertising Contact InformationReader RewardsPhoto ReprintsSponsored AccessSponsor a StudentSubscribe Now Terms of UseCookie PolicyCalifornia Notice at CollectionNotice of Financial IncentiveDo Not Sell/Share My Personal InformationArbitrationPowered by WordPress.com VIP Copyright © 2023 MediaNews Group  Close</v>
      </c>
    </row>
    <row r="918">
      <c r="A918" s="1" t="s">
        <v>2919</v>
      </c>
      <c r="B918" s="1" t="s">
        <v>2973</v>
      </c>
      <c r="C918" s="1" t="s">
        <v>2974</v>
      </c>
      <c r="D918" s="1">
        <v>15.0</v>
      </c>
      <c r="E918" s="4" t="s">
        <v>2975</v>
      </c>
      <c r="F918" s="1" t="s">
        <v>43</v>
      </c>
      <c r="G918" s="1" t="s">
        <v>1118</v>
      </c>
      <c r="H918" s="4" t="s">
        <v>1119</v>
      </c>
      <c r="I918" s="2">
        <v>3.0</v>
      </c>
      <c r="J918" s="5" t="str">
        <f>IFERROR(__xludf.DUMMYFUNCTION("GOOGLETRANSLATE(A918)"),"telegram")</f>
        <v>telegram</v>
      </c>
      <c r="K918" s="6" t="str">
        <f>IFERROR(__xludf.DUMMYFUNCTION("GOOGLETRANSLATE(B918)"),"Telegram Messenger")</f>
        <v>Telegram Messenger</v>
      </c>
      <c r="L918" s="5" t="str">
        <f>IFERROR(__xludf.DUMMYFUNCTION("GOOGLETRANSLATE(C918)"),"18 Aug. 2023. -")</f>
        <v>18 Aug. 2023. -</v>
      </c>
      <c r="M918" s="5" t="str">
        <f>IFERROR(__xludf.DUMMYFUNCTION("GOOGLETRANSLATE(G918)"),"LinkedIn: Log In or Sign Up       Skip to main content                    Agree &amp; Join LinkedIn                              By clicking Continue you agree to LinkedIn’s User Agreement Privacy Policy and Cookie Policy.              LinkedIn         Articl"&amp;"es              People              Learning              Jobs                      Join now                        Sign in                  Find jobs through your community                  Email or phone                  Password        Show Forgot pass"&amp;"word?          Sign in                    or                  By clicking Continue you agree to LinkedIn’s User Agreement Privacy Policy and Cookie Policy.                  New to LinkedIn? Join now                    Explore collaborative articles       "&amp;"           We’re unlocking community knowledge in a new way. Experts add insights directly into each article started with the help of AI.                                Marketing                                            Public Administration            "&amp;"                                Healthcare                                            Engineering                                            IT Services                                            Sustainability                                            B"&amp;"usiness Administration                                            Telecommunications                                            HR Management                                          Show all                            Find the right job or internship for"&amp;" you                  Suggested Searches                          Engineering                                    Business Development                                    Finance                                    Administrative Assistant                   "&amp;"                 Retail Associate                                    Customer Service                                    Operations                                    Information Technology                                    Marketing                     "&amp;"               Human Resources                                    Healthcare Service                                    Sales                                    Program and Project Management                                    Accounting                  "&amp;"                  Arts and Design                                    Community and Social Services                                    Consulting                                    Education                                    Entrepreneurship              "&amp;"                      Legal                                    Media and Communications                                    Military and Protective Services                                    Product Management                                    Purchasing"&amp;"                                    Quality Assurance                                    Real Estate                                    Research                                    Support                                    Administrative                  "&amp;"              Show more                              Show less                      Post your job for millions of people to see                        Post a job                        Discover the best software tools                    Connect with buyer"&amp;"s who have first-hand experience to find the best products for you.                    Suggested Tools                                E-Commerce Platforms                                                CRM Software                                         "&amp;"       Human Resources Management Systems                                                Recruiting Software                                                Sales Intelligence Software                                                Project Management Softw"&amp;"are                                                Help Desk Software                                                Social Networking Software                                                Desktop Publishing Software                                     "&amp;"         Show all                                     No more previous content                      Let the right people know you’re open to work      With the Open To Work feature you can privately tell recruiters or publicly share with the LinkedIn comm"&amp;"unity that you are looking for new job opportunities.        Conversations today could lead to opportunity tomorrow      Sending messages to people you know is a great way to strengthen relationships as you take the next step in your career.        Stay u"&amp;"p to date on your industry      From live videos to stories to newsletters and more LinkedIn is full of ways to stay up to date on the latest discussions in your industry.                No more next content                          Connect with people wh"&amp;"o can help                              Find people you know                            Learn the skills you need to succeed        Choose a topic to learn aboutBusiness Analysis and Strategy                        1030+ course                      Busine"&amp;"ss Software and Tools                        2100+ courses                      Career Development                        520+ courses                      Customer Service                        190+ courses                      Diversity Equity and Incl"&amp;"usion (DEI)                        250+ courses                      Finance and Accounting                        290+ courses                      Human Resources                        440+ courses                      Leadership and Management        "&amp;"                1550+ course                      Marketing                        890+ courses                      Professional Development                        1480+ course                      Project Management                        440+ courses  "&amp;"                    Sales                        280+ courses                      Small Business and Entrepreneurship                        330+ courses                      Training and Education                        290+ courses                     "&amp;" AEC                        1440+ course                      Animation and Illustration                        1720+ course                      Audio and Music                        420+ courses                      Graphic Design                      "&amp;"  960+ courses                      Motion Graphics and VFX                        900+ courses                      Photography                        1160+ course                      Product and Manufacturing                        1440+ course        "&amp;"              User Experience                        520+ courses                      Video                        610+ courses                      Visualization and Real-Time                        1310+ course                      Web Design          "&amp;"              530+ courses                      Artificial Intelligence (AI)                        290+ courses                      Cloud Computing                        1280+ course                      Data Science                        1070+ course"&amp;"                      Database Management                        390+ courses                      DevOps                        290+ courses                      IT Help Desk                        340+ courses                      Mobile Development    "&amp;"                    480+ courses                      Network and System Administration                        1460+ course                      Security                        830+ courses                      Software Development                        "&amp;"2350+ courses                      Web Development                        1500+ course                                   Who is LinkedIn for?                      Anyone looking to navigate their professional life.                          Find a coworker"&amp;" or classmate                              Find a new job                              Find a course or training                        Join your colleagues classmates and friends on LinkedIn.                                  Get started                  "&amp;"                  General                                  Sign Up                                          Help Center                                          About                                          Press                                          "&amp;"Blog                                          Careers                                          Developers                                  Browse LinkedIn                                  Learning                                          Jobs             "&amp;"                             Salary                                          Mobile                                          Services                                          Products                                          Top Companies Hub             "&amp;"                     Business Solutions                                  Talent                                          Marketing                                          Sales                                          Learning                            "&amp;"      Directories                                  Members                                          Jobs                                          Companies                                          Featured                                          Learning"&amp;"                                          Posts                                          Articles                                          Schools                                          News                                          News Letters         "&amp;"                                 Services                                          Products                                          Advice                                          People Search                    LinkedIn© 2023                    About  "&amp;"                                  Accessibility                                    User Agreement                                    Privacy Policy                                      Your California Privacy Choices                                      C"&amp;"ookie Policy                                    Copyright Policy                                    Brand Policy                                      Guest Controls                                      Community Guidelines                                ا"&amp;"لعربية (Arabic)                            Čeština (Czech)                            Dansk (Danish)                            Deutsch (German)            English (English)                Español (Spanish)                            Français (French)    "&amp;"                        हिंदी (Hindi)                            Bahasa Indonesia (Indonesian)                            Italiano (Italian)                            日本語 (Japanese)                            한국어 (Korean)                            Bahas"&amp;"a Malaysia (Malay)                            Nederlands (Dutch)                            Norsk (Norwegian)                            Polski (Polish)                            Português (Portuguese)                            Română (Romanian)        "&amp;"                    Русский (Russian)                            Svenska (Swedish)                            ภาษาไทย (Thai)                            Tagalog (Tagalog)                            Türkçe (Turkish)                            Українська (Uk"&amp;"rainian)                            简体中文 (Chinese (Simplified))                            正體中文 (Chinese (Traditional))                        Language")</f>
        <v>LinkedIn: Log In or Sign Up       Skip to main content                    Agree &amp; Join LinkedIn                              By clicking Continue you agree to LinkedIn’s User Agreement Privacy Policy and Cookie Policy.              LinkedIn         Articles              People              Learning              Jobs                      Join now                        Sign in                  Find jobs through your community                  Email or phone                  Password        Show Forgot password?          Sign in                    or                  By clicking Continue you agree to LinkedIn’s User Agreement Privacy Policy and Cookie Policy.                  New to LinkedIn? Join now                    Explore collaborative articles                  We’re unlocking community knowledge in a new way. Experts add insights directly into each article started with the help of AI.                                Marketing                                            Public Administration                                            Healthcare                                            Engineering                                            IT Services                                            Sustainability                                            Business Administration                                            Telecommunications                                            HR Management                                          Show all                            Find the right job or internship for you                  Suggested Searches                          Engineering                                    Business Development                                    Finance                                    Administrative Assistant                                    Retail Associate                                    Customer Service                                    Operations                                    Information Technology                                    Marketing                                    Human Resources                                    Healthcare Service                                    Sales                                    Program and Project Management                                    Accounting                                    Arts and Design                                    Community and Social Services                                    Consulting                                    Education                                    Entrepreneurship                                    Legal                                    Media and Communications                                    Military and Protective Services                                    Product Management                                    Purchasing                                    Quality Assurance                                    Real Estate                                    Research                                    Support                                    Administrative                                Show more                              Show less                      Post your job for millions of people to see                        Post a job                        Discover the best software tools                    Connect with buyers who have first-hand experience to find the best products for you.                    Suggested Tools                                E-Commerce Platforms                                                CRM Software                                                Human Resources Management Systems                                                Recruiting Software                                                Sales Intelligence Software                                                Project Management Software                                                Help Desk Software                                                Social Networking Software                                                Desktop Publishing Software                                              Show all                                     No more previous content                      Let the right people know you’re open to work      With the Open To Work feature you can privately tell recruiters or publicly share with the LinkedIn community that you are looking for new job opportunities.        Conversations today could lead to opportunity tomorrow      Sending messages to people you know is a great way to strengthen relationships as you take the next step in your career.        Stay up to date on your industry      From live videos to stories to newsletters and more LinkedIn is full of ways to stay up to date on the latest discussions in your industry.                No more next content                          Connect with people who can help                              Find people you know                            Learn the skills you need to succeed        Choose a topic to learn aboutBusiness Analysis and Strategy                        1030+ course                      Business Software and Tools                        2100+ courses                      Career Development                        520+ courses                      Customer Service                        190+ courses                      Diversity Equity and Inclusion (DEI)                        250+ courses                      Finance and Accounting                        290+ courses                      Human Resources                        440+ courses                      Leadership and Management                        1550+ course                      Marketing                        890+ courses                      Professional Development                        1480+ course                      Project Management                        440+ courses                      Sales                        280+ courses                      Small Business and Entrepreneurship                        330+ courses                      Training and Education                        290+ courses                      AEC                        1440+ course                      Animation and Illustration                        1720+ course                      Audio and Music                        420+ courses                      Graphic Design                        960+ courses                      Motion Graphics and VFX                        900+ courses                      Photography                        1160+ course                      Product and Manufacturing                        1440+ course                      User Experience                        520+ courses                      Video                        610+ courses                      Visualization and Real-Time                        1310+ course                      Web Design                        530+ courses                      Artificial Intelligence (AI)                        290+ courses                      Cloud Computing                        1280+ course                      Data Science                        1070+ course                      Database Management                        390+ courses                      DevOps                        290+ courses                      IT Help Desk                        340+ courses                      Mobile Development                        480+ courses                      Network and System Administration                        1460+ course                      Security                        830+ courses                      Software Development                        2350+ courses                      Web Development                        1500+ course                                   Who is LinkedIn for?                      Anyone looking to navigate their professional life.                          Find a coworker or classmate                              Find a new job                              Find a course or training                        Join your colleagues classmates and friends on LinkedIn.                                  Get started                                    General                                  Sign Up                                          Help Center                                          About                                          Press                                          Blog                                          Careers                                          Developers                                  Browse LinkedIn                                  Learning                                          Jobs                                          Salary                                          Mobile                                          Services                                          Products                                          Top Companies Hub                                  Business Solutions                                  Talent                                          Marketing                                          Sales                                          Learning                                  Directories                                  Members                                          Jobs                                          Companies                                          Featured                                          Learning                                          Posts                                          Articles                                          Schools                                          News                                          News Letters                                          Services                                          Products                                          Advice                                          People Search                    LinkedIn© 2023                    About                                    Accessibility                                    User Agreement                                    Privacy Policy                                      Your California Privacy Choices                                      Cookie Policy                                    Copyright Policy                                    Brand Policy                                      Guest Controls                                      Community Guidelines                                العربية (Arabic)                            Čeština (Czech)                            Dansk (Danish)                            Deutsch (German)            English (English)                Español (Spanish)                            Français (French)                            हिंदी (Hindi)                            Bahasa Indonesia (Indonesian)                            Italiano (Italian)                            日本語 (Japanese)                            한국어 (Korean)                            Bahasa Malaysia (Malay)                            Nederlands (Dutch)                            Norsk (Norwegian)                            Polski (Polish)                            Português (Portuguese)                            Română (Romanian)                            Русский (Russian)                            Svenska (Swedish)                            ภาษาไทย (Thai)                            Tagalog (Tagalog)                            Türkçe (Turkish)                            Українська (Ukrainian)                            简体中文 (Chinese (Simplified))                            正體中文 (Chinese (Traditional))                        Language</v>
      </c>
    </row>
    <row r="919">
      <c r="A919" s="1" t="s">
        <v>2919</v>
      </c>
      <c r="B919" s="1" t="s">
        <v>2976</v>
      </c>
      <c r="D919" s="1">
        <v>16.0</v>
      </c>
      <c r="E919" s="4" t="s">
        <v>2977</v>
      </c>
      <c r="F919" s="1" t="s">
        <v>43</v>
      </c>
      <c r="G919" s="1" t="s">
        <v>302</v>
      </c>
      <c r="H919" s="4" t="s">
        <v>303</v>
      </c>
      <c r="I919" s="2">
        <v>2.0</v>
      </c>
      <c r="J919" s="5" t="str">
        <f>IFERROR(__xludf.DUMMYFUNCTION("GOOGLETRANSLATE(A919)"),"telegram")</f>
        <v>telegram</v>
      </c>
      <c r="K919" s="6" t="str">
        <f>IFERROR(__xludf.DUMMYFUNCTION("GOOGLETRANSLATE(B919)"),"Telegram business: XXI Channel - the result from Google Book")</f>
        <v>Telegram business: XXI Channel - the result from Google Book</v>
      </c>
      <c r="L919" s="5" t="str">
        <f>IFERROR(__xludf.DUMMYFUNCTION("GOOGLETRANSLATE(C919)"),"#VALUE!")</f>
        <v>#VALUE!</v>
      </c>
      <c r="M919" s="5" t="str">
        <f>IFERROR(__xludf.DUMMYFUNCTION("GOOGLETRANSLATE(G919)"),"Google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920">
      <c r="A920" s="1" t="s">
        <v>2919</v>
      </c>
      <c r="B920" s="1" t="s">
        <v>2978</v>
      </c>
      <c r="D920" s="1">
        <v>17.0</v>
      </c>
      <c r="E920" s="4" t="s">
        <v>2979</v>
      </c>
      <c r="F920" s="1" t="s">
        <v>43</v>
      </c>
      <c r="G920" s="1" t="s">
        <v>2980</v>
      </c>
      <c r="H920" s="4" t="s">
        <v>2981</v>
      </c>
      <c r="I920" s="2">
        <v>3.0</v>
      </c>
      <c r="J920" s="5" t="str">
        <f>IFERROR(__xludf.DUMMYFUNCTION("GOOGLETRANSLATE(A920)"),"telegram")</f>
        <v>telegram</v>
      </c>
      <c r="K920" s="6" t="str">
        <f>IFERROR(__xludf.DUMMYFUNCTION("GOOGLETRANSLATE(B920)"),"George Kennan's ""Long Telegram""")</f>
        <v>George Kennan's "Long Telegram"</v>
      </c>
      <c r="L920" s="5" t="str">
        <f>IFERROR(__xludf.DUMMYFUNCTION("GOOGLETRANSLATE(C920)"),"#VALUE!")</f>
        <v>#VALUE!</v>
      </c>
      <c r="M920" s="5" t="str">
        <f>IFERROR(__xludf.DUMMYFUNCTION("GOOGLETRANSLATE(G920)"),"The National Security Archive   aboutdocumentsnewspublicationsFOIAresearchemploymentsearchdonatemailing listDNSAрусская страницаAttention!You have reached the National Security Archive�s legacy  site last updated in August  2017.	  All postings and public"&amp;"ations prior to that date will be permanently available here.	  To reach the Archive�s new site click here.New PostingsAugust 8 20171953 Iran Coup: New U.S. Documents Confirm British Approached U.S. in Late 1952 About Ousting Mosaddeq            State Dep"&amp;"artment Temporarily Declined in Part Because U.S. Was Still Hoping to Reach Oil Deal with Iranian Prime MinisterAugust 7 2017The Atomic Bomb and the End of World War II             Updated 7 August 2017 with two extra documents [Documents 91 and 96] on Tr"&amp;"uman and the atomic bombingsJuly 20 2017The Murrey Marder Papers at the National Security Archive             Legendary Washington Post Correspondent Faced Down Joe McCarthy Popularized the Term �Credibility Gap�July 17 2017Judge Orders Sep. 8 Deadline fo"&amp;"r Mar-a-Lago Visitor Records Release             White House Records Still at Issue in Doyle v. DHSJune 15 2017Iran 1953: State Department Finally Releases Updated Official History of Mosaddeq Coup Formerly Secret Documents from State CIA Provide New Info"&amp;"rmation about Covert Operations Planning and Implementation Plus Contemporaneous AnalysesJune 8 2017Japan Plutonium Overhang Origins and Dangers Debated by U.S. Officials            Proliferation Risks of Japanese Plutonium Surpluses Troubled U.S. Officia"&amp;"lsJune 2 2017The White House the CIA and the Pike Committee 1975            Ford Administration Nearly Triggered Constitutional Crisis Over Congressional Access to Intelligence Community RecordsJune 1 2017How Do You Solve a Problem like (South) Korea?    "&amp;"        U.S.-ROK Relations during the Carter Years Faltered over Troop Withdrawals Human Rights an Assassination and a CoupMay 25 2017Anatoly S. Chernyaev Diary 1977Inside the Central Committee during Brezhnev�s stagnationMay 23 2017#WeStandWithCEUThe New"&amp;" York Review of Books Features Full-Page Ad for National Security Archive Publications with CEU Press and ProQuestMay 18 2017Chiquita Papers Are Key Evidence in International Criminal Court FilingGroups Ask ICC to Investigate Banana Company Execs for Faci"&amp;"litating Crimes Against HumanityMay 11 2017Chiquita Papers Document over $800000 in Payments to Colombian GuerrillasInternal Security Reports Detail Negotiations with Subversive GroupsMay 10 2017Hungary 1956: Reviving the Debate over US (In)action during "&amp;"the RevolutionEisenhower�s Caution Broadly Justified Declassified Defense Department Study FindsMay 3 2017Cyber Vault Highlights40+ Primary Sources Every Cyber Student NeedsMay 2 2017Chiquita Papers: Uncertainty Fueled Staff Concerns about Payments of Gue"&amp;"rrillas and ParamilitariesColombia Payments a �Leap of Faith�April 27 2017Trump Continues U.S. Declassified Diplomacy with ArgentinaOperation Condor Considered Expanding into United States and Europe New Records ShowApril 25 2017Agustin Edwards: A Declass"&amp;"ified ObituaryDeclassified CIA White House Documents Reveal Collaboration between Chilean Media Mogul and Highest Level of Nixon AdministrationApril 24 2017The New Chiquita Papers: Secret Testimony and Internal Records Identify Banana Executives who Bankr"&amp;"olled Terror in ColombiaSEC Deposition Transcripts Detail Years of Payments to Colombian Paramilitary Guerrilla GroupsApril 14 2017Trump Hides White House Visitor LogsFalse Claims of National Security/Privacy Risk; 6 Million Obama Visitors Prove Otherwise"&amp;"April 12 2017Stopping Korea from Going Nuclear Part IICanada France U.S. Cooperated to Halt Seoul's AmbitionsApril 10 2017Trump Visitor Logs Subject to FOIA LawsuitArchive Knight Institute CREW File Doyle v. DHS in New York Federal Court More recent items"&amp;"The National Security Archive is an independent non-governmental research institute and library located at The George Washington University in Washington D.C. The Archive collects and publishes declassified documents acquired through the Freedom of Inform"&amp;"ation Act (FOIA). A tax-exempt public charity the Archive receives no U.S. government funding; its budget is supported by publication royalties and donations from foundations and individuals. On March 17 2000 Long Island University named the National Secu"&amp;"rity Archive as winner of a Special George Polk Award for 1999 for ""piercing self-serving veils of government secrecy"" and ""serving as an essential journalistic resource.""National Security Archive Suite 701 Gelman Library The George Washington Univers"&amp;"ity 2130 H Street NW Washington D.C. 20037 Phone: 202/994-7000 Fax: 202/994-7005 nsarchiv@gwu.eduFollow Us Click here to Register for NSArchive Email UpdatesThe Latest From The UNREDACTED BlogIran-U.S. Relations project - completly updatedCyber Vault proj"&amp;"ect (updates every Wednesday)Throwback Archive Postings AVAILABLE NOW""Carnegie Results: The National Security Archive""Explore declassified U.S. government documents photographs and more relating to Area 51 the Cuban Missile Crisis and more in this publi"&amp;"cation of the Carnegie Corporation of New York.Click to viewThe Able Archer 83 SourcebookGenocide Documentation ProjectDigital National Security ArchiveCIA Covert Operations: From Carter to Obama 1977-2010        Explore our newest collection at the Digit"&amp;"al National Security Archive.FreedomInfo.org		News about freedom of information around the world.The Nuclear VaultThe U.S. Discovery of Israel's Secret Nuclear ProjectIsraeli Cover Stories about the Dimona Reactor Dismayed Top Level Officials Who Saw a """&amp;"Clearly Apparent Lack of Candor.""        The Torture ArchiveThe Senate Intelligence Committee Report on Torture Finally Released        Read the Top Ten Torture Documents.      Special ExhibitsThe September 11th Sourcebooks				Primary sources on the War "&amp;"on Terrorismрусская страница	            The National Security Archive's Russian Language PortalArt Before Power				Jenny Holzer Exhibition Showcases Archive's DocumentsThe Cuban Missile Crisis 1962				The 40th AnniversaryNixon Meets Elvis				Documents an"&amp;"d photos from the extraordinary meetingLinksThe Parallel History Project on Cooperative Security (PHP)The Cold War International History ProjectArchive ProjectsAfghanistan/Taliban ProjectBrazil ProjectChile Documentation ProjectChina Documentation Project"&amp;"Colombia ProjectCuba ProjectFreedom of Information ProjectGenocide Documentation ProjectGuatemala ProjectHuman Rights Evidence ProgramIntelligence Documentation ProjectIndonesia ProjectIran ProjectIraq War ProjectKorea Documentation ProjectMexico ProjectN"&amp;"uclear Documentation ProjectNunn-Lugar ProjectRussia and Former Soviet Union ProgramSouthern Cone Documentation ProjectTorture ArchiveVietnam Project   about * documents * news * publications * FOIA * research * employment * search * donate * mailing list"&amp;" * DNSA * русская страница * Contents of this website Copyright 1995-2017 National Security Archive. All rights reserved.Terms and conditions for use of materials found on this website.")</f>
        <v>The National Security Archive   aboutdocumentsnewspublicationsFOIAresearchemploymentsearchdonatemailing listDNSAрусская страницаAttention!You have reached the National Security Archive�s legacy  site last updated in August  2017.	  All postings and publications prior to that date will be permanently available here.	  To reach the Archive�s new site click here.New PostingsAugust 8 20171953 Iran Coup: New U.S. Documents Confirm British Approached U.S. in Late 1952 About Ousting Mosaddeq            State Department Temporarily Declined in Part Because U.S. Was Still Hoping to Reach Oil Deal with Iranian Prime MinisterAugust 7 2017The Atomic Bomb and the End of World War II             Updated 7 August 2017 with two extra documents [Documents 91 and 96] on Truman and the atomic bombingsJuly 20 2017The Murrey Marder Papers at the National Security Archive             Legendary Washington Post Correspondent Faced Down Joe McCarthy Popularized the Term �Credibility Gap�July 17 2017Judge Orders Sep. 8 Deadline for Mar-a-Lago Visitor Records Release             White House Records Still at Issue in Doyle v. DHSJune 15 2017Iran 1953: State Department Finally Releases Updated Official History of Mosaddeq Coup Formerly Secret Documents from State CIA Provide New Information about Covert Operations Planning and Implementation Plus Contemporaneous AnalysesJune 8 2017Japan Plutonium Overhang Origins and Dangers Debated by U.S. Officials            Proliferation Risks of Japanese Plutonium Surpluses Troubled U.S. OfficialsJune 2 2017The White House the CIA and the Pike Committee 1975            Ford Administration Nearly Triggered Constitutional Crisis Over Congressional Access to Intelligence Community RecordsJune 1 2017How Do You Solve a Problem like (South) Korea?            U.S.-ROK Relations during the Carter Years Faltered over Troop Withdrawals Human Rights an Assassination and a CoupMay 25 2017Anatoly S. Chernyaev Diary 1977Inside the Central Committee during Brezhnev�s stagnationMay 23 2017#WeStandWithCEUThe New York Review of Books Features Full-Page Ad for National Security Archive Publications with CEU Press and ProQuestMay 18 2017Chiquita Papers Are Key Evidence in International Criminal Court FilingGroups Ask ICC to Investigate Banana Company Execs for Facilitating Crimes Against HumanityMay 11 2017Chiquita Papers Document over $800000 in Payments to Colombian GuerrillasInternal Security Reports Detail Negotiations with Subversive GroupsMay 10 2017Hungary 1956: Reviving the Debate over US (In)action during the RevolutionEisenhower�s Caution Broadly Justified Declassified Defense Department Study FindsMay 3 2017Cyber Vault Highlights40+ Primary Sources Every Cyber Student NeedsMay 2 2017Chiquita Papers: Uncertainty Fueled Staff Concerns about Payments of Guerrillas and ParamilitariesColombia Payments a �Leap of Faith�April 27 2017Trump Continues U.S. Declassified Diplomacy with ArgentinaOperation Condor Considered Expanding into United States and Europe New Records ShowApril 25 2017Agustin Edwards: A Declassified ObituaryDeclassified CIA White House Documents Reveal Collaboration between Chilean Media Mogul and Highest Level of Nixon AdministrationApril 24 2017The New Chiquita Papers: Secret Testimony and Internal Records Identify Banana Executives who Bankrolled Terror in ColombiaSEC Deposition Transcripts Detail Years of Payments to Colombian Paramilitary Guerrilla GroupsApril 14 2017Trump Hides White House Visitor LogsFalse Claims of National Security/Privacy Risk; 6 Million Obama Visitors Prove OtherwiseApril 12 2017Stopping Korea from Going Nuclear Part IICanada France U.S. Cooperated to Halt Seoul's AmbitionsApril 10 2017Trump Visitor Logs Subject to FOIA LawsuitArchive Knight Institute CREW File Doyle v. DHS in New York Federal Court More recent itemsThe National Security Archive is an independent non-governmental research institute and library located at The George Washington University in Washington D.C. The Archive collects and publishes declassified documents acquired through the Freedom of Information Act (FOIA). A tax-exempt public charity the Archive receives no U.S. government funding; its budget is supported by publication royalties and donations from foundations and individuals. On March 17 2000 Long Island University named the National Security Archive as winner of a Special George Polk Award for 1999 for "piercing self-serving veils of government secrecy" and "serving as an essential journalistic resource."National Security Archive Suite 701 Gelman Library The George Washington University 2130 H Street NW Washington D.C. 20037 Phone: 202/994-7000 Fax: 202/994-7005 nsarchiv@gwu.eduFollow Us Click here to Register for NSArchive Email UpdatesThe Latest From The UNREDACTED BlogIran-U.S. Relations project - completly updatedCyber Vault project (updates every Wednesday)Throwback Archive Postings AVAILABLE NOW"Carnegie Results: The National Security Archive"Explore declassified U.S. government documents photographs and more relating to Area 51 the Cuban Missile Crisis and more in this publication of the Carnegie Corporation of New York.Click to viewThe Able Archer 83 SourcebookGenocide Documentation ProjectDigital National Security ArchiveCIA Covert Operations: From Carter to Obama 1977-2010        Explore our newest collection at the Digital National Security Archive.FreedomInfo.org		News about freedom of information around the world.The Nuclear VaultThe U.S. Discovery of Israel's Secret Nuclear ProjectIsraeli Cover Stories about the Dimona Reactor Dismayed Top Level Officials Who Saw a "Clearly Apparent Lack of Candor."        The Torture ArchiveThe Senate Intelligence Committee Report on Torture Finally Released        Read the Top Ten Torture Documents.      Special ExhibitsThe September 11th Sourcebooks				Primary sources on the War on Terrorismрусская страница	            The National Security Archive's Russian Language PortalArt Before Power				Jenny Holzer Exhibition Showcases Archive's DocumentsThe Cuban Missile Crisis 1962				The 40th AnniversaryNixon Meets Elvis				Documents and photos from the extraordinary meetingLinksThe Parallel History Project on Cooperative Security (PHP)The Cold War International History ProjectArchive ProjectsAfghanistan/Taliban ProjectBrazil ProjectChile Documentation ProjectChina Documentation ProjectColombia ProjectCuba ProjectFreedom of Information ProjectGenocide Documentation ProjectGuatemala ProjectHuman Rights Evidence ProgramIntelligence Documentation ProjectIndonesia ProjectIran ProjectIraq War ProjectKorea Documentation ProjectMexico ProjectNuclear Documentation ProjectNunn-Lugar ProjectRussia and Former Soviet Union ProgramSouthern Cone Documentation ProjectTorture ArchiveVietnam Project   about * documents * news * publications * FOIA * research * employment * search * donate * mailing list * DNSA * русская страница * Contents of this website Copyright 1995-2017 National Security Archive. All rights reserved.Terms and conditions for use of materials found on this website.</v>
      </c>
    </row>
    <row r="921">
      <c r="A921" s="1" t="s">
        <v>2982</v>
      </c>
      <c r="B921" s="1" t="s">
        <v>2983</v>
      </c>
      <c r="D921" s="1">
        <v>1.0</v>
      </c>
      <c r="E921" s="4" t="s">
        <v>2984</v>
      </c>
      <c r="F921" s="1" t="s">
        <v>16</v>
      </c>
      <c r="G921" s="1" t="s">
        <v>336</v>
      </c>
      <c r="H921" s="4" t="s">
        <v>337</v>
      </c>
      <c r="I921" s="2">
        <v>3.0</v>
      </c>
      <c r="J921" s="5" t="str">
        <f>IFERROR(__xludf.DUMMYFUNCTION("GOOGLETRANSLATE(A921)"),"Cheburashka")</f>
        <v>Cheburashka</v>
      </c>
      <c r="K921" s="6" t="str">
        <f>IFERROR(__xludf.DUMMYFUNCTION("GOOGLETRANSLATE(B921)"),"Cheburashka, 2022 - Kinopoisk")</f>
        <v>Cheburashka, 2022 - Kinopoisk</v>
      </c>
      <c r="L921" s="5" t="str">
        <f>IFERROR(__xludf.DUMMYFUNCTION("GOOGLETRANSLATE(C921)"),"#VALUE!")</f>
        <v>#VALUE!</v>
      </c>
      <c r="M921" s="5" t="str">
        <f>IFERROR(__xludf.DUMMYFUNCTION("GOOGLETRANSLATE(G921)"),"Oh!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922">
      <c r="A922" s="1" t="s">
        <v>2982</v>
      </c>
      <c r="B922" s="1" t="s">
        <v>2985</v>
      </c>
      <c r="C922" s="1" t="s">
        <v>2986</v>
      </c>
      <c r="D922" s="1">
        <v>2.0</v>
      </c>
      <c r="E922" s="4" t="s">
        <v>2987</v>
      </c>
      <c r="F922" s="1" t="s">
        <v>16</v>
      </c>
      <c r="G922" s="1" t="s">
        <v>31</v>
      </c>
      <c r="H922" s="4" t="s">
        <v>32</v>
      </c>
      <c r="I922" s="2">
        <v>1.0</v>
      </c>
      <c r="J922" s="5" t="str">
        <f>IFERROR(__xludf.DUMMYFUNCTION("GOOGLETRANSLATE(A922)"),"Cheburashka")</f>
        <v>Cheburashka</v>
      </c>
      <c r="K922" s="6" t="str">
        <f>IFERROR(__xludf.DUMMYFUNCTION("GOOGLETRANSLATE(B922)"),"Cheburashka - Wikipedia")</f>
        <v>Cheburashka - Wikipedia</v>
      </c>
      <c r="L922" s="5" t="str">
        <f>IFERROR(__xludf.DUMMYFUNCTION("GOOGLETRANSLATE(C922)"),"Cheburashka is a character invented by writer Eduard Uspensky in 1966 as one of the main characters of the book Crocodile Gena and his friends and her continuation.")</f>
        <v>Cheburashka is a character invented by writer Eduard Uspensky in 1966 as one of the main characters of the book Crocodile Gena and his friends and her continuation.</v>
      </c>
      <c r="M922" s="5" t="str">
        <f>IFERROR(__xludf.DUMMYFUNCTION("GOOGLETRANSLATE(G922)"),"Wikipedia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23">
      <c r="A923" s="1" t="s">
        <v>2982</v>
      </c>
      <c r="B923" s="1" t="s">
        <v>2988</v>
      </c>
      <c r="C923" s="1" t="s">
        <v>2989</v>
      </c>
      <c r="D923" s="1">
        <v>3.0</v>
      </c>
      <c r="E923" s="4" t="s">
        <v>2990</v>
      </c>
      <c r="F923" s="1" t="s">
        <v>16</v>
      </c>
      <c r="G923" s="1" t="s">
        <v>31</v>
      </c>
      <c r="H923" s="4" t="s">
        <v>32</v>
      </c>
      <c r="I923" s="2">
        <v>1.0</v>
      </c>
      <c r="J923" s="5" t="str">
        <f>IFERROR(__xludf.DUMMYFUNCTION("GOOGLETRANSLATE(A923)"),"Cheburashka")</f>
        <v>Cheburashka</v>
      </c>
      <c r="K923" s="6" t="str">
        <f>IFERROR(__xludf.DUMMYFUNCTION("GOOGLETRANSLATE(B923)"),"Cheburashka (film) - Wikipedia")</f>
        <v>Cheburashka (film) - Wikipedia</v>
      </c>
      <c r="L923" s="5" t="str">
        <f>IFERROR(__xludf.DUMMYFUNCTION("GOOGLETRANSLATE(C923)"),"“Cheburashka” is a Russian family comedy film of 2022 directed by Dmitry Dyachenko about a cunning animal named Cheburashka. The film is not ...")</f>
        <v>“Cheburashka” is a Russian family comedy film of 2022 directed by Dmitry Dyachenko about a cunning animal named Cheburashka. The film is not ...</v>
      </c>
      <c r="M923" s="5" t="str">
        <f>IFERROR(__xludf.DUMMYFUNCTION("GOOGLETRANSLATE(G923)"),"Wikipedia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24">
      <c r="A924" s="1" t="s">
        <v>2982</v>
      </c>
      <c r="B924" s="1" t="s">
        <v>2991</v>
      </c>
      <c r="C924" s="1" t="s">
        <v>2992</v>
      </c>
      <c r="D924" s="1">
        <v>4.0</v>
      </c>
      <c r="E924" s="4" t="s">
        <v>2993</v>
      </c>
      <c r="F924" s="1" t="s">
        <v>16</v>
      </c>
      <c r="G924" s="1" t="s">
        <v>344</v>
      </c>
      <c r="H924" s="4" t="s">
        <v>345</v>
      </c>
      <c r="I924" s="2">
        <v>3.0</v>
      </c>
      <c r="J924" s="5" t="str">
        <f>IFERROR(__xludf.DUMMYFUNCTION("GOOGLETRANSLATE(A924)"),"Cheburashka")</f>
        <v>Cheburashka</v>
      </c>
      <c r="K924" s="6" t="str">
        <f>IFERROR(__xludf.DUMMYFUNCTION("GOOGLETRANSLATE(B924)"),"Cheburashka (movie 2023) watch online - Ivy")</f>
        <v>Cheburashka (movie 2023) watch online - Ivy</v>
      </c>
      <c r="L924" s="5" t="str">
        <f>IFERROR(__xludf.DUMMYFUNCTION("GOOGLETRANSLATE(C924)"),"Film Cheburashka (2023) can be viewed in the Ivi online cinema! Exciting Cheburashka movie is available in good quality for viewing on all platforms ...")</f>
        <v>Film Cheburashka (2023) can be viewed in the Ivi online cinema! Exciting Cheburashka movie is available in good quality for viewing on all platforms ...</v>
      </c>
      <c r="M924" s="5" t="str">
        <f>IFERROR(__xludf.DUMMYFUNCTION("GOOGLETRANSLATE(G924)"),"IVI online cinema - films TV shows and cartoons watch online for free in good quality Ivivable Ivyvyvyanryarthaiarthausbiography Bades -Western -Westernate of the whole family of children of the children -democraticatrofycriminalmic -dimensional dimension"&amp;"s The North -Building Summer Soviet Delights of 2023 Fi films of 2022 Fuel Fuels 2021 2020 Features of 2020 Cleaning Veriatsivi. Routing Twitting, to see the films in the HDDs Subscribe on Smarttvserialyzhanybiosynynynetetetextives of the entire family of"&amp;" children Nyekhriminalmedicinemicemic dramatic adoptional -moman -mantic fantastic phynthintic -Russian -American -American -American -Twen -Summarias of 2023 Saemes of 2022 2021 Saems of 2020, Redinovyvi. Raittensurials In HDDs on Smarttvmultfiltfiltyzha"&amp;"nryanimoboevikodetal, adults of the whole family of children of children from the Children's -SamadiyuzyzyzyziklovyzyklovsikhoriahprospentiStestesistanistStesistanist -Russian -Russian -Trammults 2023 years of 2021 2021 years 2020 The years in the ONIMUMU"&amp;"LTICS in HD, in the HDTV, at the Smarttvpiwatch, take a subscription to the subscription-willcracials of the Iviteoria large money, the nyxygovy girlfriend Ivilada Goldni that the first counterclaims of the steam of the unclean digers (2019) gymnast-call "&amp;"does not happen. noah ""cranes"" exclusive I can’t Ivikho Ivikho Ivikho Ivikho I can’t go to the difficulty of the relationship of the North-Emerine Severini Emericial Heart! A brief course of a happy life-groomed cell (2013) Russian Gorcioline Kinoter Iv"&amp;"i: films in good quality always bring real pleasure to you to refuse to watch an interesting film due to the fact that it was shown in an uncomfortable time? Did you have to look for movies online on the Internet where to watch movies? And to argue with h"&amp;"ome because of the choice of movies for viewing on TV? All these problems remained in the past! Open for yourself movies online in HD quality with Ivi cinema. We do not just free you from the need to go to the cinema or study the television program-visito"&amp;"rs to our resource have much more opportunities. IVIONLINA-Kinotar-this is the largest collection of domestic and foreign films in Runet. Our video text has more than 30 thousand films and videos available for watching online and is constantly updated. Th"&amp;"e online cinema IVI.TV is: the first video service in Russia that allows you to watch movies online in good quality; The ability to postpone watching a movie for a while or start watching a movie online from any moment; Convenient search for films: by the"&amp;" name of the year of production of production or genre; Online films to watch which are not required to install video players or look for codecs; Regularly we add to the site the latest comedies the best films-adventures fighters Films of horror thrillers"&amp;" and historical dramas. Return for yourself the opportunity to watch movies online in excellent quality with the Ivy cinema! Make sure that watching online is simply and convenient! Adventures of a spray-pipe returns unnecessary people calendar MA (s) pap"&amp;"a-Vujnogenda Orlendi Pioneer 3. Hello adult life! Films about real lovers of strict-grains of ae-grader: a new turning point in the exchange of love. Only for adults 30 dates, there are a bitter-Russian multi-part melodrama of memory of the Memory and Mar"&amp;"garitagornical ALSALISA ALLECTION I know your secrets on the Kubaniton Mission Detective Military Militical Militical Films with a High Route of Subscription Series in the Subscription of the NASU SUB Ending Information for partnerships of an advertising "&amp;"agreement of the confidentiality policy of IVI, letters of recommendation are used technologies of the discretion of Ivi and something new films of the science Certificate Care Films TV shows and cartoons without advertising loads BAPP Stores is inGoogle "&amp;"Play, View devices")</f>
        <v>IVI online cinema - films TV shows and cartoons watch online for free in good quality Ivivable Ivyvyvyanryarthaiarthausbiography Bades -Western -Westernate of the whole family of children of the children -democraticatrofycriminalmic -dimensional dimensions The North -Building Summer Soviet Delights of 2023 Fi films of 2022 Fuel Fuels 2021 2020 Features of 2020 Cleaning Veriatsivi. Routing Twitting, to see the films in the HDDs Subscribe on Smarttvserialyzhanybiosynynynetetetextives of the entire family of children Nyekhriminalmedicinemicemic dramatic adoptional -moman -mantic fantastic phynthintic -Russian -American -American -American -Twen -Summarias of 2023 Saemes of 2022 2021 Saems of 2020, Redinovyvi. Raittensurials In HDDs on Smarttvmultfiltfiltyzhanryanimoboevikodetal, adults of the whole family of children of children from the Children's -SamadiyuzyzyzyziklovyzyklovsikhoriahprospentiStestesistanistStesistanist -Russian -Russian -Trammults 2023 years of 2021 2021 years 2020 The years in the ONIMUMULTICS in HD, in the HDTV, at the Smarttvpiwatch, take a subscription to the subscription-willcracials of the Iviteoria large money, the nyxygovy girlfriend Ivilada Goldni that the first counterclaims of the steam of the unclean digers (2019) gymnast-call does not happen. noah "cranes" exclusive I can’t Ivikho Ivikho Ivikho Ivikho I can’t go to the difficulty of the relationship of the North-Emerine Severini Emericial Heart! A brief course of a happy life-groomed cell (2013) Russian Gorcioline Kinoter Ivi: films in good quality always bring real pleasure to you to refuse to watch an interesting film due to the fact that it was shown in an uncomfortable time? Did you have to look for movies online on the Internet where to watch movies? And to argue with home because of the choice of movies for viewing on TV? All these problems remained in the past! Open for yourself movies online in HD quality with Ivi cinema. We do not just free you from the need to go to the cinema or study the television program-visitors to our resource have much more opportunities. IVIONLINA-Kinotar-this is the largest collection of domestic and foreign films in Runet. Our video text has more than 30 thousand films and videos available for watching online and is constantly updated. The online cinema IVI.TV is: the first video service in Russia that allows you to watch movies online in good quality; The ability to postpone watching a movie for a while or start watching a movie online from any moment; Convenient search for films: by the name of the year of production of production or genre; Online films to watch which are not required to install video players or look for codecs; Regularly we add to the site the latest comedies the best films-adventures fighters Films of horror thrillers and historical dramas. Return for yourself the opportunity to watch movies online in excellent quality with the Ivy cinema! Make sure that watching online is simply and convenient! Adventures of a spray-pipe returns unnecessary people calendar MA (s) papa-Vujnogenda Orlendi Pioneer 3. Hello adult life! Films about real lovers of strict-grains of ae-grader: a new turning point in the exchange of love. Only for adults 30 dates, there are a bitter-Russian multi-part melodrama of memory of the Memory and Margaritagornical ALSALISA ALLECTION I know your secrets on the Kubaniton Mission Detective Military Militical Militical Films with a High Route of Subscription Series in the Subscription of the NASU SUB Ending Information for partnerships of an advertising agreement of the confidentiality policy of IVI, letters of recommendation are used technologies of the discretion of Ivi and something new films of the science Certificate Care Films TV shows and cartoons without advertising loads BAPP Stores is inGoogle Play, View devices</v>
      </c>
    </row>
    <row r="925">
      <c r="A925" s="1" t="s">
        <v>2982</v>
      </c>
      <c r="B925" s="1" t="s">
        <v>2994</v>
      </c>
      <c r="C925" s="1" t="s">
        <v>2995</v>
      </c>
      <c r="D925" s="1">
        <v>3.0</v>
      </c>
      <c r="E925" s="4" t="s">
        <v>2996</v>
      </c>
      <c r="F925" s="1" t="s">
        <v>43</v>
      </c>
      <c r="G925" s="1" t="s">
        <v>364</v>
      </c>
      <c r="H925" s="4" t="s">
        <v>365</v>
      </c>
      <c r="I925" s="2">
        <v>1.0</v>
      </c>
      <c r="J925" s="5" t="str">
        <f>IFERROR(__xludf.DUMMYFUNCTION("GOOGLETRANSLATE(A925)"),"Cheburashka")</f>
        <v>Cheburashka</v>
      </c>
      <c r="K925" s="6" t="str">
        <f>IFERROR(__xludf.DUMMYFUNCTION("GOOGLETRANSLATE(B925)"),"Film Cheburashka (Russia, 2022) watch online - Afisha.ru")</f>
        <v>Film Cheburashka (Russia, 2022) watch online - Afisha.ru</v>
      </c>
      <c r="L925" s="5" t="str">
        <f>IFERROR(__xludf.DUMMYFUNCTION("GOOGLETRANSLATE(C925)"),"According to the plot, Cheburashka enters a small town by the sea, where he meets Gena, a boy who does not know how to speak, a strange woman who wants to buy him for ...")</f>
        <v>According to the plot, Cheburashka enters a small town by the sea, where he meets Gena, a boy who does not know how to speak, a strange woman who wants to buy him for ...</v>
      </c>
      <c r="M925" s="5" t="str">
        <f>IFERROR(__xludf.DUMMYFUNCTION("GOOGLETRANSLATE(G925)"),"Афиша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202"&amp;"3 - январь 2024 МДМОт 900 ₽концертВивальди. The times of the year -Yabr 2023 - April 2024 House of Kinoot 1400 ₽6.1 Filmicatriye will be in 96 cinemas to buy a ticket -portable event of Khorkin. Show Duel November 19 at 18:00 Palace of gymnastics Irina Vi"&amp;"ner-Usmanova 1 1,500 ₽8 Epavkatinkoff City: Andy Warhol and Russian art on February 18 Jewish museum to buy a ticketfilmsindromid in 136 cinemas to the Ticketscription “Griff removed” November Bunker 450 ₽ Makers Moldhilms. Shie Mirrakkatalogi Film -expec"&amp;"ted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amp;"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amp;"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amp;"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amp;"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amp;"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amp;"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"&amp;"центр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animation-30%discord-disk"&amp;"idota Christmas trees25 and 27 The Meridian Cultural Center 400 ₽ Dinagome M-Torpedhockei on November 23 at 19:30 SKRK VTB Arena Arena - The Central Stadium Dynamo named after Yashin from 400 ₽ Dinomo M - Skykhokkey on December 25 at 19:30 SKRK VTB Arena "&amp;"- the Central Stadium Dynamo named after Yashin from 400 ₽ Dinomasm M - CSKAHOKKYAI on December 19 at 19:30 SKRK "" VTB Arena - the Central Stadium Dynamo named after Yashin from 200 ₽ ROPRODINA - Chernomoretorefutbol November 19 at 19:00 Sapsan Arenaafis"&amp;" Restaurantov10 The best restaurants in Moscow according to the version of Whereteat Moscow 202310 “Nature are 150 years old”: Evgeny Reimer about the future of the future and about the future of the future and The new restaurant ""NE"" in the atom pavili"&amp;"on on November 8 is in full swing: where to go to Sochi in November 7 November for a week: Khinkali festival Kazakh delicacies and ethnic firewalls on November7 The best restaurants of the Central Region of Russia according to the Whereteat 20234 Awards w"&amp;"ill be called the best restaurants of the capital of Krasnodar on November3 Sochi Rostov-on-Don and Gelendzhik will be held the festival of southern kitchen-eve-elays of a Syndromrill9.3ot 1100 ₽ Mayakovsky premieres 2023 January 2024 Lenkom Zakharovabori"&amp;"s Sveshnikov. Dreams of Eternity -Writers on January 14 Our artists of the Khatastastophantentesis of Afishavese7.7 Tylepyntlmenyboyevik8.8ot 1000 ₽ Rruxi -tank 2023 - January 2024 Muscovite Musical Theater KDKSKORO in Kinovsovsabiletychacamediyatyabileyb"&amp;"iletikhchik and poultry farmletfilombilets to the dream: once and for all, and for all the time-mercy-hungry, terrible sister-2ocedium collections Afishas are the most convenient way to choose how to conduct a free posting post: the main events of the wee"&amp;"k - you have to sign up the company editorial campaign Contactkitat CardiAfisha Dailypiknik Afishede. Rufisha Close -moving veteranstat. Bilet -picnovicular in terms of questioned issues, 1999–2023 LLC Afisha LLC. All rights reserved. For persons over 18 "&amp;"years old. User Agreement Policy of Confidentiality Rules for the Application of Technologies Azov Almetyevsk Anapa Angarsk Arzamas Armavir Arkhangelsk Astrakhan Achinsk Balashikha Balashikh Bataysk Beloregor Belorechensk Berdsk Bereznishk Blaguruslan Bug"&amp;"ulm Bugulma Buzulm Buzuluk Veliki Velik Verkhnyaya Pyshma Vidden Vladivostok Vladikavkaz Vladimir Volgograd Volgogonsk Volzhsky Vologda Volda Volk Vsevolozhsk Vyborg Gatchina Gornzhik Gorno-Altaysk Grozny Gubkin Gudermes Dzerzhinsk Dimitrovgrad Dmitrov Do"&amp;"lgoprudny Dubomodedovo Dubna Evpatoria Yekaterinburg Yelets Esentuki Zheleznogorsk (Krasnoyarsk) Zhukovsky Zareysk Zarenogorsk Zelenogradsky Zelenogostosvost Ivanovo Ivanovo and Ivanovo Ivanovo Zhevsk Irkutsk Istrim Istra Yoshkar-Ola Kazan Kaliningrad Kal"&amp;"uga Kamensk-Uralsky Kamyshin Kaspiysk Kemerovo Kingisepp Kirishi Kirov Kirovsk Klin Klintsov Kollets Kolpino Kolpino Komsomolsk-on-Amur Kopeysk Korolev Koryazhm Kostroma Krasnodarsk Krasnoyarsk Krasnoyarsk Kubinka Kubinka Kuznetsk Kurgan Kurgan Kursk Life"&amp;"tsk Lomonosov Lomonosovsi Luhmoi Luhmovitsa Ysuva Lytkarino Lyubertsy Magadan Magnitogorsk Maykop Makhachkala Miass Mozhaisk Moscow Murmansk Murmansk Mtsevshchi Naberezhnye Chelnye Nalran Nalchik Naro-Fominsk Nevinnomyssk Nevninome Neftekhugansk Nizhnekam"&amp;"sk Nizhny Novgorod Novolattysk Novomoskovsk Novorossiysk Novosibirsk Novocheboksarsk Novoshakhkhinsk New Urengsk November November SK Nyagan Obninsk Odintsovo Ozersk Oktyabrsky Omsk Orenburg Orekhovo-Zuevo Orsus Orsus Pavlovo Pavlovsky Posad Penza Pervour"&amp;"alsk Perm Peterhof Petrozavodsk Petropavlovsk-Kamchatsk Podolsk Poskopyevsk Pushkin Pushkin Pushkino Ramenskoye Reutov Rustov Rostov-Don Ruzan Ryazan Salavat Salevat Saransk Sevastopol Sevastopol Seversk Seversk Sergiev Sergiyev Sergiyev Sergukhov Sergukh"&amp;"ov Servor Simferopol Smolensk Sokol Solnechnogorsk Sosnovy Bor Sochi Spassk- Far Stavropol Stary Oskol Sterlitamak Stupino Surgut Syzran Taganrog Tagan Tikhvin Togvin Togliatti Tula Tula Tyumen Ulan-Uda Ulyanovsk Ust-Ilymsk Ufa Fryazino Khabarovsk Khaboks"&amp;"iysk Chelabinsk Chelyabinsk Cherkessk Chekhovsky Chi Chikhi Chi Chikha Chita Chita Chita Chita Chita. Elkovo Elestostal Elista Engels Yuzhno-Sakhalinsk Yakutsk Yalta Yaroslavl Selection Afishas Afishikalendar November 13, 2023 November 13, 2023 November 1"&amp;"4, 2023 November 15, 2023 November 16, 2023 November 17, 2023 November 18, 2023 November 19, 2023 November 21, 2023 22, 2023 November 23, 2023 November 25, 2023 27 2023 November 27 November 27 November 27 2023 November 28, 2023 November 29, 2023 November "&amp;"30, 2023 December 1, 2023 December 2, 2023 December 3, 2023 4 December 2023 5 December 2023 December 6, 2023 December 7, 2023 December 9, 2023 December 10, 2023 December 11, 2023 December 12, 2023 13 December 2023 14 December 2023 December 15, 2023 Decemb"&amp;"er 16, 2023 December 17, 2023 December 18, 2023 December 19, 2023 December 20, 2023 December 21, 2023 December 22, 2023 December 23, 2023 December 25, 2023 December 25, 2023 27 2023 27 December 28, 2023 December 29, 2023 December 30, 2023 December 31, 202"&amp;"3 January 1 January 2, 2024 January 3, 2024 January 4, 2024 January 5, 2024 January 6, 2024 January 7, 2024 January 8, 2024 January 924 January 10, 2024 January 11, 2024 January 12, 2024 January 14, 2024 January 15, 2024 January 16 January, January 16, Ja"&amp;"nuary 16 2024 January 17, 2024 January 2024 January 19, 2024 January 2024 January 21, 2024 January 22, 2024 January 23, 2024 January 24, 2024 January 25, 2024 January 26, 2024 January 28, 2024 January 29, 2024 January 30, 2024 January 2024 1 February, 202"&amp;"4 2 February 2024 February 3, 2024 February 4, 2024 February 5, 2024 February 6, 2024 February 7, 2024 February 8, 2024 February 9, 2024 February 10, 2024 February 11, 2024 February 13, 2024 February 14, 2024 February 15, 2024 February 16, 2024 17 Februar"&amp;"y 17, 2024 February 18, 2024 February 19, 2024 February 20, 2024 February 2024 February 22, 2024 February 23, 2024 2424 February 25, 2024 26 February 2024 27 2024 28 February 2024 29, 2024 March 2, 2024 March 3 March 3, 2024 4 March 2024 March 6 March Mar"&amp;"ch 6 March, March 6 March 2024 March 7, 2024 March 8, 2024 March 10 March 2024 March 11, 2024 March 12, 2024 March 13, 2024 March 14, 2024 March 15, 2024 March 16 March 17, 2024 March 18, 2024 March 19 March 2024 March 21, 2024 22 March 2024 23 23 March 2"&amp;"024 March 24, 2024 March 25, 2024 March 26, 2024 March 27, 2024 March 28, 2024 March 29, 2024 March 30, 2024 March 31, 2024 April 2 April 2, 2024 3 April, 2024 April 5, 2024 April 6, 2024 April 7, 2024 April 8, 2024 April 9, 2024 April 11 April 11, 2024 A"&amp;"pril 12, 2024 April 13, 2024 April 14, 2024 April 15, 2024 April 16, 2024 17 April 18, 2024 19 April 1924 April 2024 April 22, 2024 23 23, 2024 24 April 25 April April 25 April 25 2024 April 26 April 27 April 2024 April 28, 2024 April 29, 2024 April 30, 2"&amp;"024 May 1, 2024 May 2 May 2024 May 3, 2024 May 5 May 2024 May 6 May 2024 May 8, 2024 May 9, 2024 May 10 May 2024 11 May 2024 124 124 12 May 2024 May 13, 2024 May 14 May 15, 2024 May 16 May 2024 May 17, 2024 May 18 May 2024 May 19, 2024 May 2024 May 21, 20"&amp;"24 May 22 May 23, 2024 24 May 2024 May 25, 2024 May 27, 2024 28 May 28 May 2024 May 29, May 30, 2024 May 31, 2024 June 1, 2024 June 2, 2024 June 3, 2024 June 4, 2024 June 5, 2024 June 6 June 7, 2024 June 8, 2024 June 924 June 10 June 2024 June 12 June 13,"&amp;" 2024 June 14 June June 14 June 14 2024 June 15, 2024 June 16 June 17, 2024 June 18, 2024 June 19 June 2024 June 20, 2024 June 21, 2024 June 22 June 23, 2024 June 24, 2024 June 25, 2024 June 27, 2024 28 28 June 2024 29 June 2024 June 30, 2024 1 July 2024 "&amp;"July 2 July 3, 2024 July 4 July 5 July 2024 July 6 July 7, 2024 July 8 July 924 July 10 July 2024 July 12 July 13, 2024 July 14, 2024 July 15 July 16 July 17 July 17, 2024 July 18, 2024 July 19 July 2024 July 21, 2024 July 22 July 23, 2024 July 24, 2024 J"&amp;"uly 25, 2024 July 26 July 27, 2024 July 29, 2024 July 30, 2024 31 July, 2024 August 2, 2024 August 3 August 3 2024 August 4, 2024 August 5 August 6, 2024 August 7, 2024 August 8, 2024 August 9, 2024 August 10, 2024 August 11, 2024 August 12, 2024 August 1"&amp;"3, 2024 August 14, 2024 August 16, 2024 August 17 August 17, 2024 August 18, 2024 August 19, 2024 20 August 2024 August 21, 2024 August 22, 2024 August 23, 2024 August 24, 2024 August 25, 2024 26 August 2024 27 August 2024 28 August 29 August 29, 2024 Aug"&amp;"ust 30, 2024 August 1, 2024 September 2, 2024 September 3, 2024 4 September, 2024 September 5, 2024 September 6, 2024 September 7, 2024 on September 8, 2024 September 10, 2024 September 11, 2024 September 12, 2024 September 13, 2024 September 14, 2024 Sep"&amp;"tember 15, 2024 September 17, 2024 September 18, 2024 19 September 19, 2024 September 20, 2024 September 21, 2024 22 September 22 22 2024 September 23, 2024 September 24, 2024 September 25, 2024 on September 26, 2024 on September, 2024 28 September, 2024 "&amp;"29 September 2024 September 30, 2024 1 October 2024 October 2, 2024 October 4, 2024 5 October 2024 October 6, 2024 October 7, 2024 On October 8, 2024 9 October 2024 October 10, 2024 October 11, 2024 October 12, 2024 October 13, 2024 October 14, 2024 Octob"&amp;"er 15, 2024 October 16, 2024 October 17, 2024 October 18, 2024 October 19, 2024 October 2024, 2024 October 22, 2024 23, 2024 October 24, 2024 25 October 25 October 26, 2024 October 27, 2024 October 28, 2024 October 29, 2024 October 30, 2024 on October 202"&amp;"4 November 1, 2024 November 2, 2024 November 3, 2024 November 4, 2024 November 6, 2024 November 7, 2024 November 8, 2024 November 924 November 10 November 11 2024 November December January February March April May June July August September October today "&amp;"Tomorrow Tomorrow Week Weeks of the Months of Children")</f>
        <v>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2023 - январь 2024 МДМОт 900 ₽концертВивальди. The times of the year -Yabr 2023 - April 2024 House of Kinoot 1400 ₽6.1 Filmicatriye will be in 96 cinemas to buy a ticket -portable event of Khorkin. Show Duel November 19 at 18:00 Palace of gymnastics Irina Viner-Usmanova 1 1,500 ₽8 Epavkatinkoff City: Andy Warhol and Russian art on February 18 Jewish museum to buy a ticketfilmsindromid in 136 cinemas to the Ticketscription “Griff removed” November Bunker 450 ₽ Makers Moldhilms. Shie Mirrakkatalogi Film -expected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animation-30%discord-diskidota Christmas trees25 and 27 The Meridian Cultural Center 400 ₽ Dinagome M-Torpedhockei on November 23 at 19:30 SKRK VTB Arena Arena - The Central Stadium Dynamo named after Yashin from 400 ₽ Dinomo M - Skykhokkey on December 25 at 19:30 SKRK VTB Arena - the Central Stadium Dynamo named after Yashin from 400 ₽ Dinomasm M - CSKAHOKKYAI on December 19 at 19:30 SKRK " VTB Arena - the Central Stadium Dynamo named after Yashin from 200 ₽ ROPRODINA - Chernomoretorefutbol November 19 at 19:00 Sapsan Arenaafis Restaurantov10 The best restaurants in Moscow according to the version of Whereteat Moscow 202310 “Nature are 150 years old”: Evgeny Reimer about the future of the future and about the future of the future and The new restaurant "NE" in the atom pavilion on November 8 is in full swing: where to go to Sochi in November 7 November for a week: Khinkali festival Kazakh delicacies and ethnic firewalls on November7 The best restaurants of the Central Region of Russia according to the Whereteat 20234 Awards will be called the best restaurants of the capital of Krasnodar on November3 Sochi Rostov-on-Don and Gelendzhik will be held the festival of southern kitchen-eve-elays of a Syndromrill9.3ot 1100 ₽ Mayakovsky premieres 2023 January 2024 Lenkom Zakharovaboris Sveshnikov. Dreams of Eternity -Writers on January 14 Our artists of the Khatastastophantentesis of Afishavese7.7 Tylepyntlmenyboyevik8.8ot 1000 ₽ Rruxi -tank 2023 - January 2024 Muscovite Musical Theater KDKSKORO in Kinovsovsabiletychacamediyatyabileybiletikhchik and poultry farmletfilombilets to the dream: once and for all, and for all the time-mercy-hungry, terrible sister-2ocedium collections Afishas are the most convenient way to choose how to conduct a free posting post: the main events of the week - you have to sign up the company editorial campaign Contactkitat CardiAfisha Dailypiknik Afishede. Rufisha Close -moving veteranstat. Bilet -picnovicular in terms of questioned issues, 1999–2023 LLC Afisha LLC. All rights reserved. For persons over 18 years old. User Agreement Policy of Confidentiality Rules for the Application of Technologies Azov Almetyevsk Anapa Angarsk Arzamas Armavir Arkhangelsk Astrakhan Achinsk Balashikha Balashikh Bataysk Beloregor Belorechensk Berdsk Bereznishk Blaguruslan Bugulm Bugulma Buzulm Buzuluk Veliki Velik Verkhnyaya Pyshma Vidden Vladivostok Vladikavkaz Vladimir Volgograd Volgogonsk Volzhsky Vologda Volda Volk Vsevolozhsk Vyborg Gatchina Gornzhik Gorno-Altaysk Grozny Gubkin Gudermes Dzerzhinsk Dimitrovgrad Dmitrov Dolgoprudny Dubomodedovo Dubna Evpatoria Yekaterinburg Yelets Esentuki Zheleznogorsk (Krasnoyarsk) Zhukovsky Zareysk Zarenogorsk Zelenogradsky Zelenogostosvost Ivanovo Ivanovo and Ivanovo Ivanovo Zhevsk Irkutsk Istrim Istra Yoshkar-Ola Kazan Kaliningrad Kaluga Kamensk-Uralsky Kamyshin Kaspiysk Kemerovo Kingisepp Kirishi Kirov Kirovsk Klin Klintsov Kollets Kolpino Kolpino Komsomolsk-on-Amur Kopeysk Korolev Koryazhm Kostroma Krasnodarsk Krasnoyarsk Krasnoyarsk Kubinka Kubinka Kuznetsk Kurgan Kurgan Kursk Lifetsk Lomonosov Lomonosovsi Luhmoi Luhmovitsa Ysuva Lytkarino Lyubertsy Magadan Magnitogorsk Maykop Makhachkala Miass Mozhaisk Moscow Murmansk Murmansk Mtsevshchi Naberezhnye Chelnye Nalran Nalchik Naro-Fominsk Nevinnomyssk Nevninome Neftekhugansk Nizhnekamsk Nizhny Novgorod Novolattysk Novomoskovsk Novorossiysk Novosibirsk Novocheboksarsk Novoshakhkhinsk New Urengsk November November SK Nyagan Obninsk Odintsovo Ozersk Oktyabrsky Omsk Orenburg Orekhovo-Zuevo Orsus Orsus Pavlovo Pavlovsky Posad Penza Pervouralsk Perm Peterhof Petrozavodsk Petropavlovsk-Kamchatsk Podolsk Poskopyevsk Pushkin Pushkin Pushkino Ramenskoye Reutov Rustov Rostov-Don Ruzan Ryazan Salavat Salevat Saransk Sevastopol Sevastopol Seversk Seversk Sergiev Sergiyev Sergiyev Sergukhov Sergukhov Servor Simferopol Smolensk Sokol Solnechnogorsk Sosnovy Bor Sochi Spassk- Far Stavropol Stary Oskol Sterlitamak Stupino Surgut Syzran Taganrog Tagan Tikhvin Togvin Togliatti Tula Tula Tyumen Ulan-Uda Ulyanovsk Ust-Ilymsk Ufa Fryazino Khabarovsk Khaboksiysk Chelabinsk Chelyabinsk Cherkessk Chekhovsky Chi Chikhi Chi Chikha Chita Chita Chita Chita Chita. Elkovo Elestostal Elista Engels Yuzhno-Sakhalinsk Yakutsk Yalta Yaroslavl Selection Afishas Afishikalendar November 13, 2023 November 13, 2023 November 14, 2023 November 15, 2023 November 16, 2023 November 17, 2023 November 18, 2023 November 19, 2023 November 21, 2023 22, 2023 November 23, 2023 November 25, 2023 27 2023 November 27 November 27 November 27 2023 November 28, 2023 November 29, 2023 November 30, 2023 December 1, 2023 December 2, 2023 December 3, 2023 4 December 2023 5 December 2023 December 6, 2023 December 7, 2023 December 9, 2023 December 10, 2023 December 11, 2023 December 12, 2023 13 December 2023 14 December 2023 December 15, 2023 December 16, 2023 December 17, 2023 December 18, 2023 December 19, 2023 December 20, 2023 December 21, 2023 December 22, 2023 December 23, 2023 December 25, 2023 December 25, 2023 27 2023 27 December 28, 2023 December 29, 2023 December 30, 2023 December 31, 2023 January 1 January 2, 2024 January 3, 2024 January 4, 2024 January 5, 2024 January 6, 2024 January 7, 2024 January 8, 2024 January 924 January 10, 2024 January 11, 2024 January 12, 2024 January 14, 2024 January 15, 2024 January 16 January, January 16, January 16 2024 January 17, 2024 January 2024 January 19, 2024 January 2024 January 21, 2024 January 22, 2024 January 23, 2024 January 24, 2024 January 25, 2024 January 26, 2024 January 28, 2024 January 29, 2024 January 30, 2024 January 2024 1 February, 2024 2 February 2024 February 3, 2024 February 4, 2024 February 5, 2024 February 6, 2024 February 7, 2024 February 8, 2024 February 9, 2024 February 10, 2024 February 11, 2024 February 13, 2024 February 14, 2024 February 15, 2024 February 16, 2024 17 February 17, 2024 February 18, 2024 February 19, 2024 February 20, 2024 February 2024 February 22, 2024 February 23, 2024 2424 February 25, 2024 26 February 2024 27 2024 28 February 2024 29, 2024 March 2, 2024 March 3 March 3, 2024 4 March 2024 March 6 March March 6 March, March 6 March 2024 March 7, 2024 March 8, 2024 March 10 March 2024 March 11, 2024 March 12, 2024 March 13, 2024 March 14, 2024 March 15, 2024 March 16 March 17, 2024 March 18, 2024 March 19 March 2024 March 21, 2024 22 March 2024 23 23 March 2024 March 24, 2024 March 25, 2024 March 26, 2024 March 27, 2024 March 28, 2024 March 29, 2024 March 30, 2024 March 31, 2024 April 2 April 2, 2024 3 April, 2024 April 5, 2024 April 6, 2024 April 7, 2024 April 8, 2024 April 9, 2024 April 11 April 11, 2024 April 12, 2024 April 13, 2024 April 14, 2024 April 15, 2024 April 16, 2024 17 April 18, 2024 19 April 1924 April 2024 April 22, 2024 23 23, 2024 24 April 25 April April 25 April 25 2024 April 26 April 27 April 2024 April 28, 2024 April 29, 2024 April 30, 2024 May 1, 2024 May 2 May 2024 May 3, 2024 May 5 May 2024 May 6 May 2024 May 8, 2024 May 9, 2024 May 10 May 2024 11 May 2024 124 124 12 May 2024 May 13, 2024 May 14 May 15, 2024 May 16 May 2024 May 17, 2024 May 18 May 2024 May 19, 2024 May 2024 May 21, 2024 May 22 May 23, 2024 24 May 2024 May 25, 2024 May 27, 2024 28 May 28 May 2024 May 29, May 30, 2024 May 31, 2024 June 1, 2024 June 2, 2024 June 3, 2024 June 4, 2024 June 5, 2024 June 6 June 7, 2024 June 8, 2024 June 924 June 10 June 2024 June 12 June 13, 2024 June 14 June June 14 June 14 2024 June 15, 2024 June 16 June 17, 2024 June 18, 2024 June 19 June 2024 June 20, 2024 June 21, 2024 June 22 June 23, 2024 June 24, 2024 June 25, 2024 June 27, 2024 28 28 June 2024 29 June 2024 June 30, 2024 1 July 2024 July 2 July 3, 2024 July 4 July 5 July 2024 July 6 July 7, 2024 July 8 July 924 July 10 July 2024 July 12 July 13, 2024 July 14, 2024 July 15 July 16 July 17 July 17, 2024 July 18, 2024 July 19 July 2024 July 21, 2024 July 22 July 23, 2024 July 24, 2024 July 25, 2024 July 26 July 27, 2024 July 29, 2024 July 30, 2024 31 July, 2024 August 2, 2024 August 3 August 3 2024 August 4, 2024 August 5 August 6, 2024 August 7, 2024 August 8, 2024 August 9, 2024 August 10, 2024 August 11, 2024 August 12, 2024 August 13, 2024 August 14, 2024 August 16, 2024 August 17 August 17, 2024 August 18, 2024 August 19, 2024 20 August 2024 August 21, 2024 August 22, 2024 August 23, 2024 August 24, 2024 August 25, 2024 26 August 2024 27 August 2024 28 August 29 August 29, 2024 August 30, 2024 August 1, 2024 September 2, 2024 September 3, 2024 4 September, 2024 September 5, 2024 September 6, 2024 September 7, 2024 on September 8, 2024 September 10, 2024 September 11, 2024 September 12, 2024 September 13, 2024 September 14, 2024 September 15, 2024 September 17, 2024 September 18, 2024 19 September 19, 2024 September 20, 2024 September 21, 2024 22 September 22 22 2024 September 23, 2024 September 24, 2024 September 25, 2024 on September 26, 2024 on September, 2024 28 September, 2024 29 September 2024 September 30, 2024 1 October 2024 October 2, 2024 October 4, 2024 5 October 2024 October 6, 2024 October 7, 2024 On October 8, 2024 9 October 2024 October 10, 2024 October 11, 2024 October 12, 2024 October 13, 2024 October 14, 2024 October 15, 2024 October 16, 2024 October 17, 2024 October 18, 2024 October 19, 2024 October 2024, 2024 October 22, 2024 23, 2024 October 24, 2024 25 October 25 October 26, 2024 October 27, 2024 October 28, 2024 October 29, 2024 October 30, 2024 on October 2024 November 1, 2024 November 2, 2024 November 3, 2024 November 4, 2024 November 6, 2024 November 7, 2024 November 8, 2024 November 924 November 10 November 11 2024 November December January February March April May June July August September October today Tomorrow Tomorrow Week Weeks of the Months of Children</v>
      </c>
    </row>
    <row r="926">
      <c r="A926" s="1" t="s">
        <v>2982</v>
      </c>
      <c r="B926" s="1" t="s">
        <v>2997</v>
      </c>
      <c r="C926" s="1" t="s">
        <v>2998</v>
      </c>
      <c r="D926" s="1">
        <v>4.0</v>
      </c>
      <c r="E926" s="4" t="s">
        <v>2999</v>
      </c>
      <c r="F926" s="1" t="s">
        <v>43</v>
      </c>
      <c r="I926" s="2">
        <v>1.0</v>
      </c>
      <c r="J926" s="5" t="str">
        <f>IFERROR(__xludf.DUMMYFUNCTION("GOOGLETRANSLATE(A926)"),"Cheburashka")</f>
        <v>Cheburashka</v>
      </c>
      <c r="K926" s="6" t="str">
        <f>IFERROR(__xludf.DUMMYFUNCTION("GOOGLETRANSLATE(B926)"),"Cheburashka watch online - OKKO")</f>
        <v>Cheburashka watch online - OKKO</v>
      </c>
      <c r="L926" s="5" t="str">
        <f>IFERROR(__xludf.DUMMYFUNCTION("GOOGLETRANSLATE(C926)"),"A small eared animal named Cheburashka, due to strong weather, is in a small coastal town right in the possessions of Gennady Petrovich ...")</f>
        <v>A small eared animal named Cheburashka, due to strong weather, is in a small coastal town right in the possessions of Gennady Petrovich ...</v>
      </c>
      <c r="M926" s="5" t="str">
        <f>IFERROR(__xludf.DUMMYFUNCTION("GOOGLETRANSLATE(G926)"),"#VALUE!")</f>
        <v>#VALUE!</v>
      </c>
    </row>
    <row r="927">
      <c r="A927" s="1" t="s">
        <v>2982</v>
      </c>
      <c r="B927" s="1" t="s">
        <v>3000</v>
      </c>
      <c r="C927" s="1" t="s">
        <v>3001</v>
      </c>
      <c r="D927" s="1">
        <v>5.0</v>
      </c>
      <c r="E927" s="4" t="s">
        <v>3002</v>
      </c>
      <c r="F927" s="1" t="s">
        <v>43</v>
      </c>
      <c r="G927" s="1" t="s">
        <v>31</v>
      </c>
      <c r="H927" s="4" t="s">
        <v>32</v>
      </c>
      <c r="I927" s="2">
        <v>1.0</v>
      </c>
      <c r="J927" s="5" t="str">
        <f>IFERROR(__xludf.DUMMYFUNCTION("GOOGLETRANSLATE(A927)"),"Cheburashka")</f>
        <v>Cheburashka</v>
      </c>
      <c r="K927" s="6" t="str">
        <f>IFERROR(__xludf.DUMMYFUNCTION("GOOGLETRANSLATE(B927)"),"Cheburashka (cartoon, 2013) - Wikipedia")</f>
        <v>Cheburashka (cartoon, 2013) - Wikipedia</v>
      </c>
      <c r="L927" s="5" t="str">
        <f>IFERROR(__xludf.DUMMYFUNCTION("GOOGLETRANSLATE(C927)"),"Cheburashka (Jap. チェブラーシカ Tebure: Sika, Rus. “Cheburashka”) - full -length puppet animated film directed by Makoto Nakamura, in Russian ...")</f>
        <v>Cheburashka (Jap. チェブラーシカ Tebure: Sika, Rus. “Cheburashka”) - full -length puppet animated film directed by Makoto Nakamura, in Russian ...</v>
      </c>
      <c r="M927" s="5" t="str">
        <f>IFERROR(__xludf.DUMMYFUNCTION("GOOGLETRANSLATE(G927)"),"Wikipedia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28">
      <c r="A928" s="1" t="s">
        <v>2982</v>
      </c>
      <c r="B928" s="1" t="s">
        <v>3003</v>
      </c>
      <c r="D928" s="1">
        <v>6.0</v>
      </c>
      <c r="E928" s="4" t="s">
        <v>3004</v>
      </c>
      <c r="F928" s="1" t="s">
        <v>43</v>
      </c>
      <c r="G928" s="1" t="s">
        <v>1372</v>
      </c>
      <c r="H928" s="4" t="s">
        <v>1373</v>
      </c>
      <c r="I928" s="2">
        <v>1.0</v>
      </c>
      <c r="J928" s="5" t="str">
        <f>IFERROR(__xludf.DUMMYFUNCTION("GOOGLETRANSLATE(A928)"),"Cheburashka")</f>
        <v>Cheburashka</v>
      </c>
      <c r="K928" s="6" t="str">
        <f>IFERROR(__xludf.DUMMYFUNCTION("GOOGLETRANSLATE(B928)"),"Cheburashka: History of the appearance, creators and quotes of the hero")</f>
        <v>Cheburashka: History of the appearance, creators and quotes of the hero</v>
      </c>
      <c r="L928" s="5" t="str">
        <f>IFERROR(__xludf.DUMMYFUNCTION("GOOGLETRANSLATE(C928)"),"#VALUE!")</f>
        <v>#VALUE!</v>
      </c>
      <c r="M928" s="5" t="str">
        <f>IFERROR(__xludf.DUMMYFUNCTION("GOOGLETRANSLATE(G928)"),"Culture.rf. The portal of the cultural heritage of the traditions of the peoples of Russia Afishapushkinskaya Kartovki -adoption online spectacles of the holidays may like the name of fishing. Artistic crafts of Russia. The names of the 20th century Broad"&amp;"casts of the broadcasting of transformations of the archives of the transmission transactions for translating stroke Squarerings can like the gyeslspetskotvsa special projects of the Kart Cartuced question of the day of the day of the day of the museums o"&amp;"f museums on the map: Virgin forests of comic stations about the movie movie Ty about the movie collection of film Babiography of actors and directors might like the car Museumsuy about museums and collections of the museum -to -house collection of arts o"&amp;"f museum collections of artists and Collectors may like the 5 manor's estates where it is worth visiting autumn musicians about music munsers of online puzzles of musical works and concerting concert halls of musicians and performing collective collective"&amp;" -concerts of the schematic; the birth of a red chapochteravso about the theaters of the theatrical collection about the theaters about the theaters about the theaters about the theaters Tactelaibiography of actors and the director of the theaters may lik"&amp;"e the Khrustal Turandot Crystal Crystal Ball in honor of Inna Churikoviteraturituravo about the literature of classical literature on Russian literature, collections on the literary theme of writers and the critic -bibliotexes of the Russian Russian poetr"&amp;"y may like the Ukrainians are burning: writers who have burned their works on the traditions of Russia's traditions about the traditions of Russia and ritual -religious heritage. MA Cultures and club -to -the -season inherits can appeal to the Suriece of "&amp;"the absurdity and useful architecture about the architecture of the Architecture catalogs about Architecture of the architects of architecturebiography of the architects of the Russian Termminins might like 5 ancient churches of different branches of Chri"&amp;"stian education about the formation of online artists about the art and science of lectures of lectures and public educational institutions tests Testers may like the Soviet legendary -forming artistic associations of Russian artism Zhniki supported each "&amp;"other searched for new styles and rebelled against the classic canons of the day of the day of the day -folklorine The modern language of the Tsar Alexei Mikhailovich is called the Tishahm? Daria Fedosovale of the Portal “Culture.rf” Publication: Ar-Nuvo "&amp;"or Ar-Deco? Guess the architectural style of a photograph of the music about music, poets wrote about the arfs of jazz and the works of Beethoven's publication that “experienced everyone and everyone who had experienced everyone and all ""How"" Red Moscow"&amp;" ""became one of the main Soviet aromatic confronters and lectures by Yuri Temirkanovo listening to the works of Shostakovich Khachaturian and Rachmaninov, a tour: are you versed in the poem? Distinguish the Katren from Verlibra and the pair rhyme - from "&amp;"the ring -sewer in Russia: from folk medicine to curses of the Oblast of Obel. From unclean power and conspiracies for love, Moscow skyscrapers of the beginning of the 20th century were built why they were afraid and when they began to call the cloudrezam"&amp;"ation of a tie: old medicinal diseases treated the amethyst of black peppers and the secret of the gland of the reindeer of Kondraty Ryleylyuboval Lyrics to the emperor and a song about the Yermak in the work of the poet-decibistan riya of one ballet: """&amp;""" Bayader ”as the scenes of the earthquake have disappeared from the performance and what does the“ HPP -2 ”revolutionary -horsemeum have the exhibition“ Cup Cup in the Combine of the Cup. In the direction of Rozanova »On November 10, the Culture of Mosc"&amp;"ow hosts the international exhibition-forum“ Russia ”on November 9, Culture News, the Congress“ Cultural Heritage of Uzbekistan ”-the Foundation of the New Renaissance” On November 8, the Russian Cultiva of the Humanities “Culture around us” is held on th"&amp;"e Russian Cultural News of the Humanities ” On November 7 Culture Culture News Creative Awards 2023, it completes the receipt of applications 3 November Employes interesting exhibitions on November 1 on November 1 Sign up for the newsletter of the Culture"&amp;". Films Lectures Concerts and Playlive15 November November 14:00 ""Museum routes of Russia."" Strategic session November 17: 0010 stories from the ""bad apartment"" Museum Museum Bulgakova on Bolshaya Sadovaya22 November 19: 00 Tyu does not become the Mem"&amp;"oinemkaluga Regional Philharmonic 26 November 19: 00k 150th anniversary of S. Rachmaninov “Opera Alekho” Kaluga Regional Philharmonic November 12: 00 Rhi-Baren-Black Theater Decree 08: 00 Persons “Tales of Naga Nyagans” Nyagansky Theater TR young Viewer N"&amp;"ovember 112 November 07: 00lecting “On the 75th anniversary of the conference on the study of the productive forces of Kuzbass” Department of the history of the Kuzbass State Local Lore Museum November 08:00 “As a Koschey Immortal in Vasilisa” Kansky Dram"&amp;"a Theater Catalogs Zapelovkino1899999999999999676 Handsuits1676 Handsuits 276 Hands 75 lectures of Russia347 mixtmuzia5474 Reviewsliterature722 2245 -placed creative laboratories of Russia, reduced classes for people with disabilities in all Strange Code:"&amp;" works for schoolchildren, book performances and architectural monumental creative laboratories of Russia -ores for people with disabilities throughout the strange code: works for students of the book and architectural monuments of the Project project of "&amp;"traveler: the image of India in the Russian artistan of unexpected miracles nye pearlsprooproterkta The Museum of Music Instruments of different eras is unusual objects and ancient interiors of the Afishalivespetsproektykinukinomazykazykazykazykazykazykaz"&amp;"ykatytotraliterachitecture formation ""Culture.rf"" - a humanitarian educational project dedicated to the culture of Russia. We talk about interesting and significant events and people in the history of literature of the Music of the Theater Music, as wel"&amp;"l as about folk traditions and monuments of our nature in the format of educational articles of interviews of news tests and in any modern Internet format. Culture. All rights are protected by contacts-mail: cultrf@mkrf.ru, the typos? Ctrl+Enterterialpric"&amp;"ation and copying of materials from the portal Active hyperlink is required")</f>
        <v>Culture.rf. The portal of the cultural heritage of the traditions of the peoples of Russia Afishapushkinskaya Kartovki -adoption online spectacles of the holidays may like the name of fishing. Artistic crafts of Russia. The names of the 20th century Broadcasts of the broadcasting of transformations of the archives of the transmission transactions for translating stroke Squarerings can like the gyeslspetskotvsa special projects of the Kart Cartuced question of the day of the day of the day of the museums of museums on the map: Virgin forests of comic stations about the movie movie Ty about the movie collection of film Babiography of actors and directors might like the car Museumsuy about museums and collections of the museum -to -house collection of arts of museum collections of artists and Collectors may like the 5 manor's estates where it is worth visiting autumn musicians about music munsers of online puzzles of musical works and concerting concert halls of musicians and performing collective collective -concerts of the schematic; the birth of a red chapochteravso about the theaters of the theatrical collection about the theaters about the theaters about the theaters about the theaters Tactelaibiography of actors and the director of the theaters may like the Khrustal Turandot Crystal Crystal Ball in honor of Inna Churikoviteraturituravo about the literature of classical literature on Russian literature, collections on the literary theme of writers and the critic -bibliotexes of the Russian Russian poetry may like the Ukrainians are burning: writers who have burned their works on the traditions of Russia's traditions about the traditions of Russia and ritual -religious heritage. MA Cultures and club -to -the -season inherits can appeal to the Suriece of the absurdity and useful architecture about the architecture of the Architecture catalogs about Architecture of the architects of architecturebiography of the architects of the Russian Termminins might like 5 ancient churches of different branches of Christian education about the formation of online artists about the art and science of lectures of lectures and public educational institutions tests Testers may like the Soviet legendary -forming artistic associations of Russian artism Zhniki supported each other searched for new styles and rebelled against the classic canons of the day of the day of the day -folklorine The modern language of the Tsar Alexei Mikhailovich is called the Tishahm? Daria Fedosovale of the Portal “Culture.rf” Publication: Ar-Nuvo or Ar-Deco? Guess the architectural style of a photograph of the music about music, poets wrote about the arfs of jazz and the works of Beethoven's publication that “experienced everyone and everyone who had experienced everyone and all "How" Red Moscow "became one of the main Soviet aromatic confronters and lectures by Yuri Temirkanovo listening to the works of Shostakovich Khachaturian and Rachmaninov, a tour: are you versed in the poem? Distinguish the Katren from Verlibra and the pair rhyme - from the ring -sewer in Russia: from folk medicine to curses of the Oblast of Obel. From unclean power and conspiracies for love, Moscow skyscrapers of the beginning of the 20th century were built why they were afraid and when they began to call the cloudrezamation of a tie: old medicinal diseases treated the amethyst of black peppers and the secret of the gland of the reindeer of Kondraty Ryleylyuboval Lyrics to the emperor and a song about the Yermak in the work of the poet-decibistan riya of one ballet: "" Bayader ”as the scenes of the earthquake have disappeared from the performance and what does the“ HPP -2 ”revolutionary -horsemeum have the exhibition“ Cup Cup in the Combine of the Cup. In the direction of Rozanova »On November 10, the Culture of Moscow hosts the international exhibition-forum“ Russia ”on November 9, Culture News, the Congress“ Cultural Heritage of Uzbekistan ”-the Foundation of the New Renaissance” On November 8, the Russian Cultiva of the Humanities “Culture around us” is held on the Russian Cultural News of the Humanities ” On November 7 Culture Culture News Creative Awards 2023, it completes the receipt of applications 3 November Employes interesting exhibitions on November 1 on November 1 Sign up for the newsletter of the Culture. Films Lectures Concerts and Playlive15 November November 14:00 "Museum routes of Russia." Strategic session November 17: 0010 stories from the "bad apartment" Museum Museum Bulgakova on Bolshaya Sadovaya22 November 19: 00 Tyu does not become the Memoinemkaluga Regional Philharmonic 26 November 19: 00k 150th anniversary of S. Rachmaninov “Opera Alekho” Kaluga Regional Philharmonic November 12: 00 Rhi-Baren-Black Theater Decree 08: 00 Persons “Tales of Naga Nyagans” Nyagansky Theater TR young Viewer November 112 November 07: 00lecting “On the 75th anniversary of the conference on the study of the productive forces of Kuzbass” Department of the history of the Kuzbass State Local Lore Museum November 08:00 “As a Koschey Immortal in Vasilisa” Kansky Drama Theater Catalogs Zapelovkino1899999999999999676 Handsuits1676 Handsuits 276 Hands 75 lectures of Russia347 mixtmuzia5474 Reviewsliterature722 2245 -placed creative laboratories of Russia, reduced classes for people with disabilities in all Strange Code: works for schoolchildren, book performances and architectural monumental creative laboratories of Russia -ores for people with disabilities throughout the strange code: works for students of the book and architectural monuments of the Project project of traveler: the image of India in the Russian artistan of unexpected miracles nye pearlsprooproterkta The Museum of Music Instruments of different eras is unusual objects and ancient interiors of the Afishalivespetsproektykinukinomazykazykazykazykazykazykazykatytotraliterachitecture formation "Culture.rf" - a humanitarian educational project dedicated to the culture of Russia. We talk about interesting and significant events and people in the history of literature of the Music of the Theater Music, as well as about folk traditions and monuments of our nature in the format of educational articles of interviews of news tests and in any modern Internet format. Culture. All rights are protected by contacts-mail: cultrf@mkrf.ru, the typos? Ctrl+Enterterialprication and copying of materials from the portal Active hyperlink is required</v>
      </c>
    </row>
    <row r="929">
      <c r="A929" s="1" t="s">
        <v>2982</v>
      </c>
      <c r="B929" s="1" t="s">
        <v>3005</v>
      </c>
      <c r="C929" s="1" t="s">
        <v>3006</v>
      </c>
      <c r="D929" s="1">
        <v>7.0</v>
      </c>
      <c r="E929" s="4" t="s">
        <v>3007</v>
      </c>
      <c r="F929" s="1" t="s">
        <v>43</v>
      </c>
      <c r="G929" s="1" t="s">
        <v>336</v>
      </c>
      <c r="H929" s="4" t="s">
        <v>337</v>
      </c>
      <c r="I929" s="2">
        <v>2.0</v>
      </c>
      <c r="J929" s="5" t="str">
        <f>IFERROR(__xludf.DUMMYFUNCTION("GOOGLETRANSLATE(A929)"),"Cheburashka")</f>
        <v>Cheburashka</v>
      </c>
      <c r="K929" s="6" t="str">
        <f>IFERROR(__xludf.DUMMYFUNCTION("GOOGLETRANSLATE(B929)"),"Cheburashka, 2013 - Watch the cartoon online in ...")</f>
        <v>Cheburashka, 2013 - Watch the cartoon online in ...</v>
      </c>
      <c r="L929" s="5" t="str">
        <f>IFERROR(__xludf.DUMMYFUNCTION("GOOGLETRANSLATE(C929)"),"The prologue is the story of the appearance of Cheburashka in a oranges box, his acquaintance with the crocodile Gena and the acquisition of friends. ""Cheburashka and circus"" - History about ...")</f>
        <v>The prologue is the story of the appearance of Cheburashka in a oranges box, his acquaintance with the crocodile Gena and the acquisition of friends. "Cheburashka and circus" - History about ...</v>
      </c>
      <c r="M929" s="5" t="str">
        <f>IFERROR(__xludf.DUMMYFUNCTION("GOOGLETRANSLATE(G929)"),"Oh!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930">
      <c r="A930" s="1" t="s">
        <v>2982</v>
      </c>
      <c r="B930" s="1" t="s">
        <v>3008</v>
      </c>
      <c r="C930" s="1" t="s">
        <v>3009</v>
      </c>
      <c r="D930" s="1">
        <v>8.0</v>
      </c>
      <c r="E930" s="4" t="s">
        <v>3010</v>
      </c>
      <c r="F930" s="1" t="s">
        <v>43</v>
      </c>
      <c r="G930" s="1" t="s">
        <v>135</v>
      </c>
      <c r="H930" s="4" t="s">
        <v>136</v>
      </c>
      <c r="I930" s="2">
        <v>2.0</v>
      </c>
      <c r="J930" s="5" t="str">
        <f>IFERROR(__xludf.DUMMYFUNCTION("GOOGLETRANSLATE(A930)"),"Cheburashka")</f>
        <v>Cheburashka</v>
      </c>
      <c r="K930" s="6" t="str">
        <f>IFERROR(__xludf.DUMMYFUNCTION("GOOGLETRANSLATE(B930)"),"Secret ""Cheburashki"": Why is the film with Garmash hits ...")</f>
        <v>Secret "Cheburashki": Why is the film with Garmash hits ...</v>
      </c>
      <c r="L930" s="5" t="str">
        <f>IFERROR(__xludf.DUMMYFUNCTION("GOOGLETRANSLATE(C930)"),"25 Jan. 2023. -")</f>
        <v>25 Jan. 2023. -</v>
      </c>
      <c r="M930" s="5" t="str">
        <f>IFERROR(__xludf.DUMMYFUNCTION("GOOGLETRANSLATE(G930)"),"Forbes.ru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931">
      <c r="A931" s="1" t="s">
        <v>2982</v>
      </c>
      <c r="B931" s="1" t="s">
        <v>3011</v>
      </c>
      <c r="C931" s="1" t="s">
        <v>3012</v>
      </c>
      <c r="D931" s="1">
        <v>9.0</v>
      </c>
      <c r="E931" s="4" t="s">
        <v>3013</v>
      </c>
      <c r="F931" s="1" t="s">
        <v>43</v>
      </c>
      <c r="I931" s="2">
        <v>2.0</v>
      </c>
      <c r="J931" s="5" t="str">
        <f>IFERROR(__xludf.DUMMYFUNCTION("GOOGLETRANSLATE(A931)"),"Cheburashka")</f>
        <v>Cheburashka</v>
      </c>
      <c r="K931" s="6" t="str">
        <f>IFERROR(__xludf.DUMMYFUNCTION("GOOGLETRANSLATE(B931)"),"Where they shot the film ""Cheburashka"". 6 places with photos | RBC Life")</f>
        <v>Where they shot the film "Cheburashka". 6 places with photos | RBC Life</v>
      </c>
      <c r="L931" s="5" t="str">
        <f>IFERROR(__xludf.DUMMYFUNCTION("GOOGLETRANSLATE(C931)"),"June 31. 2023. -")</f>
        <v>June 31. 2023. -</v>
      </c>
      <c r="M931" s="5" t="str">
        <f>IFERROR(__xludf.DUMMYFUNCTION("GOOGLETRANSLATE(G931)"),"#VALUE!")</f>
        <v>#VALUE!</v>
      </c>
    </row>
    <row r="932">
      <c r="A932" s="1" t="s">
        <v>2982</v>
      </c>
      <c r="B932" s="1" t="s">
        <v>3014</v>
      </c>
      <c r="C932" s="1" t="s">
        <v>3015</v>
      </c>
      <c r="D932" s="1">
        <v>10.0</v>
      </c>
      <c r="E932" s="4" t="s">
        <v>3016</v>
      </c>
      <c r="F932" s="1" t="s">
        <v>43</v>
      </c>
      <c r="G932" s="1" t="s">
        <v>3017</v>
      </c>
      <c r="H932" s="4" t="s">
        <v>3018</v>
      </c>
      <c r="I932" s="2">
        <v>3.0</v>
      </c>
      <c r="J932" s="5" t="str">
        <f>IFERROR(__xludf.DUMMYFUNCTION("GOOGLETRANSLATE(A932)"),"Cheburashka")</f>
        <v>Cheburashka</v>
      </c>
      <c r="K932" s="6" t="str">
        <f>IFERROR(__xludf.DUMMYFUNCTION("GOOGLETRANSLATE(B932)"),"Cheburashka | Unionalization Vicky | Fandom")</f>
        <v>Cheburashka | Unionalization Vicky | Fandom</v>
      </c>
      <c r="L932" s="5" t="str">
        <f>IFERROR(__xludf.DUMMYFUNCTION("GOOGLETRANSLATE(C932)"),"Cheburashka is an unknown animal who came to people from the tropics. He is the hero of the series of cartoons ""Soyuzmultfilm"" and one of the main symbols of the studio.")</f>
        <v>Cheburashka is an unknown animal who came to people from the tropics. He is the hero of the series of cartoons "Soyuzmultfilm" and one of the main symbols of the studio.</v>
      </c>
      <c r="M932" s="5" t="str">
        <f>IFERROR(__xludf.DUMMYFUNCTION("GOOGLETRANSLATE(G932)"),"Wiki Index |  | Fandom FANDOM				Fan Central								BETA								Games							Anime							Movies							TV							Video								Wikis												Explore Wikis															Community Central							 				Start a Wiki																We couldn't find an English wi"&amp;"ki at this URL but here are related wikis in other languages																		This is the list of communities under this domain															русский									·									Союзмультфильм вики								Do you want to start the wiki under the domain?													"&amp;"		Create it now								 							Start a Wiki													Check out fandom.com													Fandom University						 Explore properties													Fandom																								Muthead																								Fanatical											Follow Us     Overview								"&amp;"					What is Fandom?																								About																								Careers																								Press																								Contact																								Terms of Use																								Privacy Policy																								Global Sitemap			"&amp;"																					Local Sitemap											Community													Community Central																								Support																								Help																								Do Not Sell or Share My Personal Information											Advertise													Media Kit		"&amp;"																						Contact											Fandom Apps				Take your favorite fandoms with you and never miss a beat.			 is a FANDOM Lifestyle Community.					View Mobile Site")</f>
        <v>Wiki Index |  | Fandom FANDOM				Fan Central								BETA								Games							Anime							Movies							TV							Video								Wikis												Explore Wikis															Community Central							 				Start a Wiki																We couldn't find an English wiki at this URL but here are related wikis in other languages																		This is the list of communities under this domain															русский									·									Союзмультфильм вики								Do you want to start the wiki under the domain?															Create it now								 							Start a Wiki													Check out fandom.com													Fandom University						 Explore properties													Fandom																								Muthead																								Fanatical											Follow Us     Overview													What is Fandom?																								About																								Careers																								Press																								Contact																								Terms of Use																								Privacy Policy																								Global Sitemap																								Local Sitemap											Community													Community Central																								Support																								Help																								Do Not Sell or Share My Personal Information											Advertise													Media Kit																								Contact											Fandom Apps				Take your favorite fandoms with you and never miss a beat.			 is a FANDOM Lifestyle Community.					View Mobile Site</v>
      </c>
    </row>
    <row r="933">
      <c r="A933" s="1" t="s">
        <v>2982</v>
      </c>
      <c r="B933" s="1" t="s">
        <v>3019</v>
      </c>
      <c r="D933" s="1">
        <v>11.0</v>
      </c>
      <c r="E933" s="4" t="s">
        <v>3020</v>
      </c>
      <c r="F933" s="1" t="s">
        <v>43</v>
      </c>
      <c r="G933" s="1" t="s">
        <v>344</v>
      </c>
      <c r="H933" s="4" t="s">
        <v>345</v>
      </c>
      <c r="I933" s="2">
        <v>1.0</v>
      </c>
      <c r="J933" s="5" t="str">
        <f>IFERROR(__xludf.DUMMYFUNCTION("GOOGLETRANSLATE(A933)"),"Cheburashka")</f>
        <v>Cheburashka</v>
      </c>
      <c r="K933" s="6" t="str">
        <f>IFERROR(__xludf.DUMMYFUNCTION("GOOGLETRANSLATE(B933)"),"Cartoon Cheburashka (2013) - Ivy")</f>
        <v>Cartoon Cheburashka (2013) - Ivy</v>
      </c>
      <c r="L933" s="5" t="str">
        <f>IFERROR(__xludf.DUMMYFUNCTION("GOOGLETRANSLATE(C933)"),"#VALUE!")</f>
        <v>#VALUE!</v>
      </c>
      <c r="M933" s="5" t="str">
        <f>IFERROR(__xludf.DUMMYFUNCTION("GOOGLETRANSLATE(G933)"),"IVI online cinema - films TV shows and cartoons watch online for free in good quality Ivivable Ivyvyvyanryarthaiarthausbiography Bades -Western -Westernate of the whole family of children of the children -democraticatrofycriminalmic -dimensional dimension"&amp;"s The North -Building Summer Soviet Delights of 2023 Fi films of 2022 Fuel Fuels 2021 2020 Features of 2020 Cleaning Veriatsivi. Routing Twitting, to see the films in the HDDs Subscribe on Smarttvserialyzhanybiosynynynetetetextives of the entire family of"&amp;" children Nyekhriminalmedicinemicemic dramatic adoptional -moman -mantic fantastic phynthintic -Russian -American -American -American -Twen -Summarias of 2023 Saemes of 2022 2021 Saems of 2020, Redinovyvi. Raittensurials In HDDs on Smarttvmultfiltfiltyzha"&amp;"nryanimoboevikodetal, adults of the whole family of children of children from the Children's -SamadiyuzyzyzyziklovyzyklovsikhoriahprospentiStestesistanistStesistanist -Russian -Russian -Trammults 2023 years of 2021 2021 years 2020 The years in the ONIMUMU"&amp;"LTICS in HD, in the HDTV, at the Smarttvpiwatch, take a subscription to the subscription-willcracials of the Iviteoria large money, the nyxygovy girlfriend Ivilada Goldni that the first counterclaims of the steam of the unclean digers (2019) gymnast-call "&amp;"does not happen. noah ""cranes"" exclusive I can’t Ivikho Ivikho Ivikho Ivikho I can’t go to the difficulty of the relationship of the North-Emerine Severini Emericial Heart! A brief course of a happy life-groomed cell (2013) Russian Gorcioline Kinoter Iv"&amp;"i: films in good quality always bring real pleasure to you to refuse to watch an interesting film due to the fact that it was shown in an uncomfortable time? Did you have to look for movies online on the Internet where to watch movies? And to argue with h"&amp;"ome because of the choice of movies for viewing on TV? All these problems remained in the past! Open for yourself movies online in HD quality with Ivi cinema. We do not just free you from the need to go to the cinema or study the television program-visito"&amp;"rs to our resource have much more opportunities. IVIONLINA-Kinotar-this is the largest collection of domestic and foreign films in Runet. Our video text has more than 30 thousand films and videos available for watching online and is constantly updated. Th"&amp;"e online cinema IVI.TV is: the first video service in Russia that allows you to watch movies online in good quality; The ability to postpone watching a movie for a while or start watching a movie online from any moment; Convenient search for films: by the"&amp;" name of the year of production of production or genre; Online films to watch which are not required to install video players or look for codecs; Regularly we add to the site the latest comedies the best films-adventures fighters Films of horror thrillers"&amp;" and historical dramas. Return for yourself the opportunity to watch movies online in excellent quality with the Ivy cinema! Make sure that watching online is simply and convenient! Adventures of a spray-pipe returns unnecessary people calendar MA (s) pap"&amp;"a-Vujnogenda Orlendi Pioneer 3. Hello adult life! Films about real lovers of strict-grains of ae-grader: a new turning point in the exchange of love. Only for adults 30 dates, there are a bitter-Russian multi-part melodrama of memory of the Memory and Mar"&amp;"garitagornical ALSALISA ALLECTION I know your secrets on the Kubaniton Mission Detective Military Militical Militical Films with a High Route of Subscription Series in the Subscription of the NASU SUB Ending Information for partnerships of an advertising "&amp;"agreement of the confidentiality policy of IVI, letters of recommendation are used technologies of the discretion of Ivi and something new films of the science Certificate Care Films TV shows and cartoons without advertising loads BAPP Stores is inGoogle "&amp;"Play, View devices")</f>
        <v>IVI online cinema - films TV shows and cartoons watch online for free in good quality Ivivable Ivyvyvyanryarthaiarthausbiography Bades -Western -Westernate of the whole family of children of the children -democraticatrofycriminalmic -dimensional dimensions The North -Building Summer Soviet Delights of 2023 Fi films of 2022 Fuel Fuels 2021 2020 Features of 2020 Cleaning Veriatsivi. Routing Twitting, to see the films in the HDDs Subscribe on Smarttvserialyzhanybiosynynynetetetextives of the entire family of children Nyekhriminalmedicinemicemic dramatic adoptional -moman -mantic fantastic phynthintic -Russian -American -American -American -Twen -Summarias of 2023 Saemes of 2022 2021 Saems of 2020, Redinovyvi. Raittensurials In HDDs on Smarttvmultfiltfiltyzhanryanimoboevikodetal, adults of the whole family of children of children from the Children's -SamadiyuzyzyzyziklovyzyklovsikhoriahprospentiStestesistanistStesistanist -Russian -Russian -Trammults 2023 years of 2021 2021 years 2020 The years in the ONIMUMULTICS in HD, in the HDTV, at the Smarttvpiwatch, take a subscription to the subscription-willcracials of the Iviteoria large money, the nyxygovy girlfriend Ivilada Goldni that the first counterclaims of the steam of the unclean digers (2019) gymnast-call does not happen. noah "cranes" exclusive I can’t Ivikho Ivikho Ivikho Ivikho I can’t go to the difficulty of the relationship of the North-Emerine Severini Emericial Heart! A brief course of a happy life-groomed cell (2013) Russian Gorcioline Kinoter Ivi: films in good quality always bring real pleasure to you to refuse to watch an interesting film due to the fact that it was shown in an uncomfortable time? Did you have to look for movies online on the Internet where to watch movies? And to argue with home because of the choice of movies for viewing on TV? All these problems remained in the past! Open for yourself movies online in HD quality with Ivi cinema. We do not just free you from the need to go to the cinema or study the television program-visitors to our resource have much more opportunities. IVIONLINA-Kinotar-this is the largest collection of domestic and foreign films in Runet. Our video text has more than 30 thousand films and videos available for watching online and is constantly updated. The online cinema IVI.TV is: the first video service in Russia that allows you to watch movies online in good quality; The ability to postpone watching a movie for a while or start watching a movie online from any moment; Convenient search for films: by the name of the year of production of production or genre; Online films to watch which are not required to install video players or look for codecs; Regularly we add to the site the latest comedies the best films-adventures fighters Films of horror thrillers and historical dramas. Return for yourself the opportunity to watch movies online in excellent quality with the Ivy cinema! Make sure that watching online is simply and convenient! Adventures of a spray-pipe returns unnecessary people calendar MA (s) papa-Vujnogenda Orlendi Pioneer 3. Hello adult life! Films about real lovers of strict-grains of ae-grader: a new turning point in the exchange of love. Only for adults 30 dates, there are a bitter-Russian multi-part melodrama of memory of the Memory and Margaritagornical ALSALISA ALLECTION I know your secrets on the Kubaniton Mission Detective Military Militical Militical Films with a High Route of Subscription Series in the Subscription of the NASU SUB Ending Information for partnerships of an advertising agreement of the confidentiality policy of IVI, letters of recommendation are used technologies of the discretion of Ivi and something new films of the science Certificate Care Films TV shows and cartoons without advertising loads BAPP Stores is inGoogle Play, View devices</v>
      </c>
    </row>
    <row r="934">
      <c r="A934" s="1" t="s">
        <v>2982</v>
      </c>
      <c r="B934" s="1" t="s">
        <v>3021</v>
      </c>
      <c r="C934" s="1" t="s">
        <v>3022</v>
      </c>
      <c r="D934" s="1">
        <v>12.0</v>
      </c>
      <c r="E934" s="4" t="s">
        <v>3023</v>
      </c>
      <c r="F934" s="1" t="s">
        <v>43</v>
      </c>
      <c r="G934" s="1" t="s">
        <v>487</v>
      </c>
      <c r="H934" s="4" t="s">
        <v>3024</v>
      </c>
      <c r="I934" s="2">
        <v>3.0</v>
      </c>
      <c r="J934" s="5" t="str">
        <f>IFERROR(__xludf.DUMMYFUNCTION("GOOGLETRANSLATE(A934)"),"Cheburashka")</f>
        <v>Cheburashka</v>
      </c>
      <c r="K934" s="6" t="str">
        <f>IFERROR(__xludf.DUMMYFUNCTION("GOOGLETRANSLATE(B934)"),"Cheburashka - Shop our Wide Selection for 2023 - Amazon.com")</f>
        <v>Cheburashka - Shop our Wide Selection for 2023 - Amazon.com</v>
      </c>
      <c r="L934" s="5" t="str">
        <f>IFERROR(__xludf.DUMMYFUNCTION("GOOGLETRANSLATE(C934)"),"The Legendary Soviet brand of Russian Stuffed toy Cheburashka and his friend Crocodile Gena – Sojuzmultfilm ... Only 13 left in stock - order soon.")</f>
        <v>The Legendary Soviet brand of Russian Stuffed toy Cheburashka and his friend Crocodile Gena – Sojuzmultfilm ... Only 13 left in stock - order soon.</v>
      </c>
      <c r="M934" s="5" t="str">
        <f>IFERROR(__xludf.DUMMYFUNCTION("GOOGLETRANSLATE(G934)"),"In order")</f>
        <v>In order</v>
      </c>
    </row>
    <row r="935">
      <c r="A935" s="1" t="s">
        <v>2982</v>
      </c>
      <c r="B935" s="1" t="s">
        <v>3025</v>
      </c>
      <c r="D935" s="1">
        <v>13.0</v>
      </c>
      <c r="E935" s="4" t="s">
        <v>3026</v>
      </c>
      <c r="F935" s="1" t="s">
        <v>43</v>
      </c>
      <c r="G935" s="1" t="s">
        <v>695</v>
      </c>
      <c r="H935" s="4" t="s">
        <v>696</v>
      </c>
      <c r="I935" s="2">
        <v>0.0</v>
      </c>
      <c r="J935" s="5" t="str">
        <f>IFERROR(__xludf.DUMMYFUNCTION("GOOGLETRANSLATE(A935)"),"Cheburashka")</f>
        <v>Cheburashka</v>
      </c>
      <c r="K935" s="6" t="str">
        <f>IFERROR(__xludf.DUMMYFUNCTION("GOOGLETRANSLATE(B935)"),"Cheburashka is a viklivar")</f>
        <v>Cheburashka is a viklivar</v>
      </c>
      <c r="L935" s="5" t="str">
        <f>IFERROR(__xludf.DUMMYFUNCTION("GOOGLETRANSLATE(C935)"),"#VALUE!")</f>
        <v>#VALUE!</v>
      </c>
      <c r="M935" s="5" t="str">
        <f>IFERROR(__xludf.DUMMYFUNCTION("GOOGLETRANSLATE(G935)"),"Wikoslovaryvikylovikar: the title page of viklivarvary to navigate to the search for the Russian viklovardobrot to the Russian vikvar - the multifunctional multilingual dictionary and the thesis in the discussion and replenishment of which everyone can pa"&amp;"rticipate. The word word was opened on May 1, 2004 and now it contains 1,314,06 articles on the words of word -of -word units. Nitsa and phrases of more than 600 languages ​​of the world. You can supplement and improve the already begun articles create ne"&amp;"w ones and also leave requests for the creation of new articles and to add values ​​already begun. If you are not a registered participant, then use an incubator to create articles. At the same time, it is recommended to use the rules for the design of ar"&amp;"ticles and the Vikiwaran reference section as an help. It is also possible to discuss the issues that arise in the partitions of the Page Pages of the discussion also have each article of the category, etc. On vikasososostleki -ketilexographic concept, th"&amp;"e structure of viklovary -based contractions of the design of the articles of literature, the creation of the articles of the articles in the vikwar -participants of the vijacan November 2023: for a month in Russian Skom Wikhoslovare created about 14,300 "&amp;"articles. September 2023: About 12,000 articles were created in the Russian Viklivar. August 2023: about 11,800 articles were created in the Russian Vikylovar. July 2023: about 9400 articles 2023 were created in the Russian Viklivar. : Over a month, about"&amp;" 8,000 articles 1 was created in the Russian Viklivar: the number of articles on the meter on the title page of the viklivar was about 1274 thousand male 2023: about 9300 articles were created in the Russian Viklivar. April 2023: about a month in the Russ"&amp;"ian viklovar created 9500 articles. Spring News Articles · In Russian in the Russian Language of CapteGoria -Sumantic Categories: Abstract relations between the Office of the Economic Affairs of the Evaluations of the Human Light -Human -Loan Grammarmatic"&amp;" Categories: Parts of Subscribing Greetings of the Message of Personnel -Summaries of the Democraticism of the Domestic Grammariystrymic nitramatic categories: described language -described language Logizma-Modkadkadkadkanovybreviator-dumper-and-mammorphh"&amp;"ms and others. Parts of the Slovisure of the Language of Languages ​​by the origin of the category in alphabetical storage of the vaults: Slavic language of the language of the language of the language of the language of the language of the language of th"&amp;"e language of the language Language-guaranic dictionary of the Russian Language of the Russian Language of the Rozausurus more frequent words of various linguists of the dictionary of the vocabulary of the pollutant friends of translator-red-painted word-"&amp;"speaking thematic tables: Abvgdeshezhziyklmnoprstufkhshshchshshchshshchshshchshshchshshchshchyabhazian English Arab-Armenia Armenian Armenia The Bulgarian Bigrethengers Greek Greek Georgian Data of the Data of the Data -Greek Igruck -Iskiylansian Iska -Li"&amp;"ngaisa -Lingaic -Lingaisky Koreki Koreansky Latin Litino Lithuanian Macedonian German -Service -Roseta Palipol Portuguese -Sulfyskoyan Tatar -Tutar -Tutar -Tutar -Firefire -February -Firefire -Februarys Khoratsa -Firefront The EXCHOSSKY ESTRUSPENTO -ESTAR"&amp;"OSKOYSKYASTOSKY YASKOSKYASHSKAYSKY YAVOSHKOVSKYASHICHSKOVSISTOSKY Articles here are written exclusively in Russian. Other languages ​​can be found in the appropriate language sections of Wiktionary: English | Bulgarian | Hungarian | Galician | Greek | Heb"&amp;"rew | Spanish | Italian | Chinese | Korean | Kurdish | Latin | Malagasky | Macedonian | German | Dutch | Polish | Portuguese | Romanian | Turkish | Ukrainian | Finnish | French | Swedish | Esperanto | Japanese spokes for all language sections (English) | "&amp;"General page of the Wiktionary Graduate Projects of the Foundation Vikimediavikipediac-language encyclopediavicemaging Media-fi-ovyloviki-oreginal text-okycitanium-okollectic collection okitatvykino-hungeries and guidelines of vicamine these knowledge of "&amp;"the knowledge of the Vikihi -Medistancubator Vikimedian Language section of the source - https://ru.wiktionary.org/w/index.php?title= Vypysyglivar: the post -staff_oldid=13217579 The system of consumption to compose the accounting recordings Immedic -base"&amp;"d Russian viewing of the CodaStoriyatoriyop -oscillation -based pages of an index -pages of the Estate page of the errors of the errors of the Ethnicity Events, There are a pages of the pages of the page on the page of the abbreviated URL-address of the w"&amp;"ikidan-prize/exported to make a bookstick as a PDFVRESIT for printing other projects vi-wound-free-mass-vikimedia Outreachy, vicotexts. Kidanneevikifunikhonceniimanikihimanovykinovicopediavikipyvikyvikyvyvikovikovikovikovikoviki -vertic is other languages"&amp;" ​​ال eyympة azərbaycancatalà ꮳꮃꭹ češtinadeutschελληνικάenglisheleestieuskara Galego हिन्दी Magyar հ Bahasa Indonesiaidoitaliano 日本語 jawa ಕನ್ನಡ 한국어 kurdîlimburgslietuviųmalagasy മലയാളം nederlandsnorskocitan ଓଡ଼ିଆ polskiSrom] I / SRPKHRVATSKISKI / srpskisv"&amp;"enska தமிழ் ไทย ไทย türkçejokoʻzbekcha / ўzbekchatiếng việt 中文 This page was last edited on November 10, 2023 at 10: 24. The text is available under the Creative Commons Attributation-Scharealike license in separate cases Additional conditions may apply. "&amp;"For more details, see the conditions of use. Politician of confidentiality of vikoslovaryaotokaz from liability of the behavior of development of the development of a cummant version")</f>
        <v>Wikoslovaryvikylovikar: the title page of viklivarvary to navigate to the search for the Russian viklovardobrot to the Russian vikvar - the multifunctional multilingual dictionary and the thesis in the discussion and replenishment of which everyone can participate. The word word was opened on May 1, 2004 and now it contains 1,314,06 articles on the words of word -of -word units. Nitsa and phrases of more than 600 languages ​​of the world. You can supplement and improve the already begun articles create new ones and also leave requests for the creation of new articles and to add values ​​already begun. If you are not a registered participant, then use an incubator to create articles. At the same time, it is recommended to use the rules for the design of articles and the Vikiwaran reference section as an help. It is also possible to discuss the issues that arise in the partitions of the Page Pages of the discussion also have each article of the category, etc. On vikasososostleki -ketilexographic concept, the structure of viklovary -based contractions of the design of the articles of literature, the creation of the articles of the articles in the vikwar -participants of the vijacan November 2023: for a month in Russian Skom Wikhoslovare created about 14,300 articles. September 2023: About 12,000 articles were created in the Russian Viklivar. August 2023: about 11,800 articles were created in the Russian Vikylovar. July 2023: about 9400 articles 2023 were created in the Russian Viklivar. : Over a month, about 8,000 articles 1 was created in the Russian Viklivar: the number of articles on the meter on the title page of the viklivar was about 1274 thousand male 2023: about 9300 articles were created in the Russian Viklivar. April 2023: about a month in the Russian viklovar created 9500 articles. Spring News Articles · In Russian in the Russian Language of CapteGoria -Sumantic Categories: Abstract relations between the Office of the Economic Affairs of the Evaluations of the Human Light -Human -Loan Grammarmatic Categories: Parts of Subscribing Greetings of the Message of Personnel -Summaries of the Democraticism of the Domestic Grammariystrymic nitramatic categories: described language -described language Logizma-Modkadkadkadkanovybreviator-dumper-and-mammorphhms and others. Parts of the Slovisure of the Language of Languages ​​by the origin of the category in alphabetical storage of the vaults: Slavic language of the language of the language of the language of the language of the language of the language of the language of the language Language-guaranic dictionary of the Russian Language of the Russian Language of the Rozausurus more frequent words of various linguists of the dictionary of the vocabulary of the pollutant friends of translator-red-painted word-speaking thematic tables: Abvgdeshezhziyklmnoprstufkhshshchshshchshshchshshchshshchshshchshchyabhazian English Arab-Armenia Armenian Armenia The Bulgarian Bigrethengers Greek Greek Georgian Data of the Data of the Data -Greek Igruck -Iskiylansian Iska -Lingaisa -Lingaic -Lingaisky Koreki Koreansky Latin Litino Lithuanian Macedonian German -Service -Roseta Palipol Portuguese -Sulfyskoyan Tatar -Tutar -Tutar -Tutar -Firefire -February -Firefire -Februarys Khoratsa -Firefront The EXCHOSSKY ESTRUSPENTO -ESTAROSKOYSKYASTOSKY YASKOSKYASHSKAYSKY YAVOSHKOVSKYASHICHSKOVSISTOSKY Articles here are written exclusively in Russian. Other languages ​​can be found in the appropriate language sections of Wiktionary: English | Bulgarian | Hungarian | Galician | Greek | Hebrew | Spanish | Italian | Chinese | Korean | Kurdish | Latin | Malagasky | Macedonian | German | Dutch | Polish | Portuguese | Romanian | Turkish | Ukrainian | Finnish | French | Swedish | Esperanto | Japanese spokes for all language sections (English) | General page of the Wiktionary Graduate Projects of the Foundation Vikimediavikipediac-language encyclopediavicemaging Media-fi-ovyloviki-oreginal text-okycitanium-okollectic collection okitatvykino-hungeries and guidelines of vicamine these knowledge of the knowledge of the Vikihi -Medistancubator Vikimedian Language section of the source - https://ru.wiktionary.org/w/index.php?title= Vypysyglivar: the post -staff_oldid=13217579 The system of consumption to compose the accounting recordings Immedic -based Russian viewing of the CodaStoriyatoriyop -oscillation -based pages of an index -pages of the Estate page of the errors of the errors of the Ethnicity Events, There are a pages of the pages of the page on the page of the abbreviated URL-address of the wikidan-prize/exported to make a bookstick as a PDFVRESIT for printing other projects vi-wound-free-mass-vikimedia Outreachy, vicotexts. Kidanneevikifunikhonceniimanikihimanovykinovicopediavikipyvikyvikyvyvikovikovikovikovikoviki -vertic is other languages ​​ال eyympة azərbaycancatalà ꮳꮃꭹ češtinadeutschελληνικάenglisheleestieuskara Galego हिन्दी Magyar հ Bahasa Indonesiaidoitaliano 日本語 jawa ಕನ್ನಡ 한국어 kurdîlimburgslietuviųmalagasy മലയാളം nederlandsnorskocitan ଓଡ଼ିଆ polskiSrom] I / SRPKHRVATSKISKI / srpskisvenska தமிழ் ไทย ไทย türkçejokoʻzbekcha / ўzbekchatiếng việt 中文 This page was last edited on November 10, 2023 at 10: 24. The text is available under the Creative Commons Attributation-Scharealike license in separate cases Additional conditions may apply. For more details, see the conditions of use. Politician of confidentiality of vikoslovaryaotokaz from liability of the behavior of development of the development of a cummant version</v>
      </c>
    </row>
    <row r="936">
      <c r="A936" s="1" t="s">
        <v>2982</v>
      </c>
      <c r="B936" s="1" t="s">
        <v>3027</v>
      </c>
      <c r="C936" s="1" t="s">
        <v>3028</v>
      </c>
      <c r="D936" s="1">
        <v>14.0</v>
      </c>
      <c r="E936" s="4" t="s">
        <v>3029</v>
      </c>
      <c r="F936" s="1" t="s">
        <v>43</v>
      </c>
      <c r="G936" s="1" t="s">
        <v>3030</v>
      </c>
      <c r="H936" s="1" t="s">
        <v>3031</v>
      </c>
      <c r="I936" s="2">
        <v>1.0</v>
      </c>
      <c r="J936" s="5" t="str">
        <f>IFERROR(__xludf.DUMMYFUNCTION("GOOGLETRANSLATE(A936)"),"Cheburashka")</f>
        <v>Cheburashka</v>
      </c>
      <c r="K936" s="6" t="str">
        <f>IFERROR(__xludf.DUMMYFUNCTION("GOOGLETRANSLATE(B936)"),"Watch ""Cheburashka (2023) - online cinema Premier")</f>
        <v>Watch "Cheburashka (2023) - online cinema Premier</v>
      </c>
      <c r="L936" s="5" t="str">
        <f>IFERROR(__xludf.DUMMYFUNCTION("GOOGLETRANSLATE(C936)"),"31 Dec. 2022 -")</f>
        <v>31 Dec. 2022 -</v>
      </c>
      <c r="M936" s="5" t="str">
        <f>IFERROR(__xludf.DUMMYFUNCTION("GOOGLETRANSLATE(G936)"),"Online cinema Premier")</f>
        <v>Online cinema Premier</v>
      </c>
    </row>
    <row r="937">
      <c r="A937" s="1" t="s">
        <v>2982</v>
      </c>
      <c r="B937" s="1" t="s">
        <v>3032</v>
      </c>
      <c r="C937" s="1" t="s">
        <v>3033</v>
      </c>
      <c r="D937" s="1">
        <v>15.0</v>
      </c>
      <c r="E937" s="4" t="s">
        <v>3034</v>
      </c>
      <c r="F937" s="1" t="s">
        <v>43</v>
      </c>
      <c r="G937" s="1" t="s">
        <v>376</v>
      </c>
      <c r="H937" s="4" t="s">
        <v>377</v>
      </c>
      <c r="I937" s="2">
        <v>1.0</v>
      </c>
      <c r="J937" s="5" t="str">
        <f>IFERROR(__xludf.DUMMYFUNCTION("GOOGLETRANSLATE(A937)"),"Cheburashka")</f>
        <v>Cheburashka</v>
      </c>
      <c r="K937" s="6" t="str">
        <f>IFERROR(__xludf.DUMMYFUNCTION("GOOGLETRANSLATE(B937)"),"Chebi: My Fluffy Friend (2023) - IMDb")</f>
        <v>Chebi: My Fluffy Friend (2023) - IMDb</v>
      </c>
      <c r="L937" s="5" t="str">
        <f>IFERROR(__xludf.DUMMYFUNCTION("GOOGLETRANSLATE(C937)"),"Chebi: My Fluffy Friend: Directed by Dmitriy Dyachenko. With Sergey Garmash, Ekaterina Cherednik, Olga Kuzmina, Polina Maksimova. What if Cheburashka Really ...")</f>
        <v>Chebi: My Fluffy Friend: Directed by Dmitriy Dyachenko. With Sergey Garmash, Ekaterina Cherednik, Olga Kuzmina, Polina Maksimova. What if Cheburashka Really ...</v>
      </c>
      <c r="M937" s="5" t="str">
        <f>IFERROR(__xludf.DUMMYFUNCTION("GOOGLETRANSLATE(G937)"),"IMDb: Ratings Reviews and Where to Watch the Best Movies &amp; TV Shows MenuMoviesRelease CalendarTop 250 MoviesMost Popular MoviesBrowse Movies by GenreTop Box OfficeShowtimes &amp; TicketsMovie NewsIndia Movie SpotlightTV ShowsWhat's on TV &amp; StreamingTop 250 TV"&amp;" ShowsMost Popular TV ShowsBrowse TV Shows by GenreTV NewsWatchWhat to WatchLatest TrailersIMDb OriginalsIMDb PicksIMDb PodcastsAwards &amp; EventsOscarsEmmysHoliday PicksMAMISTARmeter AwardsAwards CentralFestival CentralAll EventsCelebsBorn TodayMost Popular"&amp;" CelebsCelebrity NewsCommunityHelp CenterContributor ZonePollsFor Industry ProfessionalsLanguageEnglish (United States)LanguageFully supportedEnglish (United States)Partially supportedFrançais (Canada)Français (France)Deutsch (Deutschland)हिंदी (भारत)Ital"&amp;"iano (Italia)Português (Brasil)Español (España)Español (México)AllAllTitlesTV EpisodesCelebsCompaniesKeywordsAdvanced SearchWatchlistSign InSign InNew Customer? Create accountENFully supportedEnglish (United States)Partially supportedFrançais (Canada)Fran"&amp;"çais (France)Deutsch (Deutschland)हिंदी (भारत)Italiano (Italia)Português (Brasil)Español (España)Español (México)Use app1:59Millie Bobby Brown Stars in 'Damsel'1:59Netflix Drops First Teaser2:46Ms. Marvel Needs Help2:46What Iman Learned From Brie and Teyo"&amp;"nah1:31Meet Riley's New Emotions in 'Inside Out 2'1:31Watch the New Pixar Teaser1:005 Streamable Sci-Fi Classics1:00Top Picks All Award-Winners2:00'Ghostbusters: Frozen Empire'2:00Watch the Teaser1:33What You Need to Know About 'The Color Purple'1:33Get D"&amp;"etails on the New Movie Musical2:01""Reacher"" Returns2:01Watch the Season 2 Trailer0:57What to Watch After ""Bodies""0:575 Top Picks Streaming Now2:01'The Marvels' Final Trailer Drops2:01See Tessa Thompson's Return as Valkyrie1:40""Avatar: The Last Airbe"&amp;"nder""1:40Netflix Shares the First Trailer2:17Eddie Murphy Is Going to 'Candy Cane Lane'2:17Watch the Trailer0:42Michelle Yeoh Stars in ""The Brothers Sun""0:42Watch the Series Teaser2:26Brie Larson Is Having a Year2:26Look Back at Her Career2:07'Mean Gir"&amp;"ls' Are Back2:07Watch the Fetch New Trailer1:20Swifties in Movies and TV1:20Watch Some Memorable MomentsUp next1:20Swifties in Movies and TVWatch Some Memorable Moments1:59Millie Bobby Brown Stars in 'Damsel'Netflix Drops First Teaser2:46Ms. Marvel Needs "&amp;"HelpWhat Iman Learned From Brie and Teyonah1:31Meet Riley's New Emotions in 'Inside Out 2'Watch the New Pixar Teaser1:005 Streamable Sci-Fi ClassicsTop Picks All Award-Winners2:00'Ghostbusters: Frozen Empire'Watch the TeaserBrowse trailersFeatured todayLi"&amp;"stNovember Picks: 'The Killer' 'The Marvels' and MoreSee the listListTV Tracker: Renewed and Canceled ShowsCheck the statusPhotosThe Best On-Screen AssassinsSee the galleryPhotosThe Latest (and Greatest) New PostersSee more postersPhotosEnter the IMDb Por"&amp;"trait Studio at MAMI 2023See the galleryPhotosAdorable Red Carpet PhotosSee the galleryListWho Are the 2024 Grammy Nominees?See the full listList2023 MAMI Mumbai Film Festival WinnersSee the winnersPhotos'Dream Scenario' and More New StillsSee more stills"&amp;"What to watchGet more recommendationsMore to watchIMDb helps you select the perfect next show or movie to watch.Watch GuideMost PopularExclusive videosIMDb OriginalsCelebrity interviews trending entertainment stories and expert analysis3:26Shah Rukh Khan "&amp;"on 'Jawan' and MoreWatch the video1:33Get Details on This New Movie MusicalWatch now2:26Brie Larson Is Having a YearWatch now2:15How Cailee and Jacob Became Priscilla and ElvisWatch the interview1:005 Award-Winning Sci-Fi PicksStream these now3:13Best Cha"&amp;"racter Moments in 'The Hunger Games'Watch nowExplore what’s streamingExplore Movies &amp; TV showsMore to exploreRecently viewedYou have no recently viewed pagesGet the IMDb AppSign in for more accessSign in for more accessGet the IMDb AppHelpSite IndexIMDbPr"&amp;"oBox Office MojoIMDb DeveloperPress RoomAdvertisingJobsConditions of UsePrivacy PolicyYour Ads Privacy ChoicesIMDb an Amazon company© 1990-2023 by IMDb.com Inc.Back to top")</f>
        <v>IMDb: Ratings Reviews and Where to Watch the Best Movies &amp; TV Shows MenuMoviesRelease CalendarTop 250 MoviesMost Popular MoviesBrowse Movies by GenreTop Box OfficeShowtimes &amp; TicketsMovie NewsIndia Movie SpotlightTV ShowsWhat's on TV &amp; StreamingTop 250 TV ShowsMost Popular TV ShowsBrowse TV Shows by GenreTV NewsWatchWhat to WatchLatest TrailersIMDb OriginalsIMDb PicksIMDb PodcastsAwards &amp; EventsOscarsEmmysHoliday PicksMAMISTARmeter AwardsAwards CentralFestival CentralAll EventsCelebsBorn TodayMost Popular CelebsCelebrity NewsCommunityHelp CenterContributor ZonePollsFor Industry ProfessionalsLanguageEnglish (United States)LanguageFully supportedEnglish (United States)Partially supportedFrançais (Canada)Français (France)Deutsch (Deutschland)हिंदी (भारत)Italiano (Italia)Português (Brasil)Español (España)Español (México)AllAllTitlesTV EpisodesCelebsCompaniesKeywordsAdvanced SearchWatchlistSign InSign InNew Customer? Create accountENFully supportedEnglish (United States)Partially supportedFrançais (Canada)Français (France)Deutsch (Deutschland)हिंदी (भारत)Italiano (Italia)Português (Brasil)Español (España)Español (México)Use app1:59Millie Bobby Brown Stars in 'Damsel'1:59Netflix Drops First Teaser2:46Ms. Marvel Needs Help2:46What Iman Learned From Brie and Teyonah1:31Meet Riley's New Emotions in 'Inside Out 2'1:31Watch the New Pixar Teaser1:005 Streamable Sci-Fi Classics1:00Top Picks All Award-Winners2:00'Ghostbusters: Frozen Empire'2:00Watch the Teaser1:33What You Need to Know About 'The Color Purple'1:33Get Details on the New Movie Musical2:01"Reacher" Returns2:01Watch the Season 2 Trailer0:57What to Watch After "Bodies"0:575 Top Picks Streaming Now2:01'The Marvels' Final Trailer Drops2:01See Tessa Thompson's Return as Valkyrie1:40"Avatar: The Last Airbender"1:40Netflix Shares the First Trailer2:17Eddie Murphy Is Going to 'Candy Cane Lane'2:17Watch the Trailer0:42Michelle Yeoh Stars in "The Brothers Sun"0:42Watch the Series Teaser2:26Brie Larson Is Having a Year2:26Look Back at Her Career2:07'Mean Girls' Are Back2:07Watch the Fetch New Trailer1:20Swifties in Movies and TV1:20Watch Some Memorable MomentsUp next1:20Swifties in Movies and TVWatch Some Memorable Moments1:59Millie Bobby Brown Stars in 'Damsel'Netflix Drops First Teaser2:46Ms. Marvel Needs HelpWhat Iman Learned From Brie and Teyonah1:31Meet Riley's New Emotions in 'Inside Out 2'Watch the New Pixar Teaser1:005 Streamable Sci-Fi ClassicsTop Picks All Award-Winners2:00'Ghostbusters: Frozen Empire'Watch the TeaserBrowse trailersFeatured todayListNovember Picks: 'The Killer' 'The Marvels' and MoreSee the listListTV Tracker: Renewed and Canceled ShowsCheck the statusPhotosThe Best On-Screen AssassinsSee the galleryPhotosThe Latest (and Greatest) New PostersSee more postersPhotosEnter the IMDb Portrait Studio at MAMI 2023See the galleryPhotosAdorable Red Carpet PhotosSee the galleryListWho Are the 2024 Grammy Nominees?See the full listList2023 MAMI Mumbai Film Festival WinnersSee the winnersPhotos'Dream Scenario' and More New StillsSee more stillsWhat to watchGet more recommendationsMore to watchIMDb helps you select the perfect next show or movie to watch.Watch GuideMost PopularExclusive videosIMDb OriginalsCelebrity interviews trending entertainment stories and expert analysis3:26Shah Rukh Khan on 'Jawan' and MoreWatch the video1:33Get Details on This New Movie MusicalWatch now2:26Brie Larson Is Having a YearWatch now2:15How Cailee and Jacob Became Priscilla and ElvisWatch the interview1:005 Award-Winning Sci-Fi PicksStream these now3:13Best Character Moments in 'The Hunger Games'Watch nowExplore what’s streamingExplore Movies &amp; TV showsMore to exploreRecently viewedYou have no recently viewed pagesGet the IMDb AppSign in for more accessSign in for more accessGet the IMDb AppHelpSite IndexIMDbProBox Office MojoIMDb DeveloperPress RoomAdvertisingJobsConditions of UsePrivacy PolicyYour Ads Privacy ChoicesIMDb an Amazon company© 1990-2023 by IMDb.com Inc.Back to top</v>
      </c>
    </row>
    <row r="938">
      <c r="A938" s="1" t="s">
        <v>2982</v>
      </c>
      <c r="B938" s="1" t="s">
        <v>3035</v>
      </c>
      <c r="C938" s="1" t="s">
        <v>2986</v>
      </c>
      <c r="D938" s="1">
        <v>16.0</v>
      </c>
      <c r="E938" s="4" t="s">
        <v>2987</v>
      </c>
      <c r="F938" s="1" t="s">
        <v>43</v>
      </c>
      <c r="G938" s="1" t="s">
        <v>31</v>
      </c>
      <c r="H938" s="4" t="s">
        <v>32</v>
      </c>
      <c r="I938" s="2">
        <v>1.0</v>
      </c>
      <c r="J938" s="5" t="str">
        <f>IFERROR(__xludf.DUMMYFUNCTION("GOOGLETRANSLATE(A938)"),"Cheburashka")</f>
        <v>Cheburashka</v>
      </c>
      <c r="K938" s="6" t="str">
        <f>IFERROR(__xludf.DUMMYFUNCTION("GOOGLETRANSLATE(B938)"),"Cheburashka")</f>
        <v>Cheburashka</v>
      </c>
      <c r="L938" s="5" t="str">
        <f>IFERROR(__xludf.DUMMYFUNCTION("GOOGLETRANSLATE(C938)"),"Cheburashka is a character invented by writer Eduard Uspensky in 1966 as one of the main characters of the book Crocodile Gena and his friends and her continuation.")</f>
        <v>Cheburashka is a character invented by writer Eduard Uspensky in 1966 as one of the main characters of the book Crocodile Gena and his friends and her continuation.</v>
      </c>
      <c r="M938" s="5" t="str">
        <f>IFERROR(__xludf.DUMMYFUNCTION("GOOGLETRANSLATE(G938)"),"Wikipedia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39">
      <c r="A939" s="1" t="s">
        <v>2982</v>
      </c>
      <c r="B939" s="1" t="s">
        <v>3036</v>
      </c>
      <c r="D939" s="1">
        <v>17.0</v>
      </c>
      <c r="E939" s="4" t="s">
        <v>2984</v>
      </c>
      <c r="F939" s="1" t="s">
        <v>43</v>
      </c>
      <c r="G939" s="1" t="s">
        <v>336</v>
      </c>
      <c r="H939" s="4" t="s">
        <v>337</v>
      </c>
      <c r="I939" s="2">
        <v>1.0</v>
      </c>
      <c r="J939" s="5" t="str">
        <f>IFERROR(__xludf.DUMMYFUNCTION("GOOGLETRANSLATE(A939)"),"Cheburashka")</f>
        <v>Cheburashka</v>
      </c>
      <c r="K939" s="6" t="str">
        <f>IFERROR(__xludf.DUMMYFUNCTION("GOOGLETRANSLATE(B939)"),"Cheburashka, 2022 - Description, interesting facts")</f>
        <v>Cheburashka, 2022 - Description, interesting facts</v>
      </c>
      <c r="L939" s="5" t="str">
        <f>IFERROR(__xludf.DUMMYFUNCTION("GOOGLETRANSLATE(C939)"),"#VALUE!")</f>
        <v>#VALUE!</v>
      </c>
      <c r="M939" s="5" t="str">
        <f>IFERROR(__xludf.DUMMYFUNCTION("GOOGLETRANSLATE(G939)"),"Oh!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940">
      <c r="A940" s="1" t="s">
        <v>2982</v>
      </c>
      <c r="B940" s="1" t="s">
        <v>3037</v>
      </c>
      <c r="C940" s="1" t="s">
        <v>2995</v>
      </c>
      <c r="D940" s="1">
        <v>18.0</v>
      </c>
      <c r="E940" s="4" t="s">
        <v>2996</v>
      </c>
      <c r="F940" s="1" t="s">
        <v>43</v>
      </c>
      <c r="G940" s="1" t="s">
        <v>364</v>
      </c>
      <c r="H940" s="4" t="s">
        <v>365</v>
      </c>
      <c r="I940" s="2">
        <v>2.0</v>
      </c>
      <c r="J940" s="5" t="str">
        <f>IFERROR(__xludf.DUMMYFUNCTION("GOOGLETRANSLATE(A940)"),"Cheburashka")</f>
        <v>Cheburashka</v>
      </c>
      <c r="K940" s="6" t="str">
        <f>IFERROR(__xludf.DUMMYFUNCTION("GOOGLETRANSLATE(B940)"),"Film Cheburashka (Russia, 2022) watch online")</f>
        <v>Film Cheburashka (Russia, 2022) watch online</v>
      </c>
      <c r="L940" s="5" t="str">
        <f>IFERROR(__xludf.DUMMYFUNCTION("GOOGLETRANSLATE(C940)"),"According to the plot, Cheburashka enters a small town by the sea, where he meets Gena, a boy who does not know how to speak, a strange woman who wants to buy him for ...")</f>
        <v>According to the plot, Cheburashka enters a small town by the sea, where he meets Gena, a boy who does not know how to speak, a strange woman who wants to buy him for ...</v>
      </c>
      <c r="M940" s="5" t="str">
        <f>IFERROR(__xludf.DUMMYFUNCTION("GOOGLETRANSLATE(G940)"),"Афиша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202"&amp;"3 - январь 2024 МДМОт 900 ₽концертВивальди. The times of the year -Yabr 2023 - April 2024 House of Kinoot 1400 ₽6.1 Filmicatriye will be in 96 cinemas to buy a ticket -portable event of Khorkin. Show Duel November 19 at 18:00 Palace of gymnastics Irina Vi"&amp;"ner-Usmanova 1 1,500 ₽8 Epavkatinkoff City: Andy Warhol and Russian art on February 18 Jewish museum to buy a ticketfilmsindromid in 136 cinemas to the Ticketscription “Griff removed” November Bunker 450 ₽ Makers Moldhilms. Shie Mirrakkatalogi Film -expec"&amp;"ted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amp;"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amp;"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amp;"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amp;"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amp;"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amp;"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"&amp;"центр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animation-30%discord-disk"&amp;"idota Christmas trees25 and 27 The Meridian Cultural Center 400 ₽ Dinagome M-Torpedhockei on November 23 at 19:30 SKRK VTB Arena Arena - The Central Stadium Dynamo named after Yashin from 400 ₽ Dinomo M - Skykhokkey on December 25 at 19:30 SKRK VTB Arena "&amp;"- the Central Stadium Dynamo named after Yashin from 400 ₽ Dinomasm M - CSKAHOKKYAI on December 19 at 19:30 SKRK "" VTB Arena - the Central Stadium Dynamo named after Yashin from 200 ₽ ROPRODINA - Chernomoretorefutbol November 19 at 19:00 Sapsan Arenaafis"&amp;" Restaurantov10 The best restaurants in Moscow according to the version of Whereteat Moscow 202310 “Nature are 150 years old”: Evgeny Reimer about the future of the future and about the future of the future and The new restaurant ""NE"" in the atom pavili"&amp;"on on November 8 is in full swing: where to go to Sochi in November 7 November for a week: Khinkali festival Kazakh delicacies and ethnic firewalls on November7 The best restaurants of the Central Region of Russia according to the Whereteat 20234 Awards w"&amp;"ill be called the best restaurants of the capital of Krasnodar on November3 Sochi Rostov-on-Don and Gelendzhik will be held the festival of southern kitchen-eve-elays of a Syndromrill9.3ot 1100 ₽ Mayakovsky premieres 2023 January 2024 Lenkom Zakharovabori"&amp;"s Sveshnikov. Dreams of Eternity -Writers on January 14 Our artists of the Khatastastophantentesis of Afishavese7.7 Tylepyntlmenyboyevik8.8ot 1000 ₽ Rruxi -tank 2023 - January 2024 Muscovite Musical Theater KDKSKORO in Kinovsovsabiletychacamediyatyabileyb"&amp;"iletikhchik and poultry farmletfilombilets to the dream: once and for all, and for all the time-mercy-hungry, terrible sister-2ocedium collections Afishas are the most convenient way to choose how to conduct a free posting post: the main events of the wee"&amp;"k - you have to sign up the company editorial campaign Contactkitat CardiAfisha Dailypiknik Afishede. Rufisha Close -moving veteranstat. Bilet -picnovicular in terms of questioned issues, 1999–2023 LLC Afisha LLC. All rights reserved. For persons over 18 "&amp;"years old. User Agreement Policy of Confidentiality Rules for the Application of Technologies Azov Almetyevsk Anapa Angarsk Arzamas Armavir Arkhangelsk Astrakhan Achinsk Balashikha Balashikh Bataysk Beloregor Belorechensk Berdsk Bereznishk Blaguruslan Bug"&amp;"ulm Bugulma Buzulm Buzuluk Veliki Velik Verkhnyaya Pyshma Vidden Vladivostok Vladikavkaz Vladimir Volgograd Volgogonsk Volzhsky Vologda Volda Volk Vsevolozhsk Vyborg Gatchina Gornzhik Gorno-Altaysk Grozny Gubkin Gudermes Dzerzhinsk Dimitrovgrad Dmitrov Do"&amp;"lgoprudny Dubomodedovo Dubna Evpatoria Yekaterinburg Yelets Esentuki Zheleznogorsk (Krasnoyarsk) Zhukovsky Zareysk Zarenogorsk Zelenogradsky Zelenogostosvost Ivanovo Ivanovo and Ivanovo Ivanovo Zhevsk Irkutsk Istrim Istra Yoshkar-Ola Kazan Kaliningrad Kal"&amp;"uga Kamensk-Uralsky Kamyshin Kaspiysk Kemerovo Kingisepp Kirishi Kirov Kirovsk Klin Klintsov Kollets Kolpino Kolpino Komsomolsk-on-Amur Kopeysk Korolev Koryazhm Kostroma Krasnodarsk Krasnoyarsk Krasnoyarsk Kubinka Kubinka Kuznetsk Kurgan Kurgan Kursk Life"&amp;"tsk Lomonosov Lomonosovsi Luhmoi Luhmovitsa Ysuva Lytkarino Lyubertsy Magadan Magnitogorsk Maykop Makhachkala Miass Mozhaisk Moscow Murmansk Murmansk Mtsevshchi Naberezhnye Chelnye Nalran Nalchik Naro-Fominsk Nevinnomyssk Nevninome Neftekhugansk Nizhnekam"&amp;"sk Nizhny Novgorod Novolattysk Novomoskovsk Novorossiysk Novosibirsk Novocheboksarsk Novoshakhkhinsk New Urengsk November November SK Nyagan Obninsk Odintsovo Ozersk Oktyabrsky Omsk Orenburg Orekhovo-Zuevo Orsus Orsus Pavlovo Pavlovsky Posad Penza Pervour"&amp;"alsk Perm Peterhof Petrozavodsk Petropavlovsk-Kamchatsk Podolsk Poskopyevsk Pushkin Pushkin Pushkino Ramenskoye Reutov Rustov Rostov-Don Ruzan Ryazan Salavat Salevat Saransk Sevastopol Sevastopol Seversk Seversk Sergiev Sergiyev Sergiyev Sergukhov Sergukh"&amp;"ov Servor Simferopol Smolensk Sokol Solnechnogorsk Sosnovy Bor Sochi Spassk- Far Stavropol Stary Oskol Sterlitamak Stupino Surgut Syzran Taganrog Tagan Tikhvin Togvin Togliatti Tula Tula Tyumen Ulan-Uda Ulyanovsk Ust-Ilymsk Ufa Fryazino Khabarovsk Khaboks"&amp;"iysk Chelabinsk Chelyabinsk Cherkessk Chekhovsky Chi Chikhi Chi Chikha Chita Chita Chita Chita Chita. Elkovo Elestostal Elista Engels Yuzhno-Sakhalinsk Yakutsk Yalta Yaroslavl Selection Afishas Afishikalendar November 13, 2023 November 13, 2023 November 1"&amp;"4, 2023 November 15, 2023 November 16, 2023 November 17, 2023 November 18, 2023 November 19, 2023 November 21, 2023 22, 2023 November 23, 2023 November 25, 2023 27 2023 November 27 November 27 November 27 2023 November 28, 2023 November 29, 2023 November "&amp;"30, 2023 December 1, 2023 December 2, 2023 December 3, 2023 4 December 2023 5 December 2023 December 6, 2023 December 7, 2023 December 9, 2023 December 10, 2023 December 11, 2023 December 12, 2023 13 December 2023 14 December 2023 December 15, 2023 Decemb"&amp;"er 16, 2023 December 17, 2023 December 18, 2023 December 19, 2023 December 20, 2023 December 21, 2023 December 22, 2023 December 23, 2023 December 25, 2023 December 25, 2023 27 2023 27 December 28, 2023 December 29, 2023 December 30, 2023 December 31, 202"&amp;"3 January 1 January 2, 2024 January 3, 2024 January 4, 2024 January 5, 2024 January 6, 2024 January 7, 2024 January 8, 2024 January 924 January 10, 2024 January 11, 2024 January 12, 2024 January 14, 2024 January 15, 2024 January 16 January, January 16, Ja"&amp;"nuary 16 2024 January 17, 2024 January 2024 January 19, 2024 January 2024 January 21, 2024 January 22, 2024 January 23, 2024 January 24, 2024 January 25, 2024 January 26, 2024 January 28, 2024 January 29, 2024 January 30, 2024 January 2024 1 February, 202"&amp;"4 2 February 2024 February 3, 2024 February 4, 2024 February 5, 2024 February 6, 2024 February 7, 2024 February 8, 2024 February 9, 2024 February 10, 2024 February 11, 2024 February 13, 2024 February 14, 2024 February 15, 2024 February 16, 2024 17 Februar"&amp;"y 17, 2024 February 18, 2024 February 19, 2024 February 20, 2024 February 2024 February 22, 2024 February 23, 2024 2424 February 25, 2024 26 February 2024 27 2024 28 February 2024 29, 2024 March 2, 2024 March 3 March 3, 2024 4 March 2024 March 6 March Mar"&amp;"ch 6 March, March 6 March 2024 March 7, 2024 March 8, 2024 March 10 March 2024 March 11, 2024 March 12, 2024 March 13, 2024 March 14, 2024 March 15, 2024 March 16 March 17, 2024 March 18, 2024 March 19 March 2024 March 21, 2024 22 March 2024 23 23 March 2"&amp;"024 March 24, 2024 March 25, 2024 March 26, 2024 March 27, 2024 March 28, 2024 March 29, 2024 March 30, 2024 March 31, 2024 April 2 April 2, 2024 3 April, 2024 April 5, 2024 April 6, 2024 April 7, 2024 April 8, 2024 April 9, 2024 April 11 April 11, 2024 A"&amp;"pril 12, 2024 April 13, 2024 April 14, 2024 April 15, 2024 April 16, 2024 17 April 18, 2024 19 April 1924 April 2024 April 22, 2024 23 23, 2024 24 April 25 April April 25 April 25 2024 April 26 April 27 April 2024 April 28, 2024 April 29, 2024 April 30, 2"&amp;"024 May 1, 2024 May 2 May 2024 May 3, 2024 May 5 May 2024 May 6 May 2024 May 8, 2024 May 9, 2024 May 10 May 2024 11 May 2024 124 124 12 May 2024 May 13, 2024 May 14 May 15, 2024 May 16 May 2024 May 17, 2024 May 18 May 2024 May 19, 2024 May 2024 May 21, 20"&amp;"24 May 22 May 23, 2024 24 May 2024 May 25, 2024 May 27, 2024 28 May 28 May 2024 May 29, May 30, 2024 May 31, 2024 June 1, 2024 June 2, 2024 June 3, 2024 June 4, 2024 June 5, 2024 June 6 June 7, 2024 June 8, 2024 June 924 June 10 June 2024 June 12 June 13,"&amp;" 2024 June 14 June June 14 June 14 2024 June 15, 2024 June 16 June 17, 2024 June 18, 2024 June 19 June 2024 June 20, 2024 June 21, 2024 June 22 June 23, 2024 June 24, 2024 June 25, 2024 June 27, 2024 28 28 June 2024 29 June 2024 June 30, 2024 1 July 2024 "&amp;"July 2 July 3, 2024 July 4 July 5 July 2024 July 6 July 7, 2024 July 8 July 924 July 10 July 2024 July 12 July 13, 2024 July 14, 2024 July 15 July 16 July 17 July 17, 2024 July 18, 2024 July 19 July 2024 July 21, 2024 July 22 July 23, 2024 July 24, 2024 J"&amp;"uly 25, 2024 July 26 July 27, 2024 July 29, 2024 July 30, 2024 31 July, 2024 August 2, 2024 August 3 August 3 2024 August 4, 2024 August 5 August 6, 2024 August 7, 2024 August 8, 2024 August 9, 2024 August 10, 2024 August 11, 2024 August 12, 2024 August 1"&amp;"3, 2024 August 14, 2024 August 16, 2024 August 17 August 17, 2024 August 18, 2024 August 19, 2024 20 August 2024 August 21, 2024 August 22, 2024 August 23, 2024 August 24, 2024 August 25, 2024 26 August 2024 27 August 2024 28 August 29 August 29, 2024 Aug"&amp;"ust 30, 2024 August 1, 2024 September 2, 2024 September 3, 2024 4 September, 2024 September 5, 2024 September 6, 2024 September 7, 2024 on September 8, 2024 September 10, 2024 September 11, 2024 September 12, 2024 September 13, 2024 September 14, 2024 Sep"&amp;"tember 15, 2024 September 17, 2024 September 18, 2024 19 September 19, 2024 September 20, 2024 September 21, 2024 22 September 22 22 2024 September 23, 2024 September 24, 2024 September 25, 2024 on September 26, 2024 on September, 2024 28 September, 2024 "&amp;"29 September 2024 September 30, 2024 1 October 2024 October 2, 2024 October 4, 2024 5 October 2024 October 6, 2024 October 7, 2024 On October 8, 2024 9 October 2024 October 10, 2024 October 11, 2024 October 12, 2024 October 13, 2024 October 14, 2024 Octob"&amp;"er 15, 2024 October 16, 2024 October 17, 2024 October 18, 2024 October 19, 2024 October 2024, 2024 October 22, 2024 23, 2024 October 24, 2024 25 October 25 October 26, 2024 October 27, 2024 October 28, 2024 October 29, 2024 October 30, 2024 on October 202"&amp;"4 November 1, 2024 November 2, 2024 November 3, 2024 November 4, 2024 November 6, 2024 November 7, 2024 November 8, 2024 November 924 November 10 November 11 2024 November December January February March April May June July August September October today "&amp;"Tomorrow Tomorrow Week Weeks of the Months of Children")</f>
        <v>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2023 - январь 2024 МДМОт 900 ₽концертВивальди. The times of the year -Yabr 2023 - April 2024 House of Kinoot 1400 ₽6.1 Filmicatriye will be in 96 cinemas to buy a ticket -portable event of Khorkin. Show Duel November 19 at 18:00 Palace of gymnastics Irina Viner-Usmanova 1 1,500 ₽8 Epavkatinkoff City: Andy Warhol and Russian art on February 18 Jewish museum to buy a ticketfilmsindromid in 136 cinemas to the Ticketscription “Griff removed” November Bunker 450 ₽ Makers Moldhilms. Shie Mirrakkatalogi Film -expected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animation-30%discord-diskidota Christmas trees25 and 27 The Meridian Cultural Center 400 ₽ Dinagome M-Torpedhockei on November 23 at 19:30 SKRK VTB Arena Arena - The Central Stadium Dynamo named after Yashin from 400 ₽ Dinomo M - Skykhokkey on December 25 at 19:30 SKRK VTB Arena - the Central Stadium Dynamo named after Yashin from 400 ₽ Dinomasm M - CSKAHOKKYAI on December 19 at 19:30 SKRK " VTB Arena - the Central Stadium Dynamo named after Yashin from 200 ₽ ROPRODINA - Chernomoretorefutbol November 19 at 19:00 Sapsan Arenaafis Restaurantov10 The best restaurants in Moscow according to the version of Whereteat Moscow 202310 “Nature are 150 years old”: Evgeny Reimer about the future of the future and about the future of the future and The new restaurant "NE" in the atom pavilion on November 8 is in full swing: where to go to Sochi in November 7 November for a week: Khinkali festival Kazakh delicacies and ethnic firewalls on November7 The best restaurants of the Central Region of Russia according to the Whereteat 20234 Awards will be called the best restaurants of the capital of Krasnodar on November3 Sochi Rostov-on-Don and Gelendzhik will be held the festival of southern kitchen-eve-elays of a Syndromrill9.3ot 1100 ₽ Mayakovsky premieres 2023 January 2024 Lenkom Zakharovaboris Sveshnikov. Dreams of Eternity -Writers on January 14 Our artists of the Khatastastophantentesis of Afishavese7.7 Tylepyntlmenyboyevik8.8ot 1000 ₽ Rruxi -tank 2023 - January 2024 Muscovite Musical Theater KDKSKORO in Kinovsovsabiletychacamediyatyabileybiletikhchik and poultry farmletfilombilets to the dream: once and for all, and for all the time-mercy-hungry, terrible sister-2ocedium collections Afishas are the most convenient way to choose how to conduct a free posting post: the main events of the week - you have to sign up the company editorial campaign Contactkitat CardiAfisha Dailypiknik Afishede. Rufisha Close -moving veteranstat. Bilet -picnovicular in terms of questioned issues, 1999–2023 LLC Afisha LLC. All rights reserved. For persons over 18 years old. User Agreement Policy of Confidentiality Rules for the Application of Technologies Azov Almetyevsk Anapa Angarsk Arzamas Armavir Arkhangelsk Astrakhan Achinsk Balashikha Balashikh Bataysk Beloregor Belorechensk Berdsk Bereznishk Blaguruslan Bugulm Bugulma Buzulm Buzuluk Veliki Velik Verkhnyaya Pyshma Vidden Vladivostok Vladikavkaz Vladimir Volgograd Volgogonsk Volzhsky Vologda Volda Volk Vsevolozhsk Vyborg Gatchina Gornzhik Gorno-Altaysk Grozny Gubkin Gudermes Dzerzhinsk Dimitrovgrad Dmitrov Dolgoprudny Dubomodedovo Dubna Evpatoria Yekaterinburg Yelets Esentuki Zheleznogorsk (Krasnoyarsk) Zhukovsky Zareysk Zarenogorsk Zelenogradsky Zelenogostosvost Ivanovo Ivanovo and Ivanovo Ivanovo Zhevsk Irkutsk Istrim Istra Yoshkar-Ola Kazan Kaliningrad Kaluga Kamensk-Uralsky Kamyshin Kaspiysk Kemerovo Kingisepp Kirishi Kirov Kirovsk Klin Klintsov Kollets Kolpino Kolpino Komsomolsk-on-Amur Kopeysk Korolev Koryazhm Kostroma Krasnodarsk Krasnoyarsk Krasnoyarsk Kubinka Kubinka Kuznetsk Kurgan Kurgan Kursk Lifetsk Lomonosov Lomonosovsi Luhmoi Luhmovitsa Ysuva Lytkarino Lyubertsy Magadan Magnitogorsk Maykop Makhachkala Miass Mozhaisk Moscow Murmansk Murmansk Mtsevshchi Naberezhnye Chelnye Nalran Nalchik Naro-Fominsk Nevinnomyssk Nevninome Neftekhugansk Nizhnekamsk Nizhny Novgorod Novolattysk Novomoskovsk Novorossiysk Novosibirsk Novocheboksarsk Novoshakhkhinsk New Urengsk November November SK Nyagan Obninsk Odintsovo Ozersk Oktyabrsky Omsk Orenburg Orekhovo-Zuevo Orsus Orsus Pavlovo Pavlovsky Posad Penza Pervouralsk Perm Peterhof Petrozavodsk Petropavlovsk-Kamchatsk Podolsk Poskopyevsk Pushkin Pushkin Pushkino Ramenskoye Reutov Rustov Rostov-Don Ruzan Ryazan Salavat Salevat Saransk Sevastopol Sevastopol Seversk Seversk Sergiev Sergiyev Sergiyev Sergukhov Sergukhov Servor Simferopol Smolensk Sokol Solnechnogorsk Sosnovy Bor Sochi Spassk- Far Stavropol Stary Oskol Sterlitamak Stupino Surgut Syzran Taganrog Tagan Tikhvin Togvin Togliatti Tula Tula Tyumen Ulan-Uda Ulyanovsk Ust-Ilymsk Ufa Fryazino Khabarovsk Khaboksiysk Chelabinsk Chelyabinsk Cherkessk Chekhovsky Chi Chikhi Chi Chikha Chita Chita Chita Chita Chita. Elkovo Elestostal Elista Engels Yuzhno-Sakhalinsk Yakutsk Yalta Yaroslavl Selection Afishas Afishikalendar November 13, 2023 November 13, 2023 November 14, 2023 November 15, 2023 November 16, 2023 November 17, 2023 November 18, 2023 November 19, 2023 November 21, 2023 22, 2023 November 23, 2023 November 25, 2023 27 2023 November 27 November 27 November 27 2023 November 28, 2023 November 29, 2023 November 30, 2023 December 1, 2023 December 2, 2023 December 3, 2023 4 December 2023 5 December 2023 December 6, 2023 December 7, 2023 December 9, 2023 December 10, 2023 December 11, 2023 December 12, 2023 13 December 2023 14 December 2023 December 15, 2023 December 16, 2023 December 17, 2023 December 18, 2023 December 19, 2023 December 20, 2023 December 21, 2023 December 22, 2023 December 23, 2023 December 25, 2023 December 25, 2023 27 2023 27 December 28, 2023 December 29, 2023 December 30, 2023 December 31, 2023 January 1 January 2, 2024 January 3, 2024 January 4, 2024 January 5, 2024 January 6, 2024 January 7, 2024 January 8, 2024 January 924 January 10, 2024 January 11, 2024 January 12, 2024 January 14, 2024 January 15, 2024 January 16 January, January 16, January 16 2024 January 17, 2024 January 2024 January 19, 2024 January 2024 January 21, 2024 January 22, 2024 January 23, 2024 January 24, 2024 January 25, 2024 January 26, 2024 January 28, 2024 January 29, 2024 January 30, 2024 January 2024 1 February, 2024 2 February 2024 February 3, 2024 February 4, 2024 February 5, 2024 February 6, 2024 February 7, 2024 February 8, 2024 February 9, 2024 February 10, 2024 February 11, 2024 February 13, 2024 February 14, 2024 February 15, 2024 February 16, 2024 17 February 17, 2024 February 18, 2024 February 19, 2024 February 20, 2024 February 2024 February 22, 2024 February 23, 2024 2424 February 25, 2024 26 February 2024 27 2024 28 February 2024 29, 2024 March 2, 2024 March 3 March 3, 2024 4 March 2024 March 6 March March 6 March, March 6 March 2024 March 7, 2024 March 8, 2024 March 10 March 2024 March 11, 2024 March 12, 2024 March 13, 2024 March 14, 2024 March 15, 2024 March 16 March 17, 2024 March 18, 2024 March 19 March 2024 March 21, 2024 22 March 2024 23 23 March 2024 March 24, 2024 March 25, 2024 March 26, 2024 March 27, 2024 March 28, 2024 March 29, 2024 March 30, 2024 March 31, 2024 April 2 April 2, 2024 3 April, 2024 April 5, 2024 April 6, 2024 April 7, 2024 April 8, 2024 April 9, 2024 April 11 April 11, 2024 April 12, 2024 April 13, 2024 April 14, 2024 April 15, 2024 April 16, 2024 17 April 18, 2024 19 April 1924 April 2024 April 22, 2024 23 23, 2024 24 April 25 April April 25 April 25 2024 April 26 April 27 April 2024 April 28, 2024 April 29, 2024 April 30, 2024 May 1, 2024 May 2 May 2024 May 3, 2024 May 5 May 2024 May 6 May 2024 May 8, 2024 May 9, 2024 May 10 May 2024 11 May 2024 124 124 12 May 2024 May 13, 2024 May 14 May 15, 2024 May 16 May 2024 May 17, 2024 May 18 May 2024 May 19, 2024 May 2024 May 21, 2024 May 22 May 23, 2024 24 May 2024 May 25, 2024 May 27, 2024 28 May 28 May 2024 May 29, May 30, 2024 May 31, 2024 June 1, 2024 June 2, 2024 June 3, 2024 June 4, 2024 June 5, 2024 June 6 June 7, 2024 June 8, 2024 June 924 June 10 June 2024 June 12 June 13, 2024 June 14 June June 14 June 14 2024 June 15, 2024 June 16 June 17, 2024 June 18, 2024 June 19 June 2024 June 20, 2024 June 21, 2024 June 22 June 23, 2024 June 24, 2024 June 25, 2024 June 27, 2024 28 28 June 2024 29 June 2024 June 30, 2024 1 July 2024 July 2 July 3, 2024 July 4 July 5 July 2024 July 6 July 7, 2024 July 8 July 924 July 10 July 2024 July 12 July 13, 2024 July 14, 2024 July 15 July 16 July 17 July 17, 2024 July 18, 2024 July 19 July 2024 July 21, 2024 July 22 July 23, 2024 July 24, 2024 July 25, 2024 July 26 July 27, 2024 July 29, 2024 July 30, 2024 31 July, 2024 August 2, 2024 August 3 August 3 2024 August 4, 2024 August 5 August 6, 2024 August 7, 2024 August 8, 2024 August 9, 2024 August 10, 2024 August 11, 2024 August 12, 2024 August 13, 2024 August 14, 2024 August 16, 2024 August 17 August 17, 2024 August 18, 2024 August 19, 2024 20 August 2024 August 21, 2024 August 22, 2024 August 23, 2024 August 24, 2024 August 25, 2024 26 August 2024 27 August 2024 28 August 29 August 29, 2024 August 30, 2024 August 1, 2024 September 2, 2024 September 3, 2024 4 September, 2024 September 5, 2024 September 6, 2024 September 7, 2024 on September 8, 2024 September 10, 2024 September 11, 2024 September 12, 2024 September 13, 2024 September 14, 2024 September 15, 2024 September 17, 2024 September 18, 2024 19 September 19, 2024 September 20, 2024 September 21, 2024 22 September 22 22 2024 September 23, 2024 September 24, 2024 September 25, 2024 on September 26, 2024 on September, 2024 28 September, 2024 29 September 2024 September 30, 2024 1 October 2024 October 2, 2024 October 4, 2024 5 October 2024 October 6, 2024 October 7, 2024 On October 8, 2024 9 October 2024 October 10, 2024 October 11, 2024 October 12, 2024 October 13, 2024 October 14, 2024 October 15, 2024 October 16, 2024 October 17, 2024 October 18, 2024 October 19, 2024 October 2024, 2024 October 22, 2024 23, 2024 October 24, 2024 25 October 25 October 26, 2024 October 27, 2024 October 28, 2024 October 29, 2024 October 30, 2024 on October 2024 November 1, 2024 November 2, 2024 November 3, 2024 November 4, 2024 November 6, 2024 November 7, 2024 November 8, 2024 November 924 November 10 November 11 2024 November December January February March April May June July August September October today Tomorrow Tomorrow Week Weeks of the Months of Children</v>
      </c>
    </row>
    <row r="941">
      <c r="A941" s="1" t="s">
        <v>2982</v>
      </c>
      <c r="B941" s="1" t="s">
        <v>3038</v>
      </c>
      <c r="C941" s="1" t="s">
        <v>2998</v>
      </c>
      <c r="D941" s="1">
        <v>19.0</v>
      </c>
      <c r="E941" s="4" t="s">
        <v>2999</v>
      </c>
      <c r="F941" s="1" t="s">
        <v>43</v>
      </c>
      <c r="I941" s="2">
        <v>3.0</v>
      </c>
      <c r="J941" s="5" t="str">
        <f>IFERROR(__xludf.DUMMYFUNCTION("GOOGLETRANSLATE(A941)"),"Cheburashka")</f>
        <v>Cheburashka</v>
      </c>
      <c r="K941" s="6" t="str">
        <f>IFERROR(__xludf.DUMMYFUNCTION("GOOGLETRANSLATE(B941)"),"Cheburashka (film, 2022) watch online in good ...")</f>
        <v>Cheburashka (film, 2022) watch online in good ...</v>
      </c>
      <c r="L941" s="5" t="str">
        <f>IFERROR(__xludf.DUMMYFUNCTION("GOOGLETRANSLATE(C941)"),"A small eared animal named Cheburashka, due to strong weather, is in a small coastal town right in the possessions of Gennady Petrovich ...")</f>
        <v>A small eared animal named Cheburashka, due to strong weather, is in a small coastal town right in the possessions of Gennady Petrovich ...</v>
      </c>
      <c r="M941" s="5" t="str">
        <f>IFERROR(__xludf.DUMMYFUNCTION("GOOGLETRANSLATE(G941)"),"#VALUE!")</f>
        <v>#VALUE!</v>
      </c>
    </row>
    <row r="942">
      <c r="A942" s="1" t="s">
        <v>2982</v>
      </c>
      <c r="B942" s="1" t="s">
        <v>3039</v>
      </c>
      <c r="C942" s="1" t="s">
        <v>3001</v>
      </c>
      <c r="D942" s="1">
        <v>20.0</v>
      </c>
      <c r="E942" s="4" t="s">
        <v>3002</v>
      </c>
      <c r="F942" s="1" t="s">
        <v>43</v>
      </c>
      <c r="G942" s="1" t="s">
        <v>31</v>
      </c>
      <c r="H942" s="4" t="s">
        <v>32</v>
      </c>
      <c r="I942" s="2">
        <v>3.0</v>
      </c>
      <c r="J942" s="5" t="str">
        <f>IFERROR(__xludf.DUMMYFUNCTION("GOOGLETRANSLATE(A942)"),"Cheburashka")</f>
        <v>Cheburashka</v>
      </c>
      <c r="K942" s="6" t="str">
        <f>IFERROR(__xludf.DUMMYFUNCTION("GOOGLETRANSLATE(B942)"),"Cheburashka (cartoon, 2013)")</f>
        <v>Cheburashka (cartoon, 2013)</v>
      </c>
      <c r="L942" s="5" t="str">
        <f>IFERROR(__xludf.DUMMYFUNCTION("GOOGLETRANSLATE(C942)"),"Cheburashka (Jap. チェブラーシカ Tebure: Sika, Rus. “Cheburashka”) - full -length puppet animated film directed by Makoto Nakamura, in Russian ...")</f>
        <v>Cheburashka (Jap. チェブラーシカ Tebure: Sika, Rus. “Cheburashka”) - full -length puppet animated film directed by Makoto Nakamura, in Russian ...</v>
      </c>
      <c r="M942" s="5" t="str">
        <f>IFERROR(__xludf.DUMMYFUNCTION("GOOGLETRANSLATE(G942)"),"Wikipedia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43">
      <c r="A943" s="1" t="s">
        <v>2982</v>
      </c>
      <c r="B943" s="1" t="s">
        <v>3040</v>
      </c>
      <c r="C943" s="1" t="s">
        <v>3012</v>
      </c>
      <c r="D943" s="1">
        <v>24.0</v>
      </c>
      <c r="E943" s="4" t="s">
        <v>3013</v>
      </c>
      <c r="F943" s="1" t="s">
        <v>43</v>
      </c>
      <c r="I943" s="2">
        <v>4.0</v>
      </c>
      <c r="J943" s="5" t="str">
        <f>IFERROR(__xludf.DUMMYFUNCTION("GOOGLETRANSLATE(A943)"),"Cheburashka")</f>
        <v>Cheburashka</v>
      </c>
      <c r="K943" s="6" t="str">
        <f>IFERROR(__xludf.DUMMYFUNCTION("GOOGLETRANSLATE(B943)"),"Where they shot the film ""Cheburashka"". 6 places with photo")</f>
        <v>Where they shot the film "Cheburashka". 6 places with photo</v>
      </c>
      <c r="L943" s="5" t="str">
        <f>IFERROR(__xludf.DUMMYFUNCTION("GOOGLETRANSLATE(C943)"),"June 31. 2023. -")</f>
        <v>June 31. 2023. -</v>
      </c>
      <c r="M943" s="5" t="str">
        <f>IFERROR(__xludf.DUMMYFUNCTION("GOOGLETRANSLATE(G943)"),"#VALUE!")</f>
        <v>#VALUE!</v>
      </c>
    </row>
    <row r="944">
      <c r="A944" s="1" t="s">
        <v>2982</v>
      </c>
      <c r="B944" s="1" t="s">
        <v>3041</v>
      </c>
      <c r="C944" s="1" t="s">
        <v>3015</v>
      </c>
      <c r="D944" s="1">
        <v>25.0</v>
      </c>
      <c r="E944" s="4" t="s">
        <v>3016</v>
      </c>
      <c r="F944" s="1" t="s">
        <v>43</v>
      </c>
      <c r="G944" s="1" t="s">
        <v>3017</v>
      </c>
      <c r="H944" s="4" t="s">
        <v>3018</v>
      </c>
      <c r="I944" s="2">
        <v>1.0</v>
      </c>
      <c r="J944" s="5" t="str">
        <f>IFERROR(__xludf.DUMMYFUNCTION("GOOGLETRANSLATE(A944)"),"Cheburashka")</f>
        <v>Cheburashka</v>
      </c>
      <c r="K944" s="6" t="str">
        <f>IFERROR(__xludf.DUMMYFUNCTION("GOOGLETRANSLATE(B944)"),"Cheburashka | Unionalymic wiki")</f>
        <v>Cheburashka | Unionalymic wiki</v>
      </c>
      <c r="L944" s="5" t="str">
        <f>IFERROR(__xludf.DUMMYFUNCTION("GOOGLETRANSLATE(C944)"),"Cheburashka is an unknown animal who came to people from the tropics. He is the hero of the series of cartoons ""Soyuzmultfilm"" and one of the main symbols of the studio.")</f>
        <v>Cheburashka is an unknown animal who came to people from the tropics. He is the hero of the series of cartoons "Soyuzmultfilm" and one of the main symbols of the studio.</v>
      </c>
      <c r="M944" s="5" t="str">
        <f>IFERROR(__xludf.DUMMYFUNCTION("GOOGLETRANSLATE(G944)"),"Wiki Index |  | Fandom FANDOM				Fan Central								BETA								Games							Anime							Movies							TV							Video								Wikis												Explore Wikis															Community Central							 				Start a Wiki																We couldn't find an English wi"&amp;"ki at this URL but here are related wikis in other languages																		This is the list of communities under this domain															русский									·									Союзмультфильм вики								Do you want to start the wiki under the domain?													"&amp;"		Create it now								 							Start a Wiki													Check out fandom.com													Fandom University						 Explore properties													Fandom																								Muthead																								Fanatical											Follow Us     Overview								"&amp;"					What is Fandom?																								About																								Careers																								Press																								Contact																								Terms of Use																								Privacy Policy																								Global Sitemap			"&amp;"																					Local Sitemap											Community													Community Central																								Support																								Help																								Do Not Sell or Share My Personal Information											Advertise													Media Kit		"&amp;"																						Contact											Fandom Apps				Take your favorite fandoms with you and never miss a beat.			 is a FANDOM Lifestyle Community.					View Mobile Site")</f>
        <v>Wiki Index |  | Fandom FANDOM				Fan Central								BETA								Games							Anime							Movies							TV							Video								Wikis												Explore Wikis															Community Central							 				Start a Wiki																We couldn't find an English wiki at this URL but here are related wikis in other languages																		This is the list of communities under this domain															русский									·									Союзмультфильм вики								Do you want to start the wiki under the domain?															Create it now								 							Start a Wiki													Check out fandom.com													Fandom University						 Explore properties													Fandom																								Muthead																								Fanatical											Follow Us     Overview													What is Fandom?																								About																								Careers																								Press																								Contact																								Terms of Use																								Privacy Policy																								Global Sitemap																								Local Sitemap											Community													Community Central																								Support																								Help																								Do Not Sell or Share My Personal Information											Advertise													Media Kit																								Contact											Fandom Apps				Take your favorite fandoms with you and never miss a beat.			 is a FANDOM Lifestyle Community.					View Mobile Site</v>
      </c>
    </row>
    <row r="945">
      <c r="A945" s="1" t="s">
        <v>2982</v>
      </c>
      <c r="B945" s="1" t="s">
        <v>3042</v>
      </c>
      <c r="D945" s="1">
        <v>26.0</v>
      </c>
      <c r="E945" s="4" t="s">
        <v>3020</v>
      </c>
      <c r="F945" s="1" t="s">
        <v>43</v>
      </c>
      <c r="G945" s="1" t="s">
        <v>344</v>
      </c>
      <c r="H945" s="4" t="s">
        <v>345</v>
      </c>
      <c r="I945" s="2">
        <v>2.0</v>
      </c>
      <c r="J945" s="5" t="str">
        <f>IFERROR(__xludf.DUMMYFUNCTION("GOOGLETRANSLATE(A945)"),"Cheburashka")</f>
        <v>Cheburashka</v>
      </c>
      <c r="K945" s="6" t="str">
        <f>IFERROR(__xludf.DUMMYFUNCTION("GOOGLETRANSLATE(B945)"),"Cartoon Cheburashka (2013) watch online in ...")</f>
        <v>Cartoon Cheburashka (2013) watch online in ...</v>
      </c>
      <c r="L945" s="5" t="str">
        <f>IFERROR(__xludf.DUMMYFUNCTION("GOOGLETRANSLATE(C945)"),"#VALUE!")</f>
        <v>#VALUE!</v>
      </c>
      <c r="M945" s="5" t="str">
        <f>IFERROR(__xludf.DUMMYFUNCTION("GOOGLETRANSLATE(G945)"),"IVI online cinema - films TV shows and cartoons watch online for free in good quality Ivivable Ivyvyvyanryarthaiarthausbiography Bades -Western -Westernate of the whole family of children of the children -democraticatrofycriminalmic -dimensional dimension"&amp;"s The North -Building Summer Soviet Delights of 2023 Fi films of 2022 Fuel Fuels 2021 2020 Features of 2020 Cleaning Veriatsivi. Routing Twitting, to see the films in the HDDs Subscribe on Smarttvserialyzhanybiosynynynetetetextives of the entire family of"&amp;" children Nyekhriminalmedicinemicemic dramatic adoptional -moman -mantic fantastic phynthintic -Russian -American -American -American -Twen -Summarias of 2023 Saemes of 2022 2021 Saems of 2020, Redinovyvi. Raittensurials In HDDs on Smarttvmultfiltfiltyzha"&amp;"nryanimoboevikodetal, adults of the whole family of children of children from the Children's -SamadiyuzyzyzyziklovyzyklovsikhoriahprospentiStestesistanistStesistanist -Russian -Russian -Trammults 2023 years of 2021 2021 years 2020 The years in the ONIMUMU"&amp;"LTICS in HD, in the HDTV, at the Smarttvpiwatch, take a subscription to the subscription-willcracials of the Iviteoria large money, the nyxygovy girlfriend Ivilada Goldni that the first counterclaims of the steam of the unclean digers (2019) gymnast-call "&amp;"does not happen. noah ""cranes"" exclusive I can’t Ivikho Ivikho Ivikho Ivikho I can’t go to the difficulty of the relationship of the North-Emerine Severini Emericial Heart! A brief course of a happy life-groomed cell (2013) Russian Gorcioline Kinoter Iv"&amp;"i: films in good quality always bring real pleasure to you to refuse to watch an interesting film due to the fact that it was shown in an uncomfortable time? Did you have to look for movies online on the Internet where to watch movies? And to argue with h"&amp;"ome because of the choice of movies for viewing on TV? All these problems remained in the past! Open for yourself movies online in HD quality with Ivi cinema. We do not just free you from the need to go to the cinema or study the television program-visito"&amp;"rs to our resource have much more opportunities. IVIONLINA-Kinotar-this is the largest collection of domestic and foreign films in Runet. Our video text has more than 30 thousand films and videos available for watching online and is constantly updated. Th"&amp;"e online cinema IVI.TV is: the first video service in Russia that allows you to watch movies online in good quality; The ability to postpone watching a movie for a while or start watching a movie online from any moment; Convenient search for films: by the"&amp;" name of the year of production of production or genre; Online films to watch which are not required to install video players or look for codecs; Regularly we add to the site the latest comedies the best films-adventures fighters Films of horror thrillers"&amp;" and historical dramas. Return for yourself the opportunity to watch movies online in excellent quality with the Ivy cinema! Make sure that watching online is simply and convenient! Adventures of a spray-pipe returns unnecessary people calendar MA (s) pap"&amp;"a-Vujnogenda Orlendi Pioneer 3. Hello adult life! Films about real lovers of strict-grains of ae-grader: a new turning point in the exchange of love. Only for adults 30 dates, there are a bitter-Russian multi-part melodrama of memory of the Memory and Mar"&amp;"garitagornical ALSALISA ALLECTION I know your secrets on the Kubaniton Mission Detective Military Militical Militical Films with a High Route of Subscription Series in the Subscription of the NASU SUB Ending Information for partnerships of an advertising "&amp;"agreement of the confidentiality policy of IVI, letters of recommendation are used technologies of the discretion of Ivi and something new films of the science Certificate Care Films TV shows and cartoons without advertising loads BAPP Stores is inGoogle "&amp;"Play, View devices")</f>
        <v>IVI online cinema - films TV shows and cartoons watch online for free in good quality Ivivable Ivyvyvyanryarthaiarthausbiography Bades -Western -Westernate of the whole family of children of the children -democraticatrofycriminalmic -dimensional dimensions The North -Building Summer Soviet Delights of 2023 Fi films of 2022 Fuel Fuels 2021 2020 Features of 2020 Cleaning Veriatsivi. Routing Twitting, to see the films in the HDDs Subscribe on Smarttvserialyzhanybiosynynynetetetextives of the entire family of children Nyekhriminalmedicinemicemic dramatic adoptional -moman -mantic fantastic phynthintic -Russian -American -American -American -Twen -Summarias of 2023 Saemes of 2022 2021 Saems of 2020, Redinovyvi. Raittensurials In HDDs on Smarttvmultfiltfiltyzhanryanimoboevikodetal, adults of the whole family of children of children from the Children's -SamadiyuzyzyzyziklovyzyklovsikhoriahprospentiStestesistanistStesistanist -Russian -Russian -Trammults 2023 years of 2021 2021 years 2020 The years in the ONIMUMULTICS in HD, in the HDTV, at the Smarttvpiwatch, take a subscription to the subscription-willcracials of the Iviteoria large money, the nyxygovy girlfriend Ivilada Goldni that the first counterclaims of the steam of the unclean digers (2019) gymnast-call does not happen. noah "cranes" exclusive I can’t Ivikho Ivikho Ivikho Ivikho I can’t go to the difficulty of the relationship of the North-Emerine Severini Emericial Heart! A brief course of a happy life-groomed cell (2013) Russian Gorcioline Kinoter Ivi: films in good quality always bring real pleasure to you to refuse to watch an interesting film due to the fact that it was shown in an uncomfortable time? Did you have to look for movies online on the Internet where to watch movies? And to argue with home because of the choice of movies for viewing on TV? All these problems remained in the past! Open for yourself movies online in HD quality with Ivi cinema. We do not just free you from the need to go to the cinema or study the television program-visitors to our resource have much more opportunities. IVIONLINA-Kinotar-this is the largest collection of domestic and foreign films in Runet. Our video text has more than 30 thousand films and videos available for watching online and is constantly updated. The online cinema IVI.TV is: the first video service in Russia that allows you to watch movies online in good quality; The ability to postpone watching a movie for a while or start watching a movie online from any moment; Convenient search for films: by the name of the year of production of production or genre; Online films to watch which are not required to install video players or look for codecs; Regularly we add to the site the latest comedies the best films-adventures fighters Films of horror thrillers and historical dramas. Return for yourself the opportunity to watch movies online in excellent quality with the Ivy cinema! Make sure that watching online is simply and convenient! Adventures of a spray-pipe returns unnecessary people calendar MA (s) papa-Vujnogenda Orlendi Pioneer 3. Hello adult life! Films about real lovers of strict-grains of ae-grader: a new turning point in the exchange of love. Only for adults 30 dates, there are a bitter-Russian multi-part melodrama of memory of the Memory and Margaritagornical ALSALISA ALLECTION I know your secrets on the Kubaniton Mission Detective Military Militical Militical Films with a High Route of Subscription Series in the Subscription of the NASU SUB Ending Information for partnerships of an advertising agreement of the confidentiality policy of IVI, letters of recommendation are used technologies of the discretion of Ivi and something new films of the science Certificate Care Films TV shows and cartoons without advertising loads BAPP Stores is inGoogle Play, View devices</v>
      </c>
    </row>
    <row r="946">
      <c r="A946" s="1" t="s">
        <v>2982</v>
      </c>
      <c r="B946" s="1" t="s">
        <v>3043</v>
      </c>
      <c r="D946" s="1">
        <v>27.0</v>
      </c>
      <c r="E946" s="4" t="s">
        <v>3044</v>
      </c>
      <c r="F946" s="1" t="s">
        <v>43</v>
      </c>
      <c r="G946" s="1" t="s">
        <v>3045</v>
      </c>
      <c r="H946" s="1" t="s">
        <v>3046</v>
      </c>
      <c r="I946" s="2">
        <v>1.0</v>
      </c>
      <c r="J946" s="5" t="str">
        <f>IFERROR(__xludf.DUMMYFUNCTION("GOOGLETRANSLATE(A946)"),"Cheburashka")</f>
        <v>Cheburashka</v>
      </c>
      <c r="K946" s="6" t="str">
        <f>IFERROR(__xludf.DUMMYFUNCTION("GOOGLETRANSLATE(B946)"),"Show Cheburashka. Buy tickets without a margin for the whole family")</f>
        <v>Show Cheburashka. Buy tickets without a margin for the whole family</v>
      </c>
      <c r="L946" s="5" t="str">
        <f>IFERROR(__xludf.DUMMYFUNCTION("GOOGLETRANSLATE(C946)"),"#VALUE!")</f>
        <v>#VALUE!</v>
      </c>
      <c r="M946" s="5" t="str">
        <f>IFERROR(__xludf.DUMMYFUNCTION("GOOGLETRANSLATE(G946)")," Show Cheburashka. Buy tickets without a margin for the whole family has -500 rubles for tickets to the stalls and amphitheater. Promo code: CH500 Cheburashka Cheburashkao show -condescoll -contacts of visiting visiting -500 rubles for tickets to the stal"&amp;"ls and amphitheater. Promo code: CH500 Cheburashka about the Pushkin map do you have a younger brother or sister? Take them with you and arrange for yourself a real family weekend! After all, the Cheburashka show-musical is a unique musical and cycle perf"&amp;"ormance for the whole family! You will find air acrobats dizzying tricks new songs by Sergey Zhukov performed by the stars of Russian musicals and a real Cheburashka on stage. He sings dancing flies walks on the ceiling upside down and will surprise you m"&amp;"ore than once! The general rules of the Pushkin Card program can be read on the Culture.ru website. Tickets for the Pushkin card can be purchased on the Cheburashka.show website. On one performance, you can purchase no more than one ticket. Make sure that"&amp;" your Pushkin card is enough to pay for the selected tickets. The surcharge by a bank card is not provided. At the return of the ticket less than 10 days before the performance to the Pushkin Card, a fine is held from the returned amount according to the "&amp;"rules for returning tickets. The ticket purchased within the framework of the shares is not refund. In case of violation of the procedure for purchasing tickets, the visitor is not allowed to the event without reimbursing the expenses incurred. The ticket"&amp;" paid by the Pushkin Card is registered and cannot be transferred to third parties. At the entrance, the viewer is obliged to show the controller a ticket and a passport or his profile in the Appendix of State Services. Culture. Upon a visit to the event "&amp;"when passing into the auditorium, the personality of the viewer is identified using a photograph on his “Pushkin map” as well as the reconciliation of the surname and the name of those indicated on the ticket with passport data. In case of inconsistency o"&amp;"f information about the visitor indicated in the ticket, the information bought on the Pushkin card contained in the document presented in the presented document or if there are corrections in the information about the visitor indicated in the ticket, the"&amp;" visitor bought on the Pushkin map is not allowed to the auditorium. Eared adventures of a beloved hero! On the stage, on the stage from December 16, buy a ticket of a visit to the show input ticket to the amusement park “Ostrov’s Island” is not required "&amp;"not only in the cinema - the beloved fluffy has gone to a large scene and delights the audience with unique special effects and of course an exciting plot Based on the successful film ""On the stage, we came up with such an effect that in the cinema and d"&amp;"id not even dream of"" commented the director of the show Nina Chusova. Large -scale scenery the scale of the show is impressive: complex multi -level decorations replace each other to the beat of the plot. Against the background of the stage, huge screen"&amp;"s are everywhere oranges - there are more than ten tons of them! Яркие танцы Невероятные трюки В постановке задействованы чемпионы мира и абсолютные чемпионы Европы по акробатике артисты Cirque du Soleil и Todes звезды проекта «Танцы на ТНТ» Постановщик ш"&amp;"оу цирковой режиссер солист Cirque du Soleil автор уникальных трюков вошедших в энциклопедии циркового искусства Андрей Кольцов   Песни каждая из которых He has every chance to become a hit - after all, they were written by one of the main authors of the "&amp;"country's pop music Sergei Zhukov! Buy a ticket Cheburashka returns with amazing adventures! A real storm and an oranges exciting Corrida hot savannah with animals and a large chocolate factory with the most delicious chocolate in the world to buy a ticke"&amp;"t story for the whole family, the duration of the performance: 1 hour 30 minutes with an intermission to the show ""Cheburashka"" will be a great gift for a birthday or Any other holiday of large and little spectators will be waiting for the story of a sm"&amp;"all fluffy hero. Together with new friends, the audience will have to resist the enemies and disrupt the insidious plan of the harmful Shapoklyak that is preparing ... The cap is turning children into evil and naughty grandiose performance with good songs"&amp;" with sparkling humor and exciting plot - this is the result of inspired work of high -level specialists. Presentation with special effects by animation with delightful acrobatic tricks and circus numbers will combine several generations of spectators. Th"&amp;"e funny pranks of the protagonist and his friends will give all the audience unforgettable emotions. Children will be delighted with interactives, and adults will remember their childhood and with a smile on their faces they will enjoy bright numbers and "&amp;"witty dialogues of characters to buy the Buy Yearly Emotions Feedback Masha Shurochkadnaya Swimming Champion “Wonderful Show Very Warm. At some point, even wept. My cousin of course liked. And the most important thing is that adults are also very close to"&amp;" the heart. I want to thank the authors of the musical for this excellent holiday for reminding it of some important things and, of course, set up on a positive wave. Today it rains slush and here came and the mood rose. This is a wonderful show! ”Natalia"&amp;" Podolskaya St. Petersburg“ An amazing show We are all under great impression. As a mother and as an artist, I am very glad that such high -quality and cool projects for a family viewer began to appear on our stage: with the scenery that move with special"&amp;" effects with screens. And what amazing artists! In general, they had been going here for a long time and very glad that they finally visited the show created based on the film “Cheburashka”. The protagonist has such a touching number - he sings a song an"&amp;"d before the eyes of the spectators are shots from the film ""Zhenya Malakhovapevitsa"" Actually complete delight! The delight of childhood is to see Cheburashka with your own eyes. And you know how miracles exist so dreams Cheburashka come true - he chec"&amp;"ked the real one ”Zarina Menglias Theater and Cinema Champion European in rhythmic gymnastics“ My Son and I am completely delighted with my son. I congratulate all the creators of all who made this production of beautiful artists who perform on stage. How"&amp;" cool they sing! Very kind show. After watching, we have a great mood I want to fly to jump to run and do something useful to carry good to this world. Thanks a lot! I hope that there will be more such good wonderful shows. We are delighted! ”Svetlana Rom"&amp;"ashin Semashny Olympic champion in synchronous swimming“ This is really a family show that I want to come again and again ”Alexander and Alesya Enbertfigurist (Alexander). Model and blogger (Alesya). “Today our dream came true - we met Cheburashka hugged "&amp;"him. I want such a dream to fulfill every child! Our Crystable is still a very young spectator, but with great pleasure looked at all two departments and she was interested. Here is such an incredible atmosphere of the holiday. We were charged with an ora"&amp;"nge mood! ”Dmitry is a sophisticated photographer“ Under a great impression of the musical, it is completely charming at a good modern level. I was impressed by the acrobatic numbers and Miyusha is delighted with the robot of the Cheburator. Cool costumes"&amp;" musical decoration numbers. All at the highest level! Very good aftertaste ”Elena Kuletskaya Model and TV presenter“ This is really a show for the whole family where it is interesting for both children and adults. Very cool costumes are beautiful special"&amp;" effects and what an interesting interactive with the hall! I don’t even know how long the show lasts but time flew in one breath. We will be happy to return again. ”Buy a ticket about the site new modern site of the largest entertainment park 3600 step a"&amp;"vailability of the metro station“ Technopark ”Availability for people with the disabilities of places - the spacious hall of Moscow Avenue Andropova1, 5 minutes of m. Technopark to get into the technology park. Moskva Concert Hall, through the main entert"&amp;"ainment of the Ostrov Dreams, further according to the adventures of the popular favorite on the stage of the Moscow Concert Hall of Entertainment Park “The Island of Dreams” Free parking rules for visiting • To visit the show, entrance ticket to the ente"&amp;"rtainment Park “Dream Island” Not required. • The ticket is valid on one person. Children under 3 years old (not inclusive) pass one ticket with an adult, provided that the child occupies one place with the parent in the auditorium. The administration has"&amp;" the right to demand the document certifying the age of the child at the entrance. • The admission of spectators to the concert hall begins 1 hour before the start of the event indicated on the ticket. • To pass to the event, it is necessary to present an"&amp;" electronic ticket with a unique barcode at the entrance. • Each barcode. The placed on the ticket is individual. Do not copy, do not scan, do not take pictures and do not post a photo/scan of your ticket on the Internet. Remember that scammers can use yo"&amp;"ur barcode! The risk of non -fragmentation in connection with the copy of the barcode placed on the ticket lies on the visitor. • take up a place in the auditorium according to the ticket. • Save the ticket until the end of the event and present at the re"&amp;"quest of the administrator of the concert hall. • After the third call, the viewer has the right to go to the auditorium and To take a place in agreement with the administrator of the hall; • Mobile communications and security alarms during the event must"&amp;" be turned off or transferred to a soundless mode; • after the end of the event, the wardrobe works within 45 minutes; • in case of loss of the number, it is a cost of 1000 rubles; • In case of loss of things, it is necessary to contact the administration"&amp;" by phone: +7 (495) 664-50-12. Forgotten things are stored for 7 days. • The purchased ticket is not subject to exchange. • The rules for purchasing a ticket on the Pushkin card can be read here • And the rules for returning the ticket - here in the conce"&amp;"rt hall is unacceptable • smoke; • go with animals; • enter in outerwear or bring it to the auditorium; • carry large -sized objects; • come in with drinks and food; • To pick up open suspicious objects. In case of detection, it is necessary to immediatel"&amp;"y inform the security officer or administration about this; • enter into a state of alcohol drug or toxic intoxication as well as in dirty and dirty clothing; • carry out any types of weapons (firearms of cold gas, etc.) of ammunition of special means (ga"&amp;"s cans of electric shock devices spark discharge, etc.) of flammable substances and pyrotechnics; ATTENTION! The event may be carried out photo and video shooting. The publication and further use of the image of the viewer is legitimate on the basis of pa"&amp;"ragraphs. 2 p. 1 tbsp. 152.1. The Civil Code of the Russian Federation, with the exception of cases when such an image is the main object of use. Spectators violating the above rules are required to leave the concert hall while compensation for the ticket"&amp;" value of the ticket is not made to the viewer. Partners Information Partners Contacts Natalya Lokteva General Producerslokteva@nashe.show Corporate and group sales info@nashe.show Media and partners PR@nashe.show © Yellow Black and White Soyuzmultfilmcop"&amp;"ying of the materials of the site are prohibited.")</f>
        <v> Show Cheburashka. Buy tickets without a margin for the whole family has -500 rubles for tickets to the stalls and amphitheater. Promo code: CH500 Cheburashka Cheburashkao show -condescoll -contacts of visiting visiting -500 rubles for tickets to the stalls and amphitheater. Promo code: CH500 Cheburashka about the Pushkin map do you have a younger brother or sister? Take them with you and arrange for yourself a real family weekend! After all, the Cheburashka show-musical is a unique musical and cycle performance for the whole family! You will find air acrobats dizzying tricks new songs by Sergey Zhukov performed by the stars of Russian musicals and a real Cheburashka on stage. He sings dancing flies walks on the ceiling upside down and will surprise you more than once! The general rules of the Pushkin Card program can be read on the Culture.ru website. Tickets for the Pushkin card can be purchased on the Cheburashka.show website. On one performance, you can purchase no more than one ticket. Make sure that your Pushkin card is enough to pay for the selected tickets. The surcharge by a bank card is not provided. At the return of the ticket less than 10 days before the performance to the Pushkin Card, a fine is held from the returned amount according to the rules for returning tickets. The ticket purchased within the framework of the shares is not refund. In case of violation of the procedure for purchasing tickets, the visitor is not allowed to the event without reimbursing the expenses incurred. The ticket paid by the Pushkin Card is registered and cannot be transferred to third parties. At the entrance, the viewer is obliged to show the controller a ticket and a passport or his profile in the Appendix of State Services. Culture. Upon a visit to the event when passing into the auditorium, the personality of the viewer is identified using a photograph on his “Pushkin map” as well as the reconciliation of the surname and the name of those indicated on the ticket with passport data. In case of inconsistency of information about the visitor indicated in the ticket, the information bought on the Pushkin card contained in the document presented in the presented document or if there are corrections in the information about the visitor indicated in the ticket, the visitor bought on the Pushkin map is not allowed to the auditorium. Eared adventures of a beloved hero! On the stage, on the stage from December 16, buy a ticket of a visit to the show input ticket to the amusement park “Ostrov’s Island” is not required not only in the cinema - the beloved fluffy has gone to a large scene and delights the audience with unique special effects and of course an exciting plot Based on the successful film "On the stage, we came up with such an effect that in the cinema and did not even dream of" commented the director of the show Nina Chusova. Large -scale scenery the scale of the show is impressive: complex multi -level decorations replace each other to the beat of the plot. Against the background of the stage, huge screens are everywhere oranges - there are more than ten tons of them! Яркие танцы Невероятные трюки В постановке задействованы чемпионы мира и абсолютные чемпионы Европы по акробатике артисты Cirque du Soleil и Todes звезды проекта «Танцы на ТНТ» Постановщик шоу цирковой режиссер солист Cirque du Soleil автор уникальных трюков вошедших в энциклопедии циркового искусства Андрей Кольцов   Песни каждая из которых He has every chance to become a hit - after all, they were written by one of the main authors of the country's pop music Sergei Zhukov! Buy a ticket Cheburashka returns with amazing adventures! A real storm and an oranges exciting Corrida hot savannah with animals and a large chocolate factory with the most delicious chocolate in the world to buy a ticket story for the whole family, the duration of the performance: 1 hour 30 minutes with an intermission to the show "Cheburashka" will be a great gift for a birthday or Any other holiday of large and little spectators will be waiting for the story of a small fluffy hero. Together with new friends, the audience will have to resist the enemies and disrupt the insidious plan of the harmful Shapoklyak that is preparing ... The cap is turning children into evil and naughty grandiose performance with good songs with sparkling humor and exciting plot - this is the result of inspired work of high -level specialists. Presentation with special effects by animation with delightful acrobatic tricks and circus numbers will combine several generations of spectators. The funny pranks of the protagonist and his friends will give all the audience unforgettable emotions. Children will be delighted with interactives, and adults will remember their childhood and with a smile on their faces they will enjoy bright numbers and witty dialogues of characters to buy the Buy Yearly Emotions Feedback Masha Shurochkadnaya Swimming Champion “Wonderful Show Very Warm. At some point, even wept. My cousin of course liked. And the most important thing is that adults are also very close to the heart. I want to thank the authors of the musical for this excellent holiday for reminding it of some important things and, of course, set up on a positive wave. Today it rains slush and here came and the mood rose. This is a wonderful show! ”Natalia Podolskaya St. Petersburg“ An amazing show We are all under great impression. As a mother and as an artist, I am very glad that such high -quality and cool projects for a family viewer began to appear on our stage: with the scenery that move with special effects with screens. And what amazing artists! In general, they had been going here for a long time and very glad that they finally visited the show created based on the film “Cheburashka”. The protagonist has such a touching number - he sings a song and before the eyes of the spectators are shots from the film "Zhenya Malakhovapevitsa" Actually complete delight! The delight of childhood is to see Cheburashka with your own eyes. And you know how miracles exist so dreams Cheburashka come true - he checked the real one ”Zarina Menglias Theater and Cinema Champion European in rhythmic gymnastics“ My Son and I am completely delighted with my son. I congratulate all the creators of all who made this production of beautiful artists who perform on stage. How cool they sing! Very kind show. After watching, we have a great mood I want to fly to jump to run and do something useful to carry good to this world. Thanks a lot! I hope that there will be more such good wonderful shows. We are delighted! ”Svetlana Romashin Semashny Olympic champion in synchronous swimming“ This is really a family show that I want to come again and again ”Alexander and Alesya Enbertfigurist (Alexander). Model and blogger (Alesya). “Today our dream came true - we met Cheburashka hugged him. I want such a dream to fulfill every child! Our Crystable is still a very young spectator, but with great pleasure looked at all two departments and she was interested. Here is such an incredible atmosphere of the holiday. We were charged with an orange mood! ”Dmitry is a sophisticated photographer“ Under a great impression of the musical, it is completely charming at a good modern level. I was impressed by the acrobatic numbers and Miyusha is delighted with the robot of the Cheburator. Cool costumes musical decoration numbers. All at the highest level! Very good aftertaste ”Elena Kuletskaya Model and TV presenter“ This is really a show for the whole family where it is interesting for both children and adults. Very cool costumes are beautiful special effects and what an interesting interactive with the hall! I don’t even know how long the show lasts but time flew in one breath. We will be happy to return again. ”Buy a ticket about the site new modern site of the largest entertainment park 3600 step availability of the metro station“ Technopark ”Availability for people with the disabilities of places - the spacious hall of Moscow Avenue Andropova1, 5 minutes of m. Technopark to get into the technology park. Moskva Concert Hall, through the main entertainment of the Ostrov Dreams, further according to the adventures of the popular favorite on the stage of the Moscow Concert Hall of Entertainment Park “The Island of Dreams” Free parking rules for visiting • To visit the show, entrance ticket to the entertainment Park “Dream Island” Not required. • The ticket is valid on one person. Children under 3 years old (not inclusive) pass one ticket with an adult, provided that the child occupies one place with the parent in the auditorium. The administration has the right to demand the document certifying the age of the child at the entrance. • The admission of spectators to the concert hall begins 1 hour before the start of the event indicated on the ticket. • To pass to the event, it is necessary to present an electronic ticket with a unique barcode at the entrance. • Each barcode. The placed on the ticket is individual. Do not copy, do not scan, do not take pictures and do not post a photo/scan of your ticket on the Internet. Remember that scammers can use your barcode! The risk of non -fragmentation in connection with the copy of the barcode placed on the ticket lies on the visitor. • take up a place in the auditorium according to the ticket. • Save the ticket until the end of the event and present at the request of the administrator of the concert hall. • After the third call, the viewer has the right to go to the auditorium and To take a place in agreement with the administrator of the hall; • Mobile communications and security alarms during the event must be turned off or transferred to a soundless mode; • after the end of the event, the wardrobe works within 45 minutes; • in case of loss of the number, it is a cost of 1000 rubles; • In case of loss of things, it is necessary to contact the administration by phone: +7 (495) 664-50-12. Forgotten things are stored for 7 days. • The purchased ticket is not subject to exchange. • The rules for purchasing a ticket on the Pushkin card can be read here • And the rules for returning the ticket - here in the concert hall is unacceptable • smoke; • go with animals; • enter in outerwear or bring it to the auditorium; • carry large -sized objects; • come in with drinks and food; • To pick up open suspicious objects. In case of detection, it is necessary to immediately inform the security officer or administration about this; • enter into a state of alcohol drug or toxic intoxication as well as in dirty and dirty clothing; • carry out any types of weapons (firearms of cold gas, etc.) of ammunition of special means (gas cans of electric shock devices spark discharge, etc.) of flammable substances and pyrotechnics; ATTENTION! The event may be carried out photo and video shooting. The publication and further use of the image of the viewer is legitimate on the basis of paragraphs. 2 p. 1 tbsp. 152.1. The Civil Code of the Russian Federation, with the exception of cases when such an image is the main object of use. Spectators violating the above rules are required to leave the concert hall while compensation for the ticket value of the ticket is not made to the viewer. Partners Information Partners Contacts Natalya Lokteva General Producerslokteva@nashe.show Corporate and group sales info@nashe.show Media and partners PR@nashe.show © Yellow Black and White Soyuzmultfilmcopying of the materials of the site are prohibited.</v>
      </c>
    </row>
    <row r="947">
      <c r="A947" s="1" t="s">
        <v>2982</v>
      </c>
      <c r="B947" s="1" t="s">
        <v>3035</v>
      </c>
      <c r="D947" s="1">
        <v>28.0</v>
      </c>
      <c r="E947" s="4" t="s">
        <v>3026</v>
      </c>
      <c r="F947" s="1" t="s">
        <v>43</v>
      </c>
      <c r="G947" s="1" t="s">
        <v>695</v>
      </c>
      <c r="H947" s="4" t="s">
        <v>696</v>
      </c>
      <c r="I947" s="2">
        <v>1.0</v>
      </c>
      <c r="J947" s="5" t="str">
        <f>IFERROR(__xludf.DUMMYFUNCTION("GOOGLETRANSLATE(A947)"),"Cheburashka")</f>
        <v>Cheburashka</v>
      </c>
      <c r="K947" s="6" t="str">
        <f>IFERROR(__xludf.DUMMYFUNCTION("GOOGLETRANSLATE(B947)"),"Cheburashka")</f>
        <v>Cheburashka</v>
      </c>
      <c r="L947" s="5" t="str">
        <f>IFERROR(__xludf.DUMMYFUNCTION("GOOGLETRANSLATE(C947)"),"#VALUE!")</f>
        <v>#VALUE!</v>
      </c>
      <c r="M947" s="5" t="str">
        <f>IFERROR(__xludf.DUMMYFUNCTION("GOOGLETRANSLATE(G947)"),"Wikoslovaryvikylovikar: the title page of viklivarvary to navigate to the search for the Russian viklovardobrot to the Russian vikvar - the multifunctional multilingual dictionary and the thesis in the discussion and replenishment of which everyone can pa"&amp;"rticipate. The word word was opened on May 1, 2004 and now it contains 1,314,06 articles on the words of word -of -word units. Nitsa and phrases of more than 600 languages ​​of the world. You can supplement and improve the already begun articles create ne"&amp;"w ones and also leave requests for the creation of new articles and to add values ​​already begun. If you are not a registered participant, then use an incubator to create articles. At the same time, it is recommended to use the rules for the design of ar"&amp;"ticles and the Vikiwaran reference section as an help. It is also possible to discuss the issues that arise in the partitions of the Page Pages of the discussion also have each article of the category, etc. On vikasososostleki -ketilexographic concept, th"&amp;"e structure of viklovary -based contractions of the design of the articles of literature, the creation of the articles of the articles in the vikwar -participants of the vijacan November 2023: for a month in Russian Skom Wikhoslovare created about 14,300 "&amp;"articles. September 2023: About 12,000 articles were created in the Russian Viklivar. August 2023: about 11,800 articles were created in the Russian Vikylovar. July 2023: about 9400 articles 2023 were created in the Russian Viklivar. : Over a month, about"&amp;" 8,000 articles 1 was created in the Russian Viklivar: the number of articles on the meter on the title page of the viklivar was about 1274 thousand male 2023: about 9300 articles were created in the Russian Viklivar. April 2023: about a month in the Russ"&amp;"ian viklovar created 9500 articles. Spring News Articles · In Russian in the Russian Language of CapteGoria -Sumantic Categories: Abstract relations between the Office of the Economic Affairs of the Evaluations of the Human Light -Human -Loan Grammarmatic"&amp;" Categories: Parts of Subscribing Greetings of the Message of Personnel -Summaries of the Democraticism of the Domestic Grammariystrymic nitramatic categories: described language -described language Logizma-Modkadkadkadkanovybreviator-dumper-and-mammorphh"&amp;"ms and others. Parts of the Slovisure of the Language of Languages ​​by the origin of the category in alphabetical storage of the vaults: Slavic language of the language of the language of the language of the language of the language of the language of th"&amp;"e language of the language Language-guaranic dictionary of the Russian Language of the Russian Language of the Rozausurus more frequent words of various linguists of the dictionary of the vocabulary of the pollutant friends of translator-red-painted word-"&amp;"speaking thematic tables: Abvgdeshezhziyklmnoprstufkhshshchshshchshshchshshchshshchshshchshchyabhazian English Arab-Armenia Armenian Armenia The Bulgarian Bigrethengers Greek Greek Georgian Data of the Data of the Data -Greek Igruck -Iskiylansian Iska -Li"&amp;"ngaisa -Lingaic -Lingaisky Koreki Koreansky Latin Litino Lithuanian Macedonian German -Service -Roseta Palipol Portuguese -Sulfyskoyan Tatar -Tutar -Tutar -Tutar -Firefire -February -Firefire -Februarys Khoratsa -Firefront The EXCHOSSKY ESTRUSPENTO -ESTAR"&amp;"OSKOYSKYASTOSKY YASKOSKYASHSKAYSKY YAVOSHKOVSKYASHICHSKOVSISTOSKY Articles here are written exclusively in Russian. Other languages ​​can be found in the appropriate language sections of Wiktionary: English | Bulgarian | Hungarian | Galician | Greek | Heb"&amp;"rew | Spanish | Italian | Chinese | Korean | Kurdish | Latin | Malagasky | Macedonian | German | Dutch | Polish | Portuguese | Romanian | Turkish | Ukrainian | Finnish | French | Swedish | Esperanto | Japanese spokes for all language sections (English) | "&amp;"General page of the Wiktionary Graduate Projects of the Foundation Vikimediavikipediac-language encyclopediavicemaging Media-fi-ovyloviki-oreginal text-okycitanium-okollectic collection okitatvykino-hungeries and guidelines of vicamine these knowledge of "&amp;"the knowledge of the Vikihi -Medistancubator Vikimedian Language section of the source - https://ru.wiktionary.org/w/index.php?title= Vypysyglivar: the post -staff_oldid=13217579 The system of consumption to compose the accounting recordings Immedic -base"&amp;"d Russian viewing of the CodaStoriyatoriyop -oscillation -based pages of an index -pages of the Estate page of the errors of the errors of the Ethnicity Events, There are a pages of the pages of the page on the page of the abbreviated URL-address of the w"&amp;"ikidan-prize/exported to make a bookstick as a PDFVRESIT for printing other projects vi-wound-free-mass-vikimedia Outreachy, vicotexts. Kidanneevikifunikhonceniimanikihimanovykinovicopediavikipyvikyvikyvyvikovikovikovikovikoviki -vertic is other languages"&amp;" ​​ال eyympة azərbaycancatalà ꮳꮃꭹ češtinadeutschελληνικάenglisheleestieuskara Galego हिन्दी Magyar հ Bahasa Indonesiaidoitaliano 日本語 jawa ಕನ್ನಡ 한국어 kurdîlimburgslietuviųmalagasy മലയാളം nederlandsnorskocitan ଓଡ଼ିଆ polskiSrom] I / SRPKHRVATSKISKI / srpskisv"&amp;"enska தமிழ் ไทย ไทย türkçejokoʻzbekcha / ўzbekchatiếng việt 中文 This page was last edited on November 10, 2023 at 10: 24. The text is available under the Creative Commons Attributation-Scharealike license in separate cases Additional conditions may apply. "&amp;"For more details, see the conditions of use. Politician of confidentiality of vikoslovaryaotokaz from liability of the behavior of development of the development of a cummant version")</f>
        <v>Wikoslovaryvikylovikar: the title page of viklivarvary to navigate to the search for the Russian viklovardobrot to the Russian vikvar - the multifunctional multilingual dictionary and the thesis in the discussion and replenishment of which everyone can participate. The word word was opened on May 1, 2004 and now it contains 1,314,06 articles on the words of word -of -word units. Nitsa and phrases of more than 600 languages ​​of the world. You can supplement and improve the already begun articles create new ones and also leave requests for the creation of new articles and to add values ​​already begun. If you are not a registered participant, then use an incubator to create articles. At the same time, it is recommended to use the rules for the design of articles and the Vikiwaran reference section as an help. It is also possible to discuss the issues that arise in the partitions of the Page Pages of the discussion also have each article of the category, etc. On vikasososostleki -ketilexographic concept, the structure of viklovary -based contractions of the design of the articles of literature, the creation of the articles of the articles in the vikwar -participants of the vijacan November 2023: for a month in Russian Skom Wikhoslovare created about 14,300 articles. September 2023: About 12,000 articles were created in the Russian Viklivar. August 2023: about 11,800 articles were created in the Russian Vikylovar. July 2023: about 9400 articles 2023 were created in the Russian Viklivar. : Over a month, about 8,000 articles 1 was created in the Russian Viklivar: the number of articles on the meter on the title page of the viklivar was about 1274 thousand male 2023: about 9300 articles were created in the Russian Viklivar. April 2023: about a month in the Russian viklovar created 9500 articles. Spring News Articles · In Russian in the Russian Language of CapteGoria -Sumantic Categories: Abstract relations between the Office of the Economic Affairs of the Evaluations of the Human Light -Human -Loan Grammarmatic Categories: Parts of Subscribing Greetings of the Message of Personnel -Summaries of the Democraticism of the Domestic Grammariystrymic nitramatic categories: described language -described language Logizma-Modkadkadkadkanovybreviator-dumper-and-mammorphhms and others. Parts of the Slovisure of the Language of Languages ​​by the origin of the category in alphabetical storage of the vaults: Slavic language of the language of the language of the language of the language of the language of the language of the language of the language Language-guaranic dictionary of the Russian Language of the Russian Language of the Rozausurus more frequent words of various linguists of the dictionary of the vocabulary of the pollutant friends of translator-red-painted word-speaking thematic tables: Abvgdeshezhziyklmnoprstufkhshshchshshchshshchshshchshshchshshchshchyabhazian English Arab-Armenia Armenian Armenia The Bulgarian Bigrethengers Greek Greek Georgian Data of the Data of the Data -Greek Igruck -Iskiylansian Iska -Lingaisa -Lingaic -Lingaisky Koreki Koreansky Latin Litino Lithuanian Macedonian German -Service -Roseta Palipol Portuguese -Sulfyskoyan Tatar -Tutar -Tutar -Tutar -Firefire -February -Firefire -Februarys Khoratsa -Firefront The EXCHOSSKY ESTRUSPENTO -ESTAROSKOYSKYASTOSKY YASKOSKYASHSKAYSKY YAVOSHKOVSKYASHICHSKOVSISTOSKY Articles here are written exclusively in Russian. Other languages ​​can be found in the appropriate language sections of Wiktionary: English | Bulgarian | Hungarian | Galician | Greek | Hebrew | Spanish | Italian | Chinese | Korean | Kurdish | Latin | Malagasky | Macedonian | German | Dutch | Polish | Portuguese | Romanian | Turkish | Ukrainian | Finnish | French | Swedish | Esperanto | Japanese spokes for all language sections (English) | General page of the Wiktionary Graduate Projects of the Foundation Vikimediavikipediac-language encyclopediavicemaging Media-fi-ovyloviki-oreginal text-okycitanium-okollectic collection okitatvykino-hungeries and guidelines of vicamine these knowledge of the knowledge of the Vikihi -Medistancubator Vikimedian Language section of the source - https://ru.wiktionary.org/w/index.php?title= Vypysyglivar: the post -staff_oldid=13217579 The system of consumption to compose the accounting recordings Immedic -based Russian viewing of the CodaStoriyatoriyop -oscillation -based pages of an index -pages of the Estate page of the errors of the errors of the Ethnicity Events, There are a pages of the pages of the page on the page of the abbreviated URL-address of the wikidan-prize/exported to make a bookstick as a PDFVRESIT for printing other projects vi-wound-free-mass-vikimedia Outreachy, vicotexts. Kidanneevikifunikhonceniimanikihimanovykinovicopediavikipyvikyvikyvyvikovikovikovikovikoviki -vertic is other languages ​​ال eyympة azərbaycancatalà ꮳꮃꭹ češtinadeutschελληνικάenglisheleestieuskara Galego हिन्दी Magyar հ Bahasa Indonesiaidoitaliano 日本語 jawa ಕನ್ನಡ 한국어 kurdîlimburgslietuviųmalagasy മലയാളം nederlandsnorskocitan ଓଡ଼ିଆ polskiSrom] I / SRPKHRVATSKISKI / srpskisvenska தமிழ் ไทย ไทย türkçejokoʻzbekcha / ўzbekchatiếng việt 中文 This page was last edited on November 10, 2023 at 10: 24. The text is available under the Creative Commons Attributation-Scharealike license in separate cases Additional conditions may apply. For more details, see the conditions of use. Politician of confidentiality of vikoslovaryaotokaz from liability of the behavior of development of the development of a cummant version</v>
      </c>
    </row>
    <row r="948">
      <c r="A948" s="1" t="s">
        <v>2982</v>
      </c>
      <c r="B948" s="1" t="s">
        <v>3047</v>
      </c>
      <c r="C948" s="1" t="s">
        <v>3048</v>
      </c>
      <c r="D948" s="1">
        <v>29.0</v>
      </c>
      <c r="E948" s="4" t="s">
        <v>3049</v>
      </c>
      <c r="F948" s="1" t="s">
        <v>43</v>
      </c>
      <c r="G948" s="1" t="s">
        <v>487</v>
      </c>
      <c r="H948" s="4" t="s">
        <v>3024</v>
      </c>
      <c r="I948" s="2">
        <v>1.0</v>
      </c>
      <c r="J948" s="5" t="str">
        <f>IFERROR(__xludf.DUMMYFUNCTION("GOOGLETRANSLATE(A948)"),"Cheburashka")</f>
        <v>Cheburashka</v>
      </c>
      <c r="K948" s="6" t="str">
        <f>IFERROR(__xludf.DUMMYFUNCTION("GOOGLETRANSLATE(B948)"),"Chebrashka")</f>
        <v>Chebrashka</v>
      </c>
      <c r="L948" s="5" t="str">
        <f>IFERROR(__xludf.DUMMYFUNCTION("GOOGLETRANSLATE(C948)"),"The Legendary Soviet brand of Russian Stuffed toy Cheburashka and his friend Crocodile Gena – Sojuzmultfilm ... Only 14 left in stock - order soon.")</f>
        <v>The Legendary Soviet brand of Russian Stuffed toy Cheburashka and his friend Crocodile Gena – Sojuzmultfilm ... Only 14 left in stock - order soon.</v>
      </c>
      <c r="M948" s="5" t="str">
        <f>IFERROR(__xludf.DUMMYFUNCTION("GOOGLETRANSLATE(G948)"),"In order")</f>
        <v>In order</v>
      </c>
    </row>
    <row r="949">
      <c r="A949" s="1" t="s">
        <v>2982</v>
      </c>
      <c r="B949" s="1" t="s">
        <v>3050</v>
      </c>
      <c r="C949" s="1" t="s">
        <v>3028</v>
      </c>
      <c r="D949" s="1">
        <v>30.0</v>
      </c>
      <c r="E949" s="4" t="s">
        <v>3029</v>
      </c>
      <c r="F949" s="1" t="s">
        <v>43</v>
      </c>
      <c r="G949" s="1" t="s">
        <v>3030</v>
      </c>
      <c r="H949" s="1" t="s">
        <v>3031</v>
      </c>
      <c r="I949" s="2">
        <v>2.0</v>
      </c>
      <c r="J949" s="5" t="str">
        <f>IFERROR(__xludf.DUMMYFUNCTION("GOOGLETRANSLATE(A949)"),"Cheburashka")</f>
        <v>Cheburashka</v>
      </c>
      <c r="K949" s="6" t="str">
        <f>IFERROR(__xludf.DUMMYFUNCTION("GOOGLETRANSLATE(B949)"),"Watch ""Cheburashka (2023)"" in good quality ...")</f>
        <v>Watch "Cheburashka (2023)" in good quality ...</v>
      </c>
      <c r="L949" s="5" t="str">
        <f>IFERROR(__xludf.DUMMYFUNCTION("GOOGLETRANSLATE(C949)"),"31 Dec. 2022 -")</f>
        <v>31 Dec. 2022 -</v>
      </c>
      <c r="M949" s="5" t="str">
        <f>IFERROR(__xludf.DUMMYFUNCTION("GOOGLETRANSLATE(G949)"),"Online cinema Premier")</f>
        <v>Online cinema Premier</v>
      </c>
    </row>
    <row r="950">
      <c r="A950" s="1" t="s">
        <v>3051</v>
      </c>
      <c r="B950" s="1" t="s">
        <v>3052</v>
      </c>
      <c r="C950" s="1" t="s">
        <v>3053</v>
      </c>
      <c r="D950" s="1">
        <v>1.0</v>
      </c>
      <c r="E950" s="4" t="s">
        <v>3054</v>
      </c>
      <c r="F950" s="1" t="s">
        <v>16</v>
      </c>
      <c r="I950" s="2">
        <v>1.0</v>
      </c>
      <c r="J950" s="5" t="str">
        <f>IFERROR(__xludf.DUMMYFUNCTION("GOOGLETRANSLATE(A950)"),"electronic diary")</f>
        <v>electronic diary</v>
      </c>
      <c r="K950" s="6" t="str">
        <f>IFERROR(__xludf.DUMMYFUNCTION("GOOGLETRANSLATE(B950)"),"Entrance - Electronic Diary - Portal ... - St.")</f>
        <v>Entrance - Electronic Diary - Portal ... - St.</v>
      </c>
      <c r="L950" s="5" t="str">
        <f>IFERROR(__xludf.DUMMYFUNCTION("GOOGLETRANSLATE(C950)"),"Maintaining an electronic diary and an electronic journal is a state service of St. Petersburg, providing operational, reliable and safe ...")</f>
        <v>Maintaining an electronic diary and an electronic journal is a state service of St. Petersburg, providing operational, reliable and safe ...</v>
      </c>
      <c r="M950" s="5" t="str">
        <f>IFERROR(__xludf.DUMMYFUNCTION("GOOGLETRANSLATE(G950)"),"#VALUE!")</f>
        <v>#VALUE!</v>
      </c>
    </row>
    <row r="951">
      <c r="A951" s="1" t="s">
        <v>3051</v>
      </c>
      <c r="B951" s="1" t="s">
        <v>3055</v>
      </c>
      <c r="C951" s="1" t="s">
        <v>3056</v>
      </c>
      <c r="D951" s="1">
        <v>2.0</v>
      </c>
      <c r="E951" s="4" t="s">
        <v>3057</v>
      </c>
      <c r="F951" s="1" t="s">
        <v>16</v>
      </c>
      <c r="I951" s="2">
        <v>1.0</v>
      </c>
      <c r="J951" s="5" t="str">
        <f>IFERROR(__xludf.DUMMYFUNCTION("GOOGLETRANSLATE(A951)"),"electronic diary")</f>
        <v>electronic diary</v>
      </c>
      <c r="K951" s="6" t="str">
        <f>IFERROR(__xludf.DUMMYFUNCTION("GOOGLETRANSLATE(B951)"),"Electronic diary")</f>
        <v>Electronic diary</v>
      </c>
      <c r="L951" s="5" t="str">
        <f>IFERROR(__xludf.DUMMYFUNCTION("GOOGLETRANSLATE(C951)"),"Electronic diaries and magazines. Dear road users! Remember that even at a pedestrian crossing it can be dangerous! Cross the road ...")</f>
        <v>Electronic diaries and magazines. Dear road users! Remember that even at a pedestrian crossing it can be dangerous! Cross the road ...</v>
      </c>
      <c r="M951" s="5" t="str">
        <f>IFERROR(__xludf.DUMMYFUNCTION("GOOGLETRANSLATE(G951)"),"#VALUE!")</f>
        <v>#VALUE!</v>
      </c>
    </row>
    <row r="952">
      <c r="A952" s="1" t="s">
        <v>3051</v>
      </c>
      <c r="B952" s="1" t="s">
        <v>3055</v>
      </c>
      <c r="C952" s="1" t="s">
        <v>3058</v>
      </c>
      <c r="D952" s="1">
        <v>3.0</v>
      </c>
      <c r="E952" s="4" t="s">
        <v>3059</v>
      </c>
      <c r="F952" s="1" t="s">
        <v>16</v>
      </c>
      <c r="I952" s="2">
        <v>1.0</v>
      </c>
      <c r="J952" s="5" t="str">
        <f>IFERROR(__xludf.DUMMYFUNCTION("GOOGLETRANSLATE(A952)"),"electronic diary")</f>
        <v>electronic diary</v>
      </c>
      <c r="K952" s="6" t="str">
        <f>IFERROR(__xludf.DUMMYFUNCTION("GOOGLETRANSLATE(B952)"),"Electronic diary")</f>
        <v>Electronic diary</v>
      </c>
      <c r="L952" s="5" t="str">
        <f>IFERROR(__xludf.DUMMYFUNCTION("GOOGLETRANSLATE(C952)"),"Electronic diaries and magazines. The attention of parents! To receive an account for the access of parents and students in the ""Electronic School"" system, it is necessary ...")</f>
        <v>Electronic diaries and magazines. The attention of parents! To receive an account for the access of parents and students in the "Electronic School" system, it is necessary ...</v>
      </c>
      <c r="M952" s="5" t="str">
        <f>IFERROR(__xludf.DUMMYFUNCTION("GOOGLETRANSLATE(G952)"),"#VALUE!")</f>
        <v>#VALUE!</v>
      </c>
    </row>
    <row r="953">
      <c r="A953" s="1" t="s">
        <v>3051</v>
      </c>
      <c r="B953" s="1" t="s">
        <v>2874</v>
      </c>
      <c r="C953" s="1" t="s">
        <v>3060</v>
      </c>
      <c r="D953" s="1">
        <v>4.0</v>
      </c>
      <c r="E953" s="4" t="s">
        <v>2878</v>
      </c>
      <c r="F953" s="1" t="s">
        <v>16</v>
      </c>
      <c r="I953" s="2">
        <v>2.0</v>
      </c>
      <c r="J953" s="5" t="str">
        <f>IFERROR(__xludf.DUMMYFUNCTION("GOOGLETRANSLATE(A953)"),"electronic diary")</f>
        <v>electronic diary</v>
      </c>
      <c r="K953" s="6" t="str">
        <f>IFERROR(__xludf.DUMMYFUNCTION("GOOGLETRANSLATE(B953)"),"Electronic education")</f>
        <v>Electronic education</v>
      </c>
      <c r="L953" s="5" t="str">
        <f>IFERROR(__xludf.DUMMYFUNCTION("GOOGLETRANSLATE(C953)"),"You receive state (municipal) services in the field of education of the Volgograd region in electronic form. For entrance, confirmed ...")</f>
        <v>You receive state (municipal) services in the field of education of the Volgograd region in electronic form. For entrance, confirmed ...</v>
      </c>
      <c r="M953" s="5" t="str">
        <f>IFERROR(__xludf.DUMMYFUNCTION("GOOGLETRANSLATE(G953)"),"#VALUE!")</f>
        <v>#VALUE!</v>
      </c>
    </row>
    <row r="954">
      <c r="A954" s="1" t="s">
        <v>3051</v>
      </c>
      <c r="B954" s="1" t="s">
        <v>3061</v>
      </c>
      <c r="D954" s="1">
        <v>5.0</v>
      </c>
      <c r="E954" s="4" t="s">
        <v>3062</v>
      </c>
      <c r="F954" s="1" t="s">
        <v>16</v>
      </c>
      <c r="I954" s="2">
        <v>2.0</v>
      </c>
      <c r="J954" s="5" t="str">
        <f>IFERROR(__xludf.DUMMYFUNCTION("GOOGLETRANSLATE(A954)"),"electronic diary")</f>
        <v>electronic diary</v>
      </c>
      <c r="K954" s="6" t="str">
        <f>IFERROR(__xludf.DUMMYFUNCTION("GOOGLETRANSLATE(B954)"),"Education - electronic diary")</f>
        <v>Education - electronic diary</v>
      </c>
      <c r="L954" s="5" t="str">
        <f>IFERROR(__xludf.DUMMYFUNCTION("GOOGLETRANSLATE(C954)"),"#VALUE!")</f>
        <v>#VALUE!</v>
      </c>
      <c r="M954" s="5" t="str">
        <f>IFERROR(__xludf.DUMMYFUNCTION("GOOGLETRANSLATE(G954)"),"#VALUE!")</f>
        <v>#VALUE!</v>
      </c>
    </row>
    <row r="955">
      <c r="A955" s="1" t="s">
        <v>3051</v>
      </c>
      <c r="B955" s="1" t="s">
        <v>1058</v>
      </c>
      <c r="C955" s="1" t="s">
        <v>3063</v>
      </c>
      <c r="D955" s="1">
        <v>6.0</v>
      </c>
      <c r="E955" s="4" t="s">
        <v>1060</v>
      </c>
      <c r="F955" s="1" t="s">
        <v>16</v>
      </c>
      <c r="G955" s="1" t="s">
        <v>1061</v>
      </c>
      <c r="H955" s="4" t="s">
        <v>1062</v>
      </c>
      <c r="I955" s="2">
        <v>1.0</v>
      </c>
      <c r="J955" s="5" t="str">
        <f>IFERROR(__xludf.DUMMYFUNCTION("GOOGLETRANSLATE(A955)"),"electronic diary")</f>
        <v>electronic diary</v>
      </c>
      <c r="K955" s="6" t="str">
        <f>IFERROR(__xludf.DUMMYFUNCTION("GOOGLETRANSLATE(B955)"),"Personal office of citizens of the Kemerovo region")</f>
        <v>Personal office of citizens of the Kemerovo region</v>
      </c>
      <c r="L955" s="5" t="str">
        <f>IFERROR(__xludf.DUMMYFUNCTION("GOOGLETRANSLATE(C955)"),"Personal cabinet of citizens of the Kemerovo region, providing education services: submitting an application to the gingling garden, school, viewing electronic diary,")</f>
        <v>Personal cabinet of citizens of the Kemerovo region, providing education services: submitting an application to the gingling garden, school, viewing electronic diary,</v>
      </c>
      <c r="M955" s="5" t="str">
        <f>IFERROR(__xludf.DUMMYFUNCTION("GOOGLETRANSLATE(G955)"),"Personal cabinet of citizens of the Kemerovo region of the wire*was made in Kuzbass ** for Kuzbass password? Possibilities of the service submitting applications for registering and enrolling children in educational institutions implementing the basic gen"&amp;"eral educational program of preschool education (kindergartens) Monitoring the movement of the queue in kindergarten submitting applications for enrolling children in educational institutions implementing the basic general educational program (school) Mon"&amp;"itoring the current and final academic performance child control of the attendance of a child of an educational institution. Obtaining relevant school news Communication with employees of an educational institution (school) submitting applications for enr"&amp;"olling children in educational institutions implementing an additional general educational program submitting an application for a certificate of personified financing, the formation of a portfolio of a student how to access the service access to the serv"&amp;"ice “Personal The office of a citizen of the Kemerovo region ”is carried out in one of two ways: with the help of a login and password received when putting a child to a queue in a kindergarten during personal reception. For students and their parents, lo"&amp;"gin/password must be obtained at school. Using the account of a unified identification and authentication system (ESIA) - details of access used for authorization on a single portal of state and municipal services. Navigator of additional education of Kuz"&amp;"bass children go to the navigator")</f>
        <v>Personal cabinet of citizens of the Kemerovo region of the wire*was made in Kuzbass ** for Kuzbass password? Possibilities of the service submitting applications for registering and enrolling children in educational institutions implementing the basic general educational program of preschool education (kindergartens) Monitoring the movement of the queue in kindergarten submitting applications for enrolling children in educational institutions implementing the basic general educational program (school) Monitoring the current and final academic performance child control of the attendance of a child of an educational institution. Obtaining relevant school news Communication with employees of an educational institution (school) submitting applications for enrolling children in educational institutions implementing an additional general educational program submitting an application for a certificate of personified financing, the formation of a portfolio of a student how to access the service access to the service “Personal The office of a citizen of the Kemerovo region ”is carried out in one of two ways: with the help of a login and password received when putting a child to a queue in a kindergarten during personal reception. For students and their parents, login/password must be obtained at school. Using the account of a unified identification and authentication system (ESIA) - details of access used for authorization on a single portal of state and municipal services. Navigator of additional education of Kuzbass children go to the navigator</v>
      </c>
    </row>
    <row r="956">
      <c r="A956" s="1" t="s">
        <v>3051</v>
      </c>
      <c r="B956" s="1" t="s">
        <v>3064</v>
      </c>
      <c r="D956" s="1">
        <v>7.0</v>
      </c>
      <c r="E956" s="4" t="s">
        <v>3065</v>
      </c>
      <c r="F956" s="1" t="s">
        <v>16</v>
      </c>
      <c r="I956" s="2">
        <v>2.0</v>
      </c>
      <c r="J956" s="5" t="str">
        <f>IFERROR(__xludf.DUMMYFUNCTION("GOOGLETRANSLATE(A956)"),"electronic diary")</f>
        <v>electronic diary</v>
      </c>
      <c r="K956" s="6" t="str">
        <f>IFERROR(__xludf.DUMMYFUNCTION("GOOGLETRANSLATE(B956)"),"Electronic diary - Republic of Komi")</f>
        <v>Electronic diary - Republic of Komi</v>
      </c>
      <c r="L956" s="5" t="str">
        <f>IFERROR(__xludf.DUMMYFUNCTION("GOOGLETRANSLATE(C956)"),"#VALUE!")</f>
        <v>#VALUE!</v>
      </c>
      <c r="M956" s="5" t="str">
        <f>IFERROR(__xludf.DUMMYFUNCTION("GOOGLETRANSLATE(G956)"),"#VALUE!")</f>
        <v>#VALUE!</v>
      </c>
    </row>
    <row r="957">
      <c r="A957" s="1" t="s">
        <v>3051</v>
      </c>
      <c r="B957" s="1" t="s">
        <v>3066</v>
      </c>
      <c r="D957" s="1">
        <v>8.0</v>
      </c>
      <c r="E957" s="4" t="s">
        <v>3067</v>
      </c>
      <c r="F957" s="1" t="s">
        <v>16</v>
      </c>
      <c r="I957" s="2">
        <v>1.0</v>
      </c>
      <c r="J957" s="5" t="str">
        <f>IFERROR(__xludf.DUMMYFUNCTION("GOOGLETRANSLATE(A957)"),"electronic diary")</f>
        <v>electronic diary</v>
      </c>
      <c r="K957" s="6" t="str">
        <f>IFERROR(__xludf.DUMMYFUNCTION("GOOGLETRANSLATE(B957)"),"Electronic diary - Pskov - Pskov Regional ...")</f>
        <v>Electronic diary - Pskov - Pskov Regional ...</v>
      </c>
      <c r="L957" s="5" t="str">
        <f>IFERROR(__xludf.DUMMYFUNCTION("GOOGLETRANSLATE(C957)"),"#VALUE!")</f>
        <v>#VALUE!</v>
      </c>
      <c r="M957" s="5" t="str">
        <f>IFERROR(__xludf.DUMMYFUNCTION("GOOGLETRANSLATE(G957)"),"#VALUE!")</f>
        <v>#VALUE!</v>
      </c>
    </row>
    <row r="958">
      <c r="A958" s="1" t="s">
        <v>3051</v>
      </c>
      <c r="B958" s="1" t="s">
        <v>3068</v>
      </c>
      <c r="C958" s="1" t="s">
        <v>3069</v>
      </c>
      <c r="D958" s="1">
        <v>9.0</v>
      </c>
      <c r="E958" s="4" t="s">
        <v>3070</v>
      </c>
      <c r="F958" s="1" t="s">
        <v>16</v>
      </c>
      <c r="I958" s="2">
        <v>2.0</v>
      </c>
      <c r="J958" s="5" t="str">
        <f>IFERROR(__xludf.DUMMYFUNCTION("GOOGLETRANSLATE(A958)"),"electronic diary")</f>
        <v>electronic diary</v>
      </c>
      <c r="K958" s="6" t="str">
        <f>IFERROR(__xludf.DUMMYFUNCTION("GOOGLETRANSLATE(B958)"),"Electronic education of the Republic of Tatarstan")</f>
        <v>Electronic education of the Republic of Tatarstan</v>
      </c>
      <c r="L958" s="5" t="str">
        <f>IFERROR(__xludf.DUMMYFUNCTION("GOOGLETRANSLATE(C958)"),"Popular electronic services. Sign up at school to sign up for a kindergarten to sign up for a circle or section more services on uslugi.tatarstan.ru. © 2009 - 2023 ...")</f>
        <v>Popular electronic services. Sign up at school to sign up for a kindergarten to sign up for a circle or section more services on uslugi.tatarstan.ru. © 2009 - 2023 ...</v>
      </c>
      <c r="M958" s="5" t="str">
        <f>IFERROR(__xludf.DUMMYFUNCTION("GOOGLETRANSLATE(G958)"),"#VALUE!")</f>
        <v>#VALUE!</v>
      </c>
    </row>
    <row r="959">
      <c r="A959" s="1" t="s">
        <v>3051</v>
      </c>
      <c r="B959" s="1" t="s">
        <v>3071</v>
      </c>
      <c r="D959" s="1">
        <v>10.0</v>
      </c>
      <c r="E959" s="4" t="s">
        <v>3072</v>
      </c>
      <c r="F959" s="1" t="s">
        <v>16</v>
      </c>
      <c r="G959" s="1" t="s">
        <v>3073</v>
      </c>
      <c r="H959" s="4" t="s">
        <v>3074</v>
      </c>
      <c r="I959" s="2">
        <v>2.0</v>
      </c>
      <c r="J959" s="5" t="str">
        <f>IFERROR(__xludf.DUMMYFUNCTION("GOOGLETRANSLATE(A959)"),"electronic diary")</f>
        <v>electronic diary</v>
      </c>
      <c r="K959" s="6" t="str">
        <f>IFERROR(__xludf.DUMMYFUNCTION("GOOGLETRANSLATE(B959)"),"Electronic journal - COP Khanty -Mansi Autonomous Okrug - Admhmao")</f>
        <v>Electronic journal - COP Khanty -Mansi Autonomous Okrug - Admhmao</v>
      </c>
      <c r="L959" s="5" t="str">
        <f>IFERROR(__xludf.DUMMYFUNCTION("GOOGLETRANSLATE(C959)"),"#VALUE!")</f>
        <v>#VALUE!</v>
      </c>
      <c r="M959" s="5" t="str">
        <f>IFERROR(__xludf.DUMMYFUNCTION("GOOGLETRANSLATE(G959)"),"COP Khanty-Mansi Autonomous Okrug-Ugra-Electronic Journal-COP Khanty-Mansi Autonomous Okrug-Ugra-Digital Platformsop Khanty-Mansi Autonomous Okrug-Ugrycifer educational platform of the Khanty⁠-Mansi Autonomous Okrug-Ugra Supernic input of the Khanty-Mansi"&amp;" Autonomous Okrug Control Service-Ugrycifre Educational Platform of the Khanty ⁠ Mansiysky Autonomous Okrug-Ugrysaite Department of Education and Science of Education and Science Khanty ⁠ Mansiysk Autonomous Okrug-Ugra Loading ... © 2017–2023 Digital educ"&amp;"ational platform of the Khanty-Mansi Autonomous Okrug-Ugra 8 800 100-58-67 Support Service ...")</f>
        <v>COP Khanty-Mansi Autonomous Okrug-Ugra-Electronic Journal-COP Khanty-Mansi Autonomous Okrug-Ugra-Digital Platformsop Khanty-Mansi Autonomous Okrug-Ugrycifer educational platform of the Khanty⁠-Mansi Autonomous Okrug-Ugra Supernic input of the Khanty-Mansi Autonomous Okrug Control Service-Ugrycifre Educational Platform of the Khanty ⁠ Mansiysky Autonomous Okrug-Ugrysaite Department of Education and Science of Education and Science Khanty ⁠ Mansiysk Autonomous Okrug-Ugra Loading ... © 2017–2023 Digital educational platform of the Khanty-Mansi Autonomous Okrug-Ugra 8 800 100-58-67 Support Service ...</v>
      </c>
    </row>
    <row r="960">
      <c r="A960" s="1" t="s">
        <v>3051</v>
      </c>
      <c r="B960" s="1" t="s">
        <v>3055</v>
      </c>
      <c r="C960" s="1" t="s">
        <v>3075</v>
      </c>
      <c r="D960" s="1">
        <v>11.0</v>
      </c>
      <c r="E960" s="4" t="s">
        <v>3076</v>
      </c>
      <c r="F960" s="1" t="s">
        <v>16</v>
      </c>
      <c r="I960" s="2">
        <v>2.0</v>
      </c>
      <c r="J960" s="5" t="str">
        <f>IFERROR(__xludf.DUMMYFUNCTION("GOOGLETRANSLATE(A960)"),"electronic diary")</f>
        <v>electronic diary</v>
      </c>
      <c r="K960" s="6" t="str">
        <f>IFERROR(__xludf.DUMMYFUNCTION("GOOGLETRANSLATE(B960)"),"Electronic diary")</f>
        <v>Electronic diary</v>
      </c>
      <c r="L960" s="5" t="str">
        <f>IFERROR(__xludf.DUMMYFUNCTION("GOOGLETRANSLATE(C960)"),"Diary · Support · Sur land · Personal account · Electronic services")</f>
        <v>Diary · Support · Sur land · Personal account · Electronic services</v>
      </c>
      <c r="M960" s="5" t="str">
        <f>IFERROR(__xludf.DUMMYFUNCTION("GOOGLETRANSLATE(G960)"),"#VALUE!")</f>
        <v>#VALUE!</v>
      </c>
    </row>
    <row r="961">
      <c r="A961" s="1" t="s">
        <v>3051</v>
      </c>
      <c r="B961" s="1" t="s">
        <v>1147</v>
      </c>
      <c r="D961" s="1">
        <v>12.0</v>
      </c>
      <c r="E961" s="4" t="s">
        <v>1149</v>
      </c>
      <c r="F961" s="1" t="s">
        <v>16</v>
      </c>
      <c r="G961" s="1" t="s">
        <v>1150</v>
      </c>
      <c r="H961" s="4" t="s">
        <v>1151</v>
      </c>
      <c r="I961" s="2">
        <v>1.0</v>
      </c>
      <c r="J961" s="5" t="str">
        <f>IFERROR(__xludf.DUMMYFUNCTION("GOOGLETRANSLATE(A961)"),"electronic diary")</f>
        <v>electronic diary</v>
      </c>
      <c r="K961" s="6" t="str">
        <f>IFERROR(__xludf.DUMMYFUNCTION("GOOGLETRANSLATE(B961)"),"Diary RU")</f>
        <v>Diary RU</v>
      </c>
      <c r="L961" s="5" t="str">
        <f>IFERROR(__xludf.DUMMYFUNCTION("GOOGLETRANSLATE(C961)"),"#VALUE!")</f>
        <v>#VALUE!</v>
      </c>
      <c r="M961" s="5" t="str">
        <f>IFERROR(__xludf.DUMMYFUNCTION("GOOGLETRANSLATE(G961)"),"Diary.ruo of the company Pravda to Include to connect OO DODORA.ru - digital educational platform that makes the education of Russia high -quality and affordable! You will get access to advanced technologies for the automation of the educational process t"&amp;"o tools online - education and modern methods of communication with parents. Read more to parents closer to your child with Diary.ru! Follow the successes and hobbies of your child actively participate in the educational process together! For more details"&amp;", students Diary.ru will like it! Everything necessary for studying extracurricular work of creative victories and self -expression is always at hand. Read more to state bodies Diary.ru for education management - this is an online monitoring tool and an e"&amp;"ffective channel for the operational informing of subordinate organizations. For more details, we are every second school in Russia! 925 873 teachers 8 980 324 students 4 997 995 parents. The most active schools of the company of the company in a huskvost"&amp;"y -constituency of the preservation of the designs of the Morshoszorgans support the portal Support Support Support Russian RussianenglishespañolportuguêlPortuguê to Connect the PO information posted in the Unified Educational Network ""Diary.ru"" permitt"&amp;"ed for children who have reached the age of six years in accordance with the st. 8 &amp; nbsp; Federal Law No. 436 dated 12/29/2010 Pol-Using Agreement © 2007-2023 LLC DODIKE.RO")</f>
        <v>Diary.ruo of the company Pravda to Include to connect OO DODORA.ru - digital educational platform that makes the education of Russia high -quality and affordable! You will get access to advanced technologies for the automation of the educational process to tools online - education and modern methods of communication with parents. Read more to parents closer to your child with Diary.ru! Follow the successes and hobbies of your child actively participate in the educational process together! For more details, students Diary.ru will like it! Everything necessary for studying extracurricular work of creative victories and self -expression is always at hand. Read more to state bodies Diary.ru for education management - this is an online monitoring tool and an effective channel for the operational informing of subordinate organizations. For more details, we are every second school in Russia! 925 873 teachers 8 980 324 students 4 997 995 parents. The most active schools of the company of the company in a huskvosty -constituency of the preservation of the designs of the Morshoszorgans support the portal Support Support Support Russian RussianenglishespañolportuguêlPortuguê to Connect the PO information posted in the Unified Educational Network "Diary.ru" permitted for children who have reached the age of six years in accordance with the st. 8 &amp; nbsp; Federal Law No. 436 dated 12/29/2010 Pol-Using Agreement © 2007-2023 LLC DODIKE.RO</v>
      </c>
    </row>
    <row r="962">
      <c r="A962" s="1" t="s">
        <v>3051</v>
      </c>
      <c r="B962" s="1" t="s">
        <v>2861</v>
      </c>
      <c r="D962" s="1">
        <v>13.0</v>
      </c>
      <c r="E962" s="4" t="s">
        <v>2886</v>
      </c>
      <c r="F962" s="1" t="s">
        <v>16</v>
      </c>
      <c r="G962" s="1" t="s">
        <v>2866</v>
      </c>
      <c r="H962" s="4" t="s">
        <v>2887</v>
      </c>
      <c r="I962" s="2">
        <v>2.0</v>
      </c>
      <c r="J962" s="5" t="str">
        <f>IFERROR(__xludf.DUMMYFUNCTION("GOOGLETRANSLATE(A962)"),"electronic diary")</f>
        <v>electronic diary</v>
      </c>
      <c r="K962" s="6" t="str">
        <f>IFERROR(__xludf.DUMMYFUNCTION("GOOGLETRANSLATE(B962)"),"Network city. Education")</f>
        <v>Network city. Education</v>
      </c>
      <c r="L962" s="5" t="str">
        <f>IFERROR(__xludf.DUMMYFUNCTION("GOOGLETRANSLATE(C962)"),"#VALUE!")</f>
        <v>#VALUE!</v>
      </c>
      <c r="M962" s="5" t="str">
        <f>IFERROR(__xludf.DUMMYFUNCTION("GOOGLETRANSLATE(G962)"),"Network city. Education")</f>
        <v>Network city. Education</v>
      </c>
    </row>
    <row r="963">
      <c r="A963" s="1" t="s">
        <v>3051</v>
      </c>
      <c r="B963" s="1" t="s">
        <v>3055</v>
      </c>
      <c r="C963" s="1" t="s">
        <v>3077</v>
      </c>
      <c r="D963" s="1">
        <v>14.0</v>
      </c>
      <c r="E963" s="4" t="s">
        <v>3078</v>
      </c>
      <c r="F963" s="1" t="s">
        <v>16</v>
      </c>
      <c r="I963" s="2">
        <v>2.0</v>
      </c>
      <c r="J963" s="5" t="str">
        <f>IFERROR(__xludf.DUMMYFUNCTION("GOOGLETRANSLATE(A963)"),"electronic diary")</f>
        <v>electronic diary</v>
      </c>
      <c r="K963" s="6" t="str">
        <f>IFERROR(__xludf.DUMMYFUNCTION("GOOGLETRANSLATE(B963)"),"Electronic diary")</f>
        <v>Electronic diary</v>
      </c>
      <c r="L963" s="5" t="str">
        <f>IFERROR(__xludf.DUMMYFUNCTION("GOOGLETRANSLATE(C963)"),"We draw your attention to the fact that when registering e -mail, the parent and the child should be different. The invitation code is valid before the appointment ...")</f>
        <v>We draw your attention to the fact that when registering e -mail, the parent and the child should be different. The invitation code is valid before the appointment ...</v>
      </c>
      <c r="M963" s="5" t="str">
        <f>IFERROR(__xludf.DUMMYFUNCTION("GOOGLETRANSLATE(G963)"),"#VALUE!")</f>
        <v>#VALUE!</v>
      </c>
    </row>
    <row r="964">
      <c r="A964" s="1" t="s">
        <v>3051</v>
      </c>
      <c r="B964" s="1" t="s">
        <v>2874</v>
      </c>
      <c r="D964" s="1">
        <v>15.0</v>
      </c>
      <c r="E964" s="4" t="s">
        <v>2875</v>
      </c>
      <c r="F964" s="1" t="s">
        <v>16</v>
      </c>
      <c r="I964" s="2">
        <v>2.0</v>
      </c>
      <c r="J964" s="5" t="str">
        <f>IFERROR(__xludf.DUMMYFUNCTION("GOOGLETRANSLATE(A964)"),"electronic diary")</f>
        <v>electronic diary</v>
      </c>
      <c r="K964" s="6" t="str">
        <f>IFERROR(__xludf.DUMMYFUNCTION("GOOGLETRANSLATE(B964)"),"Electronic education")</f>
        <v>Electronic education</v>
      </c>
      <c r="L964" s="5" t="str">
        <f>IFERROR(__xludf.DUMMYFUNCTION("GOOGLETRANSLATE(C964)"),"#VALUE!")</f>
        <v>#VALUE!</v>
      </c>
      <c r="M964" s="5" t="str">
        <f>IFERROR(__xludf.DUMMYFUNCTION("GOOGLETRANSLATE(G964)"),"#VALUE!")</f>
        <v>#VALUE!</v>
      </c>
    </row>
    <row r="965">
      <c r="A965" s="1" t="s">
        <v>3051</v>
      </c>
      <c r="B965" s="1" t="s">
        <v>3079</v>
      </c>
      <c r="C965" s="1" t="s">
        <v>3080</v>
      </c>
      <c r="D965" s="1">
        <v>16.0</v>
      </c>
      <c r="E965" s="4" t="s">
        <v>3081</v>
      </c>
      <c r="F965" s="1" t="s">
        <v>16</v>
      </c>
      <c r="I965" s="2">
        <v>1.0</v>
      </c>
      <c r="J965" s="5" t="str">
        <f>IFERROR(__xludf.DUMMYFUNCTION("GOOGLETRANSLATE(A965)"),"electronic diary")</f>
        <v>electronic diary</v>
      </c>
      <c r="K965" s="6" t="str">
        <f>IFERROR(__xludf.DUMMYFUNCTION("GOOGLETRANSLATE(B965)"),"Electronic diary - Education of the Primorsky Territory")</f>
        <v>Electronic diary - Education of the Primorsky Territory</v>
      </c>
      <c r="L965" s="5" t="str">
        <f>IFERROR(__xludf.DUMMYFUNCTION("GOOGLETRANSLATE(C965)"),"Education of the Primorsky Territory. Electronic diary.")</f>
        <v>Education of the Primorsky Territory. Electronic diary.</v>
      </c>
      <c r="M965" s="5" t="str">
        <f>IFERROR(__xludf.DUMMYFUNCTION("GOOGLETRANSLATE(G965)"),"#VALUE!")</f>
        <v>#VALUE!</v>
      </c>
    </row>
    <row r="966">
      <c r="A966" s="1" t="s">
        <v>3051</v>
      </c>
      <c r="B966" s="1" t="s">
        <v>2874</v>
      </c>
      <c r="C966" s="1" t="s">
        <v>3082</v>
      </c>
      <c r="D966" s="1">
        <v>17.0</v>
      </c>
      <c r="E966" s="4" t="s">
        <v>2900</v>
      </c>
      <c r="F966" s="1" t="s">
        <v>16</v>
      </c>
      <c r="I966" s="2">
        <v>2.0</v>
      </c>
      <c r="J966" s="5" t="str">
        <f>IFERROR(__xludf.DUMMYFUNCTION("GOOGLETRANSLATE(A966)"),"electronic diary")</f>
        <v>electronic diary</v>
      </c>
      <c r="K966" s="6" t="str">
        <f>IFERROR(__xludf.DUMMYFUNCTION("GOOGLETRANSLATE(B966)"),"Electronic education")</f>
        <v>Electronic education</v>
      </c>
      <c r="L966" s="5" t="str">
        <f>IFERROR(__xludf.DUMMYFUNCTION("GOOGLETRANSLATE(C966)"),"education of the Kaluga region in electronic form. Services for distance learning. Appeal of the Minister of Education Alexander Sergeyevich Anikeev to ...")</f>
        <v>education of the Kaluga region in electronic form. Services for distance learning. Appeal of the Minister of Education Alexander Sergeyevich Anikeev to ...</v>
      </c>
      <c r="M966" s="5" t="str">
        <f>IFERROR(__xludf.DUMMYFUNCTION("GOOGLETRANSLATE(G966)"),"#VALUE!")</f>
        <v>#VALUE!</v>
      </c>
    </row>
    <row r="967">
      <c r="A967" s="1" t="s">
        <v>3051</v>
      </c>
      <c r="B967" s="1" t="s">
        <v>2874</v>
      </c>
      <c r="C967" s="1" t="s">
        <v>3083</v>
      </c>
      <c r="D967" s="1">
        <v>18.0</v>
      </c>
      <c r="E967" s="4" t="s">
        <v>2888</v>
      </c>
      <c r="F967" s="1" t="s">
        <v>16</v>
      </c>
      <c r="I967" s="2">
        <v>2.0</v>
      </c>
      <c r="J967" s="5" t="str">
        <f>IFERROR(__xludf.DUMMYFUNCTION("GOOGLETRANSLATE(A967)"),"electronic diary")</f>
        <v>electronic diary</v>
      </c>
      <c r="K967" s="6" t="str">
        <f>IFERROR(__xludf.DUMMYFUNCTION("GOOGLETRANSLATE(B967)"),"Electronic education")</f>
        <v>Electronic education</v>
      </c>
      <c r="L967" s="5" t="str">
        <f>IFERROR(__xludf.DUMMYFUNCTION("GOOGLETRANSLATE(C967)"),"the formation of the Sakhalin region in electronic form. The entrance requires a confirmed account of public services. It can be issued in the nearest center ...")</f>
        <v>the formation of the Sakhalin region in electronic form. The entrance requires a confirmed account of public services. It can be issued in the nearest center ...</v>
      </c>
      <c r="M967" s="5" t="str">
        <f>IFERROR(__xludf.DUMMYFUNCTION("GOOGLETRANSLATE(G967)"),"#VALUE!")</f>
        <v>#VALUE!</v>
      </c>
    </row>
    <row r="968">
      <c r="A968" s="1" t="s">
        <v>3051</v>
      </c>
      <c r="B968" s="1" t="s">
        <v>2861</v>
      </c>
      <c r="D968" s="1">
        <v>19.0</v>
      </c>
      <c r="E968" s="4" t="s">
        <v>2879</v>
      </c>
      <c r="F968" s="1" t="s">
        <v>16</v>
      </c>
      <c r="G968" s="1" t="s">
        <v>2866</v>
      </c>
      <c r="H968" s="4" t="s">
        <v>2880</v>
      </c>
      <c r="I968" s="2">
        <v>2.0</v>
      </c>
      <c r="J968" s="5" t="str">
        <f>IFERROR(__xludf.DUMMYFUNCTION("GOOGLETRANSLATE(A968)"),"electronic diary")</f>
        <v>electronic diary</v>
      </c>
      <c r="K968" s="6" t="str">
        <f>IFERROR(__xludf.DUMMYFUNCTION("GOOGLETRANSLATE(B968)"),"Network city. Education")</f>
        <v>Network city. Education</v>
      </c>
      <c r="L968" s="5" t="str">
        <f>IFERROR(__xludf.DUMMYFUNCTION("GOOGLETRANSLATE(C968)"),"#VALUE!")</f>
        <v>#VALUE!</v>
      </c>
      <c r="M968" s="5" t="str">
        <f>IFERROR(__xludf.DUMMYFUNCTION("GOOGLETRANSLATE(G968)"),"Network city. Education")</f>
        <v>Network city. Education</v>
      </c>
    </row>
    <row r="969">
      <c r="A969" s="1" t="s">
        <v>3051</v>
      </c>
      <c r="B969" s="1" t="s">
        <v>3084</v>
      </c>
      <c r="C969" s="1" t="s">
        <v>3053</v>
      </c>
      <c r="D969" s="1">
        <v>1.0</v>
      </c>
      <c r="E969" s="4" t="s">
        <v>3054</v>
      </c>
      <c r="F969" s="1" t="s">
        <v>43</v>
      </c>
      <c r="I969" s="2">
        <v>3.0</v>
      </c>
      <c r="J969" s="5" t="str">
        <f>IFERROR(__xludf.DUMMYFUNCTION("GOOGLETRANSLATE(A969)"),"electronic diary")</f>
        <v>electronic diary</v>
      </c>
      <c r="K969" s="6" t="str">
        <f>IFERROR(__xludf.DUMMYFUNCTION("GOOGLETRANSLATE(B969)"),"Entrance - Electronic Diary - Portal ""Petersburg ...")</f>
        <v>Entrance - Electronic Diary - Portal "Petersburg ...</v>
      </c>
      <c r="L969" s="5" t="str">
        <f>IFERROR(__xludf.DUMMYFUNCTION("GOOGLETRANSLATE(C969)"),"Maintaining an electronic diary and an electronic journal is a state service of St. Petersburg, providing operational, reliable and safe ...")</f>
        <v>Maintaining an electronic diary and an electronic journal is a state service of St. Petersburg, providing operational, reliable and safe ...</v>
      </c>
      <c r="M969" s="5" t="str">
        <f>IFERROR(__xludf.DUMMYFUNCTION("GOOGLETRANSLATE(G969)"),"#VALUE!")</f>
        <v>#VALUE!</v>
      </c>
    </row>
    <row r="970">
      <c r="A970" s="1" t="s">
        <v>3051</v>
      </c>
      <c r="B970" s="1" t="s">
        <v>3085</v>
      </c>
      <c r="D970" s="1">
        <v>2.0</v>
      </c>
      <c r="E970" s="4" t="s">
        <v>3086</v>
      </c>
      <c r="F970" s="1" t="s">
        <v>43</v>
      </c>
      <c r="G970" s="1" t="s">
        <v>3087</v>
      </c>
      <c r="H970" s="4" t="s">
        <v>3088</v>
      </c>
      <c r="I970" s="2">
        <v>3.0</v>
      </c>
      <c r="J970" s="5" t="str">
        <f>IFERROR(__xludf.DUMMYFUNCTION("GOOGLETRANSLATE(A970)"),"electronic diary")</f>
        <v>electronic diary</v>
      </c>
      <c r="K970" s="6" t="str">
        <f>IFERROR(__xludf.DUMMYFUNCTION("GOOGLETRANSLATE(B970)"),"Enter - Dnevnik - Diary.ru")</f>
        <v>Enter - Dnevnik - Diary.ru</v>
      </c>
      <c r="L970" s="5" t="str">
        <f>IFERROR(__xludf.DUMMYFUNCTION("GOOGLETRANSLATE(C970)"),"#VALUE!")</f>
        <v>#VALUE!</v>
      </c>
      <c r="M970" s="5" t="str">
        <f>IFERROR(__xludf.DUMMYFUNCTION("GOOGLETRANSLATE(G970)"),"Diary.ru | Enter the Diary.ruo of the Company Penitency to enter the Ovoiti in the Diary. Password indicate the password. Enter the characters from the picture to enter through the instructions for the entrance through the diary of the login or password? "&amp;"Restore access. Have a login or password? Choose your region. Slender your region of the Region Kraiamursk region of the Arkhangelsk region Aastrakhan region regionbelgorod region, regionovladiysk region Volgograd region, Oblogogradsky region of the peopl"&amp;"e of the People’s Republican Autonomous Region, Autonomous Region, Zrazaporozhskiyska region, Oblastsky region of the Karkutsk region. Republic of Consumer Kraikaluzhskoye Krakarachay-Cherkesskaya Republican Regional Krakhirovsk region Krakostromskoye Kra"&amp;"kransnoyarsky Krakransarsky region Krakhkhangansk region Kurskra Kurskranskaya Region Lyngradsky Region Luganskaya Lugansk Farm Republic of Republicankeepingskoye Region -Moskvamoskovsk Regional Murmansk region Autonomous Okrugnizhny Novgorodsky Region Ob"&amp;"lastskoye regionomomsky region Oborenburg region, Oblast Oblast Penpen Permmorsky Kraiperm region of the Republic of Adygeyreres Altai -Republic of Dagestani Publishing a Bashkestani Republic The Jares public of the Kareliyarez Committee of the Kryrez pub"&amp;"lic Mari Elresistan Mordovias Sakha (Yakutia) Republic of North Ossetia - Alaniyrezed publication Tyvrezhazanskaya Oblast Ssankancanka -Petersburgsky region Svensevastopolsmolenskoye Oblast Polospol -Pol KREAMBEVSKY OFTERSKAYSKASKOVSKOSKOSKOSKOSKOSKASKOYA"&amp;" Oblastumen region of the Republican Summurts Regional Kraikhabarovskiye Kraihanta -Mansi Autonomous Okrug - Yugracherson region of the Chevashchychic Republic - Chuvashiyachukutsky Autonomous Okrugyamalo -Nenets Okrugyaroslavl region, scare your regional"&amp;" military region The Austrakhan regionbelgorod region, region regionovladiysk region Volgograd region, Oblastovosky region of the Vernezhskoye Oblastsky Oblast Republican Autonomous Region Zabaikalsky Krazaporozhskoye region of the Irkutsk region Kabardin"&amp;"o-Balkarskaya Republic of Lisa-Kalingradsky region Krakaracsky Kraikarayevo-Cherkesskaya Republic of Cherkemovskoye region Krakostromsk region Krakhransky Krakrasnoyarsky Kraikurgan region Kurskhsky region Lyngradsky region of the Luganskaya Republic of R"&amp;"epublicankery Oblastomoskvamoskovsk region Autonomous Okrunizhny Novgorod region-Siberian region-Siberian region-Siberian region-Siberian region-Siberian region-Sobirskoye regionom. Orenburg Region Oblast Oblast Penza Region Perm Kraiperman Kryupskovsk Re"&amp;"gional Republic of Adygheyrez, Altayreres, Bashkorto -Publishing a Buryatiyrerepreki Dagestan Republic of Kalmykiyres, Kareliyarez, Karemrez publication Mari Elresisturos Mordovias Sakha (Yakutia) Republic of North Ossetia-Alaniyrez public Tatarskhuk, Tyv"&amp;"rezkaya Khakassiazovskoye region Samara region Sankancancaratovska region region Svertopolsmolensk region of the Stavropolskoye region Kraibambovsky region Kazhomtulsk region of the Tutumen Republican Republican Eye Autonomous Okrug - Yugracherson region "&amp;"Chelyabinsk region of the Republic of Republic of Republic of Republic of Republic of Republican")</f>
        <v>Diary.ru | Enter the Diary.ruo of the Company Penitency to enter the Ovoiti in the Diary. Password indicate the password. Enter the characters from the picture to enter through the instructions for the entrance through the diary of the login or password? Restore access. Have a login or password? Choose your region. Slender your region of the Region Kraiamursk region of the Arkhangelsk region Aastrakhan region regionbelgorod region, regionovladiysk region Volgograd region, Oblogogradsky region of the people of the People’s Republican Autonomous Region, Autonomous Region, Zrazaporozhskiyska region, Oblastsky region of the Karkutsk region. Republic of Consumer Kraikaluzhskoye Krakarachay-Cherkesskaya Republican Regional Krakhirovsk region Krakostromskoye Krakransnoyarsky Krakransarsky region Krakhkhangansk region Kurskra Kurskranskaya Region Lyngradsky Region Luganskaya Lugansk Farm Republic of Republicankeepingskoye Region -Moskvamoskovsk Regional Murmansk region Autonomous Okrugnizhny Novgorodsky Region Oblastskoye regionomomsky region Oborenburg region, Oblast Oblast Penpen Permmorsky Kraiperm region of the Republic of Adygeyreres Altai -Republic of Dagestani Publishing a Bashkestani Republic The Jares public of the Kareliyarez Committee of the Kryrez public Mari Elresistan Mordovias Sakha (Yakutia) Republic of North Ossetia - Alaniyrezed publication Tyvrezhazanskaya Oblast Ssankancanka -Petersburgsky region Svensevastopolsmolenskoye Oblast Polospol -Pol KREAMBEVSKY OFTERSKAYSKASKOVSKOSKOSKOSKOSKOSKASKOYA Oblastumen region of the Republican Summurts Regional Kraikhabarovskiye Kraihanta -Mansi Autonomous Okrug - Yugracherson region of the Chevashchychic Republic - Chuvashiyachukutsky Autonomous Okrugyamalo -Nenets Okrugyaroslavl region, scare your regional military region The Austrakhan regionbelgorod region, region regionovladiysk region Volgograd region, Oblastovosky region of the Vernezhskoye Oblastsky Oblast Republican Autonomous Region Zabaikalsky Krazaporozhskoye region of the Irkutsk region Kabardino-Balkarskaya Republic of Lisa-Kalingradsky region Krakaracsky Kraikarayevo-Cherkesskaya Republic of Cherkemovskoye region Krakostromsk region Krakhransky Krakrasnoyarsky Kraikurgan region Kurskhsky region Lyngradsky region of the Luganskaya Republic of Republicankery Oblastomoskvamoskovsk region Autonomous Okrunizhny Novgorod region-Siberian region-Siberian region-Siberian region-Siberian region-Siberian region-Sobirskoye regionom. Orenburg Region Oblast Oblast Penza Region Perm Kraiperman Kryupskovsk Regional Republic of Adygheyrez, Altayreres, Bashkorto -Publishing a Buryatiyrerepreki Dagestan Republic of Kalmykiyres, Kareliyarez, Karemrez publication Mari Elresisturos Mordovias Sakha (Yakutia) Republic of North Ossetia-Alaniyrez public Tatarskhuk, Tyvrezkaya Khakassiazovskoye region Samara region Sankancancaratovska region region Svertopolsmolensk region of the Stavropolskoye region Kraibambovsky region Kazhomtulsk region of the Tutumen Republican Republican Eye Autonomous Okrug - Yugracherson region Chelyabinsk region of the Republic of Republic of Republic of Republic of Republic of Republican</v>
      </c>
    </row>
    <row r="971">
      <c r="A971" s="1" t="s">
        <v>3051</v>
      </c>
      <c r="B971" s="1" t="s">
        <v>3055</v>
      </c>
      <c r="C971" s="1" t="s">
        <v>3089</v>
      </c>
      <c r="D971" s="1">
        <v>3.0</v>
      </c>
      <c r="E971" s="4" t="s">
        <v>3090</v>
      </c>
      <c r="F971" s="1" t="s">
        <v>43</v>
      </c>
      <c r="I971" s="2">
        <v>1.0</v>
      </c>
      <c r="J971" s="5" t="str">
        <f>IFERROR(__xludf.DUMMYFUNCTION("GOOGLETRANSLATE(A971)"),"electronic diary")</f>
        <v>electronic diary</v>
      </c>
      <c r="K971" s="6" t="str">
        <f>IFERROR(__xludf.DUMMYFUNCTION("GOOGLETRANSLATE(B971)"),"Electronic diary")</f>
        <v>Electronic diary</v>
      </c>
      <c r="L971" s="5" t="str">
        <f>IFERROR(__xludf.DUMMYFUNCTION("GOOGLETRANSLATE(C971)"),"Elschool is a single free project of an electronic school, which allows: to keep an electronic journal; View an electronic diary ...")</f>
        <v>Elschool is a single free project of an electronic school, which allows: to keep an electronic journal; View an electronic diary ...</v>
      </c>
      <c r="M971" s="5" t="str">
        <f>IFERROR(__xludf.DUMMYFUNCTION("GOOGLETRANSLATE(G971)"),"#VALUE!")</f>
        <v>#VALUE!</v>
      </c>
    </row>
    <row r="972">
      <c r="A972" s="1" t="s">
        <v>3051</v>
      </c>
      <c r="B972" s="1" t="s">
        <v>3091</v>
      </c>
      <c r="C972" s="1" t="s">
        <v>3092</v>
      </c>
      <c r="D972" s="1">
        <v>4.0</v>
      </c>
      <c r="E972" s="4" t="s">
        <v>3093</v>
      </c>
      <c r="F972" s="1" t="s">
        <v>43</v>
      </c>
      <c r="I972" s="2">
        <v>2.0</v>
      </c>
      <c r="J972" s="5" t="str">
        <f>IFERROR(__xludf.DUMMYFUNCTION("GOOGLETRANSLATE(A972)"),"electronic diary")</f>
        <v>electronic diary</v>
      </c>
      <c r="K972" s="6" t="str">
        <f>IFERROR(__xludf.DUMMYFUNCTION("GOOGLETRANSLATE(B972)"),"Electronic diary of a student (EZH) - Moscow")</f>
        <v>Electronic diary of a student (EZH) - Moscow</v>
      </c>
      <c r="L972" s="5" t="str">
        <f>IFERROR(__xludf.DUMMYFUNCTION("GOOGLETRANSLATE(C972)"),"The student’s electronic diary allows you to control academic performance, track the implementation of the school curriculum, as well as ensure timely ...")</f>
        <v>The student’s electronic diary allows you to control academic performance, track the implementation of the school curriculum, as well as ensure timely ...</v>
      </c>
      <c r="M972" s="5" t="str">
        <f>IFERROR(__xludf.DUMMYFUNCTION("GOOGLETRANSLATE(G972)"),"#VALUE!")</f>
        <v>#VALUE!</v>
      </c>
    </row>
    <row r="973">
      <c r="A973" s="1" t="s">
        <v>3051</v>
      </c>
      <c r="B973" s="1" t="s">
        <v>3055</v>
      </c>
      <c r="C973" s="1" t="s">
        <v>3094</v>
      </c>
      <c r="D973" s="1">
        <v>7.0</v>
      </c>
      <c r="E973" s="4" t="s">
        <v>3095</v>
      </c>
      <c r="F973" s="1" t="s">
        <v>43</v>
      </c>
      <c r="G973" s="1" t="s">
        <v>3096</v>
      </c>
      <c r="H973" s="4" t="s">
        <v>3097</v>
      </c>
      <c r="I973" s="2">
        <v>2.0</v>
      </c>
      <c r="J973" s="5" t="str">
        <f>IFERROR(__xludf.DUMMYFUNCTION("GOOGLETRANSLATE(A973)"),"electronic diary")</f>
        <v>electronic diary</v>
      </c>
      <c r="K973" s="6" t="str">
        <f>IFERROR(__xludf.DUMMYFUNCTION("GOOGLETRANSLATE(B973)"),"Electronic diary")</f>
        <v>Electronic diary</v>
      </c>
      <c r="L973" s="5" t="str">
        <f>IFERROR(__xludf.DUMMYFUNCTION("GOOGLETRANSLATE(C973)"),"Electronic diaries and magazines · 1. Choose a format and course of training. · 2. Wait for a link to the entrance test, it will go to the Personal Account ...")</f>
        <v>Electronic diaries and magazines · 1. Choose a format and course of training. · 2. Wait for a link to the entrance test, it will go to the Personal Account ...</v>
      </c>
      <c r="M973" s="5" t="str">
        <f>IFERROR(__xludf.DUMMYFUNCTION("GOOGLETRANSLATE(G973)"),"The name of the user is a password to enter the password? Enter the Portal of the State Service Dear Teachers! Here you can download the mobile application for teachers “My magazine” for the android platform. Technical support phone (Mon-pn 8: 00-17: 00; "&amp;"Pt. 8: 00-16: 00; break 12: 00-13: 00) : 88001009961Electron mail (recommended circulation method): Support@ris61edu.ru Support and Technical Support: Support.ris61edu.ruelectron Diary and Journalism for Working with updated design: Personal Slovenia Mana"&amp;"gement Management Summaries are provided with Roskomnadzor for Dabishinated: Personal Dadiations: Portal ""Portal"" Portal ""Portal"" Portal ""Portal"" Portal ""Portal"" Portal "" Data ""Personal data - New Nefteo Project"" Code of the Future ""since July"&amp;" 26, 2023 in the Federal State Information System"" Unified Portal of State and Municipal Services (Functions) ""(hereinafter - State Services), the acceptance of applications for participation in the project"" Code of the Future ""was launched for teachi"&amp;"ng modern programming languages ​​in the 2023-2024 academic year. Students in grades 8-11 of general educational organizations and students under secondary vocational education programs can be participated in the project. You can write it to one of the co"&amp;"urses of leading IT companies. The result of the development of the course will be obtained by knowledge Such programming languages ​​as Python Java C ++ C# 1C Lua SQL JavaScript and other languages. Learning is both online and in offline format. As a req"&amp;"uest for participation in the program: 1. Choose a format and course of training. The application may be submitted by a schoolboy/college student, his parent or legal representative. 2. Wait for a link to the entrance test, she will go to the Personal Acc"&amp;"ount after checking the application. 3. Pass the entrance test within 10 working days from the date of receipt of the link. 4. Conclude an agreement with an educational organization for free training. Having taken a successful testing, the training will r"&amp;"eceive a certificate of completion of the course. You can apply for training until September 30, 2023.")</f>
        <v>The name of the user is a password to enter the password? Enter the Portal of the State Service Dear Teachers! Here you can download the mobile application for teachers “My magazine” for the android platform. Technical support phone (Mon-pn 8: 00-17: 00; Pt. 8: 00-16: 00; break 12: 00-13: 00) : 88001009961Electron mail (recommended circulation method): Support@ris61edu.ru Support and Technical Support: Support.ris61edu.ruelectron Diary and Journalism for Working with updated design: Personal Slovenia Management Management Summaries are provided with Roskomnadzor for Dabishinated: Personal Dadiations: Portal "Portal" Portal "Portal" Portal "Portal" Portal "Portal" Portal " Data "Personal data - New Nefteo Project" Code of the Future "since July 26, 2023 in the Federal State Information System" Unified Portal of State and Municipal Services (Functions) "(hereinafter - State Services), the acceptance of applications for participation in the project" Code of the Future "was launched for teaching modern programming languages ​​in the 2023-2024 academic year. Students in grades 8-11 of general educational organizations and students under secondary vocational education programs can be participated in the project. You can write it to one of the courses of leading IT companies. The result of the development of the course will be obtained by knowledge Such programming languages ​​as Python Java C ++ C# 1C Lua SQL JavaScript and other languages. Learning is both online and in offline format. As a request for participation in the program: 1. Choose a format and course of training. The application may be submitted by a schoolboy/college student, his parent or legal representative. 2. Wait for a link to the entrance test, she will go to the Personal Account after checking the application. 3. Pass the entrance test within 10 working days from the date of receipt of the link. 4. Conclude an agreement with an educational organization for free training. Having taken a successful testing, the training will receive a certificate of completion of the course. You can apply for training until September 30, 2023.</v>
      </c>
    </row>
    <row r="974">
      <c r="A974" s="1" t="s">
        <v>3051</v>
      </c>
      <c r="B974" s="1" t="s">
        <v>3055</v>
      </c>
      <c r="C974" s="1" t="s">
        <v>3098</v>
      </c>
      <c r="D974" s="1">
        <v>8.0</v>
      </c>
      <c r="E974" s="4" t="s">
        <v>3099</v>
      </c>
      <c r="F974" s="1" t="s">
        <v>43</v>
      </c>
      <c r="G974" s="1" t="s">
        <v>3100</v>
      </c>
      <c r="H974" s="4" t="s">
        <v>3101</v>
      </c>
      <c r="I974" s="2">
        <v>1.0</v>
      </c>
      <c r="J974" s="5" t="str">
        <f>IFERROR(__xludf.DUMMYFUNCTION("GOOGLETRANSLATE(A974)"),"electronic diary")</f>
        <v>electronic diary</v>
      </c>
      <c r="K974" s="6" t="str">
        <f>IFERROR(__xludf.DUMMYFUNCTION("GOOGLETRANSLATE(B974)"),"Electronic diary")</f>
        <v>Electronic diary</v>
      </c>
      <c r="L974" s="5" t="str">
        <f>IFERROR(__xludf.DUMMYFUNCTION("GOOGLETRANSLATE(C974)"),"30 Oct. 2023. -")</f>
        <v>30 Oct. 2023. -</v>
      </c>
      <c r="M974" s="5" t="str">
        <f>IFERROR(__xludf.DUMMYFUNCTION("GOOGLETRANSLATE(G974)"),"Electronic diary-stroke-console-bind-bibliotek 8 (495) 780-76-71 Region*settlement*of the applicant's name*name of the educational institution*Position*Position of the director*phone number*Email phone*Email*Looping documents are needed? Are you required "&amp;"to download: 1. Licenses 2 licenses 2 . The charter of the educational institution can be loaded and other documents characterizing your educational institution. You uploaded files: Comments to recover the application for the name of the name or number of"&amp;" the school of the school of the Electronic Electronic Mail to the Fields are required to fill the -user for the specified combination of fields! A letter with data for the entrance was sent to the email address. Container to enter the Establishment of th"&amp;"e Estenigin Parolvotizavi Diary to connect the school 30-10-2023 in the Ivanovo region, the repair of 9 sports halls 18-10-2023 in Omsk on the basis of two schools opened the IT-Kub digital education 17-10-2023 for Moscow schoolchildren will be held for c"&amp;"hildren -YUNOSH Tourism 16-10-2023 in the Arkhangelsk region renovated 7 gyms of small settlements 13-10-2023 teachers of the IT-Kub center. Irkutsk ”is taught the basics of cybergigiens from Kirovsk LPR. Statistics of the connection: students and parents"&amp;" of the classroom on your mobile device and types of lessons of tasks. In the latest version of the LMS, the school is available in the online lesson mode from the class from the class. Crossers can now observe their children from the electronic diary. IP"&amp;" camera in the subject cabinet. Captainers and administrations of educational institutions. The program:- Experience of automation of educational institutions of Russia- exclusion of double entry of information into electronic diary- electronic document m"&amp;"anagement in the educational institutions-LMS (LMS school) Solution for educational institutions created by shelter by class teachers Parents and students. Devil for iPad and iPhone schedule assessment of assessment of comments Comments The Continuity of "&amp;"the Canteen Electronic Biblio of Video Hits and Ave., Modern! Use the electronic diary for friends and parents, parents and students of educational organizations of the Ministry of Defense of the Russian Federation! We inform you that due to the increased"&amp;" load, the electronic diary moved to a new more powerful server at Dnevnik.edumil.ru. If you did not find your educational organization in the list of authorization, then try to look for it on the new site dnevnik.edumil.ru what is a diary-LMS day-LMS-thi"&amp;"s is an Internet environment for the interaction of teachers of schools of parents and students! In addition to informing about the performance of home visualization Tasks Diary -LMS include public and specialized libraries of electronic materials for com"&amp;"munication special and additional services of the possibility to create your content - texts of photographs of multimedia documents. In the Ivanovo region, the repair of 9 sports halls was completed on 10/30/2023 17:40 Updated sports spaces are already op"&amp;"en to schoolchildren in more detail ... 12NOYABR 2023PNVTSRCHTSBVS 1234567891112131415151617181920222224242627282930 Project partners: Ministry of Defense of the Russian Federation: the Ministry of Defense of the Russian Federation. News of Kontaktvybebib"&amp;"lybliotek © 2023 Nintegra LLC; 107076 Moscow Preobrazhenskaya pl. d. 7a p. 1 office 217. Phone: 8 (495) 780-76-718 (495) 780-76-71")</f>
        <v>Electronic diary-stroke-console-bind-bibliotek 8 (495) 780-76-71 Region*settlement*of the applicant's name*name of the educational institution*Position*Position of the director*phone number*Email phone*Email*Looping documents are needed? Are you required to download: 1. Licenses 2 licenses 2 . The charter of the educational institution can be loaded and other documents characterizing your educational institution. You uploaded files: Comments to recover the application for the name of the name or number of the school of the school of the Electronic Electronic Mail to the Fields are required to fill the -user for the specified combination of fields! A letter with data for the entrance was sent to the email address. Container to enter the Establishment of the Estenigin Parolvotizavi Diary to connect the school 30-10-2023 in the Ivanovo region, the repair of 9 sports halls 18-10-2023 in Omsk on the basis of two schools opened the IT-Kub digital education 17-10-2023 for Moscow schoolchildren will be held for children -YUNOSH Tourism 16-10-2023 in the Arkhangelsk region renovated 7 gyms of small settlements 13-10-2023 teachers of the IT-Kub center. Irkutsk ”is taught the basics of cybergigiens from Kirovsk LPR. Statistics of the connection: students and parents of the classroom on your mobile device and types of lessons of tasks. In the latest version of the LMS, the school is available in the online lesson mode from the class from the class. Crossers can now observe their children from the electronic diary. IP camera in the subject cabinet. Captainers and administrations of educational institutions. The program:- Experience of automation of educational institutions of Russia- exclusion of double entry of information into electronic diary- electronic document management in the educational institutions-LMS (LMS school) Solution for educational institutions created by shelter by class teachers Parents and students. Devil for iPad and iPhone schedule assessment of assessment of comments Comments The Continuity of the Canteen Electronic Biblio of Video Hits and Ave., Modern! Use the electronic diary for friends and parents, parents and students of educational organizations of the Ministry of Defense of the Russian Federation! We inform you that due to the increased load, the electronic diary moved to a new more powerful server at Dnevnik.edumil.ru. If you did not find your educational organization in the list of authorization, then try to look for it on the new site dnevnik.edumil.ru what is a diary-LMS day-LMS-this is an Internet environment for the interaction of teachers of schools of parents and students! In addition to informing about the performance of home visualization Tasks Diary -LMS include public and specialized libraries of electronic materials for communication special and additional services of the possibility to create your content - texts of photographs of multimedia documents. In the Ivanovo region, the repair of 9 sports halls was completed on 10/30/2023 17:40 Updated sports spaces are already open to schoolchildren in more detail ... 12NOYABR 2023PNVTSRCHTSBVS 1234567891112131415151617181920222224242627282930 Project partners: Ministry of Defense of the Russian Federation: the Ministry of Defense of the Russian Federation. News of Kontaktvybebiblybliotek © 2023 Nintegra LLC; 107076 Moscow Preobrazhenskaya pl. d. 7a p. 1 office 217. Phone: 8 (495) 780-76-718 (495) 780-76-71</v>
      </c>
    </row>
    <row r="975">
      <c r="A975" s="1" t="s">
        <v>3051</v>
      </c>
      <c r="B975" s="1" t="s">
        <v>3102</v>
      </c>
      <c r="D975" s="1">
        <v>9.0</v>
      </c>
      <c r="E975" s="4" t="s">
        <v>3103</v>
      </c>
      <c r="F975" s="1" t="s">
        <v>43</v>
      </c>
      <c r="I975" s="2">
        <v>1.0</v>
      </c>
      <c r="J975" s="5" t="str">
        <f>IFERROR(__xludf.DUMMYFUNCTION("GOOGLETRANSLATE(A975)"),"electronic diary")</f>
        <v>electronic diary</v>
      </c>
      <c r="K975" s="6" t="str">
        <f>IFERROR(__xludf.DUMMYFUNCTION("GOOGLETRANSLATE(B975)"),"Electronic diary - Electronic school")</f>
        <v>Electronic diary - Electronic school</v>
      </c>
      <c r="L975" s="5" t="str">
        <f>IFERROR(__xludf.DUMMYFUNCTION("GOOGLETRANSLATE(C975)"),"#VALUE!")</f>
        <v>#VALUE!</v>
      </c>
      <c r="M975" s="5" t="str">
        <f>IFERROR(__xludf.DUMMYFUNCTION("GOOGLETRANSLATE(G975)"),"#VALUE!")</f>
        <v>#VALUE!</v>
      </c>
    </row>
    <row r="976">
      <c r="A976" s="1" t="s">
        <v>3051</v>
      </c>
      <c r="B976" s="1" t="s">
        <v>3104</v>
      </c>
      <c r="C976" s="1" t="s">
        <v>3105</v>
      </c>
      <c r="D976" s="1">
        <v>10.0</v>
      </c>
      <c r="E976" s="4" t="s">
        <v>3106</v>
      </c>
      <c r="F976" s="1" t="s">
        <v>43</v>
      </c>
      <c r="G976" s="1" t="s">
        <v>31</v>
      </c>
      <c r="H976" s="4" t="s">
        <v>32</v>
      </c>
      <c r="I976" s="2">
        <v>2.0</v>
      </c>
      <c r="J976" s="5" t="str">
        <f>IFERROR(__xludf.DUMMYFUNCTION("GOOGLETRANSLATE(A976)"),"electronic diary")</f>
        <v>electronic diary</v>
      </c>
      <c r="K976" s="6" t="str">
        <f>IFERROR(__xludf.DUMMYFUNCTION("GOOGLETRANSLATE(B976)"),"Electronic diary and magazine")</f>
        <v>Electronic diary and magazine</v>
      </c>
      <c r="L976" s="5" t="str">
        <f>IFERROR(__xludf.DUMMYFUNCTION("GOOGLETRANSLATE(C976)"),"“Electronic Diary and Journal” - a service that allows participants in the educational process to receive information about educational schedules, current and final ...")</f>
        <v>“Electronic Diary and Journal” - a service that allows participants in the educational process to receive information about educational schedules, current and final ...</v>
      </c>
      <c r="M976" s="5" t="str">
        <f>IFERROR(__xludf.DUMMYFUNCTION("GOOGLETRANSLATE(G976)"),"Wikipedia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77">
      <c r="A977" s="1" t="s">
        <v>3051</v>
      </c>
      <c r="B977" s="1" t="s">
        <v>3107</v>
      </c>
      <c r="C977" s="1" t="s">
        <v>3108</v>
      </c>
      <c r="D977" s="1">
        <v>11.0</v>
      </c>
      <c r="E977" s="4" t="s">
        <v>3109</v>
      </c>
      <c r="F977" s="1" t="s">
        <v>43</v>
      </c>
      <c r="G977" s="1" t="s">
        <v>3110</v>
      </c>
      <c r="H977" s="4" t="s">
        <v>3111</v>
      </c>
      <c r="I977" s="2">
        <v>1.0</v>
      </c>
      <c r="J977" s="5" t="str">
        <f>IFERROR(__xludf.DUMMYFUNCTION("GOOGLETRANSLATE(A977)"),"electronic diary")</f>
        <v>electronic diary</v>
      </c>
      <c r="K977" s="6" t="str">
        <f>IFERROR(__xludf.DUMMYFUNCTION("GOOGLETRANSLATE(B977)"),"AIS Education - Diary")</f>
        <v>AIS Education - Diary</v>
      </c>
      <c r="L977" s="5" t="str">
        <f>IFERROR(__xludf.DUMMYFUNCTION("GOOGLETRANSLATE(C977)"),"Authorization. Login. Password. Enter enter through public services · What is an electronic diary and how to use it. Public services. There is a question about the work of electronic ...")</f>
        <v>Authorization. Login. Password. Enter enter through public services · What is an electronic diary and how to use it. Public services. There is a question about the work of electronic ...</v>
      </c>
      <c r="M977" s="5" t="str">
        <f>IFERROR(__xludf.DUMMYFUNCTION("GOOGLETRANSLATE(G977)"),"AIS Education - your browser diary should support JavaScript to work with the resource.")</f>
        <v>AIS Education - your browser diary should support JavaScript to work with the resource.</v>
      </c>
    </row>
    <row r="978">
      <c r="A978" s="1" t="s">
        <v>3051</v>
      </c>
      <c r="B978" s="1" t="s">
        <v>3112</v>
      </c>
      <c r="D978" s="1">
        <v>14.0</v>
      </c>
      <c r="E978" s="4" t="s">
        <v>2876</v>
      </c>
      <c r="F978" s="1" t="s">
        <v>43</v>
      </c>
      <c r="G978" s="1" t="s">
        <v>2866</v>
      </c>
      <c r="H978" s="4" t="s">
        <v>2877</v>
      </c>
      <c r="I978" s="2">
        <v>1.0</v>
      </c>
      <c r="J978" s="5" t="str">
        <f>IFERROR(__xludf.DUMMYFUNCTION("GOOGLETRANSLATE(A978)"),"electronic diary")</f>
        <v>electronic diary</v>
      </c>
      <c r="K978" s="6" t="str">
        <f>IFERROR(__xludf.DUMMYFUNCTION("GOOGLETRANSLATE(B978)"),"Electronic magazine is a network city. Education")</f>
        <v>Electronic magazine is a network city. Education</v>
      </c>
      <c r="L978" s="5" t="str">
        <f>IFERROR(__xludf.DUMMYFUNCTION("GOOGLETRANSLATE(C978)"),"#VALUE!")</f>
        <v>#VALUE!</v>
      </c>
      <c r="M978" s="5" t="str">
        <f>IFERROR(__xludf.DUMMYFUNCTION("GOOGLETRANSLATE(G978)"),"Network city. Education")</f>
        <v>Network city. Education</v>
      </c>
    </row>
    <row r="979">
      <c r="A979" s="1" t="s">
        <v>3051</v>
      </c>
      <c r="B979" s="1" t="s">
        <v>3113</v>
      </c>
      <c r="D979" s="1">
        <v>15.0</v>
      </c>
      <c r="E979" s="4" t="s">
        <v>3114</v>
      </c>
      <c r="F979" s="1" t="s">
        <v>43</v>
      </c>
      <c r="G979" s="1" t="s">
        <v>3115</v>
      </c>
      <c r="H979" s="4" t="s">
        <v>3116</v>
      </c>
      <c r="I979" s="2">
        <v>1.0</v>
      </c>
      <c r="J979" s="5" t="str">
        <f>IFERROR(__xludf.DUMMYFUNCTION("GOOGLETRANSLATE(A979)"),"electronic diary")</f>
        <v>electronic diary</v>
      </c>
      <c r="K979" s="6" t="str">
        <f>IFERROR(__xludf.DUMMYFUNCTION("GOOGLETRANSLATE(B979)"),"Electronic school")</f>
        <v>Electronic school</v>
      </c>
      <c r="L979" s="5" t="str">
        <f>IFERROR(__xludf.DUMMYFUNCTION("GOOGLETRANSLATE(C979)"),"#VALUE!")</f>
        <v>#VALUE!</v>
      </c>
      <c r="M979" s="5" t="str">
        <f>IFERROR(__xludf.DUMMYFUNCTION("GOOGLETRANSLATE(G979)"),"Electronic school")</f>
        <v>Electronic school</v>
      </c>
    </row>
    <row r="980">
      <c r="A980" s="1" t="s">
        <v>3051</v>
      </c>
      <c r="B980" s="1" t="s">
        <v>3117</v>
      </c>
      <c r="D980" s="1">
        <v>16.0</v>
      </c>
      <c r="E980" s="4" t="s">
        <v>3118</v>
      </c>
      <c r="F980" s="1" t="s">
        <v>43</v>
      </c>
      <c r="I980" s="2">
        <v>1.0</v>
      </c>
      <c r="J980" s="5" t="str">
        <f>IFERROR(__xludf.DUMMYFUNCTION("GOOGLETRANSLATE(A980)"),"electronic diary")</f>
        <v>electronic diary</v>
      </c>
      <c r="K980" s="6" t="str">
        <f>IFERROR(__xludf.DUMMYFUNCTION("GOOGLETRANSLATE(B980)"),"Electronic diary - entrance to the system")</f>
        <v>Electronic diary - entrance to the system</v>
      </c>
      <c r="L980" s="5" t="str">
        <f>IFERROR(__xludf.DUMMYFUNCTION("GOOGLETRANSLATE(C980)"),"#VALUE!")</f>
        <v>#VALUE!</v>
      </c>
      <c r="M980" s="5" t="str">
        <f>IFERROR(__xludf.DUMMYFUNCTION("GOOGLETRANSLATE(G980)"),"#VALUE!")</f>
        <v>#VALUE!</v>
      </c>
    </row>
    <row r="981">
      <c r="A981" s="1" t="s">
        <v>3051</v>
      </c>
      <c r="B981" s="1" t="s">
        <v>3119</v>
      </c>
      <c r="C981" s="1" t="s">
        <v>3120</v>
      </c>
      <c r="D981" s="1">
        <v>17.0</v>
      </c>
      <c r="E981" s="4" t="s">
        <v>3121</v>
      </c>
      <c r="F981" s="1" t="s">
        <v>43</v>
      </c>
      <c r="I981" s="2">
        <v>1.0</v>
      </c>
      <c r="J981" s="5" t="str">
        <f>IFERROR(__xludf.DUMMYFUNCTION("GOOGLETRANSLATE(A981)"),"electronic diary")</f>
        <v>electronic diary</v>
      </c>
      <c r="K981" s="6" t="str">
        <f>IFERROR(__xludf.DUMMYFUNCTION("GOOGLETRANSLATE(B981)"),"Electronic Diary and Journal: Service Information")</f>
        <v>Electronic Diary and Journal: Service Information</v>
      </c>
      <c r="L981" s="5" t="str">
        <f>IFERROR(__xludf.DUMMYFUNCTION("GOOGLETRANSLATE(C981)"),"Electronic diary and journal: methods for submitting an application, payment procedure, terms for the provision of services.")</f>
        <v>Electronic diary and journal: methods for submitting an application, payment procedure, terms for the provision of services.</v>
      </c>
      <c r="M981" s="5" t="str">
        <f>IFERROR(__xludf.DUMMYFUNCTION("GOOGLETRANSLATE(G981)"),"#VALUE!")</f>
        <v>#VALUE!</v>
      </c>
    </row>
    <row r="982">
      <c r="A982" s="1" t="s">
        <v>3051</v>
      </c>
      <c r="B982" s="1" t="s">
        <v>3122</v>
      </c>
      <c r="D982" s="1">
        <v>18.0</v>
      </c>
      <c r="E982" s="4" t="s">
        <v>3123</v>
      </c>
      <c r="F982" s="1" t="s">
        <v>43</v>
      </c>
      <c r="I982" s="2">
        <v>1.0</v>
      </c>
      <c r="J982" s="5" t="str">
        <f>IFERROR(__xludf.DUMMYFUNCTION("GOOGLETRANSLATE(A982)"),"electronic diary")</f>
        <v>electronic diary</v>
      </c>
      <c r="K982" s="6" t="str">
        <f>IFERROR(__xludf.DUMMYFUNCTION("GOOGLETRANSLATE(B982)"),"“Network city. Education ""| Electronic diary in ...")</f>
        <v>“Network city. Education "| Electronic diary in ...</v>
      </c>
      <c r="L982" s="5" t="str">
        <f>IFERROR(__xludf.DUMMYFUNCTION("GOOGLETRANSLATE(C982)"),"#VALUE!")</f>
        <v>#VALUE!</v>
      </c>
      <c r="M982" s="5" t="str">
        <f>IFERROR(__xludf.DUMMYFUNCTION("GOOGLETRANSLATE(G982)"),"#VALUE!")</f>
        <v>#VALUE!</v>
      </c>
    </row>
    <row r="983">
      <c r="A983" s="1" t="s">
        <v>3051</v>
      </c>
      <c r="B983" s="1" t="s">
        <v>3124</v>
      </c>
      <c r="C983" s="1" t="s">
        <v>3125</v>
      </c>
      <c r="D983" s="1">
        <v>19.0</v>
      </c>
      <c r="E983" s="4" t="s">
        <v>3126</v>
      </c>
      <c r="F983" s="1" t="s">
        <v>43</v>
      </c>
      <c r="G983" s="1" t="s">
        <v>3127</v>
      </c>
      <c r="H983" s="1" t="s">
        <v>3128</v>
      </c>
      <c r="I983" s="2">
        <v>2.0</v>
      </c>
      <c r="J983" s="5" t="str">
        <f>IFERROR(__xludf.DUMMYFUNCTION("GOOGLETRANSLATE(A983)"),"electronic diary")</f>
        <v>electronic diary</v>
      </c>
      <c r="K983" s="6" t="str">
        <f>IFERROR(__xludf.DUMMYFUNCTION("GOOGLETRANSLATE(B983)"),"Electronic student diary: how ...")</f>
        <v>Electronic student diary: how ...</v>
      </c>
      <c r="L983" s="5" t="str">
        <f>IFERROR(__xludf.DUMMYFUNCTION("GOOGLETRANSLATE(C983)"),"29 Sept. 2023. -")</f>
        <v>29 Sept. 2023. -</v>
      </c>
      <c r="M983" s="5" t="str">
        <f>IFERROR(__xludf.DUMMYFUNCTION("GOOGLETRANSLATE(G983)"),"We explain.rf - the official information portal explains the Russian Economics and financial protection and tourism management education of the Internet mobile communications for -food products of cultural -free -food products for mobilization service (mo"&amp;"bilization calls completed) Service for the volunteer formations for the calling of participants in the “defenders General issues of community -social financial services for the receipt of citizenship and basic documents Banking services and legal assista"&amp;"nce and social assistance to the Medicine assistance of entrepreneurship to labor management (kindergarten school colleges universities) Useful contacts and other services if the child is poisoned on the network on November11 on the fight against cyberbul"&amp;"ling, we can do what can be done if your child is poisoned on the Internet or he himself offends others in more detail of the benefits At the birth of a child9, we’re in Nosyo. In connection with the advent of children, we are on the options for obtaining"&amp;" financial support from the state in connection with the advent of children how to get a medal at school? 6th grade on November 6 and go to the medal? It's time to tighten objects. And if it is a round excellent student, this year can be claimed for silve"&amp;"r more than payments for the fourth child, omitting about the options for financial assistance from the state for large families for large families, we take more vacations at our account 2 Narrowing for what reasons you can get off the work for a couple o"&amp;"f days without saving wages Read more “Arctic mortgage” on November 2, we will explain who and how can I get housing with a preferential rate in more detail the question - mobile communications responding | Interders help the child cope with bullying on t"&amp;"he Internet? We tell how to correctly resist cyberbulling on November11, 2023 Social protection | Social payments are laid at the birth of a child? We talk about the options for obtaining financial support from the state in connection with the advent of c"&amp;"hildren on November 9, 2023 Education | Organization of the educational processaccake to get a medal for successes at school? When awarding, take into account not only assessments in the certificate but also the results of the USE on November6, 2023 Socia"&amp;"l protection | Social payments are a single benefit to a single benefit if she already receives a pension for caring for a disabled child? We talk about the conditions for registration of payment on October 22, 2023 Social protection | Other support measu"&amp;"res to use a certificate for the purchase of rehabilitation funds? You can order the goods via the Internet or get in a regular store October 10, 2023 Social protection | Other measures to support a woman in the Far North retire ahead of schedule? We tell"&amp;" you under what conditions you can go on a well -deserved rest on the deadline on October14, 2023 Tutorization of loans for a large businessman business, support for investment projects in the Kaliningrad region, the appeal of inspections during the morat"&amp;"orium -owned business, the terms of the conclusion of special investment counter -systems for the southern and central regions in the southern and central region Blinking systems of registration of the Medideli -Silgot -Enjulgory loans of industrial enter"&amp;"prises of the domestic food supply of the domestic food market for the acceptance of applications for retraining от ветеранов запустили специальную платформу11 ноября 2023Семь новых учебных центров «Воин» планируют открыть в регионах в следующем году11 но"&amp;"ября 2023Самарская область станет 21-м регионом где тестируют беспилотники11 ноября 2023Почти 23 млрд рублей выделены на денежные компенсации сотрудникам МВД11 ноября 2023Диспансеризацию и профосмотры в этом году прошли More than 68 million Russians on No"&amp;"vember11, 2023, new regions will be created 28 open-type physical education complexes on November 111, 2023C with the latest achievements of domestic medicine, you can familiarize yourself with the Russian exhibition “Rossiya” on November 11, 2023 Regiona"&amp;"l Student Drinking, will appear in the Kherson region in 2024, 2023 Cultural Forum in St. Petersburg, will unite 70 countries on November 110, 2023 Poom materials make the right move: what secrets of the best chess players can come in handy in life utiliz"&amp;"ed the car: how to restore documents carefully children! How to transport small passengers in a car? OGRNIP: What is it how to get it and where to find out how to find out the remainder of the uterus of a capital how to correctly take a loan from sausage "&amp;"to aircraft engine: how is the Luhansk region of the Luhansk region of the Luhansk region: why it is needed and how it is calculated to go to the official Internet resource for informing about socio-economic situation in Russia. © ANO ""National Prioritie"&amp;"s"" 2022-2023 Privacy Politics User Agreement")</f>
        <v>We explain.rf - the official information portal explains the Russian Economics and financial protection and tourism management education of the Internet mobile communications for -food products of cultural -free -food products for mobilization service (mobilization calls completed) Service for the volunteer formations for the calling of participants in the “defenders General issues of community -social financial services for the receipt of citizenship and basic documents Banking services and legal assistance and social assistance to the Medicine assistance of entrepreneurship to labor management (kindergarten school colleges universities) Useful contacts and other services if the child is poisoned on the network on November11 on the fight against cyberbulling, we can do what can be done if your child is poisoned on the Internet or he himself offends others in more detail of the benefits At the birth of a child9, we’re in Nosyo. In connection with the advent of children, we are on the options for obtaining financial support from the state in connection with the advent of children how to get a medal at school? 6th grade on November 6 and go to the medal? It's time to tighten objects. And if it is a round excellent student, this year can be claimed for silver more than payments for the fourth child, omitting about the options for financial assistance from the state for large families for large families, we take more vacations at our account 2 Narrowing for what reasons you can get off the work for a couple of days without saving wages Read more “Arctic mortgage” on November 2, we will explain who and how can I get housing with a preferential rate in more detail the question - mobile communications responding | Interders help the child cope with bullying on the Internet? We tell how to correctly resist cyberbulling on November11, 2023 Social protection | Social payments are laid at the birth of a child? We talk about the options for obtaining financial support from the state in connection with the advent of children on November 9, 2023 Education | Organization of the educational processaccake to get a medal for successes at school? When awarding, take into account not only assessments in the certificate but also the results of the USE on November6, 2023 Social protection | Social payments are a single benefit to a single benefit if she already receives a pension for caring for a disabled child? We talk about the conditions for registration of payment on October 22, 2023 Social protection | Other support measures to use a certificate for the purchase of rehabilitation funds? You can order the goods via the Internet or get in a regular store October 10, 2023 Social protection | Other measures to support a woman in the Far North retire ahead of schedule? We tell you under what conditions you can go on a well -deserved rest on the deadline on October14, 2023 Tutorization of loans for a large businessman business, support for investment projects in the Kaliningrad region, the appeal of inspections during the moratorium -owned business, the terms of the conclusion of special investment counter -systems for the southern and central regions in the southern and central region Blinking systems of registration of the Medideli -Silgot -Enjulgory loans of industrial enterprises of the domestic food supply of the domestic food market for the acceptance of applications for retraining от ветеранов запустили специальную платформу11 ноября 2023Семь новых учебных центров «Воин» планируют открыть в регионах в следующем году11 ноября 2023Самарская область станет 21-м регионом где тестируют беспилотники11 ноября 2023Почти 23 млрд рублей выделены на денежные компенсации сотрудникам МВД11 ноября 2023Диспансеризацию и профосмотры в этом году прошли More than 68 million Russians on November11, 2023, new regions will be created 28 open-type physical education complexes on November 111, 2023C with the latest achievements of domestic medicine, you can familiarize yourself with the Russian exhibition “Rossiya” on November 11, 2023 Regional Student Drinking, will appear in the Kherson region in 2024, 2023 Cultural Forum in St. Petersburg, will unite 70 countries on November 110, 2023 Poom materials make the right move: what secrets of the best chess players can come in handy in life utilized the car: how to restore documents carefully children! How to transport small passengers in a car? OGRNIP: What is it how to get it and where to find out how to find out the remainder of the uterus of a capital how to correctly take a loan from sausage to aircraft engine: how is the Luhansk region of the Luhansk region of the Luhansk region: why it is needed and how it is calculated to go to the official Internet resource for informing about socio-economic situation in Russia. © ANO "National Priorities" 2022-2023 Privacy Politics User Agreement</v>
      </c>
    </row>
    <row r="984">
      <c r="A984" s="1" t="s">
        <v>3051</v>
      </c>
      <c r="B984" s="4" t="s">
        <v>3129</v>
      </c>
      <c r="D984" s="1">
        <v>20.0</v>
      </c>
      <c r="E984" s="4" t="s">
        <v>3129</v>
      </c>
      <c r="F984" s="1" t="s">
        <v>43</v>
      </c>
      <c r="I984" s="2">
        <v>1.0</v>
      </c>
      <c r="J984" s="5" t="str">
        <f>IFERROR(__xludf.DUMMYFUNCTION("GOOGLETRANSLATE(A984)"),"electronic diary")</f>
        <v>electronic diary</v>
      </c>
      <c r="K984" s="7" t="str">
        <f>IFERROR(__xludf.DUMMYFUNCTION("GOOGLETRANSLATE(B984)"),"https://schools.by/m/")</f>
        <v>https://schools.by/m/</v>
      </c>
      <c r="L984" s="5" t="str">
        <f>IFERROR(__xludf.DUMMYFUNCTION("GOOGLETRANSLATE(C984)"),"#VALUE!")</f>
        <v>#VALUE!</v>
      </c>
      <c r="M984" s="5" t="str">
        <f>IFERROR(__xludf.DUMMYFUNCTION("GOOGLETRANSLATE(G984)"),"#VALUE!")</f>
        <v>#VALUE!</v>
      </c>
    </row>
    <row r="985">
      <c r="A985" s="1" t="s">
        <v>3130</v>
      </c>
      <c r="B985" s="1" t="s">
        <v>205</v>
      </c>
      <c r="D985" s="1">
        <v>1.0</v>
      </c>
      <c r="E985" s="4" t="s">
        <v>3131</v>
      </c>
      <c r="F985" s="1" t="s">
        <v>16</v>
      </c>
      <c r="G985" s="1" t="s">
        <v>38</v>
      </c>
      <c r="H985" s="4" t="s">
        <v>39</v>
      </c>
      <c r="I985" s="2">
        <v>1.0</v>
      </c>
      <c r="J985" s="5" t="str">
        <f>IFERROR(__xludf.DUMMYFUNCTION("GOOGLETRANSLATE(A985)"),"Ютуб")</f>
        <v>Ютуб</v>
      </c>
      <c r="K985" s="6" t="str">
        <f>IFERROR(__xludf.DUMMYFUNCTION("GOOGLETRANSLATE(B985)"),"YouTube: Home")</f>
        <v>YouTube: Home</v>
      </c>
      <c r="L985" s="5" t="str">
        <f>IFERROR(__xludf.DUMMYFUNCTION("GOOGLETRANSLATE(C985)"),"#VALUE!")</f>
        <v>#VALUE!</v>
      </c>
      <c r="M985" s="5" t="str">
        <f>IFERROR(__xludf.DUMMYFUNCTION("GOOGLETRANSLATE(G985)"),"YouTubeAboutPressCopyrightContact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986">
      <c r="A986" s="1" t="s">
        <v>3130</v>
      </c>
      <c r="B986" s="1" t="s">
        <v>207</v>
      </c>
      <c r="C986" s="1" t="s">
        <v>208</v>
      </c>
      <c r="D986" s="1">
        <v>2.0</v>
      </c>
      <c r="E986" s="4" t="s">
        <v>209</v>
      </c>
      <c r="F986" s="1" t="s">
        <v>16</v>
      </c>
      <c r="G986" s="1" t="s">
        <v>31</v>
      </c>
      <c r="H986" s="4" t="s">
        <v>32</v>
      </c>
      <c r="I986" s="2">
        <v>1.0</v>
      </c>
      <c r="J986" s="5" t="str">
        <f>IFERROR(__xludf.DUMMYFUNCTION("GOOGLETRANSLATE(A986)"),"Ютуб")</f>
        <v>Ютуб</v>
      </c>
      <c r="K986" s="6" t="str">
        <f>IFERROR(__xludf.DUMMYFUNCTION("GOOGLETRANSLATE(B986)"),"YouTube")</f>
        <v>YouTube</v>
      </c>
      <c r="L986" s="5" t="str">
        <f>IFERROR(__xludf.DUMMYFUNCTION("GOOGLETRANSLATE(C986)"),"YouTube (MFA: [ˈjuːt (j) uːb], “yutyub”, “yutub”, “yutub”) - a video hosting that provides users with storage, delivery and showing videos.")</f>
        <v>YouTube (MFA: [ˈjuːt (j) uːb], “yutyub”, “yutub”, “yutub”) - a video hosting that provides users with storage, delivery and showing videos.</v>
      </c>
      <c r="M986" s="5" t="str">
        <f>IFERROR(__xludf.DUMMYFUNCTION("GOOGLETRANSLATE(G986)"),"Wikipedia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87">
      <c r="A987" s="1" t="s">
        <v>3130</v>
      </c>
      <c r="B987" s="1" t="s">
        <v>3132</v>
      </c>
      <c r="C987" s="1" t="s">
        <v>3133</v>
      </c>
      <c r="D987" s="1">
        <v>3.0</v>
      </c>
      <c r="E987" s="4" t="s">
        <v>3134</v>
      </c>
      <c r="F987" s="1" t="s">
        <v>16</v>
      </c>
      <c r="G987" s="1" t="s">
        <v>38</v>
      </c>
      <c r="H987" s="4" t="s">
        <v>39</v>
      </c>
      <c r="I987" s="2">
        <v>2.0</v>
      </c>
      <c r="J987" s="5" t="str">
        <f>IFERROR(__xludf.DUMMYFUNCTION("GOOGLETRANSLATE(A987)"),"Ютуб")</f>
        <v>Ютуб</v>
      </c>
      <c r="K987" s="6" t="str">
        <f>IFERROR(__xludf.DUMMYFUNCTION("GOOGLETRANSLATE(B987)"),"YouTube Russia")</f>
        <v>YouTube Russia</v>
      </c>
      <c r="L987" s="5" t="str">
        <f>IFERROR(__xludf.DUMMYFUNCTION("GOOGLETRANSLATE(C987)"),"On the official YouTube Russia channel, we publish project announcements, playlists from our partners, as well as live broadcasts of large international musical ...")</f>
        <v>On the official YouTube Russia channel, we publish project announcements, playlists from our partners, as well as live broadcasts of large international musical ...</v>
      </c>
      <c r="M987" s="5" t="str">
        <f>IFERROR(__xludf.DUMMYFUNCTION("GOOGLETRANSLATE(G987)"),"YouTubeAboutPressCopyrightContact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988">
      <c r="A988" s="1" t="s">
        <v>3130</v>
      </c>
      <c r="B988" s="1" t="s">
        <v>3135</v>
      </c>
      <c r="C988" s="1" t="s">
        <v>3136</v>
      </c>
      <c r="D988" s="1">
        <v>4.0</v>
      </c>
      <c r="E988" s="4" t="s">
        <v>3137</v>
      </c>
      <c r="F988" s="1" t="s">
        <v>16</v>
      </c>
      <c r="G988" s="1" t="s">
        <v>120</v>
      </c>
      <c r="H988" s="4" t="s">
        <v>121</v>
      </c>
      <c r="I988" s="2">
        <v>1.0</v>
      </c>
      <c r="J988" s="5" t="str">
        <f>IFERROR(__xludf.DUMMYFUNCTION("GOOGLETRANSLATE(A988)"),"Ютуб")</f>
        <v>Ютуб</v>
      </c>
      <c r="K988" s="6" t="str">
        <f>IFERROR(__xludf.DUMMYFUNCTION("GOOGLETRANSLATE(B988)"),"Applications on Google Play - YouTube")</f>
        <v>Applications on Google Play - YouTube</v>
      </c>
      <c r="L988" s="5" t="str">
        <f>IFERROR(__xludf.DUMMYFUNCTION("GOOGLETRANSLATE(C988)"),"Install the official YouTube application for Android. You can watch the video that they talk about all over the world, upload your videos, subscribe to ...")</f>
        <v>Install the official YouTube application for Android. You can watch the video that they talk about all over the world, upload your videos, subscribe to ...</v>
      </c>
      <c r="M988" s="5" t="str">
        <f>IFERROR(__xludf.DUMMYFUNCTION("GOOGLETRANSLATE(G988)"),"Android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989">
      <c r="A989" s="1" t="s">
        <v>3130</v>
      </c>
      <c r="B989" s="1" t="s">
        <v>3138</v>
      </c>
      <c r="C989" s="1" t="s">
        <v>3139</v>
      </c>
      <c r="D989" s="1">
        <v>5.0</v>
      </c>
      <c r="E989" s="4" t="s">
        <v>3140</v>
      </c>
      <c r="F989" s="1" t="s">
        <v>16</v>
      </c>
      <c r="G989" s="1" t="s">
        <v>97</v>
      </c>
      <c r="H989" s="4" t="s">
        <v>98</v>
      </c>
      <c r="I989" s="2">
        <v>1.0</v>
      </c>
      <c r="J989" s="5" t="str">
        <f>IFERROR(__xludf.DUMMYFUNCTION("GOOGLETRANSLATE(A989)"),"Ютуб")</f>
        <v>Ютуб</v>
      </c>
      <c r="K989" s="6" t="str">
        <f>IFERROR(__xludf.DUMMYFUNCTION("GOOGLETRANSLATE(B989)"),"YouTube - App Store")</f>
        <v>YouTube - App Store</v>
      </c>
      <c r="L989" s="5" t="str">
        <f>IFERROR(__xludf.DUMMYFUNCTION("GOOGLETRANSLATE(C989)"),"Install the official YouTube application for iOS devices. You can watch the video. about which they are talking about all over the world, loading your videos ...")</f>
        <v>Install the official YouTube application for iOS devices. You can watch the video. about which they are talking about all over the world, loading your videos ...</v>
      </c>
      <c r="M989" s="5" t="str">
        <f>IFERROR(__xludf.DUMMYFUNCTION("GOOGLETRANSLATE(G989)"),"App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990">
      <c r="A990" s="1" t="s">
        <v>3130</v>
      </c>
      <c r="B990" s="1" t="s">
        <v>3141</v>
      </c>
      <c r="C990" s="1" t="s">
        <v>3142</v>
      </c>
      <c r="D990" s="1">
        <v>6.0</v>
      </c>
      <c r="E990" s="4" t="s">
        <v>3143</v>
      </c>
      <c r="F990" s="1" t="s">
        <v>16</v>
      </c>
      <c r="G990" s="1" t="s">
        <v>216</v>
      </c>
      <c r="H990" s="4" t="s">
        <v>217</v>
      </c>
      <c r="I990" s="2">
        <v>1.0</v>
      </c>
      <c r="J990" s="5" t="str">
        <f>IFERROR(__xludf.DUMMYFUNCTION("GOOGLETRANSLATE(A990)"),"Ютуб")</f>
        <v>Ютуб</v>
      </c>
      <c r="K990" s="6" t="str">
        <f>IFERROR(__xludf.DUMMYFUNCTION("GOOGLETRANSLATE(B990)"),"YouTube community rules - reference")</f>
        <v>YouTube community rules - reference</v>
      </c>
      <c r="L990" s="5" t="str">
        <f>IFERROR(__xludf.DUMMYFUNCTION("GOOGLETRANSLATE(C990)"),"On YouTube, discriminatory statements, exploiting behavior, persecution and scenes of violence are prohibited, as well as materials that promote ...")</f>
        <v>On YouTube, discriminatory statements, exploiting behavior, persecution and scenes of violence are prohibited, as well as materials that promote ...</v>
      </c>
      <c r="M990" s="5" t="str">
        <f>IFERROR(__xludf.DUMMYFUNCTION("GOOGLETRANSLATE(G990)"),"Google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991">
      <c r="A991" s="1" t="s">
        <v>3130</v>
      </c>
      <c r="B991" s="1" t="s">
        <v>3144</v>
      </c>
      <c r="C991" s="1" t="s">
        <v>3145</v>
      </c>
      <c r="D991" s="1">
        <v>7.0</v>
      </c>
      <c r="E991" s="4" t="s">
        <v>3146</v>
      </c>
      <c r="F991" s="1" t="s">
        <v>16</v>
      </c>
      <c r="G991" s="1" t="s">
        <v>216</v>
      </c>
      <c r="H991" s="4" t="s">
        <v>217</v>
      </c>
      <c r="I991" s="2">
        <v>1.0</v>
      </c>
      <c r="J991" s="5" t="str">
        <f>IFERROR(__xludf.DUMMYFUNCTION("GOOGLETRANSLATE(A991)"),"Ютуб")</f>
        <v>Ютуб</v>
      </c>
      <c r="K991" s="6" t="str">
        <f>IFERROR(__xludf.DUMMYFUNCTION("GOOGLETRANSLATE(B991)"),"Sign - YouTube")</f>
        <v>Sign - YouTube</v>
      </c>
      <c r="L991" s="5" t="str">
        <f>IFERROR(__xludf.DUMMYFUNCTION("GOOGLETRANSLATE(C991)"),"The official YouTube reference center, where you can find tips and manuals for using the product, as well as answers to frequently asked questions.")</f>
        <v>The official YouTube reference center, where you can find tips and manuals for using the product, as well as answers to frequently asked questions.</v>
      </c>
      <c r="M991" s="5" t="str">
        <f>IFERROR(__xludf.DUMMYFUNCTION("GOOGLETRANSLATE(G991)"),"Google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992">
      <c r="A992" s="1" t="s">
        <v>3130</v>
      </c>
      <c r="B992" s="1" t="s">
        <v>3147</v>
      </c>
      <c r="C992" s="1" t="s">
        <v>3148</v>
      </c>
      <c r="D992" s="1">
        <v>8.0</v>
      </c>
      <c r="E992" s="4" t="s">
        <v>3149</v>
      </c>
      <c r="F992" s="1" t="s">
        <v>16</v>
      </c>
      <c r="G992" s="1" t="s">
        <v>3150</v>
      </c>
      <c r="H992" s="4" t="s">
        <v>3151</v>
      </c>
      <c r="I992" s="2">
        <v>2.0</v>
      </c>
      <c r="J992" s="5" t="str">
        <f>IFERROR(__xludf.DUMMYFUNCTION("GOOGLETRANSLATE(A992)"),"Ютуб")</f>
        <v>Ютуб</v>
      </c>
      <c r="K992" s="6" t="str">
        <f>IFERROR(__xludf.DUMMYFUNCTION("GOOGLETRANSLATE(B992)"),"YouTube to children")</f>
        <v>YouTube to children</v>
      </c>
      <c r="L992" s="5" t="str">
        <f>IFERROR(__xludf.DUMMYFUNCTION("GOOGLETRANSLATE(C992)"),"YouTube service for children was specially created so that young viewers were interested in YouTube, and parents could be sure that their kids are available ...")</f>
        <v>YouTube service for children was specially created so that young viewers were interested in YouTube, and parents could be sure that their kids are available ...</v>
      </c>
      <c r="M992" s="5" t="str">
        <f>IFERROR(__xludf.DUMMYFUNCTION("GOOGLETRANSLATE(G992)"),"YouTube KidsTo use YouTube Kids please get a parent to update your browser.")</f>
        <v>YouTube KidsTo use YouTube Kids please get a parent to update your browser.</v>
      </c>
    </row>
    <row r="993">
      <c r="A993" s="1" t="s">
        <v>3130</v>
      </c>
      <c r="B993" s="1" t="s">
        <v>3152</v>
      </c>
      <c r="C993" s="1" t="s">
        <v>1587</v>
      </c>
      <c r="D993" s="1">
        <v>9.0</v>
      </c>
      <c r="E993" s="4" t="s">
        <v>3153</v>
      </c>
      <c r="F993" s="1" t="s">
        <v>16</v>
      </c>
      <c r="G993" s="1" t="s">
        <v>3154</v>
      </c>
      <c r="H993" s="4" t="s">
        <v>3155</v>
      </c>
      <c r="I993" s="2">
        <v>4.0</v>
      </c>
      <c r="J993" s="5" t="str">
        <f>IFERROR(__xludf.DUMMYFUNCTION("GOOGLETRANSLATE(A993)"),"Ютуб")</f>
        <v>Ютуб</v>
      </c>
      <c r="K993" s="6" t="str">
        <f>IFERROR(__xludf.DUMMYFUNCTION("GOOGLETRANSLATE(B993)"),"Deputy Gorelkin invited the operators to cancel ...")</f>
        <v>Deputy Gorelkin invited the operators to cancel ...</v>
      </c>
      <c r="L993" s="5" t="str">
        <f>IFERROR(__xludf.DUMMYFUNCTION("GOOGLETRANSLATE(C993)"),"15 hours ago -")</f>
        <v>15 hours ago -</v>
      </c>
      <c r="M993" s="5" t="str">
        <f>IFERROR(__xludf.DUMMYFUNCTION("GOOGLETRANSLATE(G993)"),"  iPhones.ru - High technologies news reviews of smartphones of the presentation of Apple ← Sell iPhone expensive 💰 ← Sell iPhone 💰 💰 💰 💰 💰 💰 💰 💰 💰 💰 💰 💰 💰 💰 💰 💰 💰 💰 💰 iphones.ru 13ios 16iphone 15 Plusiphone 15 Proiphone 15 ProPhone 15"&amp;" Pro Maxios 15 Tusov -Council of the Conducting Agreement Agreement Add post19.39 -Korean companies occupied 483% of the batteries market for electric vehicles from January to September 2023. LG Energy Solutions manufacturer of batteries and Chinese BYD l"&amp;"arge manufacturer of electric vehicles in the world. 13.44IFIXIT dismantled the MacBook Pro M3 and explained why the new black case collects less prints. The company has made an anodized surface of the lid more rough at the microscopic level. Thanks to th"&amp;"is, more light creating a common dark shade is reflected. 11.26😳 PlayStation 5 is again selling the cheaper in Russia right now on Yandex Market sell the PS5 console (the Japan region works in the Russian Federation a version with a drive) for only 43 th"&amp;"ousand rubles. This is the second batch the first bought the first time for the start of the sale. So that you understand it cheaper than the used PlayStation 5 on Avito. There are only 1,500 consoles of them a third of them have already been bought in 20"&amp;" minutes. If they wanted to take a “curling” for a long time, but the prices in stores were strained - you know what to do .🛒 You can buy here (if you still have) .p.s. Yandex brought these consoles right into the “hat” of the markete so that it looks li"&amp;"ke an organized action.@IPhonesru 10.39 Following Sir morning. Here is your morning press 🤌 The whole most interesting thing was discussed by users on the Internet this week and what we wrote about on the page, read the coffee coat. 1. The first IMAC rev"&amp;"iews with the M3 processor. Western technores resources found pros and cons of → Read2. The first reviews of the MacBook Pro with the M3 processor. New color test results → read3. The American startup showed the future replacement for the smartphone. All "&amp;"infa is projected directly onto the palm of the palm of the palm of the palm of your hand → read4. Announced GTA 6 trailer will be shown in early December → Read5. KAMAZ showed a new unmanned truck he was already called “Robokop” → Read6. The best backpac"&amp;"ks according to the editors are the best that we ourselves go with such → read7. 50 rubles instead of 899: An excellent WRECKFEST survival race is sold on the App Store almost to the dug → Reading this week was this week. All pleasant weekends 👌 10.34App"&amp;"le are preparing to allow the loading of applications on the iPhone from third -party stores. The first hints from iOS 17.2. A new framework appeared in the system with the functions of downloading installation and updating applications from external sour"&amp;"ces. It can check if the application is compatible with a specific device or IOS version of what already makes the App Store. 09.57 China operator China Telecom allowed subscribers to connect to their own satellite communication. This requires a smartphon"&amp;"e with satellite communication in China. So far, this function is only in Huawei Mate 60 Pro. Another ... even more ... 15 burning goods with AliExpress for sale 11.11. A lot of Xiaomi /15 burning goods with AliExpress on sale 11.11. A lot of Xiaomi on Al"&amp;"iExpress can be found a lot of curious and useful pieces for all occasions that will make it more convenient and interesting. Kirill Morozov yesterday at 18:30 12fold, throw MacOS to the factory state. It is useful to reset MacOS to the factory state befo"&amp;"re the sale or transfer of the Macack. Many users decided to update their apple computers before selling or transferring Mac after another presentation of Apple. The old Mac can be sold or conveyed to relatives. At the same time ... Restore: yesterday at "&amp;"16:45 3 🍭 I looked at David Fincher's “killer”. An unusual movie from which was sickening by the “killer” of David Fincher. Unusual cinema from which is sickening Artyom Bausov Yesterday at 14:48 Gallery#question-answer#wallpaper iPhone#films-series miss"&amp;"ed. Right now, the PlayStation 5 is selling on Yandex Market for just 43 thousand rubles. Right now, on Yandex Market, PlayStation 5 sell for 43 thousand rubles Nikita Goryainov yesterday at 11:27 51iphone XRIPHONE HSIPAD PRO 2018MACBOOK AIR 2019AW Series"&amp;" 4Apple is preparing to allow the loading of third -party iPhone apps. The first hints from iOS 17.2Apple are preparing to allow the loading of applications on the iPhone from third -party stores. The first hints from iOS 17.2 Artyom Bausov yesterday at 1"&amp;"0:24 24 member of the iPhone 15 Pro after a month. There is questioning from the iPhone 15 Pro after a month. There are questions from Artyom Baus yesterday at 10:02 30DAMPRODAM.ru) the scope and exchange of iPhone money immediately and the exchange of ma"&amp;"cbook, no need to go Apple accessories quickly departure of free -tobular digest. Here is all the most interesting in the week that you could skip the Cubble Digest. Here everything is the most interesting in the week that you could miss briefly and essen"&amp;"tially. Mikk Sid Yesterday at 9:52 The best wallpaper on the iPhone, and download on smartphone -checkeredBinance will stop supporting ruble deposits from November 15 on November 15, will stop supporting ruble deposits from November 15, Artyom Baus on Nov"&amp;"ember 10 at 20:22 15 pm IOS team. How to blow the iPhone after getting a vagipotal team iOS. How to blow the iPhone after moisture hit the dynamics do not rust. Artyom Surovtsev November 10 at 19:43 4 ICHAMLAMA🔥 The trend#iPhone 14#iPhone 14 Plus#iPhone "&amp;"14 Pro#iPhone 14 Pro Max#Apple Watch Ultra#Apple Watch Pro#Apple Watch 8#Apple Watch 8# Apple Watch 7 #Ipad Pro 2021#iPhone 13#iPhone 13 Mini#iPhone 13 Pro#IPhone 13 Pro Max#Iphone 12#Iphone 12 Pro#iPhone 12 Max#Apple Watch 13#iPad Pro 2020#Apple Watch 5#"&amp;"IPPLE WATCH 5#Apple Watch Phone XS #App Store#Apple Watch 4#iPhone XR#reviews#iPhone 11#iPhone 11 Pro#iPhone 11 Pro Max#Useful Sports#Sport#Very interesting#iPhone X#iPhone 8 #Apple Watch# IMAC#smartphones#competitions#headphones#covers for iPhone#backpac"&amp;"ks#charging for iPhone#Xiaomi ... more ↓ 🔴 Live Ether: 33EZDIUMNO_RU: @feliznavida Silver - wise solution. I also choose it. And the classic color and ... ifixit dismantled the MacBook Pro M3 and explained why the new black case ... 06: 31EZDIMNO_RU: @ep"&amp;"mak if ""there is aluminum there, then the color will be appropriate ... ifixit analyzed the macBook Pro M3 and explained why the new black case ... 06: 28EZDIMNO_RU: @Grenek and silver - this is a classic. The eternal classic! Ifixit dismantled the MacBo"&amp;"ok Pro M3 and explained why the new black case ... 06: 27EZDIMNO_RU: The people are more interested in the coating will be burdened and how quickly the spots will become noticeable ... IFIXIT dismantled the MacBook Pro M3 and explained why the new black c"&amp;"ase .. .06: 15magicApple: Gloves there are many types and colors all under the promotion of all 1.99 euros ... 15 burning goods with AliExpress on a sale 11.11. There is a lot of Xiaomi ... 📬 A party I pay for mobile communications in Canada. The attenti"&amp;"on of the iPhone 15 Pro Max here costs from $ 4454 we are looking for an author in Moscow. With experience. Write here (AT) iPhones.runikita Goryanovnaya editorms (AT) iPhones.rumikk Sidefshef-editor Gerelykin suggested that the operators cancel unlimited"&amp;" access to YouTube so as not to wear out the equipment to the operators to cancel unlimited access to Youtube equipment Bausov November 10 at 19: 15 3715 interesting pieces on the sale of 11.11 on AliExpress. For example, a lot of Xiaomi and Baseus /15 in"&amp;"teresting pieces on the sale of 11.11 on AliExpress. For example, a lot of Xiaomi and Baseus on AliExpress can be found many useful pieces for all occasions. Today, many of them will be able to buy at a big discount. Kirill Morozov November 10 at 18:30 65"&amp;" new series. Such an exciting plot that even many films are resting /5 new series. Such an exciting plot that even many films are resting Mikk SID on November 10 at 16:11 16APLE will add an OLED screen first to the iPad Pro, then to the MacBook Pro and th"&amp;"en to the MacBook AIRAPLE will add OLED screen first to the iPad Pro and then at the MacBook Air Ilya Sidorov on November 10 at 14:21 20fold, I allowed to use one phone number on a smartphone and watches with Esimbiline allowed to use one phone number on "&amp;"a smartphone and watches with ESIM Beeline launched a new one number service. It allows you to use a single number on all devices with ESIM. For example, on a smartphone and ... Beeline November10 at 13:14 26 -mobile Internet Megafon was recognized as fas"&amp;"test to Moskvemobilny Internet Megafon recognized as the fastest Artyom Baus in Moscow on November 10 at 12:58 9intel wants to produce processors for the US Army Ilya. Sidorov on November 10 at 12:06 5 pm 5th day: Unable USB-C/Lightning cable that can be "&amp;"towed by the day of the day: the indestructible USB-C/Lightning cable, which can be towed, bought it in 2019, did not regret it once. MIKK SID on November 10 at 11:30 12-p.m. 12 companies in messengers at VDNH in Moscow grew 6 times in the first days of t"&amp;"he exhibition-forum ""Russia"" traffic in messengers at VDNH in Moscow grew 6 times in the first days of the exhibition-forum ""Russia"" Beeline experts recorded the growth of mobile traffic on the territory of VDNH. On the first weekend of November, the "&amp;"operator’s subscribers download more than 10 TB of various ... November November at 10:00 5 did not find what they were looking for? iPhone on the MAC on the cable wire distribution of the Internet can be convenient when you need to provide a good connect"&amp;"ion speed. Other gadgets who have access to the mobile point further ... Read more ... iOS iPhonekak add RAM to IMAC? What memory is suitable? Artyom Surovtsev November 22, 2016 How to add RAM to IMAC? What memory is suitable? Hello Denis. On most IMAC mo"&amp;"dels, you can add or replace RAM yourself. To do this, you need to find the connector on the rear read further ... Read more ... Macd to find out the e -mail of the Apple retail store? Ivan Petrov 30 October 2016 Where to find out the e -mail of the Apple"&amp;" retail store? Greetings Victor! The postal addresses of specific Apple Store stores - confidential information that Apple does not distribute. To read further ... Read more ... IPhone is the question7 of the gadgets and accessories who will be happy with"&amp;" the real Apple fan. Check and make sure7 gadgets and accessories who will be happy with the real Apple fan. Check and make sure you just need to take and give it. You can even yourself. Mikk SID November 10 at 9:30 14 Magaphone gives a year of free commu"&amp;"nication when buying a smartphone Honor 90 Litemegaphon gives a year of free communication when buying a smartphone Honor 90 Lite Artyom Busov on November 10 at 9:29 6IPHONE SE 4 will receive a modified case of the iPhone se 4 case will receive a modified"&amp;" building iPhone 14 Artyom Bausov November 10 at 9:28 1315 of the most interesting goods at 11.11 selling on Yandex Market. For example, a giant TV with Alice /15 of the most interesting goods on the sale of 11.11 on Yandex Market. For example, a giant TV"&amp;" with Alice, thanks to the largest sale of the year, you can get a huge number of interesting gadgets and accessories at a very good price. Kirill Morozov on November 10 at 9:28 28 28 firmware 6B32 for AirPods Pro 2 went firmware 6B32 for Airpods Pro 2 Ar"&amp;"tyom Busov November 10 at 9:11 4Apple updated the Apple design in iOS 17.2Apple in iOS 17.2 Ilya Sidorov 10 November November 10 November November 10 Brya in 8:40 4123456789 ... 2555 times who? The strongest processors of Apple M3 from M2 and M1 are survi"&amp;"ving. For the sake of which it is worth updated on November5 how much are the MacBook Pro and IMAC on the M3 in the USA Europe UAE and Japan. Where to buy the most profitable on November 2 differs new 14- and 16-inch MacBook Pro on M3 from the previous ge"&amp;"neration models31 Octoberly different models of Apple Pencil are different. Compared 3 stylus for the iPad18 October to also order the IPhones.ru Candidation Conducting Agreement © iphones.ru 2006–2023ios 17 iOS 16 iPhone 15 Plus iPhone 15 Pro iPhone 15 P"&amp;"ro iOS 15 Reviews and batteries of the batteries and charging smartphones huts and trackers covers bags of bags and Backpacks of cables and adapters of the stand and holders of the article News Accessories Tusovka Company Company Service Service Instructi"&amp;"ons DEV Story Developers Find out the first to specify any materials from the site by iPhones.ru as a source. All copyright and exclusive rights within the framework of the project are protected in accordance with the provisions of 4 parts of the Civil Co"&amp;"de of the Russian Federation. Ask the question - get the one’s back in the names of the email your question👈 Kapcha is required to send an advice, take the closest answer on our website :) The question is not accepted your conflicts with Google, he does "&amp;"not let you in :(")</f>
        <v>  iPhones.ru - High technologies news reviews of smartphones of the presentation of Apple ← Sell iPhone expensive 💰 ← Sell iPhone 💰 💰 💰 💰 💰 💰 💰 💰 💰 💰 💰 💰 💰 💰 💰 💰 💰 💰 💰 iphones.ru 13ios 16iphone 15 Plusiphone 15 Proiphone 15 ProPhone 15 Pro Maxios 15 Tusov -Council of the Conducting Agreement Agreement Add post19.39 -Korean companies occupied 483% of the batteries market for electric vehicles from January to September 2023. LG Energy Solutions manufacturer of batteries and Chinese BYD large manufacturer of electric vehicles in the world. 13.44IFIXIT dismantled the MacBook Pro M3 and explained why the new black case collects less prints. The company has made an anodized surface of the lid more rough at the microscopic level. Thanks to this, more light creating a common dark shade is reflected. 11.26😳 PlayStation 5 is again selling the cheaper in Russia right now on Yandex Market sell the PS5 console (the Japan region works in the Russian Federation a version with a drive) for only 43 thousand rubles. This is the second batch the first bought the first time for the start of the sale. So that you understand it cheaper than the used PlayStation 5 on Avito. There are only 1,500 consoles of them a third of them have already been bought in 20 minutes. If they wanted to take a “curling” for a long time, but the prices in stores were strained - you know what to do .🛒 You can buy here (if you still have) .p.s. Yandex brought these consoles right into the “hat” of the markete so that it looks like an organized action.@IPhonesru 10.39 Following Sir morning. Here is your morning press 🤌 The whole most interesting thing was discussed by users on the Internet this week and what we wrote about on the page, read the coffee coat. 1. The first IMAC reviews with the M3 processor. Western technores resources found pros and cons of → Read2. The first reviews of the MacBook Pro with the M3 processor. New color test results → read3. The American startup showed the future replacement for the smartphone. All infa is projected directly onto the palm of the palm of the palm of the palm of your hand → read4. Announced GTA 6 trailer will be shown in early December → Read5. KAMAZ showed a new unmanned truck he was already called “Robokop” → Read6. The best backpacks according to the editors are the best that we ourselves go with such → read7. 50 rubles instead of 899: An excellent WRECKFEST survival race is sold on the App Store almost to the dug → Reading this week was this week. All pleasant weekends 👌 10.34Apple are preparing to allow the loading of applications on the iPhone from third -party stores. The first hints from iOS 17.2. A new framework appeared in the system with the functions of downloading installation and updating applications from external sources. It can check if the application is compatible with a specific device or IOS version of what already makes the App Store. 09.57 China operator China Telecom allowed subscribers to connect to their own satellite communication. This requires a smartphone with satellite communication in China. So far, this function is only in Huawei Mate 60 Pro. Another ... even more ... 15 burning goods with AliExpress for sale 11.11. A lot of Xiaomi /15 burning goods with AliExpress on sale 11.11. A lot of Xiaomi on AliExpress can be found a lot of curious and useful pieces for all occasions that will make it more convenient and interesting. Kirill Morozov yesterday at 18:30 12fold, throw MacOS to the factory state. It is useful to reset MacOS to the factory state before the sale or transfer of the Macack. Many users decided to update their apple computers before selling or transferring Mac after another presentation of Apple. The old Mac can be sold or conveyed to relatives. At the same time ... Restore: yesterday at 16:45 3 🍭 I looked at David Fincher's “killer”. An unusual movie from which was sickening by the “killer” of David Fincher. Unusual cinema from which is sickening Artyom Bausov Yesterday at 14:48 Gallery#question-answer#wallpaper iPhone#films-series missed. Right now, the PlayStation 5 is selling on Yandex Market for just 43 thousand rubles. Right now, on Yandex Market, PlayStation 5 sell for 43 thousand rubles Nikita Goryainov yesterday at 11:27 51iphone XRIPHONE HSIPAD PRO 2018MACBOOK AIR 2019AW Series 4Apple is preparing to allow the loading of third -party iPhone apps. The first hints from iOS 17.2Apple are preparing to allow the loading of applications on the iPhone from third -party stores. The first hints from iOS 17.2 Artyom Bausov yesterday at 10:24 24 member of the iPhone 15 Pro after a month. There is questioning from the iPhone 15 Pro after a month. There are questions from Artyom Baus yesterday at 10:02 30DAMPRODAM.ru) the scope and exchange of iPhone money immediately and the exchange of macbook, no need to go Apple accessories quickly departure of free -tobular digest. Here is all the most interesting in the week that you could skip the Cubble Digest. Here everything is the most interesting in the week that you could miss briefly and essentially. Mikk Sid Yesterday at 9:52 The best wallpaper on the iPhone, and download on smartphone -checkeredBinance will stop supporting ruble deposits from November 15 on November 15, will stop supporting ruble deposits from November 15, Artyom Baus on November 10 at 20:22 15 pm IOS team. How to blow the iPhone after getting a vagipotal team iOS. How to blow the iPhone after moisture hit the dynamics do not rust. Artyom Surovtsev November 10 at 19:43 4 ICHAMLAMA🔥 The trend#iPhone 14#iPhone 14 Plus#iPhone 14 Pro#iPhone 14 Pro Max#Apple Watch Ultra#Apple Watch Pro#Apple Watch 8#Apple Watch 8# Apple Watch 7 #Ipad Pro 2021#iPhone 13#iPhone 13 Mini#iPhone 13 Pro#IPhone 13 Pro Max#Iphone 12#Iphone 12 Pro#iPhone 12 Max#Apple Watch 13#iPad Pro 2020#Apple Watch 5#IPPLE WATCH 5#Apple Watch Phone XS #App Store#Apple Watch 4#iPhone XR#reviews#iPhone 11#iPhone 11 Pro#iPhone 11 Pro Max#Useful Sports#Sport#Very interesting#iPhone X#iPhone 8 #Apple Watch# IMAC#smartphones#competitions#headphones#covers for iPhone#backpacks#charging for iPhone#Xiaomi ... more ↓ 🔴 Live Ether: 33EZDIUMNO_RU: @feliznavida Silver - wise solution. I also choose it. And the classic color and ... ifixit dismantled the MacBook Pro M3 and explained why the new black case ... 06: 31EZDIMNO_RU: @epmak if "there is aluminum there, then the color will be appropriate ... ifixit analyzed the macBook Pro M3 and explained why the new black case ... 06: 28EZDIMNO_RU: @Grenek and silver - this is a classic. The eternal classic! Ifixit dismantled the MacBook Pro M3 and explained why the new black case ... 06: 27EZDIMNO_RU: The people are more interested in the coating will be burdened and how quickly the spots will become noticeable ... IFIXIT dismantled the MacBook Pro M3 and explained why the new black case .. .06: 15magicApple: Gloves there are many types and colors all under the promotion of all 1.99 euros ... 15 burning goods with AliExpress on a sale 11.11. There is a lot of Xiaomi ... 📬 A party I pay for mobile communications in Canada. The attention of the iPhone 15 Pro Max here costs from $ 4454 we are looking for an author in Moscow. With experience. Write here (AT) iPhones.runikita Goryanovnaya editorms (AT) iPhones.rumikk Sidefshef-editor Gerelykin suggested that the operators cancel unlimited access to YouTube so as not to wear out the equipment to the operators to cancel unlimited access to Youtube equipment Bausov November 10 at 19: 15 3715 interesting pieces on the sale of 11.11 on AliExpress. For example, a lot of Xiaomi and Baseus /15 interesting pieces on the sale of 11.11 on AliExpress. For example, a lot of Xiaomi and Baseus on AliExpress can be found many useful pieces for all occasions. Today, many of them will be able to buy at a big discount. Kirill Morozov November 10 at 18:30 65 new series. Such an exciting plot that even many films are resting /5 new series. Such an exciting plot that even many films are resting Mikk SID on November 10 at 16:11 16APLE will add an OLED screen first to the iPad Pro, then to the MacBook Pro and then to the MacBook AIRAPLE will add OLED screen first to the iPad Pro and then at the MacBook Air Ilya Sidorov on November 10 at 14:21 20fold, I allowed to use one phone number on a smartphone and watches with Esimbiline allowed to use one phone number on a smartphone and watches with ESIM Beeline launched a new one number service. It allows you to use a single number on all devices with ESIM. For example, on a smartphone and ... Beeline November10 at 13:14 26 -mobile Internet Megafon was recognized as fastest to Moskvemobilny Internet Megafon recognized as the fastest Artyom Baus in Moscow on November 10 at 12:58 9intel wants to produce processors for the US Army Ilya. Sidorov on November 10 at 12:06 5 pm 5th day: Unable USB-C/Lightning cable that can be towed by the day of the day: the indestructible USB-C/Lightning cable, which can be towed, bought it in 2019, did not regret it once. MIKK SID on November 10 at 11:30 12-p.m. 12 companies in messengers at VDNH in Moscow grew 6 times in the first days of the exhibition-forum "Russia" traffic in messengers at VDNH in Moscow grew 6 times in the first days of the exhibition-forum "Russia" Beeline experts recorded the growth of mobile traffic on the territory of VDNH. On the first weekend of November, the operator’s subscribers download more than 10 TB of various ... November November at 10:00 5 did not find what they were looking for? iPhone on the MAC on the cable wire distribution of the Internet can be convenient when you need to provide a good connection speed. Other gadgets who have access to the mobile point further ... Read more ... iOS iPhonekak add RAM to IMAC? What memory is suitable? Artyom Surovtsev November 22, 2016 How to add RAM to IMAC? What memory is suitable? Hello Denis. On most IMAC models, you can add or replace RAM yourself. To do this, you need to find the connector on the rear read further ... Read more ... Macd to find out the e -mail of the Apple retail store? Ivan Petrov 30 October 2016 Where to find out the e -mail of the Apple retail store? Greetings Victor! The postal addresses of specific Apple Store stores - confidential information that Apple does not distribute. To read further ... Read more ... IPhone is the question7 of the gadgets and accessories who will be happy with the real Apple fan. Check and make sure7 gadgets and accessories who will be happy with the real Apple fan. Check and make sure you just need to take and give it. You can even yourself. Mikk SID November 10 at 9:30 14 Magaphone gives a year of free communication when buying a smartphone Honor 90 Litemegaphon gives a year of free communication when buying a smartphone Honor 90 Lite Artyom Busov on November 10 at 9:29 6IPHONE SE 4 will receive a modified case of the iPhone se 4 case will receive a modified building iPhone 14 Artyom Bausov November 10 at 9:28 1315 of the most interesting goods at 11.11 selling on Yandex Market. For example, a giant TV with Alice /15 of the most interesting goods on the sale of 11.11 on Yandex Market. For example, a giant TV with Alice, thanks to the largest sale of the year, you can get a huge number of interesting gadgets and accessories at a very good price. Kirill Morozov on November 10 at 9:28 28 28 firmware 6B32 for AirPods Pro 2 went firmware 6B32 for Airpods Pro 2 Artyom Busov November 10 at 9:11 4Apple updated the Apple design in iOS 17.2Apple in iOS 17.2 Ilya Sidorov 10 November November 10 November November 10 Brya in 8:40 4123456789 ... 2555 times who? The strongest processors of Apple M3 from M2 and M1 are surviving. For the sake of which it is worth updated on November5 how much are the MacBook Pro and IMAC on the M3 in the USA Europe UAE and Japan. Where to buy the most profitable on November 2 differs new 14- and 16-inch MacBook Pro on M3 from the previous generation models31 Octoberly different models of Apple Pencil are different. Compared 3 stylus for the iPad18 October to also order the IPhones.ru Candidation Conducting Agreement © iphones.ru 2006–2023ios 17 iOS 16 iPhone 15 Plus iPhone 15 Pro iPhone 15 Pro iOS 15 Reviews and batteries of the batteries and charging smartphones huts and trackers covers bags of bags and Backpacks of cables and adapters of the stand and holders of the article News Accessories Tusovka Company Company Service Service Instructions DEV Story Developers Find out the first to specify any materials from the site by iPhones.ru as a source. All copyright and exclusive rights within the framework of the project are protected in accordance with the provisions of 4 parts of the Civil Code of the Russian Federation. Ask the question - get the one’s back in the names of the email your question👈 Kapcha is required to send an advice, take the closest answer on our website :) The question is not accepted your conflicts with Google, he does not let you in :(</v>
      </c>
    </row>
    <row r="994">
      <c r="A994" s="1" t="s">
        <v>3130</v>
      </c>
      <c r="B994" s="1" t="s">
        <v>265</v>
      </c>
      <c r="C994" s="1" t="s">
        <v>266</v>
      </c>
      <c r="D994" s="1">
        <v>10.0</v>
      </c>
      <c r="E994" s="4" t="s">
        <v>267</v>
      </c>
      <c r="F994" s="1" t="s">
        <v>16</v>
      </c>
      <c r="G994" s="1" t="s">
        <v>268</v>
      </c>
      <c r="H994" s="1" t="s">
        <v>269</v>
      </c>
      <c r="I994" s="2">
        <v>2.0</v>
      </c>
      <c r="J994" s="5" t="str">
        <f>IFERROR(__xludf.DUMMYFUNCTION("GOOGLETRANSLATE(A994)"),"Ютуб")</f>
        <v>Ютуб</v>
      </c>
      <c r="K994" s="6" t="str">
        <f>IFERROR(__xludf.DUMMYFUNCTION("GOOGLETRANSLATE(B994)"),"YouTube Blog — Official Blog for Latest YouTube News ...")</f>
        <v>YouTube Blog — Official Blog for Latest YouTube News ...</v>
      </c>
      <c r="L994" s="5" t="str">
        <f>IFERROR(__xludf.DUMMYFUNCTION("GOOGLETRANSLATE(C994)"),"Explore our official blog for the latest news about YouTube, creator and artist profiles, culture and trends analyses, and behind-the-scenes insights.")</f>
        <v>Explore our official blog for the latest news about YouTube, creator and artist profiles, culture and trends analyses, and behind-the-scenes insights.</v>
      </c>
      <c r="M994" s="5" t="str">
        <f>IFERROR(__xludf.DUMMYFUNCTION("GOOGLETRANSLATE(G994)"),"YouTube Blog — Official Blog for Latest YouTube News &amp; InsightsSkip to Main Content          News &amp; Events                  Creator &amp; Artist Stories                  Culture &amp; Trends                  Inside YouTube                  Made On YouTube        "&amp;"Submit Search      Search Input              News and Events                  Dua Lipa’s “Houdini” has magically arrived                Read More                  Creator and Artist Stories                  Watch the final episode of “In a Pickle”        "&amp;"        Read More                  Culture and Trends                  Try a Trend: Inktober and NPCs as main characters                Read More                  News and Events                  Make the most out of the YouTube Music app with these lates"&amp;"t features                Read More        14Creator and Artist Stories        Rene’s Top Five on YouTube: November 9 2023 Edition      Nov.09.2023News and Events        How (and why) to add captions to your YouTube videos      Nov.06.2023    Video format"&amp;" not supported  Culture and Trends        Frame by frame: celebrating stop motion animation with a master of the craft      Nov.04.2023Inside YouTube        Work Diaries: Planning Barrio YouTube Event with Martín Raygoza      Nov.02.2023            Creato"&amp;"rs          Road to 1 million subscribersTips tricks and best practices on how creators reach the coveted subscribers milestone.              Read more          Road to 1 million subscribers with Daniela LiepertUnlike many Gen Z creators nowadays Daniela "&amp;"Liepert was not always comfortable leading a digital-first platform. But after 20 years in the fashion industry she decided…Road to 1 million subscribers with Scott FrenzelRoad to one million with Reza and Puja Khan5 APAC creators paving their way to 10 m"&amp;"illion subscribers with YouTube ShortsDon't Miss This            Made On YouTube '23 Event Recap          Play buttonPlay button iconMade On YouTube '23 Event Recap            YouTube presents.... In a Pickle: The Beverly Halls          Play buttonPlay bu"&amp;"tton iconYouTube presents.... In a Pickle: The Beverly Halls            YouTube presents.... In a Pickle: Haley Kalil          Play buttonPlay button iconYouTube presents.... In a Pickle: Haley Kalil            How Sydney and Taty blew up on YouTube! — Be"&amp;"tween Two Creators          Play buttonPlay button iconHow Sydney and Taty blew up on YouTube! — Between Two Creators            When Ryan met… BEN — Between Two Creators          Play buttonPlay button iconWhen Ryan met… BEN — Between Two Creators15All t"&amp;"he Latest            Load More                      Loading...                      Explore the latest company news creator and artist profiles culture and trends analyses and behind-the-scenes insights on the YouTube Official Blog.          Our ChannelsO"&amp;"penOpen AccordionCloseclose Accordion          YouTube                  YouTube Creators                  Creator Insider                  TeamYouTube [Help]                  Susan Wojcicki        TwitterOpenOpen AccordionCloseclose Accordion          You"&amp;"Tube                  YouTube Creators                  TeamYouTube                  YouTube Gaming                  YouTube TV                  YouTube Music                  YouTubeInsider        ConnectAbout YouTubeOpenOpen AccordionCloseclose Accordio"&amp;"n          About                  Press                  Jobs                  How YouTube Works                  YouTube Culture &amp; Trends                  Community Forum        YouTube ProductsOpenOpen AccordionCloseclose Accordion          YouTube Go  "&amp;"                YouTube Kids                  YouTube Music                  YouTube Originals                  YouTube Premium                  YouTube Studio                  YouTube TV        For BusinessOpenOpen AccordionCloseclose Accordion          "&amp;"Advertising                  Developers        For CreatorsOpenOpen AccordionCloseclose Accordion          Artists                  Creators                  Creator Academy                  Creating for Kids                  Creators Research            "&amp;"      Creators Services Directory                  YouTube NextUp                  YouTube Space                  YouTube VR        Our CommitmentsOpenOpen AccordionCloseclose Accordion          Creators for Change                  CSAI Match             "&amp;"     Social Impact                          Policy &amp; Safety                                  Copyright                                  Brand Guidelines                                  Privacy                                  Terms                       "&amp;"       Help                    Deutsch              English              Español (Latinoamérica)              Português (Brasil)")</f>
        <v>YouTube Blog — Official Blog for Latest YouTube News &amp; InsightsSkip to Main Content          News &amp; Events                  Creator &amp; Artist Stories                  Culture &amp; Trends                  Inside YouTube                  Made On YouTube        Submit Search      Search Input              News and Events                  Dua Lipa’s “Houdini” has magically arrived                Read More                  Creator and Artist Stories                  Watch the final episode of “In a Pickle”                Read More                  Culture and Trends                  Try a Trend: Inktober and NPCs as main characters                Read More                  News and Events                  Make the most out of the YouTube Music app with these latest features                Read More        14Creator and Artist Stories        Rene’s Top Five on YouTube: November 9 2023 Edition      Nov.09.2023News and Events        How (and why) to add captions to your YouTube videos      Nov.06.2023    Video format not supported  Culture and Trends        Frame by frame: celebrating stop motion animation with a master of the craft      Nov.04.2023Inside YouTube        Work Diaries: Planning Barrio YouTube Event with Martín Raygoza      Nov.02.2023            Creators          Road to 1 million subscribersTips tricks and best practices on how creators reach the coveted subscribers milestone.              Read more          Road to 1 million subscribers with Daniela LiepertUnlike many Gen Z creators nowadays Daniela Liepert was not always comfortable leading a digital-first platform. But after 20 years in the fashion industry she decided…Road to 1 million subscribers with Scott FrenzelRoad to one million with Reza and Puja Khan5 APAC creators paving their way to 10 million subscribers with YouTube ShortsDon't Miss This            Made On YouTube '23 Event Recap          Play buttonPlay button iconMade On YouTube '23 Event Recap            YouTube presents.... In a Pickle: The Beverly Halls          Play buttonPlay button iconYouTube presents.... In a Pickle: The Beverly Halls            YouTube presents.... In a Pickle: Haley Kalil          Play buttonPlay button iconYouTube presents.... In a Pickle: Haley Kalil            How Sydney and Taty blew up on YouTube! — Between Two Creators          Play buttonPlay button iconHow Sydney and Taty blew up on YouTube! — Between Two Creators            When Ryan met… BEN — Between Two Creators          Play buttonPlay button iconWhen Ryan met… BEN — Between Two Creators15All the Latest            Load More                      Loading...                      Explore the latest company news creator and artist profiles culture and trends analyses and behind-the-scenes insights on the YouTube Official Blog.          Our ChannelsOpenOpen AccordionCloseclose Accordion          YouTube                  YouTube Creators                  Creator Insider                  TeamYouTube [Help]                  Susan Wojcicki        TwitterOpenOpen AccordionCloseclose Accordion          YouTube                  YouTube Creators                  TeamYouTube                  YouTube Gaming                  YouTube TV                  YouTube Music                  YouTubeInsider        ConnectAbout YouTubeOpenOpen AccordionCloseclose Accordion          About                  Press                  Jobs                  How YouTube Works                  YouTube Culture &amp; Trends                  Community Forum        YouTube ProductsOpenOpen AccordionCloseclose Accordion          YouTube Go                  YouTube Kids                  YouTube Music                  YouTube Originals                  YouTube Premium                  YouTube Studio                  YouTube TV        For BusinessOpenOpen AccordionCloseclose Accordion          Advertising                  Developers        For CreatorsOpenOpen AccordionCloseclose Accordion          Artists                  Creators                  Creator Academy                  Creating for Kids                  Creators Research                  Creators Services Directory                  YouTube NextUp                  YouTube Space                  YouTube VR        Our CommitmentsOpenOpen AccordionCloseclose Accordion          Creators for Change                  CSAI Match                  Social Impact                          Policy &amp; Safety                                  Copyright                                  Brand Guidelines                                  Privacy                                  Terms                              Help                    Deutsch              English              Español (Latinoamérica)              Português (Brasil)</v>
      </c>
    </row>
    <row r="995">
      <c r="A995" s="1" t="s">
        <v>3130</v>
      </c>
      <c r="B995" s="1" t="s">
        <v>3156</v>
      </c>
      <c r="C995" s="1" t="s">
        <v>3157</v>
      </c>
      <c r="D995" s="1">
        <v>11.0</v>
      </c>
      <c r="E995" s="4" t="s">
        <v>3158</v>
      </c>
      <c r="F995" s="1" t="s">
        <v>16</v>
      </c>
      <c r="G995" s="1" t="s">
        <v>1728</v>
      </c>
      <c r="H995" s="4" t="s">
        <v>1729</v>
      </c>
      <c r="I995" s="2">
        <v>4.0</v>
      </c>
      <c r="J995" s="5" t="str">
        <f>IFERROR(__xludf.DUMMYFUNCTION("GOOGLETRANSLATE(A995)"),"Ютуб")</f>
        <v>Ютуб</v>
      </c>
      <c r="K995" s="6" t="str">
        <f>IFERROR(__xludf.DUMMYFUNCTION("GOOGLETRANSLATE(B995)"),"YouTube - the latest and fresh news today and ...")</f>
        <v>YouTube - the latest and fresh news today and ...</v>
      </c>
      <c r="L995" s="5" t="str">
        <f>IFERROR(__xludf.DUMMYFUNCTION("GOOGLETRANSLATE(C995)"),"YouTube will refuse Storis's format from June 26. YouTube video hosting will refuse Storis format from June 26. This is stated in the message of the American corporation ...")</f>
        <v>YouTube will refuse Storis's format from June 26. YouTube video hosting will refuse Storis format from June 26. This is stated in the message of the American corporation ...</v>
      </c>
      <c r="M995" s="5" t="str">
        <f>IFERROR(__xludf.DUMMYFUNCTION("GOOGLETRANSLATE(G995)"),"Izvestia - News of the Policy of the Sports Sports Economics | Iz.ru Russian-regoperation of Russia in Ukraine of the Palestinian-Israeli conflict-forum-forum “Russia” $ $ the special operation of Russia in Ukraine of the Palestinian-Israeli conflict-foru"&amp;"m “Russia” $ $ $ $ $ $ $ $ $ € $ € $ € $ € $ to malevostication MiRMIMIANAUKA and technicianism of the StranskultiRestor-Project and subscriptions of the subscription of the company Executive Press Central Centorification of the Important Agreement of Lab"&amp;"or Agreement, the site operates with financial support Ministry of Digital Development of Communications and Mass Communications of the Russian Federation. Registered by the Federal Service for Supervision of the Communications Field of Information Techno"&amp;"logies and Mass Communications. Certificates of registration of EL No. FS 77 - 76208 dated July 8, 2019 EL No. FS 77 - 72003 of December 26, 2019, all rights were protected © MIC Izvestia LLC 2023 Khgazeta Izvestia NMGNOSTIST RENNOVOST 5 Kanalanovosti 78 "&amp;"Canalport Express Sports The Express newspaper Subscription Fillon denies the organization of a meeting of the Lebanese businessman with Putin on March 20 on March 20, all the results go to the main content of the rejection of the Ethers and gunners hit t"&amp;"he assault groups of the Armed Forces of Ukraine in the LPRB House, rejected the financing project of the US government without the help of Kievudan Lag and OIS needed to investigate the military crimes of the Israeli Israeli The defeat of the control and"&amp;" shelter of the militants in Syriasinoptics predicted in Moscow to rain and up to +7 degrees on November 12, on November 12, the latest news, the doctor told about the ways to survive the magnetic storm 06:15 Ovechkin abandoned the 825th washer in the NHL"&amp;" regular championships 06:05 A earthquake of magnitude 54 occurred In Indonesia 05:50, the farmers of Europe were apprehensive reacted to the possibility of Ukraine’s entry into the EU 05:35 Army of the Russian Federation destroyed four mortar calculation"&amp;"s of the Armed Forces in the Kupyansk direction 05:20 Russian pilots and artillerymen hit the assault groups of the Armed Forces of Ukraine in the LPR 05:05 Bloomberg learned about the consent Germany to increase assistance to Ukraine by half to € 8 billi"&amp;"on 04:50 Three people died in a collision of a train with a truck in the Angara region 04:35 Biden needed to help the guard of honor during the cemetery at the cemetery 04:20 Army of Israel answered Syria with blows on terrorist infrastructure 04: 05 Woma"&amp;"n and her two -year -old daughter died in a fire in Podolsk 03:50 White House rejected the project to finance the work of the US government without the help of Kiev 03:40 Macron called the Gaza Conference to create a humanitarian coalition 03:25 Speaker o"&amp;"f the US Congress offered to financing the government without the help of Kiev 03:15 Foreign weather forecasters predicted in Moscow to rain and up to +7 degrees on November 12 03:00 a dog handler spoke about the reasons for the early death of dogs 02:50 "&amp;"The ex-adviser Kuchma pointed out the readiness of the slave and the Armed Forces of the Russian Federation with the Russian Federation 02:40 London police detained 150 participants Demonstrations in support of Palestine 02:27 Air Defense of Israel interc"&amp;"epted a suspicious goal from Gaza 02:15 In Brazil, football fans staged a mass fight during the championship 02:05 Three people died in an accident in the Pskov region 01:50 Visitors to Igor Dreviv shared with the Izvestia »Impressions of the stand 01:35 "&amp;"Brother Nurmagomedov were disqualified for six months due to doping 01:25 Ukrainian media reported on explosions in Kiev, the city of Kherson 01:14 Podolyak announced the readiness of Ukraine for economic disputes with the EU countries 01: 10 Sportovtochk"&amp;"in abandoned the 825th The puck in the regular championships of the NHLMIMELY House rejected the project to finance the work of the US government without the help of Kiev -Proserification of Magnitite 54 in Indonesia Mirpodolak announced the readiness of "&amp;"Ukraine for economic disputes with the countries of Emyrbloomberg, the consent of the Federal Republic of Germany was doubled to € 8 billion. The ceremonies at the cemetery of the parties predicted in Moscow to rain and up to +7 degrees on November 12, a "&amp;"person killed in an accident in the Pskov regional regional media, reported explosions in the city of the city of Khersonaarmiyarmiy of the Russian Federation destroyed four mortar calculations of the Armed Forces of the Armed Forces in the Kupyansk direc"&amp;"tion of the Gamanitarian CoA. Litius Israel answered Syria with blows on a terrorist infrastructureurinist of the defense of Ukraine Umarov told the head of the Pentagon about the needs of the Kievardocarman to pull: the mortgage demand for the secondary "&amp;"collapsed almost half the terms of high rates of the banks are looking for unusual ways to attract clientwarmia Dmitry Kornev Stratosfer: why Russia is a new intelligence and junction complex that will be combined if they are united Hostly mortal Devices "&amp;"and systems of shock weapons Society Dmitry Alekseev Residential Pont: Housing Housing, without the consent of the neighbors, will not work out a new bill is called to find a compromise between residents and those who want to receive rental income, Ivan P"&amp;"etrov Knock grievances: what rights the controller in transport in Moscow opened a case for a cruel The beating of the auditor on the bus Economics Dmitry Migunov Bomb at $ 33 trillion: the US public debt has become a world problem for the demand for Amer"&amp;"ican bonds began to lag behind the proposal of the Gladiator on wheels: Italian journalists recall Ayrton Senniveli racer continues to excite the public -Golongrid. Bovano before Still Samir Igor Karmazin change the orientation: why Armenia spoils relatio"&amp;"ns with Russia, the head of the Armenian General Staff met with American generals Viktor Nedelin Rainbow prospects: Latvia was forced to same-sex marriages. The International LGBBBI continues to work on the Baltic states of Mirizizdan: the world will boyc"&amp;"ott the produced ones that will happen that will happen with the economy of the Jewish state and is it worth waiting for a new wave of anti -Semitism on November 12, 2023 00: 01economics “Open Portfolio”: how much could private investors in October expert"&amp;"s analyzed the state of the Russian stock market on November 12, 2023 00: 02 Lessac and Technician Hope: Scientists created a wardrobe for premature Children as a development will reduce the risk of injuries and infections in newborns with a low body weig"&amp;"ht on November 12, 2023 00: 01 culture of energy: Mariinsky in China Talyzin in the Mossytt Tsiscaridze in the BDT about this week, fans of the beautiful SMI2.ru -Political School of Smi2.ru -Political Coasters said this week: What changes the status of i"&amp;"nternal for the Azov Sea as these changes will affect the economy of the region and Russia on August 16, 2023 18: 52 -rope land: how Ukraine has become one of the most mined countries in the world and how Russian sappers help to solve this problem on Augu"&amp;"st 17, 2023 17: 19 Little Democratic Republic and Technical Energy and Technician Approach: as Russian scientists create unique technologies of analogues to many developments, there is no one in the world on July 31, 2023 18: 52econs of their field: how t"&amp;"he food security in Russia is ensured and what influence Covid and sanctions on July 31, 2023 18: 52 Mirbaiden were required to help the guard of honor in The ceremony in the cemetery on November12 2023 04: 20Arm Israel answered Syria with blows to terror"&amp;"ist infrastructure on November 19, 2023 04: 05 School of the US Congress, proposed financing the government without the help of Kiev on November12, 2023: 15 by 15 by 15 by the U.S. financing project without the help of Kiev November 2023 03: 40Ex Kuchma a"&amp;"dviser pointed to the readiness of the Sulfa and the Armed Forces for negotiations with the Russian Federation on November 112, 2023: 403d model of the T-90M T-90M “Breakthrough” 3D model of the first test train of the Moscow metro “Panther” 3D model of t"&amp;"he Moscow Kremlin3D model of the dacha M. S. Gorbacheva in the Foros 3d model of the Ilya Muromets aircraft 3D model of the atomic cruiser “Peter the Great” 3D model of the Tiger tank 3D model “Worker and collective farm” 3D model of Russia “Russia” 3D mo"&amp;"del of the Grand Kremlin Palace3D3D -Model of the Cathedral of the Paris Mother of God ANT-20 ""Maxim Gorky"". 3D-model3d model of the Crimean bridge3d-model of the main temple of the Armed Forces of the Russian Federation of the Russian Federation3d 3d-m"&amp;"odel of the Boeing 747-1003d model of the monastery of the Kiev-Pechersk Laurus3d Model House of the House of the Watchtower of the Patrient Ship ""Emerald"" 3d-model of the St. Paul3d Model of the Rzhevsky Memorial Soviet soldier 3d-model of the Berlin T"&amp;"ank Tank IS-23D model of the Salisbury Cathedral3d Model of the passenger aircraft Tu-1043D-model of the Sukharevo Tower of the Il-763D motor ship ""Peter the Great"" 3D model of the Cathedral of Christ Savior 3d Model of Space Ships "" Union-19 ”and“ Apo"&amp;"llo ”3D model of the Sevastopol battleship, a member of“ Scarlet Sails ”-brig Tre Kronor Af Stockholm Kurchatov Specialized Synchrotron Radiation Speed ​​3D model“ Vostok-1 ”3D-model Titanic History in the dates: 12 November-consuming of the week in the p"&amp;"hotographs: a blow to Jabalia The deadly storm ""Kiaran"" and the choice of a dress for Miss Universe what was important in Russia and the world in the past days Super Bag: how do flour made of crickets a fresh look at the goods of the Stavropol Staropoli"&amp;"s category is not in a neighborly way: Pakistan is deporting the Afghan illegal measures to end until November 1, the photo of the day: Vulcan Klyuchevsky was assigned a “red” hazard code for aviation00: 24Magnetic storm will cover the earth on the night "&amp;"of November 12, 2023 19: 4600: 57v China, online for the occasion of the day of the Holy Day11 November 2023 18: 3000: 33th American strategic bomber B-21 made the first flight on November11, 2023 13: 53, the largest artificial ice rink in Europe. Video 3"&amp;"60 ° The Building Theater building celebrates the 195th anniversary. Video 360 ° in Moscow was held by the International Exhibition of Business Aviation Rubae. Video 360 ° Festival of military equipment ""Motors of War"". Video 360 ° in Moscow hosts the f"&amp;"estival of gardens and flowers. Video 360 ° the second for the year the tram parade was held in the capital. Video 360 ° PMEF. Video 360 ° Morning on May 9 in Moscow from the roof of the Typhoon armored car. Video 360 ° Evacuation of the aircraft. Video 3"&amp;"60 ° what they feed on an airplane: an excursion to the on -board power plant. Video 360 ° Exhibition ""Lada Always"": more than 100 most unusual models. Video 360 ° East. Another beauty: a large -scale exhibition. Video 360 ° Excursion on the legendary M"&amp;"osfilm pavilions. Video 360 ° how the coke is produced. Video 360 ° 90 years of Mickey Mouse: multimedia exhibition. Video 360 ° 120 previously unknown sculptures of Tsereteli. Video 360 ° Championship of Russia in the Higher aerobatics: unique shots from"&amp;" the wing of the aircraft. Video 360 ° Moscow Mint and Moscow Printing House ""Goznak"". Video 360 ° The World Cup in Kazan. Video 360 ° Cinema ""Illusion"" after reconstruction. Video 360 ° Crazy drift on the ""Lada"". Video 360 ° Excursion in Gorky Park"&amp;". Video 360 ° feeding sharks in Moskvarium. Video 360 ° World Wingsight jump record. Video 360 ° Luxurious train ""Imperial Russia"". Video 360 ° Driving T-80U tank under water. Video 360 ° Championship of the World football 2022 in Qatar: A unique show. "&amp;"Video 360 ° The test is not for the faint of heart: a stamina marathon. Video 360 ° Advertising of beauty: Ten products that will extend youth, doctors said that it is necessary to slow down the aging on November 11, 2023 00: 02 Iranian President gathered"&amp;" in Saudi Arabia Visit as part of the Summit on the situation in the gas sector will be the first after the reconciliation of the two countries on November 11 2023 00: 02 publication seal of communication: how to protect against theft of data through a VP"&amp;"N under a VPN service can be disguised as a Trojan-style on November 11, 2023 00:02 Opinion Olga Pozdnyakov “” In Russia, a register of debtors on alimony will appear in Russia. It will be possible to delete the surname from it only by repaying all obliga"&amp;"tions. In the future, it is possible to introduce sanctions against submitted to the register - a restriction on leaving the country with a driver’s license, etc. November 11, 2023 08: 00Aleksandra Babkin “” on the Internet you should not do anything that"&amp;" you do not allow yourself in real life. Technical tools can protect you from cyberbulling, however, we will not change the culture of our communication on the network, we will not be able to globally solve the problem on November11, 2023 08: 00valery Eme"&amp;"lyanov “” Positive factors that could not force the ruble to turn over now. Currency swings rush down until they find a U -turning point there and will not fly back 10th November 2023 08: 00maxim Dobromoslov “” In one we are ahead of the Hollywood film In"&amp;"dustry - small budgets. Our times less. Paradoxically, but this is a big plus November 9, 2023 20: 00vgenia Pimenov “” Cultural exchanges in the broadest sense of the word is a tool of peaceful and stable times. When the world spiral of conflicts begins t"&amp;"o spin all this “decor” begins to crumble on November9, 2023 14: 00leg Chamonaev “” This case affects not only Camille personally, but also the entire national team and even in the matter with Olympic gold. So no compromises (with their conscience and ant"&amp;"i -doping authorities) are impossible here on November 9, 2023 08: 00 George Mokhov “” Everywhere where there are budget money - especially when they are distributed on “lightweight” conditions: not through public procurements and competitive procedures, "&amp;"and highlighting subsidies essentially Under honestly, attackers always appear. This also happened in the field of tourism on November 9, 2023: 00port “The level of RPL fell a bit-more matches began to win on the classroom” SKA-Khabarovsk football player "&amp;"Vyacheslav Podberezkin-about the leadership of Krasnodar and the motivation of the new generation of players on November 12, 2023 00: 01 Products Her two -year -old daughter died in a fire in Podolsk November 112, 2023: 50 Mirmacron called the Gaza Confer"&amp;"ence in a step towards the creation of a humanitarian coalition November12, 2023 03: 25 Synoptics predicted rain in Moscow and up to +7 degrees on November 12, 2023 03: 00 Police of London, 150 participants in the demonstration in support Palestine Novemb"&amp;"er 19, 2023 02: 27pvo Israel, intercepted a suspicious goal from Gaza November 112, 2023: 15v Brazil, football fans staged a mass fight during the championship November 11, 2023 02: 05 sports weekend with Izvestia November 10, 2023 00: 00 Cultural Week: C"&amp;"hoosing Izvestia on November 9 2023 00: 01 advertising menu Advertising Subscribing to the RSS newspaper Send news about the company editorial-pre-re-renovation company about the immutation of the labor protection of labor copyright on the visualization s"&amp;"ystem of the contents of the portal iz.ru as well as on the initial data, including the texts of the audio and video materials, graphic images and product signs belongs ""MIC"" Izvestia "". The specified information is protected in accordance with the leg"&amp;"islation of the Russian Federation and international agreements. Partial citation is possible only if a hyperlink on iz.ru. AB AB ""Russia"" - partner of the section ""Economics"" The site functions with financial support from the Ministry of Digital Deve"&amp;"lopment of Communications and Mass Communications of the Russian Federation. Responsibility for the maintenance of any advertising materials placed on the portal is borne by the advertiser. Analytics News Forecasts and other materials presented on this si"&amp;"te are not an offer or a recommendation for the purchase or sale of any assets. Registered by the Federal Service for Supervision of the Communications of Information Technologies and Mass Communications. Certificate of registration of EL No. FS 77 - 7620"&amp;"8 dated July 8, 2019 EL No. FS 77 - 72003 of December 26, 2019 All rights are protected © MIC Izvestia 2023")</f>
        <v>Izvestia - News of the Policy of the Sports Sports Economics | Iz.ru Russian-regoperation of Russia in Ukraine of the Palestinian-Israeli conflict-forum-forum “Russia” $ $ the special operation of Russia in Ukraine of the Palestinian-Israeli conflict-forum “Russia” $ $ $ $ $ $ $ $ $ € $ € $ € $ € $ to malevostication MiRMIMIANAUKA and technicianism of the StranskultiRestor-Project and subscriptions of the subscription of the company Executive Press Central Centorification of the Important Agreement of Labor Agreement, the site operates with financial support Ministry of Digital Development of Communications and Mass Communications of the Russian Federation. Registered by the Federal Service for Supervision of the Communications Field of Information Technologies and Mass Communications. Certificates of registration of EL No. FS 77 - 76208 dated July 8, 2019 EL No. FS 77 - 72003 of December 26, 2019, all rights were protected © MIC Izvestia LLC 2023 Khgazeta Izvestia NMGNOSTIST RENNOVOST 5 Kanalanovosti 78 Canalport Express Sports The Express newspaper Subscription Fillon denies the organization of a meeting of the Lebanese businessman with Putin on March 20 on March 20, all the results go to the main content of the rejection of the Ethers and gunners hit the assault groups of the Armed Forces of Ukraine in the LPRB House, rejected the financing project of the US government without the help of Kievudan Lag and OIS needed to investigate the military crimes of the Israeli Israeli The defeat of the control and shelter of the militants in Syriasinoptics predicted in Moscow to rain and up to +7 degrees on November 12, on November 12, the latest news, the doctor told about the ways to survive the magnetic storm 06:15 Ovechkin abandoned the 825th washer in the NHL regular championships 06:05 A earthquake of magnitude 54 occurred In Indonesia 05:50, the farmers of Europe were apprehensive reacted to the possibility of Ukraine’s entry into the EU 05:35 Army of the Russian Federation destroyed four mortar calculations of the Armed Forces in the Kupyansk direction 05:20 Russian pilots and artillerymen hit the assault groups of the Armed Forces of Ukraine in the LPR 05:05 Bloomberg learned about the consent Germany to increase assistance to Ukraine by half to € 8 billion 04:50 Three people died in a collision of a train with a truck in the Angara region 04:35 Biden needed to help the guard of honor during the cemetery at the cemetery 04:20 Army of Israel answered Syria with blows on terrorist infrastructure 04: 05 Woman and her two -year -old daughter died in a fire in Podolsk 03:50 White House rejected the project to finance the work of the US government without the help of Kiev 03:40 Macron called the Gaza Conference to create a humanitarian coalition 03:25 Speaker of the US Congress offered to financing the government without the help of Kiev 03:15 Foreign weather forecasters predicted in Moscow to rain and up to +7 degrees on November 12 03:00 a dog handler spoke about the reasons for the early death of dogs 02:50 The ex-adviser Kuchma pointed out the readiness of the slave and the Armed Forces of the Russian Federation with the Russian Federation 02:40 London police detained 150 participants Demonstrations in support of Palestine 02:27 Air Defense of Israel intercepted a suspicious goal from Gaza 02:15 In Brazil, football fans staged a mass fight during the championship 02:05 Three people died in an accident in the Pskov region 01:50 Visitors to Igor Dreviv shared with the Izvestia »Impressions of the stand 01:35 Brother Nurmagomedov were disqualified for six months due to doping 01:25 Ukrainian media reported on explosions in Kiev, the city of Kherson 01:14 Podolyak announced the readiness of Ukraine for economic disputes with the EU countries 01: 10 Sportovtochkin abandoned the 825th The puck in the regular championships of the NHLMIMELY House rejected the project to finance the work of the US government without the help of Kiev -Proserification of Magnitite 54 in Indonesia Mirpodolak announced the readiness of Ukraine for economic disputes with the countries of Emyrbloomberg, the consent of the Federal Republic of Germany was doubled to € 8 billion. The ceremonies at the cemetery of the parties predicted in Moscow to rain and up to +7 degrees on November 12, a person killed in an accident in the Pskov regional regional media, reported explosions in the city of the city of Khersonaarmiyarmiy of the Russian Federation destroyed four mortar calculations of the Armed Forces of the Armed Forces in the Kupyansk direction of the Gamanitarian CoA. Litius Israel answered Syria with blows on a terrorist infrastructureurinist of the defense of Ukraine Umarov told the head of the Pentagon about the needs of the Kievardocarman to pull: the mortgage demand for the secondary collapsed almost half the terms of high rates of the banks are looking for unusual ways to attract clientwarmia Dmitry Kornev Stratosfer: why Russia is a new intelligence and junction complex that will be combined if they are united Hostly mortal Devices and systems of shock weapons Society Dmitry Alekseev Residential Pont: Housing Housing, without the consent of the neighbors, will not work out a new bill is called to find a compromise between residents and those who want to receive rental income, Ivan Petrov Knock grievances: what rights the controller in transport in Moscow opened a case for a cruel The beating of the auditor on the bus Economics Dmitry Migunov Bomb at $ 33 trillion: the US public debt has become a world problem for the demand for American bonds began to lag behind the proposal of the Gladiator on wheels: Italian journalists recall Ayrton Senniveli racer continues to excite the public -Golongrid. Bovano before Still Samir Igor Karmazin change the orientation: why Armenia spoils relations with Russia, the head of the Armenian General Staff met with American generals Viktor Nedelin Rainbow prospects: Latvia was forced to same-sex marriages. The International LGBBBI continues to work on the Baltic states of Mirizizdan: the world will boycott the produced ones that will happen that will happen with the economy of the Jewish state and is it worth waiting for a new wave of anti -Semitism on November 12, 2023 00: 01economics “Open Portfolio”: how much could private investors in October experts analyzed the state of the Russian stock market on November 12, 2023 00: 02 Lessac and Technician Hope: Scientists created a wardrobe for premature Children as a development will reduce the risk of injuries and infections in newborns with a low body weight on November 12, 2023 00: 01 culture of energy: Mariinsky in China Talyzin in the Mossytt Tsiscaridze in the BDT about this week, fans of the beautiful SMI2.ru -Political School of Smi2.ru -Political Coasters said this week: What changes the status of internal for the Azov Sea as these changes will affect the economy of the region and Russia on August 16, 2023 18: 52 -rope land: how Ukraine has become one of the most mined countries in the world and how Russian sappers help to solve this problem on August 17, 2023 17: 19 Little Democratic Republic and Technical Energy and Technician Approach: as Russian scientists create unique technologies of analogues to many developments, there is no one in the world on July 31, 2023 18: 52econs of their field: how the food security in Russia is ensured and what influence Covid and sanctions on July 31, 2023 18: 52 Mirbaiden were required to help the guard of honor in The ceremony in the cemetery on November12 2023 04: 20Arm Israel answered Syria with blows to terrorist infrastructure on November 19, 2023 04: 05 School of the US Congress, proposed financing the government without the help of Kiev on November12, 2023: 15 by 15 by 15 by the U.S. financing project without the help of Kiev November 2023 03: 40Ex Kuchma adviser pointed to the readiness of the Sulfa and the Armed Forces for negotiations with the Russian Federation on November 112, 2023: 403d model of the T-90M T-90M “Breakthrough” 3D model of the first test train of the Moscow metro “Panther” 3D model of the Moscow Kremlin3D model of the dacha M. S. Gorbacheva in the Foros 3d model of the Ilya Muromets aircraft 3D model of the atomic cruiser “Peter the Great” 3D model of the Tiger tank 3D model “Worker and collective farm” 3D model of Russia “Russia” 3D model of the Grand Kremlin Palace3D3D -Model of the Cathedral of the Paris Mother of God ANT-20 "Maxim Gorky". 3D-model3d model of the Crimean bridge3d-model of the main temple of the Armed Forces of the Russian Federation of the Russian Federation3d 3d-model of the Boeing 747-1003d model of the monastery of the Kiev-Pechersk Laurus3d Model House of the House of the Watchtower of the Patrient Ship "Emerald" 3d-model of the St. Paul3d Model of the Rzhevsky Memorial Soviet soldier 3d-model of the Berlin Tank Tank IS-23D model of the Salisbury Cathedral3d Model of the passenger aircraft Tu-1043D-model of the Sukharevo Tower of the Il-763D motor ship "Peter the Great" 3D model of the Cathedral of Christ Savior 3d Model of Space Ships " Union-19 ”and“ Apollo ”3D model of the Sevastopol battleship, a member of“ Scarlet Sails ”-brig Tre Kronor Af Stockholm Kurchatov Specialized Synchrotron Radiation Speed ​​3D model“ Vostok-1 ”3D-model Titanic History in the dates: 12 November-consuming of the week in the photographs: a blow to Jabalia The deadly storm "Kiaran" and the choice of a dress for Miss Universe what was important in Russia and the world in the past days Super Bag: how do flour made of crickets a fresh look at the goods of the Stavropol Staropolis category is not in a neighborly way: Pakistan is deporting the Afghan illegal measures to end until November 1, the photo of the day: Vulcan Klyuchevsky was assigned a “red” hazard code for aviation00: 24Magnetic storm will cover the earth on the night of November 12, 2023 19: 4600: 57v China, online for the occasion of the day of the Holy Day11 November 2023 18: 3000: 33th American strategic bomber B-21 made the first flight on November11, 2023 13: 53, the largest artificial ice rink in Europe. Video 360 ° The Building Theater building celebrates the 195th anniversary. Video 360 ° in Moscow was held by the International Exhibition of Business Aviation Rubae. Video 360 ° Festival of military equipment "Motors of War". Video 360 ° in Moscow hosts the festival of gardens and flowers. Video 360 ° the second for the year the tram parade was held in the capital. Video 360 ° PMEF. Video 360 ° Morning on May 9 in Moscow from the roof of the Typhoon armored car. Video 360 ° Evacuation of the aircraft. Video 360 ° what they feed on an airplane: an excursion to the on -board power plant. Video 360 ° Exhibition "Lada Always": more than 100 most unusual models. Video 360 ° East. Another beauty: a large -scale exhibition. Video 360 ° Excursion on the legendary Mosfilm pavilions. Video 360 ° how the coke is produced. Video 360 ° 90 years of Mickey Mouse: multimedia exhibition. Video 360 ° 120 previously unknown sculptures of Tsereteli. Video 360 ° Championship of Russia in the Higher aerobatics: unique shots from the wing of the aircraft. Video 360 ° Moscow Mint and Moscow Printing House "Goznak". Video 360 ° The World Cup in Kazan. Video 360 ° Cinema "Illusion" after reconstruction. Video 360 ° Crazy drift on the "Lada". Video 360 ° Excursion in Gorky Park. Video 360 ° feeding sharks in Moskvarium. Video 360 ° World Wingsight jump record. Video 360 ° Luxurious train "Imperial Russia". Video 360 ° Driving T-80U tank under water. Video 360 ° Championship of the World football 2022 in Qatar: A unique show. Video 360 ° The test is not for the faint of heart: a stamina marathon. Video 360 ° Advertising of beauty: Ten products that will extend youth, doctors said that it is necessary to slow down the aging on November 11, 2023 00: 02 Iranian President gathered in Saudi Arabia Visit as part of the Summit on the situation in the gas sector will be the first after the reconciliation of the two countries on November 11 2023 00: 02 publication seal of communication: how to protect against theft of data through a VPN under a VPN service can be disguised as a Trojan-style on November 11, 2023 00:02 Opinion Olga Pozdnyakov “” In Russia, a register of debtors on alimony will appear in Russia. It will be possible to delete the surname from it only by repaying all obligations. In the future, it is possible to introduce sanctions against submitted to the register - a restriction on leaving the country with a driver’s license, etc. November 11, 2023 08: 00Aleksandra Babkin “” on the Internet you should not do anything that you do not allow yourself in real life. Technical tools can protect you from cyberbulling, however, we will not change the culture of our communication on the network, we will not be able to globally solve the problem on November11, 2023 08: 00valery Emelyanov “” Positive factors that could not force the ruble to turn over now. Currency swings rush down until they find a U -turning point there and will not fly back 10th November 2023 08: 00maxim Dobromoslov “” In one we are ahead of the Hollywood film Industry - small budgets. Our times less. Paradoxically, but this is a big plus November 9, 2023 20: 00vgenia Pimenov “” Cultural exchanges in the broadest sense of the word is a tool of peaceful and stable times. When the world spiral of conflicts begins to spin all this “decor” begins to crumble on November9, 2023 14: 00leg Chamonaev “” This case affects not only Camille personally, but also the entire national team and even in the matter with Olympic gold. So no compromises (with their conscience and anti -doping authorities) are impossible here on November 9, 2023 08: 00 George Mokhov “” Everywhere where there are budget money - especially when they are distributed on “lightweight” conditions: not through public procurements and competitive procedures, and highlighting subsidies essentially Under honestly, attackers always appear. This also happened in the field of tourism on November 9, 2023: 00port “The level of RPL fell a bit-more matches began to win on the classroom” SKA-Khabarovsk football player Vyacheslav Podberezkin-about the leadership of Krasnodar and the motivation of the new generation of players on November 12, 2023 00: 01 Products Her two -year -old daughter died in a fire in Podolsk November 112, 2023: 50 Mirmacron called the Gaza Conference in a step towards the creation of a humanitarian coalition November12, 2023 03: 25 Synoptics predicted rain in Moscow and up to +7 degrees on November 12, 2023 03: 00 Police of London, 150 participants in the demonstration in support Palestine November 19, 2023 02: 27pvo Israel, intercepted a suspicious goal from Gaza November 112, 2023: 15v Brazil, football fans staged a mass fight during the championship November 11, 2023 02: 05 sports weekend with Izvestia November 10, 2023 00: 00 Cultural Week: Choosing Izvestia on November 9 2023 00: 01 advertising menu Advertising Subscribing to the RSS newspaper Send news about the company editorial-pre-re-renovation company about the immutation of the labor protection of labor copyright on the visualization system of the contents of the portal iz.ru as well as on the initial data, including the texts of the audio and video materials, graphic images and product signs belongs "MIC" Izvestia ". The specified information is protected in accordance with the legislation of the Russian Federation and international agreements. Partial citation is possible only if a hyperlink on iz.ru. AB AB "Russia" - partner of the section "Economics" The site functions with financial support from the Ministry of Digital Development of Communications and Mass Communications of the Russian Federation. Responsibility for the maintenance of any advertising materials placed on the portal is borne by the advertiser. Analytics News Forecasts and other materials presented on this site are not an offer or a recommendation for the purchase or sale of any assets. Registered by the Federal Service for Supervision of the Communications of Information Technologies and Mass Communications. Certificate of registration of EL No. FS 77 - 76208 dated July 8, 2019 EL No. FS 77 - 72003 of December 26, 2019 All rights are protected © MIC Izvestia 2023</v>
      </c>
    </row>
    <row r="996">
      <c r="A996" s="1" t="s">
        <v>3130</v>
      </c>
      <c r="B996" s="1" t="s">
        <v>3159</v>
      </c>
      <c r="C996" s="1" t="s">
        <v>3160</v>
      </c>
      <c r="D996" s="1">
        <v>12.0</v>
      </c>
      <c r="E996" s="4" t="s">
        <v>3161</v>
      </c>
      <c r="F996" s="1" t="s">
        <v>16</v>
      </c>
      <c r="G996" s="1" t="s">
        <v>3162</v>
      </c>
      <c r="H996" s="1" t="s">
        <v>3163</v>
      </c>
      <c r="I996" s="2">
        <v>2.0</v>
      </c>
      <c r="J996" s="5" t="str">
        <f>IFERROR(__xludf.DUMMYFUNCTION("GOOGLETRANSLATE(A996)"),"Ютуб")</f>
        <v>Ютуб</v>
      </c>
      <c r="K996" s="6" t="str">
        <f>IFERROR(__xludf.DUMMYFUNCTION("GOOGLETRANSLATE(B996)"),"About YouTube - YouTube")</f>
        <v>About YouTube - YouTube</v>
      </c>
      <c r="L996" s="5" t="str">
        <f>IFERROR(__xludf.DUMMYFUNCTION("GOOGLETRANSLATE(C996)"),"YouTube's mission is to give everyone a voice and show them the world. Learn about our brand, community, careers and more.")</f>
        <v>YouTube's mission is to give everyone a voice and show them the world. Learn about our brand, community, careers and more.</v>
      </c>
      <c r="M996" s="5" t="str">
        <f>IFERROR(__xludf.DUMMYFUNCTION("GOOGLETRANSLATE(G996)"),"About YouTube - YouTube          Jump to content                     How YouTube Works                          Creators                          Culture &amp; Trends                          Blog                          About YouTube                  Our mi"&amp;"ssion is to give everyone a voice and show them the world.                  We believe that everyone deserves to have a voice and that the world is a better place when we listen share and build community through our stories.                  Connect      "&amp;"                      About YouTube                                          About                                              Blog                                              How YouTube Works                                              Jobs          "&amp;"                                    Press                                              YouTube Culture &amp; Trends                                              NFL Sunday Ticket                                          Products                               "&amp;"           YouTube Kids                                              YouTube Music                                              YouTube Originals                                              YouTube Podcasts                                              Yo"&amp;"uTube Premium                                              YouTube Select                                              YouTube Studio                                              YouTube TV                                          For Business            "&amp;"                              Developers                                              YouTube Advertising                                          For Creators                                          Creating for YouTube Kids                             "&amp;"                 Creator Research                                              Creator Services Directory                                              YouTube Artists                                              YouTube Creators                           "&amp;"                   YouTube NextUp                                              YouTube VR                                          Our Commitments                                          Creators for Change                                              CS"&amp;"AI Match                                              Social Impact                                    About YouTube                          Products                          For Business                          For Creators                          Our"&amp;" Commitments                                About                                      Blog                                      How YouTube Works                                      Jobs                                      Press                        "&amp;"              YouTube Culture &amp; Trends                                      NFL Sunday Ticket                                      YouTube Kids                                      YouTube Music                                      YouTube Originals      "&amp;"                                YouTube Podcasts                                      YouTube Premium                                      YouTube Select                                      YouTube Studio                                      YouTube TV  "&amp;"                                    Developers                                      YouTube Advertising                                      Creating for YouTube Kids                                      Creator Research                                   "&amp;"   Creator Services Directory                                      YouTube Artists                                      YouTube Creators                                      YouTube NextUp                                      YouTube VR                   "&amp;"                   Creators for Change                                      CSAI Match                                      Social Impact                                Policies &amp; Safety                          Copyright                          Brand Gu"&amp;"idelines                          Privacy                          Terms                        Help")</f>
        <v>About YouTube - YouTube          Jump to content                     How YouTube Works                          Creators                          Culture &amp; Trends                          Blog                          About YouTube                  Our mission is to give everyone a voice and show them the world.                  We believe that everyone deserves to have a voice and that the world is a better place when we listen share and build community through our stories.                  Connect                            About YouTube                                          About                                              Blog                                              How YouTube Works                                              Jobs                                              Press                                              YouTube Culture &amp; Trends                                              NFL Sunday Ticket                                          Products                                          YouTube Kids                                              YouTube Music                                              YouTube Originals                                              YouTube Podcasts                                              YouTube Premium                                              YouTube Select                                              YouTube Studio                                              YouTube TV                                          For Business                                          Developers                                              YouTube Advertising                                          For Creators                                          Creating for YouTube Kids                                              Creator Research                                              Creator Services Directory                                              YouTube Artists                                              YouTube Creators                                              YouTube NextUp                                              YouTube VR                                          Our Commitments                                          Creators for Change                                              CSAI Match                                              Social Impact                                    About YouTube                          Products                          For Business                          For Creators                          Our Commitments                                About                                      Blog                                      How YouTube Works                                      Jobs                                      Press                                      YouTube Culture &amp; Trends                                      NFL Sunday Ticket                                      YouTube Kids                                      YouTube Music                                      YouTube Originals                                      YouTube Podcasts                                      YouTube Premium                                      YouTube Select                                      YouTube Studio                                      YouTube TV                                      Developers                                      YouTube Advertising                                      Creating for YouTube Kids                                      Creator Research                                      Creator Services Directory                                      YouTube Artists                                      YouTube Creators                                      YouTube NextUp                                      YouTube VR                                      Creators for Change                                      CSAI Match                                      Social Impact                                Policies &amp; Safety                          Copyright                          Brand Guidelines                          Privacy                          Terms                        Help</v>
      </c>
    </row>
    <row r="997">
      <c r="A997" s="1" t="s">
        <v>3130</v>
      </c>
      <c r="B997" s="1" t="s">
        <v>3164</v>
      </c>
      <c r="C997" s="1" t="s">
        <v>153</v>
      </c>
      <c r="D997" s="1">
        <v>13.0</v>
      </c>
      <c r="E997" s="4" t="s">
        <v>3165</v>
      </c>
      <c r="F997" s="1" t="s">
        <v>16</v>
      </c>
      <c r="G997" s="1" t="s">
        <v>522</v>
      </c>
      <c r="H997" s="4" t="s">
        <v>523</v>
      </c>
      <c r="I997" s="2">
        <v>4.0</v>
      </c>
      <c r="J997" s="5" t="str">
        <f>IFERROR(__xludf.DUMMYFUNCTION("GOOGLETRANSLATE(A997)"),"Ютуб")</f>
        <v>Ютуб</v>
      </c>
      <c r="K997" s="6" t="str">
        <f>IFERROR(__xludf.DUMMYFUNCTION("GOOGLETRANSLATE(B997)"),"Blocking YouTube")</f>
        <v>Blocking YouTube</v>
      </c>
      <c r="L997" s="5" t="str">
        <f>IFERROR(__xludf.DUMMYFUNCTION("GOOGLETRANSLATE(C997)"),"3 days ago -")</f>
        <v>3 days ago -</v>
      </c>
      <c r="M997" s="5" t="str">
        <f>IFERROR(__xludf.DUMMYFUNCTION("GOOGLETRANSLATE(G997)"),"������� � ����� ���������� � ����������� ����� | ���������������������������������������������������������������� ������?������������ �������������� �������										�������� ������� � ���������� � ��������� ������������� ����� � ��� �������� �� ���������"&amp;" ������������ ������.									������� �������� ���� ��� ���� ��������������������� ������������������������������������� ������������������������� ��� � Telegram��� ���������� �GoogleVK �������� ���� ������� ������������� ������� ������NebulaNinja70 �����"&amp;"�dyadka133767 ������DaSeryozno21 �������������� ���� ���						��������											������ ����� ������					�������� ������: ���������� ����� ����������� ��������� �� 7 ���� 🔥������������������ ������ ������������ �� ��������� � ���������� � ��������� �����"&amp;"� � ��� �������� �� ��������� ������������ ������.							������� ��� �����������! ���������� ��������� ����� 😊������� ������������������ �������������� ����������������������������������� ���������� �������������������������������������������� Aliexpress"&amp;"������ ������������ HoffAndroidiOS������� ��������������� ����� ���������� ����� ����� ������. ������������ �������� ��� ����� �� ����� ������� �� ��� ��� �� ������ ������� ��� ����� ������� � ������.Promo message�������� ����������4090													Knight"&amp;"OfSarcasm												7 ����� ���������� �� ���� ���� ��� ��� ������ ��������⁠⁠�������� ���������1 ������ ������ ����� �������� � ������� ����� �� ���� 448				������			7927													NebulaNinja												14 ����� ��������� ��� ���� � ���������� �������"&amp;"�⁠⁠�������� ���������1 �������� ���� ������ �������� ���� ������ ����������������� ����� 343				������			7635													bgafk												14 ����� ����������� ���⁠⁠�������� ���������1 �� ���� �������� �������� ������ 499				������			����������� ���������"&amp;"������													specials												�������� ������: ���������� ������ ���������� �����������⁠⁠���������� ��������� ������ � �������� � ������� ����� ��� ����� ����������� ����� ���� ���������� �������. ������ ��� ��� ��������� ����� ������� ������ ���"&amp;"����������� � ������������. �� � ���� ���� VK ID ����� ������� � ������� � ������� SMS � ���������� ����������� ����� Touch ID � Face ID.�� ���� �� �������� ���������� �� ������ � ������������ ���������� ��������� ��������� ������ � ���������� ����. �����"&amp;"� ��������� � ��� ������ ����� ��������VK ID � ������ ������� ��� ����� � ������� VK � ������ ��� ��������� (������� ������!). � ��� �� ����� ������ ���������������� � ������ ����� ������� � ���������� ��� ���� ������������ �������� � ������������� ������"&amp;" ��������. � ��� � VK ID ������� ���������� OnePass � ����� ������� ������������ ��������������. � ��� ����� ������� � �������� ����� ������������� ���� � ���� ���������� �������. ��� ������� ������� � ����������: ����� ������ ��� ��� ������ ������� �����"&amp;"��� ��� ������.�������� � ��������� OnePass ����� � ����������.������� ��� �� ����������������� ��������������� �������������� ������������ ��������� (������)7260													Ghost687												15 ����� ������������ � ������� ��� ����� ������� ����������"&amp;"⁠⁠���� ������ ������������ ����� ���������� ����� Robert B Weide ��������������� ����� 302				������			155Dr.Lemon ������� � �������: ������ ���� ����� � �� ����������������������� ��������� ��������� «��� �����»8 ����� ����� ����������			������ ������ - "&amp;"� ��� (����������)⁠⁠��������� ����� ����������:�� ������ ������� ����� � ������� �� ����������� ���� ������ ��� ������ ������ ����� ������� ������ � ������ ��� ��������� ����� � � ����� ���� ������� ��������� ����� ��� ��������. ������ ����� �� ��� ������"&amp;": ������� ������ � ������������ ����������� ��� ����� �������� � ������ �� ����� ����������� ��� ����� �������� � ��������.�� ������ ������ ����� ����� �������� ��������� �������� �������� ����� ������ ������� ""� ���"". ������ ��� ���� - ����� ����������"&amp;" �������� � ����� � ������ ��� ������ ������� ������ - ��� ���� ���. ������� ��� ������������ ������� ��� ���� ����� ��������� ��������� ����� ������� ���� ������� �������� � �������� ������� ������ �� ��� �����. ���� ���� � 2016 ���� ����� ������ �������"&amp;" ��� ��� � ���� �� ���� �������. � �� ���� ������ ����.����� ���� ����������� ���������� ����� MP3-���� ������ ������ ��� ������������� � �������� ���������� � ���� � ������.����� ����� ���� ����� �������� ���������?						���� ��������� - � �������� �����"&amp;"� - � ������� ���������� ������� - � ������������ �������: �������� ���������1 1  [���] ����� ���������� ����� �������� ��� �������� �������� ���������� ������ ������ ������� ��� ����� YouTube ���������� 0  ����������				������			3235													Moodvin	"&amp;"											1 ���� �������������� ����⁠⁠��������� ���� ������ ���� ���� �������� ����� ������������ ����� ������ ���� �������� ������ 148				������			2404													mytraveltrip												1 ���� �������� �� 1000 ����⁠⁠��� ������ ����� ��� ����� ��������"&amp;"���� ����� 361  ����������				������			4107													ElenaPripyat												1 ���� ������������ ��������� ���� ����� ��� ������� ���-�� �� �� �������⁠⁠������������ ����� ������ �� ���� ����� ������������� 194				������			����������� ���������������			"&amp;"										specials												�������������� �������� �� ��������� �������� ������ ��� ������⁠⁠��������� � �����-��� �������� ������ 💚 ����� �� ������������� � ���������������� ���������� � ����������� �� �������-������������! � ����� � ������� ������� �"&amp;"�������� � ������� ��������� �����������.����� ������ ������� ������ ��� ����� ������� �������� ������. ��������� ��� ���������� �� ���� �������� ������ �� ������ ����� � ����������� ������� � �������� �������!������ ��������� 😎�������  ��� ��� ���������"&amp;"������� ���������1 ��������� ���� �� �����8578													Mirajjanna												20 ����� �������������� ����������� ��� ��� �� �������⁠⁠#comment_288675408��� ���� ����� 😁 � ����������. ���� �� ��� ����������� ����� � ���������� ���� �� 👍�������� ������"&amp;"���7 ��������� ������� ��������� �������� �������� ���������� ����������� �� ������ 370  ����������				������			�������������� �� ���������� ��� ���� ����������������������� — � ������� ���� ������� ���� � ���� �����.����� �������� �������� ����� ��������"&amp;"������.					 �� ��������� ��� ������ ����������� ������ ��� ���������! ����� ������123456789101120304050100")</f>
        <v>������� � ����� ���������� � ����������� ����� | ���������������������������������������������������������������� ������?������������ �������������� �������										�������� ������� � ���������� � ��������� ������������� ����� � ��� �������� �� ��������� ������������ ������.									������� �������� ���� ��� ���� ��������������������� ������������������������������������� ������������������������� ��� � Telegram��� ���������� �GoogleVK �������� ���� ������� ������������� ������� ������NebulaNinja70 ������dyadka133767 ������DaSeryozno21 �������������� ���� ���						��������											������ ����� ������					�������� ������: ���������� ����� ����������� ��������� �� 7 ���� 🔥������������������ ������ ������������ �� ��������� � ���������� � ��������� ������ � ��� �������� �� ��������� ������������ ������.							������� ��� �����������! ���������� ��������� ����� 😊������� ������������������ �������������� ����������������������������������� ���������� �������������������������������������������� Aliexpress������ ������������ HoffAndroidiOS������� ��������������� ����� ���������� ����� ����� ������. ������������ �������� ��� ����� �� ����� ������� �� ��� ��� �� ������ ������� ��� ����� ������� � ������.Promo message�������� ����������4090													KnightOfSarcasm												7 ����� ���������� �� ���� ���� ��� ��� ������ ��������⁠⁠�������� ���������1 ������ ������ ����� �������� � ������� ����� �� ���� 448				������			7927													NebulaNinja												14 ����� ��������� ��� ���� � ���������� ��������⁠⁠�������� ���������1 �������� ���� ������ �������� ���� ������ ����������������� ����� 343				������			7635													bgafk												14 ����� ����������� ���⁠⁠�������� ���������1 �� ���� �������� �������� ������ 499				������			����������� ���������������													specials												�������� ������: ���������� ������ ���������� �����������⁠⁠���������� ��������� ������ � �������� � ������� ����� ��� ����� ����������� ����� ���� ���������� �������. ������ ��� ��� ��������� ����� ������� ������ �������������� � ������������. �� � ���� ���� VK ID ����� ������� � ������� � ������� SMS � ���������� ����������� ����� Touch ID � Face ID.�� ���� �� �������� ���������� �� ������ � ������������ ���������� ��������� ��������� ������ � ���������� ����. ������ ��������� � ��� ������ ����� ��������VK ID � ������ ������� ��� ����� � ������� VK � ������ ��� ��������� (������� ������!). � ��� �� ����� ������ ���������������� � ������ ����� ������� � ���������� ��� ���� ������������ �������� � ������������� ������ ��������. � ��� � VK ID ������� ���������� OnePass � ����� ������� ������������ ��������������. � ��� ����� ������� � �������� ����� ������������� ���� � ���� ���������� �������. ��� ������� ������� � ����������: ����� ������ ��� ��� ������ ������� �������� ��� ������.�������� � ��������� OnePass ����� � ����������.������� ��� �� ����������������� ��������������� �������������� ������������ ��������� (������)7260													Ghost687												15 ����� ������������ � ������� ��� ����� ������� ����������⁠⁠���� ������ ������������ ����� ���������� ����� Robert B Weide ��������������� ����� 302				������			155Dr.Lemon ������� � �������: ������ ���� ����� � �� ����������������������� ��������� ��������� «��� �����»8 ����� ����� ����������			������ ������ - � ��� (����������)⁠⁠��������� ����� ����������:�� ������ ������� ����� � ������� �� ����������� ���� ������ ��� ������ ������ ����� ������� ������ � ������ ��� ��������� ����� � � ����� ���� ������� ��������� ����� ��� ��������. ������ ����� �� ��� ������: ������� ������ � ������������ ����������� ��� ����� �������� � ������ �� ����� ����������� ��� ����� �������� � ��������.�� ������ ������ ����� ����� �������� ��������� �������� �������� ����� ������ ������� "� ���". ������ ��� ���� - ����� ���������� �������� � ����� � ������ ��� ������ ������� ������ - ��� ���� ���. ������� ��� ������������ ������� ��� ���� ����� ��������� ��������� ����� ������� ���� ������� �������� � �������� ������� ������ �� ��� �����. ���� ���� � 2016 ���� ����� ������ ������� ��� ��� � ���� �� ���� �������. � �� ���� ������ ����.����� ���� ����������� ���������� ����� MP3-���� ������ ������ ��� ������������� � �������� ���������� � ���� � ������.����� ����� ���� ����� �������� ���������?						���� ��������� - � �������� ������ - � ������� ���������� ������� - � ������������ �������: �������� ���������1 1  [���] ����� ���������� ����� �������� ��� �������� �������� ���������� ������ ������ ������� ��� ����� YouTube ���������� 0  ����������				������			3235													Moodvin												1 ���� �������������� ����⁠⁠��������� ���� ������ ���� ���� �������� ����� ������������ ����� ������ ���� �������� ������ 148				������			2404													mytraveltrip												1 ���� �������� �� 1000 ����⁠⁠��� ������ ����� ��� ����� ������������ ����� 361  ����������				������			4107													ElenaPripyat												1 ���� ������������ ��������� ���� ����� ��� ������� ���-�� �� �� �������⁠⁠������������ ����� ������ �� ���� ����� ������������� 194				������			����������� ���������������													specials												�������������� �������� �� ��������� �������� ������ ��� ������⁠⁠��������� � �����-��� �������� ������ 💚 ����� �� ������������� � ���������������� ���������� � ����������� �� �������-������������! � ����� � ������� ������� ��������� � ������� ��������� �����������.����� ������ ������� ������ ��� ����� ������� �������� ������. ��������� ��� ���������� �� ���� �������� ������ �� ������ ����� � ����������� ������� � �������� �������!������ ��������� 😎�������  ��� ��� ���������������� ���������1 ��������� ���� �� �����8578													Mirajjanna												20 ����� �������������� ����������� ��� ��� �� �������⁠⁠#comment_288675408��� ���� ����� 😁 � ����������. ���� �� ��� ����������� ����� � ���������� ���� �� 👍�������� ���������7 ��������� ������� ��������� �������� �������� ���������� ����������� �� ������ 370  ����������				������			�������������� �� ���������� ��� ���� ����������������������� — � ������� ���� ������� ���� � ���� �����.����� �������� �������� ����� ��������������.					 �� ��������� ��� ������ ����������� ������ ��� ���������! ����� ������123456789101120304050100</v>
      </c>
    </row>
    <row r="998">
      <c r="A998" s="1" t="s">
        <v>3130</v>
      </c>
      <c r="B998" s="1" t="s">
        <v>3166</v>
      </c>
      <c r="D998" s="1">
        <v>14.0</v>
      </c>
      <c r="E998" s="4" t="s">
        <v>3167</v>
      </c>
      <c r="F998" s="1" t="s">
        <v>16</v>
      </c>
      <c r="G998" s="1" t="s">
        <v>1286</v>
      </c>
      <c r="H998" s="4" t="s">
        <v>1287</v>
      </c>
      <c r="I998" s="2">
        <v>1.0</v>
      </c>
      <c r="J998" s="5" t="str">
        <f>IFERROR(__xludf.DUMMYFUNCTION("GOOGLETRANSLATE(A998)"),"Ютуб")</f>
        <v>Ютуб</v>
      </c>
      <c r="K998" s="6" t="str">
        <f>IFERROR(__xludf.DUMMYFUNCTION("GOOGLETRANSLATE(B998)"),"YouTube Data API Overview")</f>
        <v>YouTube Data API Overview</v>
      </c>
      <c r="L998" s="5" t="str">
        <f>IFERROR(__xludf.DUMMYFUNCTION("GOOGLETRANSLATE(C998)"),"#VALUE!")</f>
        <v>#VALUE!</v>
      </c>
      <c r="M998" s="5" t="str">
        <f>IFERROR(__xludf.DUMMYFUNCTION("GOOGLETRANSLATE(G998)"),"Google for Developers - from AI and Cloud to Mobile and Web    Products      Develop                      Android                                          Chrome                                          ChromeOS                                          Cl"&amp;"oud                                          Firebase                                          Flutter                                          Google Assistant                                          Google Maps Platform                                 "&amp;"         Google Workspace                                          TensorFlow                                          YouTube                    Grow                      Firebase                                          Google Ads                       "&amp;"                   Google Analytics                                          Google Play                                          Search                                          Web Push and Notification APIs                    Earn                      A"&amp;"dMob                                          Google Ads API                                          Google Pay                                          Google Play Billing                                          Interactive Media Ads                   "&amp;"     Solutions          Events          Learn          Community      Groups                      Google Developer Groups                                          Google Developer Student Clubs                                          Women Techmakers    "&amp;"                                      Google Developer Experts                                          Tech Equity Collective                    Programs                      Accelerator                                          Solution Challenge        "&amp;"                                  DevFest                    Stories                      All Stories                        Developer Profile          Blog      EnglishDeutschEspañolEspañol – América LatinaFrançaisIndonesiaItalianoPolskiPortuguês – Brasi"&amp;"lTiếng ViệtTürkçeРусскийעבריתالعربيّةفارسیहिंदीবাংলাภาษาไทย中文 – 简体中文 – 繁體日本語한국어Sign in      Products         More         Solutions         Events         Learn         Community         More         Developer Profile         Blog         Develop       "&amp;"  Android         Chrome         ChromeOS         Cloud         Firebase         Flutter         Google Assistant         Google Maps Platform         Google Workspace         TensorFlow         YouTube         Grow         Firebase         Google Ads    "&amp;"     Google Analytics         Google Play         Search         Web Push and Notification APIs         Earn         AdMob         Google Ads API         Google Pay         Google Play Billing         Interactive Media Ads         Groups         Google De"&amp;"veloper Groups         Google Developer Student Clubs         Women Techmakers         Google Developer Experts         Tech Equity Collective         Programs         Accelerator         Solution Challenge         DevFest         Stories         All Stor"&amp;"ies    Connect with fellow devs and learn how to build with Google. Find a DevFest near you.             Google for Developers                    Products                            Stay organized with collections                            Save and categ"&amp;"orize content based on your preferences.                          Build smartership faster                        Unlock creativity and simplify your workflow with open integrated solutions.           I'm building for:    Mobile    arrow_forward    Web   "&amp;" arrow_forward    AI    arrow_forward    Cloud    arrow_forward                  Start building today            Android Modern tools to help you build experiences that people love across every Android device.Google Cloud Build apps faster make smarter bu"&amp;"siness decisions and            connect people everywhere.TensorFlow An end-to-end platform that makes it easy to build and            deploy ML models in any environment.Chrome Modern tools and features that help you build high-quality            web exp"&amp;"eriences.Google Play Grow your business improve app quality engage your            audience and earn revenue.Firebase An app development platform that helps you build and grow            apps and games users love.PaLM An easy and safe API to experiment wi"&amp;"th Google's large language models.MakerSuite Quickly prototype generative AI applications in a browser - no ML expertise or coding required.Flutter Build test and deploy beautiful web mobile desktop and            embedded apps from one codebase.Google Ad"&amp;"s Promote your website products and app to the right users            with Google Ads.Kaggle A platform to share machine learning data sets explore and            build models and compete in competitions.Angular The web development framework for building "&amp;"the future.View all developer products                  Trending news                        Apply to the Indie Games Accelerator                    Get mentorship and training to power your game's growth on Google Play. Apply to the 10-week accelerator f"&amp;"or high-potential indie game studios.          Learn more            Join DevFest 2023                    Explore hands-on learning and technical talks. Find a DevFest near you.          Learn more            MakerSuite is now available in 180 countries  "&amp;"                  Sign up now to prototype AI applications with the PaLM 2 language model.          Learn moreWhat's new in Android            Android Studio Giraffe is now stable                    Featuring updates to Live Edit Compose animation preview"&amp;"s a new Device Explorer and more.          Download now            Find an event                    Grow your knowledge through online and in-person developer events.          View events            Improve technical skills                    Keep up with"&amp;" Google technology. Sharpen skills and master new ones.          Start learning            Join a community                    Meet a diverse network no matter where you are on your developer journey.          Explore communities                  Follow G"&amp;"oogle for Developers                              YouTube            Subscribe to join a community of creative developers and learn the latest in Google technology.Learn more                  Instagram            Follow and discover developer resources co"&amp;"mmunity events and inspirational stories.Learn more                  LinkedIn            Join a community of creative developers and learn how to use the latest in technology. Learn more                  X            Join the conversation to discover the "&amp;"latest developer tools resources events and announcements.Learn moreConnect                                  Blog                                                      Instagram                                                      LinkedIn                 "&amp;"                                     Twitter                                                                                              YouTube                    Programs                                  Women Techmakers                                "&amp;"                      Google Developer Groups                                                      Google Developer Experts                                                      Accelerators                                                                  "&amp;"                            Google Developer Student Clubs                    Developer consoles                                  Google API Console                                                      Google Cloud Platform Console                        "&amp;"                              Google Play Console                                                      Firebase Console                                                      Actions on Google Console                                                      Cas"&amp;"t SDK Developer Console                                                                                              Chrome Web Store Dashboard                              Android                  Chrome                  Firebase                  Google "&amp;"Cloud Platform                  All products                  Terms                  Privacy        Sign up for the Google for Developers newsletter          Subscribe        EnglishDeutschEspañolEspañol – América LatinaFrançaisIndonesiaItalianoPolskiPort"&amp;"uguês – BrasilTiếng ViệtTürkçeРусскийעבריתالعربيّةفارسیहिंदीবাংলাภาษาไทย中文 – 简体中文 – 繁體日本語한국어")</f>
        <v>Google for Developers - from AI and Cloud to Mobile and Web    Products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Solutions          Events          Learn          Community      Groups                      Google Developer Groups                                          Google Developer Student Clubs                                          Women Techmakers                                          Google Developer Experts                                          Tech Equity Collective                    Programs                      Accelerator                                          Solution Challenge                                          DevFest                    Stories                      All Stories                        Developer Profile          Blog      EnglishDeutschEspañolEspañol – América LatinaFrançaisIndonesiaItalianoPolskiPortuguês – BrasilTiếng ViệtTürkçeРусскийעבריתالعربيّةفارسیहिंदीবাংলাภาษาไทย中文 – 简体中文 – 繁體日本語한국어Sign in      Products         More         Solutions         Events         Learn         Community         More         Developer Profile         Blog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Groups         Google Developer Groups         Google Developer Student Clubs         Women Techmakers         Google Developer Experts         Tech Equity Collective         Programs         Accelerator         Solution Challenge         DevFest         Stories         All Stories    Connect with fellow devs and learn how to build with Google. Find a DevFest near you.             Google for Developers                    Products                            Stay organized with collections                            Save and categorize content based on your preferences.                          Build smartership faster                        Unlock creativity and simplify your workflow with open integrated solutions.           I'm building for:    Mobile    arrow_forward    Web    arrow_forward    AI    arrow_forward    Cloud    arrow_forward                  Start building today            Android Modern tools to help you build experiences that people love across every Android device.Google Cloud Build apps faster make smarter business decisions and            connect people everywhere.TensorFlow An end-to-end platform that makes it easy to build and            deploy ML models in any environment.Chrome Modern tools and features that help you build high-quality            web experiences.Google Play Grow your business improve app quality engage your            audience and earn revenue.Firebase An app development platform that helps you build and grow            apps and games users love.PaLM An easy and safe API to experiment with Google's large language models.MakerSuite Quickly prototype generative AI applications in a browser - no ML expertise or coding required.Flutter Build test and deploy beautiful web mobile desktop and            embedded apps from one codebase.Google Ads Promote your website products and app to the right users            with Google Ads.Kaggle A platform to share machine learning data sets explore and            build models and compete in competitions.Angular The web development framework for building the future.View all developer products                  Trending news                        Apply to the Indie Games Accelerator                    Get mentorship and training to power your game's growth on Google Play. Apply to the 10-week accelerator for high-potential indie game studios.          Learn more            Join DevFest 2023                    Explore hands-on learning and technical talks. Find a DevFest near you.          Learn more            MakerSuite is now available in 180 countries                    Sign up now to prototype AI applications with the PaLM 2 language model.          Learn moreWhat's new in Android            Android Studio Giraffe is now stable                    Featuring updates to Live Edit Compose animation previews a new Device Explorer and more.          Download now            Find an event                    Grow your knowledge through online and in-person developer events.          View events            Improve technical skills                    Keep up with Google technology. Sharpen skills and master new ones.          Start learning            Join a community                    Meet a diverse network no matter where you are on your developer journey.          Explore communities                  Follow Google for Developers                              YouTube            Subscribe to join a community of creative developers and learn the latest in Google technology.Learn more                  Instagram            Follow and discover developer resources community events and inspirational stories.Learn more                  LinkedIn            Join a community of creative developers and learn how to use the latest in technology. Learn more                  X            Join the conversation to discover the latest developer tools resources events and announcements.Learn moreConnect                                  Blog                                                      Instagram                                                      LinkedIn                                                      Twitter                                                                                              YouTube                    Programs                                  Women Techmakers                                                      Google Developer Groups                                                      Google Developer Experts                                                      Accelerators                                                                                              Google Developer Student Clubs                    Developer consoles                                  Google API Console                                                      Google Cloud Platform Console                                                      Google Play Console                                                      Firebase Console                                                      Actions on Google Console                                                      Cast SDK Developer Console                                                                                              Chrome Web Store Dashboard                              Android                  Chrome                  Firebase                  Google Cloud Platform                  All products                  Terms                  Privacy        Sign up for the Google for Developers newsletter          Subscribe        EnglishDeutschEspañolEspañol – América LatinaFrançaisIndonesiaItalianoPolskiPortuguês – BrasilTiếng ViệtTürkçeРусскийעבריתالعربيّةفارسیहिंदीবাংলাภาษาไทย中文 – 简体中文 – 繁體日本語한국어</v>
      </c>
    </row>
    <row r="999">
      <c r="A999" s="1" t="s">
        <v>3130</v>
      </c>
      <c r="B999" s="1" t="s">
        <v>3168</v>
      </c>
      <c r="C999" s="1" t="s">
        <v>3169</v>
      </c>
      <c r="D999" s="1">
        <v>15.0</v>
      </c>
      <c r="E999" s="4" t="s">
        <v>3170</v>
      </c>
      <c r="F999" s="1" t="s">
        <v>16</v>
      </c>
      <c r="G999" s="1" t="s">
        <v>1799</v>
      </c>
      <c r="H999" s="4" t="s">
        <v>1800</v>
      </c>
      <c r="I999" s="2">
        <v>4.0</v>
      </c>
      <c r="J999" s="5" t="str">
        <f>IFERROR(__xludf.DUMMYFUNCTION("GOOGLETRANSLATE(A999)"),"Ютуб")</f>
        <v>Ютуб</v>
      </c>
      <c r="K999" s="6" t="str">
        <f>IFERROR(__xludf.DUMMYFUNCTION("GOOGLETRANSLATE(B999)"),"News release at 18:00 November 11, 2023. ...")</f>
        <v>News release at 18:00 November 11, 2023. ...</v>
      </c>
      <c r="L999" s="5" t="str">
        <f>IFERROR(__xludf.DUMMYFUNCTION("GOOGLETRANSLATE(C999)"),"59 minutes ago -")</f>
        <v>59 minutes ago -</v>
      </c>
      <c r="M999" s="5" t="str">
        <f>IFERROR(__xludf.DUMMYFUNCTION("GOOGLETRANSLATE(G999)"),"Channel One: News. Video. Television program. Directly broadcast on the First Euphire Steamfilms and Serial-Sportselingelinglews.1TV.ru see other television cammodes, see the first news releases of the News of the News Title IS Loading, take the televisio"&amp;"n projects of the First Channel Channel Channel Channel Channel Channel Channel One to curtail the first-a-aid You can post on your website or on social networks the player of Channel One. To do this, click on the “Share” button in the upper right corner "&amp;"of the player and copy the code for inserting. Additional approval is not required. Online broadcasting of the air flow on the Internet is strictly prohibited. Application for the organization of broadcasting © 1996 - 2023 Channel One. All rights reserved"&amp;". Previous Channel User Agreement. All rights are protected. The broadcast of all -Russian obligatory publicly available television channels and television channels received the right to carry out etheric digital ground broadcasting using positions in mul"&amp;"tiplexes throughout the Russian Federation is carried out in a continuous mode all the way without charging fees on the channel page.")</f>
        <v>Channel One: News. Video. Television program. Directly broadcast on the First Euphire Steamfilms and Serial-Sportselingelinglews.1TV.ru see other television cammodes, see the first news releases of the News of the News Title IS Loading, take the television projects of the First Channel Channel Channel Channel Channel Channel Channel One to curtail the first-a-aid You can post on your website or on social networks the player of Channel One. To do this, click on the “Share” button in the upper right corner of the player and copy the code for inserting. Additional approval is not required. Online broadcasting of the air flow on the Internet is strictly prohibited. Application for the organization of broadcasting © 1996 - 2023 Channel One. All rights reserved. Previous Channel User Agreement. All rights are protected. The broadcast of all -Russian obligatory publicly available television channels and television channels received the right to carry out etheric digital ground broadcasting using positions in multiplexes throughout the Russian Federation is carried out in a continuous mode all the way without charging fees on the channel page.</v>
      </c>
    </row>
    <row r="1000">
      <c r="A1000" s="1" t="s">
        <v>3130</v>
      </c>
      <c r="B1000" s="1" t="s">
        <v>3171</v>
      </c>
      <c r="C1000" s="1" t="s">
        <v>3172</v>
      </c>
      <c r="D1000" s="1">
        <v>16.0</v>
      </c>
      <c r="E1000" s="4" t="s">
        <v>3173</v>
      </c>
      <c r="F1000" s="1" t="s">
        <v>16</v>
      </c>
      <c r="G1000" s="1" t="s">
        <v>3174</v>
      </c>
      <c r="H1000" s="4" t="s">
        <v>3175</v>
      </c>
      <c r="I1000" s="2">
        <v>2.0</v>
      </c>
      <c r="J1000" s="5" t="str">
        <f>IFERROR(__xludf.DUMMYFUNCTION("GOOGLETRANSLATE(A1000)"),"Ютуб")</f>
        <v>Ютуб</v>
      </c>
      <c r="K1000" s="6" t="str">
        <f>IFERROR(__xludf.DUMMYFUNCTION("GOOGLETRANSLATE(B1000)"),"YouTube will refuse Storis")</f>
        <v>YouTube will refuse Storis</v>
      </c>
      <c r="L1000" s="5" t="str">
        <f>IFERROR(__xludf.DUMMYFUNCTION("GOOGLETRANSLATE(C1000)"),"May 26, 2023 -")</f>
        <v>May 26, 2023 -</v>
      </c>
      <c r="M1000" s="5" t="str">
        <f>IFERROR(__xludf.DUMMYFUNCTION("GOOGLETRANSLATE(G1000)"),"Inc. Russia is a magazine for entrepreneurs in VKontakteTertertelegram, it is necessary to erase a lot of time to re-healing the same teenager, a teenager created a “washing” cancer cells from the skin and received a premium of young scientists11 Noshabur"&amp;"ossians, 13 billion rubles were spent. In 2023, to become psychologists of nutritionists or folk doctors on November 111, Ilona Mask on the colonization of people on Mars injured SpaceX workers: from fractures to disability, the bank was attacked by hacke"&amp;"rs on the world on the world. Trading had to be carried out through a USB drive on November11, on November, I will pay $ 25 million due to discrimination when applying for a job. More than $ 18 million will go to the victims of November11 on November -chi"&amp;"ld families in Russia can be exempted from taxes. This is another method of stimulating the birth rate on November11 on November -Promotorg offers to oblige restaurateurs to allocate Russian wines in wine maps on November11 of clothing, clothing revised t"&amp;"he work strategy in Russia: the problem with marketing and popularity of November prices for used cars in Russia reached a record of 2 million rubles on November 201 on November 201. The statement “Out of mind” under the pressure of the employer November "&amp;"111 of WeWORK all: the company has failed with expensive lease agreements and filed for bankruptcy on November11Mimintrans tightened the requirements for road chambers: only for emergency hazardous sections and no more than once a kilometer11 of the N-Yab"&amp;"em-Rossiyans became 15 times more often Buy products over the Internet. 50% of the purchases- at Vastiville, Samokat and Sbermarket on November 11, the founder of the Founder of Tasteville bought a quarter of the share of Poison Drop11 Jewelry Network on "&amp;"November 2023, the Russians began to burn more often and asking for salaries on November11 on November11 on November11, warned that scammers could conduct a prememe Subscribes at Telegram10 on November Tinkoff Bank, the “terrible deficit” of ITSHNOVERS in"&amp;" the market on the market November 4 of Russian areas for family vacation in winter November 78, 78% of Russians are ready to return to the salary of November10 November Portresses Vaipov proposed to fines their children for smoking their children on Nove"&amp;"mber 110 In Russia, on November10, Russia will withdraw 55 thousand Chinese Haval9 Chinese cars on November9 VTB forbade the European “daughter” to work under its brand on November9, on November9, the government proposed increasing export subsidies to 1 m"&amp;"illion rubles. To support the small business, on November9, a 114-year-old teenager created the soap “washing” cancer cells from the skin and received a premium of young scientists for this, 13 billion rubles were spent on the Novombo-Russian Russians. In"&amp;" 2023, to become psychologists of nutritionists or folk doctors on November 111, Ilona Mask on the colonization of people on Mars injured SpaceX workers: from fractures to disability, the bank was attacked by hackers on the world on the world. Trading had"&amp;" to be carried out through a USB drive on November11, on November, I will pay $ 25 million due to discrimination when applying for a job. More than $ 18 million will go to the victims of November11 on November -child families in Russia can be exempted fro"&amp;"m taxes. This is another method of stimulating the birth rate on November11 on November -Promotorg offers to oblige restaurateurs to allocate Russian wines in wine maps on November11 of clothing, clothing revised the work strategy in Russia: the problem w"&amp;"ith marketing and popularity of November prices for used cars in Russia reached a record of 2 million rubles on November 201 on November 201. The statement “Out of mind” under the pressure of the employer November 111 of WeWORK all: the company has failed"&amp;" with expensive lease agreements and filed for bankruptcy on November11Mimintrans tightened the requirements for road chambers: only for emergency hazardous sections and no more than once a kilometer11 of the N-Yabem-Rossiyans became 15 times more often B"&amp;"uy products over the Internet. 50% of the purchases- at Vastiville, Samokat and Sbermarket on November 11, the founder of the Founder of Tasteville bought a quarter of the share of Poison Drop11 Jewelry Network on November 2023, the Russians began to burn"&amp;" more often and asking for salaries on November11 on November11 on November11, warned that scammers could conduct a prememe Subscribes at Telegram10 on November Tinkoff Bank, the “terrible deficit” of ITSHNOVERS in the market on the market November 4 of R"&amp;"ussian areas for family vacation in winter November 78, 78% of Russians are ready to return to the salary of November10 November Portresses Vaipov proposed to fines their children for smoking their children on November 110 In Russia, on November10, Russia"&amp;" will withdraw 55 thousand Chinese Haval9 Chinese cars on November9 VTB forbade the European “daughter” to work under its brand on November9, on November9, the government proposed increasing export subsidies to 1 million rubles. To support the small busin"&amp;"ess, on November9, a 114-year-old teenager created the soap “washing” cancer cells from the skin and received a premium of young scientists for this, 13 billion rubles were spent on the Novombo-Russian Russians. In 2023, to become psychologists of nutriti"&amp;"onists or folk doctors on November 111, Ilona Mask on the colonization of people on Mars injured SpaceX workers: from fractures to disability, the bank was attacked by hackers on the world on the world. Trading had to be carried out through a USB drive on"&amp;" November11, on November, I will pay $ 25 million due to discrimination when applying for a job. More than $ 18 million will go to the victims of November11 on November -child families in Russia can be exempted from taxes. This is another method of stimul"&amp;"ating the birth rate on November11 on November -Promotorg offers to oblige restaurateurs to allocate Russian wines in wine maps on November11 of clothing, clothing revised the work strategy in Russia: the problem with marketing and popularity of November "&amp;"prices for used cars in Russia reached a record of 2 million rubles on November 201 on November 201. The statement “Out of mind” under the pressure of the employer November 111 of WeWORK all: the company has failed with expensive lease agreements and file"&amp;"d for bankruptcy on November11Mimintrans tightened the requirements for road chambers: only for emergency hazardous sections and no more than once a kilometer11 of the N-Yabem-Rossiyans became 15 times more often Buy products over the Internet. 50% of the"&amp;" purchases - at Vastiville “Samokat” and “Sbermarket” on November 11, the founder of “Tasteville” bought a quarter of the jewelry network Poison Drop11 Having 2023, the Russians began to burn more often and ask for salaries on November 10, how on Septembe"&amp;"r 30, help a friend: as an employee “as an employee” Tastevilla ”opened the product delivery service with the support of the network to place advertising in Inc. Russia Advertising | Close × Inc. - This is a magazine for entrepreneurs. We talk about small"&amp;" and medium -sized businesses of advanced technologies and people who are behind all this. In the USA we have been doing this since 1979 in Russia - since 2016, a METARMENT Map of Megatrendy Creeps for entrepreneurs to have a lot to get used to the use of"&amp;" the VKontakte VKontakte magazine Twitter TELEGRAM © 2016 - 2016 - 2016 - 2016 - 2016 - 2016 - 2016 - 2016 - 2016 - 2016 - 2016 - 2016 - 2016 - 2016 23 All rights Parted 18+ push notifications: turned off on")</f>
        <v>Inc. Russia is a magazine for entrepreneurs in VKontakteTertertelegram, it is necessary to erase a lot of time to re-healing the same teenager, a teenager created a “washing” cancer cells from the skin and received a premium of young scientists11 Noshaburossians, 13 billion rubles were spent. In 2023, to become psychologists of nutritionists or folk doctors on November 111, Ilona Mask on the colonization of people on Mars injured SpaceX workers: from fractures to disability, the bank was attacked by hackers on the world on the world. Trading had to be carried out through a USB drive on November11, on November, I will pay $ 25 million due to discrimination when applying for a job. More than $ 18 million will go to the victims of November11 on November -child families in Russia can be exempted from taxes. This is another method of stimulating the birth rate on November11 on November -Promotorg offers to oblige restaurateurs to allocate Russian wines in wine maps on November11 of clothing, clothing revised the work strategy in Russia: the problem with marketing and popularity of November prices for used cars in Russia reached a record of 2 million rubles on November 201 on November 201. The statement “Out of mind” under the pressure of the employer November 111 of WeWORK all: the company has failed with expensive lease agreements and filed for bankruptcy on November11Mimintrans tightened the requirements for road chambers: only for emergency hazardous sections and no more than once a kilometer11 of the N-Yabem-Rossiyans became 15 times more often Buy products over the Internet. 50% of the purchases- at Vastiville, Samokat and Sbermarket on November 11, the founder of the Founder of Tasteville bought a quarter of the share of Poison Drop11 Jewelry Network on November 2023, the Russians began to burn more often and asking for salaries on November11 on November11 on November11, warned that scammers could conduct a prememe Subscribes at Telegram10 on November Tinkoff Bank, the “terrible deficit” of ITSHNOVERS in the market on the market November 4 of Russian areas for family vacation in winter November 78, 78% of Russians are ready to return to the salary of November10 November Portresses Vaipov proposed to fines their children for smoking their children on November 110 In Russia, on November10, Russia will withdraw 55 thousand Chinese Haval9 Chinese cars on November9 VTB forbade the European “daughter” to work under its brand on November9, on November9, the government proposed increasing export subsidies to 1 million rubles. To support the small business, on November9, a 114-year-old teenager created the soap “washing” cancer cells from the skin and received a premium of young scientists for this, 13 billion rubles were spent on the Novombo-Russian Russians. In 2023, to become psychologists of nutritionists or folk doctors on November 111, Ilona Mask on the colonization of people on Mars injured SpaceX workers: from fractures to disability, the bank was attacked by hackers on the world on the world. Trading had to be carried out through a USB drive on November11, on November, I will pay $ 25 million due to discrimination when applying for a job. More than $ 18 million will go to the victims of November11 on November -child families in Russia can be exempted from taxes. This is another method of stimulating the birth rate on November11 on November -Promotorg offers to oblige restaurateurs to allocate Russian wines in wine maps on November11 of clothing, clothing revised the work strategy in Russia: the problem with marketing and popularity of November prices for used cars in Russia reached a record of 2 million rubles on November 201 on November 201. The statement “Out of mind” under the pressure of the employer November 111 of WeWORK all: the company has failed with expensive lease agreements and filed for bankruptcy on November11Mimintrans tightened the requirements for road chambers: only for emergency hazardous sections and no more than once a kilometer11 of the N-Yabem-Rossiyans became 15 times more often Buy products over the Internet. 50% of the purchases- at Vastiville, Samokat and Sbermarket on November 11, the founder of the Founder of Tasteville bought a quarter of the share of Poison Drop11 Jewelry Network on November 2023, the Russians began to burn more often and asking for salaries on November11 on November11 on November11, warned that scammers could conduct a prememe Subscribes at Telegram10 on November Tinkoff Bank, the “terrible deficit” of ITSHNOVERS in the market on the market November 4 of Russian areas for family vacation in winter November 78, 78% of Russians are ready to return to the salary of November10 November Portresses Vaipov proposed to fines their children for smoking their children on November 110 In Russia, on November10, Russia will withdraw 55 thousand Chinese Haval9 Chinese cars on November9 VTB forbade the European “daughter” to work under its brand on November9, on November9, the government proposed increasing export subsidies to 1 million rubles. To support the small business, on November9, a 114-year-old teenager created the soap “washing” cancer cells from the skin and received a premium of young scientists for this, 13 billion rubles were spent on the Novombo-Russian Russians. In 2023, to become psychologists of nutritionists or folk doctors on November 111, Ilona Mask on the colonization of people on Mars injured SpaceX workers: from fractures to disability, the bank was attacked by hackers on the world on the world. Trading had to be carried out through a USB drive on November11, on November, I will pay $ 25 million due to discrimination when applying for a job. More than $ 18 million will go to the victims of November11 on November -child families in Russia can be exempted from taxes. This is another method of stimulating the birth rate on November11 on November -Promotorg offers to oblige restaurateurs to allocate Russian wines in wine maps on November11 of clothing, clothing revised the work strategy in Russia: the problem with marketing and popularity of November prices for used cars in Russia reached a record of 2 million rubles on November 201 on November 201. The statement “Out of mind” under the pressure of the employer November 111 of WeWORK all: the company has failed with expensive lease agreements and filed for bankruptcy on November11Mimintrans tightened the requirements for road chambers: only for emergency hazardous sections and no more than once a kilometer11 of the N-Yabem-Rossiyans became 15 times more often Buy products over the Internet. 50% of the purchases - at Vastiville “Samokat” and “Sbermarket” on November 11, the founder of “Tasteville” bought a quarter of the jewelry network Poison Drop11 Having 2023, the Russians began to burn more often and ask for salaries on November 10, how on September 30, help a friend: as an employee “as an employee” Tastevilla ”opened the product delivery service with the support of the network to place advertising in Inc. Russia Advertising | Close × Inc. - This is a magazine for entrepreneurs. We talk about small and medium -sized businesses of advanced technologies and people who are behind all this. In the USA we have been doing this since 1979 in Russia - since 2016, a METARMENT Map of Megatrendy Creeps for entrepreneurs to have a lot to get used to the use of the VKontakte VKontakte magazine Twitter TELEGRAM © 2016 - 2016 - 2016 - 2016 - 2016 - 2016 - 2016 - 2016 - 2016 - 2016 - 2016 - 2016 - 2016 - 2016 23 All rights Parted 18+ push notifications: turned off on</v>
      </c>
    </row>
    <row r="1001">
      <c r="A1001" s="1" t="s">
        <v>3130</v>
      </c>
      <c r="B1001" s="1" t="s">
        <v>3176</v>
      </c>
      <c r="C1001" s="1" t="s">
        <v>3177</v>
      </c>
      <c r="D1001" s="1">
        <v>17.0</v>
      </c>
      <c r="E1001" s="4" t="s">
        <v>3178</v>
      </c>
      <c r="F1001" s="1" t="s">
        <v>16</v>
      </c>
      <c r="G1001" s="1" t="s">
        <v>3179</v>
      </c>
      <c r="H1001" s="4" t="s">
        <v>3180</v>
      </c>
      <c r="I1001" s="2">
        <v>4.0</v>
      </c>
      <c r="J1001" s="5" t="str">
        <f>IFERROR(__xludf.DUMMYFUNCTION("GOOGLETRANSLATE(A1001)"),"Ютуб")</f>
        <v>Ютуб</v>
      </c>
      <c r="K1001" s="6" t="str">
        <f>IFERROR(__xludf.DUMMYFUNCTION("GOOGLETRANSLATE(B1001)"),"YouTube shorts or how to start on YouTube quickly?")</f>
        <v>YouTube shorts or how to start on YouTube quickly?</v>
      </c>
      <c r="L1001" s="5" t="str">
        <f>IFERROR(__xludf.DUMMYFUNCTION("GOOGLETRANSLATE(C1001)"),"2 ways to increase Shorts YouTube coverage. Creating interesting and attractive videos. The first and most important way to promote the channel using Shorts ...")</f>
        <v>2 ways to increase Shorts YouTube coverage. Creating interesting and attractive videos. The first and most important way to promote the channel using Shorts ...</v>
      </c>
      <c r="M1001" s="5" t="str">
        <f>IFERROR(__xludf.DUMMYFUNCTION("GOOGLETRANSLATE(G1001)"),"vc.ru - business technology ideas for the growth model of startup {""ISREGARDCPUCOMPLETE"": FALSE ""HASACCESS"": FALSE} {""ENABLENEWSWIDGET"": True} Received Anton 9 hours listen to {""Isshowsubedbututonlabels"": True ""sub SITEID "": 199124"" ISSHOWNOTIC"&amp;"ATIONSBUTTON "": FALSE ""Issubscribed"": FALSE ""IsnotificationSenAbled"": FALSE ""Type"": ""Full"" ""Buttontony"": ""Inline"" ""Size"": ""Tiny"" ""Mobilesize"": """" ""Subscribesttontonic"": ""V_fol Low ""Isshortonmobile"": False "" GTM "":"" Subscribe S"&amp;"ugggeation U2014 Anon Feed item """" Subscribegtmclicks "": ["" Subscribe Suggget U2014 Anon Fed ITEM U2014 Clicked """" Feed ITEM U20 Ton U2014 Click ""]} I suspect Ozon of fraud Hello. I have not been here before, but I often read articles here and I kn"&amp;"ow that the resonance can be raised good .. #Claim #complaint -zone12k -baches2k openings1 REPOST {""LIKEDATA"": {""ID"": 912071 ""Type"": 1 ""TyPestr"": ""Content"" ""STETE"": ""STETE"": 0 ""WithUSERS"": 1 ""Contentid"": 912071 ""Subsite"": {""Id"": 1991"&amp;"24 ""Name"": ""U041FU0440U0438U0451U043DU0430U0444F"" AVATAR "":"" https://leonardo.osnova.io /08FF68AD-2175-51FB-8ADC -A56F40AC6FFA/""URL"": ""https://vc.ru/claim"" ""Type"": 2} ""Place"": ""Feed"" ""Ishidden"": FALSE ""Count_Likes"": 32 ""Count_DisLikes"&amp;""": Null ""GTM"" : ""Popular U2014 Feed item"" Action "":"" Like """" Size "":"" Default ""}} {"" Id "": 912071"" Type "":"" Num """" Link "":"" https://vc.ru/claim /912071-Podozrevayu-Zon-V-Moshennichestve ""GTM"": ""Popular U2014 Fed item U2014 Comments"&amp;" U2014 Click"" ""Prevcoud"": NULL ""COUNT"": 110 ""ISAUTHORIZED"": FALSE} {""Contentid"": 912071 ""Count"" : 1 ""Isreposted"": false ""gtm"": ""Popular U2014 Feed item U2014 Repost U2014 Click""} {""Id"": 912071 ""Typstr"": ""Content"" ""Showtitle"": FALS"&amp;"E ""Initialstate"": {{ ""ISACTIVE"": FALSE} ""GTM"": ""Popular U2014 Feed Item U2014 Add to Favorites U2014 Click""} {""ID"": ""GTM"": ""Popular U2014 Fed U2014 Share Share U20 edata "": { ""ID"": 912071 ""Type"": 1 ""Typestr"": ""Content"" ""stat"": 0 """&amp;"Whathusers"": 1 ""Contentid"": 912071 ""Subsite"": {""ID"": 199124 ""NAME"": ""U041FU0438U0451U043CU043D U0430U044F """" avatar "":"" https://leonardo.osnova.io/08FF68AD-2175-51FB-8ADC-A56F40AC6FFA/ """" URL "":"" https://vc.ru/claim """" Type "": 2}"" PL"&amp;"ACE "": ""Feed"" ""Ishidden"": FALSE ""Count_Likes"": 32 ""Count_dislikes"": Null ""gtm"": ""Popular u2014 feed item"" ""Action"": ""Dislike"" ""Size"": ""Default""} {""OSNOVA Unitid "": null ""URL"": ""https://booster.osnova.io/a/relevant?site=vc&amp;v=2"" P"&amp;"lace "":"" Index_Feed "":"" VC """" Settings "": {"" Modes "": {"" {"" Externallink "": {"" Buttonlabels "": ["" U0423U0437U043DU0430U0442U044C """" U0427U0438U042U0430U0442U044C """" U041DU04447U0430U0US 17U0430U043AU0430U0437U0430U0442U044C ""U041AU0443"&amp;"U043FU0438U0442U044C"" ""U041FU043BU04443U0447U0438U042U044C"" U0421U043AU04 30U0447U0430U0442U044C ""U041FU0435U0440URU0435U0439U0442U0438""]}} ""DEVICTOP"": ""DESKTOP"": ""U0414U0435U043AU04442U043EU043F"" "" Martphone "":"" U0421u043cu0430u0444444442U0"&amp;"4444443EU043DU0444B """" Tablet "":"" U041FU043BU0430U0448U0435U0442U0442U ""}} The right to real estate yesterday listen to {"" ISSHOWESBSCR Ibedbuttonlabels: True ""Subsiteid"": 199120 ""Isshanotificationsbutton"": FALSE ""Issubscribed"": FALSE ""Isnoti"&amp;"ficationSenAbled"" Type "":"" "" Full """" Buttontype "":"" Inline """" Size "":"" Tiny """" Mobilesize "":"" ""Subscribebuttonicon"": ""V_follow"" ""ISSHORTONMOBILE"": FALSE ""SUBSCRIBE SUGGETION UF Onfed item ""Subscribegtmclicks"": [""Subscribe Suggget"&amp;"ation U2014 Anon Feed ITEM U2014 Clicked"" ""Feed item U2014 Subscribe Button U2014 Click""]} Short-term rental rental: you can not resolve short-term rental of housing just somehow crookedly. One of the initiatives is to give the owners of the entrance t"&amp;"he right to allow or prohibit it. If 75% of the votes will not be against the apartments for rent there. 17K -cancer 4K openings1 Rurepost {""LikeData"": {""Id"": 911965 ""Type"": 1 ""Typestr"": ""Content"" ""state"": 0 ""Whathusers"": 1 ""Contentid"": 91"&amp;"1965 ""ID"": ""ID"": 199120 "" NAME "":"" U041FU0440U0430U0432U043E """" AVATAR "":"" https://leonardo.osnova.io/66a239D6-5E14-B060-ABA72E356B5B5IB/ """" ""URL"": ""https://vc.ru//legal"" """" Type "" : 2} ""Place"": ""Feed"" ""Ishidden"": FALSE ""Count_L"&amp;"ikes"": 27 ""Count_DisLikes"": NULL ""GTM"": ""Popular U2014 fed item"" ""Action"" ""Size"": ""Default""} } {""ID"": 911965 ""Type"": ""Num"" ""Link"": ""https://vc.ru/legal/911965-kratkosrochnaya-kvartir-zapretit-neelzya-nergulirovat"" GTM "":"" Popular "&amp;"u2014 Feed item U2014 Comments U2014 Click ""Prevcount"": Null ""Count"": 203 ""Isauthorized"": FALSE} {""Contentid"": 911965 ""Counsted"": 1 ""ISREPOSTEDD"": FALSE ""GTM"": ""Popul AR U2014 Feed item U2014 Repost U2014 Click ""} {"" Id "": 911965"" Type "&amp;""": 1"" TyPestr "":"" Content """" Showtitle "": FALSE"" Initialstate "": {"" ISACTIVE "": FALSE}"" GTM "":"" POPULAR U2014 Feed u2014 Add TO20 Favorites U2014 Click ""} {"" Id "": 911965"" GTM "":"" Popular U2014 Fed item U2014 Share U2014 Click ""{"" Li"&amp;"keData "": {"" ID "": 911965"" TyPestr "":"" Content """" """" """" """" "" STET "": 0"" WithUSERS "": 1"" Contentid "": 911965"" Subsite "": {"" Id "": 199120"" NAME "":"" U041FU0440U0430432U043E """" AVATAR "":"" https://leonardo.osnova.io/6a239D6 -25EE"&amp;"- 5e14-b06060-BA72E356B5B5B/"""" URL "":"" https://vc.ru/legal """" type "": 2}"" Place "":"" Feed """" Ishidden "": FALSE"" Count_LIKES "": 27"" Count_DisLikes "": NULLLL ""GTM"": ""Popular U2014 Feed item"" ""Action"": ""Dislike"" ""Size"": ""Default""}"&amp;"} ChatGPT Neuromarket yesterday to listen to {""Isshowsubscristonlabels"": True ""Subsiteid"": 187 2372 ""ISSHOWNOTICATIONSBUTTON"": FALSE ""Issubscribed"": FALSE ""IsnotificationSenAbled"": FALSE ""TYPE"": ""Full"" ""ButtontonType"": ""Inline"" ""Size"":"&amp;" ""Tiny"" ""Mobilesize"": """" Subscribettonicon "":"" V_follow """" Isshortonmobil E "": FALSE"" GTM "":"" Subscribe Sugggetation U2014 Anon Fed item ""Subscribegtmclicks"": [""Subscribe Suggget U2014 Anon Feed U2014 Clicked"" Feed U20 Lick ""]} Openai r"&amp;"eleased the GPT-4 Turbo with a cheaper API and a context window for 128 thousand tokens Only eight months after the launch of GPT-4, Openai introduced the updated GPT-4 Turbo model with a context window in which you can place a 300-page book and cheaper a"&amp;"ccess to API.1.9K openings {""LikeData"": {""ID"": 911997 ""Type"": 1 ""Typestr"": ""Content"" ""state"": 0 ""WhatHusers"": 1 ""Contentid"": 911997 ""Subsite"": {""ID"": 1872372 ""NAME"": ""CHATGPT"" ""AVATAR"": ""HTTPS : //leonardo.osnova.io/FC56AAA4-CB0"&amp;"C-5F37-B6BA-94BC8F336926/ ""URL"": ""https://vc.ru/chatgpt"" Type "": 2}"" PLACE "":"" FEED """" Ishidden "": False"" Count_Likes "": 47"" Count_dislikes "": Null"" GTM "":"" Popular u2014 feed item """" Action "":"" Like """" Size "":"" Default ""} {"" I"&amp;"d "": 911997"" Type "":"" Type "":"" """" Type "":"" """" """" Num """" Link "":"" https://vc.ru/chatgpt/9111997-openai-vypustila-4-turbo-s-deshevym-pi-i-kontekstnym-oknom-28-tsyach-tokenovov ""GTM"": ""Popular U2014 Feed item U2014 Comments U2014 Click"""&amp;" ""Prevcount"": Null ""Count"": 34 ""Isauthorized"": FALSE} {""CONTENTID"": 911997 ""COUNT"": 0 ""ISREPOS : false ""gtm"" : ""Popular U2014 Feed item U2014 Repost U2014 Click""} {""Id"": 911997 ""Type"": 1 ""TyPestr"": ""Content"" ""Showtitle"": FALSE ""I"&amp;"SACTIVE"": FALSE} ""GTM"": ""Popular U2014 Feed item U2014 Add to Favorites U2014 Click""} {""Id"": 911997 ""GTM"": ""Popular U2014 Fed U2014 Share U2014 Click""} {""Likeedata"": {""Id"": 9111997 ""T YPE "": 1 ""TyPestr"": ""Content"" ""state"": 0 ""Whous"&amp;"ers"": 1 ""Contentid"": 911997 ""Subsite"": {""Id"": 1872372 ""Name"": ""Chatgpt"" ""Avatar"": ""https: // leonardo. osnova.io/fc56aaa4-cb0c-5f37-b6ba-94bc8f336926/""""ularript"":""https://vc.ru/chatgpt""""ularape"":2 ]""place"":""ishiddenetic"":false""co"&amp;"unt_likes "": 47"" Count_Dislikes "": NULL"" GTM "":"" Popular U2014 Feed item """" Action "":"" Dislike """" Size "":"" Default ""}} What to read Artem Kabanov 9 hours to listen to {"" Isshowsbscribedbuttonlabelbelbelbelbelbelbelbelbelbelbelbelbelb S "":"&amp;" True"" Subsiteid "" : 345049 ""Isshownotificationsbutton"": FALSE ""Issubscribed"": FALSE ""Isnotification"" Type "":"" Full """" Buttontype "":"" Inline """" SIZE "": Tiny"" ""Mobil"" ""Mobil Esize "":"" ""Subscribettonicon"": ""V_follow ""ISSHORTONMOBI"&amp;"LE"": FALSE ""GTM"": ""Subscribe Suggheation U2014 Anon Fed item"" ""Subscribegtmclics"": [""Subscribe SuggGges u2014 Anon Fed It20 Ed item U2014 Subscribe Button U2014 Click ""]} At the beginning of the last century, there was a scientific And he was of "&amp;"high quality. A review of the book of 1913 is perhaps even better than modern. See which book I have recently grinded. I read it sincerely and is now ready to share it on VC with all the fans of scientific. 4.4K -canzes528 Options of opening1 Rurepost {"""&amp;"Likedata"": {""Id"": 912096 ""Type"": 1 ""TyPestr"": ""Content"" ""state"": 0 ""Whathusers"": 1 ""Contentid"": 912096 ""ID"": {""ID"": 345049 ""NAME"": ""U0427U0442U043E U043FU043EU0447U0438U0442U0430U0442U044C"" ""Avatar"": ""https://leonardo.osnova.io/e"&amp;"a0b-5e28-595-BBD1-6C5C5C5C5C 4ac496d/"""" URL "":"" https://vc.ru/books """" Type: 2} “Place”: “Feed” “Ishidden”: False “Count_Likes”: 17 “Count_DisLikes”: NULL “GTM”: “Popular U2014 Feed item” “Like” “Size”: “DEFAUL”: DEFAULT ""}} {"" Id "": 912096"" Typ"&amp;"e "":"" Num """" Link "":"" https://vc.ru/books/912096-v-nachale-proshlogo-veka-byl-nauchpop-on-on-by -kachestvennym -obzor-knigi-1913-goda ""GTM"": ""Popular U2014 Fed item U2014 Comment U2014 Click"" ""Prevcount"": Null ""Count"": 5 ""ISAUTHORIZED"": FA"&amp;"LSE} {""CONT Entid "": 912096"" Count "" : 1 ""Isreposted"": false ""gtm"": ""Popular U2014 Feed Item U2014 Repost U2014 Click""} {""Id"": 912096 ""Typstr"": ""Content"" ""Showtitle"": FALSE ""Initialstate"": {{ ""ISACTIVE"": FALSE} ""GTM"": ""Popular u20"&amp;"14 Feed item U2014 Add to Favorites U2014 Click""} {""ID"": ""GTM"": ""Popular U2014 Fed U2014 Share Share U2014 Click"" {""Lik edata "": { ""ID"": 912096 ""Type"": 1 ""TyPestr"": ""Content"" ""stat"": 0 ""Whathusers"": 1 ""Contentid"": 912096 ""Subsite"""&amp;": {""ID"": 345049 ""NAME"": ""U0427U042U043E U043FU043EU043EU04 7u0438U0442U0430U0442U044C "" ""Avatar"": ""https://leonardo.osnova.io/ea031f0b-5e28-5955-bbd1-6c5c5c496d/"" ""url"": ""https://vc.ru/books"" ""type"": 2} ""Place"" : ""Feed"" ""Ishidden"": F"&amp;"alse ""Count_Likes"": 17 ""Count_dislikes"": Null ""GTM"": ""Popular U2014 Feed ITEM"" ""Action"": ""Dislike"" ""Size"": ""Default""} Olga Bondarenko 4 Hours { ""IsshowsubscribedbuttonLabels"": True ""Subsiteid"": 2569457 ""Isshanotificationsbutton"": FAL"&amp;"SE ""ISSUUBSCRIBED"": FALSE ""Isnotification"": FALSE ""Type"": """" """" """" """" """" """" """" """" """" """" """" """" """" """" """" """" """" """" """" """" """" """" """" """" """" """" "" Full """" Buttontype "":"" Inline """" Size "":"" Tiny """&amp;""" Mobilesize "": ""Subscribebuttonicon"": ""V_FOLLOW"" ""ISSHORTONMOBILE"": FALSE ""GTM"": ""Subscribe Suggget ITED ITEM"" ""Subscribtmclicks"": [Subscribe Sugggget Ion U2014 Anon Feed item U2014 Clicked ""Feed item U2014 Subscribe Button U2014 Click"" ]"&amp;"} August Buro - we are developing at home and interiors for august person! 326 orders25 openings {""LikeData"": {""Id"": 912277 ""Type"": 1 ""TyPestr"": ""ConTENT"" ""STATE"": 0 ""Whousers"": 1 ""Contentid"": 912277 ""Subsite"": {""ID"": 2569457 "" NAME "&amp;""":"" U041EU043BU0444CU0433U0430 U0411U043EU043DU043430U04440U0U0UU0435U043DU043AU043E ""AVATAR"": ""https://leonardo.osnova.io/199f9e86-cb A7-5B80-A748-0EB18563D48F/"""" URL "":"" https://vc.ru/u/2569457- Olga-Bondarenko ""Type"": 1} ""Place"": ""Feed"" "&amp;"""Ishidden"": FALSE ""COUNT_LIKES"": 3 ""COUNT_DISLIKES"": NULL ""GTM"": ""Popular u2014 feed item"" ""Action"": Like """" "" Size "":"" Default ""}} {"" Id "": 912277"" Type "":"" Num """" Link "":"" https://vc.ru/u/2569457-olga-bondarenko/912277 ""GTM"""&amp;": ""Popular"" U2014 Feed item U2014 Comments U2014 Click ""Prevcount"": Null ""Count"": 1 ""Isauthorized"": FALSE} {""Contentid"": 912277 ""ISREPOSTED"": FALSE ""GTM"": Pop: ""Pop"" Ular U2014 Feed item U2014 Repost u2014 Click""}             {""id"":9122"&amp;"77""type"":1""typeStr"":""content""""showTitle"":false""initialState"":{""isActive"":false}""gtm"":""Popular u2014 Feed Item u2014 Add To Favorites U2014 Click ""} {"" Id "": 912277"" GTM "":"" Popular u2014 Feed item U2014 Share U2014 Click ""{"" LikeDat"&amp;"a "": {"" Id "": 912277"" TyPestr "":"" Content "" ""state"": 0 ""Whathusers"": 1 ""Contentid"": 912277 ""Subsite"": {""ID"": 2569457 ""NAME"": ""U041EU043BU0433U0430 U0411U043DU0434URU04U0URU0U04355U04 3DU043AU043E ""Avatar"": ""https://leonardo.osnova.i"&amp;"o/199f9e86- CBA7-5B80-A748-0EB18563D48F/""URL"": ""https://vc.ru/u/2569457-olga-bondarenko"" Type "": 1}"" Place "":"" Fed """" Ishidden "": FALSE"" Count_LIKES "": 3"" Count_dislikes "": Null"" GTM "":"" Popular u2014 feed item """" Action "":"" Dislike "&amp;""""" Size "":"" Default ""}} Vacancy all the vacancies is overheard AI 7 hours {"" ISSHOWESBSCRI Bedbuttonlabels: True "" Subsiteid "": 199118"" ISSHOWNOTICATIONSBUTON "": FALSE"" Issubscribed "": FALSE"" Isnotification ""Type"": ""Full"" ""ButtontonType"&amp;""": ""Inline"" ""Size"": ""Size"" y """" Mobilesize "":"" """" Subscribettonicon "": ""V_FOLLOW"" ""ISSHORTONMOBILE"": FALSE ""GTM"": ""Subscribe Suggget U2014 Anon Feed item"" ""Subscribegtmclicks"": [""Subscribe SuggGges U2014 Anon Fed item U20 KED ""Fe"&amp;"ed item U2014 Subscribe Button U2014 Click""]} New space industry : The restroom and spa for space tourists Space spa “three in one” called “Space Spa” is located in space on one side of the capsule of the Neptune spacecraft next to the recreation area. E"&amp;"ight passengers and the captain will be able to enjoy luxury in outer space. 3.5K -cancer317 Options {""LikeData"": {""Id"": 885746 ""Type"": 1 ""Typestr"": ""Content"" ""state"": 0 ""Whousers"": 1 ""Contentid"": 885746 ""ID"": {""ID"": 199118 ""NAME"": "&amp;"""U0411U0443U0434U04443U0449U0435U0435"" ""Avatar"": ""https://leonardo.osnova.io/64d1192b-d0a7-553E-B43B9B9EAF59B6/"" URL "":"" HTTT ""HTTT"" HTTT ""HTTT"" HTTT ""HTTT"" HTTT PS: //vc.ru/future ""Type "": 2}"" Place "":"" Feed """" Ishidden "": False"" C"&amp;"ount_Likes "": 6"" Count_dislikes "": Null"" GTM "":"" Popular U2014 Feed item """" Action """" Size "":"" Default "" }} {""ID"": 885746 ""Type"": ""Num"" ""Link"": ""https://vc.ru/future/885746-novinka-industrii-Ubornay-spa-dlya-kosmicheskih-turistov"" "&amp;"""gtm"":""Popular u2014 Feed Item u2014 Comments u2014 Click""""prevCount"":null""count"":4""isAuthorized"":false}             {""contentId"":885746""count"":0""isReposted"":false""gtm"": ""Popular U2014 Feed item U2014 Repost U2014 Click""} {""Id"": 8857"&amp;"46 ""Type"": 1 ""TyPestr"": ""Content"" ""showtitle"": false ""initialstate"": {""ISACTive"": false} ""gtm"": ""gtm"" "" Popular U2014 Feed item U2014 Add to Favorites U2014 Click ""} {"" Id "": 885746"" GTM "":"" Popular U2014 Fed U2014 Share U2014 Click"&amp;" ""{"" LikeData "": {"" ID "": 8855746"" TY ""TY"" TY "": 8855746"" TY ""TY"" TY Pe "": 1"" TyPestr "":"" Content """" state "": 0"" Whousers "": 1"" Contentid "": 885746"" Subsite "": {"" ID "": 199118"" NAME "":"" U0411U0443U043U0443U0435U0435 ""Avatar"&amp;""": ""HTTAR"": ""HTTP S: //leonardo.OSNOVA .io/64D1192B-D0A7-553E-B439-D3B9EAF59B6/""URL"": ""https://vc.ru/future"" ""Type"": 2} ""PLACE"": ""FEED"" ""ISHIDDEN"": FALSE ""COUNT_LIKS"" : 6 ""Count_Dislikes"": Null ""GTM"": ""Popular U2014 Feed item"" ""Ac"&amp;"tion"": ""Dislike"" ""Size"": ""Default""}} {""Osnovaunitid"": Null ""URL"": ""https: // boos. osnova.io/a/relevant?site=vc&amp;v=2 ""Place"": ""Index_feed"" ""Site"": ""VC"" ""Settings"": {""Modes"": ""Externallink"": {""Buttonlabels"": [""U0423U0437UUS 0430"&amp;"U0442U044C """" U0427U0438U0442U0430U0442U044C """" U041DU0430U0447U0430U0442U044C """" U0417U0433AU0430U0437U0430U0442U044C ""U041AU043U043FU0438UU 0442U044C ""U041FU043EU043BU0443U0447U0438U0442U044C"" ""U0421U043AU0430U04430U0442U044C"" ""U041FU0435U04"&amp;"40U0U0URU0US ""]}}"" Devicelist "": {"" Desktop "":"" U0414U0435U0441U043AU0442U043EU043F """" Smartphone "":"" U0421U043cu0430U0U044444U043EU043DUU044B """" T Ablet "":"" U041FU043BU0430U043DU0448U0435U0442U04444B ""}}} Receiving Alena Altergot 6 hours {"&amp;""" Isshowsubscribedbuttonlabels "": True"" Subsiteid "": 199124"" Isshownotificationsbutton "": FALSE"" ISSUBSCRIBED "": FALSE"" ISNOTICATIONS Enabled "": False"" Type "":"" Full """" Buttontype "":"" Inline """" Size "":"" Tiny """" Mobilesize "":"" ""Su"&amp;"bscribebuttonicon"": ""V_FOLOLOW"" ""ISSHORTONMOBILE"": FALSE ""GTM"": ""Subscribe SuggGges U2014 Anon Feed item"" ""SubscribeGtMCL ICKS "": ["" Subscribe Sugggetation U2014 Anon Feed ITEM U2014 Clicked """" Feed item U2014 Subscribe Button U2014 Click """&amp;"]} Avito blocked the profile due to violations, although when communicating with the manager Avito, we were told that there were no violations today on November 11, 2023 at 22:58 Avito blocked the profile of our company without the right to recovery. 1k -"&amp;"canzaz77 openings {""LikeData"": {""ID"": 912210 ""Type"": 1 ""TyPestr"": ""Content"" ""state"": 0 ""Whousers"": 1 ""Contentid"": 912210 ""Subsite"": {""ID"": 199124 "" NAME "":"" U041FU0440URU0438U0451U043CU043DU0430U044F """" AVATAR "":"" https://leonar"&amp;"do.osnova.io/08FF68AD-2175-51FB-8ADC-A56F40AC6FFA/ """" URL "":"" HTTTP ""http S: //vc.ru/claim ""Type"" : 2} ""Place"": ""Feed"" ""Ishidden"": False ""Count_Likes"": 4 ""Count_dislikes"": Null ""GTM"": ""Popular U2014 Feed item"" ""Action"": ""Like"" ""S"&amp;"ize"": ""Default""} } {""ID"": 912210 ""Type"": ""Num"" ""Link"": ""https://vc.ru/claim/912210-Vito-zablokiroval-za-za-narushheniy-pri-obshcheni-shcheni-S -MENEDZHOROM-AVITO-NAM-SKAZALI-HHTO-NARUSHENII-NET ""GTM"": ""Popular U2014 Feed item U2014 Click"" "&amp;"Prevcount "": Null"" Count "": 3"" ISAUTHORIZED "": Falle se} {""concentid"": 912210 ""Count"": 0 ""Isreposted"": FALSE ""GTM"": ""Popular U2014 Fed Item U2014 Repost U2014 Click"" {""Id"": 912210 ""Type"": 1 ""Typestr"": ""Content"" ""Showtitle"": FALSE "&amp;""": FALSE"": FALSE "" InitialState: {""ISACTIVE"": FALSE} ""GTM"": ""Popular U2014 Feed U2014 Add to Favorites U2014 Click"" {""Id"": 912210 ""GTM"": ""POPULAR U2014 Feed ITEM U20 Click ""} {"" LikeData: {""Id"": 912210 ""Type"": 1 ""TyPestr"": ""Content"&amp;""" ""state"": 0 ""Withusers"": 1 ""Contentid"": 912210 ""Subsite"": {""ID"": 199124 ""NAME"": ""U041FU04440438U0451U043CU043DU0430U044F"" ""Avatar"": ""https://leonardo.osnova.io/08FF68AD-2175-51FB-8ADC-A56F40AC6FFA/"" URL "": HTTPS: // V. c.ru/claim""""u"&amp;"larpe"":2} ""Place"": ""Feed"" ""Ishidden"": False ""Count_Likes"": 4 ""Count_dislikes"": Null ""gtm"": ""Popular u2014 feed item"" ""Action"": ""Dislike"" ""SIZE"": ""Default""} Chat GPT Neuromarket Listen to {""IsshowsubscribedbuttonLabels"" yesterday: "&amp;"True ""Subsiteid"": 1872372 ""ISSHOWOWOTICATIONSBUTON"": FALSE ""ISSUBSCRIBED"": FALSE ""ISNOTICATIONSENABENABLED"" Pe "":"" Full """" Buttontype "":"" Inline """" Size "":"" Tiny """" Mobilesize "":"" ""Subscribebuttonicon"": ""V_FOLLOW"" ""ISSHORTONMOBI"&amp;"LE"": FALSE ""GTM"": ""Subscribe Suggget U2014 Anon Fed item"" ""Subscribtmclics"": [""Subs Ribe Suggation U2014 Anon Feed ITEM U2014 Clicked ""Feed item U2014 Subscribe Button U2014 Click ""]} 7 best useful plugins for ChatGPT today about 84 plugins are "&amp;"presented in the plugin store. I tried them all and in this article I will share with you the best plugins in my opinion. 14k -baches2.4k openings {""LikeData"": {""Id"": 911707 ""Type"": 1 ""Typestr"": ""Content"" ""state"": 0 ""Whathusers "":1""contentI"&amp;"d"":911707""subsite"":{""id"":1872372""name"":""ChatGPT""""avatar"":""https://leonardo.osnova.io/fc56aaa4-cb0c-5f37-b6ba-94bc8f336926/ """" URL "":"" https://vc.ru/chatgpt """" type "": 2}"" place "":"" fed """" ishidden "": false"" cout_likes "": 70"" Co"&amp;"unt_Dislikes "": NULL"" GTM "": Popular U2014 Feed item ""Action"": ""Like"" ""Size"": ""Default""} {""Id"": 911707 ""Type"": ""Num"" ""Link"": ""https://vc.ru/chatgpt/911707- 7-luchshihih-poleznyh-plaginov-dlya-cheatgpt ""GTM"": ""Popular U2014 Feed item"&amp;" U2014 Click"" Prevcount "": Null"" ISAUUTHORISED "": FALSE: FALLSE } {""Contentid"": 911707 ""Count "": 0"" ISREPOSTED "": FALSE"" GTM "":"" Popular U2014 Fed item U2014 Repost U2014 Click ""} {"" Id "": 911707"" Typestr "":"" Content """" Showtitle "": "&amp;"FALSE"" Initial "" {""ISACTIVE"": FALSE} ""GTM"": ""Popular U2014 Fed item U2014 Add to Favorites U2014 Click"" {""ID"": 911707 ""GTM"": ""Popular U2014 Feed U2014 SHARE URSE UP"" LikeData "": {""ID"": 911707 ""Type"": 1 ""Typestr"": ""Content"" ""state"""&amp;": 0 ""Whathusers"": 1 ""Contentid"": 911707 ""Subsite"": {""ID"": 1872372 ""NAME"": ""CHATGPT"" ""Avatar"": ""https://leonardo.osnova.io/fc56aaaa4-cb0c-5f37-b6ba-94bc8f336926/"" ""URL"": ""https://vc.ru/chatgpt"" ""Type"": 2} ""Place"" : ""Feed"" ""Ishidd"&amp;"en"": FALSE ""Count_Likes"": 70 ""Count_DisLikes"": Null ""GTM"": ""Popular U2014 Fed item"" ""Action"": ""Dislike"" ""Size"": ""Default""} Never Do not work for money on your own experience I will tell you how to restart a career at 30. And I will try to"&amp;" prove that the money is the most useless on what you can focus on work. From 20,000 rubles a month before your own Internet agency. But you can’t be so because You continue to run and look for a larger salary and smaller work. It is good when corporate c"&amp;"lothing is issued at work. 19K boxes11k openings {""LikeData"": {""Id"": 909850 ""Type"": 1 ""TyPestr"": ""Content"" ""state"": 0 ""Withusers"": 1 ""Contentid"": 909850 ""Subsite"": {""ID"": 199123 "" NAME "":"" U041BU0438U0447U043DU044439 U043EU043FU0444"&amp;"BU0442 ""Avatar"": ""https://leonardo.osnova.io/68e0e807-55b9-9b76-b3f0f3d3d3d 2/"""" URL "":"" https://vc.ru/life """" Type "": 2}"" Place "":"" Feed """" Ishidden "": False"" Count_Likes "": 115"" Count_dislikes "": Null"" GTM "":"" Popular U2014 Fed it"&amp;"em """" Action """" Size "":"" Default "" }} {""ID"": 909850 ""Type"": ""Num"" ""Link"": ""https://vc.ru/life/909850-nikogda-ne-za-dengi"" ""GTM"": ""Popular U2014 Fed Item U2014 Comments U2014 Click ""Prevcount"": Null ""Count"": 354 ""Isauthorized"": FA"&amp;"LSE {""Contentid"": 909850 ""Count"": 0 ""AREPOSTED"": FALSE ""GTM"": Popular U.2014 Feed item U2014 Repost U2014 Click""}             {""id"":909850""type"":1""typeStr"":""content""""showTitle"":false""initialState"":{""isActive"":false}""gtm"":""Popular"&amp;" u2014 Feed Item u2014 Add To Favorites U2014 Click ""} {"" Id "": 909850"" GTM "":"" Popular U2014 Feed item U2014 Share U2014 Click ""} {"" Likedata "": {"" Id "": 909850"" Typestr "":"" Content """" STATE ""STATE "": 0"" WithUSERS "": 1"" Contentid "":"&amp;" 909850"" Subsite "": {"" ID "": 199123"" NAME "":"" U041BU0438U047U044439 U043EU043FU04442 ""AVATAR"": HTTPS: // LEON ardo.osnova.io/68e0e807-2b43- 55b9-9b76-b3f0F76F32/"""" URL "":"" https://vc.ru/life """" type "": 2}"" Place "":"" Fed """" Ishidden """&amp;": FALSE"" Count_Likes "": 115"" Count_DisLikes "": Nullllllllles ""GTM"": ""Popular U2014 Feed item"" ""Action"": ""Dislike"" ""Size"": ""Default""}} Marketing Dmitry Repin 11 hours {""Isshowsubscribedbuttonlabels"": True ""Subsiteid"": 199113 "" SSHOWNOT"&amp;"ICATIONSBUTON "": FALSE"" Issubscribed "" : FALSE ""IsnotificationSenAbled"": FALSE ""Type"": ""Full"" ""ButtontonType"": ""Inline"" ""Size"": ""Tiny"" ""Mobilesize"": """" Subscribettonicon "":"" V_follow """" ISSHORTOMOB ILE "": FALSE"" GTM "": ""Subscr"&amp;"ibe Sugggetation U2014 Anon Feed item"" ""Subscribegtmclicks"": [""Subscribe Suggget U2014 Anon Fed ITEM U2014 Clicked"" ""Feed U20 Click ""]} Free promotion tool for offline business. Only hot traffic 10k shows419 openings {""LikeData"": {""Id"": 911973 "&amp;"""Type"": 1 ""typeStr"": ""content"" ""state"": 1 ""concentid"": 911973 ""subess"": {""id"" : 199113 ""NAME"": ""U041CU0430U044043AU0435U04442U0438U043DU0433"" Avatar "":"" https://leonardo.osnova.io/d66009bf0da-bdbf-4c758eba39e39e39EE39EE39EE39EE39EE /"""&amp;"""ular"":""https://vc.ru/marketing "" ""Type"": 2} ""Place"": ""Feed"" ""Ishidden"": False ""Count_Likes"": 14 ""Count_Dislikes"": Null ""GTM"": ""Popular U2014 Feed item"" ""Action"": ""Like"" ""Size"": """" """" """" """" """" """" """" """" """" """" "&amp;""" Default ""}} {"" Id "": 911973"" Type "":"" Num """" Link "":"" https://vc.ru/marketing/911973-besplatnyy-instrument-prodvizheniya-offlayn-biznesa-tolkoo Goryachiy- Trafik ""GTM"": ""Popular U2014 Fed item U2014 Comments U2014 Click"" Prevcount: Null "&amp;"""Count"": 14 ""Isauthorized"": False} {""Contentid"": 911973 ""CoUnt"": 0 ""IsRet Osted "": False"" gtm "":"" Popular U2014 Feed item U2014 Repost U2014 Click ""} {"" Id "": 911973"" Type "": 1"" TyPestr "":"" Content """" Showtitle "": FALSE"" ISACTIVE "&amp;""": FALSE}"" GTM "" : ""Popular U2014 Feed item U2014 Add to Favorites U2014 Click""} {""Id"": 911973 ""GTM"": ""Popular U2014 Feed U2014 Share U2014 Click"" {""LikeData"": {""Id"": 911973 "" Type "": 1 ""Typestr"": ""Content"" ""state"": 0 ""Whousers"": "&amp;"1 ""Contentid"": 911973 ""Subsite"": {""ID"": 199113 ""NAME"": ""U041CU0430U0U0435U042U0438U043DU0433"" """" """" """" avatar "":"" https: // leonardo .osnova.io/d66009FE-9BF0DA-BDBF-4C758EBA39E7/""URL"": ""https://vc.ru/marketing"" ""Type"": 2} ""Place"""&amp;": ""Fed"" ""Ishidden"": False "" Count_Likes: 14 “Count_Dislikes”: NULL “GTM”: “Popular U2014 Fed item” “Action”: “Dislike” “Size”: “Default”} {Isshowsbscribedbuton. Labels "": True"" Subsiteid "": 199124 Isshownotificationsbutton: FALSE “Issubscribed”: F"&amp;"ALSE “IsnotificationsenAbled”: FALSE “TYPE”: “Inline” “SIZE”: “Tiny” “Mobilesize” """" Subscribebuttonicon "":"" V_follow """" ISSHORTONMOBILE "": FALSE"" GTM "":"" Subscribe Suggheation U2014 Anon Feed item """" Subscribegtmclics "": ["" Subscribe SuggGg"&amp;"es Ussa Utem U20 ITEM U2014 Subscribe Button U2014 Click ""]} Unreasonable blocking of the profile Avito my profile in Avito No. 82 805 032 was blocked today. The reason was indicated that I allegedly refer to people to third-party sites where there is a "&amp;"fake avito-post. In fact, for all 7 years of my cooperation with Avito, this has never been and is not in the present. 751places50 openings {""LikeData"": {""Id"": 912163 ""Type"": 1 ""Typestr"": ""Content"" ""state"": 0 ""Whousers"": 1 ""Contentid"": 912"&amp;"163 ""Subsite"": {""ID"": 199124 "" NAME "":"" U041FU0440URU0438U0451U043CU043DU0430U044F """" AVATAR "":"" https://leonardo.osnova.io/08FF68AD-2175-51FB-8ADC-A56F40AC6FFA/ """" URL "":"" HTTTP ""http S: //vc.ru/claim ""Type"" : 2} ""Place"": ""Feed"" ""I"&amp;"shidden"": False ""Count_Likes"": 4 ""Count_dislikes"": Null ""GTM"": ""Popular U2014 Feed item"" ""Action"": ""Like"" ""Size"": ""Default""} } {""ID"": 912163 ""Type"": ""Num"" ""Link"": ""https://vc.ru/claim/912163-neobosnnaya-blokirovka-profilya-avito"&amp;""" ""GTM"": ""Popular u2014 fed item u2014 Comments U2014 Click ""Prevcount"": Null ""Count"": 3 ""Isauthorized"": False} {""Contentid"": 912163 ""Count"": 0 ""Isreposted"": FALSE ""GTM"": ""Popular U2014 Fed item U20 ST U2014 Click ""} {""ID"": 912163 """&amp;"Type"": 1 ""Typestr"": ""Content"" ""showTitle"": false ""initialstate"": {""Isactive"": false} ""gtm"": ""Popular U2014 Feed U2014 Add to Favorites U. K "" } {""ID"": 912163 ""GTM"": ""Popular u2014 Feed item u2014 Share U2014 Click""} {""LikeData"": {"""&amp;"Id"": 912163 ""Type"": 1 ""Typestr"": ""Content"" ""stat"": 0 ""Whussers"": 1 ""Contentid"": 912163 ""Subsite"": {""Id"": 199124 ""Name"": ""U041FU0440U0438U0451U043DU0430U0444F"" AVATAR "":"" https://leonardo.osnova.io /08FF68AD-2175-51FB-8ADC- A56F40AC6"&amp;"FFA/""URL"": ""https://vc.ru/claim"" ""Type"": 2} ""Place"": ""Feed"" ""Ishidden"": FALSE ""Count_Likes"": 4 ""COUNT_DISLIKES"": NULL ""GTM"": ""Popular U2014 Feed item"" ""Action"": ""Dislike"" ""Size"": ""Default""}} Education to order all the Events CH"&amp;"ATGPT Neuromarket yesterday to listen to {""Isshowsubedbutututonlabels"": True ""Subsit EID "": 1872372"" ISSHOWNOTICATIONSBUTTON "": FALSE"" Issubscribed "": FALSE ""IsnotificationSenAbled"": FALSE ""TYPE"": ""Full"" ""ButtontonType"": ""Inline"" ""Size"&amp;""": ""Tiny"" ""Mobilesize"": """" Subscribettonicon "":"" V_follow """" Isshortonmobil E "": FALSE"" GTM "":"" Subscribe Sugggetation U2014 Anon Fed item ""Subscribegtmclicks"": [""Subscribe Suggget U2014 Anon Feed U2014 Clicked"" Feed U20 Lick ""]} I use"&amp;"d ChatGPT every day for 5 months. Here are some hidden opportunities that will change your life as ChatGPT is growing, many are accustomed to its standard functions and use it for various purposes. However, many are not aware that this AI has a number of "&amp;"additional capabilities that are not limited to writing texts and code. 7.4K -boxes 4.5K openings {""Likedata"": {""Id"": 911300 ""Type"": 1 ""Typestr"": ""Content"" ""state"": 0 ""WithUSERS"": 1 ""Contentid"": 911300 ""Subsite"": {""Id"": 1872372 ""NAME"&amp;""": ""CHATGPT"" ""AVATAR"": ""https://leonardo.osnova.io/fc56aaaa4-cb0c-5F37-B6BA -94BC8F336926/""URL"": ""https://vc.ru/chatgpt"" ""Type"": 2} ""PLACE"": ""FEED"" ""ISHIDDEN"": FALSE ""Count_Likes"": 72 ""Count_DisLikes"": NULL ""GTM"" : ""Popular U2014 "&amp;"Feed item"" ""Action"": ""Like"" ""Size"": ""Default""} {""Id"": 911300 ""Type"": ""Num"" ""Link"": ""https://vc.ru/chatgpt /911300-IA-Polzovalsya-ChatGPT-KAZHDYY-DEN-V-TECHENIE-5-MESYACEV-VOT-SKRYEE-VOZMOZHNOSHNOSHNOSHNOSHNOSHNOSHNYAT-VASHUSHUSHUS LAR U2"&amp;"014 Feed item U2014 Comments U2014 Click ""Prevcount"": Null ""Count"": 27 ""Isauthorized"": False} {""Contentid"": 911300 ""Count"": 0 ""Isreposted"": FALSE ""GTM"": ""Popular U20 k ""} {"" ID "": 911300"" Type "": 1"" TyPestr "":"" Content """" showTitl"&amp;"e "": false"" initialstate "": {"" Isactive "": FALSE}"" GTM "":"" Popular U2014 Faed to Favorites u2014 Click ""} { ""ID"": 911300 ""GTM"": ""Popular U2014 Feed item U2014 Share U2014 Click""} {""LikeData"": {""ID"": 911300 ""Type"": 1 ""TyPestr"": ""Con"&amp;"tent"" ""STETE"": 0 ""WhatHusers"" "": 1"" Contentid "": 911300"" Subsite "": {"" ID "": 1872372"" NAME "":"" CHATGPT """" AVATAR "":"" https://leonardo.osnova.io/fc56aaa4- CB0C-5F37-B6BA-9BC8F336926/ ""URL"": ""https://vc.ru/chatgpt"" ""type"": 2} ""Plac"&amp;"e"": ""Feed"" ""Ishidden"": FALSE ""Count_Likes"": 72 ""Count_Dislikes"": NULL ""GTM"": ""Popular"" U2014 Feed item ""Action"": ""Dislike"" ""Size"": ""Default""}} {""Osnovaunitid"": null ""url"": ""https://boosnova.io/a/relevant?site=vc&amp;v=2 ""Place"": """&amp;"Index_fed"" ""site"": ""vc"" ""settings"": {""modes"": {""externallink"": {""buttonlabels"": [""u0423u0437u0430u0442u044c"" U0427u0438U04 42U0430U0442U044C """" U041DU0430U0447U0430U0442U044C """" U0417U0430U043AU0430U0437U0442U044C ""U041AU043U043FU0438U"&amp;"042U044C"" ""U041FU043EU043BU0443U04447U0438U0442U044C"" ""U0421U04330U04447U0430U0442U044C"" ""U041FU0435U0444435U0439U0442U0438""]} ""DV icelist "": {"" desktop "":"" U0414U0435U0441U043AU0442U043EU043F """" Smartphone "":"" U0421U0430U0URU04440U0442U04"&amp;"4U043DUU0444B ""Tablet"" Tablet ""Tablet"" u04 ""u04 1FU043BU0430U043DU04448U0435U0442U044IB}} Dmitry Begovatov Dmitry Begovatov yesterday {""Isshowsubscribedbututtonlabels"": True ""Subsiteid"": 199116 ""Isshanotificationsbutton"": FALSE ""Issubscribed"""&amp;": FALSE ""ISNOTICATIONSENABLED"": FALSE ""TYPE"": ""Full"" ""Butttontontype"": ""InLine"" ""SIZE"" ""SIZE"" ""SIZE"" : ""Tiny"" ""Mobilesize"": """" ""Subscribettonicon "":"" V_FOLLOW """" ISSHORTONMOBILE "": FALSE"" GTM "":"" Subscribe Sugggetation U2014"&amp;" Anon Feed item """" SubscribeGtMCLICS "": ["" Subscribe Suggget U20 Licked ""Feed item U2014 Subscribe Button U2014 Click""] On VC.ru we share in the comments with links to our projects and comment on strangers! 👉 A new platform for promoting online pro"&amp;"jects Product Radar 14Ks1.8K openings {""LikeData"": {""Id"": 911564 ""Type"": 1 ""TyPestr"": ""Content"" ""STATE"": 0 ""Whathusers"": 1 ""Contentid"": 911564 ""Subsite"": {""ID"": 199116 ""NAME"": ""U0422U0440U0438U0431U0443U043DU0430"" Avatar "":"" http"&amp;"s://leonardo.osnova.io/04607ca7-338b-561e- 9403 -3F06A70EF789/"""" URL "":"" https : //vc.ru/tribuna ""Type"": 2} ""Place"": ""Feed"" ""Ishidden"": FALSE ""Count_Likes"": 69 ""Count_Dislikes"": NULL ""GTM"": ""Popular U2014 Feed item"" ""Action"" ""Action"&amp;""" : ""Like"" ""Size"": ""Default""} {""Id"": 911564 ""Type"": ""Num"" ""Link"": ""https://vc.ru/tribuna/911564-subbotniy-samopiar-na-va-vs -ru """" GTM "":"" Popular U2014 Feed item u2014 Comments U2014 Click """" Prevcount "": Null"" Count "": 157"" Isa"&amp;"uthorized "": False} {"" Contentid "": 911564"" Count "": 0"" ISREPOSTE "": 0"" ISREPOS D "": FALSE"" gtm"":""Popular u2014 Feed Item u2014 Repost u2014 Click""}             {""id"":911564""type"":1""typeStr"":""content""""showTitle"":false""initialState"&amp;""":{""isActive"":false}""gtm "":"" Popular U2014 Feed item U2014 Add to Favorites U2014 Click ""} {"" Id "": 911564"" GTM "":"" Popular U2014 Feed U2014 Share U2014 Click ""{"" LikeData "": {"" Id "": 9115664: 9115664: 9115664: 9115664 ""Type"" :1""typeSt"&amp;"r"":""content""""state"":0""withUsers"":1""contentId"":911564""subsite"":{""id"":199116""name"":""u0422u0440u0438u0431u0443u043du0430""""avatar"":""https:// leonardo.osnova.io/04607CA7-338B-561E-9403-3F06A70EF789/""URL"": techtps://vc.ru/tribuna""""nype"""&amp;":2 ]""plaque"":2 | ""Count_Likes"": 69 ""Count_Dislikes"": NULL ""GTM"": ""Popular U2014 Fed item"" Action "":"" Dislike """" Size "":"" Default ""}} {"" ISREGARDCPUCOMPUMPUMPLETE "": FALSE"" HASACE "": FALSE"" HASACE cess "": false} [{ ""ID"": 1 ""Label"&amp;""": ""Header 100%X250:"" ""Provider"": ""Adfox"" ""Adaptive"": [""Desktop""] ""Adfox_Method"": ""Createadaptive"" ""Auto_reload"": True ""Adfox"": {{{{{{{ ""Ownerid"": 228129 ""Params"": {""PP"": ""G"" ""PS"": ""BUGF"" ""P2"": ""EZFL""}} ""Distribution"":"&amp;" ""Top-Desktop""} {""ID"": 2 "" Label: ""Header 1200x400/600:"" ""Provider"": ""Adfox"" ""Adaptive"": [""Phone""] ""Adfox_Method"": ""Createadaptive"" ""Auto_reload"": True ""Adfox"": {""Ownerid"": 228129 "" Params "": {"" pp "":"" g """" PS "":"" Bugf """&amp;""" P2 "":"" Ezfn ""}}"" Distribution "":"" Top-Mobile ""} {"" Id "": 4"" Label "":"" Article Branding Top ""Provider"": ""Adfox"" ""Adaptive"": [""Desktop""] ""Adfox_Method"": ""Createadaptive"" ""Adfox"": {""Ownerid"": 228129 ""Params"": {""P1"": ""Cfovx"&amp;""" ""P2"" ""P2"" : ""Glug""}}} {""Id"": 5 ""Label"": ""300x600: D"" Provider "":"" Adfox """" Adaptive "": ["" Desktop ""]"" Adfox_Method "":"" Createadaptive """" Adfox "": {{{{ ""Ownerid"": 228129 ""Params"": {""PP"": ""G"" ""PS"": ""Bugf"" ""P2"": ""Ez"&amp;"fk""}} ""Distribution"": ""Right-Sidebar"" {""ID"": 6 "" Label "":"" ABOVE The Comments: """" Provider "":"" Adfox """" Adaptive "": ["" Desktop ""]"" Adfox_Method "":"" Createadaptive """" Ownerid "": 228129"" PARAMS "": {"" PP "": H"" ""PS"": ""Bugf"" "&amp;"""P2"": ""Ffyh""}} ""Distribution"": ""Before-Comments-Desktop"" ""Analytics"": ""Adfoxrecount U2014 1020 U2014 Show""} {""It"": 7 ""Label"": ""ABOVE The Comments:"" ""Provider"": ""Adfox"" ""Adaptive"": [""Tablet"" ""Phone""] ""Adfox_Method"": ""Createad"&amp;"aptive"" ""Ownerid"": 228129 ""Params"" : {""P1"": ""BWKPG"" ""P2"": ""FJXB""}} ""Distribution"": ""BeFore-Comments-Mobile""} {""ID"": 12 ""Label"": ""Topbar Button: D"" Provider "": ""Adfox"" ""Adaptive"": [""Desktop""] ""Adfox_Method"": ""Createadaptive"&amp;""" ""Adfox"": {""Ownerid"": 228129 ""Params"": {""P1"": ""BSCSH"" ""P2"": ""FDHX""}}}}}} } {""Id"": 13 ""Label"": ""in article:"" ""Provider"": ""Adfox"" ""Adaptive"": [""Phone""] ""Adfox_Method"": ""Createadaptive"" ""adfox"": ""Ownerid"": 228129 ""Param"&amp;"s"": {""PP"": ""H"" ""PS"": ""Bugf"" ""P2"": ""Flvn""}} ""Analytics"": ""AdfoxRecount U2014 300 U2014 show""} {""Id"": 15 ""Label"": ""In-Feed Teaser: DM"" Provider "":"" Adfox """" Adaptive "": ["" Desktop """" Tablet """" Phone ""]"" Adfox_Method "":"" "&amp;"Createadaptive """" Ownerid "": 228129"" Params "" : {""P1"": ""Byudx"" ""P2"": ""ftjf""}}} {""Id"": 16 ""Label"": ""Topbar Button: M"" Provider "":"" Adfox """" Adaptive "": ["" Tablet "" ""Phone""] ""Adfox_Method"": ""Createadaptive"" ""Adfox"": {""Owne"&amp;"rid"": 228129 ""Params"": {""P1"": ""Byzqf"" ""P2"": ""FTWX""}} {""ID"": 17 "" Label "":"" Stratum: D ""Provider"": ""Adfox"" ""Adaptive"": [""Desktop""] ""Adfox_Method"": ""Createadaptive"" ""Auto_reload"": True ""adfox"": {""Ownerid"": 228129 ""Params"""&amp;" : {""PP"": ""G"" ""PS"": ""Bugf"" ""P2"": ""FZVB""}}} {""Id"": 18 ""Label"": ""Stratum: M"" ""Provider"": ""Adfox"" ""Adaptive"" : [""Tablet"" ""Phone""] ""Adfox_Method"": ""Createadaptive"" ""Auto_reload"": True ""Adfox"": {""Ownerid"": 228129 ""Params"&amp;""": {""PP"": ""PS"": ""BUGF"" ""P2"": ""FZVC""}}} {""Id"": 19 ""Label"": ""Under the News Teaser: DM"" ""Provider"": ""Adfox"" ""Adaptive"": [""Desktop"" ""Tablet"" ""Phone""] ""Adfox_Method"": ""Createadaptive"" ""Auto_reload"": True ""Adfox"": {""Owneri"&amp;"d"": 228129 ""Params"": {""P1"": ""CBLTD"" ""P2"": ""GAZS""}} {""ID"": 20 ""Label"": ""Leftbar Button:"" ""Provider"": ""Adfox"" ""Adaptive"": [""Desktop""] ""Adfox_Method"": ""Createadaptive"" ""Adfox"": {""228129"" Params "":"" P1 ""P1"" P1 "":"" CGXMR "&amp;""""" P2 "":"" GNWC ""}} {"" Id "": 21"" Label "":"" Header MicroteSer: D ""Provider"": ""Adfox"" ""Adaptive"": [""Desktop""] ""Adfox_Method"" : ""Createadaptive"" ""Adfox"": {""Ownerid"": 228129 ""Params"": {""PP"": ""G"" ""PS"": ""BUGF"" ""P2"": ""gtjk"""&amp;"}} {""ID"": 23 "" Label: “In Article: D“ Provider ”:“ Adfox ”“ Adaptive ”: [“ Desktop ”]“ Adfox_Method ”:“ Createadaptive “Adfox”: {“Ownerid”: 228129 “Params”: “PP” : “G” “PS”: “BUGF” “P2”: “HIIG”}} {“ID”: 26 “Label”: “For test:“ “Provider”: “Adfox” “Adap"&amp;"tive”: [”["" desktop ""]"" adfox_Method "":"" Createadaptive """" adfox "": {"" Ownerid "": 228129"" Params "": {"" PP "":"" PS "":"" BUGF """" P2 "":"" ICBJ ""}} { ""ID"": 27 ""Label"": ""For test:"" ""Provider"": ""Adfox"" ""Adaptive"": [""Tablet"" ""Ph"&amp;"one""] ""Adfox_Method"": ""Createadaptive"" ""Adfox"": {""Ownerid"": 228129 ""Params"": {""PP"": ""G"" ""PS"": ""Bugf"" ""P2"": ""ICBN""}} {""ID"": 28 ""Label"": ""For test: dm"" ""Provider"": ""Adfox"" ""Adaptive"": [""Desktop"" ""Tablet"" ""Phone""] ""A"&amp;"dfox_Method"": ""Createadaptive"" ""Adfox"": {""Ownerid"": 228129 ""Params"": {""PP"": ""G"" PS """" PS """" PS "" : ""Bugf"" ""P2"": ""ICBO""}} {""ID"": 31 ""Label"": ""300x600 Screen 2: D"" Provider "":"" Adfox """" Adaptive "": ["" Desktop ""]"" Adfox_"&amp;"Method "" : ""Createadaptive"" ""Adfox"": {""Ownerid"": 228129 ""Params"": {""PP"": ""G"" ""PS"": ""BUGF"" ""P2"": ""fizc""}}}] {""Token"": """" """" ""Token"": """" eyjpbnrlz3jhdglvbklkijoiimfmnjq4mmutmmy3z00mzg4lweyzgytmdjkyjk2zmizmizomizmizmizmizmizmiz"&amp;"cmvcmv0ijoimtfjNJRJNSTMWUXLTLTLMNGTLMNTKZMTKZMTKTKTKTK1 Ogq1ntziin0 = """" Release "":"" a1f39f4a ""} null")</f>
        <v>vc.ru - business technology ideas for the growth model of startup {"ISREGARDCPUCOMPLETE": FALSE "HASACCESS": FALSE} {"ENABLENEWSWIDGET": True} Received Anton 9 hours listen to {"Isshowsubedbututonlabels": True "sub SITEID ": 199124" ISSHOWNOTICATIONSBUTTON ": FALSE "Issubscribed": FALSE "IsnotificationSenAbled": FALSE "Type": "Full" "Buttontony": "Inline" "Size": "Tiny" "Mobilesize": "" "Subscribesttontonic": "V_fol Low "Isshortonmobile": False " GTM ":" Subscribe Sugggeation U2014 Anon Feed item "" Subscribegtmclicks ": [" Subscribe Suggget U2014 Anon Fed ITEM U2014 Clicked "" Feed ITEM U20 Ton U2014 Click "]} I suspect Ozon of fraud Hello. I have not been here before, but I often read articles here and I know that the resonance can be raised good .. #Claim #complaint -zone12k -baches2k openings1 REPOST {"LIKEDATA": {"ID": 912071 "Type": 1 "TyPestr": "Content" "STETE": "STETE": 0 "WithUSERS": 1 "Contentid": 912071 "Subsite": {"Id": 199124 "Name": "U041FU0440U0438U0451U043DU0430U0444F" AVATAR ":" https://leonardo.osnova.io /08FF68AD-2175-51FB-8ADC -A56F40AC6FFA/"URL": "https://vc.ru/claim" "Type": 2} "Place": "Feed" "Ishidden": FALSE "Count_Likes": 32 "Count_DisLikes": Null "GTM" : "Popular U2014 Feed item" Action ":" Like "" Size ":" Default "}} {" Id ": 912071" Type ":" Num "" Link ":" https://vc.ru/claim /912071-Podozrevayu-Zon-V-Moshennichestve "GTM": "Popular U2014 Fed item U2014 Comments U2014 Click" "Prevcoud": NULL "COUNT": 110 "ISAUTHORIZED": FALSE} {"Contentid": 912071 "Count" : 1 "Isreposted": false "gtm": "Popular U2014 Feed item U2014 Repost U2014 Click"} {"Id": 912071 "Typstr": "Content" "Showtitle": FALSE "Initialstate": {{ "ISACTIVE": FALSE} "GTM": "Popular U2014 Feed Item U2014 Add to Favorites U2014 Click"} {"ID": "GTM": "Popular U2014 Fed U2014 Share Share U20 edata ": { "ID": 912071 "Type": 1 "Typestr": "Content" "stat": 0 "Whathusers": 1 "Contentid": 912071 "Subsite": {"ID": 199124 "NAME": "U041FU0438U0451U043CU043D U0430U044F "" avatar ":" https://leonardo.osnova.io/08FF68AD-2175-51FB-8ADC-A56F40AC6FFA/ "" URL ":" https://vc.ru/claim "" Type ": 2}" PLACE ": "Feed" "Ishidden": FALSE "Count_Likes": 32 "Count_dislikes": Null "gtm": "Popular u2014 feed item" "Action": "Dislike" "Size": "Default"} {"OSNOVA Unitid ": null "URL": "https://booster.osnova.io/a/relevant?site=vc&amp;v=2" Place ":" Index_Feed ":" VC "" Settings ": {" Modes ": {" {" Externallink ": {" Buttonlabels ": [" U0423U0437U043DU0430U0442U044C "" U0427U0438U042U0430U0442U044C "" U041DU04447U0430U0US 17U0430U043AU0430U0437U0430U0442U044C "U041AU0443U043FU0438U0442U044C" "U041FU043BU04443U0447U0438U042U044C" U0421U043AU04 30U0447U0430U0442U044C "U041FU0435U0440URU0435U0439U0442U0438"]}} "DEVICTOP": "DESKTOP": "U0414U0435U043AU04442U043EU043F" " Martphone ":" U0421u043cu0430u0444444442U04444443EU043DU0444B "" Tablet ":" U041FU043BU0430U0448U0435U0442U0442U "}} The right to real estate yesterday listen to {" ISSHOWESBSCR Ibedbuttonlabels: True "Subsiteid": 199120 "Isshanotificationsbutton": FALSE "Issubscribed": FALSE "IsnotificationSenAbled" Type ":" " Full "" Buttontype ":" Inline "" Size ":" Tiny "" Mobilesize ":" "Subscribebuttonicon": "V_follow" "ISSHORTONMOBILE": FALSE "SUBSCRIBE SUGGETION UF Onfed item "Subscribegtmclicks": ["Subscribe Sugggetation U2014 Anon Feed ITEM U2014 Clicked" "Feed item U2014 Subscribe Button U2014 Click"]} Short-term rental rental: you can not resolve short-term rental of housing just somehow crookedly. One of the initiatives is to give the owners of the entrance the right to allow or prohibit it. If 75% of the votes will not be against the apartments for rent there. 17K -cancer 4K openings1 Rurepost {"LikeData": {"Id": 911965 "Type": 1 "Typestr": "Content" "state": 0 "Whathusers": 1 "Contentid": 911965 "ID": "ID": 199120 " NAME ":" U041FU0440U0430U0432U043E "" AVATAR ":" https://leonardo.osnova.io/66a239D6-5E14-B060-ABA72E356B5B5IB/ "" "URL": "https://vc.ru//legal" "" Type " : 2} "Place": "Feed" "Ishidden": FALSE "Count_Likes": 27 "Count_DisLikes": NULL "GTM": "Popular U2014 fed item" "Action" "Size": "Default"} } {"ID": 911965 "Type": "Num" "Link": "https://vc.ru/legal/911965-kratkosrochnaya-kvartir-zapretit-neelzya-nergulirovat" GTM ":" Popular u2014 Feed item U2014 Comments U2014 Click "Prevcount": Null "Count": 203 "Isauthorized": FALSE} {"Contentid": 911965 "Counsted": 1 "ISREPOSTEDD": FALSE "GTM": "Popul AR U2014 Feed item U2014 Repost U2014 Click "} {" Id ": 911965" Type ": 1" TyPestr ":" Content "" Showtitle ": FALSE" Initialstate ": {" ISACTIVE ": FALSE}" GTM ":" POPULAR U2014 Feed u2014 Add TO20 Favorites U2014 Click "} {" Id ": 911965" GTM ":" Popular U2014 Fed item U2014 Share U2014 Click "{" LikeData ": {" ID ": 911965" TyPestr ":" Content "" "" "" "" " STET ": 0" WithUSERS ": 1" Contentid ": 911965" Subsite ": {" Id ": 199120" NAME ":" U041FU0440U0430432U043E "" AVATAR ":" https://leonardo.osnova.io/6a239D6 -25EE- 5e14-b06060-BA72E356B5B5B/"" URL ":" https://vc.ru/legal "" type ": 2}" Place ":" Feed "" Ishidden ": FALSE" Count_LIKES ": 27" Count_DisLikes ": NULLLL "GTM": "Popular U2014 Feed item" "Action": "Dislike" "Size": "Default"}} ChatGPT Neuromarket yesterday to listen to {"Isshowsubscristonlabels": True "Subsiteid": 187 2372 "ISSHOWNOTICATIONSBUTTON": FALSE "Issubscribed": FALSE "IsnotificationSenAbled": FALSE "TYPE": "Full" "ButtontonType": "Inline" "Size": "Tiny" "Mobilesize": "" Subscribettonicon ":" V_follow "" Isshortonmobil E ": FALSE" GTM ":" Subscribe Sugggetation U2014 Anon Fed item "Subscribegtmclicks": ["Subscribe Suggget U2014 Anon Feed U2014 Clicked" Feed U20 Lick "]} Openai released the GPT-4 Turbo with a cheaper API and a context window for 128 thousand tokens Only eight months after the launch of GPT-4, Openai introduced the updated GPT-4 Turbo model with a context window in which you can place a 300-page book and cheaper access to API.1.9K openings {"LikeData": {"ID": 911997 "Type": 1 "Typestr": "Content" "state": 0 "WhatHusers": 1 "Contentid": 911997 "Subsite": {"ID": 1872372 "NAME": "CHATGPT" "AVATAR": "HTTPS : //leonardo.osnova.io/FC56AAA4-CB0C-5F37-B6BA-94BC8F336926/ "URL": "https://vc.ru/chatgpt" Type ": 2}" PLACE ":" FEED "" Ishidden ": False" Count_Likes ": 47" Count_dislikes ": Null" GTM ":" Popular u2014 feed item "" Action ":" Like "" Size ":" Default "} {" Id ": 911997" Type ":" Type ":" "" Type ":" "" "" Num "" Link ":" https://vc.ru/chatgpt/9111997-openai-vypustila-4-turbo-s-deshevym-pi-i-kontekstnym-oknom-28-tsyach-tokenovov "GTM": "Popular U2014 Feed item U2014 Comments U2014 Click" "Prevcount": Null "Count": 34 "Isauthorized": FALSE} {"CONTENTID": 911997 "COUNT": 0 "ISREPOS : false "gtm" : "Popular U2014 Feed item U2014 Repost U2014 Click"} {"Id": 911997 "Type": 1 "TyPestr": "Content" "Showtitle": FALSE "ISACTIVE": FALSE} "GTM": "Popular U2014 Feed item U2014 Add to Favorites U2014 Click"} {"Id": 911997 "GTM": "Popular U2014 Fed U2014 Share U2014 Click"} {"Likeedata": {"Id": 9111997 "T YPE ": 1 "TyPestr": "Content" "state": 0 "Whousers": 1 "Contentid": 911997 "Subsite": {"Id": 1872372 "Name": "Chatgpt" "Avatar": "https: // leonardo. osnova.io/fc56aaa4-cb0c-5f37-b6ba-94bc8f336926/""ularript":"https://vc.ru/chatgpt""ularape":2 ]"place":"ishiddenetic":false"count_likes ": 47" Count_Dislikes ": NULL" GTM ":" Popular U2014 Feed item "" Action ":" Dislike "" Size ":" Default "}} What to read Artem Kabanov 9 hours to listen to {" Isshowsbscribedbuttonlabelbelbelbelbelbelbelbelbelbelbelbelbelb S ": True" Subsiteid " : 345049 "Isshownotificationsbutton": FALSE "Issubscribed": FALSE "Isnotification" Type ":" Full "" Buttontype ":" Inline "" SIZE ": Tiny" "Mobil" "Mobil Esize ":" "Subscribettonicon": "V_follow "ISSHORTONMOBILE": FALSE "GTM": "Subscribe Suggheation U2014 Anon Fed item" "Subscribegtmclics": ["Subscribe SuggGges u2014 Anon Fed It20 Ed item U2014 Subscribe Button U2014 Click "]} At the beginning of the last century, there was a scientific And he was of high quality. A review of the book of 1913 is perhaps even better than modern. See which book I have recently grinded. I read it sincerely and is now ready to share it on VC with all the fans of scientific. 4.4K -canzes528 Options of opening1 Rurepost {"Likedata": {"Id": 912096 "Type": 1 "TyPestr": "Content" "state": 0 "Whathusers": 1 "Contentid": 912096 "ID": {"ID": 345049 "NAME": "U0427U0442U043E U043FU043EU0447U0438U0442U0430U0442U044C" "Avatar": "https://leonardo.osnova.io/ea0b-5e28-595-BBD1-6C5C5C5C5C 4ac496d/"" URL ":" https://vc.ru/books "" Type: 2} “Place”: “Feed” “Ishidden”: False “Count_Likes”: 17 “Count_DisLikes”: NULL “GTM”: “Popular U2014 Feed item” “Like” “Size”: “DEFAUL”: DEFAULT "}} {" Id ": 912096" Type ":" Num "" Link ":" https://vc.ru/books/912096-v-nachale-proshlogo-veka-byl-nauchpop-on-on-by -kachestvennym -obzor-knigi-1913-goda "GTM": "Popular U2014 Fed item U2014 Comment U2014 Click" "Prevcount": Null "Count": 5 "ISAUTHORIZED": FALSE} {"CONT Entid ": 912096" Count " : 1 "Isreposted": false "gtm": "Popular U2014 Feed Item U2014 Repost U2014 Click"} {"Id": 912096 "Typstr": "Content" "Showtitle": FALSE "Initialstate": {{ "ISACTIVE": FALSE} "GTM": "Popular u2014 Feed item U2014 Add to Favorites U2014 Click"} {"ID": "GTM": "Popular U2014 Fed U2014 Share Share U2014 Click" {"Lik edata ": { "ID": 912096 "Type": 1 "TyPestr": "Content" "stat": 0 "Whathusers": 1 "Contentid": 912096 "Subsite": {"ID": 345049 "NAME": "U0427U042U043E U043FU043EU043EU04 7u0438U0442U0430U0442U044C " "Avatar": "https://leonardo.osnova.io/ea031f0b-5e28-5955-bbd1-6c5c5c496d/" "url": "https://vc.ru/books" "type": 2} "Place" : "Feed" "Ishidden": False "Count_Likes": 17 "Count_dislikes": Null "GTM": "Popular U2014 Feed ITEM" "Action": "Dislike" "Size": "Default"} Olga Bondarenko 4 Hours { "IsshowsubscribedbuttonLabels": True "Subsiteid": 2569457 "Isshanotificationsbutton": FALSE "ISSUUBSCRIBED": FALSE "Isnotification": FALSE "Type": "" "" "" "" "" "" "" "" "" "" "" "" "" "" "" "" "" "" "" "" "" "" "" "" "" "" " Full "" Buttontype ":" Inline "" Size ":" Tiny "" Mobilesize ": "Subscribebuttonicon": "V_FOLLOW" "ISSHORTONMOBILE": FALSE "GTM": "Subscribe Suggget ITED ITEM" "Subscribtmclicks": [Subscribe Sugggget Ion U2014 Anon Feed item U2014 Clicked "Feed item U2014 Subscribe Button U2014 Click" ]} August Buro - we are developing at home and interiors for august person! 326 orders25 openings {"LikeData": {"Id": 912277 "Type": 1 "TyPestr": "ConTENT" "STATE": 0 "Whousers": 1 "Contentid": 912277 "Subsite": {"ID": 2569457 " NAME ":" U041EU043BU0444CU0433U0430 U0411U043EU043DU043430U04440U0U0UU0435U043DU043AU043E "AVATAR": "https://leonardo.osnova.io/199f9e86-cb A7-5B80-A748-0EB18563D48F/"" URL ":" https://vc.ru/u/2569457- Olga-Bondarenko "Type": 1} "Place": "Feed" "Ishidden": FALSE "COUNT_LIKES": 3 "COUNT_DISLIKES": NULL "GTM": "Popular u2014 feed item" "Action": Like "" " Size ":" Default "}} {" Id ": 912277" Type ":" Num "" Link ":" https://vc.ru/u/2569457-olga-bondarenko/912277 "GTM": "Popular" U2014 Feed item U2014 Comments U2014 Click "Prevcount": Null "Count": 1 "Isauthorized": FALSE} {"Contentid": 912277 "ISREPOSTED": FALSE "GTM": Pop: "Pop" Ular U2014 Feed item U2014 Repost u2014 Click"}             {"id":912277"type":1"typeStr":"content""showTitle":false"initialState":{"isActive":false}"gtm":"Popular u2014 Feed Item u2014 Add To Favorites U2014 Click "} {" Id ": 912277" GTM ":" Popular u2014 Feed item U2014 Share U2014 Click "{" LikeData ": {" Id ": 912277" TyPestr ":" Content " "state": 0 "Whathusers": 1 "Contentid": 912277 "Subsite": {"ID": 2569457 "NAME": "U041EU043BU0433U0430 U0411U043DU0434URU04U0URU0U04355U04 3DU043AU043E "Avatar": "https://leonardo.osnova.io/199f9e86- CBA7-5B80-A748-0EB18563D48F/"URL": "https://vc.ru/u/2569457-olga-bondarenko" Type ": 1}" Place ":" Fed "" Ishidden ": FALSE" Count_LIKES ": 3" Count_dislikes ": Null" GTM ":" Popular u2014 feed item "" Action ":" Dislike "" Size ":" Default "}} Vacancy all the vacancies is overheard AI 7 hours {" ISSHOWESBSCRI Bedbuttonlabels: True " Subsiteid ": 199118" ISSHOWNOTICATIONSBUTON ": FALSE" Issubscribed ": FALSE" Isnotification "Type": "Full" "ButtontonType": "Inline" "Size": "Size" y "" Mobilesize ":" "" Subscribettonicon ": "V_FOLLOW" "ISSHORTONMOBILE": FALSE "GTM": "Subscribe Suggget U2014 Anon Feed item" "Subscribegtmclicks": ["Subscribe SuggGges U2014 Anon Fed item U20 KED "Feed item U2014 Subscribe Button U2014 Click"]} New space industry : The restroom and spa for space tourists Space spa “three in one” called “Space Spa” is located in space on one side of the capsule of the Neptune spacecraft next to the recreation area. Eight passengers and the captain will be able to enjoy luxury in outer space. 3.5K -cancer317 Options {"LikeData": {"Id": 885746 "Type": 1 "Typestr": "Content" "state": 0 "Whousers": 1 "Contentid": 885746 "ID": {"ID": 199118 "NAME": "U0411U0443U0434U04443U0449U0435U0435" "Avatar": "https://leonardo.osnova.io/64d1192b-d0a7-553E-B43B9B9EAF59B6/" URL ":" HTTT "HTTT" HTTT "HTTT" HTTT "HTTT" HTTT PS: //vc.ru/future "Type ": 2}" Place ":" Feed "" Ishidden ": False" Count_Likes ": 6" Count_dislikes ": Null" GTM ":" Popular U2014 Feed item "" Action "" Size ":" Default " }} {"ID": 885746 "Type": "Num" "Link": "https://vc.ru/future/885746-novinka-industrii-Ubornay-spa-dlya-kosmicheskih-turistov" "gtm":"Popular u2014 Feed Item u2014 Comments u2014 Click""prevCount":null"count":4"isAuthorized":false}             {"contentId":885746"count":0"isReposted":false"gtm": "Popular U2014 Feed item U2014 Repost U2014 Click"} {"Id": 885746 "Type": 1 "TyPestr": "Content" "showtitle": false "initialstate": {"ISACTive": false} "gtm": "gtm" " Popular U2014 Feed item U2014 Add to Favorites U2014 Click "} {" Id ": 885746" GTM ":" Popular U2014 Fed U2014 Share U2014 Click "{" LikeData ": {" ID ": 8855746" TY "TY" TY ": 8855746" TY "TY" TY Pe ": 1" TyPestr ":" Content "" state ": 0" Whousers ": 1" Contentid ": 885746" Subsite ": {" ID ": 199118" NAME ":" U0411U0443U043U0443U0435U0435 "Avatar": "HTTAR": "HTTP S: //leonardo.OSNOVA .io/64D1192B-D0A7-553E-B439-D3B9EAF59B6/"URL": "https://vc.ru/future" "Type": 2} "PLACE": "FEED" "ISHIDDEN": FALSE "COUNT_LIKS" : 6 "Count_Dislikes": Null "GTM": "Popular U2014 Feed item" "Action": "Dislike" "Size": "Default"}} {"Osnovaunitid": Null "URL": "https: // boos. osnova.io/a/relevant?site=vc&amp;v=2 "Place": "Index_feed" "Site": "VC" "Settings": {"Modes": "Externallink": {"Buttonlabels": ["U0423U0437UUS 0430U0442U044C "" U0427U0438U0442U0430U0442U044C "" U041DU0430U0447U0430U0442U044C "" U0417U0433AU0430U0437U0430U0442U044C "U041AU043U043FU0438UU 0442U044C "U041FU043EU043BU0443U0447U0438U0442U044C" "U0421U043AU0430U04430U0442U044C" "U041FU0435U0440U0U0URU0US "]}}" Devicelist ": {" Desktop ":" U0414U0435U0441U043AU0442U043EU043F "" Smartphone ":" U0421U043cu0430U0U044444U043EU043DUU044B "" T Ablet ":" U041FU043BU0430U043DU0448U0435U0442U04444B "}}} Receiving Alena Altergot 6 hours {" Isshowsubscribedbuttonlabels ": True" Subsiteid ": 199124" Isshownotificationsbutton ": FALSE" ISSUBSCRIBED ": FALSE" ISNOTICATIONS Enabled ": False" Type ":" Full "" Buttontype ":" Inline "" Size ":" Tiny "" Mobilesize ":" "Subscribebuttonicon": "V_FOLOLOW" "ISSHORTONMOBILE": FALSE "GTM": "Subscribe SuggGges U2014 Anon Feed item" "SubscribeGtMCL ICKS ": [" Subscribe Sugggetation U2014 Anon Feed ITEM U2014 Clicked "" Feed item U2014 Subscribe Button U2014 Click "]} Avito blocked the profile due to violations, although when communicating with the manager Avito, we were told that there were no violations today on November 11, 2023 at 22:58 Avito blocked the profile of our company without the right to recovery. 1k -canzaz77 openings {"LikeData": {"ID": 912210 "Type": 1 "TyPestr": "Content" "state": 0 "Whousers": 1 "Contentid": 912210 "Subsite": {"ID": 199124 " NAME ":" U041FU0440URU0438U0451U043CU043DU0430U044F "" AVATAR ":" https://leonardo.osnova.io/08FF68AD-2175-51FB-8ADC-A56F40AC6FFA/ "" URL ":" HTTTP "http S: //vc.ru/claim "Type" : 2} "Place": "Feed" "Ishidden": False "Count_Likes": 4 "Count_dislikes": Null "GTM": "Popular U2014 Feed item" "Action": "Like" "Size": "Default"} } {"ID": 912210 "Type": "Num" "Link": "https://vc.ru/claim/912210-Vito-zablokiroval-za-za-narushheniy-pri-obshcheni-shcheni-S -MENEDZHOROM-AVITO-NAM-SKAZALI-HHTO-NARUSHENII-NET "GTM": "Popular U2014 Feed item U2014 Click" Prevcount ": Null" Count ": 3" ISAUTHORIZED ": Falle se} {"concentid": 912210 "Count": 0 "Isreposted": FALSE "GTM": "Popular U2014 Fed Item U2014 Repost U2014 Click" {"Id": 912210 "Type": 1 "Typestr": "Content" "Showtitle": FALSE ": FALSE": FALSE " InitialState: {"ISACTIVE": FALSE} "GTM": "Popular U2014 Feed U2014 Add to Favorites U2014 Click" {"Id": 912210 "GTM": "POPULAR U2014 Feed ITEM U20 Click "} {" LikeData: {"Id": 912210 "Type": 1 "TyPestr": "Content" "state": 0 "Withusers": 1 "Contentid": 912210 "Subsite": {"ID": 199124 "NAME": "U041FU04440438U0451U043CU043DU0430U044F" "Avatar": "https://leonardo.osnova.io/08FF68AD-2175-51FB-8ADC-A56F40AC6FFA/" URL ": HTTPS: // V. c.ru/claim""ularpe":2} "Place": "Feed" "Ishidden": False "Count_Likes": 4 "Count_dislikes": Null "gtm": "Popular u2014 feed item" "Action": "Dislike" "SIZE": "Default"} Chat GPT Neuromarket Listen to {"IsshowsubscribedbuttonLabels" yesterday: True "Subsiteid": 1872372 "ISSHOWOWOTICATIONSBUTON": FALSE "ISSUBSCRIBED": FALSE "ISNOTICATIONSENABENABLED" Pe ":" Full "" Buttontype ":" Inline "" Size ":" Tiny "" Mobilesize ":" "Subscribebuttonicon": "V_FOLLOW" "ISSHORTONMOBILE": FALSE "GTM": "Subscribe Suggget U2014 Anon Fed item" "Subscribtmclics": ["Subs Ribe Suggation U2014 Anon Feed ITEM U2014 Clicked "Feed item U2014 Subscribe Button U2014 Click "]} 7 best useful plugins for ChatGPT today about 84 plugins are presented in the plugin store. I tried them all and in this article I will share with you the best plugins in my opinion. 14k -baches2.4k openings {"LikeData": {"Id": 911707 "Type": 1 "Typestr": "Content" "state": 0 "Whathusers ":1"contentId":911707"subsite":{"id":1872372"name":"ChatGPT""avatar":"https://leonardo.osnova.io/fc56aaa4-cb0c-5f37-b6ba-94bc8f336926/ "" URL ":" https://vc.ru/chatgpt "" type ": 2}" place ":" fed "" ishidden ": false" cout_likes ": 70" Count_Dislikes ": NULL" GTM ": Popular U2014 Feed item "Action": "Like" "Size": "Default"} {"Id": 911707 "Type": "Num" "Link": "https://vc.ru/chatgpt/911707- 7-luchshihih-poleznyh-plaginov-dlya-cheatgpt "GTM": "Popular U2014 Feed item U2014 Click" Prevcount ": Null" ISAUUTHORISED ": FALSE: FALLSE } {"Contentid": 911707 "Count ": 0" ISREPOSTED ": FALSE" GTM ":" Popular U2014 Fed item U2014 Repost U2014 Click "} {" Id ": 911707" Typestr ":" Content "" Showtitle ": FALSE" Initial " {"ISACTIVE": FALSE} "GTM": "Popular U2014 Fed item U2014 Add to Favorites U2014 Click" {"ID": 911707 "GTM": "Popular U2014 Feed U2014 SHARE URSE UP" LikeData ": {"ID": 911707 "Type": 1 "Typestr": "Content" "state": 0 "Whathusers": 1 "Contentid": 911707 "Subsite": {"ID": 1872372 "NAME": "CHATGPT" "Avatar": "https://leonardo.osnova.io/fc56aaaa4-cb0c-5f37-b6ba-94bc8f336926/" "URL": "https://vc.ru/chatgpt" "Type": 2} "Place" : "Feed" "Ishidden": FALSE "Count_Likes": 70 "Count_DisLikes": Null "GTM": "Popular U2014 Fed item" "Action": "Dislike" "Size": "Default"} Never Do not work for money on your own experience I will tell you how to restart a career at 30. And I will try to prove that the money is the most useless on what you can focus on work. From 20,000 rubles a month before your own Internet agency. But you can’t be so because You continue to run and look for a larger salary and smaller work. It is good when corporate clothing is issued at work. 19K boxes11k openings {"LikeData": {"Id": 909850 "Type": 1 "TyPestr": "Content" "state": 0 "Withusers": 1 "Contentid": 909850 "Subsite": {"ID": 199123 " NAME ":" U041BU0438U0447U043DU044439 U043EU043FU0444BU0442 "Avatar": "https://leonardo.osnova.io/68e0e807-55b9-9b76-b3f0f3d3d3d 2/"" URL ":" https://vc.ru/life "" Type ": 2}" Place ":" Feed "" Ishidden ": False" Count_Likes ": 115" Count_dislikes ": Null" GTM ":" Popular U2014 Fed item "" Action "" Size ":" Default " }} {"ID": 909850 "Type": "Num" "Link": "https://vc.ru/life/909850-nikogda-ne-za-dengi" "GTM": "Popular U2014 Fed Item U2014 Comments U2014 Click "Prevcount": Null "Count": 354 "Isauthorized": FALSE {"Contentid": 909850 "Count": 0 "AREPOSTED": FALSE "GTM": Popular U.2014 Feed item U2014 Repost U2014 Click"}             {"id":909850"type":1"typeStr":"content""showTitle":false"initialState":{"isActive":false}"gtm":"Popular u2014 Feed Item u2014 Add To Favorites U2014 Click "} {" Id ": 909850" GTM ":" Popular U2014 Feed item U2014 Share U2014 Click "} {" Likedata ": {" Id ": 909850" Typestr ":" Content "" STATE "STATE ": 0" WithUSERS ": 1" Contentid ": 909850" Subsite ": {" ID ": 199123" NAME ":" U041BU0438U047U044439 U043EU043FU04442 "AVATAR": HTTPS: // LEON ardo.osnova.io/68e0e807-2b43- 55b9-9b76-b3f0F76F32/"" URL ":" https://vc.ru/life "" type ": 2}" Place ":" Fed "" Ishidden ": FALSE" Count_Likes ": 115" Count_DisLikes ": Nullllllllles "GTM": "Popular U2014 Feed item" "Action": "Dislike" "Size": "Default"}} Marketing Dmitry Repin 11 hours {"Isshowsubscribedbuttonlabels": True "Subsiteid": 199113 " SSHOWNOTICATIONSBUTON ": FALSE" Issubscribed " : FALSE "IsnotificationSenAbled": FALSE "Type": "Full" "ButtontonType": "Inline" "Size": "Tiny" "Mobilesize": "" Subscribettonicon ":" V_follow "" ISSHORTOMOB ILE ": FALSE" GTM ": "Subscribe Sugggetation U2014 Anon Feed item" "Subscribegtmclicks": ["Subscribe Suggget U2014 Anon Fed ITEM U2014 Clicked" "Feed U20 Click "]} Free promotion tool for offline business. Only hot traffic 10k shows419 openings {"LikeData": {"Id": 911973 "Type": 1 "typeStr": "content" "state": 1 "concentid": 911973 "subess": {"id" : 199113 "NAME": "U041CU0430U044043AU0435U04442U0438U043DU0433" Avatar ":" https://leonardo.osnova.io/d66009bf0da-bdbf-4c758eba39e39e39EE39EE39EE39EE39EE /""ular":"https://vc.ru/marketing " "Type": 2} "Place": "Feed" "Ishidden": False "Count_Likes": 14 "Count_Dislikes": Null "GTM": "Popular U2014 Feed item" "Action": "Like" "Size": "" "" "" "" "" "" "" "" "" "" " Default "}} {" Id ": 911973" Type ":" Num "" Link ":" https://vc.ru/marketing/911973-besplatnyy-instrument-prodvizheniya-offlayn-biznesa-tolkoo Goryachiy- Trafik "GTM": "Popular U2014 Fed item U2014 Comments U2014 Click" Prevcount: Null "Count": 14 "Isauthorized": False} {"Contentid": 911973 "CoUnt": 0 "IsRet Osted ": False" gtm ":" Popular U2014 Feed item U2014 Repost U2014 Click "} {" Id ": 911973" Type ": 1" TyPestr ":" Content "" Showtitle ": FALSE" ISACTIVE ": FALSE}" GTM " : "Popular U2014 Feed item U2014 Add to Favorites U2014 Click"} {"Id": 911973 "GTM": "Popular U2014 Feed U2014 Share U2014 Click" {"LikeData": {"Id": 911973 " Type ": 1 "Typestr": "Content" "state": 0 "Whousers": 1 "Contentid": 911973 "Subsite": {"ID": 199113 "NAME": "U041CU0430U0U0435U042U0438U043DU0433" "" "" "" avatar ":" https: // leonardo .osnova.io/d66009FE-9BF0DA-BDBF-4C758EBA39E7/"URL": "https://vc.ru/marketing" "Type": 2} "Place": "Fed" "Ishidden": False " Count_Likes: 14 “Count_Dislikes”: NULL “GTM”: “Popular U2014 Fed item” “Action”: “Dislike” “Size”: “Default”} {Isshowsbscribedbuton. Labels ": True" Subsiteid ": 199124 Isshownotificationsbutton: FALSE “Issubscribed”: FALSE “IsnotificationsenAbled”: FALSE “TYPE”: “Inline” “SIZE”: “Tiny” “Mobilesize” "" Subscribebuttonicon ":" V_follow "" ISSHORTONMOBILE ": FALSE" GTM ":" Subscribe Suggheation U2014 Anon Feed item "" Subscribegtmclics ": [" Subscribe SuggGges Ussa Utem U20 ITEM U2014 Subscribe Button U2014 Click "]} Unreasonable blocking of the profile Avito my profile in Avito No. 82 805 032 was blocked today. The reason was indicated that I allegedly refer to people to third-party sites where there is a fake avito-post. In fact, for all 7 years of my cooperation with Avito, this has never been and is not in the present. 751places50 openings {"LikeData": {"Id": 912163 "Type": 1 "Typestr": "Content" "state": 0 "Whousers": 1 "Contentid": 912163 "Subsite": {"ID": 199124 " NAME ":" U041FU0440URU0438U0451U043CU043DU0430U044F "" AVATAR ":" https://leonardo.osnova.io/08FF68AD-2175-51FB-8ADC-A56F40AC6FFA/ "" URL ":" HTTTP "http S: //vc.ru/claim "Type" : 2} "Place": "Feed" "Ishidden": False "Count_Likes": 4 "Count_dislikes": Null "GTM": "Popular U2014 Feed item" "Action": "Like" "Size": "Default"} } {"ID": 912163 "Type": "Num" "Link": "https://vc.ru/claim/912163-neobosnnaya-blokirovka-profilya-avito" "GTM": "Popular u2014 fed item u2014 Comments U2014 Click "Prevcount": Null "Count": 3 "Isauthorized": False} {"Contentid": 912163 "Count": 0 "Isreposted": FALSE "GTM": "Popular U2014 Fed item U20 ST U2014 Click "} {"ID": 912163 "Type": 1 "Typestr": "Content" "showTitle": false "initialstate": {"Isactive": false} "gtm": "Popular U2014 Feed U2014 Add to Favorites U. K " } {"ID": 912163 "GTM": "Popular u2014 Feed item u2014 Share U2014 Click"} {"LikeData": {"Id": 912163 "Type": 1 "Typestr": "Content" "stat": 0 "Whussers": 1 "Contentid": 912163 "Subsite": {"Id": 199124 "Name": "U041FU0440U0438U0451U043DU0430U0444F" AVATAR ":" https://leonardo.osnova.io /08FF68AD-2175-51FB-8ADC- A56F40AC6FFA/"URL": "https://vc.ru/claim" "Type": 2} "Place": "Feed" "Ishidden": FALSE "Count_Likes": 4 "COUNT_DISLIKES": NULL "GTM": "Popular U2014 Feed item" "Action": "Dislike" "Size": "Default"}} Education to order all the Events CHATGPT Neuromarket yesterday to listen to {"Isshowsubedbutututonlabels": True "Subsit EID ": 1872372" ISSHOWNOTICATIONSBUTTON ": FALSE" Issubscribed ": FALSE "IsnotificationSenAbled": FALSE "TYPE": "Full" "ButtontonType": "Inline" "Size": "Tiny" "Mobilesize": "" Subscribettonicon ":" V_follow "" Isshortonmobil E ": FALSE" GTM ":" Subscribe Sugggetation U2014 Anon Fed item "Subscribegtmclicks": ["Subscribe Suggget U2014 Anon Feed U2014 Clicked" Feed U20 Lick "]} I used ChatGPT every day for 5 months. Here are some hidden opportunities that will change your life as ChatGPT is growing, many are accustomed to its standard functions and use it for various purposes. However, many are not aware that this AI has a number of additional capabilities that are not limited to writing texts and code. 7.4K -boxes 4.5K openings {"Likedata": {"Id": 911300 "Type": 1 "Typestr": "Content" "state": 0 "WithUSERS": 1 "Contentid": 911300 "Subsite": {"Id": 1872372 "NAME": "CHATGPT" "AVATAR": "https://leonardo.osnova.io/fc56aaaa4-cb0c-5F37-B6BA -94BC8F336926/"URL": "https://vc.ru/chatgpt" "Type": 2} "PLACE": "FEED" "ISHIDDEN": FALSE "Count_Likes": 72 "Count_DisLikes": NULL "GTM" : "Popular U2014 Feed item" "Action": "Like" "Size": "Default"} {"Id": 911300 "Type": "Num" "Link": "https://vc.ru/chatgpt /911300-IA-Polzovalsya-ChatGPT-KAZHDYY-DEN-V-TECHENIE-5-MESYACEV-VOT-SKRYEE-VOZMOZHNOSHNOSHNOSHNOSHNOSHNOSHNYAT-VASHUSHUSHUS LAR U2014 Feed item U2014 Comments U2014 Click "Prevcount": Null "Count": 27 "Isauthorized": False} {"Contentid": 911300 "Count": 0 "Isreposted": FALSE "GTM": "Popular U20 k "} {" ID ": 911300" Type ": 1" TyPestr ":" Content "" showTitle ": false" initialstate ": {" Isactive ": FALSE}" GTM ":" Popular U2014 Faed to Favorites u2014 Click "} { "ID": 911300 "GTM": "Popular U2014 Feed item U2014 Share U2014 Click"} {"LikeData": {"ID": 911300 "Type": 1 "TyPestr": "Content" "STETE": 0 "WhatHusers" ": 1" Contentid ": 911300" Subsite ": {" ID ": 1872372" NAME ":" CHATGPT "" AVATAR ":" https://leonardo.osnova.io/fc56aaa4- CB0C-5F37-B6BA-9BC8F336926/ "URL": "https://vc.ru/chatgpt" "type": 2} "Place": "Feed" "Ishidden": FALSE "Count_Likes": 72 "Count_Dislikes": NULL "GTM": "Popular" U2014 Feed item "Action": "Dislike" "Size": "Default"}} {"Osnovaunitid": null "url": "https://boosnova.io/a/relevant?site=vc&amp;v=2 "Place": "Index_fed" "site": "vc" "settings": {"modes": {"externallink": {"buttonlabels": ["u0423u0437u0430u0442u044c" U0427u0438U04 42U0430U0442U044C "" U041DU0430U0447U0430U0442U044C "" U0417U0430U043AU0430U0437U0442U044C "U041AU043U043FU0438U042U044C" "U041FU043EU043BU0443U04447U0438U0442U044C" "U0421U04330U04447U0430U0442U044C" "U041FU0435U0444435U0439U0442U0438"]} "DV icelist ": {" desktop ":" U0414U0435U0441U043AU0442U043EU043F "" Smartphone ":" U0421U0430U0URU04440U0442U044U043DUU0444B "Tablet" Tablet "Tablet" u04 "u04 1FU043BU0430U043DU04448U0435U0442U044IB}} Dmitry Begovatov Dmitry Begovatov yesterday {"Isshowsubscribedbututtonlabels": True "Subsiteid": 199116 "Isshanotificationsbutton": FALSE "Issubscribed": FALSE "ISNOTICATIONSENABLED": FALSE "TYPE": "Full" "Butttontontype": "InLine" "SIZE" "SIZE" "SIZE" : "Tiny" "Mobilesize": "" "Subscribettonicon ":" V_FOLLOW "" ISSHORTONMOBILE ": FALSE" GTM ":" Subscribe Sugggetation U2014 Anon Feed item "" SubscribeGtMCLICS ": [" Subscribe Suggget U20 Licked "Feed item U2014 Subscribe Button U2014 Click"] On VC.ru we share in the comments with links to our projects and comment on strangers! 👉 A new platform for promoting online projects Product Radar 14Ks1.8K openings {"LikeData": {"Id": 911564 "Type": 1 "TyPestr": "Content" "STATE": 0 "Whathusers": 1 "Contentid": 911564 "Subsite": {"ID": 199116 "NAME": "U0422U0440U0438U0431U0443U043DU0430" Avatar ":" https://leonardo.osnova.io/04607ca7-338b-561e- 9403 -3F06A70EF789/"" URL ":" https : //vc.ru/tribuna "Type": 2} "Place": "Feed" "Ishidden": FALSE "Count_Likes": 69 "Count_Dislikes": NULL "GTM": "Popular U2014 Feed item" "Action" "Action" : "Like" "Size": "Default"} {"Id": 911564 "Type": "Num" "Link": "https://vc.ru/tribuna/911564-subbotniy-samopiar-na-va-vs -ru "" GTM ":" Popular U2014 Feed item u2014 Comments U2014 Click "" Prevcount ": Null" Count ": 157" Isauthorized ": False} {" Contentid ": 911564" Count ": 0" ISREPOSTE ": 0" ISREPOS D ": FALSE" gtm":"Popular u2014 Feed Item u2014 Repost u2014 Click"}             {"id":911564"type":1"typeStr":"content""showTitle":false"initialState":{"isActive":false}"gtm ":" Popular U2014 Feed item U2014 Add to Favorites U2014 Click "} {" Id ": 911564" GTM ":" Popular U2014 Feed U2014 Share U2014 Click "{" LikeData ": {" Id ": 9115664: 9115664: 9115664: 9115664 "Type" :1"typeStr":"content""state":0"withUsers":1"contentId":911564"subsite":{"id":199116"name":"u0422u0440u0438u0431u0443u043du0430""avatar":"https:// leonardo.osnova.io/04607CA7-338B-561E-9403-3F06A70EF789/"URL": techtps://vc.ru/tribuna""nype":2 ]"plaque":2 | "Count_Likes": 69 "Count_Dislikes": NULL "GTM": "Popular U2014 Fed item" Action ":" Dislike "" Size ":" Default "}} {" ISREGARDCPUCOMPUMPUMPLETE ": FALSE" HASACE ": FALSE" HASACE cess ": false} [{ "ID": 1 "Label": "Header 100%X250:" "Provider": "Adfox" "Adaptive": ["Desktop"] "Adfox_Method": "Createadaptive" "Auto_reload": True "Adfox": {{{{{{{ "Ownerid": 228129 "Params": {"PP": "G" "PS": "BUGF" "P2": "EZFL"}} "Distribution": "Top-Desktop"} {"ID": 2 " Label: "Header 1200x400/600:" "Provider": "Adfox" "Adaptive": ["Phone"] "Adfox_Method": "Createadaptive" "Auto_reload": True "Adfox": {"Ownerid": 228129 " Params ": {" pp ":" g "" PS ":" Bugf "" P2 ":" Ezfn "}}" Distribution ":" Top-Mobile "} {" Id ": 4" Label ":" Article Branding Top "Provider": "Adfox" "Adaptive": ["Desktop"] "Adfox_Method": "Createadaptive" "Adfox": {"Ownerid": 228129 "Params": {"P1": "Cfovx" "P2" "P2" : "Glug"}}} {"Id": 5 "Label": "300x600: D" Provider ":" Adfox "" Adaptive ": [" Desktop "]" Adfox_Method ":" Createadaptive "" Adfox ": {{{{ "Ownerid": 228129 "Params": {"PP": "G" "PS": "Bugf" "P2": "Ezfk"}} "Distribution": "Right-Sidebar" {"ID": 6 " Label ":" ABOVE The Comments: "" Provider ":" Adfox "" Adaptive ": [" Desktop "]" Adfox_Method ":" Createadaptive "" Ownerid ": 228129" PARAMS ": {" PP ": H" "PS": "Bugf" "P2": "Ffyh"}} "Distribution": "Before-Comments-Desktop" "Analytics": "Adfoxrecount U2014 1020 U2014 Show"} {"It": 7 "Label": "ABOVE The Comments:" "Provider": "Adfox" "Adaptive": ["Tablet" "Phone"] "Adfox_Method": "Createadaptive" "Ownerid": 228129 "Params" : {"P1": "BWKPG" "P2": "FJXB"}} "Distribution": "BeFore-Comments-Mobile"} {"ID": 12 "Label": "Topbar Button: D" Provider ": "Adfox" "Adaptive": ["Desktop"] "Adfox_Method": "Createadaptive" "Adfox": {"Ownerid": 228129 "Params": {"P1": "BSCSH" "P2": "FDHX"}}}}}} } {"Id": 13 "Label": "in article:" "Provider": "Adfox" "Adaptive": ["Phone"] "Adfox_Method": "Createadaptive" "adfox": "Ownerid": 228129 "Params": {"PP": "H" "PS": "Bugf" "P2": "Flvn"}} "Analytics": "AdfoxRecount U2014 300 U2014 show"} {"Id": 15 "Label": "In-Feed Teaser: DM" Provider ":" Adfox "" Adaptive ": [" Desktop "" Tablet "" Phone "]" Adfox_Method ":" Createadaptive "" Ownerid ": 228129" Params " : {"P1": "Byudx" "P2": "ftjf"}}} {"Id": 16 "Label": "Topbar Button: M" Provider ":" Adfox "" Adaptive ": [" Tablet " "Phone"] "Adfox_Method": "Createadaptive" "Adfox": {"Ownerid": 228129 "Params": {"P1": "Byzqf" "P2": "FTWX"}} {"ID": 17 " Label ":" Stratum: D "Provider": "Adfox" "Adaptive": ["Desktop"] "Adfox_Method": "Createadaptive" "Auto_reload": True "adfox": {"Ownerid": 228129 "Params" : {"PP": "G" "PS": "Bugf" "P2": "FZVB"}}} {"Id": 18 "Label": "Stratum: M" "Provider": "Adfox" "Adaptive" : ["Tablet" "Phone"] "Adfox_Method": "Createadaptive" "Auto_reload": True "Adfox": {"Ownerid": 228129 "Params": {"PP": "PS": "BUGF" "P2": "FZVC"}}} {"Id": 19 "Label": "Under the News Teaser: DM" "Provider": "Adfox" "Adaptive": ["Desktop" "Tablet" "Phone"] "Adfox_Method": "Createadaptive" "Auto_reload": True "Adfox": {"Ownerid": 228129 "Params": {"P1": "CBLTD" "P2": "GAZS"}} {"ID": 20 "Label": "Leftbar Button:" "Provider": "Adfox" "Adaptive": ["Desktop"] "Adfox_Method": "Createadaptive" "Adfox": {"228129" Params ":" P1 "P1" P1 ":" CGXMR "" P2 ":" GNWC "}} {" Id ": 21" Label ":" Header MicroteSer: D "Provider": "Adfox" "Adaptive": ["Desktop"] "Adfox_Method" : "Createadaptive" "Adfox": {"Ownerid": 228129 "Params": {"PP": "G" "PS": "BUGF" "P2": "gtjk"}} {"ID": 23 " Label: “In Article: D“ Provider ”:“ Adfox ”“ Adaptive ”: [“ Desktop ”]“ Adfox_Method ”:“ Createadaptive “Adfox”: {“Ownerid”: 228129 “Params”: “PP” : “G” “PS”: “BUGF” “P2”: “HIIG”}} {“ID”: 26 “Label”: “For test:“ “Provider”: “Adfox” “Adaptive”: [”[" desktop "]" adfox_Method ":" Createadaptive "" adfox ": {" Ownerid ": 228129" Params ": {" PP ":" PS ":" BUGF "" P2 ":" ICBJ "}} { "ID": 27 "Label": "For test:" "Provider": "Adfox" "Adaptive": ["Tablet" "Phone"] "Adfox_Method": "Createadaptive" "Adfox": {"Ownerid": 228129 "Params": {"PP": "G" "PS": "Bugf" "P2": "ICBN"}} {"ID": 28 "Label": "For test: dm" "Provider": "Adfox" "Adaptive": ["Desktop" "Tablet" "Phone"] "Adfox_Method": "Createadaptive" "Adfox": {"Ownerid": 228129 "Params": {"PP": "G" PS "" PS "" PS " : "Bugf" "P2": "ICBO"}} {"ID": 31 "Label": "300x600 Screen 2: D" Provider ":" Adfox "" Adaptive ": [" Desktop "]" Adfox_Method " : "Createadaptive" "Adfox": {"Ownerid": 228129 "Params": {"PP": "G" "PS": "BUGF" "P2": "fizc"}}}] {"Token": "" "" "Token": "" eyjpbnrlz3jhdglvbklkijoiimfmnjq4mmutmmy3z00mzg4lweyzgytmdjkyjk2zmizmizomizmizmizmizmizmizcmvcmv0ijoimtfjNJRJNSTMWUXLTLTLMNGTLMNTKZMTKZMTKTKTKTK1 Ogq1ntziin0 = "" Release ":" a1f39f4a "} null</v>
      </c>
    </row>
    <row r="1002">
      <c r="A1002" s="1" t="s">
        <v>3130</v>
      </c>
      <c r="B1002" s="1" t="s">
        <v>258</v>
      </c>
      <c r="D1002" s="1">
        <v>1.0</v>
      </c>
      <c r="E1002" s="4" t="s">
        <v>259</v>
      </c>
      <c r="F1002" s="1" t="s">
        <v>43</v>
      </c>
      <c r="G1002" s="1" t="s">
        <v>38</v>
      </c>
      <c r="H1002" s="4" t="s">
        <v>39</v>
      </c>
      <c r="I1002" s="2">
        <v>1.0</v>
      </c>
      <c r="J1002" s="5" t="str">
        <f>IFERROR(__xludf.DUMMYFUNCTION("GOOGLETRANSLATE(A1002)"),"Ютуб")</f>
        <v>Ютуб</v>
      </c>
      <c r="K1002" s="6" t="str">
        <f>IFERROR(__xludf.DUMMYFUNCTION("GOOGLETRANSLATE(B1002)"),"YouTube: Home")</f>
        <v>YouTube: Home</v>
      </c>
      <c r="L1002" s="5" t="str">
        <f>IFERROR(__xludf.DUMMYFUNCTION("GOOGLETRANSLATE(C1002)"),"#VALUE!")</f>
        <v>#VALUE!</v>
      </c>
      <c r="M1002" s="5" t="str">
        <f>IFERROR(__xludf.DUMMYFUNCTION("GOOGLETRANSLATE(G1002)"),"YouTubeAboutPressCopyrightContact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003">
      <c r="A1003" s="1" t="s">
        <v>3130</v>
      </c>
      <c r="B1003" s="1" t="s">
        <v>262</v>
      </c>
      <c r="C1003" s="1" t="s">
        <v>263</v>
      </c>
      <c r="D1003" s="1">
        <v>2.0</v>
      </c>
      <c r="E1003" s="4" t="s">
        <v>264</v>
      </c>
      <c r="F1003" s="1" t="s">
        <v>43</v>
      </c>
      <c r="G1003" s="1" t="s">
        <v>97</v>
      </c>
      <c r="H1003" s="4" t="s">
        <v>98</v>
      </c>
      <c r="I1003" s="2">
        <v>1.0</v>
      </c>
      <c r="J1003" s="5" t="str">
        <f>IFERROR(__xludf.DUMMYFUNCTION("GOOGLETRANSLATE(A1003)"),"Ютуб")</f>
        <v>Ютуб</v>
      </c>
      <c r="K1003" s="6" t="str">
        <f>IFERROR(__xludf.DUMMYFUNCTION("GOOGLETRANSLATE(B1003)"),"YouTube: Watch, Listen, Stream 12+ - App Store")</f>
        <v>YouTube: Watch, Listen, Stream 12+ - App Store</v>
      </c>
      <c r="L1003" s="5" t="str">
        <f>IFERROR(__xludf.DUMMYFUNCTION("GOOGLETRANSLATE(C1003)"),"Get the official YouTube app on iPhones and iPads. See what the world is watching -- from the hottest music videos to what's popular in gaming, fashion, ...")</f>
        <v>Get the official YouTube app on iPhones and iPads. See what the world is watching -- from the hottest music videos to what's popular in gaming, fashion, ...</v>
      </c>
      <c r="M1003" s="5" t="str">
        <f>IFERROR(__xludf.DUMMYFUNCTION("GOOGLETRANSLATE(G1003)"),"App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1004">
      <c r="A1004" s="1" t="s">
        <v>3130</v>
      </c>
      <c r="B1004" s="1" t="s">
        <v>210</v>
      </c>
      <c r="C1004" s="1" t="s">
        <v>211</v>
      </c>
      <c r="D1004" s="1">
        <v>3.0</v>
      </c>
      <c r="E1004" s="4" t="s">
        <v>212</v>
      </c>
      <c r="F1004" s="1" t="s">
        <v>43</v>
      </c>
      <c r="G1004" s="1" t="s">
        <v>120</v>
      </c>
      <c r="H1004" s="4" t="s">
        <v>121</v>
      </c>
      <c r="I1004" s="2">
        <v>1.0</v>
      </c>
      <c r="J1004" s="5" t="str">
        <f>IFERROR(__xludf.DUMMYFUNCTION("GOOGLETRANSLATE(A1004)"),"Ютуб")</f>
        <v>Ютуб</v>
      </c>
      <c r="K1004" s="6" t="str">
        <f>IFERROR(__xludf.DUMMYFUNCTION("GOOGLETRANSLATE(B1004)"),"YouTube - Apps on Google Play")</f>
        <v>YouTube - Apps on Google Play</v>
      </c>
      <c r="L1004" s="5" t="str">
        <f>IFERROR(__xludf.DUMMYFUNCTION("GOOGLETRANSLATE(C1004)"),"Get the official YouTube app on Android phones and tablets. See what the world is watching -- from the hottest music videos to what's popular in gaming, ...")</f>
        <v>Get the official YouTube app on Android phones and tablets. See what the world is watching -- from the hottest music videos to what's popular in gaming, ...</v>
      </c>
      <c r="M1004" s="5" t="str">
        <f>IFERROR(__xludf.DUMMYFUNCTION("GOOGLETRANSLATE(G1004)"),"Android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005">
      <c r="A1005" s="1" t="s">
        <v>3130</v>
      </c>
      <c r="B1005" s="1" t="s">
        <v>207</v>
      </c>
      <c r="C1005" s="1" t="s">
        <v>260</v>
      </c>
      <c r="D1005" s="1">
        <v>6.0</v>
      </c>
      <c r="E1005" s="4" t="s">
        <v>261</v>
      </c>
      <c r="F1005" s="1" t="s">
        <v>43</v>
      </c>
      <c r="G1005" s="1" t="s">
        <v>27</v>
      </c>
      <c r="H1005" s="4" t="s">
        <v>28</v>
      </c>
      <c r="I1005" s="2">
        <v>1.0</v>
      </c>
      <c r="J1005" s="5" t="str">
        <f>IFERROR(__xludf.DUMMYFUNCTION("GOOGLETRANSLATE(A1005)"),"Ютуб")</f>
        <v>Ютуб</v>
      </c>
      <c r="K1005" s="6" t="str">
        <f>IFERROR(__xludf.DUMMYFUNCTION("GOOGLETRANSLATE(B1005)"),"YouTube")</f>
        <v>YouTube</v>
      </c>
      <c r="L1005" s="5" t="str">
        <f>IFERROR(__xludf.DUMMYFUNCTION("GOOGLETRANSLATE(C1005)"),"YouTube is an online video sharing and social media platform headquartered in San Bruno, California, United States. Accessible worldwide, it was launched on ...")</f>
        <v>YouTube is an online video sharing and social media platform headquartered in San Bruno, California, United States. Accessible worldwide, it was launched on ...</v>
      </c>
      <c r="M1005" s="5" t="str">
        <f>IFERROR(__xludf.DUMMYFUNCTION("GOOGLETRANSLATE(G1005)"),"Wikipedia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1006">
      <c r="A1006" s="1" t="s">
        <v>3130</v>
      </c>
      <c r="B1006" s="1" t="s">
        <v>3181</v>
      </c>
      <c r="C1006" s="1" t="s">
        <v>3182</v>
      </c>
      <c r="D1006" s="1">
        <v>7.0</v>
      </c>
      <c r="E1006" s="4" t="s">
        <v>3183</v>
      </c>
      <c r="F1006" s="1" t="s">
        <v>43</v>
      </c>
      <c r="G1006" s="1" t="s">
        <v>216</v>
      </c>
      <c r="H1006" s="4" t="s">
        <v>217</v>
      </c>
      <c r="I1006" s="2">
        <v>1.0</v>
      </c>
      <c r="J1006" s="5" t="str">
        <f>IFERROR(__xludf.DUMMYFUNCTION("GOOGLETRANSLATE(A1006)"),"Ютуб")</f>
        <v>Ютуб</v>
      </c>
      <c r="K1006" s="6" t="str">
        <f>IFERROR(__xludf.DUMMYFUNCTION("GOOGLETRANSLATE(B1006)"),"YouTube Help")</f>
        <v>YouTube Help</v>
      </c>
      <c r="L1006" s="5" t="str">
        <f>IFERROR(__xludf.DUMMYFUNCTION("GOOGLETRANSLATE(C1006)"),"Official YouTube Help Center where you can find tips and tutorials on using YouTube and other answers to frequently asked questions.")</f>
        <v>Official YouTube Help Center where you can find tips and tutorials on using YouTube and other answers to frequently asked questions.</v>
      </c>
      <c r="M1006" s="5" t="str">
        <f>IFERROR(__xludf.DUMMYFUNCTION("GOOGLETRANSLATE(G1006)"),"Google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1007">
      <c r="A1007" s="1" t="s">
        <v>3130</v>
      </c>
      <c r="B1007" s="1" t="s">
        <v>3184</v>
      </c>
      <c r="D1007" s="1">
        <v>8.0</v>
      </c>
      <c r="E1007" s="4" t="s">
        <v>3185</v>
      </c>
      <c r="F1007" s="1" t="s">
        <v>43</v>
      </c>
      <c r="G1007" s="1" t="s">
        <v>302</v>
      </c>
      <c r="H1007" s="4" t="s">
        <v>303</v>
      </c>
      <c r="I1007" s="2">
        <v>1.0</v>
      </c>
      <c r="J1007" s="5" t="str">
        <f>IFERROR(__xludf.DUMMYFUNCTION("GOOGLETRANSLATE(A1007)"),"Ютуб")</f>
        <v>Ютуб</v>
      </c>
      <c r="K1007" s="6" t="str">
        <f>IFERROR(__xludf.DUMMYFUNCTION("GOOGLETRANSLATE(B1007)"),"YouTube: The Way to Success. Part 1. How to get trucks and ...")</f>
        <v>YouTube: The Way to Success. Part 1. How to get trucks and ...</v>
      </c>
      <c r="L1007" s="5" t="str">
        <f>IFERROR(__xludf.DUMMYFUNCTION("GOOGLETRANSLATE(C1007)"),"#VALUE!")</f>
        <v>#VALUE!</v>
      </c>
      <c r="M1007" s="5" t="str">
        <f>IFERROR(__xludf.DUMMYFUNCTION("GOOGLETRANSLATE(G1007)"),"Google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008">
      <c r="A1008" s="1" t="s">
        <v>3130</v>
      </c>
      <c r="B1008" s="1" t="s">
        <v>3186</v>
      </c>
      <c r="D1008" s="1">
        <v>9.0</v>
      </c>
      <c r="E1008" s="4" t="s">
        <v>3187</v>
      </c>
      <c r="F1008" s="1" t="s">
        <v>43</v>
      </c>
      <c r="G1008" s="1" t="s">
        <v>302</v>
      </c>
      <c r="H1008" s="4" t="s">
        <v>303</v>
      </c>
      <c r="I1008" s="2">
        <v>1.0</v>
      </c>
      <c r="J1008" s="5" t="str">
        <f>IFERROR(__xludf.DUMMYFUNCTION("GOOGLETRANSLATE(A1008)"),"Ютуб")</f>
        <v>Ютуб</v>
      </c>
      <c r="K1008" s="6" t="str">
        <f>IFERROR(__xludf.DUMMYFUNCTION("GOOGLETRANSLATE(B1008)"),"YouTube. Way to success. How to get trucks and tons of money")</f>
        <v>YouTube. Way to success. How to get trucks and tons of money</v>
      </c>
      <c r="L1008" s="5" t="str">
        <f>IFERROR(__xludf.DUMMYFUNCTION("GOOGLETRANSLATE(C1008)"),"#VALUE!")</f>
        <v>#VALUE!</v>
      </c>
      <c r="M1008" s="5" t="str">
        <f>IFERROR(__xludf.DUMMYFUNCTION("GOOGLETRANSLATE(G1008)"),"Google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009">
      <c r="A1009" s="1" t="s">
        <v>3130</v>
      </c>
      <c r="B1009" s="1" t="s">
        <v>3188</v>
      </c>
      <c r="D1009" s="1">
        <v>10.0</v>
      </c>
      <c r="E1009" s="4" t="s">
        <v>3189</v>
      </c>
      <c r="F1009" s="1" t="s">
        <v>43</v>
      </c>
      <c r="G1009" s="1" t="s">
        <v>302</v>
      </c>
      <c r="H1009" s="4" t="s">
        <v>303</v>
      </c>
      <c r="I1009" s="2">
        <v>1.0</v>
      </c>
      <c r="J1009" s="5" t="str">
        <f>IFERROR(__xludf.DUMMYFUNCTION("GOOGLETRANSLATE(A1009)"),"Ютуб")</f>
        <v>Ютуб</v>
      </c>
      <c r="K1009" s="6" t="str">
        <f>IFERROR(__xludf.DUMMYFUNCTION("GOOGLETRANSLATE(B1009)"),"30 problems of YouTube masters and ways to solve them")</f>
        <v>30 problems of YouTube masters and ways to solve them</v>
      </c>
      <c r="L1009" s="5" t="str">
        <f>IFERROR(__xludf.DUMMYFUNCTION("GOOGLETRANSLATE(C1009)"),"#VALUE!")</f>
        <v>#VALUE!</v>
      </c>
      <c r="M1009" s="5" t="str">
        <f>IFERROR(__xludf.DUMMYFUNCTION("GOOGLETRANSLATE(G1009)"),"Google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010">
      <c r="A1010" s="1" t="s">
        <v>3130</v>
      </c>
      <c r="B1010" s="1" t="s">
        <v>3190</v>
      </c>
      <c r="C1010" s="1" t="s">
        <v>3191</v>
      </c>
      <c r="D1010" s="1">
        <v>12.0</v>
      </c>
      <c r="E1010" s="4" t="s">
        <v>3192</v>
      </c>
      <c r="F1010" s="1" t="s">
        <v>43</v>
      </c>
      <c r="G1010" s="1" t="s">
        <v>1286</v>
      </c>
      <c r="H1010" s="4" t="s">
        <v>1287</v>
      </c>
      <c r="I1010" s="2">
        <v>1.0</v>
      </c>
      <c r="J1010" s="5" t="str">
        <f>IFERROR(__xludf.DUMMYFUNCTION("GOOGLETRANSLATE(A1010)"),"Ютуб")</f>
        <v>Ютуб</v>
      </c>
      <c r="K1010" s="6" t="str">
        <f>IFERROR(__xludf.DUMMYFUNCTION("GOOGLETRANSLATE(B1010)"),"YouTube | Google for Developers")</f>
        <v>YouTube | Google for Developers</v>
      </c>
      <c r="L1010" s="5" t="str">
        <f>IFERROR(__xludf.DUMMYFUNCTION("GOOGLETRANSLATE(C1010)"),"Let users search YouTube content, upload videos, create and manage playlists, and more. Overview Reference Code samples ...")</f>
        <v>Let users search YouTube content, upload videos, create and manage playlists, and more. Overview Reference Code samples ...</v>
      </c>
      <c r="M1010" s="5" t="str">
        <f>IFERROR(__xludf.DUMMYFUNCTION("GOOGLETRANSLATE(G1010)"),"Google for Developers - from AI and Cloud to Mobile and Web    Products      Develop                      Android                                          Chrome                                          ChromeOS                                          Cl"&amp;"oud                                          Firebase                                          Flutter                                          Google Assistant                                          Google Maps Platform                                 "&amp;"         Google Workspace                                          TensorFlow                                          YouTube                    Grow                      Firebase                                          Google Ads                       "&amp;"                   Google Analytics                                          Google Play                                          Search                                          Web Push and Notification APIs                    Earn                      A"&amp;"dMob                                          Google Ads API                                          Google Pay                                          Google Play Billing                                          Interactive Media Ads                   "&amp;"     Solutions          Events          Learn          Community      Groups                      Google Developer Groups                                          Google Developer Student Clubs                                          Women Techmakers    "&amp;"                                      Google Developer Experts                                          Tech Equity Collective                    Programs                      Accelerator                                          Solution Challenge        "&amp;"                                  DevFest                    Stories                      All Stories                        Developer Profile          Blog      EnglishDeutschEspañolEspañol – América LatinaFrançaisIndonesiaItalianoPolskiPortuguês – Brasi"&amp;"lTiếng ViệtTürkçeРусскийעבריתالعربيّةفارسیहिंदीবাংলাภาษาไทย中文 – 简体中文 – 繁體日本語한국어Sign in      Products         More         Solutions         Events         Learn         Community         More         Developer Profile         Blog         Develop       "&amp;"  Android         Chrome         ChromeOS         Cloud         Firebase         Flutter         Google Assistant         Google Maps Platform         Google Workspace         TensorFlow         YouTube         Grow         Firebase         Google Ads    "&amp;"     Google Analytics         Google Play         Search         Web Push and Notification APIs         Earn         AdMob         Google Ads API         Google Pay         Google Play Billing         Interactive Media Ads         Groups         Google De"&amp;"veloper Groups         Google Developer Student Clubs         Women Techmakers         Google Developer Experts         Tech Equity Collective         Programs         Accelerator         Solution Challenge         DevFest         Stories         All Stor"&amp;"ies    Connect with fellow devs and learn how to build with Google. Find a DevFest near you.             Google for Developers                    Products                            Stay organized with collections                            Save and categ"&amp;"orize content based on your preferences.                          Build smartership faster                        Unlock creativity and simplify your workflow with open integrated solutions.           I'm building for:    Mobile    arrow_forward    Web   "&amp;" arrow_forward    AI    arrow_forward    Cloud    arrow_forward                  Start building today            Android Modern tools to help you build experiences that people love across every Android device.Google Cloud Build apps faster make smarter bu"&amp;"siness decisions and            connect people everywhere.TensorFlow An end-to-end platform that makes it easy to build and            deploy ML models in any environment.Chrome Modern tools and features that help you build high-quality            web exp"&amp;"eriences.Google Play Grow your business improve app quality engage your            audience and earn revenue.Firebase An app development platform that helps you build and grow            apps and games users love.PaLM An easy and safe API to experiment wi"&amp;"th Google's large language models.MakerSuite Quickly prototype generative AI applications in a browser - no ML expertise or coding required.Flutter Build test and deploy beautiful web mobile desktop and            embedded apps from one codebase.Google Ad"&amp;"s Promote your website products and app to the right users            with Google Ads.Kaggle A platform to share machine learning data sets explore and            build models and compete in competitions.Angular The web development framework for building "&amp;"the future.View all developer products                  Trending news                        Apply to the Indie Games Accelerator                    Get mentorship and training to power your game's growth on Google Play. Apply to the 10-week accelerator f"&amp;"or high-potential indie game studios.          Learn more            Join DevFest 2023                    Explore hands-on learning and technical talks. Find a DevFest near you.          Learn more            MakerSuite is now available in 180 countries  "&amp;"                  Sign up now to prototype AI applications with the PaLM 2 language model.          Learn moreWhat's new in Android            Android Studio Giraffe is now stable                    Featuring updates to Live Edit Compose animation preview"&amp;"s a new Device Explorer and more.          Download now            Find an event                    Grow your knowledge through online and in-person developer events.          View events            Improve technical skills                    Keep up with"&amp;" Google technology. Sharpen skills and master new ones.          Start learning            Join a community                    Meet a diverse network no matter where you are on your developer journey.          Explore communities                  Follow G"&amp;"oogle for Developers                              YouTube            Subscribe to join a community of creative developers and learn the latest in Google technology.Learn more                  Instagram            Follow and discover developer resources co"&amp;"mmunity events and inspirational stories.Learn more                  LinkedIn            Join a community of creative developers and learn how to use the latest in technology. Learn more                  X            Join the conversation to discover the "&amp;"latest developer tools resources events and announcements.Learn moreConnect                                  Blog                                                      Instagram                                                      LinkedIn                 "&amp;"                                     Twitter                                                                                              YouTube                    Programs                                  Women Techmakers                                "&amp;"                      Google Developer Groups                                                      Google Developer Experts                                                      Accelerators                                                                  "&amp;"                            Google Developer Student Clubs                    Developer consoles                                  Google API Console                                                      Google Cloud Platform Console                        "&amp;"                              Google Play Console                                                      Firebase Console                                                      Actions on Google Console                                                      Cas"&amp;"t SDK Developer Console                                                                                              Chrome Web Store Dashboard                              Android                  Chrome                  Firebase                  Google "&amp;"Cloud Platform                  All products                  Terms                  Privacy        Sign up for the Google for Developers newsletter          Subscribe        EnglishDeutschEspañolEspañol – América LatinaFrançaisIndonesiaItalianoPolskiPort"&amp;"uguês – BrasilTiếng ViệtTürkçeРусскийעבריתالعربيّةفارسیहिंदीবাংলাภาษาไทย中文 – 简体中文 – 繁體日本語한국어")</f>
        <v>Google for Developers - from AI and Cloud to Mobile and Web    Products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Solutions          Events          Learn          Community      Groups                      Google Developer Groups                                          Google Developer Student Clubs                                          Women Techmakers                                          Google Developer Experts                                          Tech Equity Collective                    Programs                      Accelerator                                          Solution Challenge                                          DevFest                    Stories                      All Stories                        Developer Profile          Blog      EnglishDeutschEspañolEspañol – América LatinaFrançaisIndonesiaItalianoPolskiPortuguês – BrasilTiếng ViệtTürkçeРусскийעבריתالعربيّةفارسیहिंदीবাংলাภาษาไทย中文 – 简体中文 – 繁體日本語한국어Sign in      Products         More         Solutions         Events         Learn         Community         More         Developer Profile         Blog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Groups         Google Developer Groups         Google Developer Student Clubs         Women Techmakers         Google Developer Experts         Tech Equity Collective         Programs         Accelerator         Solution Challenge         DevFest         Stories         All Stories    Connect with fellow devs and learn how to build with Google. Find a DevFest near you.             Google for Developers                    Products                            Stay organized with collections                            Save and categorize content based on your preferences.                          Build smartership faster                        Unlock creativity and simplify your workflow with open integrated solutions.           I'm building for:    Mobile    arrow_forward    Web    arrow_forward    AI    arrow_forward    Cloud    arrow_forward                  Start building today            Android Modern tools to help you build experiences that people love across every Android device.Google Cloud Build apps faster make smarter business decisions and            connect people everywhere.TensorFlow An end-to-end platform that makes it easy to build and            deploy ML models in any environment.Chrome Modern tools and features that help you build high-quality            web experiences.Google Play Grow your business improve app quality engage your            audience and earn revenue.Firebase An app development platform that helps you build and grow            apps and games users love.PaLM An easy and safe API to experiment with Google's large language models.MakerSuite Quickly prototype generative AI applications in a browser - no ML expertise or coding required.Flutter Build test and deploy beautiful web mobile desktop and            embedded apps from one codebase.Google Ads Promote your website products and app to the right users            with Google Ads.Kaggle A platform to share machine learning data sets explore and            build models and compete in competitions.Angular The web development framework for building the future.View all developer products                  Trending news                        Apply to the Indie Games Accelerator                    Get mentorship and training to power your game's growth on Google Play. Apply to the 10-week accelerator for high-potential indie game studios.          Learn more            Join DevFest 2023                    Explore hands-on learning and technical talks. Find a DevFest near you.          Learn more            MakerSuite is now available in 180 countries                    Sign up now to prototype AI applications with the PaLM 2 language model.          Learn moreWhat's new in Android            Android Studio Giraffe is now stable                    Featuring updates to Live Edit Compose animation previews a new Device Explorer and more.          Download now            Find an event                    Grow your knowledge through online and in-person developer events.          View events            Improve technical skills                    Keep up with Google technology. Sharpen skills and master new ones.          Start learning            Join a community                    Meet a diverse network no matter where you are on your developer journey.          Explore communities                  Follow Google for Developers                              YouTube            Subscribe to join a community of creative developers and learn the latest in Google technology.Learn more                  Instagram            Follow and discover developer resources community events and inspirational stories.Learn more                  LinkedIn            Join a community of creative developers and learn how to use the latest in technology. Learn more                  X            Join the conversation to discover the latest developer tools resources events and announcements.Learn moreConnect                                  Blog                                                      Instagram                                                      LinkedIn                                                      Twitter                                                                                              YouTube                    Programs                                  Women Techmakers                                                      Google Developer Groups                                                      Google Developer Experts                                                      Accelerators                                                                                              Google Developer Student Clubs                    Developer consoles                                  Google API Console                                                      Google Cloud Platform Console                                                      Google Play Console                                                      Firebase Console                                                      Actions on Google Console                                                      Cast SDK Developer Console                                                                                              Chrome Web Store Dashboard                              Android                  Chrome                  Firebase                  Google Cloud Platform                  All products                  Terms                  Privacy        Sign up for the Google for Developers newsletter          Subscribe        EnglishDeutschEspañolEspañol – América LatinaFrançaisIndonesiaItalianoPolskiPortuguês – BrasilTiếng ViệtTürkçeРусскийעבריתالعربيّةفارسیहिंदीবাংলাภาษาไทย中文 – 简体中文 – 繁體日本語한국어</v>
      </c>
    </row>
    <row r="1011">
      <c r="A1011" s="1" t="s">
        <v>3130</v>
      </c>
      <c r="B1011" s="1" t="s">
        <v>3193</v>
      </c>
      <c r="D1011" s="1">
        <v>13.0</v>
      </c>
      <c r="E1011" s="4" t="s">
        <v>3194</v>
      </c>
      <c r="F1011" s="1" t="s">
        <v>43</v>
      </c>
      <c r="G1011" s="1" t="s">
        <v>302</v>
      </c>
      <c r="H1011" s="4" t="s">
        <v>303</v>
      </c>
      <c r="I1011" s="2">
        <v>2.0</v>
      </c>
      <c r="J1011" s="5" t="str">
        <f>IFERROR(__xludf.DUMMYFUNCTION("GOOGLETRANSLATE(A1011)"),"Ютуб")</f>
        <v>Ютуб</v>
      </c>
      <c r="K1011" s="6" t="str">
        <f>IFERROR(__xludf.DUMMYFUNCTION("GOOGLETRANSLATE(B1011)"),"New YouTube. Way to success. How to get trucks and ...")</f>
        <v>New YouTube. Way to success. How to get trucks and ...</v>
      </c>
      <c r="L1011" s="5" t="str">
        <f>IFERROR(__xludf.DUMMYFUNCTION("GOOGLETRANSLATE(C1011)"),"#VALUE!")</f>
        <v>#VALUE!</v>
      </c>
      <c r="M1011" s="5" t="str">
        <f>IFERROR(__xludf.DUMMYFUNCTION("GOOGLETRANSLATE(G1011)"),"Google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012">
      <c r="A1012" s="1" t="s">
        <v>3130</v>
      </c>
      <c r="B1012" s="1" t="s">
        <v>3195</v>
      </c>
      <c r="C1012" s="1" t="s">
        <v>3196</v>
      </c>
      <c r="D1012" s="1">
        <v>14.0</v>
      </c>
      <c r="E1012" s="4" t="s">
        <v>3197</v>
      </c>
      <c r="F1012" s="1" t="s">
        <v>43</v>
      </c>
      <c r="G1012" s="1" t="s">
        <v>3150</v>
      </c>
      <c r="H1012" s="4" t="s">
        <v>3151</v>
      </c>
      <c r="I1012" s="2">
        <v>1.0</v>
      </c>
      <c r="J1012" s="5" t="str">
        <f>IFERROR(__xludf.DUMMYFUNCTION("GOOGLETRANSLATE(A1012)"),"Ютуб")</f>
        <v>Ютуб</v>
      </c>
      <c r="K1012" s="6" t="str">
        <f>IFERROR(__xludf.DUMMYFUNCTION("GOOGLETRANSLATE(B1012)"),"Set up YouTube Kids")</f>
        <v>Set up YouTube Kids</v>
      </c>
      <c r="L1012" s="5" t="str">
        <f>IFERROR(__xludf.DUMMYFUNCTION("GOOGLETRANSLATE(C1012)"),"YouTube Kids provides a more contained environment for kids to explore YouTube and makes it easier for parents and caregivers to guide their journey.")</f>
        <v>YouTube Kids provides a more contained environment for kids to explore YouTube and makes it easier for parents and caregivers to guide their journey.</v>
      </c>
      <c r="M1012" s="5" t="str">
        <f>IFERROR(__xludf.DUMMYFUNCTION("GOOGLETRANSLATE(G1012)"),"YouTube KidsTo use YouTube Kids please get a parent to update your browser.")</f>
        <v>YouTube KidsTo use YouTube Kids please get a parent to update your browser.</v>
      </c>
    </row>
    <row r="1013">
      <c r="A1013" s="1" t="s">
        <v>3130</v>
      </c>
      <c r="B1013" s="1" t="s">
        <v>3198</v>
      </c>
      <c r="C1013" s="1" t="s">
        <v>3199</v>
      </c>
      <c r="D1013" s="1">
        <v>15.0</v>
      </c>
      <c r="E1013" s="4" t="s">
        <v>3200</v>
      </c>
      <c r="F1013" s="1" t="s">
        <v>43</v>
      </c>
      <c r="G1013" s="1" t="s">
        <v>284</v>
      </c>
      <c r="H1013" s="4" t="s">
        <v>285</v>
      </c>
      <c r="I1013" s="2">
        <v>2.0</v>
      </c>
      <c r="J1013" s="5" t="str">
        <f>IFERROR(__xludf.DUMMYFUNCTION("GOOGLETRANSLATE(A1013)"),"Ютуб")</f>
        <v>Ютуб</v>
      </c>
      <c r="K1013" s="6" t="str">
        <f>IFERROR(__xludf.DUMMYFUNCTION("GOOGLETRANSLATE(B1013)"),"Sign in to continue to YouTube")</f>
        <v>Sign in to continue to YouTube</v>
      </c>
      <c r="L1013" s="5" t="str">
        <f>IFERROR(__xludf.DUMMYFUNCTION("GOOGLETRANSLATE(C1013)"),"to continue to YouTube. Email or phone. Forgot email? CAPTCHA image of text used to distinguish humans from robots. Type the text you hear or see.")</f>
        <v>to continue to YouTube. Email or phone. Forgot email? CAPTCHA image of text used to distinguish humans from robots. Type the text you hear or see.</v>
      </c>
      <c r="M1013" s="5" t="str">
        <f>IFERROR(__xludf.DUMMYFUNCTION("GOOGLETRANSLATE(G1013)"),"Sign in - Google Accountssign Inuse Your Google Accounemail or Phoeforgot Email?not your computer? Use a private browsing window to sign in. Learn Morenextcreate AccountAfrikaansazərBaycanbosanskitalskitalàtinanymraegdanskdeutskeestienglish (United Kingdo"&amp;"m)EnglishEnglish (United States)Español (Spaña)Franágasí)Eusrafilica). Gegalegohrvatsiaisuluíslenslenskaniswahilaswahilaswahilitwahililatvietuvišmagyarmelayaderlandsnorskporturguês (Brasilsilsiluguguês (portugal)romentonsklovenárpslovenven ng Việttttttoελ"&amp;"λληικάбеллууууConаябъгарскикыргыачаікссаі.і.і.і.і.і.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amp;"erms")</f>
        <v>Sign in - Google Accountssign Inuse Your Google Accounemail or Phoeforgot Email?not your computer? Use a private browsing window to sign in. Learn Morenextcreate AccountAfrikaansazərBaycanbosanskitalskitalàtinanymraegdanskdeutskeestienglish (United Kingdom)EnglishEnglish (United States)Español (Spaña)Franágasí)Eusrafilica). Gegalegohrvatsiaisuluíslenslenskaniswahilaswahilaswahilitwahililatvietuvišmagyarmelayaderlandsnorskporturguês (Brasilsilsiluguguês (portugal)romentonsklovenárpslovenven ng ViệttttttoελλληικάбеллууууConаябъгарскикыргыачаікссаі.і.і.і.і.і.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v>
      </c>
    </row>
    <row r="1014">
      <c r="A1014" s="1" t="s">
        <v>3130</v>
      </c>
      <c r="B1014" s="1" t="s">
        <v>3201</v>
      </c>
      <c r="C1014" s="1" t="s">
        <v>3202</v>
      </c>
      <c r="D1014" s="1">
        <v>16.0</v>
      </c>
      <c r="E1014" s="4" t="s">
        <v>3203</v>
      </c>
      <c r="F1014" s="1" t="s">
        <v>43</v>
      </c>
      <c r="G1014" s="1" t="s">
        <v>3204</v>
      </c>
      <c r="H1014" s="1" t="s">
        <v>3205</v>
      </c>
      <c r="I1014" s="2">
        <v>1.0</v>
      </c>
      <c r="J1014" s="5" t="str">
        <f>IFERROR(__xludf.DUMMYFUNCTION("GOOGLETRANSLATE(A1014)"),"Ютуб")</f>
        <v>Ютуб</v>
      </c>
      <c r="K1014" s="6" t="str">
        <f>IFERROR(__xludf.DUMMYFUNCTION("GOOGLETRANSLATE(B1014)"),"YouTube for Artists - Where Music Grows")</f>
        <v>YouTube for Artists - Where Music Grows</v>
      </c>
      <c r="L1014" s="5" t="str">
        <f>IFERROR(__xludf.DUMMYFUNCTION("GOOGLETRANSLATE(C1014)"),"Top Songs on YouTube · 1. Lil Mabu x ChriseanR... Lil Mabu · 2. SZA - Snooze (Offici... SZA · 3. Toosii - Favorite So... Toosii2x · 4. Doja Cat - Paint The...")</f>
        <v>Top Songs on YouTube · 1. Lil Mabu x ChriseanR... Lil Mabu · 2. SZA - Snooze (Offici... SZA · 3. Toosii - Favorite So... Toosii2x · 4. Doja Cat - Paint The...</v>
      </c>
      <c r="M1014" s="5" t="str">
        <f>IFERROR(__xludf.DUMMYFUNCTION("GOOGLETRANSLATE(G1014)"),"YouTube for Artists - Where Music Grows            Jump to content                            Features                                  News                                  Resources                                  Songwriters                           "&amp;"             Songwriters Home                                          Songwriters &amp; Producers                                          Publishers &amp; Societies                                          Content Strategies                                     "&amp;"     Insider tips                                  Where Music Grows                            Promote your music. Find your fans. Learn how to turn your                passion into a career on YouTube.                              Discover Rauw Alejandr"&amp;"o                              Go to Charts &amp; Insights                              Get started on YouTube                                Set up your Official Artist Channel                                  Start earning money                             "&amp;"     Make better decisions with Artist Analytics                                  Explore Shorts                                  Check out Artist Resources and FAQs                Unfiltered with...Tuma Basa                  Born in Zaire raised between "&amp;"Iowa and Zimbabwe and now based                  out of DC get to know YouTube’s Director of Black Music and                  Culture Tuma Basa and what’s on his mind in our inaugural                  edition of Unfiltered with…                Get to know"&amp;" Tuma Basa                  YouTube Charts                                  See which artists and songs are trending today on the world’s                  most expansive music platform.                                  Go to Charts                        "&amp;"    Top Songs on YouTube                              See all charts                                      See all charts                              Check out Artist Resources                                      Multi-Format Release Checklist           "&amp;"                                         This resource highlights the steps artists can take                          throughout the release cycle to best set their release                          up for success.                                          "&amp;"          Multi-Format Release Strategy                                                    This resource highlights how artists can utilize a                          multi-format release strategy - leveraging Shorts                          video and liv"&amp;"e - throughout each phase of the release                          cycle.                                                    Trending Track Playbook                                                    Explore ways to identify if your track is starting to   "&amp;"                       trend how to best amplify that song on YouTube and                          much more.                                                    Export Strategy Playbook                                                    Learn how to maxim"&amp;"ize the opportunity of YouTube to                          export your music globally                                                    Creator Music Guidebook for Artists &amp; Labels                                                    A new resource that co"&amp;"vers what Creator Music is and                          how it works as well as the promotional aspect the                          product can potentially have on your music.                                                    Going Live on YouTube for Ar"&amp;"tists &amp; Labels                                                    A new resource that covers a technical step by step on                          how music labels and artists can go live on YouTube.                                      See tips for you an"&amp;"d your team                        Stay in the know          Only on YouTube                          What is the biggest thing in music today?                          Participation. While YouTube has always been a two-way                          street"&amp;" engaging your audience with music has become                          mission critical.                                                    Have you seen my Short?                                                    Everybody knows that our mission at YouT"&amp;"ube is to                          become the No. 1 contributor of revenue for the music                          industry by 2025. But what you might not know is how                          important fandom is to us.                                     "&amp;"               Introducing...The Home For Songwriters On YouTube!                                                    We are pleased to announce the launch of our brand new                          YouTube for Songwriters portal within our revamped        "&amp;"                  YouTube for Artists site!                                                    Nobody does it like The BRITs                                                    From Elton to Amy to Skepta and now Little Simz my                          mis"&amp;"sion is to live and breathe UK Music.                                                    Artists doing it on their own terms.                                                    When YouTube was founded 16 years ago it was on the                          s"&amp;"houlders of do-it-yourself artists and creatives.                          This community understood that anyone can influence                          culture as long as they have the right music vision                          and team.                 "&amp;"                                   YouTube #Shorts is here. Have you made yours yet?                                                    Last Friday BTS invited the world to dance with them                          on YouTube Shorts. Their new single Permi"&amp;"ssion to                          Dance sparked the first-ever worldwide dance                          challenge on YouTube Shorts.                                      Read the latest news                            Need to claim your Official Artist Ch"&amp;"annel?                              Find out how")</f>
        <v>YouTube for Artists - Where Music Grows            Jump to content                            Features                                  News                                  Resources                                  Songwriters                                        Songwriters Home                                          Songwriters &amp; Producers                                          Publishers &amp; Societies                                          Content Strategies                                          Insider tips                                  Where Music Grows                            Promote your music. Find your fans. Learn how to turn your                passion into a career on YouTube.                              Discover Rauw Alejandro                              Go to Charts &amp; Insights                              Get started on YouTube                                Set up your Official Artist Channel                                  Start earning money                                  Make better decisions with Artist Analytics                                  Explore Shorts                                  Check out Artist Resources and FAQs                Unfiltered with...Tuma Basa                  Born in Zaire raised between Iowa and Zimbabwe and now based                  out of DC get to know YouTube’s Director of Black Music and                  Culture Tuma Basa and what’s on his mind in our inaugural                  edition of Unfiltered with…                Get to know Tuma Basa                  YouTube Charts                                  See which artists and songs are trending today on the world’s                  most expansive music platform.                                  Go to Charts                            Top Songs on YouTube                              See all charts                                      See all charts                              Check out Artist Resources                                      Multi-Format Release Checklist                                                    This resource highlights the steps artists can take                          throughout the release cycle to best set their release                          up for success.                                                    Multi-Format Release Strategy                                                    This resource highlights how artists can utilize a                          multi-format release strategy - leveraging Shorts                          video and live - throughout each phase of the release                          cycle.                                                    Trending Track Playbook                                                    Explore ways to identify if your track is starting to                          trend how to best amplify that song on YouTube and                          much more.                                                    Export Strategy Playbook                                                    Learn how to maximize the opportunity of YouTube to                          export your music globally                                                    Creator Music Guidebook for Artists &amp; Labels                                                    A new resource that covers what Creator Music is and                          how it works as well as the promotional aspect the                          product can potentially have on your music.                                                    Going Live on YouTube for Artists &amp; Labels                                                    A new resource that covers a technical step by step on                          how music labels and artists can go live on YouTube.                                      See tips for you and your team                        Stay in the know          Only on YouTube                          What is the biggest thing in music today?                          Participation. While YouTube has always been a two-way                          street engaging your audience with music has become                          mission critical.                                                    Have you seen my Short?                                                    Everybody knows that our mission at YouTube is to                          become the No. 1 contributor of revenue for the music                          industry by 2025. But what you might not know is how                          important fandom is to us.                                                    Introducing...The Home For Songwriters On YouTube!                                                    We are pleased to announce the launch of our brand new                          YouTube for Songwriters portal within our revamped                          YouTube for Artists site!                                                    Nobody does it like The BRITs                                                    From Elton to Amy to Skepta and now Little Simz my                          mission is to live and breathe UK Music.                                                    Artists doing it on their own terms.                                                    When YouTube was founded 16 years ago it was on the                          shoulders of do-it-yourself artists and creatives.                          This community understood that anyone can influence                          culture as long as they have the right music vision                          and team.                                                    YouTube #Shorts is here. Have you made yours yet?                                                    Last Friday BTS invited the world to dance with them                          on YouTube Shorts. Their new single Permission to                          Dance sparked the first-ever worldwide dance                          challenge on YouTube Shorts.                                      Read the latest news                            Need to claim your Official Artist Channel?                              Find out how</v>
      </c>
    </row>
    <row r="1015">
      <c r="A1015" s="1" t="s">
        <v>3130</v>
      </c>
      <c r="B1015" s="1" t="s">
        <v>3193</v>
      </c>
      <c r="D1015" s="1">
        <v>23.0</v>
      </c>
      <c r="E1015" s="4" t="s">
        <v>3206</v>
      </c>
      <c r="F1015" s="1" t="s">
        <v>43</v>
      </c>
      <c r="G1015" s="1" t="s">
        <v>302</v>
      </c>
      <c r="H1015" s="4" t="s">
        <v>303</v>
      </c>
      <c r="I1015" s="2">
        <v>3.0</v>
      </c>
      <c r="J1015" s="5" t="str">
        <f>IFERROR(__xludf.DUMMYFUNCTION("GOOGLETRANSLATE(A1015)"),"Ютуб")</f>
        <v>Ютуб</v>
      </c>
      <c r="K1015" s="6" t="str">
        <f>IFERROR(__xludf.DUMMYFUNCTION("GOOGLETRANSLATE(B1015)"),"New YouTube. Way to success. How to get trucks and ...")</f>
        <v>New YouTube. Way to success. How to get trucks and ...</v>
      </c>
      <c r="L1015" s="5" t="str">
        <f>IFERROR(__xludf.DUMMYFUNCTION("GOOGLETRANSLATE(C1015)"),"#VALUE!")</f>
        <v>#VALUE!</v>
      </c>
      <c r="M1015" s="5" t="str">
        <f>IFERROR(__xludf.DUMMYFUNCTION("GOOGLETRANSLATE(G1015)"),"Google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016">
      <c r="A1016" s="1" t="s">
        <v>3130</v>
      </c>
      <c r="B1016" s="1" t="s">
        <v>3207</v>
      </c>
      <c r="C1016" s="1" t="s">
        <v>3208</v>
      </c>
      <c r="D1016" s="1">
        <v>26.0</v>
      </c>
      <c r="E1016" s="4" t="s">
        <v>3209</v>
      </c>
      <c r="F1016" s="1" t="s">
        <v>43</v>
      </c>
      <c r="G1016" s="1" t="s">
        <v>216</v>
      </c>
      <c r="H1016" s="4" t="s">
        <v>217</v>
      </c>
      <c r="I1016" s="2">
        <v>1.0</v>
      </c>
      <c r="J1016" s="5" t="str">
        <f>IFERROR(__xludf.DUMMYFUNCTION("GOOGLETRANSLATE(A1016)"),"Ютуб")</f>
        <v>Ютуб</v>
      </c>
      <c r="K1016" s="6" t="str">
        <f>IFERROR(__xludf.DUMMYFUNCTION("GOOGLETRANSLATE(B1016)"),"Create a YouTube channel")</f>
        <v>Create a YouTube channel</v>
      </c>
      <c r="L1016" s="5" t="str">
        <f>IFERROR(__xludf.DUMMYFUNCTION("GOOGLETRANSLATE(C1016)"),"Create a personal channel · Sign in to YouTube on a computer or the mobile site. · Click your profile picture """" and then Create a channel. · You'll be asked to ...")</f>
        <v>Create a personal channel · Sign in to YouTube on a computer or the mobile site. · Click your profile picture "" and then Create a channel. · You'll be asked to ...</v>
      </c>
      <c r="M1016" s="5" t="str">
        <f>IFERROR(__xludf.DUMMYFUNCTION("GOOGLETRANSLATE(G1016)"),"Google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1017">
      <c r="A1017" s="1" t="s">
        <v>3130</v>
      </c>
      <c r="B1017" s="1" t="s">
        <v>3188</v>
      </c>
      <c r="D1017" s="1">
        <v>27.0</v>
      </c>
      <c r="E1017" s="4" t="s">
        <v>3210</v>
      </c>
      <c r="F1017" s="1" t="s">
        <v>43</v>
      </c>
      <c r="G1017" s="1" t="s">
        <v>302</v>
      </c>
      <c r="H1017" s="4" t="s">
        <v>303</v>
      </c>
      <c r="I1017" s="2">
        <v>2.0</v>
      </c>
      <c r="J1017" s="5" t="str">
        <f>IFERROR(__xludf.DUMMYFUNCTION("GOOGLETRANSLATE(A1017)"),"Ютуб")</f>
        <v>Ютуб</v>
      </c>
      <c r="K1017" s="6" t="str">
        <f>IFERROR(__xludf.DUMMYFUNCTION("GOOGLETRANSLATE(B1017)"),"30 problems of YouTube masters and ways to solve them")</f>
        <v>30 problems of YouTube masters and ways to solve them</v>
      </c>
      <c r="L1017" s="5" t="str">
        <f>IFERROR(__xludf.DUMMYFUNCTION("GOOGLETRANSLATE(C1017)"),"#VALUE!")</f>
        <v>#VALUE!</v>
      </c>
      <c r="M1017" s="5" t="str">
        <f>IFERROR(__xludf.DUMMYFUNCTION("GOOGLETRANSLATE(G1017)"),"Google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018">
      <c r="A1018" s="1" t="s">
        <v>3130</v>
      </c>
      <c r="B1018" s="1" t="s">
        <v>3184</v>
      </c>
      <c r="D1018" s="1">
        <v>28.0</v>
      </c>
      <c r="E1018" s="4" t="s">
        <v>3211</v>
      </c>
      <c r="F1018" s="1" t="s">
        <v>43</v>
      </c>
      <c r="G1018" s="1" t="s">
        <v>302</v>
      </c>
      <c r="H1018" s="4" t="s">
        <v>303</v>
      </c>
      <c r="I1018" s="2">
        <v>2.0</v>
      </c>
      <c r="J1018" s="5" t="str">
        <f>IFERROR(__xludf.DUMMYFUNCTION("GOOGLETRANSLATE(A1018)"),"Ютуб")</f>
        <v>Ютуб</v>
      </c>
      <c r="K1018" s="6" t="str">
        <f>IFERROR(__xludf.DUMMYFUNCTION("GOOGLETRANSLATE(B1018)"),"YouTube: The Way to Success. Part 1. How to get trucks and ...")</f>
        <v>YouTube: The Way to Success. Part 1. How to get trucks and ...</v>
      </c>
      <c r="L1018" s="5" t="str">
        <f>IFERROR(__xludf.DUMMYFUNCTION("GOOGLETRANSLATE(C1018)"),"#VALUE!")</f>
        <v>#VALUE!</v>
      </c>
      <c r="M1018" s="5" t="str">
        <f>IFERROR(__xludf.DUMMYFUNCTION("GOOGLETRANSLATE(G1018)"),"Google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019">
      <c r="A1019" s="1" t="s">
        <v>3130</v>
      </c>
      <c r="B1019" s="1" t="s">
        <v>3212</v>
      </c>
      <c r="C1019" s="1" t="s">
        <v>3213</v>
      </c>
      <c r="D1019" s="1">
        <v>33.0</v>
      </c>
      <c r="E1019" s="4" t="s">
        <v>3214</v>
      </c>
      <c r="F1019" s="1" t="s">
        <v>43</v>
      </c>
      <c r="G1019" s="1" t="s">
        <v>3215</v>
      </c>
      <c r="H1019" s="4" t="s">
        <v>3216</v>
      </c>
      <c r="I1019" s="2">
        <v>4.0</v>
      </c>
      <c r="J1019" s="5" t="str">
        <f>IFERROR(__xludf.DUMMYFUNCTION("GOOGLETRANSLATE(A1019)"),"Ютуб")</f>
        <v>Ютуб</v>
      </c>
      <c r="K1019" s="6" t="str">
        <f>IFERROR(__xludf.DUMMYFUNCTION("GOOGLETRANSLATE(B1019)"),"YouTube Icon")</f>
        <v>YouTube Icon</v>
      </c>
      <c r="L1019" s="5" t="str">
        <f>IFERROR(__xludf.DUMMYFUNCTION("GOOGLETRANSLATE(C1019)"),"YouTube icon in the Solid style. Make a bold statement in small sizes.. Available now in Font Awesome 6.")</f>
        <v>YouTube icon in the Solid style. Make a bold statement in small sizes.. Available now in Font Awesome 6.</v>
      </c>
      <c r="M1019" s="5" t="str">
        <f>IFERROR(__xludf.DUMMYFUNCTION("GOOGLETRANSLATE(G1019)"),"Font Awesome")</f>
        <v>Font Awesome</v>
      </c>
    </row>
    <row r="1020">
      <c r="A1020" s="1" t="s">
        <v>3217</v>
      </c>
      <c r="B1020" s="1" t="s">
        <v>3218</v>
      </c>
      <c r="C1020" s="1" t="s">
        <v>3219</v>
      </c>
      <c r="D1020" s="1">
        <v>1.0</v>
      </c>
      <c r="E1020" s="4" t="s">
        <v>3220</v>
      </c>
      <c r="F1020" s="1" t="s">
        <v>16</v>
      </c>
      <c r="G1020" s="1" t="s">
        <v>3221</v>
      </c>
      <c r="H1020" s="4" t="s">
        <v>3222</v>
      </c>
      <c r="I1020" s="2">
        <v>0.0</v>
      </c>
      <c r="J1020" s="5" t="str">
        <f>IFERROR(__xludf.DUMMYFUNCTION("GOOGLETRANSLATE(A1020)"),"Yandex")</f>
        <v>Yandex</v>
      </c>
      <c r="K1020" s="6" t="str">
        <f>IFERROR(__xludf.DUMMYFUNCTION("GOOGLETRANSLATE(B1020)"),"Yandex")</f>
        <v>Yandex</v>
      </c>
      <c r="L1020" s="5" t="str">
        <f>IFERROR(__xludf.DUMMYFUNCTION("GOOGLETRANSLATE(C1020)"),"Yandex is a search engine and an Internet portal. Search on the Internet, Alice and other services: on Ya.ru there are cards, transport, weather, music, taxi, translator, ...")</f>
        <v>Yandex is a search engine and an Internet portal. Search on the Internet, Alice and other services: on Ya.ru there are cards, transport, weather, music, taxi, translator, ...</v>
      </c>
      <c r="M1020" s="5" t="str">
        <f>IFERROR(__xludf.DUMMYFUNCTION("GOOGLETRANSLATE(G1020)"),"Yandexptymarketegrykykinopoisoprosopperovodsovo.Puzyuzkrazrazrazrazpakumvs0 ° Courses of the Central Bank of the Russian Federation 9205EUR 9832ENN-arborvs service menus Mostyandex Poster -Disetrodilpracamyandex assignments of the Buscamate -Studytkazamya"&amp;"myamalemetrimetricaplyupoplyuspo -Dogodrodapogodopoisk for archives for commodity. Nearch -dietetroservykovydki {""Static"": ""2023-11-11-416.1"" ""Content"": ""Big"" ""Domain"": ""ru""}")</f>
        <v>Yandexptymarketegrykykinopoisoprosopperovodsovo.Puzyuzkrazrazrazrazpakumvs0 ° Courses of the Central Bank of the Russian Federation 9205EUR 9832ENN-arborvs service menus Mostyandex Poster -Disetrodilpracamyandex assignments of the Buscamate -Studytkazamyamyamalemetrimetricaplyupoplyuspo -Dogodrodapogodopoisk for archives for commodity. Nearch -dietetroservykovydki {"Static": "2023-11-11-416.1" "Content": "Big" "Domain": "ru"}</v>
      </c>
    </row>
    <row r="1021">
      <c r="A1021" s="1" t="s">
        <v>3217</v>
      </c>
      <c r="B1021" s="1" t="s">
        <v>1643</v>
      </c>
      <c r="C1021" s="1" t="s">
        <v>3223</v>
      </c>
      <c r="D1021" s="1">
        <v>2.0</v>
      </c>
      <c r="E1021" s="4" t="s">
        <v>1644</v>
      </c>
      <c r="F1021" s="1" t="s">
        <v>16</v>
      </c>
      <c r="G1021" s="1" t="s">
        <v>1645</v>
      </c>
      <c r="H1021" s="4" t="s">
        <v>1646</v>
      </c>
      <c r="I1021" s="2">
        <v>2.0</v>
      </c>
      <c r="J1021" s="5" t="str">
        <f>IFERROR(__xludf.DUMMYFUNCTION("GOOGLETRANSLATE(A1021)"),"Yandex")</f>
        <v>Yandex</v>
      </c>
      <c r="K1021" s="6" t="str">
        <f>IFERROR(__xludf.DUMMYFUNCTION("GOOGLETRANSLATE(B1021)"),"Convenient Yandex Post with spam protection")</f>
        <v>Convenient Yandex Post with spam protection</v>
      </c>
      <c r="L1021" s="5" t="str">
        <f>IFERROR(__xludf.DUMMYFUNCTION("GOOGLETRANSLATE(C1021)"),"Bring mail on Yandex: reliable protection against spam and viruses, sorting of categories, allocation of letters from people, 5 GB on Yandex disk for free, ...")</f>
        <v>Bring mail on Yandex: reliable protection against spam and viruses, sorting of categories, allocation of letters from people, 5 GB on Yandex disk for free, ...</v>
      </c>
      <c r="M1021" s="5" t="str">
        <f>IFERROR(__xludf.DUMMYFUNCTION("GOOGLETRANSLATE(G1021)"),"Authorization is notable to enable JavaScript for the correct operation of this site, turn on JavaScript. Take the Yandex ID to go to the postage of the post-alphabet to create IDVITSITITIONS IDVITS INCOUT WITHOWTERDERAX ID-Keep the key to all services. F"&amp;"ind out more and most of the control Someone else's computer-certificate and support © 2001-2023 Yandex")</f>
        <v>Authorization is notable to enable JavaScript for the correct operation of this site, turn on JavaScript. Take the Yandex ID to go to the postage of the post-alphabet to create IDVITSITITIONS IDVITS INCOUT WITHOWTERDERAX ID-Keep the key to all services. Find out more and most of the control Someone else's computer-certificate and support © 2001-2023 Yandex</v>
      </c>
    </row>
    <row r="1022">
      <c r="A1022" s="1" t="s">
        <v>3217</v>
      </c>
      <c r="B1022" s="1" t="s">
        <v>3224</v>
      </c>
      <c r="D1022" s="1">
        <v>3.0</v>
      </c>
      <c r="E1022" s="4" t="s">
        <v>3225</v>
      </c>
      <c r="F1022" s="1" t="s">
        <v>16</v>
      </c>
      <c r="I1022" s="2">
        <v>0.0</v>
      </c>
      <c r="J1022" s="5" t="str">
        <f>IFERROR(__xludf.DUMMYFUNCTION("GOOGLETRANSLATE(A1022)"),"Yandex")</f>
        <v>Yandex</v>
      </c>
      <c r="K1022" s="6" t="str">
        <f>IFERROR(__xludf.DUMMYFUNCTION("GOOGLETRANSLATE(B1022)"),"Yandex music")</f>
        <v>Yandex music</v>
      </c>
      <c r="L1022" s="5" t="str">
        <f>IFERROR(__xludf.DUMMYFUNCTION("GOOGLETRANSLATE(C1022)"),"#VALUE!")</f>
        <v>#VALUE!</v>
      </c>
      <c r="M1022" s="5" t="str">
        <f>IFERROR(__xludf.DUMMYFUNCTION("GOOGLETRANSLATE(G1022)"),"#VALUE!")</f>
        <v>#VALUE!</v>
      </c>
    </row>
    <row r="1023">
      <c r="A1023" s="1" t="s">
        <v>3217</v>
      </c>
      <c r="B1023" s="1" t="s">
        <v>3226</v>
      </c>
      <c r="C1023" s="1" t="s">
        <v>3227</v>
      </c>
      <c r="D1023" s="1">
        <v>4.0</v>
      </c>
      <c r="E1023" s="4" t="s">
        <v>3228</v>
      </c>
      <c r="F1023" s="1" t="s">
        <v>16</v>
      </c>
      <c r="G1023" s="1" t="s">
        <v>336</v>
      </c>
      <c r="H1023" s="4" t="s">
        <v>453</v>
      </c>
      <c r="I1023" s="2">
        <v>0.0</v>
      </c>
      <c r="J1023" s="5" t="str">
        <f>IFERROR(__xludf.DUMMYFUNCTION("GOOGLETRANSLATE(A1023)"),"Yandex")</f>
        <v>Yandex</v>
      </c>
      <c r="K1023" s="6" t="str">
        <f>IFERROR(__xludf.DUMMYFUNCTION("GOOGLETRANSLATE(B1023)"),"Yandex company")</f>
        <v>Yandex company</v>
      </c>
      <c r="L1023" s="5" t="str">
        <f>IFERROR(__xludf.DUMMYFUNCTION("GOOGLETRANSLATE(C1023)"),"The official website of the company ""Yandex"". Latest news about Yandex services: Alice, Search, smart devices, cards, weather, taxi, translator, browser and others ...")</f>
        <v>The official website of the company "Yandex". Latest news about Yandex services: Alice, Search, smart devices, cards, weather, taxi, translator, browser and others ...</v>
      </c>
      <c r="M1023" s="5" t="str">
        <f>IFERROR(__xludf.DUMMYFUNCTION("GOOGLETRANSLATE(G1023)"),"Oh!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024">
      <c r="A1024" s="1" t="s">
        <v>3217</v>
      </c>
      <c r="B1024" s="1" t="s">
        <v>3229</v>
      </c>
      <c r="D1024" s="1">
        <v>5.0</v>
      </c>
      <c r="E1024" s="4" t="s">
        <v>3230</v>
      </c>
      <c r="F1024" s="1" t="s">
        <v>16</v>
      </c>
      <c r="G1024" s="1" t="s">
        <v>336</v>
      </c>
      <c r="H1024" s="4" t="s">
        <v>3231</v>
      </c>
      <c r="I1024" s="2">
        <v>0.0</v>
      </c>
      <c r="J1024" s="5" t="str">
        <f>IFERROR(__xludf.DUMMYFUNCTION("GOOGLETRANSLATE(A1024)"),"Yandex")</f>
        <v>Yandex</v>
      </c>
      <c r="K1024" s="6" t="str">
        <f>IFERROR(__xludf.DUMMYFUNCTION("GOOGLETRANSLATE(B1024)"),"Download Yandex Browser")</f>
        <v>Download Yandex Browser</v>
      </c>
      <c r="L1024" s="5" t="str">
        <f>IFERROR(__xludf.DUMMYFUNCTION("GOOGLETRANSLATE(C1024)"),"#VALUE!")</f>
        <v>#VALUE!</v>
      </c>
      <c r="M1024" s="5" t="str">
        <f>IFERROR(__xludf.DUMMYFUNCTION("GOOGLETRANSLATE(G1024)"),"Oh!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025">
      <c r="A1025" s="1" t="s">
        <v>3217</v>
      </c>
      <c r="B1025" s="1" t="s">
        <v>3232</v>
      </c>
      <c r="D1025" s="1">
        <v>6.0</v>
      </c>
      <c r="E1025" s="4" t="s">
        <v>3233</v>
      </c>
      <c r="F1025" s="1" t="s">
        <v>16</v>
      </c>
      <c r="G1025" s="1" t="s">
        <v>336</v>
      </c>
      <c r="H1025" s="4" t="s">
        <v>453</v>
      </c>
      <c r="I1025" s="2">
        <v>0.0</v>
      </c>
      <c r="J1025" s="5" t="str">
        <f>IFERROR(__xludf.DUMMYFUNCTION("GOOGLETRANSLATE(A1025)"),"Yandex")</f>
        <v>Yandex</v>
      </c>
      <c r="K1025" s="6" t="str">
        <f>IFERROR(__xludf.DUMMYFUNCTION("GOOGLETRANSLATE(B1025)"),"Games online for free and without installation for every taste")</f>
        <v>Games online for free and without installation for every taste</v>
      </c>
      <c r="L1025" s="5" t="str">
        <f>IFERROR(__xludf.DUMMYFUNCTION("GOOGLETRANSLATE(C1025)"),"#VALUE!")</f>
        <v>#VALUE!</v>
      </c>
      <c r="M1025" s="5" t="str">
        <f>IFERROR(__xludf.DUMMYFUNCTION("GOOGLETRANSLATE(G1025)"),"Oh!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026">
      <c r="A1026" s="1" t="s">
        <v>3217</v>
      </c>
      <c r="B1026" s="1" t="s">
        <v>3234</v>
      </c>
      <c r="D1026" s="1">
        <v>7.0</v>
      </c>
      <c r="E1026" s="4" t="s">
        <v>3235</v>
      </c>
      <c r="F1026" s="1" t="s">
        <v>16</v>
      </c>
      <c r="G1026" s="1" t="s">
        <v>336</v>
      </c>
      <c r="H1026" s="4" t="s">
        <v>2692</v>
      </c>
      <c r="I1026" s="2">
        <v>0.0</v>
      </c>
      <c r="J1026" s="5" t="str">
        <f>IFERROR(__xludf.DUMMYFUNCTION("GOOGLETRANSLATE(A1026)"),"Yandex")</f>
        <v>Yandex</v>
      </c>
      <c r="K1026" s="6" t="str">
        <f>IFERROR(__xludf.DUMMYFUNCTION("GOOGLETRANSLATE(B1026)"),"Day")</f>
        <v>Day</v>
      </c>
      <c r="L1026" s="5" t="str">
        <f>IFERROR(__xludf.DUMMYFUNCTION("GOOGLETRANSLATE(C1026)"),"#VALUE!")</f>
        <v>#VALUE!</v>
      </c>
      <c r="M1026" s="5" t="str">
        <f>IFERROR(__xludf.DUMMYFUNCTION("GOOGLETRANSLATE(G1026)"),"Oh!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027">
      <c r="A1027" s="1" t="s">
        <v>3217</v>
      </c>
      <c r="B1027" s="1" t="s">
        <v>3236</v>
      </c>
      <c r="C1027" s="1" t="s">
        <v>3237</v>
      </c>
      <c r="D1027" s="1">
        <v>8.0</v>
      </c>
      <c r="E1027" s="4" t="s">
        <v>3238</v>
      </c>
      <c r="F1027" s="1" t="s">
        <v>16</v>
      </c>
      <c r="G1027" s="1" t="s">
        <v>1768</v>
      </c>
      <c r="H1027" s="4" t="s">
        <v>1769</v>
      </c>
      <c r="I1027" s="2">
        <v>2.0</v>
      </c>
      <c r="J1027" s="5" t="str">
        <f>IFERROR(__xludf.DUMMYFUNCTION("GOOGLETRANSLATE(A1027)"),"Yandex")</f>
        <v>Yandex</v>
      </c>
      <c r="K1027" s="6" t="str">
        <f>IFERROR(__xludf.DUMMYFUNCTION("GOOGLETRANSLATE(B1027)"),"Yandex - all news and articles")</f>
        <v>Yandex - all news and articles</v>
      </c>
      <c r="L1027" s="5" t="str">
        <f>IFERROR(__xludf.DUMMYFUNCTION("GOOGLETRANSLATE(C1027)"),"Yandex 11:03. The government revealed the details of financing preferential mortgages · 10:55. The source announced the explosion before the rows of wagons from the rails in ...")</f>
        <v>Yandex 11:03. The government revealed the details of financing preferential mortgages · 10:55. The source announced the explosion before the rows of wagons from the rails in ...</v>
      </c>
      <c r="M1027" s="5" t="str">
        <f>IFERROR(__xludf.DUMMYFUNCTION("GOOGLETRANSLATE(G1027)"),"The main news is Gazeta.ru news Sports -School of Supervalitical Survey of Cultivate Cultural Sciences and Chief -StorytoteTistylPhoto -nerdhotorinfographicography of the Council #War in Israel #the best doctors of the Russian City Sports #War in Israel #"&amp;"The best doctors of the Russian Political Economicity Cultivational of Culture of Culture and Children Photoinfographicics of the Condition of Israel announced the destruction of dozens of leaders Hamas06: 40 Moscow talked about the weather on Sunday06: 3"&amp;"1th shores of Indonesia, an earthquake of magnitude 5506 occurred: 20ostin discussed with Umarov the fighting in Ukraine06: 10 Dubl Ovechkina brought Washington to the victory over Aylanders 06:03 Pittsburgh defeated Buffalo thanks to Malkin's Grack05: 57"&amp;" Brate Habib made a statement against the background of a doping scandal05: 50 Ukrainian taxi service permitted complaints of complaints about “Anti -Ukrainian” drivers05: 26armia of the Russian Federation eliminated four mortar calculations of the Armed "&amp;"Forces in the Kupyansk direction05: 23 raw Plushenko responded to the proposal to go to Tutbridze in one word: 20VAZEGAZETA.ru on the working stand of quick accession now the main news - Gazeta.ru Picture of the day of the day named “ Northern streams. """&amp;" This is an arrested colonel of the VSUWP: the ex-colonel of the MSC APU coordinated the undermining of the Northern Streams 00:30 The train went off the rails after the railway detachment near Ryazan. The case of terrorist attacks of the Ryazan region wa"&amp;"s initiated by the case of a terrorist attack after the 19 wagons settled on the rails 11/11/2023 22:44 “A bunch of felon imperfections”: Pugacheva explained to whom she called “slaves and slaves”, the singer Pugacheva called her critics slanderers and ar"&amp;"rears11.11.2023 18: 18 Belom house: 18 Beloma house I did not like the Johnson’s project to save from Shatdown03: 11V Minzifra clarified which VPN services will block in the Russian Federation03: 35th way to the title: Pavlovich beats with aspinalle. Live"&amp;" mixed martial arts. UFC 295. Sergey Pavlovich (Russia) - Tom Aspinall (Great Britain). Online06: an 11th US Air Force crashed in the waters of the Mediterranean Sea00: 31bellator made a statement due to the scandal with the doping of his brother Khabib01"&amp;": 5010 main photos of the week: the situation in the gas sector of Roman on trunks and protests in Spain fled from the circus near Rome00: 25: 25: 25: 25: 25 An attempt to go bankrupt ”: how Russia quarreled with Carlsberg because of the Baltic in the Rus"&amp;"sian Foreign Ministry called Carlsberg statements about the theft of business 11/11/2023 20:17“ Let him fight against the Satanists. ” Dudia is checked for discrediting the army the prosecutor's office checks Dudia according to the criminal article on the"&amp;" discrediting of the army 11/11/2023 20: 263: 1 Wings of Soviets - the Urals 1: 1 Turel - CSKA 2: 1 Lokomotiv M - Akhmat 1: 1 Zenit - Krasnodar 4: 3 Lada - Spartak 3 : 0 metallurgist MG-AK BARS 4: 2 SKA-Neftekhimikport1: 1-headed match of the fall: “Zenit"&amp;"” and “Krasnodar” played a fiery draw in St. Petersburg “Zenit” against Krasnodar in the central match of the RPL tour 11.11.2023 19: 30 Ovechkin Double brought Washington Victory over Aylanders 06:03 Pittsburgh defeated Buffalo thanks to the Golkina Grac"&amp;"k05: 57 Brute Khabib made a statement against the backdrop of the scandal with doping05: 50 Sylchenko reacted to the proposal to go to Tutberidze with one word05: 20 eyes Tutberidze: Valieva struck the audience immediately after the hearing in Casvaliev w"&amp;"on a short program at the stage of the Russian Grand Prix in Kazan 1111.11.2023 15: 141: 1-dramatic draw: “torch” stole the victory in Voronezh “torch” and CSKA tied in the match 15- го тура РПЛ11.11.2023 14:00Новости и материалыИзраиль объявил об уничтож"&amp;"ении десятков главарей ХАМАС06:40Москвичам рассказали о погоде в воскресенье06:31У берегов Индонезии произошло землетрясение магнитудой 5506:20Остин обсудил с Умеровым боевые действия на Украине06:10Украинский сервис такси разрешил жалобы на «антиукраинск"&amp;"их» drivers 05: 26armia of the Russian Federation eliminated four mortar calculations of the Armed Forces of Ukraine in the Kupyansk direction05: 23tshal struck the terrorist infrastructure in the SAR05: 13VVS of Jordan performed the humanitarian raid in "&amp;"the GAZ sector: 04 PROGRACTION Service of Gaza named the work of the RAFAS efficiency for foreigners04: 59 German, 59 German Germanics will increase volume of military assistance to Ukraine In 202404: 55V, the United States announced strange traces on Ove"&amp;"chkin's neck04: 50 to Ukraine declassified that he made a heal04: 46Arab countries refused to share gas and western coast04: 32vo announced the loss of communication with the coordinators in the Ashifa hospital in Gaza04: 28-Russian scheme of fraudsters d"&amp;"uring the sale: 10 Vovychkin interrupted without a series in the NHL04: 05 European farmers fear a new threat due to Ukraine’s entry into the EU04: 04 in the State Duma offered new benefits for children from large families03: 54 “I would not go”: the cham"&amp;"pion of Khorkina appreciated the conditions for admission Russians03: 50th police officers were wounded during the promotion in support of Palestine in London03: 26VS news Domitri Samoilov that the average Muscovite feels at 4011.11.2023 08:30 Denis Lukya"&amp;"nov “We ​​will understand but later”. Why did Bunin give Nobel? 10.11.2023 08:22 Marya Yardaevana, we want to not believe. Why teachers against AI? 09.11.2023 08:00 ""We will answer the same."" Kiev threatened with blows on the energy infrastructure of th"&amp;"e Russian Ukrainian, he threatened with response blows on the energy infrastructure of Russia 11/11/11.2023 18:45 “There are no prospects for an ambulance over Russia”: Borrel assessed the situation in Ukraine: Ukraine’s victories over the Russian Federat"&amp;"ion will not be in the near future 11/11/11.2023 16:43 “Not In small volumes ”: after the official refusal, Europe continues to purchase a Russian Gazmiller said that European countries are still receiving Russian GAZ11.11.2023 15:51“ Mass grave in the ho"&amp;"spital ”. What is happening in Gazetasnim: Hamas stopped the Israeli army at the Ash-Shifa hospital in Gaza 11/11/2023 14:45 Bayden and Xi Jinping will meet in San Francisco. On the agenda of relations with Russia and Iranpolitico: Biden plans a “hard con"&amp;"versation” with the leader of the PRC about Russia and Iran 1111.11.2023 13:41 Plan of military assistance to Ukraine for € 20 billion met resistance from the Esreters countries: Germany opposed the allocation of the EU to Ukraine € 20 billion Military As"&amp;"sistance 11/11/2023 11: 09v Moscow showed rare coins of the Golden Horde why cellulite appears and how it is treated with a coclub Karapetyan: the development of cellulite leads to convulsions and edema 11/11/2023 08:27 Test: what evaluation will you pass"&amp;" the Russian language exam for the 8th Class on a few questions about the Russian language and find out your assessment 111.11.2023 08:26 Robots drop smartphones and photograph food. A day of the life of the factory to the Kitaireput “Gazeta.ru” about the"&amp;" factory and the Oppo photo laboratory where robots work 11/11/2023 08:09 Author of denunciations at the stars of Borodin, he has not yet known about this MAMAD WALL OF NORTH Ossetia. And panic attacks. In line for tickets for the Nutcracker, the Bolshoi "&amp;"Theater suffered in the queue for the Nutcracker, the two crowned a crush on 11/11/2023 00:22 ""Rentified"" apologized. "" The policeman, who threw drugs, Ivan Golunov, went free to the freedom of the form of an ex-policeman Konovalov, sentenced in the ca"&amp;"se of Golunov 110.11.2023 23: 46 Read the same Russian, they want to return the Totalizerkak, the neural network affects your purchaseyandex, it has launched a new function to follow the level of calcium and the lazy calcium. How to protect yourself from "&amp;"cardiovascular disease in Russia protect satellite broadcasting, the readable recruitment of the Card Cardiccam Camerass the Establishment of the Politics of Confidentiality © Gazeta.ru JSC (1999-2023) is the main news of the day: Gazeta.ru (gazeta.ru) Fo"&amp;"under: Gazeta.ru »OGRN 1067761730376 TIN 7743625728ADRES of the founder: 125239 Russia Moscow Koptevskaya Street House 67Adres editorial and publisher: 117105. Moskvavarshavskoye Shosse d.9 p. 1 telephone editorial office: +7 (495) 785-00-12 | Fax: +7 (49"&amp;"5) 785-17-01Electron mail: gazeta@gazeta.ru18+ Media registration of EL No. FS77-67642 was issued by the Federal Service for the Service of Information Technologies and Mass Communications (Roskomnadzor) 10.11.2016 The editors are not responsible for the "&amp;"reliability of the information contained in advertisements. The editors do not provide reference information. Information on restrictions on the use of advisory technologies is found an error? Closurepasibi for your message We will soon fix everything. Be"&amp;"fore reading")</f>
        <v>The main news is Gazeta.ru news Sports -School of Supervalitical Survey of Cultivate Cultural Sciences and Chief -StorytoteTistylPhoto -nerdhotorinfographicography of the Council #War in Israel #the best doctors of the Russian City Sports #War in Israel #The best doctors of the Russian Political Economicity Cultivational of Culture of Culture and Children Photoinfographicics of the Condition of Israel announced the destruction of dozens of leaders Hamas06: 40 Moscow talked about the weather on Sunday06: 31th shores of Indonesia, an earthquake of magnitude 5506 occurred: 20ostin discussed with Umarov the fighting in Ukraine06: 10 Dubl Ovechkina brought Washington to the victory over Aylanders 06:03 Pittsburgh defeated Buffalo thanks to Malkin's Grack05: 57 Brate Habib made a statement against the background of a doping scandal05: 50 Ukrainian taxi service permitted complaints of complaints about “Anti -Ukrainian” drivers05: 26armia of the Russian Federation eliminated four mortar calculations of the Armed Forces in the Kupyansk direction05: 23 raw Plushenko responded to the proposal to go to Tutbridze in one word: 20VAZEGAZETA.ru on the working stand of quick accession now the main news - Gazeta.ru Picture of the day of the day named “ Northern streams. " This is an arrested colonel of the VSUWP: the ex-colonel of the MSC APU coordinated the undermining of the Northern Streams 00:30 The train went off the rails after the railway detachment near Ryazan. The case of terrorist attacks of the Ryazan region was initiated by the case of a terrorist attack after the 19 wagons settled on the rails 11/11/2023 22:44 “A bunch of felon imperfections”: Pugacheva explained to whom she called “slaves and slaves”, the singer Pugacheva called her critics slanderers and arrears11.11.2023 18: 18 Belom house: 18 Beloma house I did not like the Johnson’s project to save from Shatdown03: 11V Minzifra clarified which VPN services will block in the Russian Federation03: 35th way to the title: Pavlovich beats with aspinalle. Live mixed martial arts. UFC 295. Sergey Pavlovich (Russia) - Tom Aspinall (Great Britain). Online06: an 11th US Air Force crashed in the waters of the Mediterranean Sea00: 31bellator made a statement due to the scandal with the doping of his brother Khabib01: 5010 main photos of the week: the situation in the gas sector of Roman on trunks and protests in Spain fled from the circus near Rome00: 25: 25: 25: 25: 25 An attempt to go bankrupt ”: how Russia quarreled with Carlsberg because of the Baltic in the Russian Foreign Ministry called Carlsberg statements about the theft of business 11/11/2023 20:17“ Let him fight against the Satanists. ” Dudia is checked for discrediting the army the prosecutor's office checks Dudia according to the criminal article on the discrediting of the army 11/11/2023 20: 263: 1 Wings of Soviets - the Urals 1: 1 Turel - CSKA 2: 1 Lokomotiv M - Akhmat 1: 1 Zenit - Krasnodar 4: 3 Lada - Spartak 3 : 0 metallurgist MG-AK BARS 4: 2 SKA-Neftekhimikport1: 1-headed match of the fall: “Zenit” and “Krasnodar” played a fiery draw in St. Petersburg “Zenit” against Krasnodar in the central match of the RPL tour 11.11.2023 19: 30 Ovechkin Double brought Washington Victory over Aylanders 06:03 Pittsburgh defeated Buffalo thanks to the Golkina Grack05: 57 Brute Khabib made a statement against the backdrop of the scandal with doping05: 50 Sylchenko reacted to the proposal to go to Tutberidze with one word05: 20 eyes Tutberidze: Valieva struck the audience immediately after the hearing in Casvaliev won a short program at the stage of the Russian Grand Prix in Kazan 1111.11.2023 15: 141: 1-dramatic draw: “torch” stole the victory in Voronezh “torch” and CSKA tied in the match 15- го тура РПЛ11.11.2023 14:00Новости и материалыИзраиль объявил об уничтожении десятков главарей ХАМАС06:40Москвичам рассказали о погоде в воскресенье06:31У берегов Индонезии произошло землетрясение магнитудой 5506:20Остин обсудил с Умеровым боевые действия на Украине06:10Украинский сервис такси разрешил жалобы на «антиукраинских» drivers 05: 26armia of the Russian Federation eliminated four mortar calculations of the Armed Forces of Ukraine in the Kupyansk direction05: 23tshal struck the terrorist infrastructure in the SAR05: 13VVS of Jordan performed the humanitarian raid in the GAZ sector: 04 PROGRACTION Service of Gaza named the work of the RAFAS efficiency for foreigners04: 59 German, 59 German Germanics will increase volume of military assistance to Ukraine In 202404: 55V, the United States announced strange traces on Ovechkin's neck04: 50 to Ukraine declassified that he made a heal04: 46Arab countries refused to share gas and western coast04: 32vo announced the loss of communication with the coordinators in the Ashifa hospital in Gaza04: 28-Russian scheme of fraudsters during the sale: 10 Vovychkin interrupted without a series in the NHL04: 05 European farmers fear a new threat due to Ukraine’s entry into the EU04: 04 in the State Duma offered new benefits for children from large families03: 54 “I would not go”: the champion of Khorkina appreciated the conditions for admission Russians03: 50th police officers were wounded during the promotion in support of Palestine in London03: 26VS news Domitri Samoilov that the average Muscovite feels at 4011.11.2023 08:30 Denis Lukyanov “We ​​will understand but later”. Why did Bunin give Nobel? 10.11.2023 08:22 Marya Yardaevana, we want to not believe. Why teachers against AI? 09.11.2023 08:00 "We will answer the same." Kiev threatened with blows on the energy infrastructure of the Russian Ukrainian, he threatened with response blows on the energy infrastructure of Russia 11/11/11.2023 18:45 “There are no prospects for an ambulance over Russia”: Borrel assessed the situation in Ukraine: Ukraine’s victories over the Russian Federation will not be in the near future 11/11/11.2023 16:43 “Not In small volumes ”: after the official refusal, Europe continues to purchase a Russian Gazmiller said that European countries are still receiving Russian GAZ11.11.2023 15:51“ Mass grave in the hospital ”. What is happening in Gazetasnim: Hamas stopped the Israeli army at the Ash-Shifa hospital in Gaza 11/11/2023 14:45 Bayden and Xi Jinping will meet in San Francisco. On the agenda of relations with Russia and Iranpolitico: Biden plans a “hard conversation” with the leader of the PRC about Russia and Iran 1111.11.2023 13:41 Plan of military assistance to Ukraine for € 20 billion met resistance from the Esreters countries: Germany opposed the allocation of the EU to Ukraine € 20 billion Military Assistance 11/11/2023 11: 09v Moscow showed rare coins of the Golden Horde why cellulite appears and how it is treated with a coclub Karapetyan: the development of cellulite leads to convulsions and edema 11/11/2023 08:27 Test: what evaluation will you pass the Russian language exam for the 8th Class on a few questions about the Russian language and find out your assessment 111.11.2023 08:26 Robots drop smartphones and photograph food. A day of the life of the factory to the Kitaireput “Gazeta.ru” about the factory and the Oppo photo laboratory where robots work 11/11/2023 08:09 Author of denunciations at the stars of Borodin, he has not yet known about this MAMAD WALL OF NORTH Ossetia. And panic attacks. In line for tickets for the Nutcracker, the Bolshoi Theater suffered in the queue for the Nutcracker, the two crowned a crush on 11/11/2023 00:22 "Rentified" apologized. " The policeman, who threw drugs, Ivan Golunov, went free to the freedom of the form of an ex-policeman Konovalov, sentenced in the case of Golunov 110.11.2023 23: 46 Read the same Russian, they want to return the Totalizerkak, the neural network affects your purchaseyandex, it has launched a new function to follow the level of calcium and the lazy calcium. How to protect yourself from cardiovascular disease in Russia protect satellite broadcasting, the readable recruitment of the Card Cardiccam Camerass the Establishment of the Politics of Confidentiality © Gazeta.ru JSC (1999-2023) is the main news of the day: Gazeta.ru (gazeta.ru) Founder: Gazeta.ru »OGRN 1067761730376 TIN 7743625728ADRES of the founder: 125239 Russia Moscow Koptevskaya Street House 67Adres editorial and publisher: 117105. Moskvavarshavskoye Shosse d.9 p. 1 telephone editorial office: +7 (495) 785-00-12 | Fax: +7 (495) 785-17-01Electron mail: gazeta@gazeta.ru18+ Media registration of EL No. FS77-67642 was issued by the Federal Service for the Service of Information Technologies and Mass Communications (Roskomnadzor) 10.11.2016 The editors are not responsible for the reliability of the information contained in advertisements. The editors do not provide reference information. Information on restrictions on the use of advisory technologies is found an error? Closurepasibi for your message We will soon fix everything. Before reading</v>
      </c>
    </row>
    <row r="1028">
      <c r="A1028" s="1" t="s">
        <v>3217</v>
      </c>
      <c r="B1028" s="1" t="s">
        <v>3218</v>
      </c>
      <c r="C1028" s="1" t="s">
        <v>3239</v>
      </c>
      <c r="D1028" s="1">
        <v>9.0</v>
      </c>
      <c r="E1028" s="4" t="s">
        <v>3240</v>
      </c>
      <c r="F1028" s="1" t="s">
        <v>16</v>
      </c>
      <c r="G1028" s="1" t="s">
        <v>31</v>
      </c>
      <c r="H1028" s="4" t="s">
        <v>32</v>
      </c>
      <c r="I1028" s="2">
        <v>1.0</v>
      </c>
      <c r="J1028" s="5" t="str">
        <f>IFERROR(__xludf.DUMMYFUNCTION("GOOGLETRANSLATE(A1028)"),"Yandex")</f>
        <v>Yandex</v>
      </c>
      <c r="K1028" s="6" t="str">
        <f>IFERROR(__xludf.DUMMYFUNCTION("GOOGLETRANSLATE(B1028)"),"Yandex")</f>
        <v>Yandex</v>
      </c>
      <c r="L1028" s="5" t="str">
        <f>IFERROR(__xludf.DUMMYFUNCTION("GOOGLETRANSLATE(C1028)"),"Yandex is a Russian transnational company in the information technology industry whose head legal entity is registered in the Netherlands, ...")</f>
        <v>Yandex is a Russian transnational company in the information technology industry whose head legal entity is registered in the Netherlands, ...</v>
      </c>
      <c r="M1028" s="5" t="str">
        <f>IFERROR(__xludf.DUMMYFUNCTION("GOOGLETRANSLATE(G1028)"),"Wikipedia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029">
      <c r="A1029" s="1" t="s">
        <v>3217</v>
      </c>
      <c r="B1029" s="1" t="s">
        <v>3218</v>
      </c>
      <c r="C1029" s="1" t="s">
        <v>3241</v>
      </c>
      <c r="D1029" s="1">
        <v>10.0</v>
      </c>
      <c r="E1029" s="4" t="s">
        <v>3242</v>
      </c>
      <c r="F1029" s="1" t="s">
        <v>16</v>
      </c>
      <c r="G1029" s="1" t="s">
        <v>34</v>
      </c>
      <c r="H1029" s="4" t="s">
        <v>35</v>
      </c>
      <c r="I1029" s="2">
        <v>1.0</v>
      </c>
      <c r="J1029" s="5" t="str">
        <f>IFERROR(__xludf.DUMMYFUNCTION("GOOGLETRANSLATE(A1029)"),"Yandex")</f>
        <v>Yandex</v>
      </c>
      <c r="K1029" s="6" t="str">
        <f>IFERROR(__xludf.DUMMYFUNCTION("GOOGLETRANSLATE(B1029)"),"Yandex")</f>
        <v>Yandex</v>
      </c>
      <c r="L1029" s="5" t="str">
        <f>IFERROR(__xludf.DUMMYFUNCTION("GOOGLETRANSLATE(C1029)"),"The main goal of Yandex is to solve people's problems. Any tasks: on the network and in the real world, everyday and rare, household and scientific, for the third grade and for the fifth year.")</f>
        <v>The main goal of Yandex is to solve people's problems. Any tasks: on the network and in the real world, everyday and rare, household and scientific, for the third grade and for the fifth year.</v>
      </c>
      <c r="M1029" s="5" t="str">
        <f>IFERROR(__xludf.DUMMYFUNCTION("GOOGLETRANSLATE(G1029)"),"VK.com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030">
      <c r="A1030" s="1" t="s">
        <v>3217</v>
      </c>
      <c r="B1030" s="1" t="s">
        <v>3218</v>
      </c>
      <c r="C1030" s="1" t="s">
        <v>3243</v>
      </c>
      <c r="D1030" s="1">
        <v>11.0</v>
      </c>
      <c r="E1030" s="4" t="s">
        <v>3244</v>
      </c>
      <c r="F1030" s="1" t="s">
        <v>16</v>
      </c>
      <c r="G1030" s="1" t="s">
        <v>38</v>
      </c>
      <c r="H1030" s="4" t="s">
        <v>39</v>
      </c>
      <c r="I1030" s="2">
        <v>3.0</v>
      </c>
      <c r="J1030" s="5" t="str">
        <f>IFERROR(__xludf.DUMMYFUNCTION("GOOGLETRANSLATE(A1030)"),"Yandex")</f>
        <v>Yandex</v>
      </c>
      <c r="K1030" s="6" t="str">
        <f>IFERROR(__xludf.DUMMYFUNCTION("GOOGLETRANSLATE(B1030)"),"Yandex")</f>
        <v>Yandex</v>
      </c>
      <c r="L1030" s="5" t="str">
        <f>IFERROR(__xludf.DUMMYFUNCTION("GOOGLETRANSLATE(C1030)"),"On this channel, we show and tell how Yandex lives and works. Every day, our technologies and services solve many problems of people.")</f>
        <v>On this channel, we show and tell how Yandex lives and works. Every day, our technologies and services solve many problems of people.</v>
      </c>
      <c r="M1030" s="5" t="str">
        <f>IFERROR(__xludf.DUMMYFUNCTION("GOOGLETRANSLATE(G1030)"),"YouTubeAboutPressCopyrightContact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031">
      <c r="A1031" s="1" t="s">
        <v>3217</v>
      </c>
      <c r="B1031" s="1" t="s">
        <v>3218</v>
      </c>
      <c r="D1031" s="1">
        <v>12.0</v>
      </c>
      <c r="E1031" s="4" t="s">
        <v>3245</v>
      </c>
      <c r="F1031" s="1" t="s">
        <v>16</v>
      </c>
      <c r="G1031" s="1" t="s">
        <v>273</v>
      </c>
      <c r="H1031" s="4" t="s">
        <v>476</v>
      </c>
      <c r="I1031" s="2">
        <v>1.0</v>
      </c>
      <c r="J1031" s="5" t="str">
        <f>IFERROR(__xludf.DUMMYFUNCTION("GOOGLETRANSLATE(A1031)"),"Yandex")</f>
        <v>Yandex</v>
      </c>
      <c r="K1031" s="6" t="str">
        <f>IFERROR(__xludf.DUMMYFUNCTION("GOOGLETRANSLATE(B1031)"),"Yandex")</f>
        <v>Yandex</v>
      </c>
      <c r="L1031" s="5" t="str">
        <f>IFERROR(__xludf.DUMMYFUNCTION("GOOGLETRANSLATE(C1031)"),"#VALUE!")</f>
        <v>#VALUE!</v>
      </c>
      <c r="M1031" s="5" t="str">
        <f>IFERROR(__xludf.DUMMYFUNCTION("GOOGLETRANSLATE(G1031)"),"Update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032">
      <c r="A1032" s="1" t="s">
        <v>3217</v>
      </c>
      <c r="B1032" s="1" t="s">
        <v>3246</v>
      </c>
      <c r="C1032" s="1" t="s">
        <v>3247</v>
      </c>
      <c r="D1032" s="1">
        <v>13.0</v>
      </c>
      <c r="E1032" s="4" t="s">
        <v>3248</v>
      </c>
      <c r="F1032" s="1" t="s">
        <v>16</v>
      </c>
      <c r="G1032" s="1" t="s">
        <v>120</v>
      </c>
      <c r="H1032" s="4" t="s">
        <v>121</v>
      </c>
      <c r="I1032" s="2">
        <v>1.0</v>
      </c>
      <c r="J1032" s="5" t="str">
        <f>IFERROR(__xludf.DUMMYFUNCTION("GOOGLETRANSLATE(A1032)"),"Yandex")</f>
        <v>Yandex</v>
      </c>
      <c r="K1032" s="6" t="str">
        <f>IFERROR(__xludf.DUMMYFUNCTION("GOOGLETRANSLATE(B1032)"),"Yandex Start - Applications in Google Play")</f>
        <v>Yandex Start - Applications in Google Play</v>
      </c>
      <c r="L1032" s="5" t="str">
        <f>IFERROR(__xludf.DUMMYFUNCTION("GOOGLETRANSLATE(C1032)"),"Description. Arrow_forward. In the Yandex Start Appendix, everything you need on one screen and any page can be made the main one. Always at hand, convenient search, weather and ...")</f>
        <v>Description. Arrow_forward. In the Yandex Start Appendix, everything you need on one screen and any page can be made the main one. Always at hand, convenient search, weather and ...</v>
      </c>
      <c r="M1032" s="5" t="str">
        <f>IFERROR(__xludf.DUMMYFUNCTION("GOOGLETRANSLATE(G1032)"),"Android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033">
      <c r="A1033" s="1" t="s">
        <v>3217</v>
      </c>
      <c r="B1033" s="1" t="s">
        <v>3249</v>
      </c>
      <c r="C1033" s="1" t="s">
        <v>3250</v>
      </c>
      <c r="D1033" s="1">
        <v>14.0</v>
      </c>
      <c r="E1033" s="4" t="s">
        <v>3251</v>
      </c>
      <c r="F1033" s="1" t="s">
        <v>16</v>
      </c>
      <c r="G1033" s="1" t="s">
        <v>273</v>
      </c>
      <c r="H1033" s="4" t="s">
        <v>274</v>
      </c>
      <c r="I1033" s="2">
        <v>2.0</v>
      </c>
      <c r="J1033" s="5" t="str">
        <f>IFERROR(__xludf.DUMMYFUNCTION("GOOGLETRANSLATE(A1033)"),"Yandex")</f>
        <v>Yandex</v>
      </c>
      <c r="K1033" s="6" t="str">
        <f>IFERROR(__xludf.DUMMYFUNCTION("GOOGLETRANSLATE(B1033)"),"Yandex (@yandex) • Instagram Photos and Videos")</f>
        <v>Yandex (@yandex) • Instagram Photos and Videos</v>
      </c>
      <c r="L1033" s="5" t="str">
        <f>IFERROR(__xludf.DUMMYFUNCTION("GOOGLETRANSLATE(C1033)"),"155K Followers, 19 Following, 1612 Posts - See Instagram photos and videos from Яндекс (@yandex)")</f>
        <v>155K Followers, 19 Following, 1612 Posts - See Instagram photos and videos from Яндекс (@yandex)</v>
      </c>
      <c r="M1033" s="5" t="str">
        <f>IFERROR(__xludf.DUMMYFUNCTION("GOOGLETRANSLATE(G1033)"),"Update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034">
      <c r="A1034" s="1" t="s">
        <v>3217</v>
      </c>
      <c r="B1034" s="1" t="s">
        <v>3252</v>
      </c>
      <c r="C1034" s="1" t="s">
        <v>3253</v>
      </c>
      <c r="D1034" s="1">
        <v>15.0</v>
      </c>
      <c r="E1034" s="4" t="s">
        <v>3254</v>
      </c>
      <c r="F1034" s="1" t="s">
        <v>16</v>
      </c>
      <c r="G1034" s="1" t="s">
        <v>221</v>
      </c>
      <c r="H1034" s="4" t="s">
        <v>222</v>
      </c>
      <c r="I1034" s="2">
        <v>1.0</v>
      </c>
      <c r="J1034" s="5" t="str">
        <f>IFERROR(__xludf.DUMMYFUNCTION("GOOGLETRANSLATE(A1034)"),"Yandex")</f>
        <v>Yandex</v>
      </c>
      <c r="K1034" s="6" t="str">
        <f>IFERROR(__xludf.DUMMYFUNCTION("GOOGLETRANSLATE(B1034)"),"Yandex - news and information about the company")</f>
        <v>Yandex - news and information about the company</v>
      </c>
      <c r="L1034" s="5" t="str">
        <f>IFERROR(__xludf.DUMMYFUNCTION("GOOGLETRANSLATE(C1034)"),"Yandex and Sberbank announced the section of assets. They have two joint ventures - Yandex.Money and Yandex.Market · Yandex refused to publish ...")</f>
        <v>Yandex and Sberbank announced the section of assets. They have two joint ventures - Yandex.Money and Yandex.Market · Yandex refused to publish ...</v>
      </c>
      <c r="M1034" s="5" t="str">
        <f>IFERROR(__xludf.DUMMYFUNCTION("GOOGLETRANSLATE(G1034)"),"Vedomosti is a leading business publication of Russia. The newspaper enter the article in the “Purreled Materials” to read when the time appears. To do this, enter or register. Determine, save the article in “Purreled Materials” to read when the time appe"&amp;"ars. To do this, enter or register. To expand the import of cars to Russia, the growth of utilsbor and domestic production will slow down this dynamics in 2024, save the article in “Postponed Materials” to read the time. To do this, enter or register. Det"&amp;"ermine the frame of the day, save the article in the “Purreled Materials” to read when the time appears. To do this, enter or register. To expand back the Central Bank spoke about the expansion of the presence of insurers in the new regions, save the arti"&amp;"cle in “Purchase Materials” to read when the time appears. To do this, enter or register. The new film by Anna Melikyan about a woman who began to hear alien voices, keep an article in “Post -Posted Materials” came out to expand the “Feelings of Anna” fro"&amp;"m the Cosmos with love. To read the time. To do this, enter or register. Determine, save the article in “Purreled Materials” to read when the time appears. To do this, enter or register. To expand back the Minister of Education of Russia personally showed"&amp;" the head of Chechnya a new textbook of history, save the article in “Purchase Materials” to read when the time appears. To do this, enter or register. Patients and government agencies have stopped expanding the sales of insulin in Russia in Russia, exper"&amp;"ts consider to buy the drug to save the article in “Post -Executed Materials” to read out when there is time. To do this, enter or register. To expand the “Magic Plot” fantastic creatures and the magical police on the Okko video service started showing th"&amp;"e series about modern Moscow and its fairy -tale inhabitants, save the article in “Postponed Materials” to read the time. To do this, enter or register. To expand back the zhora of gooseberries “to lure them to spoll” the screenwriter and producer about t"&amp;"he “adult” spectators and new realities of serial production in Russia, save the article in “Delayed Materials” to read when the time appears. To do this, enter or register. To expand back to Russian investors will be paid equally when exchanging assets w"&amp;"ith foreigners to assess the Central Bank of the funds to all whose portfolio does not exceed 100,000 rubles, save the article in “Defed Materials” to read out when the time appears. To do this, enter or register. Expand the plot Partner Advertising Newto"&amp;"n Investment ERID: LDTKKN4FB in detail with information can be found on gazprombank.investments/broker/disclosure investment Reading all materials from UC Rusal, Sberbank for nine months, Sberbank received 133 billion rubles in October Trading by the eter"&amp;"nal futures on the Mosbirzhi index will begin on November 14, save the article in “Purchase Materials” to read when the time appears. To do this, enter or register. To expand the first group of Russian citizens at the exit from the Gaza to Egypt of 85 peo"&amp;"ple approved to the aisle through the Rafach 68 checkpoint 68 - women and children will save the article in “Postponed Materials” to read out when time appears. To do this, enter or register. To deploy Zhora Kryzhovnikov, he spoke about the new hierarchy "&amp;"in the chain “Producer - Director - Screenwriter” Save the article in “Post -Executed Materials” to read when the time appears. To do this, enter or register. The Director of the Department of Corporate Relations of the Central Bank, Elena Kuritsyna, will"&amp;" deploy the head of the Department of Corporate Relations, will interact with issuers and authorities to maintain the article in the “Mathered Materials” to read the time. To do this, enter or register. To expand back the natural decline of the population"&amp;" decreased in 9 months by almost a quarter, save the article in “Postponed Materials” to read when time appears. To do this, enter or register. Determine the plot partner Advertising I ERID: ldtckew5y gsb.hse.ru the main Russian IT trends 2024 Read all ma"&amp;"terials in the interests of traffic, the key to all doors is clear without seams, save the article in “Postponed Materials” to read out when time appears. To do this, enter or register. The Central Bank warned to expand about the accumulation of risks in "&amp;"the “garbage” bonds of individuals to the demand of individuals for such papers reduced the risk coating with profitability to save the article in “Postponed Materials” to read the time. To do this, enter or register. To expand back as state support helps"&amp;" exporters overcome boundaries and barriers why it is important for business to cooperate with the regions and federal authorities to maintain an article in “Postponed Materials” to read when time appears. To do this, enter or register. To expand the Cong"&amp;"ress of United Russia will be held on December 17 Save the article in “Postponed Materials” to read when the time appears. To do this, enter or register. The Central Bank does not plan to deploy lending through the Tsfa, save the article in “Postponed Mat"&amp;"erials” to read when time appears. To do this, enter or register. Determine, save the article in “Purreled Materials” to read when the time appears. To do this, enter or register. The Russian “exchanged” 85 million rubles for fake dollars in the Uralsib o"&amp;"ffice to expand back the businessman, the businessman came across a fraudster who allegedly was an employee of the bank, save the article in “Mattle Materials” to read out when the time appears. To do this, enter or register. Determine, save the article i"&amp;"n “Purreled Materials” to read when the time appears. To do this, enter or register. The drones will be expanded back to monitor the territories of the Federal Penitentiary Service, the Ministry of Justice included them in the draft regulation of technica"&amp;"l means of supervision of the prisoners, save the article in “Postponed Materials” to read the time. To do this, enter or register. Determine the plot of the exacerbation of the conflict between Israel and Palestine: what is happening to read all the mate"&amp;"rials of Israel promised Livana the fate of Gaza when involving the Palestinians, President Iran called the Islamic world to arm the Palestinians Erdogan said that Israel support the minority of the countries to keep the article in the “Milituted Material"&amp;"s” to read out When the time appears. To do this, enter or register. Putin visited the headquarters of the Armed Forces of the Russian Federation in Rostov-on-Don, keep the article in the “Postponed Materials” to read when the time appears. To do this, en"&amp;"ter or register. To expand back the gas sector will leave the first 85 citizens of Russia, save the article in “Postponed Materials” to read when the time appears. To do this, enter or register. To expand back why the personnel deficit has become the main"&amp;" problem of the Russian economy in the Central Bank believe that it can solve its increase in labor productivity save the article in “Postponed Materials” to read when time appears. To do this, enter or register. To expand back what the presidents of Russ"&amp;"ia and Kazakhstan spoke about in Astana, save the article in “Postponed Materials” to read when time appears. To do this, enter or register. Determine, save the article in “Purreled Materials” to read when the time appears. To do this, enter or register. "&amp;"To expand back the first sentence in Moscow in the case of the murder of Daria Dugina has been sentenced to save the article in “Purchase Materials” to read when the time appears. To do this, enter or register. Determine the frame of the day, save the art"&amp;"icle in the “Purreled Materials” to read when the time appears. To do this, enter or register. Determine, save the article in “Purreled Materials” to read when the time appears. To do this, enter or register. Determine the messages of the partners to watc"&amp;"h the company's directory save the article in “Postponed Materials” to read when the time appears. To do this, enter or register. Determining the business price for chipboard began to grow against the background of the peak of the production of Aeroflot f"&amp;"urniture will halve the number of aircraft in the Krasnoyarsk Hab of Inter RAO will take up the CHP in Kazakhstan Yuzhuralzoloto will place up to 5% of the shares on the TOBILISTRIC OF BUSINESS In the “Purchase Materials” to read when the time appears. To"&amp;" do this, enter or register. The Ministry of Labor Economics and the Ministry of Labor and the Ministry of Construction want to expand the family mortgage on the secondary in small cities what Nabiullina spoke about in the State Duma. The main thing for t"&amp;"he renovation of the Cosmonauts training center will be allocated more than 5 billion rubles by experts called five fundamental shortcomings of the regulation of the digital ruble to the “Economics” column, save the article in “Delayed Materials” to read "&amp;"out when time appears. To do this, enter or register. Determine, save the article in “Purreled Materials” to read when the time appears. To do this, enter or register. Determine the companies to watch the company's directory PSK PARMA PARMA, the 2023 empl"&amp;"oyer of the 2023 Product Product, supported Russian cycling Russia and China approved the cooperation plan for 2024 in the construction of the Russian Compliance Award Sitronics Group for information security for information security for information secur"&amp;"ity He became the speaker of the professional retraining course “Management of information security in the body (organization)” in the MSTU named after N.E. Baumanavsk Olga Sorokina in the fields of Finopolis 2023 spoke about the potential to use digital "&amp;"profile in insurance in the focus for online channels: the Far Eastern Regional Center ""Ingosstrakh"" spoke about the results of the half-year nostroy and the Chinese Civil Construction Society concluded an agreement on industrial investment and science "&amp;"of the Moscow Region Fund Microfinancing of the Moscow Region supported the business for 45 billion rubles, save the article in the “Posted Materials” to read when the time appears. To do this, enter or register. Determine the Central Bank’s finances want"&amp;"s to introduce a single QR code to pay for goods, the president signed a decree to launch the exchange of blocked assets of Russians “Sber” prohibited the Kandinsky AI to generate state symbols in Alfa Bank proposed “Sleep” to pay less dividends to the Fi"&amp;"nance section, save the article in the article in “Purchase materials” to read when time appears. To do this, enter or register. Investments to expand investments to Russian investors will pay equally when exchanging assets with foreigners of the Central "&amp;"Bank, warned the accumulation of risks in the “garbage” bonds of the Central Bank does not plan to regulate lending through the Yuzhuralzoloto TSFA up to 5% of the shares in the investment column, save the article in “delayed materials »To read when time "&amp;"appears. To do this, enter or register. Determine, save the article in “Purreled Materials” to read when the time appears. To do this, enter or register. The European Polish Political Politics urged the Russian politics from Russians as France is trying t"&amp;"o achieve a humanitarian pause in the gas sector Ukraine quarreled the Republican candidate of the State Duma approved the expert research plan in 2024 on the “Politician” section, save the article in “Mathered Materials” to read the time when the time ap"&amp;"pears. To do this, enter or register. To expand the technologies back the market of video conferences-communications in 2023 will reach $ 40 million to renovation of the Cosmonauts training center will allocate more than 5 billion rubles for garbage train"&amp;"ing grounds will be monitored using drones on pharmacy sites. Anomalous growth of dirty traffic in the “Technology” section, save the article In the “Purchase Materials” to read when the time appears. To do this, enter or register. Jora Kryzhovnikov spoke"&amp;" to expand the media about the new hierarchy in the chain “Producer -Screenwriter” Zhora Kryzhovnikov told about the reluctance to make full -length films the most cash films of Zhora Kryzhovnikov “Magic Plot”: Fantastic creatures and the magical police i"&amp;"n the Media section “Save the article in the article in” Delayed materials ”to read when time appears. To do this, enter or register. Determine, save the article in “Purreled Materials” to read when the time appears. To do this, enter or register. Determi"&amp;"ning the real estate on the site of the Topaz and Amethyst plants in the southeast of Moscow may appear housing next to Moscow City will appear about 2 million square meters. m Real Estate Apollax Space will open a flexible office in the building of the t"&amp;"radesinovye of the farmstead “The time of large -scale“ carpet buildings ”has already passed” as a “Real Estate” section, save the article in “Postponed Materials” to read when the time appears. To do this, enter or register. The Ministry of Industry and "&amp;"Trade revised the approaches to localization in the automobiles in October to expand the car, the UAZ raised prices for their cars due to the rise in the cost of logistics in the government supported the draft law on the localization of taxi vehicles to t"&amp;"he Auto section, save the article in “Postponed Materials »To read when time appears. To do this, enter or register. Determine, save the article in “Purreled Materials” to read when the time appears. To do this, enter or register. Many Russian companies d"&amp;"eclare the integrated care of the health of employees of personnel hunger dictates to Russian companies new methods of hiring and holding couriers will feed the comprehensive care of employees on the road for more than a third of vacancies in the IT Reman"&amp;"ders in the Office section, save the article in the “Malminated Materials” to read it to read When the time appears. To do this, enter or register. For more than 3,000 enterprises to expand the quarry, about 5,000 marketers in the field of industry, Russi"&amp;"ans still consider the most prestigious work in the field of IT the total income of Russian freelancers by 53% in the first half of the “career”. An article in “Purchase Materials” to read when time appears. To do this, enter or register. To expand back t"&amp;"he lifestyle of the most cash films of Zhora Kryzhovnikov “The Word of the Boanding”: Very terrible deeds Anatoly Shuliev: “The viewer needs catharsis“ Museum of the Spiritual Vanguard ”: Alternative thaw to the“ Lifestyle ”section, save the article in“ M"&amp;"athered Materials ”to read when it appears when to read time. To do this, enter or register. Determine the subscription -commercial of companies subscription for legal entity for the company. The company of the company editorial -management processing cen"&amp;"ter our projects Contacts 127018 Moscow st. Regimental d. 3 pp. 1 on the map +7 495 956-34-58 info@Vedomosti.ru Vedomosti newsletters-get the main business news by mail I want to subscribe to the VK VK VKi VKi Vedomosti Vedomosti Vedomosts in Flipboard Te"&amp;"nchat Mobile application Network edition of the Vedomosti (Vedomosti) Decision of the Federal Service for the Service of the Communications of Information Technologies and Mass Communications (Roskomnadzor) dated November 27, 2020 EL No. FS 77-79546 Found"&amp;"er: BUSINESS NUSEN MEDIA JSC editor-in-chief: Kazmina Irina Sergeevna Electronic Mail: News@Vedomosti.ru Phone: +7 495 956-34-58 The site uses IP addresses COOKIE and data geolocation of the conditions of use are contained in the Personal Data Protection "&amp;"Policy Any use of materials is allowed only if you comply Retrot Rules and if there are hyperlinks on vedomosti.ru News Analytics forecasts and other materials presented on this site are not an offer or a recommendation for the purchase or sale of any ass"&amp;"ets. The information resource uses recommendation technologies (information technologies for providing information based on the collection of systematization and analysis of information related to preferences of users of the Internet in the Russian Federa"&amp;"tion). The rules for applying recommendation technologies in the widgets of the Media2 advertising and exchange network ""posted on the website Vedomosti.ru are all rights protected © AO Business News Media TIN/CPP 7712108141/771501001 OGRN 1027739124775 "&amp;"127018 Moscow st. Regimental house 3 building 1 room I floor 2 room 21. 1999–2023 Any use of materials is allowed only if the reprint rules are observed and, if there are hyperlinks on vedomosti.ru news Analytics forecasts and other materials presented on"&amp;" this site are not an offer or recommendation for purchase or recommendation for purchase or recommendation sale of any assets. The information resource uses recommendation technologies (information technologies for providing information based on the coll"&amp;"ection of systematization and analysis of information related to preferences of users of the Internet in the Russian Federation). The rules for applying recommendation technologies in the widgets of the Media2 advertising and exchange network ""posted on "&amp;"the website Vedomosti.ru are all rights protected © AO Business News Media TIN/CPP 7712108141/771501001 OGRN 1027739124775 127018 Moscow st. Regimental house 3 Building 1 Premises I floor 2 room 21. 1999–2023 Network edition of the statement (Vedomosti) T"&amp;"he decision of the Federal Service for Supervision of Information Technologies and Mass Communications (Roskomnadzor) dated November 27, 2020 EL No. FS 77-79546 Founder : JSC ""Business News Media"" acting editor-in-chief: Kazmina Irina Sergeevna Electron"&amp;"ic Mail: News@Vedomosti.ru Phone: +7 495 956-34-58 The site uses IP addresses COOKIE and data geolocation of the conditions of use are contained in the Personal Data Protection Policy")</f>
        <v>Vedomosti is a leading business publication of Russia. The newspaper enter the article in the “Purreled Materials” to read when the time appears. To do this, enter or register. Determine, save the article in “Purreled Materials” to read when the time appears. To do this, enter or register. To expand the import of cars to Russia, the growth of utilsbor and domestic production will slow down this dynamics in 2024, save the article in “Postponed Materials” to read the time. To do this, enter or register. Determine the frame of the day, save the article in the “Purreled Materials” to read when the time appears. To do this, enter or register. To expand back the Central Bank spoke about the expansion of the presence of insurers in the new regions, save the article in “Purchase Materials” to read when the time appears. To do this, enter or register. The new film by Anna Melikyan about a woman who began to hear alien voices, keep an article in “Post -Posted Materials” came out to expand the “Feelings of Anna” from the Cosmos with love. To read the time. To do this, enter or register. Determine, save the article in “Purreled Materials” to read when the time appears. To do this, enter or register. To expand back the Minister of Education of Russia personally showed the head of Chechnya a new textbook of history, save the article in “Purchase Materials” to read when the time appears. To do this, enter or register. Patients and government agencies have stopped expanding the sales of insulin in Russia in Russia, experts consider to buy the drug to save the article in “Post -Executed Materials” to read out when there is time. To do this, enter or register. To expand the “Magic Plot” fantastic creatures and the magical police on the Okko video service started showing the series about modern Moscow and its fairy -tale inhabitants, save the article in “Postponed Materials” to read the time. To do this, enter or register. To expand back the zhora of gooseberries “to lure them to spoll” the screenwriter and producer about the “adult” spectators and new realities of serial production in Russia, save the article in “Delayed Materials” to read when the time appears. To do this, enter or register. To expand back to Russian investors will be paid equally when exchanging assets with foreigners to assess the Central Bank of the funds to all whose portfolio does not exceed 100,000 rubles, save the article in “Defed Materials” to read out when the time appears. To do this, enter or register. Expand the plot Partner Advertising Newton Investment ERID: LDTKKN4FB in detail with information can be found on gazprombank.investments/broker/disclosure investment Reading all materials from UC Rusal, Sberbank for nine months, Sberbank received 133 billion rubles in October Trading by the eternal futures on the Mosbirzhi index will begin on November 14, save the article in “Purchase Materials” to read when the time appears. To do this, enter or register. To expand the first group of Russian citizens at the exit from the Gaza to Egypt of 85 people approved to the aisle through the Rafach 68 checkpoint 68 - women and children will save the article in “Postponed Materials” to read out when time appears. To do this, enter or register. To deploy Zhora Kryzhovnikov, he spoke about the new hierarchy in the chain “Producer - Director - Screenwriter” Save the article in “Post -Executed Materials” to read when the time appears. To do this, enter or register. The Director of the Department of Corporate Relations of the Central Bank, Elena Kuritsyna, will deploy the head of the Department of Corporate Relations, will interact with issuers and authorities to maintain the article in the “Mathered Materials” to read the time. To do this, enter or register. To expand back the natural decline of the population decreased in 9 months by almost a quarter, save the article in “Postponed Materials” to read when time appears. To do this, enter or register. Determine the plot partner Advertising I ERID: ldtckew5y gsb.hse.ru the main Russian IT trends 2024 Read all materials in the interests of traffic, the key to all doors is clear without seams, save the article in “Postponed Materials” to read out when time appears. To do this, enter or register. The Central Bank warned to expand about the accumulation of risks in the “garbage” bonds of individuals to the demand of individuals for such papers reduced the risk coating with profitability to save the article in “Postponed Materials” to read the time. To do this, enter or register. To expand back as state support helps exporters overcome boundaries and barriers why it is important for business to cooperate with the regions and federal authorities to maintain an article in “Postponed Materials” to read when time appears. To do this, enter or register. To expand the Congress of United Russia will be held on December 17 Save the article in “Postponed Materials” to read when the time appears. To do this, enter or register. The Central Bank does not plan to deploy lending through the Tsfa, save the article in “Postponed Materials” to read when time appears. To do this, enter or register. Determine, save the article in “Purreled Materials” to read when the time appears. To do this, enter or register. The Russian “exchanged” 85 million rubles for fake dollars in the Uralsib office to expand back the businessman, the businessman came across a fraudster who allegedly was an employee of the bank, save the article in “Mattle Materials” to read out when the time appears. To do this, enter or register. Determine, save the article in “Purreled Materials” to read when the time appears. To do this, enter or register. The drones will be expanded back to monitor the territories of the Federal Penitentiary Service, the Ministry of Justice included them in the draft regulation of technical means of supervision of the prisoners, save the article in “Postponed Materials” to read the time. To do this, enter or register. Determine the plot of the exacerbation of the conflict between Israel and Palestine: what is happening to read all the materials of Israel promised Livana the fate of Gaza when involving the Palestinians, President Iran called the Islamic world to arm the Palestinians Erdogan said that Israel support the minority of the countries to keep the article in the “Milituted Materials” to read out When the time appears. To do this, enter or register. Putin visited the headquarters of the Armed Forces of the Russian Federation in Rostov-on-Don, keep the article in the “Postponed Materials” to read when the time appears. To do this, enter or register. To expand back the gas sector will leave the first 85 citizens of Russia, save the article in “Postponed Materials” to read when the time appears. To do this, enter or register. To expand back why the personnel deficit has become the main problem of the Russian economy in the Central Bank believe that it can solve its increase in labor productivity save the article in “Postponed Materials” to read when time appears. To do this, enter or register. To expand back what the presidents of Russia and Kazakhstan spoke about in Astana, save the article in “Postponed Materials” to read when time appears. To do this, enter or register. Determine, save the article in “Purreled Materials” to read when the time appears. To do this, enter or register. To expand back the first sentence in Moscow in the case of the murder of Daria Dugina has been sentenced to save the article in “Purchase Materials” to read when the time appears. To do this, enter or register. Determine the frame of the day, save the article in the “Purreled Materials” to read when the time appears. To do this, enter or register. Determine, save the article in “Purreled Materials” to read when the time appears. To do this, enter or register. Determine the messages of the partners to watch the company's directory save the article in “Postponed Materials” to read when the time appears. To do this, enter or register. Determining the business price for chipboard began to grow against the background of the peak of the production of Aeroflot furniture will halve the number of aircraft in the Krasnoyarsk Hab of Inter RAO will take up the CHP in Kazakhstan Yuzhuralzoloto will place up to 5% of the shares on the TOBILISTRIC OF BUSINESS In the “Purchase Materials” to read when the time appears. To do this, enter or register. The Ministry of Labor Economics and the Ministry of Labor and the Ministry of Construction want to expand the family mortgage on the secondary in small cities what Nabiullina spoke about in the State Duma. The main thing for the renovation of the Cosmonauts training center will be allocated more than 5 billion rubles by experts called five fundamental shortcomings of the regulation of the digital ruble to the “Economics” column, save the article in “Delayed Materials” to read out when time appears. To do this, enter or register. Determine, save the article in “Purreled Materials” to read when the time appears. To do this, enter or register. Determine the companies to watch the company's directory PSK PARMA PARMA, the 2023 employer of the 2023 Product Product, supported Russian cycling Russia and China approved the cooperation plan for 2024 in the construction of the Russian Compliance Award Sitronics Group for information security for information security for information security He became the speaker of the professional retraining course “Management of information security in the body (organization)” in the MSTU named after N.E. Baumanavsk Olga Sorokina in the fields of Finopolis 2023 spoke about the potential to use digital profile in insurance in the focus for online channels: the Far Eastern Regional Center "Ingosstrakh" spoke about the results of the half-year nostroy and the Chinese Civil Construction Society concluded an agreement on industrial investment and science of the Moscow Region Fund Microfinancing of the Moscow Region supported the business for 45 billion rubles, save the article in the “Posted Materials” to read when the time appears. To do this, enter or register. Determine the Central Bank’s finances wants to introduce a single QR code to pay for goods, the president signed a decree to launch the exchange of blocked assets of Russians “Sber” prohibited the Kandinsky AI to generate state symbols in Alfa Bank proposed “Sleep” to pay less dividends to the Finance section, save the article in the article in “Purchase materials” to read when time appears. To do this, enter or register. Investments to expand investments to Russian investors will pay equally when exchanging assets with foreigners of the Central Bank, warned the accumulation of risks in the “garbage” bonds of the Central Bank does not plan to regulate lending through the Yuzhuralzoloto TSFA up to 5% of the shares in the investment column, save the article in “delayed materials »To read when time appears. To do this, enter or register. Determine, save the article in “Purreled Materials” to read when the time appears. To do this, enter or register. The European Polish Political Politics urged the Russian politics from Russians as France is trying to achieve a humanitarian pause in the gas sector Ukraine quarreled the Republican candidate of the State Duma approved the expert research plan in 2024 on the “Politician” section, save the article in “Mathered Materials” to read the time when the time appears. To do this, enter or register. To expand the technologies back the market of video conferences-communications in 2023 will reach $ 40 million to renovation of the Cosmonauts training center will allocate more than 5 billion rubles for garbage training grounds will be monitored using drones on pharmacy sites. Anomalous growth of dirty traffic in the “Technology” section, save the article In the “Purchase Materials” to read when the time appears. To do this, enter or register. Jora Kryzhovnikov spoke to expand the media about the new hierarchy in the chain “Producer -Screenwriter” Zhora Kryzhovnikov told about the reluctance to make full -length films the most cash films of Zhora Kryzhovnikov “Magic Plot”: Fantastic creatures and the magical police in the Media section “Save the article in the article in” Delayed materials ”to read when time appears. To do this, enter or register. Determine, save the article in “Purreled Materials” to read when the time appears. To do this, enter or register. Determining the real estate on the site of the Topaz and Amethyst plants in the southeast of Moscow may appear housing next to Moscow City will appear about 2 million square meters. m Real Estate Apollax Space will open a flexible office in the building of the tradesinovye of the farmstead “The time of large -scale“ carpet buildings ”has already passed” as a “Real Estate” section, save the article in “Postponed Materials” to read when the time appears. To do this, enter or register. The Ministry of Industry and Trade revised the approaches to localization in the automobiles in October to expand the car, the UAZ raised prices for their cars due to the rise in the cost of logistics in the government supported the draft law on the localization of taxi vehicles to the Auto section, save the article in “Postponed Materials »To read when time appears. To do this, enter or register. Determine, save the article in “Purreled Materials” to read when the time appears. To do this, enter or register. Many Russian companies declare the integrated care of the health of employees of personnel hunger dictates to Russian companies new methods of hiring and holding couriers will feed the comprehensive care of employees on the road for more than a third of vacancies in the IT Remanders in the Office section, save the article in the “Malminated Materials” to read it to read When the time appears. To do this, enter or register. For more than 3,000 enterprises to expand the quarry, about 5,000 marketers in the field of industry, Russians still consider the most prestigious work in the field of IT the total income of Russian freelancers by 53% in the first half of the “career”. An article in “Purchase Materials” to read when time appears. To do this, enter or register. To expand back the lifestyle of the most cash films of Zhora Kryzhovnikov “The Word of the Boanding”: Very terrible deeds Anatoly Shuliev: “The viewer needs catharsis“ Museum of the Spiritual Vanguard ”: Alternative thaw to the“ Lifestyle ”section, save the article in“ Mathered Materials ”to read when it appears when to read time. To do this, enter or register. Determine the subscription -commercial of companies subscription for legal entity for the company. The company of the company editorial -management processing center our projects Contacts 127018 Moscow st. Regimental d. 3 pp. 1 on the map +7 495 956-34-58 info@Vedomosti.ru Vedomosti newsletters-get the main business news by mail I want to subscribe to the VK VK VKi VKi Vedomosti Vedomosti Vedomosts in Flipboard Tenchat Mobile application Network edition of the Vedomosti (Vedomosti) Decision of the Federal Service for the Service of the Communications of Information Technologies and Mass Communications (Roskomnadzor) dated November 27, 2020 EL No. FS 77-79546 Founder: BUSINESS NUSEN MEDIA JSC editor-in-chief: Kazmina Irina Sergeevna Electronic Mail: News@Vedomosti.ru Phone: +7 495 956-34-58 The site uses IP addresses COOKIE and data geolocation of the conditions of use are contained in the Personal Data Protection Policy Any use of materials is allowed only if you comply Retrot Rules and if there are hyperlinks on vedomosti.ru News Analytics forecasts and other materials presented on this site are not an offer or a recommendation for the purchase or sale of any assets. The information resource uses recommendation technologies (information technologies for providing information based on the collection of systematization and analysis of information related to preferences of users of the Internet in the Russian Federation). The rules for applying recommendation technologies in the widgets of the Media2 advertising and exchange network "posted on the website Vedomosti.ru are all rights protected © AO Business News Media TIN/CPP 7712108141/771501001 OGRN 1027739124775 127018 Moscow st. Regimental house 3 building 1 room I floor 2 room 21. 1999–2023 Any use of materials is allowed only if the reprint rules are observed and, if there are hyperlinks on vedomosti.ru news Analytics forecasts and other materials presented on this site are not an offer or recommendation for purchase or recommendation for purchase or recommendation sale of any assets. The information resource uses recommendation technologies (information technologies for providing information based on the collection of systematization and analysis of information related to preferences of users of the Internet in the Russian Federation). The rules for applying recommendation technologies in the widgets of the Media2 advertising and exchange network "posted on the website Vedomosti.ru are all rights protected © AO Business News Media TIN/CPP 7712108141/771501001 OGRN 1027739124775 127018 Moscow st. Regimental house 3 Building 1 Premises I floor 2 room 21. 1999–2023 Network edition of the statement (Vedomosti) The decision of the Federal Service for Supervision of Information Technologies and Mass Communications (Roskomnadzor) dated November 27, 2020 EL No. FS 77-79546 Founder : JSC "Business News Media" acting editor-in-chief: Kazmina Irina Sergeevna Electronic Mail: News@Vedomosti.ru Phone: +7 495 956-34-58 The site uses IP addresses COOKIE and data geolocation of the conditions of use are contained in the Personal Data Protection Policy</v>
      </c>
    </row>
    <row r="1035">
      <c r="A1035" s="1" t="s">
        <v>3217</v>
      </c>
      <c r="B1035" s="1" t="s">
        <v>3255</v>
      </c>
      <c r="C1035" s="1" t="s">
        <v>3256</v>
      </c>
      <c r="D1035" s="1">
        <v>16.0</v>
      </c>
      <c r="E1035" s="4" t="s">
        <v>3257</v>
      </c>
      <c r="F1035" s="1" t="s">
        <v>16</v>
      </c>
      <c r="G1035" s="1" t="s">
        <v>82</v>
      </c>
      <c r="H1035" s="4" t="s">
        <v>83</v>
      </c>
      <c r="I1035" s="2">
        <v>1.0</v>
      </c>
      <c r="J1035" s="5" t="str">
        <f>IFERROR(__xludf.DUMMYFUNCTION("GOOGLETRANSLATE(A1035)"),"Yandex")</f>
        <v>Yandex</v>
      </c>
      <c r="K1035" s="6" t="str">
        <f>IFERROR(__xludf.DUMMYFUNCTION("GOOGLETRANSLATE(B1035)"),"Yandex, Moscow - How do we do Yandex / Articles / Habr")</f>
        <v>Yandex, Moscow - How do we do Yandex / Articles / Habr</v>
      </c>
      <c r="L1035" s="5" t="str">
        <f>IFERROR(__xludf.DUMMYFUNCTION("GOOGLETRANSLATE(C1035)"),"November 1. 2023. -")</f>
        <v>November 1. 2023. -</v>
      </c>
      <c r="M1035" s="5" t="str">
        <f>IFERROR(__xludf.DUMMYFUNCTION("GOOGLETRANSLATE(G1035)"),"All articles in a row / Habr    Habr  β              How to become an author                        All streams                 Development                  Admin                  Design                  Management                  Marketing              "&amp;"    PopSci         Search     Profile          Pull to refresh      All streams            Articles                 Posts                 News                 Hubs                 Authors               All   Dropdown  Copy RSS link          Show first    "&amp;"         New          Top             Rating limit             All          ≥0          ≥10          ≥25          ≥50          ≥100               Level of difficulty                       All                          Easy                          Medium  "&amp;"                        Hard                     Apply                PaulKarol        Nov  10  at 17:56  Building an IT website aimed at America and the West  Reading time      3 min   Views  148 IT Infrastructure *IT Standards *Research and forecasts in"&amp;" IT *GTD *IT career     My last article stirred up some definite comments and even questions about different things in business. I’m going to keep giving you as much information as I can so that you can continue to do business as IT professionals outside "&amp;"of Russia with other countries. How do you design a website that will be viewed in the west and appreciated by the people there?What are the most important elementsfor America and other western markets?   Read more  Rating  0  Add to bookmarks      3     "&amp;"Comments        0               PaulKarol        Nov  7  at 12:32  Marketing your Mindset  Reading time      2 min   Views  177 IT Infrastructure *IT Standards *Research and forecasts in IT *GTD *IT career     Information shared below is exactly how I wor"&amp;"k with my IT professionals who are going to be participating in pre-sales to America. I tell them exactly this and it helps prepare them to successfully sell the the United States companies.As developers and IT companies we must sell our software. What ca"&amp;"n give you an edge in this very competitive market place?Please if you would allow me to let me explain why this is important and how this can make your company more successful.  There’s a certain type of thinking that is conducive to working as a softwar"&amp;"e developer. This is a very practical mindset but it goes beyond that. If you have the mindset of direct thinking.Here are examples:I see the target a target and I don’t see obstaclesВижу цель не вижу препятствийThis is an example of the practical mindset"&amp;" how is approaches the problem of development. It makes people who have this mindset the best developers in the world.Example of mindset:Problem……………… find a solution………… No problem.Notice how this looks exactly like a line of code?This is well-known arou"&amp;"nd the world in places where you would like to sell your software the United States Germany Belgium and the Middle East.Countries where people have this mindset have the best developers. now let’s talk about your competition:Americans: during the center p"&amp;"rocess “find a solution” Americans are overly concerned about responsibility. This slows them down in the decision making process.    Read more  Total votes 1: ↑0 and ↓1  -1  Add to bookmarks      3     Comments        2               kaze_no_saga        "&amp;"Nov  7  at 06:03  PostgreSQL 17: Part 2 or Commitfest 2023-09  Reading time      11 min   Views  384 Postgres Professional corporate blog PostgreSQL *SQL *     Digest       Translation     We continue to follow the news of the PostgreSQL 17 development. L"&amp;"et's find out what the September commitfest brings to the table.If you missed our July commitfest review you can check it out here: 2023-07.Removed the parameter old_snapshot_thresholdNew parameter event_triggersNew functions to_bin and to_octNew system v"&amp;"iew pg_wait_eventsEXPLAIN: a JIT compilation time counter for tuple deformingPlanner: better estimate of the initial cost of the WindowAgg nodepg_constraint: NOT NULL constraintsNormalization of CALL DEALLOCATE and two-phase commit control commandsunaccen"&amp;"t: the target rule expressions now support values in quotation marksCOPY FROM: FORCE_NOT_NULL * and FORCE_NULL *Audit of connections without authenticationpg_stat_subscription: new column worker_typeThe behaviour of pg_promote in case of unsuccessful swit"&amp;"chover to a replicaChoosing the disk synchronization method in server utilitiespg_restore: optimization of parallel recovery of a large number of tablespg_basebackup and pg_receivewal with the parameter dbnameParameter names for a number of built-in funct"&amp;"ionspsql: watch min_rows   Read more →  Total votes 3: ↑3 and ↓0  +3  Add to bookmarks      2     Comments        1               SpringJava        Nov  4  at 12:34  How to Use Throw and Throws in Java Level of difficulty      Easy   Reading time      2 m"&amp;"in   Views  347 Programming *Java *     Tutorial      Exception handling in Java is the most effective way to handle runtime errors occurring in the application. This is used to protect the abnormal flow of the execution of the application and continue th"&amp;"e application in normal flow. This is the process of handling runtime errors such as ClassNotFoundException IOException etc. The throw and throws keywords are used to handle exceptions in Java.In this topic we will learn how to use throw and throws keywor"&amp;"ds in Java with examples.   Read more  Total votes 3: ↑3 and ↓0  +3  Add to bookmarks      0     Comments        0               PaulKarol        Nov  3  at 14:20  The key to Sales Conversion of an American CEO or CFO  Reading time      1 min   Views  405"&amp;" IT Infrastructure *IT Standards *Research and forecasts in IT *GTD *IT career     i’m writing this series articles to spearhead the new marketing campaign for into the American market. I will be covering a wide range of topics that will allow us to posit"&amp;"ion the company in the proper way so that is excepted as a provider of High-quality software in America.The key to converting an American CEO or CFO is the trigger point for the American business culture. The trigger point for America is responsibility.  "&amp;" This means in business you must be responsible. You also look for business partners that are responsible.  But let’s take this into the newest more powerful view that we need to have now.  The scene from the point of you of the CFO sitting at the head of"&amp;" the financial controls of a large hospital conglomerate. Put yourself in the mind of the CFO. What are they concerned about?  As an American CFO they will be very concerned about whether they are being responsible in their job and responsible to the hosp"&amp;"ital staff shareholders patients and the management above them. And this is how we get our foot in the door in this American niche market. If we present ourselves as offering something that “May” give an answer to specific problems that they know that the"&amp;"y have they must give us a chance to present a Presale. The reason is because they are responsible and if there is a solution as an American Director you must explore that solution.It would be irresponsible to not explore a potential solution.Then it’s a "&amp;"simple case to actually give value in the presale meeting and convince them that we can deliver some thing that will benefit their business and profits.   Read more  Total votes 6: ↑0 and ↓6  -6  Add to bookmarks      4     Comments        2              "&amp;" SpringJava        Nov  3  at 10:20  One-to-One Bidirectional Mapping in Spring Boot JPA Level of difficulty      Easy   Reading time      8 min   Views  237 Programming *Java *System Programming *Systems engineering *     Tutorial      This topic will te"&amp;"ach us to implement one-to-one(@OneToOne annotation) bidirectional mapping using Spring Boot Hibernate and Spring Data JPA.   Read more  Rating  0  Add to bookmarks      0     Comments        0               RahulKumarsree        Oct  30  at 17:40  Top 10"&amp;" Best Free Partition Manager Software for Windows PC/Laptop Level of difficulty      Medium   Reading time      12 min   Views  598 Development for Windows *Technical Writing *     Opinion       From sandbox     If you are searching for free partition man"&amp;"ager software for your Windows PC then Download the Top and best Partition Manager Software on Windows PC/Laptop.It is a software program that lets us create delete shrink expand split or merge partitions on our hard drives or other storage devices. Witho"&amp;"ut extra software a hard drive will be partitioned into Windows. But we can’t resize or combine them without any extra help.The important aspect of owning a PC is to manage your hard-drive partitions very effectively. Based on categories it divides data t"&amp;"o allow people. For example you can keep your multimedia files work folders and your programs in different partitions and install them on your system drive.If you use your PC to double or triple-boot into various operating systems as a power user. Your SS"&amp;"D or HDD must be divided into smaller partitions; otherwise it is impossible.In 2020 in managing software partitions effectively. We help you with Windows and Linux by compiling a list of the best free partition software. So let’s read more to get the fre"&amp;"e partition manager Windows 10/8/7.   Read more  Rating  0  Add to bookmarks      4     Comments        1               SpringJava        Oct  30  at 16:37  List in Java | Interface Methods Example Level of difficulty      Easy   Reading time      4 min  "&amp;" Views  260 Java *      From sandbox     In this topic we will learn about what is a List in Java. How to create a List in Java? What are the methods of List in Java? The List is an interface in Java. It is extending the Collection interface in Java. This"&amp;" List interface is present in the java.util package in Java. A list represents a group of individual objects as a single entity where duplicates are allowed and insertion order is preserved.   Read more  Rating  0  Add to bookmarks      1     Comments    "&amp;"    0               ENCRY        Oct  30  at 15:25  Anonymous identification for groups Level of difficulty      Hard   Reading time      13 min   Views  231 Information Security *    The identification protocol based on the pairing function resistant to "&amp;"impersonation and compatible with the instant digital signature (IDS) mode was studied in this article. This protocol uses prover's and verifier's public keys. As a result there is no anonymity since certificates including personal data of their owners ar"&amp;"e issued for the mentioned keys. This article contains a description and analysis of new anonymous identification protocols for groups.   Read more  Rating  0  Add to bookmarks      2     Comments        0               Liga_Stavok        Oct  30  at 15:1"&amp;"3  Roadmap for Managing Chaos — Planing Migration from a Monolith to Microservices  Reading time      22 min   Views  378 Liga Stavok corporate blog      Roadmap      Roadmap for Managing Chaos - Planing Migration from a Monolith to Microservices This art"&amp;"icle tries to provide some insight into the complexities of transitioning from monolithic architectures to microservices. Our goal is to offer a high view perspective on the various considerations and challenges that arise during such migrations terms and"&amp;" keywords you will encounter and their role in this endeavor.    Read more  Rating  0  Add to bookmarks      1     Comments        0               ArcaneGamingcom        Oct  30  at 11:55  UX Designer Job Interview: 10 questions to answer 5 questions to a"&amp;"sk Level of difficulty      Easy   Reading time      6 min   Views  261 SQL *IT Standards *Usability *GitHub *Data Engineering *     Retrospective       Recovery Mode     No matter how many degrees you have or how high your experience level is your recrui"&amp;"ters need to evaluate your knowledge of UX design as a whole. But keep in mind that a job interview is not an exam so here you are expected not to recite the textbook definitions learned by heart but rather share your personal understanding of UX and your"&amp;" role as a designer in general. Consider talking about how you define UX what creates value in the design what are the necessary parts of a UX design process what are the current trends in UX. You might also be asked to explain the difference between UI a"&amp;"nd UX to see how you understand the role of each in the development process.   Read more  Rating  0  Add to bookmarks      0     Comments        0               brdnicolas        Oct  28  at 12:46  React — Higher Order Components (HOC) Level of difficulty"&amp;"      Medium   Reading time      5 min   Views  1.1K JavaScript *ReactJS *      From sandbox     In the ever-evolving realm of web development mastering advanced concepts is essential for creating robust and flexible applications. In this article we'll de"&amp;"lve into one of these foundational React concepts: Higher-Order Components commonly known as HOCs. Whether you're a seasoned developer seeking advanced techniques or a curious beginner eager to learn we'll walk through the creation and application of HOCs"&amp;" step by step. Get ready to enrich your development toolkit with this powerful approach while discovering how to enhance the readability reusability and maintainability of your code.   Learn it  Rating  0  Add to bookmarks      4     Comments        0    "&amp;"           Gonchar_POTT        Oct  26  at 08:42  Python Lives in Excel Level of difficulty      Medium   Reading time      5 min   Views  679 Python *Software      Case       Translation     There was already news on Habr about this significant event. In"&amp;"deed it resembles a retelling of the official Microsoft press release but that's how the 'news' should be.   Read more  Rating  0  Add to bookmarks      2     Comments        0               BarsMonster        Oct  22  at 22:09  Doing 10 minute task in 2 "&amp;"hours using ChatGPT Level of difficulty      Easy   Reading time      4 min   Views  1.8K Programming *Machine learning *Artificial Intelligence      Case      Many of us have heard stories where one was able to complete days worth of work in minutes usin"&amp;"g AI even being outside of one's area of expertise. Indeed often LLM's do (almost) miracles but today I had a different experience:   Read more  Total votes 3: ↑3 and ↓0  +3  Add to bookmarks      2     Comments        3               gfx_pro        Oct  "&amp;"21  at 15:21  Do smartphone cameras need 12-bit ADCs or my failed experiment Level of difficulty      Medium   Reading time      3 min   Views  388 Image processing *Gadgets Smartphones Photographic equipment      Analytics       Translation     Among pho"&amp;"tographers it is known that on ""big"" cameras the use of 14-bit readout compared to 12-bit can have a positive impact on shadow detail. How does this apply to small sensors in smartphone cameras?   Let's find out  Rating  0  Add to bookmarks      1     C"&amp;"omments        0               aozeritsky        Oct  19  at 09:00  High-performance network library using C++20 coroutines Level of difficulty      Medium   Reading time      17 min   Views  13K Programming *C++ *Development for MacOS *Development for Li"&amp;"nux *     Tutorial      Asynchronous programming is commonly employed for efficient implementation of network interactions in C++. The essence of this approach lies in the fact that the results of socket read/write functions are not immediately available "&amp;"but become accessible after some time. This approach allows for loading the processor with useful work during the wait for data. Various implementations of this approach exist such as callbacks actors future/promise coroutines. In C++ these implementation"&amp;"s are available as libraries from third-party developers or can be implemented independently.Coroutines are the most challenging to implement as they require writing platform-dependent code. However the recent version of the C++ 20 language standard intro"&amp;"duces support for coroutines at the compiler and standard library levels. Coroutines are functions that can suspend their execution preserving their state and later return to that state to resume the function's work. The compiler automatically creates a c"&amp;"heckpoint with the coroutine's state.For a comprehensive understanding of C++ 20 coroutines refer to this article. Below we examine a code example using coroutines and describe important points applied during implementation.   Read more  Total votes 6: ↑4"&amp;" and ↓2  +2  Add to bookmarks      7     Comments        11               vda19999        Oct  15  at 11:52  How sqlalchemy uses greenlet to call an async Python function from a normal function  Reading time      5 min   Views  538 Python *    The Python "&amp;"language has two kind of functions — normal functions that you would use in most cases and async functions. The latter functions are used when performing network IO in an asynchronous manner. The problem with this division is that async functions can only"&amp;" be called from other async functions. Normal functions on the other hand can be called from any functions — however if you call a normal function that does a blocking operation from an async function it will block the whole event loop and all your corout"&amp;"ines. These limitations usually mean that when writing an using Python`s asyncio you can`t use any of the IO libraries that you use when writing a synchronous application and vice versa unless a library supports usage both in sync and async applications. "&amp;"Now the question is in case you are developing a large and complex library that say allows users to interact with relational databases abstracting away (some of) the differences between the SQL syntax and other aspects of these databases and abstracting a"&amp;"way the differences between the drivers for that database how do you support both sync and async usage of your library without duplicating the code of your library? The way sqlalchemy is organized is that regardless of what database and driver for it you "&amp;"are using you will be calling functions and methods related to Engine Connection etc classes which will do some general work independent of database then apply the logic specific to your database and finally call the functions of your database driver to a"&amp;"ctually communicate with the database. If you are using Python`s asyncio the database driver will expose async functions and methods but the rest of the library that is driver‑independent would ideally remain the same. However the issue is that that you c"&amp;"an`t call the async functions of the driver from the normal functions of the core of the library.    Read more  Total votes 4: ↑4 and ↓0  +4  Add to bookmarks      2     Comments        1               Makeman        Oct  14  at 07:00  GEOMETRY OF SOUND  "&amp;"Reading time      5 min   Views  725 Programming *Algorithms *C# *Mathematics *Software     Surprisingly there are strict mathematical methods that literally allow to hear visual geometric forms and conversely to see the beauty of musical harmonies...[Rea"&amp;"d on Russian]   Read more...  Total votes 3: ↑3 and ↓0  +3  Add to bookmarks      5     Comments        0               Leschev        Oct  11  at 07:30  React Custom Hook: useTimeout Level of difficulty      Medium   Reading time      2 min   Views  1.1K"&amp;" Website development *JavaScript *ReactJS *TypeScript *Visual programming *     Digest      One of the significant advantages of this custom hook is that it ensures the callback function remains up to date even if it changes during component re-renders. B"&amp;"y using a useRef to store the callback reference the hook guarantees that the latest version of the function is always called.   Read more  Total votes 4: ↑2 and ↓2  0  Add to bookmarks      2     Comments        1               gfx_pro        Oct  9  at "&amp;"18:55  A (more) accurate camera sensor dynamic range measurement  Reading time      7 min   Views  504 Photographic equipment Data Engineering *     Analytics       Translation     Hello everyone! In this post let's talk about how to (more) accurately mea"&amp;"sure the dynamic range of a camera sensor and what can be done with these measurements.Of course I am not an expert in computer vision a programmer or a statistician so please feel free to correct me in the comments if I make mistakes in this post. Here m"&amp;"y interest was primarily focused on everyday and practical tasks such as photography but I believe the results may also be useful to computer vision professionals.   Read more  Rating  0  Add to bookmarks      1     Comments        2         Back        H"&amp;"ere            1             2              3               ...              49              50              There     Back                   Your account                         Log in                              Sign up                        Sections "&amp;"                        Articles                              News                              Hubs                              Authors                              Sandbox                        Information                         How it works         "&amp;"                     For authors                              For companies                              Documents                              Agreement                              Confidential                        Services                         Cor"&amp;"porate blogs                              Advertising                              Native advertising                              Education programs                              Startups                              Special projects                Facebo"&amp;"ok Twitter Telegram           Language settings               Support       © 2006–2023  Habr   ")</f>
        <v>All articles in a row / Habr    Habr  β              How to become an author                        All streams                 Development                  Admin                  Design                  Management                  Marketing                  PopSci         Search     Profile          Pull to refresh      All streams            Articles                 Posts                 News                 Hubs                 Authors               All   Dropdown  Copy RSS link          Show first             New          Top             Rating limit             All          ≥0          ≥10          ≥25          ≥50          ≥100               Level of difficulty                       All                          Easy                          Medium                          Hard                     Apply                PaulKarol        Nov  10  at 17:56  Building an IT website aimed at America and the West  Reading time      3 min   Views  148 IT Infrastructure *IT Standards *Research and forecasts in IT *GTD *IT career     My last article stirred up some definite comments and even questions about different things in business. I’m going to keep giving you as much information as I can so that you can continue to do business as IT professionals outside of Russia with other countries. How do you design a website that will be viewed in the west and appreciated by the people there?What are the most important elementsfor America and other western markets?   Read more  Rating  0  Add to bookmarks      3     Comments        0               PaulKarol        Nov  7  at 12:32  Marketing your Mindset  Reading time      2 min   Views  177 IT Infrastructure *IT Standards *Research and forecasts in IT *GTD *IT career     Information shared below is exactly how I work with my IT professionals who are going to be participating in pre-sales to America. I tell them exactly this and it helps prepare them to successfully sell the the United States companies.As developers and IT companies we must sell our software. What can give you an edge in this very competitive market place?Please if you would allow me to let me explain why this is important and how this can make your company more successful.  There’s a certain type of thinking that is conducive to working as a software developer. This is a very practical mindset but it goes beyond that. If you have the mindset of direct thinking.Here are examples:I see the target a target and I don’t see obstaclesВижу цель не вижу препятствийThis is an example of the practical mindset how is approaches the problem of development. It makes people who have this mindset the best developers in the world.Example of mindset:Problem……………… find a solution………… No problem.Notice how this looks exactly like a line of code?This is well-known around the world in places where you would like to sell your software the United States Germany Belgium and the Middle East.Countries where people have this mindset have the best developers. now let’s talk about your competition:Americans: during the center process “find a solution” Americans are overly concerned about responsibility. This slows them down in the decision making process.    Read more  Total votes 1: ↑0 and ↓1  -1  Add to bookmarks      3     Comments        2               kaze_no_saga        Nov  7  at 06:03  PostgreSQL 17: Part 2 or Commitfest 2023-09  Reading time      11 min   Views  384 Postgres Professional corporate blog PostgreSQL *SQL *     Digest       Translation     We continue to follow the news of the PostgreSQL 17 development. Let's find out what the September commitfest brings to the table.If you missed our July commitfest review you can check it out here: 2023-07.Removed the parameter old_snapshot_thresholdNew parameter event_triggersNew functions to_bin and to_octNew system view pg_wait_eventsEXPLAIN: a JIT compilation time counter for tuple deformingPlanner: better estimate of the initial cost of the WindowAgg nodepg_constraint: NOT NULL constraintsNormalization of CALL DEALLOCATE and two-phase commit control commandsunaccent: the target rule expressions now support values in quotation marksCOPY FROM: FORCE_NOT_NULL * and FORCE_NULL *Audit of connections without authenticationpg_stat_subscription: new column worker_typeThe behaviour of pg_promote in case of unsuccessful switchover to a replicaChoosing the disk synchronization method in server utilitiespg_restore: optimization of parallel recovery of a large number of tablespg_basebackup and pg_receivewal with the parameter dbnameParameter names for a number of built-in functionspsql: watch min_rows   Read more →  Total votes 3: ↑3 and ↓0  +3  Add to bookmarks      2     Comments        1               SpringJava        Nov  4  at 12:34  How to Use Throw and Throws in Java Level of difficulty      Easy   Reading time      2 min   Views  347 Programming *Java *     Tutorial      Exception handling in Java is the most effective way to handle runtime errors occurring in the application. This is used to protect the abnormal flow of the execution of the application and continue the application in normal flow. This is the process of handling runtime errors such as ClassNotFoundException IOException etc. The throw and throws keywords are used to handle exceptions in Java.In this topic we will learn how to use throw and throws keywords in Java with examples.   Read more  Total votes 3: ↑3 and ↓0  +3  Add to bookmarks      0     Comments        0               PaulKarol        Nov  3  at 14:20  The key to Sales Conversion of an American CEO or CFO  Reading time      1 min   Views  405 IT Infrastructure *IT Standards *Research and forecasts in IT *GTD *IT career     i’m writing this series articles to spearhead the new marketing campaign for into the American market. I will be covering a wide range of topics that will allow us to position the company in the proper way so that is excepted as a provider of High-quality software in America.The key to converting an American CEO or CFO is the trigger point for the American business culture. The trigger point for America is responsibility.   This means in business you must be responsible. You also look for business partners that are responsible.  But let’s take this into the newest more powerful view that we need to have now.  The scene from the point of you of the CFO sitting at the head of the financial controls of a large hospital conglomerate. Put yourself in the mind of the CFO. What are they concerned about?  As an American CFO they will be very concerned about whether they are being responsible in their job and responsible to the hospital staff shareholders patients and the management above them. And this is how we get our foot in the door in this American niche market. If we present ourselves as offering something that “May” give an answer to specific problems that they know that they have they must give us a chance to present a Presale. The reason is because they are responsible and if there is a solution as an American Director you must explore that solution.It would be irresponsible to not explore a potential solution.Then it’s a simple case to actually give value in the presale meeting and convince them that we can deliver some thing that will benefit their business and profits.   Read more  Total votes 6: ↑0 and ↓6  -6  Add to bookmarks      4     Comments        2               SpringJava        Nov  3  at 10:20  One-to-One Bidirectional Mapping in Spring Boot JPA Level of difficulty      Easy   Reading time      8 min   Views  237 Programming *Java *System Programming *Systems engineering *     Tutorial      This topic will teach us to implement one-to-one(@OneToOne annotation) bidirectional mapping using Spring Boot Hibernate and Spring Data JPA.   Read more  Rating  0  Add to bookmarks      0     Comments        0               RahulKumarsree        Oct  30  at 17:40  Top 10 Best Free Partition Manager Software for Windows PC/Laptop Level of difficulty      Medium   Reading time      12 min   Views  598 Development for Windows *Technical Writing *     Opinion       From sandbox     If you are searching for free partition manager software for your Windows PC then Download the Top and best Partition Manager Software on Windows PC/Laptop.It is a software program that lets us create delete shrink expand split or merge partitions on our hard drives or other storage devices. Without extra software a hard drive will be partitioned into Windows. But we can’t resize or combine them without any extra help.The important aspect of owning a PC is to manage your hard-drive partitions very effectively. Based on categories it divides data to allow people. For example you can keep your multimedia files work folders and your programs in different partitions and install them on your system drive.If you use your PC to double or triple-boot into various operating systems as a power user. Your SSD or HDD must be divided into smaller partitions; otherwise it is impossible.In 2020 in managing software partitions effectively. We help you with Windows and Linux by compiling a list of the best free partition software. So let’s read more to get the free partition manager Windows 10/8/7.   Read more  Rating  0  Add to bookmarks      4     Comments        1               SpringJava        Oct  30  at 16:37  List in Java | Interface Methods Example Level of difficulty      Easy   Reading time      4 min   Views  260 Java *      From sandbox     In this topic we will learn about what is a List in Java. How to create a List in Java? What are the methods of List in Java? The List is an interface in Java. It is extending the Collection interface in Java. This List interface is present in the java.util package in Java. A list represents a group of individual objects as a single entity where duplicates are allowed and insertion order is preserved.   Read more  Rating  0  Add to bookmarks      1     Comments        0               ENCRY        Oct  30  at 15:25  Anonymous identification for groups Level of difficulty      Hard   Reading time      13 min   Views  231 Information Security *    The identification protocol based on the pairing function resistant to impersonation and compatible with the instant digital signature (IDS) mode was studied in this article. This protocol uses prover's and verifier's public keys. As a result there is no anonymity since certificates including personal data of their owners are issued for the mentioned keys. This article contains a description and analysis of new anonymous identification protocols for groups.   Read more  Rating  0  Add to bookmarks      2     Comments        0               Liga_Stavok        Oct  30  at 15:13  Roadmap for Managing Chaos — Planing Migration from a Monolith to Microservices  Reading time      22 min   Views  378 Liga Stavok corporate blog      Roadmap      Roadmap for Managing Chaos - Planing Migration from a Monolith to Microservices This article tries to provide some insight into the complexities of transitioning from monolithic architectures to microservices. Our goal is to offer a high view perspective on the various considerations and challenges that arise during such migrations terms and keywords you will encounter and their role in this endeavor.    Read more  Rating  0  Add to bookmarks      1     Comments        0               ArcaneGamingcom        Oct  30  at 11:55  UX Designer Job Interview: 10 questions to answer 5 questions to ask Level of difficulty      Easy   Reading time      6 min   Views  261 SQL *IT Standards *Usability *GitHub *Data Engineering *     Retrospective       Recovery Mode     No matter how many degrees you have or how high your experience level is your recruiters need to evaluate your knowledge of UX design as a whole. But keep in mind that a job interview is not an exam so here you are expected not to recite the textbook definitions learned by heart but rather share your personal understanding of UX and your role as a designer in general. Consider talking about how you define UX what creates value in the design what are the necessary parts of a UX design process what are the current trends in UX. You might also be asked to explain the difference between UI and UX to see how you understand the role of each in the development process.   Read more  Rating  0  Add to bookmarks      0     Comments        0               brdnicolas        Oct  28  at 12:46  React — Higher Order Components (HOC) Level of difficulty      Medium   Reading time      5 min   Views  1.1K JavaScript *ReactJS *      From sandbox     In the ever-evolving realm of web development mastering advanced concepts is essential for creating robust and flexible applications. In this article we'll delve into one of these foundational React concepts: Higher-Order Components commonly known as HOCs. Whether you're a seasoned developer seeking advanced techniques or a curious beginner eager to learn we'll walk through the creation and application of HOCs step by step. Get ready to enrich your development toolkit with this powerful approach while discovering how to enhance the readability reusability and maintainability of your code.   Learn it  Rating  0  Add to bookmarks      4     Comments        0               Gonchar_POTT        Oct  26  at 08:42  Python Lives in Excel Level of difficulty      Medium   Reading time      5 min   Views  679 Python *Software      Case       Translation     There was already news on Habr about this significant event. Indeed it resembles a retelling of the official Microsoft press release but that's how the 'news' should be.   Read more  Rating  0  Add to bookmarks      2     Comments        0               BarsMonster        Oct  22  at 22:09  Doing 10 minute task in 2 hours using ChatGPT Level of difficulty      Easy   Reading time      4 min   Views  1.8K Programming *Machine learning *Artificial Intelligence      Case      Many of us have heard stories where one was able to complete days worth of work in minutes using AI even being outside of one's area of expertise. Indeed often LLM's do (almost) miracles but today I had a different experience:   Read more  Total votes 3: ↑3 and ↓0  +3  Add to bookmarks      2     Comments        3               gfx_pro        Oct  21  at 15:21  Do smartphone cameras need 12-bit ADCs or my failed experiment Level of difficulty      Medium   Reading time      3 min   Views  388 Image processing *Gadgets Smartphones Photographic equipment      Analytics       Translation     Among photographers it is known that on "big" cameras the use of 14-bit readout compared to 12-bit can have a positive impact on shadow detail. How does this apply to small sensors in smartphone cameras?   Let's find out  Rating  0  Add to bookmarks      1     Comments        0               aozeritsky        Oct  19  at 09:00  High-performance network library using C++20 coroutines Level of difficulty      Medium   Reading time      17 min   Views  13K Programming *C++ *Development for MacOS *Development for Linux *     Tutorial      Asynchronous programming is commonly employed for efficient implementation of network interactions in C++. The essence of this approach lies in the fact that the results of socket read/write functions are not immediately available but become accessible after some time. This approach allows for loading the processor with useful work during the wait for data. Various implementations of this approach exist such as callbacks actors future/promise coroutines. In C++ these implementations are available as libraries from third-party developers or can be implemented independently.Coroutines are the most challenging to implement as they require writing platform-dependent code. However the recent version of the C++ 20 language standard introduces support for coroutines at the compiler and standard library levels. Coroutines are functions that can suspend their execution preserving their state and later return to that state to resume the function's work. The compiler automatically creates a checkpoint with the coroutine's state.For a comprehensive understanding of C++ 20 coroutines refer to this article. Below we examine a code example using coroutines and describe important points applied during implementation.   Read more  Total votes 6: ↑4 and ↓2  +2  Add to bookmarks      7     Comments        11               vda19999        Oct  15  at 11:52  How sqlalchemy uses greenlet to call an async Python function from a normal function  Reading time      5 min   Views  538 Python *    The Python language has two kind of functions — normal functions that you would use in most cases and async functions. The latter functions are used when performing network IO in an asynchronous manner. The problem with this division is that async functions can only be called from other async functions. Normal functions on the other hand can be called from any functions — however if you call a normal function that does a blocking operation from an async function it will block the whole event loop and all your coroutines. These limitations usually mean that when writing an using Python`s asyncio you can`t use any of the IO libraries that you use when writing a synchronous application and vice versa unless a library supports usage both in sync and async applications. Now the question is in case you are developing a large and complex library that say allows users to interact with relational databases abstracting away (some of) the differences between the SQL syntax and other aspects of these databases and abstracting away the differences between the drivers for that database how do you support both sync and async usage of your library without duplicating the code of your library? The way sqlalchemy is organized is that regardless of what database and driver for it you are using you will be calling functions and methods related to Engine Connection etc classes which will do some general work independent of database then apply the logic specific to your database and finally call the functions of your database driver to actually communicate with the database. If you are using Python`s asyncio the database driver will expose async functions and methods but the rest of the library that is driver‑independent would ideally remain the same. However the issue is that that you can`t call the async functions of the driver from the normal functions of the core of the library.    Read more  Total votes 4: ↑4 and ↓0  +4  Add to bookmarks      2     Comments        1               Makeman        Oct  14  at 07:00  GEOMETRY OF SOUND  Reading time      5 min   Views  725 Programming *Algorithms *C# *Mathematics *Software     Surprisingly there are strict mathematical methods that literally allow to hear visual geometric forms and conversely to see the beauty of musical harmonies...[Read on Russian]   Read more...  Total votes 3: ↑3 and ↓0  +3  Add to bookmarks      5     Comments        0               Leschev        Oct  11  at 07:30  React Custom Hook: useTimeout Level of difficulty      Medium   Reading time      2 min   Views  1.1K Website development *JavaScript *ReactJS *TypeScript *Visual programming *     Digest      One of the significant advantages of this custom hook is that it ensures the callback function remains up to date even if it changes during component re-renders. By using a useRef to store the callback reference the hook guarantees that the latest version of the function is always called.   Read more  Total votes 4: ↑2 and ↓2  0  Add to bookmarks      2     Comments        1               gfx_pro        Oct  9  at 18:55  A (more) accurate camera sensor dynamic range measurement  Reading time      7 min   Views  504 Photographic equipment Data Engineering *     Analytics       Translation     Hello everyone! In this post let's talk about how to (more) accurately measure the dynamic range of a camera sensor and what can be done with these measurements.Of course I am not an expert in computer vision a programmer or a statistician so please feel free to correct me in the comments if I make mistakes in this post. Here my interest was primarily focused on everyday and practical tasks such as photography but I believe the results may also be useful to computer vision professionals.   Read more  Rating  0  Add to bookmarks      1     Comments        2         Back        Here            1             2              3               ...              49              50              There     Back                   Your account                         Log in                              Sign up                        Sections                         Articles                              News                              Hubs                              Authors                              Sandbox                        Information                         How it works                              For authors                              For companies                              Documents                              Agreement                              Confidential                        Services                         Corporate blogs                              Advertising                              Native advertising                              Education programs                              Startups                              Special projects                Facebook Twitter Telegram           Language settings               Support       © 2006–2023  Habr   </v>
      </c>
    </row>
    <row r="1036">
      <c r="A1036" s="1" t="s">
        <v>3217</v>
      </c>
      <c r="B1036" s="1" t="s">
        <v>3258</v>
      </c>
      <c r="C1036" s="1" t="s">
        <v>153</v>
      </c>
      <c r="D1036" s="1">
        <v>17.0</v>
      </c>
      <c r="E1036" s="4" t="s">
        <v>3259</v>
      </c>
      <c r="F1036" s="1" t="s">
        <v>16</v>
      </c>
      <c r="G1036" s="1" t="s">
        <v>115</v>
      </c>
      <c r="H1036" s="4" t="s">
        <v>116</v>
      </c>
      <c r="I1036" s="2">
        <v>3.0</v>
      </c>
      <c r="J1036" s="5" t="str">
        <f>IFERROR(__xludf.DUMMYFUNCTION("GOOGLETRANSLATE(A1036)"),"Yandex")</f>
        <v>Yandex</v>
      </c>
      <c r="K1036" s="6" t="str">
        <f>IFERROR(__xludf.DUMMYFUNCTION("GOOGLETRANSLATE(B1036)"),"Yandex introduced the smart column ""MIDI station""")</f>
        <v>Yandex introduced the smart column "MIDI station"</v>
      </c>
      <c r="L1036" s="5" t="str">
        <f>IFERROR(__xludf.DUMMYFUNCTION("GOOGLETRANSLATE(C1036)"),"3 days ago -")</f>
        <v>3 days ago -</v>
      </c>
      <c r="M1036" s="5" t="str">
        <f>IFERROR(__xludf.DUMMYFUNCTION("GOOGLETRANSLATE(G1036)"),"All the most interesting of the world of the IT industry 🇷🇺🇰🇿 Today is November 12, 2023 18+MWC 201820computExifa 2018, SitereklamazklakkontaktattovostovostovostovostovostovostovostiovostiOFSANALIDICAVIDOCAVUK and acoustics of the BP and oclaigent aMa"&amp;"ternipers and projectors of the electronical power supply system and pmperiferioplanshtyta support for processors and memory and communications SMARARTFONAURALARY DOCTIONS AND VIDEO CART RSS/Social Networks The distribution of vacancies [New!] The main su"&amp;"rvey dozens of massive stars are hastily leaving our galaxy and now scientists have found out why vast astrometric observations of the sky began in the early 2000s that gave an accurate idea of ​​the speed and direction of the stars. We began to see the u"&amp;"niverse around us in dynamics. About 20 years ago, the first star leaving our galaxy was discovered. It turned out that there were a lot of stars-stars and most of them showed the study in the early Universe a reduced copy of our galaxy-scientists do not "&amp;"understand how the James Webb space telescope appeared there, which has not yet lended to scientific explanation. The new discovery was the detection of the Galaxy very similar to the Milky Way of only 2 billion years after the Big Bang. Such a spiral gal"&amp;"axy simply could not be in that place and at that time astronomers declare. She simply would not have time to develop to such perfect forms of Alan Wake 2 - he waited for thirteen years! In a dark place! The Review of the Return of Alan Waika, many player"&amp;"s were waiting for their breath. Each Easter in Control, hinting at the fate of the famous writer, became a ray of hope. And with the release of AWE, the studio almost officially confirmed - it will definitely return! Thirteen years later, Alana brought t"&amp;"o the shore of Lake Koldron. Was it worth waiting for him? Definitely yes ... Gamesblender No. 648: PS5 Slim opening in Microsoft Games BlizzCon 2023 Announcements and the start of “Troubles” with you Gamesblender Video Dazhest of the News of the Game Ind"&amp;"ustry from 3Dnews.ru. Today we will tell you what we showed on BlizzCon and when to wait for the new Mass Effect and also look inside the lightweight PlayStation 5 model. Let's go! In trend • On Intel, they sued billions of processors with a defect of whi"&amp;"ch she knew and did nothing • “Thank you to developers now I’m not a pirate”: STRONGHOLD: Definitive Edition for the first three days, they pleased the creators • IFIXIT found out how Apple succeeded to achieve the radical black color of the MacBook Pro c"&amp;"ase • Ton’s cryptocurrency wallet began to be added to Telegram around the world • Superduper: Gigaio SuperDupernode allows you to unite 64 accelerator Hardware News • Historical Society not to build a landing station for the Nuvem Internet Cabbel for the"&amp;" Nuvam. The place of the memorial is second World War • Galax released a rare single-sloping video card of the GeForce RTX 4060 Ti Max from 16 GB of memory • SPACEX DRAGON ship delivered to the ISS a laser space communication apparatus and a lot of other "&amp;"equipment • From the beginning of 2024, 160 state and other organizations will connect 160 state and other organizations to the all-Russian anti-attacked system. • Apple promised not to increase prices to compensate for its expenses on increasing environm"&amp;"ental friendliness • Tronsmart T7 Tronsmart T7 Lite and Tronsmart Bang wireless speakers will turn any party into a real light show • Ilife L100 robot and humid cleaning with the function of laser scanning • the parking lot will not be the parking lot. : "&amp;"Mars-proceedings and even a helicopter will continue to collect data even in the absence of a connection with the Earth • Ilife T10S robot vertebrae with a self-cleaning station and Ilife W90 wireless vacuum cleaner will add comfort and efficiency • Space"&amp;"X is preparing Starship for launch on November 17, but the approval of the regulator has not yet received • for successes SpaceX discovered the prohibitive injuries of workers and a disregard for safety precautions • Ugreen has released the Porta Porta Po"&amp;"rta Hitune Max 5 wireless headphones with noise reducing and a 255 W-off • TPL NXTPAPER 11-a tablet with a bright IPS -cryise • Cruise is forced to proceed to reduce the personnel of the unmanned taxi that has served it • In October, TSMC revenue grew by "&amp;"348 % immediately • One-Netbook introduced the external Radeon RX 7600M XT video card with a built-in SSD • AOC presented a 27-inch game game game The Q27G10E monitor with a resolution of 1440P and the update frequency of 180 Hz • Galax will release 50 ex"&amp;"clusive GEFORCE RTX 4090 20TH Anniversary Carbon Fiber Edition for $ 2880 Software News: Alan Wake 2 - thirteen years old! In a dark place! Review • New Article: Gamesblender No. 648: Opening PS5 SLIM AI in Microsoft games announcements Blizzcon 2023 and "&amp;"start of pre -order “Troubles” • Celebrating the first anniversary of the action of Warhammer 40000: Darktide for two months • Hackers published confidential data from Boeeing. Backing • Authors The cooperative action of The First Descendant promises to c"&amp;"orrect all the shortcomings of the beta testing revealed during the beta-testing • Apple iPhone 15 Pro learned to shoot a 3D video for the Vision Pro headset • Meta✴ offered Europeans Instagram✴ and Facebook✴ without advertising but it costs this. Evo • T"&amp;"urok 3: Shadow of Oblivion from Nightdive will be released later than the promised - a new release date is disclosed • New article: The Invincible - Flies with us. Рецензия • Критический успех: Baldur's Gate 3 не оставила шанса конкурентам на Golden Joyst"&amp;"ick Awards 2023 • IBM инвестирует $500 млн в ИИ-стартапы ориентированные на корпоративных клиентов • В 2024 году в Steam выйдет Exilium — атмосферный российский квест про экзорцизм и демонов с геймплеем в духе “How to get a neighbor” • From Shisha to Sagi"&amp;"ttarius: Troubles Developers explained how the images of Yuri Miloslavsky differ from the classes and what they give • The social network X was very lagging behind competitors in the moderation of the EU content • Microsoft forbade employees to use Chatgp"&amp;"t from security reasons The adventure action of Senua's Saga: Hellblade II will not be released earlier than mid -2024 • Binance will stop supporting deposits in Russian rubles from November 15 • Google will not be able to turn off the support of third -p"&amp;"arty COOKIE until 2025 New Article: Alan Wake 2 - thirteen years old ! In a dark place! Soft Review • New Article: Gamesblender No. 648: Opening PS5 SLIM AI in Microsoft games announcements BlizzCon 2023 and the start of “Troubles” pre-orders of Servernew"&amp;"s • Historical Society asked Google not to build a nuvem landing station on the site of the Second World War Memorial SOF T • celebration The first anniversary of the action of the Warhammer 40000: Darktide will stretch for two months Soft • Hackers publi"&amp;"shed confidential Boeing data after refusing Hard • Galax released a rare single -sloping GEFORCE RTX 4060 Ti Max with 16 Gbytes of Soft Memory • Authors of Cooperative Equen Acshen The Fir ST Descendant promise to fix all the shortcomings Hard detected d"&amp;"uring beta testing • The SpaceX Dragon ship delivered to the ISS the laser space communication apparatus and a mass of other Servernews equipment • From the beginning of 2024, 160 state and other SOFT organizations have been connected to the All-Russian A"&amp;"nti-Atam system • Apple iphone 15 Pro taught the 3D 3D 3D -Video for the Vision Pro headset-the first videos impressed the Hard • Apple journalists not to increase prices to compensate for their expenses to increase the environmental friendliness of Hard "&amp;"• Tronsmart T7 Tronsmart T7 Lite and TronSmart Bang wireless columns will turn any party into real Hard show. With iLife L100 for dry and humid cleaning with the function of laser scanning HARD • There will be no vacation: Mars-Roads and even a helicopter"&amp;" will continue to collect data even in the absence of the Hard land • Ilife T10S Robot Delivery and the Ilife W90 wireless vacuum cleaner will add comfort and efficiency of HARD • SpaceX prepares Starship for launch on November 17, but the approval of the"&amp;" regulator has not yet received Soft • META✴ offered Europeans Instagram✴ and Facebook✴ without advertising, but it costs a short -haired Hard • The SPACEX success has discovered an outrageous traumatism of employees and the impulsive attitude to the safe"&amp;"ty technique of Hard • Ugreen released Hitune Max 5 wireless headphones concentrator “10-in-1” wireless headphones with noise-disposal and a jumper at 25,000 mAh and 145 W Hard • TPL NXTPAPER 11-a tablet with a bright Hard IPS screen HARD taxi • In Octobe"&amp;"r, TSMC revenue consistently increased by 348 % Hard • One-Netbook introduced the external video card Radeon RX 7600M XT with the built-in slot M.2 for SSD Soft • Remaster Turok 3: Shadow of Oblivion from Nightdide will be released later-a new Release dat"&amp;"e Soft • New article: The Invincible - Flies with us. Soft Review • Critical Success: Baldur's Gate 3 did not leave a chance to competitors on Golden JoyStick Awards 2023 Hard • AOC introduced a 27-inch Q27G10P gaming monitor with a resolution of 1440P an"&amp;"d the frequency of 180 Hz Hard • Galax will release 50 exclusive GEFORCE video cards RTX 4090 20TH Anniversary Carbon Fiber Edition for $ 2880 Servernews • IBM invests $ 500 million in AI-Startapa oriented to corporate customers Hard • Products of PC and "&amp;"smartphones expect the excitement around the AI ​​will raise their sales Hard • Russian Progress helped the ISS dodging Soft cosmic garbage • in 2024 in Steam Exilium will be released - an atmospheric Russian quest about exorcism and demons with gameplay "&amp;"in the spirit of “how to get a neighbor” Hard • Valve: the technologies have not yet developed enough for the appearance of Steam Deck 2.0 Soft • from Shisha to Sagittarius: the developers of “Troubles” explained how the images of Yuri Miloslavsky differe"&amp;"d from classes and what they give Hard • Tests identified a narrow place in the new younger MacBook Pro - these are praised 8 GB of memory of Soft • Social network X is very lagging behind competitors in the moderation of content in the EU Hard • All Chin"&amp;"ese flagship smartphones will receive support for Hard • Intel investigated Millions of dollars in Stability AI-developer of AI artist Stable Diffusion Soft • Microsoft forbade employees to use Chatgpt for Soft Security Relations • Adventure fighter Senua"&amp;"'s Saga: Hellblade II will not be released earlier than the middle of 2024. BR 2023 119v Apple said 8 GB of RAM in MacBook Pro is similar to 16 GB in the usual PC 104Microsoft will not allow you to close OneDrive until the user explains the cause of 57 Ka"&amp;"mAZ showed an unmanned dump truck for Robokop - it will be sent to mine 42novy in the reviews of the game November 111, 2023The Innovin Cable - flies we have. Reviews of solid science fiction is what we love what we missed and what we practically do not e"&amp;"xpect from contemporary art. After all, now this is already an unmary retro. But the grains sown in us with classics will inevitably give out seedlings. And a game will appear on the basis of a seemingly not adapted novel by Stanislav Lem. The idea doomed"&amp;" to failure? Or vice versa, a chance to disrupt a jackpot in a sparse atmosphere of serious science fiction games? The software on November10, 2023 Robots are closed: 10 applications for automating tasks on Android using a smartphone, we often perform the"&amp;" same actions to delegate the implementation of which can be specialized programs. They are able to replace a person in terms of routine tasks and release the time for more important matters smartphones on November 09, 2023 Oppo Find N3 Review: Flexible s"&amp;"martphone with the best camera Folding smartphones with flexible screens appeared long ago and already firmly settled on the market. Despite the initial skepticism, they become more and more popular and manufacturers not only enter this race but also cons"&amp;"tantly improve devices. A striking example of this is the company Oppo as if only yesterday made its first folding smartphone and already producing it the third generation with very detailed work on the mistakes of the laptop and PC08 on November 2023 com"&amp;"pensation of the month - November 2023 The penalty of the “Computer of the month” is again dedicated to answers to often Questions and criticism from our readers. We have selected relevant interesting and to some extent provocative comments related to gam"&amp;"e assemblies and rubric as a whole on November 107, 2023, MSI MSI MPG B650 Carbon WiFi: when there is everything that you need MSI MPG B650 Carbon WiFi-an example of which may be on the basis A system unit is assembled. It will be a game assembly or works"&amp;"tation - to solve its owner. In any case, he will receive the device that is relevant throughout the life cycle of the AM5 PRODUMSORS and memory on November06, 2023 Is it true that 64-gbet sets of DDR5 is faster than 32 gB? We check the example of the Pat"&amp;"riot Viper Venom DDR5-6400 2 × 32 GB of the DDR5 modules with a volume of 32 GB, unlike 16-GB of brothers, have a double-ranking architecture. But how does this affect performance? We understand comparing with each other in characteristics the DDR5-6400 s"&amp;"ets with a volume of 32 and 64 GB of the game 05 November 2023Song of Nunu: A League of Legends Story-the legends of the north. Review of multi -sized League of Legends continues to expand tirelessly. This time, we have a fascinating game-adventure of an "&amp;"inseparable “tank” tandem Nunu and Vilumpa, which is not shy about spying on God of War and Uncharted. How entertaining it turned out to be learned from our review of the game 04 November 2023Gamesblender No. 647: Team Spirit Championship dismissal at Son"&amp;"y Capcom against mods and Avatar: Frontiers of Pandora with you Gamesblender Video Dazhah of the Game Industry News from 3Dnews.ru. Today we will tell you how Capcom did not please the mods what kind of nuisance awaits the owners of the Xbox and where the"&amp;" Yakut The Day Before Games is disappeared on November04, 2023THE FINALS - the coming hit from people in love with shooters. A preliminary review in the Steam alone, the beta version of The Finals tested hundreds of thousands of players, and yet it is als"&amp;"o available on consoles. What did the coming shooter deserve such attention and did he deserve? For a while we broke away from the game and tell how it is good smartphones on November03, 2023 ITEL S23+: the most inexpensive smartphone with a curved OLED s"&amp;"creen we talked a lot about the smartphones of two brands Transion Holdings-Tecno and Infinix. But the third brand was not concerned before this day. Well, the time has come and Itel-and we will begin to get acquainted immediately with the local flagship "&amp;"of the ITEL S23+ model+ pulling into the budget segment, the elements of the BP case and cooling on November02, 2023 Overview of the 1stPlayer NGDP HA-1000BA3 power supply: white luxury NGDP-expensive power supply units built On the branded hardware platf"&amp;"orm. But they fully fulfill their price with certification of 80 Plus Platinum and cables in the braids of the Maternal board, November 101, 2023 Assus Rog Crosshair X670e Hero Maternal board: Welcome to the family such as ASUS ROG Crosshair X670E Hero us"&amp;"ually bought ilter. And for a long time. AMD platforms are famous for their long -term support - there are all the prerequisites that with AM5 there will also be smartphones on October 31, 2023, the Infinix Zero 30 4G Review: a thoroughbred smartphone in "&amp;"a holy place does not have a place in the void. Let the expected outflow of brands from the smartphone market over the past year and a half has not happened, but some place on it (primarily at the expense of Samsung) was released-and now, according to the"&amp;" law, Archimedes is filled. Transsion Holdings and in particular the Infinix brand is especially trying. The new Zero 30 4G is positioned as a kind of flagship - let's see how it is good for software on October30, 2023VO inclusive: 15 little -known applie"&amp;"d programs from the Windows set in the bowels of the Windows operating system hidden many useful applications and the existence of which sometimes even the most experienced users are not aware of the existence. We open the cards and talk about the softwar"&amp;"e built into the platform, which is exactly worth taking a note of the game on October 29, 2023 Marvel’s Spider-Man 2-two friendly neighbors. Review per day, the new Marvel’s Spider-Man 2 diverged two million copies. After the deafening success of the fir"&amp;"st part, it was expected, but did the novelty deserve such sales or the audience just bought a familiar brand? The answer is obvious, but we still talk about the game in the game’s review October 28, 2023Gamesblender No. 646: horrors of optimization of CI"&amp;"TIES: SkyLines II show “The plot” Starcitizen ARK: Survival Ascented and the heir to Planet Annihilation with you Gamesblender The gesture of news of the gaming industry from 3dnews.ru. Somewhere the first frosts were already hit and slightly zahalloidige"&amp;" glasses, which means November is close. In this issue, we will plunge into the horrors of the optimization of the CITIES: SkyLines II will tell you why the “green” Steam and arrange a particularly cruel verbal-semantic slasher of the game on October28, 2"&amp;"023station to Station-far from the bustle. Review of the train of monstrous autumn releases has already gained move. I would like to take a breath from all this noise in some pacifying indie game. And we were lucky. The location of the station is a cute p"&amp;"uzzle about the Station To Station Off Subnanka on October 27, 2023Maging of hard drives: how many terabytes will fit in 35 inches? Bully slow, energetically voracious - what kind of derogatory epithets are not used by SSD adherents to the old good magnet"&amp;"ic disc drivers! However, are there so old technologies of modern HDD technologies-and why do nand-based data carriers do not replace the Winchesters in any way from the Data Centers or from the home/office NAS nor from desktop PCs? Smartphones October 26"&amp;", 2023 Honor 90 Lite: A caring smartphone, we are used to that smartphone manufacturers trying to highlight their products on the backdrop of competitors rely on the camera sometimes on the design sometimes for autonomy. Honor 90 Lite stands out by its sa"&amp;"fety (not forgetting the truth about other elements). What is this expressed - let's talk in the review of the BP case and cooling October25, 2023 Overview and testing of the APNX C1 case: No to the screws! In our test laboratory there is an original and "&amp;"roomy case with fast -fast panels by four pre -installed fans with dust filters illumination and the possibility of a vertical installation of a video card. Let's try to understand the features of its design. We test the effectiveness of cooling and measu"&amp;"re the noise level reviews 26.10.2023 Honor 90 Lite: Careful smartphone 10.10.2023 Rent and testing of the APNX C1 case: No screws! 10.24.2023 computer of the month Special issue. What is more profitable to buy in the era ""dollar at 100"": a gaming lapto"&amp;"p or a system unit? 10/23/2023 Video cards AMD Radeon RX 7700 XT and Radeon RX 7800 XT: Step to normality 10.10.2023LORLORDS of the FALEN - attempt number two. Review on 10.2023Gamesblender No. 645: Closing the Microsoft and Activision Blizzard transactio"&amp;"n Death Death and Non-Make Lollipop Chainsaw 21.10.2023Forza Motorsport (2023)-insomnia. Review on 10/20/2023 The review of the Apple iPhone 15 Pro Max smartphone: why are we giving three hundred thousand? 19.10.2023 Harzor of Huawei Freebuds Pro 3: when "&amp;"you don’t need to change something on 10/18/2023 Tecno Phantom V Flip: how flexible smartphones become massive on 10.10.2023Top-10 smartphones up to 20 thousand rubles (2023) 16.10.2023 Beware of 48 GB of DDR5 sets? We understand the example of G.Skill Tr"&amp;"ident Z5 RGB DDR5-6400 CL40 2 × 24 GB 15.10.2023Call of Duty Modern Warfare 3 (2023)-and is that all? Preliminary review 14.10.2023Gamesblender No. 644: Thin PS5 Start of the QueSt 3 Departure of the head of the Unity Cyberpunk 2 and Return of Commandos 1"&amp;"4.10.2023assin’s Creed Mirage - they received what they received. Reviews 13.10.2023Microelectromechanics - the right path to “smart dust”? 12.10.2023 UwQHD monitor MSI MSI MSI 342C QD-OLED: The holiday comes to us 10.10.2023 REALME SMARTFON 11: on the ba"&amp;"lance 10.10.2023 Windows 11-set points over ""I"" 09.10.2023 Group testing 42 video cards in Starfield: RED Light Green GPU 08.10.2023Gamesblender No. 643: launch of AMD FSR 3.0 Problems Counter-Strike 2 Upcetic Epic Games and Retro-Anons Realms Deep 2023"&amp;" 08.10.2023COCOCON-into the piggy bank of the best adventure puzzles. Review 07.10.2023CYBERPUNK 2077: Phantom Liberty - life contrary. Review 06.10.2023 ADATA Legend 970 1 TB: PCIE 5.0-drive with a motor 05.10.2023 Maibenben P415 laptop review: I wonder "&amp;"how it may not be a cool authorization cabinet $ eth $ ltc $ ltc $ show Putnowagutorize the name of the user: and Password: Involistrationvideo on 3DNEWS Subscribe activities ""; About the website of the website of the site of the Zavkarekopiratescravers "&amp;"are posted in Hostkey © 1997–2023 Electronic periodical ""3 Dnyus"" | Certificate of registration of the media EL FS 77-2224 Vydananano by the Federal Service for Supervision of Compliance with the Legislation in the field of mass communications and the p"&amp;"rotection of the cultural heritage of citation of the document Link to the site with the indication of the author is required. The complete borrowing of the document is a violation of the Russian and international legislation and is possible only with the"&amp;" consent of the 3DNews editorial office. Window-Ned-KontaktaktiSkhrema School of Multitrands 🔥 Partia of multitles for hackers Flipper Zero for $ 200 thousand. Destroyed German customs and destroyed its scientific transistors from the water-they will ope"&amp;"n the path to processors with a frequency of more than 1 TCC “It looks very impressive: enthusiasts added the tracing of rays to Ho. Alf-Life 2 and Max Payne using the Portal with RTX Pubility of the launch of the world's first methane orbital missile “Zh"&amp;"utse-2”, China failed, the 14 satellite head Binance stated that the situation with the withdrawal of funds was stabilized but the prediction of the “Boldery” Prescription Article: Alan WAKE 2-thirteen-thirteen He was waiting for years! In a dark place! R"&amp;"eview 7 h. New article: Gamesblender No. 648: Opening PS5 SLIM AI in Microsoft Games Blizzcon 2023 and Start of pre -orders of “Troubles” 7 h. The first anniversary of the action of the action Warhammer 40000: Darktide will be extended for two months 13 h"&amp;"ours of 13 hours Oeing After the discharge of 14 hours, the authors of the cooperative action of The First Descendant promise to correct all the shortcomings of the 14-t at the beta testing of 14 teaspoon iPhone 15 Pro learned to shoot a 3D video for the "&amp;"Vision Pro headset-the first videos impressed the 4th tp VK Cloud increased in 9 months of 2023 by 58 % 16 h. Meta offered Europeans Instagram and Facebook without advertising, but it is not a time of 19 h. Ton's Crippical Wallet began to add 20 hours of "&amp;"Turok 3: Shadow of oblivion from the world. Nightdive will be released later than the promised one-the new release date is disclosed 11-11 00: 26 Superduper: Gigaio SuperDupernode allows you to unite by PCIE 64 accelerator 7 h. The Hogle Hoogle did not bu"&amp;"ild a landing station for the NuVEM Internet Cabel at the Memorial of the Second World War 9. Galax has released a rare monosyllabic video card of the GeForce RTX 4060 Ti Max with 16 GB of memory of 14 h. SPACEX DRAGON brought to the ISS a laser space com"&amp;"munication apparatus and a lot of other equipment of the beginning of 2024 to the All-Russian DDOS ATOM system will connect 160 state and other state and other state organizations 16 h. Mlperf: Intel improved the performance of the Gaudi2 but the leader r"&amp;"emains NVIDIA H100 16 h. The quarterly revenue of the SUPERMICRO has increased, but the net profit fell 16 tspls not to increase prices to compensate for its expenses for 17 hours of Tronsmart TronSmart. T7 Lite and Tronsmart Bang will turn any party into"&amp;" a real light show of 17 h. In the iFixit, they found out how Apple managed to achieve a radically black MacBook Pro hull.")</f>
        <v>All the most interesting of the world of the IT industry 🇷🇺🇰🇿 Today is November 12, 2023 18+MWC 201820computExifa 2018, SitereklamazklakkontaktattovostovostovostovostovostovostovostiovostiOFSANALIDICAVIDOCAVUK and acoustics of the BP and oclaigent aMaternipers and projectors of the electronical power supply system and pmperiferioplanshtyta support for processors and memory and communications SMARARTFONAURALARY DOCTIONS AND VIDEO CART RSS/Social Networks The distribution of vacancies [New!] The main survey dozens of massive stars are hastily leaving our galaxy and now scientists have found out why vast astrometric observations of the sky began in the early 2000s that gave an accurate idea of ​​the speed and direction of the stars. We began to see the universe around us in dynamics. About 20 years ago, the first star leaving our galaxy was discovered. It turned out that there were a lot of stars-stars and most of them showed the study in the early Universe a reduced copy of our galaxy-scientists do not understand how the James Webb space telescope appeared there, which has not yet lended to scientific explanation. The new discovery was the detection of the Galaxy very similar to the Milky Way of only 2 billion years after the Big Bang. Such a spiral galaxy simply could not be in that place and at that time astronomers declare. She simply would not have time to develop to such perfect forms of Alan Wake 2 - he waited for thirteen years! In a dark place! The Review of the Return of Alan Waika, many players were waiting for their breath. Each Easter in Control, hinting at the fate of the famous writer, became a ray of hope. And with the release of AWE, the studio almost officially confirmed - it will definitely return! Thirteen years later, Alana brought to the shore of Lake Koldron. Was it worth waiting for him? Definitely yes ... Gamesblender No. 648: PS5 Slim opening in Microsoft Games BlizzCon 2023 Announcements and the start of “Troubles” with you Gamesblender Video Dazhest of the News of the Game Industry from 3Dnews.ru. Today we will tell you what we showed on BlizzCon and when to wait for the new Mass Effect and also look inside the lightweight PlayStation 5 model. Let's go! In trend • On Intel, they sued billions of processors with a defect of which she knew and did nothing • “Thank you to developers now I’m not a pirate”: STRONGHOLD: Definitive Edition for the first three days, they pleased the creators • IFIXIT found out how Apple succeeded to achieve the radical black color of the MacBook Pro case • Ton’s cryptocurrency wallet began to be added to Telegram around the world • Superduper: Gigaio SuperDupernode allows you to unite 64 accelerator Hardware News • Historical Society not to build a landing station for the Nuvem Internet Cabbel for the Nuvam. The place of the memorial is second World War • Galax released a rare single-sloping video card of the GeForce RTX 4060 Ti Max from 16 GB of memory • SPACEX DRAGON ship delivered to the ISS a laser space communication apparatus and a lot of other equipment • From the beginning of 2024, 160 state and other organizations will connect 160 state and other organizations to the all-Russian anti-attacked system. • Apple promised not to increase prices to compensate for its expenses on increasing environmental friendliness • Tronsmart T7 Tronsmart T7 Lite and Tronsmart Bang wireless speakers will turn any party into a real light show • Ilife L100 robot and humid cleaning with the function of laser scanning • the parking lot will not be the parking lot. : Mars-proceedings and even a helicopter will continue to collect data even in the absence of a connection with the Earth • Ilife T10S robot vertebrae with a self-cleaning station and Ilife W90 wireless vacuum cleaner will add comfort and efficiency • SpaceX is preparing Starship for launch on November 17, but the approval of the regulator has not yet received • for successes SpaceX discovered the prohibitive injuries of workers and a disregard for safety precautions • Ugreen has released the Porta Porta Porta Hitune Max 5 wireless headphones with noise reducing and a 255 W-off • TPL NXTPAPER 11-a tablet with a bright IPS -cryise • Cruise is forced to proceed to reduce the personnel of the unmanned taxi that has served it • In October, TSMC revenue grew by 348 % immediately • One-Netbook introduced the external Radeon RX 7600M XT video card with a built-in SSD • AOC presented a 27-inch game game game The Q27G10E monitor with a resolution of 1440P and the update frequency of 180 Hz • Galax will release 50 exclusive GEFORCE RTX 4090 20TH Anniversary Carbon Fiber Edition for $ 2880 Software News: Alan Wake 2 - thirteen years old! In a dark place! Review • New Article: Gamesblender No. 648: Opening PS5 SLIM AI in Microsoft games announcements Blizzcon 2023 and start of pre -order “Troubles” • Celebrating the first anniversary of the action of Warhammer 40000: Darktide for two months • Hackers published confidential data from Boeeing. Backing • Authors The cooperative action of The First Descendant promises to correct all the shortcomings of the beta testing revealed during the beta-testing • Apple iPhone 15 Pro learned to shoot a 3D video for the Vision Pro headset • Meta✴ offered Europeans Instagram✴ and Facebook✴ without advertising but it costs this. Evo • Turok 3: Shadow of Oblivion from Nightdive will be released later than the promised - a new release date is disclosed • New article: The Invincible - Flies with us. Рецензия • Критический успех: Baldur's Gate 3 не оставила шанса конкурентам на Golden Joystick Awards 2023 • IBM инвестирует $500 млн в ИИ-стартапы ориентированные на корпоративных клиентов • В 2024 году в Steam выйдет Exilium — атмосферный российский квест про экзорцизм и демонов с геймплеем в духе “How to get a neighbor” • From Shisha to Sagittarius: Troubles Developers explained how the images of Yuri Miloslavsky differ from the classes and what they give • The social network X was very lagging behind competitors in the moderation of the EU content • Microsoft forbade employees to use Chatgpt from security reasons The adventure action of Senua's Saga: Hellblade II will not be released earlier than mid -2024 • Binance will stop supporting deposits in Russian rubles from November 15 • Google will not be able to turn off the support of third -party COOKIE until 2025 New Article: Alan Wake 2 - thirteen years old ! In a dark place! Soft Review • New Article: Gamesblender No. 648: Opening PS5 SLIM AI in Microsoft games announcements BlizzCon 2023 and the start of “Troubles” pre-orders of Servernews • Historical Society asked Google not to build a nuvem landing station on the site of the Second World War Memorial SOF T • celebration The first anniversary of the action of the Warhammer 40000: Darktide will stretch for two months Soft • Hackers published confidential Boeing data after refusing Hard • Galax released a rare single -sloping GEFORCE RTX 4060 Ti Max with 16 Gbytes of Soft Memory • Authors of Cooperative Equen Acshen The Fir ST Descendant promise to fix all the shortcomings Hard detected during beta testing • The SpaceX Dragon ship delivered to the ISS the laser space communication apparatus and a mass of other Servernews equipment • From the beginning of 2024, 160 state and other SOFT organizations have been connected to the All-Russian Anti-Atam system • Apple iphone 15 Pro taught the 3D 3D 3D -Video for the Vision Pro headset-the first videos impressed the Hard • Apple journalists not to increase prices to compensate for their expenses to increase the environmental friendliness of Hard • Tronsmart T7 Tronsmart T7 Lite and TronSmart Bang wireless columns will turn any party into real Hard show. With iLife L100 for dry and humid cleaning with the function of laser scanning HARD • There will be no vacation: Mars-Roads and even a helicopter will continue to collect data even in the absence of the Hard land • Ilife T10S Robot Delivery and the Ilife W90 wireless vacuum cleaner will add comfort and efficiency of HARD • SpaceX prepares Starship for launch on November 17, but the approval of the regulator has not yet received Soft • META✴ offered Europeans Instagram✴ and Facebook✴ without advertising, but it costs a short -haired Hard • The SPACEX success has discovered an outrageous traumatism of employees and the impulsive attitude to the safety technique of Hard • Ugreen released Hitune Max 5 wireless headphones concentrator “10-in-1” wireless headphones with noise-disposal and a jumper at 25,000 mAh and 145 W Hard • TPL NXTPAPER 11-a tablet with a bright Hard IPS screen HARD taxi • In October, TSMC revenue consistently increased by 348 % Hard • One-Netbook introduced the external video card Radeon RX 7600M XT with the built-in slot M.2 for SSD Soft • Remaster Turok 3: Shadow of Oblivion from Nightdide will be released later-a new Release date Soft • New article: The Invincible - Flies with us. Soft Review • Critical Success: Baldur's Gate 3 did not leave a chance to competitors on Golden JoyStick Awards 2023 Hard • AOC introduced a 27-inch Q27G10P gaming monitor with a resolution of 1440P and the frequency of 180 Hz Hard • Galax will release 50 exclusive GEFORCE video cards RTX 4090 20TH Anniversary Carbon Fiber Edition for $ 2880 Servernews • IBM invests $ 500 million in AI-Startapa oriented to corporate customers Hard • Products of PC and smartphones expect the excitement around the AI ​​will raise their sales Hard • Russian Progress helped the ISS dodging Soft cosmic garbage • in 2024 in Steam Exilium will be released - an atmospheric Russian quest about exorcism and demons with gameplay in the spirit of “how to get a neighbor” Hard • Valve: the technologies have not yet developed enough for the appearance of Steam Deck 2.0 Soft • from Shisha to Sagittarius: the developers of “Troubles” explained how the images of Yuri Miloslavsky differed from classes and what they give Hard • Tests identified a narrow place in the new younger MacBook Pro - these are praised 8 GB of memory of Soft • Social network X is very lagging behind competitors in the moderation of content in the EU Hard • All Chinese flagship smartphones will receive support for Hard • Intel investigated Millions of dollars in Stability AI-developer of AI artist Stable Diffusion Soft • Microsoft forbade employees to use Chatgpt for Soft Security Relations • Adventure fighter Senua's Saga: Hellblade II will not be released earlier than the middle of 2024. BR 2023 119v Apple said 8 GB of RAM in MacBook Pro is similar to 16 GB in the usual PC 104Microsoft will not allow you to close OneDrive until the user explains the cause of 57 KamAZ showed an unmanned dump truck for Robokop - it will be sent to mine 42novy in the reviews of the game November 111, 2023The Innovin Cable - flies we have. Reviews of solid science fiction is what we love what we missed and what we practically do not expect from contemporary art. After all, now this is already an unmary retro. But the grains sown in us with classics will inevitably give out seedlings. And a game will appear on the basis of a seemingly not adapted novel by Stanislav Lem. The idea doomed to failure? Or vice versa, a chance to disrupt a jackpot in a sparse atmosphere of serious science fiction games? The software on November10, 2023 Robots are closed: 10 applications for automating tasks on Android using a smartphone, we often perform the same actions to delegate the implementation of which can be specialized programs. They are able to replace a person in terms of routine tasks and release the time for more important matters smartphones on November 09, 2023 Oppo Find N3 Review: Flexible smartphone with the best camera Folding smartphones with flexible screens appeared long ago and already firmly settled on the market. Despite the initial skepticism, they become more and more popular and manufacturers not only enter this race but also constantly improve devices. A striking example of this is the company Oppo as if only yesterday made its first folding smartphone and already producing it the third generation with very detailed work on the mistakes of the laptop and PC08 on November 2023 compensation of the month - November 2023 The penalty of the “Computer of the month” is again dedicated to answers to often Questions and criticism from our readers. We have selected relevant interesting and to some extent provocative comments related to game assemblies and rubric as a whole on November 107, 2023, MSI MSI MPG B650 Carbon WiFi: when there is everything that you need MSI MPG B650 Carbon WiFi-an example of which may be on the basis A system unit is assembled. It will be a game assembly or workstation - to solve its owner. In any case, he will receive the device that is relevant throughout the life cycle of the AM5 PRODUMSORS and memory on November06, 2023 Is it true that 64-gbet sets of DDR5 is faster than 32 gB? We check the example of the Patriot Viper Venom DDR5-6400 2 × 32 GB of the DDR5 modules with a volume of 32 GB, unlike 16-GB of brothers, have a double-ranking architecture. But how does this affect performance? We understand comparing with each other in characteristics the DDR5-6400 sets with a volume of 32 and 64 GB of the game 05 November 2023Song of Nunu: A League of Legends Story-the legends of the north. Review of multi -sized League of Legends continues to expand tirelessly. This time, we have a fascinating game-adventure of an inseparable “tank” tandem Nunu and Vilumpa, which is not shy about spying on God of War and Uncharted. How entertaining it turned out to be learned from our review of the game 04 November 2023Gamesblender No. 647: Team Spirit Championship dismissal at Sony Capcom against mods and Avatar: Frontiers of Pandora with you Gamesblender Video Dazhah of the Game Industry News from 3Dnews.ru. Today we will tell you how Capcom did not please the mods what kind of nuisance awaits the owners of the Xbox and where the Yakut The Day Before Games is disappeared on November04, 2023THE FINALS - the coming hit from people in love with shooters. A preliminary review in the Steam alone, the beta version of The Finals tested hundreds of thousands of players, and yet it is also available on consoles. What did the coming shooter deserve such attention and did he deserve? For a while we broke away from the game and tell how it is good smartphones on November03, 2023 ITEL S23+: the most inexpensive smartphone with a curved OLED screen we talked a lot about the smartphones of two brands Transion Holdings-Tecno and Infinix. But the third brand was not concerned before this day. Well, the time has come and Itel-and we will begin to get acquainted immediately with the local flagship of the ITEL S23+ model+ pulling into the budget segment, the elements of the BP case and cooling on November02, 2023 Overview of the 1stPlayer NGDP HA-1000BA3 power supply: white luxury NGDP-expensive power supply units built On the branded hardware platform. But they fully fulfill their price with certification of 80 Plus Platinum and cables in the braids of the Maternal board, November 101, 2023 Assus Rog Crosshair X670e Hero Maternal board: Welcome to the family such as ASUS ROG Crosshair X670E Hero usually bought ilter. And for a long time. AMD platforms are famous for their long -term support - there are all the prerequisites that with AM5 there will also be smartphones on October 31, 2023, the Infinix Zero 30 4G Review: a thoroughbred smartphone in a holy place does not have a place in the void. Let the expected outflow of brands from the smartphone market over the past year and a half has not happened, but some place on it (primarily at the expense of Samsung) was released-and now, according to the law, Archimedes is filled. Transsion Holdings and in particular the Infinix brand is especially trying. The new Zero 30 4G is positioned as a kind of flagship - let's see how it is good for software on October30, 2023VO inclusive: 15 little -known applied programs from the Windows set in the bowels of the Windows operating system hidden many useful applications and the existence of which sometimes even the most experienced users are not aware of the existence. We open the cards and talk about the software built into the platform, which is exactly worth taking a note of the game on October 29, 2023 Marvel’s Spider-Man 2-two friendly neighbors. Review per day, the new Marvel’s Spider-Man 2 diverged two million copies. After the deafening success of the first part, it was expected, but did the novelty deserve such sales or the audience just bought a familiar brand? The answer is obvious, but we still talk about the game in the game’s review October 28, 2023Gamesblender No. 646: horrors of optimization of CITIES: SkyLines II show “The plot” Starcitizen ARK: Survival Ascented and the heir to Planet Annihilation with you Gamesblender The gesture of news of the gaming industry from 3dnews.ru. Somewhere the first frosts were already hit and slightly zahalloidige glasses, which means November is close. In this issue, we will plunge into the horrors of the optimization of the CITIES: SkyLines II will tell you why the “green” Steam and arrange a particularly cruel verbal-semantic slasher of the game on October28, 2023station to Station-far from the bustle. Review of the train of monstrous autumn releases has already gained move. I would like to take a breath from all this noise in some pacifying indie game. And we were lucky. The location of the station is a cute puzzle about the Station To Station Off Subnanka on October 27, 2023Maging of hard drives: how many terabytes will fit in 35 inches? Bully slow, energetically voracious - what kind of derogatory epithets are not used by SSD adherents to the old good magnetic disc drivers! However, are there so old technologies of modern HDD technologies-and why do nand-based data carriers do not replace the Winchesters in any way from the Data Centers or from the home/office NAS nor from desktop PCs? Smartphones October 26, 2023 Honor 90 Lite: A caring smartphone, we are used to that smartphone manufacturers trying to highlight their products on the backdrop of competitors rely on the camera sometimes on the design sometimes for autonomy. Honor 90 Lite stands out by its safety (not forgetting the truth about other elements). What is this expressed - let's talk in the review of the BP case and cooling October25, 2023 Overview and testing of the APNX C1 case: No to the screws! In our test laboratory there is an original and roomy case with fast -fast panels by four pre -installed fans with dust filters illumination and the possibility of a vertical installation of a video card. Let's try to understand the features of its design. We test the effectiveness of cooling and measure the noise level reviews 26.10.2023 Honor 90 Lite: Careful smartphone 10.10.2023 Rent and testing of the APNX C1 case: No screws! 10.24.2023 computer of the month Special issue. What is more profitable to buy in the era "dollar at 100": a gaming laptop or a system unit? 10/23/2023 Video cards AMD Radeon RX 7700 XT and Radeon RX 7800 XT: Step to normality 10.10.2023LORLORDS of the FALEN - attempt number two. Review on 10.2023Gamesblender No. 645: Closing the Microsoft and Activision Blizzard transaction Death Death and Non-Make Lollipop Chainsaw 21.10.2023Forza Motorsport (2023)-insomnia. Review on 10/20/2023 The review of the Apple iPhone 15 Pro Max smartphone: why are we giving three hundred thousand? 19.10.2023 Harzor of Huawei Freebuds Pro 3: when you don’t need to change something on 10/18/2023 Tecno Phantom V Flip: how flexible smartphones become massive on 10.10.2023Top-10 smartphones up to 20 thousand rubles (2023) 16.10.2023 Beware of 48 GB of DDR5 sets? We understand the example of G.Skill Trident Z5 RGB DDR5-6400 CL40 2 × 24 GB 15.10.2023Call of Duty Modern Warfare 3 (2023)-and is that all? Preliminary review 14.10.2023Gamesblender No. 644: Thin PS5 Start of the QueSt 3 Departure of the head of the Unity Cyberpunk 2 and Return of Commandos 14.10.2023assin’s Creed Mirage - they received what they received. Reviews 13.10.2023Microelectromechanics - the right path to “smart dust”? 12.10.2023 UwQHD monitor MSI MSI MSI 342C QD-OLED: The holiday comes to us 10.10.2023 REALME SMARTFON 11: on the balance 10.10.2023 Windows 11-set points over "I" 09.10.2023 Group testing 42 video cards in Starfield: RED Light Green GPU 08.10.2023Gamesblender No. 643: launch of AMD FSR 3.0 Problems Counter-Strike 2 Upcetic Epic Games and Retro-Anons Realms Deep 2023 08.10.2023COCOCON-into the piggy bank of the best adventure puzzles. Review 07.10.2023CYBERPUNK 2077: Phantom Liberty - life contrary. Review 06.10.2023 ADATA Legend 970 1 TB: PCIE 5.0-drive with a motor 05.10.2023 Maibenben P415 laptop review: I wonder how it may not be a cool authorization cabinet $ eth $ ltc $ ltc $ show Putnowagutorize the name of the user: and Password: Involistrationvideo on 3DNEWS Subscribe activities "; About the website of the website of the site of the Zavkarekopiratescravers are posted in Hostkey © 1997–2023 Electronic periodical "3 Dnyus" | Certificate of registration of the media EL FS 77-2224 Vydananano by the Federal Service for Supervision of Compliance with the Legislation in the field of mass communications and the protection of the cultural heritage of citation of the document Link to the site with the indication of the author is required. The complete borrowing of the document is a violation of the Russian and international legislation and is possible only with the consent of the 3DNews editorial office. Window-Ned-KontaktaktiSkhrema School of Multitrands 🔥 Partia of multitles for hackers Flipper Zero for $ 200 thousand. Destroyed German customs and destroyed its scientific transistors from the water-they will open the path to processors with a frequency of more than 1 TCC “It looks very impressive: enthusiasts added the tracing of rays to Ho. Alf-Life 2 and Max Payne using the Portal with RTX Pubility of the launch of the world's first methane orbital missile “Zhutse-2”, China failed, the 14 satellite head Binance stated that the situation with the withdrawal of funds was stabilized but the prediction of the “Boldery” Prescription Article: Alan WAKE 2-thirteen-thirteen He was waiting for years! In a dark place! Review 7 h. New article: Gamesblender No. 648: Opening PS5 SLIM AI in Microsoft Games Blizzcon 2023 and Start of pre -orders of “Troubles” 7 h. The first anniversary of the action of the action Warhammer 40000: Darktide will be extended for two months 13 hours of 13 hours Oeing After the discharge of 14 hours, the authors of the cooperative action of The First Descendant promise to correct all the shortcomings of the 14-t at the beta testing of 14 teaspoon iPhone 15 Pro learned to shoot a 3D video for the Vision Pro headset-the first videos impressed the 4th tp VK Cloud increased in 9 months of 2023 by 58 % 16 h. Meta offered Europeans Instagram and Facebook without advertising, but it is not a time of 19 h. Ton's Crippical Wallet began to add 20 hours of Turok 3: Shadow of oblivion from the world. Nightdive will be released later than the promised one-the new release date is disclosed 11-11 00: 26 Superduper: Gigaio SuperDupernode allows you to unite by PCIE 64 accelerator 7 h. The Hogle Hoogle did not build a landing station for the NuVEM Internet Cabel at the Memorial of the Second World War 9. Galax has released a rare monosyllabic video card of the GeForce RTX 4060 Ti Max with 16 GB of memory of 14 h. SPACEX DRAGON brought to the ISS a laser space communication apparatus and a lot of other equipment of the beginning of 2024 to the All-Russian DDOS ATOM system will connect 160 state and other state and other state organizations 16 h. Mlperf: Intel improved the performance of the Gaudi2 but the leader remains NVIDIA H100 16 h. The quarterly revenue of the SUPERMICRO has increased, but the net profit fell 16 tspls not to increase prices to compensate for its expenses for 17 hours of Tronsmart TronSmart. T7 Lite and Tronsmart Bang will turn any party into a real light show of 17 h. In the iFixit, they found out how Apple managed to achieve a radically black MacBook Pro hull.</v>
      </c>
    </row>
    <row r="1037">
      <c r="A1037" s="1" t="s">
        <v>3217</v>
      </c>
      <c r="B1037" s="1" t="s">
        <v>3260</v>
      </c>
      <c r="C1037" s="1" t="s">
        <v>3261</v>
      </c>
      <c r="D1037" s="1">
        <v>18.0</v>
      </c>
      <c r="E1037" s="4" t="s">
        <v>3262</v>
      </c>
      <c r="F1037" s="1" t="s">
        <v>16</v>
      </c>
      <c r="G1037" s="1" t="s">
        <v>614</v>
      </c>
      <c r="H1037" s="4" t="s">
        <v>615</v>
      </c>
      <c r="I1037" s="2">
        <v>4.0</v>
      </c>
      <c r="J1037" s="5" t="str">
        <f>IFERROR(__xludf.DUMMYFUNCTION("GOOGLETRANSLATE(A1037)"),"Yandex")</f>
        <v>Yandex</v>
      </c>
      <c r="K1037" s="6" t="str">
        <f>IFERROR(__xludf.DUMMYFUNCTION("GOOGLETRANSLATE(B1037)"),"Buy Yandex Promotions (Yndx)")</f>
        <v>Buy Yandex Promotions (Yndx)</v>
      </c>
      <c r="L1037" s="5" t="str">
        <f>IFERROR(__xludf.DUMMYFUNCTION("GOOGLETRANSLATE(C1037)"),"At 10.11.2023, the cost of one share of Yandex is 2592.4 rubles. The transaction for the purchase of an asset is made on the Moscow Exchange. Trading in Long is available ...")</f>
        <v>At 10.11.2023, the cost of one share of Yandex is 2592.4 rubles. The transaction for the purchase of an asset is made on the Moscow Exchange. Trading in Long is available ...</v>
      </c>
      <c r="M1037" s="5" t="str">
        <f>IFERROR(__xludf.DUMMYFUNCTION("GOOGLETRANSLATE(G1037)"),"Tinkoff - credit and debit cards loans for business and individuals for the correct operation of the bank’s services, it is necessary to enable support to JavaScript persons for life to miss the cardcredit cards of the Card Card Card Signature Procedure O"&amp;"rphanage Simcoelectronic Simcatararifferavity Iat the money to any purpose on the collateral of real estate machine Real Estate Refine the credit under the key to the key to the auto -tank -raising accountant to investing score -core -scatalog Market teac"&amp;"hing for investors in terms of Terminaline Cooppyl Culpcrapel Pauls of therass Rousscadolicadolmark is to install insurance cascaps of the Keep -coat -alerture producers for the Roads of the Products of the Khvakinotyatryasalons of the Beauty Bliblogdliyb"&amp;"ildliybildliybildiytatelnatorskii/D Tylets for Travelers of the Stuffing Part Kavtovtsymokhoplivoykhovykhovo-Sobeskoye under DTKART for automotivelistovatokreditovanovanimi business BUSINESS BUSINESS BUSINESSE for the Small Business Account IPROMENTARY AN"&amp;"DPORT OF LLCTIRARIBYBUSTALUTALITARY OF CARTALUTALITARY BUSTSITS AND OVERNAITION OF BUSINESS PROGRASTION OF SUPPLISTION OF THE CROP For OOO, turn-the-road crediterderdraftate-reception lines of the payment of the Paying Acquiringinternet-AC Payments on Qro"&amp;"nline Casserosrossymochdolyamitinkoff Paybonuses for BUSINESS BUSINESS PARTERICIAL STORMARICARTSISTRICARTYSELLERSELLERALLERALLERARETER OF SAITS-ZAKUPEKIKELECTRONAL signature of counterparties for a large business accounting-card of cardiacs according to 1"&amp;"15-fostering reinforcements and Ecommercezerzelznitsa-Credituitual Project vehicle payments for self-employees with self-employees of individuals payments of taxi parking of a pawnshopposure of Mfogogoskupkupkipper account of the payroll ecviringinterinet"&amp;"-ACCOVIRINGPOS-TRADING PAYOFF PAYFF PAYABLIA Resolve Koruskoff will be responding to a partner density and overnights for business verification of counterparty premium-dimensor-premium to miss the card-to-the-service investment for life for life, the help"&amp;" of the help of the investment on taxprivate services for life consumption for Private Talksheposhepo Leznoecurs Valyutbankomata Tinkoffinkoff Pay Payage Continuations Tinkofoff is correctly entrusted by the current situations for product workings for Tin"&amp;"koff work to ITBUSTRISS AND Processing with client -Tink -dealerships of the Options of the Ovoltable Verozhot. What is the newcomer all the construction of customers Cabinetinernet-Bankinvestincoff Mobilltinkoff businessform to Tinkoff with a profitabili"&amp;"ty of up to 15% of the per annum of the annual sub-terminal card recommended by your friends of the ruble up to 30% to 5% per annum of the annual translations without commissioning cardcredit cards of the Credit of the Credit. the attachment of the recomm"&amp;"ended product card with free maintenance of Tinkoff Platinum until November 30 and do not pay for Serving the CartoTinkoff investment of the investment tariffs and the convenient attach to the investor card Tinkoff-patch for free: the telephone secretary "&amp;"Oleg 600 minutes 20 GB vocabulary, start a contribution with replenishment and partial withdrawal. Each month, receive interest on a card or deposit insemination of an inspections with an online calculator and discounts (KBM) for trouble-free, the cost of"&amp;" the products is trusted by more than 38 million customers of the Bank of the Year Bank Bank. Rutinkoff was recognized as the best in the following categories: “Care of Client ""Digital Bank of the Year"" ""Investment Company of the Year"" ""Investment Pr"&amp;"oduct of the Year"" ""Folk rating of insurance companies"" Details and Currency Curries between their accounts Payment for services and the removal of cash services Tinkoff examination of cash with Tinkoff ATss without a commission. И без карты если у вас"&amp;"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кэшб"&amp;"экаПопробоватьМобильное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Decem"&amp;"ber 31 and participate in the rally in details of deposits in rubles up to 141% how to get the maximum headquarters of cashback of the day, Tinkyfr »IPhone and returned to 100% expenditure1 000 000 ₽ for a trip to the trip, form a tourist insurance in Tin"&amp;"koff and participate in the drawing of priestly articles and news - on the blog Tinkoff work and developing your or other city, to take a vacancies, the formation of educational courses and paid development programs for the development F magazine Secret U"&amp;"nions of how to conduct business in Russia to be more fully fulfilled by the filling of full-wrapping in all products on all products in the product in the product of Tinkoff products Restaurants Services and Brands based on real reviews of retrieval holi"&amp;"days in 2023 year-Great Line for providing vacation for participants in their families: 8,800 555-89-77 more in more and more Correct. SK answers to questions of the Po-UskiSkakak write to the chatenstac to download the appendix to enter the personal tran"&amp;"smission of the transmission of the transfer of the transfer to write off the certificate or extract8 800 333-33-33-33 days of calls on the Russian-loop card-densium cards-refuketing, the Automobile Credit of the Authority of the Pro Tinkoff Private -Over"&amp;"puts of Opeling Oo -Sochasco on subscription to the border of Russia -Keep -Classure Predructions Apri -Bi -Vevybiytytytychitotnaturezh/D ticketsTinkoff Software, speech -making, business -consumer counter -regional Skupkupkupkuphkuphightihgaliyabovnia -C"&amp;"artadesityrassprochochkrochkroke of counterparties for businesscaedal-building products of food and orienteatrateatrateratechystavsalones of Beautiful-fuel-Avtopoiliblogloglogloglogs collection collection Pulcollectic collection Juniorfino T-monopolis Tin"&amp;"koffcoforo Tinkoff Gorodbol Shoy Business accountservices for paymentcore ecrings-editions-eedgosykupovusiness-regulations-regions-tinkoff datatinkoff Idtinkoff Casseter-Acquirital cassation, re-investment grab dulls for card-free-grade solutions for QR-c"&amp;"odes-inspection transpondumure KOFF PAIT COMPORTANT TINKOFF IDDENTIONS with Tinkoff Id Paypery Card-Cardioblog Polar-West Carrier-Brinder accounting auspremacy of the vocal-vileagstiligo-pupil of therapils Strategramminolcademia of investment-cardsimtarif"&amp;"ymarifystyumenos. Number-painting Number-sabotage number of Olegtktktkom Zhelnizhnizhnizhnizhchikatimi or refusal money-wrapping in the ITS Entamio Bankenovostiglobrabotatchki replenishment of the Bank of the Currency Counsers of the Contact Serving of th"&amp;"e Investors Centers Center of Corporate Information Information on interest rates under bank deposit agreements from the physical personnel of information by a professional participant in the market, the securities of a large online bank in the world Chan"&amp;"ging the conditions of products and services of the bankcartics of the Remote service of the remote service for the Distilled Democularation of compliance of working conditions by state regulatory requirements of labor protection of Tinkoff Bank JSC Infor"&amp;"mation on the duration of operating rooms of the Haval Automobile Automobile Automobile Automobile Automobile Automobile Automobile Automobile Automobile Automobile Automobile Automobile Automobile Autonom Credit card "" Based on the results of the online"&amp;" voting of the ""Compare"" service of the Service, INNITY.RU in 2023. Among 3 credit organizations in parameters: a) a large grace period for users of card b) Operational service and communication with a client B) Convenient receipt of the card. Tinkoff B"&amp;"ank uses Cookie files to personalize services and improving the convenience of using a website. ""Cookie"" are small files containing information about previous visits to the website. If you do not want to use the Cookie files change the browser settings."&amp;" © 2006–2023 Tinkoff Bank JSC Official Universal License Central Bank of the Russian Federation No. 2673english")</f>
        <v>Tinkoff - credit and debit cards loans for business and individuals for the correct operation of the bank’s services, it is necessary to enable support to JavaScript persons for life to miss the cardcredit cards of the Card Card Card Signature Procedure Orphanage Simcoelectronic Simcatararifferavity Iat the money to any purpose on the collateral of real estate machine Real Estate Refine the credit under the key to the key to the auto -tank -raising accountant to investing score -core -scatalog Market teaching for investors in terms of Terminaline Cooppyl Culpcrapel Pauls of therass Rousscadolicadolmark is to install insurance cascaps of the Keep -coat -alerture producers for the Roads of the Products of the Khvakinotyatryasalons of the Beauty Bliblogdliybildliybildliybildiytatelnatorskii/D Tylets for Travelers of the Stuffing Part Kavtovtsymokhoplivoykhovykhovo-Sobeskoye under DTKART for automotivelistovatokreditovanovanimi business BUSINESS BUSINESS BUSINESSE for the Small Business Account IPROMENTARY ANDPORT OF LLCTIRARIBYBUSTALUTALITARY OF CARTALUTALITARY BUSTSITS AND OVERNAITION OF BUSINESS PROGRASTION OF SUPPLISTION OF THE CROP For OOO, turn-the-road crediterderdraftate-reception lines of the payment of the Paying Acquiringinternet-AC Payments on Qronline Casserosrossymochdolyamitinkoff Paybonuses for BUSINESS BUSINESS PARTERICIAL STORMARICARTSISTRICARTYSELLERSELLERALLERALLERARETER OF SAITS-ZAKUPEKIKELECTRONAL signature of counterparties for a large business accounting-card of cardiacs according to 115-fostering reinforcements and Ecommercezerzelznitsa-Credituitual Project vehicle payments for self-employees with self-employees of individuals payments of taxi parking of a pawnshopposure of Mfogogoskupkupkipper account of the payroll ecviringinterinet-ACCOVIRINGPOS-TRADING PAYOFF PAYFF PAYABLIA Resolve Koruskoff will be responding to a partner density and overnights for business verification of counterparty premium-dimensor-premium to miss the card-to-the-service investment for life for life, the help of the help of the investment on taxprivate services for life consumption for Private Talksheposhepo Leznoecurs Valyutbankomata Tinkoffinkoff Pay Payage Continuations Tinkofoff is correctly entrusted by the current situations for product workings for Tinkoff work to ITBUSTRISS AND Processing with client -Tink -dealerships of the Options of the Ovoltable Verozhot. What is the newcomer all the construction of customers Cabinetinernet-Bankinvestincoff Mobilltinkoff businessform to Tinkoff with a profitability of up to 15% of the per annum of the annual sub-terminal card recommended by your friends of the ruble up to 30% to 5% per annum of the annual translations without commissioning cardcredit cards of the Credit of the Credit. the attachment of the recommended product card with free maintenance of Tinkoff Platinum until November 30 and do not pay for Serving the CartoTinkoff investment of the investment tariffs and the convenient attach to the investor card Tinkoff-patch for free: the telephone secretary Oleg 600 minutes 20 GB vocabulary, start a contribution with replenishment and partial withdrawal. Each month, receive interest on a card or deposit insemination of an inspections with an online calculator and discounts (KBM) for trouble-free, the cost of the products is trusted by more than 38 million customers of the Bank of the Year Bank Bank. Rutinkoff was recognized as the best in the following categories: “Care of Client "Digital Bank of the Year" "Investment Company of the Year" "Investment Product of the Year" "Folk rating of insurance companies" Details and Currency Curries between their accounts Payment for services and the removal of cash services Tinkoff examination of cash with Tinkoff ATss without a commission. И без карты если у вас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December 31 and participate in the rally in details of deposits in rubles up to 141% how to get the maximum headquarters of cashback of the day, Tinkyfr »IPhone and returned to 100% expenditure1 000 000 ₽ for a trip to the trip, form a tourist insurance in Tinkoff and participate in the drawing of priestly articles and news - on the blog Tinkoff work and developing your or other city, to take a vacancies, the formation of educational courses and paid development programs for the development F magazine Secret Unions of how to conduct business in Russia to be more fully fulfilled by the filling of full-wrapping in all products on all products in the product in the product of Tinkoff products Restaurants Services and Brands based on real reviews of retrieval holidays in 2023 year-Great Line for providing vacation for participants in their families: 8,800 555-89-77 more in more and more Correct. SK answers to questions of the Po-UskiSkakak write to the chatenstac to download the appendix to enter the personal transmission of the transmission of the transfer of the transfer to write off the certificate or extract8 800 333-33-33-33 days of calls on the Russian-loop card-densium cards-refuketing, the Automobile Credit of the Authority of the Pro Tinkoff Private -Overputs of Opeling Oo -Sochasco on subscription to the border of Russia -Keep -Classure Predructions Apri -Bi -Vevybiytytytychitotnaturezh/D ticketsTinkoff Software, speech -making, business -consumer counter -regional Skupkupkupkuphkuphightihgaliyabovnia -Cartadesityrassprochochkrochkroke of counterparties for businesscaedal-building products of food and orienteatrateatrateratechystavsalones of Beautiful-fuel-Avtopoiliblogloglogloglogs collection collection Pulcollectic collection Juniorfino T-monopolis Tinkoffcoforo Tinkoff Gorodbol Shoy Business accountservices for paymentcore ecrings-editions-eedgosykupovusiness-regulations-regions-tinkoff datatinkoff Idtinkoff Casseter-Acquirital cassation, re-investment grab dulls for card-free-grade solutions for QR-codes-inspection transpondumure KOFF PAIT COMPORTANT TINKOFF IDDENTIONS with Tinkoff Id Paypery Card-Cardioblog Polar-West Carrier-Brinder accounting auspremacy of the vocal-vileagstiligo-pupil of therapils Strategramminolcademia of investment-cardsimtarifymarifystyumenos. Number-painting Number-sabotage number of Olegtktktkom Zhelnizhnizhnizhnizhchikatimi or refusal money-wrapping in the ITS Entamio Bankenovostiglobrabotatchki replenishment of the Bank of the Currency Counsers of the Contact Serving of the Investors Centers Center of Corporate Information Information on interest rates under bank deposit agreements from the physical personnel of information by a professional participant in the market, the securities of a large online bank in the world Changing the conditions of products and services of the bankcartics of the Remote service of the remote service for the Distilled Democularation of compliance of working conditions by state regulatory requirements of labor protection of Tinkoff Bank JSC Information on the duration of operating rooms of the Haval Automobile Automobile Automobile Automobile Automobile Automobile Automobile Automobile Automobile Automobile Automobile Automobile Automobile Autonom Credit card " Based on the results of the online voting of the "Compare" service of the Service, INNITY.RU in 2023. Among 3 credit organizations in parameters: a) a large grace period for users of card b) Operational service and communication with a client B) Convenient receipt of the card. Tinkoff Bank uses Cookie files to personalize services and improving the convenience of using a website. "Cookie" are small files containing information about previous visits to the website. If you do not want to use the Cookie files change the browser settings. © 2006–2023 Tinkoff Bank JSC Official Universal License Central Bank of the Russian Federation No. 2673english</v>
      </c>
    </row>
    <row r="1038">
      <c r="A1038" s="1" t="s">
        <v>3217</v>
      </c>
      <c r="B1038" s="1" t="s">
        <v>3263</v>
      </c>
      <c r="C1038" s="1" t="s">
        <v>3264</v>
      </c>
      <c r="D1038" s="1">
        <v>19.0</v>
      </c>
      <c r="E1038" s="4" t="s">
        <v>3265</v>
      </c>
      <c r="F1038" s="1" t="s">
        <v>16</v>
      </c>
      <c r="G1038" s="1" t="s">
        <v>3266</v>
      </c>
      <c r="H1038" s="1" t="s">
        <v>3267</v>
      </c>
      <c r="I1038" s="2">
        <v>0.0</v>
      </c>
      <c r="J1038" s="5" t="str">
        <f>IFERROR(__xludf.DUMMYFUNCTION("GOOGLETRANSLATE(A1038)"),"Yandex")</f>
        <v>Yandex</v>
      </c>
      <c r="K1038" s="6" t="str">
        <f>IFERROR(__xludf.DUMMYFUNCTION("GOOGLETRANSLATE(B1038)"),"Yandex GO - order taxi, delivery, goods and food, rental ...")</f>
        <v>Yandex GO - order taxi, delivery, goods and food, rental ...</v>
      </c>
      <c r="L1038" s="5" t="str">
        <f>IFERROR(__xludf.DUMMYFUNCTION("GOOGLETRANSLATE(C1038)"),"Yandex GO is an application for ordering taxis, food, products, goods, parcels delivery, car rental and viewing of the transport schedule.")</f>
        <v>Yandex GO is an application for ordering taxis, food, products, goods, parcels delivery, car rental and viewing of the transport schedule.</v>
      </c>
      <c r="M1038" s="5" t="str">
        <f>IFERROR(__xludf.DUMMYFUNCTION("GOOGLETRANSLATE(G1038)"),"Yandex GO - order a taxi for delivery of goods and rental of cars in Russia TaxiTAMAMAMAMAMAMARAMOKATYAROKATIDAROKADAVASHADAROSKADAROSISS (Russian) © 2011–2023 Yandex.Taxi LLC to send a taxi for the food of products and delivery of parcels and also car sh"&amp;"aring and also car sharing and transportation of transport and schedule of transport. Taxes indicate where to go and immediately see the price of the trip and the estimated travel time. You can pay with a card or cash driver. To order a taxi in Yandex Gos"&amp;"ervice Premium-Classultima-this is the service of ordering representative cars. Attentive drivers and the highest level of service for your daily comfort in the Business Premier élite Cruise or Driver classes. Order a car and enjoy a tripmarketmillions of"&amp;" goods with fast take up the electronics and shoes of home goods and much more. Compare the products on the rating and honest reviews to choose the best for you. Order the goods in Yandex Gosamokatyrandy Self -caterpilic yellow - for walks and trips on bu"&amp;"siness. During skiing, insurance is valid, but please be careful. More about Self -Cool -Charing -Winging Machines to choose from. Each is insured and seasoned. You indicate the final address, we show the price of the trip. We are working in Moscow in St."&amp;" Petersburg and Sochi. To call the car to Yandex Golodaling your things with loaders for great things. And small parcels can be entrusted to the courier. Order the delivery through the Yandex Geda -haired delivery of your favorite dishes in the local part"&amp;"ners and a diverse selection of dishes: from burgers to land from borsch to ice cream. Order food to Yandex Golavkazamnaya to which you do not need to go for milk bunches or shampo It will deliver everything free after 10-15 minutes. We are working in Mos"&amp;"cow in St. Petersburg and Irkutsk. Order the products in Yandex Goskachaite Apply the camera on the QR code to download the appendix (Russian) trips to order taxi-Katomfortate Utumbimbeships of the Support Service of the Support Service to the driver to P"&amp;"arkest to Parkestvatu by self-assignment. Courieromarenut a car newspaper for drivers of a drum -eagleyandex Lavkayayandex Dreviveyandx Delivery Business Administration for a business office for A businessman for business adjustments for business material"&amp;"s for a business household for business equipment services for business -user -proofing agreement Policy Politics of Privacy of the Service of GO - a mobile application for ordering services and goods on the terms indicated at https://ya.cc/go. Services a"&amp;"nd goods are sold by partners of services on their own. 0+Yandex.mail project, invite the QR code to download the Yandex Gopolizer-Correspondent Agreement Politics Policy of the Confidential Statement of Services GO-a mobile application for ordering servi"&amp;"ces and goods on the basis of those specified at https://ya.cc/go. Services and goods are sold by partners of services on their own. 0+Yandex project. © 2011–2023 Yandex.Taxi LLC Yandex GO - mobile application for ordering services and goods on the condit"&amp;"ions indicated at https://ya.cc/go. Services and goods are sold by partners of services on their own. 0+Yandex project project.")</f>
        <v>Yandex GO - order a taxi for delivery of goods and rental of cars in Russia TaxiTAMAMAMAMAMAMARAMOKATYAROKATIDAROKADAVASHADAROSKADAROSISS (Russian) © 2011–2023 Yandex.Taxi LLC to send a taxi for the food of products and delivery of parcels and also car sharing and also car sharing and transportation of transport and schedule of transport. Taxes indicate where to go and immediately see the price of the trip and the estimated travel time. You can pay with a card or cash driver. To order a taxi in Yandex Goservice Premium-Classultima-this is the service of ordering representative cars. Attentive drivers and the highest level of service for your daily comfort in the Business Premier élite Cruise or Driver classes. Order a car and enjoy a tripmarketmillions of goods with fast take up the electronics and shoes of home goods and much more. Compare the products on the rating and honest reviews to choose the best for you. Order the goods in Yandex Gosamokatyrandy Self -caterpilic yellow - for walks and trips on business. During skiing, insurance is valid, but please be careful. More about Self -Cool -Charing -Winging Machines to choose from. Each is insured and seasoned. You indicate the final address, we show the price of the trip. We are working in Moscow in St. Petersburg and Sochi. To call the car to Yandex Golodaling your things with loaders for great things. And small parcels can be entrusted to the courier. Order the delivery through the Yandex Geda -haired delivery of your favorite dishes in the local partners and a diverse selection of dishes: from burgers to land from borsch to ice cream. Order food to Yandex Golavkazamnaya to which you do not need to go for milk bunches or shampo It will deliver everything free after 10-15 minutes. We are working in Moscow in St. Petersburg and Irkutsk. Order the products in Yandex Goskachaite Apply the camera on the QR code to download the appendix (Russian) trips to order taxi-Katomfortate Utumbimbeships of the Support Service of the Support Service to the driver to Parkest to Parkestvatu by self-assignment. Courieromarenut a car newspaper for drivers of a drum -eagleyandex Lavkayayandex Dreviveyandx Delivery Business Administration for a business office for A businessman for business adjustments for business materials for a business household for business equipment services for business -user -proofing agreement Policy Politics of Privacy of the Service of GO - a mobile application for ordering services and goods on the terms indicated at https://ya.cc/go. Services and goods are sold by partners of services on their own. 0+Yandex.mail project, invite the QR code to download the Yandex Gopolizer-Correspondent Agreement Politics Policy of the Confidential Statement of Services GO-a mobile application for ordering services and goods on the basis of those specified at https://ya.cc/go. Services and goods are sold by partners of services on their own. 0+Yandex project. © 2011–2023 Yandex.Taxi LLC Yandex GO - mobile application for ordering services and goods on the conditions indicated at https://ya.cc/go. Services and goods are sold by partners of services on their own. 0+Yandex project project.</v>
      </c>
    </row>
    <row r="1039">
      <c r="I1039" s="9"/>
      <c r="J1039" s="5" t="str">
        <f>IFERROR(__xludf.DUMMYFUNCTION("GOOGLETRANSLATE(A1039)"),"#VALUE!")</f>
        <v>#VALUE!</v>
      </c>
      <c r="K1039" s="6" t="str">
        <f>IFERROR(__xludf.DUMMYFUNCTION("GOOGLETRANSLATE(B1039)"),"#VALUE!")</f>
        <v>#VALUE!</v>
      </c>
      <c r="L1039" s="5" t="str">
        <f>IFERROR(__xludf.DUMMYFUNCTION("GOOGLETRANSLATE(C1039)"),"#VALUE!")</f>
        <v>#VALUE!</v>
      </c>
      <c r="M1039" s="5" t="str">
        <f>IFERROR(__xludf.DUMMYFUNCTION("GOOGLETRANSLATE(G1039)"),"#VALUE!")</f>
        <v>#VALUE!</v>
      </c>
    </row>
    <row r="1040">
      <c r="I1040" s="9"/>
      <c r="J1040" s="5" t="str">
        <f>IFERROR(__xludf.DUMMYFUNCTION("GOOGLETRANSLATE(A1040)"),"#VALUE!")</f>
        <v>#VALUE!</v>
      </c>
      <c r="K1040" s="6" t="str">
        <f>IFERROR(__xludf.DUMMYFUNCTION("GOOGLETRANSLATE(B1040)"),"#VALUE!")</f>
        <v>#VALUE!</v>
      </c>
      <c r="L1040" s="5" t="str">
        <f>IFERROR(__xludf.DUMMYFUNCTION("GOOGLETRANSLATE(C1040)"),"#VALUE!")</f>
        <v>#VALUE!</v>
      </c>
      <c r="M1040" s="5" t="str">
        <f>IFERROR(__xludf.DUMMYFUNCTION("GOOGLETRANSLATE(G1040)"),"#VALUE!")</f>
        <v>#VALUE!</v>
      </c>
    </row>
  </sheetData>
  <conditionalFormatting sqref="F1:F1040 I1:I1040">
    <cfRule type="cellIs" dxfId="0" priority="1" operator="equal">
      <formula>"ru"</formula>
    </cfRule>
  </conditionalFormatting>
  <hyperlinks>
    <hyperlink r:id="rId1" ref="E2"/>
    <hyperlink r:id="rId2" ref="E3"/>
    <hyperlink r:id="rId3" ref="H3"/>
    <hyperlink r:id="rId4" ref="E4"/>
    <hyperlink r:id="rId5" ref="H4"/>
    <hyperlink r:id="rId6" ref="E5"/>
    <hyperlink r:id="rId7" ref="H5"/>
    <hyperlink r:id="rId8" ref="E6"/>
    <hyperlink r:id="rId9" ref="H6"/>
    <hyperlink r:id="rId10" ref="E7"/>
    <hyperlink r:id="rId11" ref="H7"/>
    <hyperlink r:id="rId12" ref="E8"/>
    <hyperlink r:id="rId13" ref="H8"/>
    <hyperlink r:id="rId14" ref="E9"/>
    <hyperlink r:id="rId15" ref="H9"/>
    <hyperlink r:id="rId16" ref="E10"/>
    <hyperlink r:id="rId17" ref="E11"/>
    <hyperlink r:id="rId18" ref="H11"/>
    <hyperlink r:id="rId19" ref="E12"/>
    <hyperlink r:id="rId20" ref="H12"/>
    <hyperlink r:id="rId21" ref="E13"/>
    <hyperlink r:id="rId22" ref="H13"/>
    <hyperlink r:id="rId23" ref="E14"/>
    <hyperlink r:id="rId24" ref="H14"/>
    <hyperlink r:id="rId25" ref="E15"/>
    <hyperlink r:id="rId26" ref="H15"/>
    <hyperlink r:id="rId27" ref="E16"/>
    <hyperlink r:id="rId28" ref="H16"/>
    <hyperlink r:id="rId29" ref="E17"/>
    <hyperlink r:id="rId30" ref="H17"/>
    <hyperlink r:id="rId31" ref="E18"/>
    <hyperlink r:id="rId32" ref="H18"/>
    <hyperlink r:id="rId33" ref="E19"/>
    <hyperlink r:id="rId34" ref="H19"/>
    <hyperlink r:id="rId35" ref="E20"/>
    <hyperlink r:id="rId36" ref="H20"/>
    <hyperlink r:id="rId37" ref="E21"/>
    <hyperlink r:id="rId38" ref="H21"/>
    <hyperlink r:id="rId39" ref="E22"/>
    <hyperlink r:id="rId40" ref="H22"/>
    <hyperlink r:id="rId41" ref="E23"/>
    <hyperlink r:id="rId42" ref="H23"/>
    <hyperlink r:id="rId43" ref="E24"/>
    <hyperlink r:id="rId44" ref="H24"/>
    <hyperlink r:id="rId45" ref="E25"/>
    <hyperlink r:id="rId46" ref="H25"/>
    <hyperlink r:id="rId47" ref="E26"/>
    <hyperlink r:id="rId48" ref="H26"/>
    <hyperlink r:id="rId49" ref="E27"/>
    <hyperlink r:id="rId50" ref="H27"/>
    <hyperlink r:id="rId51" ref="E28"/>
    <hyperlink r:id="rId52" ref="H28"/>
    <hyperlink r:id="rId53" ref="E29"/>
    <hyperlink r:id="rId54" ref="H29"/>
    <hyperlink r:id="rId55" ref="E30"/>
    <hyperlink r:id="rId56" ref="H30"/>
    <hyperlink r:id="rId57" ref="E31"/>
    <hyperlink r:id="rId58" ref="E32"/>
    <hyperlink r:id="rId59" ref="H32"/>
    <hyperlink r:id="rId60" ref="E33"/>
    <hyperlink r:id="rId61" ref="H33"/>
    <hyperlink r:id="rId62" ref="E34"/>
    <hyperlink r:id="rId63" ref="H34"/>
    <hyperlink r:id="rId64" ref="E35"/>
    <hyperlink r:id="rId65" ref="H35"/>
    <hyperlink r:id="rId66" ref="E36"/>
    <hyperlink r:id="rId67" ref="H36"/>
    <hyperlink r:id="rId68" ref="E37"/>
    <hyperlink r:id="rId69" ref="H37"/>
    <hyperlink r:id="rId70" ref="E38"/>
    <hyperlink r:id="rId71" ref="H38"/>
    <hyperlink r:id="rId72" ref="E39"/>
    <hyperlink r:id="rId73" ref="H39"/>
    <hyperlink r:id="rId74" ref="E40"/>
    <hyperlink r:id="rId75" ref="H40"/>
    <hyperlink r:id="rId76" ref="E41"/>
    <hyperlink r:id="rId77" ref="H41"/>
    <hyperlink r:id="rId78" ref="E42"/>
    <hyperlink r:id="rId79" ref="H42"/>
    <hyperlink r:id="rId80" ref="E43"/>
    <hyperlink r:id="rId81" ref="H43"/>
    <hyperlink r:id="rId82" ref="E44"/>
    <hyperlink r:id="rId83" ref="H44"/>
    <hyperlink r:id="rId84" ref="E45"/>
    <hyperlink r:id="rId85" ref="H45"/>
    <hyperlink r:id="rId86" ref="E46"/>
    <hyperlink r:id="rId87" ref="E47"/>
    <hyperlink r:id="rId88" ref="H47"/>
    <hyperlink r:id="rId89" ref="E48"/>
    <hyperlink r:id="rId90" ref="H48"/>
    <hyperlink r:id="rId91" ref="E49"/>
    <hyperlink r:id="rId92" ref="H49"/>
    <hyperlink r:id="rId93" ref="E50"/>
    <hyperlink r:id="rId94" ref="H50"/>
    <hyperlink r:id="rId95" ref="E51"/>
    <hyperlink r:id="rId96" ref="H51"/>
    <hyperlink r:id="rId97" ref="E52"/>
    <hyperlink r:id="rId98" ref="H52"/>
    <hyperlink r:id="rId99" ref="E53"/>
    <hyperlink r:id="rId100" ref="H53"/>
    <hyperlink r:id="rId101" ref="E54"/>
    <hyperlink r:id="rId102" ref="H54"/>
    <hyperlink r:id="rId103" ref="E55"/>
    <hyperlink r:id="rId104" ref="E56"/>
    <hyperlink r:id="rId105" ref="H56"/>
    <hyperlink r:id="rId106" ref="E57"/>
    <hyperlink r:id="rId107" ref="H57"/>
    <hyperlink r:id="rId108" ref="E58"/>
    <hyperlink r:id="rId109" ref="E59"/>
    <hyperlink r:id="rId110" ref="H59"/>
    <hyperlink r:id="rId111" ref="E60"/>
    <hyperlink r:id="rId112" ref="H60"/>
    <hyperlink r:id="rId113" ref="E61"/>
    <hyperlink r:id="rId114" ref="H61"/>
    <hyperlink r:id="rId115" ref="E62"/>
    <hyperlink r:id="rId116" ref="H62"/>
    <hyperlink r:id="rId117" ref="E63"/>
    <hyperlink r:id="rId118" ref="H63"/>
    <hyperlink r:id="rId119" ref="E64"/>
    <hyperlink r:id="rId120" ref="H64"/>
    <hyperlink r:id="rId121" ref="E65"/>
    <hyperlink r:id="rId122" ref="E66"/>
    <hyperlink r:id="rId123" ref="H66"/>
    <hyperlink r:id="rId124" ref="E67"/>
    <hyperlink r:id="rId125" ref="H67"/>
    <hyperlink r:id="rId126" ref="E68"/>
    <hyperlink r:id="rId127" ref="H68"/>
    <hyperlink r:id="rId128" ref="E69"/>
    <hyperlink r:id="rId129" ref="H69"/>
    <hyperlink r:id="rId130" ref="E70"/>
    <hyperlink r:id="rId131" ref="H70"/>
    <hyperlink r:id="rId132" ref="E71"/>
    <hyperlink r:id="rId133" ref="E72"/>
    <hyperlink r:id="rId134" ref="H72"/>
    <hyperlink r:id="rId135" ref="E73"/>
    <hyperlink r:id="rId136" ref="H73"/>
    <hyperlink r:id="rId137" ref="E74"/>
    <hyperlink r:id="rId138" ref="H74"/>
    <hyperlink r:id="rId139" ref="E75"/>
    <hyperlink r:id="rId140" ref="H75"/>
    <hyperlink r:id="rId141" ref="E76"/>
    <hyperlink r:id="rId142" ref="E77"/>
    <hyperlink r:id="rId143" ref="H77"/>
    <hyperlink r:id="rId144" ref="E78"/>
    <hyperlink r:id="rId145" ref="H78"/>
    <hyperlink r:id="rId146" ref="E79"/>
    <hyperlink r:id="rId147" ref="E80"/>
    <hyperlink r:id="rId148" ref="H80"/>
    <hyperlink r:id="rId149" ref="E81"/>
    <hyperlink r:id="rId150" ref="H81"/>
    <hyperlink r:id="rId151" ref="E82"/>
    <hyperlink r:id="rId152" ref="H82"/>
    <hyperlink r:id="rId153" ref="E83"/>
    <hyperlink r:id="rId154" ref="H83"/>
    <hyperlink r:id="rId155" ref="E84"/>
    <hyperlink r:id="rId156" ref="H84"/>
    <hyperlink r:id="rId157" ref="E85"/>
    <hyperlink r:id="rId158" ref="H85"/>
    <hyperlink r:id="rId159" ref="E86"/>
    <hyperlink r:id="rId160" ref="H86"/>
    <hyperlink r:id="rId161" ref="E87"/>
    <hyperlink r:id="rId162" ref="H87"/>
    <hyperlink r:id="rId163" ref="E88"/>
    <hyperlink r:id="rId164" ref="H88"/>
    <hyperlink r:id="rId165" ref="E89"/>
    <hyperlink r:id="rId166" ref="H89"/>
    <hyperlink r:id="rId167" ref="E90"/>
    <hyperlink r:id="rId168" ref="H90"/>
    <hyperlink r:id="rId169" ref="E91"/>
    <hyperlink r:id="rId170" ref="H91"/>
    <hyperlink r:id="rId171" ref="E92"/>
    <hyperlink r:id="rId172" ref="H92"/>
    <hyperlink r:id="rId173" ref="E93"/>
    <hyperlink r:id="rId174" ref="H93"/>
    <hyperlink r:id="rId175" ref="E94"/>
    <hyperlink r:id="rId176" ref="H94"/>
    <hyperlink r:id="rId177" ref="E95"/>
    <hyperlink r:id="rId178" ref="H95"/>
    <hyperlink r:id="rId179" ref="E96"/>
    <hyperlink r:id="rId180" ref="H96"/>
    <hyperlink r:id="rId181" ref="E97"/>
    <hyperlink r:id="rId182" ref="H97"/>
    <hyperlink r:id="rId183" ref="E98"/>
    <hyperlink r:id="rId184" ref="H98"/>
    <hyperlink r:id="rId185" ref="E99"/>
    <hyperlink r:id="rId186" ref="H99"/>
    <hyperlink r:id="rId187" ref="E100"/>
    <hyperlink r:id="rId188" ref="H100"/>
    <hyperlink r:id="rId189" ref="E101"/>
    <hyperlink r:id="rId190" ref="H101"/>
    <hyperlink r:id="rId191" ref="E102"/>
    <hyperlink r:id="rId192" ref="H102"/>
    <hyperlink r:id="rId193" ref="E103"/>
    <hyperlink r:id="rId194" ref="H103"/>
    <hyperlink r:id="rId195" ref="E104"/>
    <hyperlink r:id="rId196" ref="H104"/>
    <hyperlink r:id="rId197" ref="E105"/>
    <hyperlink r:id="rId198" ref="H105"/>
    <hyperlink r:id="rId199" ref="E106"/>
    <hyperlink r:id="rId200" ref="H106"/>
    <hyperlink r:id="rId201" ref="E107"/>
    <hyperlink r:id="rId202" ref="H107"/>
    <hyperlink r:id="rId203" ref="E108"/>
    <hyperlink r:id="rId204" ref="H108"/>
    <hyperlink r:id="rId205" ref="E109"/>
    <hyperlink r:id="rId206" ref="H109"/>
    <hyperlink r:id="rId207" ref="E110"/>
    <hyperlink r:id="rId208" ref="H110"/>
    <hyperlink r:id="rId209" ref="E111"/>
    <hyperlink r:id="rId210" ref="H111"/>
    <hyperlink r:id="rId211" ref="E112"/>
    <hyperlink r:id="rId212" ref="E113"/>
    <hyperlink r:id="rId213" ref="H113"/>
    <hyperlink r:id="rId214" ref="E114"/>
    <hyperlink r:id="rId215" ref="H114"/>
    <hyperlink r:id="rId216" ref="E115"/>
    <hyperlink r:id="rId217" ref="H115"/>
    <hyperlink r:id="rId218" ref="E116"/>
    <hyperlink r:id="rId219" ref="E117"/>
    <hyperlink r:id="rId220" ref="H117"/>
    <hyperlink r:id="rId221" ref="E118"/>
    <hyperlink r:id="rId222" ref="E119"/>
    <hyperlink r:id="rId223" ref="H119"/>
    <hyperlink r:id="rId224" ref="E120"/>
    <hyperlink r:id="rId225" ref="H120"/>
    <hyperlink r:id="rId226" ref="E121"/>
    <hyperlink r:id="rId227" ref="H121"/>
    <hyperlink r:id="rId228" ref="E122"/>
    <hyperlink r:id="rId229" ref="H122"/>
    <hyperlink r:id="rId230" ref="E123"/>
    <hyperlink r:id="rId231" ref="H123"/>
    <hyperlink r:id="rId232" ref="E124"/>
    <hyperlink r:id="rId233" ref="H124"/>
    <hyperlink r:id="rId234" ref="E125"/>
    <hyperlink r:id="rId235" ref="H125"/>
    <hyperlink r:id="rId236" ref="E126"/>
    <hyperlink r:id="rId237" ref="E127"/>
    <hyperlink r:id="rId238" ref="H127"/>
    <hyperlink r:id="rId239" ref="E128"/>
    <hyperlink r:id="rId240" ref="H128"/>
    <hyperlink r:id="rId241" ref="E129"/>
    <hyperlink r:id="rId242" ref="H129"/>
    <hyperlink r:id="rId243" ref="E130"/>
    <hyperlink r:id="rId244" ref="H130"/>
    <hyperlink r:id="rId245" ref="E131"/>
    <hyperlink r:id="rId246" ref="H131"/>
    <hyperlink r:id="rId247" ref="E132"/>
    <hyperlink r:id="rId248" ref="H132"/>
    <hyperlink r:id="rId249" ref="E133"/>
    <hyperlink r:id="rId250" ref="H133"/>
    <hyperlink r:id="rId251" ref="E134"/>
    <hyperlink r:id="rId252" ref="H134"/>
    <hyperlink r:id="rId253" ref="E135"/>
    <hyperlink r:id="rId254" ref="H135"/>
    <hyperlink r:id="rId255" ref="E136"/>
    <hyperlink r:id="rId256" ref="H136"/>
    <hyperlink r:id="rId257" ref="E137"/>
    <hyperlink r:id="rId258" ref="E138"/>
    <hyperlink r:id="rId259" ref="H138"/>
    <hyperlink r:id="rId260" ref="E139"/>
    <hyperlink r:id="rId261" ref="H139"/>
    <hyperlink r:id="rId262" ref="E140"/>
    <hyperlink r:id="rId263" ref="H140"/>
    <hyperlink r:id="rId264" ref="E141"/>
    <hyperlink r:id="rId265" ref="H141"/>
    <hyperlink r:id="rId266" ref="E142"/>
    <hyperlink r:id="rId267" ref="H142"/>
    <hyperlink r:id="rId268" ref="E143"/>
    <hyperlink r:id="rId269" ref="H143"/>
    <hyperlink r:id="rId270" ref="E144"/>
    <hyperlink r:id="rId271" ref="H144"/>
    <hyperlink r:id="rId272" ref="E145"/>
    <hyperlink r:id="rId273" ref="H145"/>
    <hyperlink r:id="rId274" ref="E146"/>
    <hyperlink r:id="rId275" ref="H146"/>
    <hyperlink r:id="rId276" ref="E147"/>
    <hyperlink r:id="rId277" ref="E148"/>
    <hyperlink r:id="rId278" ref="H148"/>
    <hyperlink r:id="rId279" ref="E149"/>
    <hyperlink r:id="rId280" ref="E150"/>
    <hyperlink r:id="rId281" ref="H150"/>
    <hyperlink r:id="rId282" ref="E151"/>
    <hyperlink r:id="rId283" ref="E152"/>
    <hyperlink r:id="rId284" ref="H152"/>
    <hyperlink r:id="rId285" ref="E153"/>
    <hyperlink r:id="rId286" ref="H153"/>
    <hyperlink r:id="rId287" ref="E154"/>
    <hyperlink r:id="rId288" ref="H154"/>
    <hyperlink r:id="rId289" ref="E155"/>
    <hyperlink r:id="rId290" ref="H155"/>
    <hyperlink r:id="rId291" ref="E156"/>
    <hyperlink r:id="rId292" ref="H156"/>
    <hyperlink r:id="rId293" ref="E157"/>
    <hyperlink r:id="rId294" ref="H157"/>
    <hyperlink r:id="rId295" ref="E158"/>
    <hyperlink r:id="rId296" ref="E159"/>
    <hyperlink r:id="rId297" ref="H159"/>
    <hyperlink r:id="rId298" ref="E160"/>
    <hyperlink r:id="rId299" ref="H160"/>
    <hyperlink r:id="rId300" ref="E161"/>
    <hyperlink r:id="rId301" ref="H161"/>
    <hyperlink r:id="rId302" ref="E162"/>
    <hyperlink r:id="rId303" ref="H162"/>
    <hyperlink r:id="rId304" ref="E163"/>
    <hyperlink r:id="rId305" ref="H163"/>
    <hyperlink r:id="rId306" ref="E164"/>
    <hyperlink r:id="rId307" ref="E165"/>
    <hyperlink r:id="rId308" ref="H165"/>
    <hyperlink r:id="rId309" ref="E166"/>
    <hyperlink r:id="rId310" ref="H166"/>
    <hyperlink r:id="rId311" ref="E167"/>
    <hyperlink r:id="rId312" ref="H167"/>
    <hyperlink r:id="rId313" ref="E168"/>
    <hyperlink r:id="rId314" ref="E169"/>
    <hyperlink r:id="rId315" ref="E170"/>
    <hyperlink r:id="rId316" ref="E171"/>
    <hyperlink r:id="rId317" ref="H171"/>
    <hyperlink r:id="rId318" ref="E172"/>
    <hyperlink r:id="rId319" ref="H172"/>
    <hyperlink r:id="rId320" ref="E173"/>
    <hyperlink r:id="rId321" ref="H173"/>
    <hyperlink r:id="rId322" ref="E174"/>
    <hyperlink r:id="rId323" ref="H174"/>
    <hyperlink r:id="rId324" ref="E175"/>
    <hyperlink r:id="rId325" ref="H175"/>
    <hyperlink r:id="rId326" ref="B176"/>
    <hyperlink r:id="rId327" ref="E176"/>
    <hyperlink r:id="rId328" ref="E177"/>
    <hyperlink r:id="rId329" ref="H177"/>
    <hyperlink r:id="rId330" ref="E178"/>
    <hyperlink r:id="rId331" ref="H178"/>
    <hyperlink r:id="rId332" ref="E179"/>
    <hyperlink r:id="rId333" ref="E180"/>
    <hyperlink r:id="rId334" ref="H180"/>
    <hyperlink r:id="rId335" ref="E181"/>
    <hyperlink r:id="rId336" ref="H181"/>
    <hyperlink r:id="rId337" ref="E182"/>
    <hyperlink r:id="rId338" ref="H182"/>
    <hyperlink r:id="rId339" ref="E183"/>
    <hyperlink r:id="rId340" ref="H183"/>
    <hyperlink r:id="rId341" ref="E184"/>
    <hyperlink r:id="rId342" ref="H184"/>
    <hyperlink r:id="rId343" ref="E185"/>
    <hyperlink r:id="rId344" ref="H185"/>
    <hyperlink r:id="rId345" ref="E186"/>
    <hyperlink r:id="rId346" ref="H186"/>
    <hyperlink r:id="rId347" ref="E187"/>
    <hyperlink r:id="rId348" ref="H187"/>
    <hyperlink r:id="rId349" ref="E188"/>
    <hyperlink r:id="rId350" ref="H188"/>
    <hyperlink r:id="rId351" ref="E189"/>
    <hyperlink r:id="rId352" ref="H189"/>
    <hyperlink r:id="rId353" ref="E190"/>
    <hyperlink r:id="rId354" ref="H190"/>
    <hyperlink r:id="rId355" ref="B191"/>
    <hyperlink r:id="rId356" ref="E191"/>
    <hyperlink r:id="rId357" ref="E192"/>
    <hyperlink r:id="rId358" ref="H192"/>
    <hyperlink r:id="rId359" ref="E193"/>
    <hyperlink r:id="rId360" ref="H193"/>
    <hyperlink r:id="rId361" ref="E194"/>
    <hyperlink r:id="rId362" ref="E195"/>
    <hyperlink r:id="rId363" ref="H195"/>
    <hyperlink r:id="rId364" ref="E196"/>
    <hyperlink r:id="rId365" ref="H196"/>
    <hyperlink r:id="rId366" ref="E197"/>
    <hyperlink r:id="rId367" ref="E198"/>
    <hyperlink r:id="rId368" ref="H198"/>
    <hyperlink r:id="rId369" ref="E199"/>
    <hyperlink r:id="rId370" ref="E200"/>
    <hyperlink r:id="rId371" ref="H200"/>
    <hyperlink r:id="rId372" ref="E201"/>
    <hyperlink r:id="rId373" ref="H201"/>
    <hyperlink r:id="rId374" ref="E202"/>
    <hyperlink r:id="rId375" ref="E203"/>
    <hyperlink r:id="rId376" ref="H203"/>
    <hyperlink r:id="rId377" ref="E204"/>
    <hyperlink r:id="rId378" ref="H204"/>
    <hyperlink r:id="rId379" ref="E205"/>
    <hyperlink r:id="rId380" ref="H205"/>
    <hyperlink r:id="rId381" ref="B206"/>
    <hyperlink r:id="rId382" ref="E206"/>
    <hyperlink r:id="rId383" ref="H206"/>
    <hyperlink r:id="rId384" ref="E207"/>
    <hyperlink r:id="rId385" ref="H207"/>
    <hyperlink r:id="rId386" ref="E208"/>
    <hyperlink r:id="rId387" ref="H208"/>
    <hyperlink r:id="rId388" ref="E209"/>
    <hyperlink r:id="rId389" ref="E210"/>
    <hyperlink r:id="rId390" ref="H210"/>
    <hyperlink r:id="rId391" ref="B211"/>
    <hyperlink r:id="rId392" ref="E211"/>
    <hyperlink r:id="rId393" ref="H211"/>
    <hyperlink r:id="rId394" ref="E212"/>
    <hyperlink r:id="rId395" ref="E213"/>
    <hyperlink r:id="rId396" ref="H213"/>
    <hyperlink r:id="rId397" ref="E214"/>
    <hyperlink r:id="rId398" ref="H214"/>
    <hyperlink r:id="rId399" ref="E215"/>
    <hyperlink r:id="rId400" ref="H215"/>
    <hyperlink r:id="rId401" ref="E216"/>
    <hyperlink r:id="rId402" ref="H216"/>
    <hyperlink r:id="rId403" ref="E217"/>
    <hyperlink r:id="rId404" ref="H217"/>
    <hyperlink r:id="rId405" ref="E218"/>
    <hyperlink r:id="rId406" ref="H218"/>
    <hyperlink r:id="rId407" ref="E219"/>
    <hyperlink r:id="rId408" ref="E220"/>
    <hyperlink r:id="rId409" ref="H220"/>
    <hyperlink r:id="rId410" ref="E221"/>
    <hyperlink r:id="rId411" ref="H221"/>
    <hyperlink r:id="rId412" ref="E222"/>
    <hyperlink r:id="rId413" ref="H222"/>
    <hyperlink r:id="rId414" ref="E223"/>
    <hyperlink r:id="rId415" ref="H223"/>
    <hyperlink r:id="rId416" ref="E224"/>
    <hyperlink r:id="rId417" ref="E225"/>
    <hyperlink r:id="rId418" ref="H225"/>
    <hyperlink r:id="rId419" ref="E226"/>
    <hyperlink r:id="rId420" ref="H226"/>
    <hyperlink r:id="rId421" ref="E227"/>
    <hyperlink r:id="rId422" ref="E228"/>
    <hyperlink r:id="rId423" ref="H228"/>
    <hyperlink r:id="rId424" ref="E229"/>
    <hyperlink r:id="rId425" ref="E230"/>
    <hyperlink r:id="rId426" ref="H230"/>
    <hyperlink r:id="rId427" ref="B231"/>
    <hyperlink r:id="rId428" ref="E231"/>
    <hyperlink r:id="rId429" ref="E232"/>
    <hyperlink r:id="rId430" ref="H232"/>
    <hyperlink r:id="rId431" ref="E233"/>
    <hyperlink r:id="rId432" ref="H233"/>
    <hyperlink r:id="rId433" ref="E234"/>
    <hyperlink r:id="rId434" ref="H234"/>
    <hyperlink r:id="rId435" ref="E235"/>
    <hyperlink r:id="rId436" ref="H235"/>
    <hyperlink r:id="rId437" ref="E236"/>
    <hyperlink r:id="rId438" ref="H236"/>
    <hyperlink r:id="rId439" ref="E237"/>
    <hyperlink r:id="rId440" ref="H237"/>
    <hyperlink r:id="rId441" ref="E238"/>
    <hyperlink r:id="rId442" ref="H238"/>
    <hyperlink r:id="rId443" ref="E239"/>
    <hyperlink r:id="rId444" ref="H239"/>
    <hyperlink r:id="rId445" ref="E240"/>
    <hyperlink r:id="rId446" ref="H240"/>
    <hyperlink r:id="rId447" ref="E241"/>
    <hyperlink r:id="rId448" ref="H241"/>
    <hyperlink r:id="rId449" ref="E242"/>
    <hyperlink r:id="rId450" ref="H242"/>
    <hyperlink r:id="rId451" ref="E243"/>
    <hyperlink r:id="rId452" ref="H243"/>
    <hyperlink r:id="rId453" ref="E244"/>
    <hyperlink r:id="rId454" ref="H244"/>
    <hyperlink r:id="rId455" ref="E245"/>
    <hyperlink r:id="rId456" ref="H245"/>
    <hyperlink r:id="rId457" ref="E246"/>
    <hyperlink r:id="rId458" ref="E247"/>
    <hyperlink r:id="rId459" ref="H247"/>
    <hyperlink r:id="rId460" ref="E248"/>
    <hyperlink r:id="rId461" ref="H248"/>
    <hyperlink r:id="rId462" ref="E249"/>
    <hyperlink r:id="rId463" ref="H249"/>
    <hyperlink r:id="rId464" ref="E250"/>
    <hyperlink r:id="rId465" ref="H250"/>
    <hyperlink r:id="rId466" ref="E251"/>
    <hyperlink r:id="rId467" ref="E252"/>
    <hyperlink r:id="rId468" ref="H252"/>
    <hyperlink r:id="rId469" ref="E253"/>
    <hyperlink r:id="rId470" ref="H253"/>
    <hyperlink r:id="rId471" ref="E254"/>
    <hyperlink r:id="rId472" ref="E255"/>
    <hyperlink r:id="rId473" ref="E256"/>
    <hyperlink r:id="rId474" ref="E257"/>
    <hyperlink r:id="rId475" ref="H257"/>
    <hyperlink r:id="rId476" ref="E258"/>
    <hyperlink r:id="rId477" ref="H258"/>
    <hyperlink r:id="rId478" ref="E259"/>
    <hyperlink r:id="rId479" ref="H259"/>
    <hyperlink r:id="rId480" ref="E260"/>
    <hyperlink r:id="rId481" ref="E261"/>
    <hyperlink r:id="rId482" ref="H261"/>
    <hyperlink r:id="rId483" ref="E262"/>
    <hyperlink r:id="rId484" ref="H262"/>
    <hyperlink r:id="rId485" ref="E263"/>
    <hyperlink r:id="rId486" ref="E264"/>
    <hyperlink r:id="rId487" ref="H264"/>
    <hyperlink r:id="rId488" ref="E265"/>
    <hyperlink r:id="rId489" ref="H265"/>
    <hyperlink r:id="rId490" ref="E266"/>
    <hyperlink r:id="rId491" ref="E267"/>
    <hyperlink r:id="rId492" ref="H267"/>
    <hyperlink r:id="rId493" ref="E268"/>
    <hyperlink r:id="rId494" ref="E269"/>
    <hyperlink r:id="rId495" ref="H269"/>
    <hyperlink r:id="rId496" ref="E270"/>
    <hyperlink r:id="rId497" ref="E271"/>
    <hyperlink r:id="rId498" ref="E272"/>
    <hyperlink r:id="rId499" ref="E273"/>
    <hyperlink r:id="rId500" ref="H273"/>
    <hyperlink r:id="rId501" ref="E274"/>
    <hyperlink r:id="rId502" ref="H274"/>
    <hyperlink r:id="rId503" ref="E275"/>
    <hyperlink r:id="rId504" ref="H275"/>
    <hyperlink r:id="rId505" ref="E276"/>
    <hyperlink r:id="rId506" ref="H276"/>
    <hyperlink r:id="rId507" ref="E277"/>
    <hyperlink r:id="rId508" ref="E278"/>
    <hyperlink r:id="rId509" ref="H278"/>
    <hyperlink r:id="rId510" ref="E279"/>
    <hyperlink r:id="rId511" ref="E280"/>
    <hyperlink r:id="rId512" ref="E281"/>
    <hyperlink r:id="rId513" ref="E282"/>
    <hyperlink r:id="rId514" ref="H282"/>
    <hyperlink r:id="rId515" ref="E283"/>
    <hyperlink r:id="rId516" ref="H283"/>
    <hyperlink r:id="rId517" ref="E284"/>
    <hyperlink r:id="rId518" ref="H284"/>
    <hyperlink r:id="rId519" ref="E285"/>
    <hyperlink r:id="rId520" ref="E286"/>
    <hyperlink r:id="rId521" ref="H286"/>
    <hyperlink r:id="rId522" ref="E287"/>
    <hyperlink r:id="rId523" ref="H287"/>
    <hyperlink r:id="rId524" ref="E288"/>
    <hyperlink r:id="rId525" ref="H288"/>
    <hyperlink r:id="rId526" ref="E289"/>
    <hyperlink r:id="rId527" ref="H289"/>
    <hyperlink r:id="rId528" ref="E290"/>
    <hyperlink r:id="rId529" ref="H290"/>
    <hyperlink r:id="rId530" ref="E291"/>
    <hyperlink r:id="rId531" ref="H291"/>
    <hyperlink r:id="rId532" ref="E292"/>
    <hyperlink r:id="rId533" ref="E293"/>
    <hyperlink r:id="rId534" ref="H293"/>
    <hyperlink r:id="rId535" ref="E294"/>
    <hyperlink r:id="rId536" ref="H294"/>
    <hyperlink r:id="rId537" ref="E295"/>
    <hyperlink r:id="rId538" ref="H295"/>
    <hyperlink r:id="rId539" ref="E296"/>
    <hyperlink r:id="rId540" ref="H296"/>
    <hyperlink r:id="rId541" ref="E297"/>
    <hyperlink r:id="rId542" ref="H297"/>
    <hyperlink r:id="rId543" ref="E298"/>
    <hyperlink r:id="rId544" ref="E299"/>
    <hyperlink r:id="rId545" ref="H299"/>
    <hyperlink r:id="rId546" ref="E300"/>
    <hyperlink r:id="rId547" ref="H300"/>
    <hyperlink r:id="rId548" ref="E301"/>
    <hyperlink r:id="rId549" ref="H301"/>
    <hyperlink r:id="rId550" ref="E302"/>
    <hyperlink r:id="rId551" ref="H302"/>
    <hyperlink r:id="rId552" ref="E303"/>
    <hyperlink r:id="rId553" ref="H303"/>
    <hyperlink r:id="rId554" ref="E304"/>
    <hyperlink r:id="rId555" ref="H304"/>
    <hyperlink r:id="rId556" ref="E305"/>
    <hyperlink r:id="rId557" ref="H305"/>
    <hyperlink r:id="rId558" ref="E306"/>
    <hyperlink r:id="rId559" ref="H306"/>
    <hyperlink r:id="rId560" ref="E307"/>
    <hyperlink r:id="rId561" ref="H307"/>
    <hyperlink r:id="rId562" ref="E308"/>
    <hyperlink r:id="rId563" ref="H308"/>
    <hyperlink r:id="rId564" ref="E309"/>
    <hyperlink r:id="rId565" ref="H309"/>
    <hyperlink r:id="rId566" ref="E310"/>
    <hyperlink r:id="rId567" ref="H310"/>
    <hyperlink r:id="rId568" ref="E311"/>
    <hyperlink r:id="rId569" ref="H311"/>
    <hyperlink r:id="rId570" ref="E312"/>
    <hyperlink r:id="rId571" ref="H312"/>
    <hyperlink r:id="rId572" ref="E313"/>
    <hyperlink r:id="rId573" ref="H313"/>
    <hyperlink r:id="rId574" ref="E314"/>
    <hyperlink r:id="rId575" ref="E315"/>
    <hyperlink r:id="rId576" ref="E316"/>
    <hyperlink r:id="rId577" ref="E317"/>
    <hyperlink r:id="rId578" ref="H317"/>
    <hyperlink r:id="rId579" ref="E318"/>
    <hyperlink r:id="rId580" ref="E319"/>
    <hyperlink r:id="rId581" ref="H319"/>
    <hyperlink r:id="rId582" ref="E320"/>
    <hyperlink r:id="rId583" ref="H320"/>
    <hyperlink r:id="rId584" ref="E321"/>
    <hyperlink r:id="rId585" ref="H321"/>
    <hyperlink r:id="rId586" ref="E322"/>
    <hyperlink r:id="rId587" ref="E323"/>
    <hyperlink r:id="rId588" ref="E324"/>
    <hyperlink r:id="rId589" ref="H324"/>
    <hyperlink r:id="rId590" ref="E325"/>
    <hyperlink r:id="rId591" ref="E326"/>
    <hyperlink r:id="rId592" ref="H326"/>
    <hyperlink r:id="rId593" ref="E327"/>
    <hyperlink r:id="rId594" ref="H327"/>
    <hyperlink r:id="rId595" ref="E328"/>
    <hyperlink r:id="rId596" ref="H328"/>
    <hyperlink r:id="rId597" ref="E329"/>
    <hyperlink r:id="rId598" ref="H329"/>
    <hyperlink r:id="rId599" ref="E330"/>
    <hyperlink r:id="rId600" ref="E331"/>
    <hyperlink r:id="rId601" ref="H331"/>
    <hyperlink r:id="rId602" ref="E332"/>
    <hyperlink r:id="rId603" ref="H332"/>
    <hyperlink r:id="rId604" ref="E333"/>
    <hyperlink r:id="rId605" ref="H333"/>
    <hyperlink r:id="rId606" ref="E334"/>
    <hyperlink r:id="rId607" ref="H334"/>
    <hyperlink r:id="rId608" ref="E335"/>
    <hyperlink r:id="rId609" ref="H335"/>
    <hyperlink r:id="rId610" ref="E336"/>
    <hyperlink r:id="rId611" ref="H336"/>
    <hyperlink r:id="rId612" ref="E337"/>
    <hyperlink r:id="rId613" ref="H337"/>
    <hyperlink r:id="rId614" ref="E338"/>
    <hyperlink r:id="rId615" ref="H338"/>
    <hyperlink r:id="rId616" ref="E339"/>
    <hyperlink r:id="rId617" ref="H339"/>
    <hyperlink r:id="rId618" ref="E340"/>
    <hyperlink r:id="rId619" ref="H340"/>
    <hyperlink r:id="rId620" ref="E341"/>
    <hyperlink r:id="rId621" ref="H341"/>
    <hyperlink r:id="rId622" ref="E342"/>
    <hyperlink r:id="rId623" ref="H342"/>
    <hyperlink r:id="rId624" ref="E343"/>
    <hyperlink r:id="rId625" ref="H343"/>
    <hyperlink r:id="rId626" ref="E344"/>
    <hyperlink r:id="rId627" ref="H344"/>
    <hyperlink r:id="rId628" ref="E345"/>
    <hyperlink r:id="rId629" ref="H345"/>
    <hyperlink r:id="rId630" ref="E346"/>
    <hyperlink r:id="rId631" ref="H346"/>
    <hyperlink r:id="rId632" ref="E347"/>
    <hyperlink r:id="rId633" ref="E348"/>
    <hyperlink r:id="rId634" ref="H348"/>
    <hyperlink r:id="rId635" ref="E349"/>
    <hyperlink r:id="rId636" ref="H349"/>
    <hyperlink r:id="rId637" ref="E350"/>
    <hyperlink r:id="rId638" ref="H350"/>
    <hyperlink r:id="rId639" ref="E351"/>
    <hyperlink r:id="rId640" ref="H351"/>
    <hyperlink r:id="rId641" ref="E352"/>
    <hyperlink r:id="rId642" ref="H352"/>
    <hyperlink r:id="rId643" ref="E353"/>
    <hyperlink r:id="rId644" ref="H353"/>
    <hyperlink r:id="rId645" ref="E354"/>
    <hyperlink r:id="rId646" ref="H354"/>
    <hyperlink r:id="rId647" ref="E355"/>
    <hyperlink r:id="rId648" ref="H355"/>
    <hyperlink r:id="rId649" ref="E356"/>
    <hyperlink r:id="rId650" ref="H356"/>
    <hyperlink r:id="rId651" ref="E357"/>
    <hyperlink r:id="rId652" ref="H357"/>
    <hyperlink r:id="rId653" ref="E358"/>
    <hyperlink r:id="rId654" ref="H358"/>
    <hyperlink r:id="rId655" ref="E359"/>
    <hyperlink r:id="rId656" ref="H359"/>
    <hyperlink r:id="rId657" ref="E360"/>
    <hyperlink r:id="rId658" ref="H360"/>
    <hyperlink r:id="rId659" ref="E361"/>
    <hyperlink r:id="rId660" ref="H361"/>
    <hyperlink r:id="rId661" ref="E362"/>
    <hyperlink r:id="rId662" ref="H362"/>
    <hyperlink r:id="rId663" ref="E363"/>
    <hyperlink r:id="rId664" ref="E364"/>
    <hyperlink r:id="rId665" ref="E365"/>
    <hyperlink r:id="rId666" ref="H365"/>
    <hyperlink r:id="rId667" ref="E366"/>
    <hyperlink r:id="rId668" ref="H366"/>
    <hyperlink r:id="rId669" ref="E367"/>
    <hyperlink r:id="rId670" ref="H367"/>
    <hyperlink r:id="rId671" ref="E368"/>
    <hyperlink r:id="rId672" ref="H368"/>
    <hyperlink r:id="rId673" ref="E369"/>
    <hyperlink r:id="rId674" ref="H369"/>
    <hyperlink r:id="rId675" ref="E370"/>
    <hyperlink r:id="rId676" ref="H370"/>
    <hyperlink r:id="rId677" ref="E371"/>
    <hyperlink r:id="rId678" ref="H371"/>
    <hyperlink r:id="rId679" ref="E372"/>
    <hyperlink r:id="rId680" ref="H372"/>
    <hyperlink r:id="rId681" ref="E373"/>
    <hyperlink r:id="rId682" ref="H373"/>
    <hyperlink r:id="rId683" ref="E374"/>
    <hyperlink r:id="rId684" ref="H374"/>
    <hyperlink r:id="rId685" ref="E375"/>
    <hyperlink r:id="rId686" ref="H375"/>
    <hyperlink r:id="rId687" ref="E376"/>
    <hyperlink r:id="rId688" ref="E377"/>
    <hyperlink r:id="rId689" ref="H377"/>
    <hyperlink r:id="rId690" ref="E378"/>
    <hyperlink r:id="rId691" ref="H378"/>
    <hyperlink r:id="rId692" ref="E379"/>
    <hyperlink r:id="rId693" ref="E380"/>
    <hyperlink r:id="rId694" ref="H380"/>
    <hyperlink r:id="rId695" ref="E381"/>
    <hyperlink r:id="rId696" ref="H381"/>
    <hyperlink r:id="rId697" ref="E382"/>
    <hyperlink r:id="rId698" ref="E383"/>
    <hyperlink r:id="rId699" ref="E384"/>
    <hyperlink r:id="rId700" ref="E385"/>
    <hyperlink r:id="rId701" ref="H385"/>
    <hyperlink r:id="rId702" ref="E386"/>
    <hyperlink r:id="rId703" ref="H386"/>
    <hyperlink r:id="rId704" ref="E387"/>
    <hyperlink r:id="rId705" ref="H387"/>
    <hyperlink r:id="rId706" ref="E388"/>
    <hyperlink r:id="rId707" ref="H388"/>
    <hyperlink r:id="rId708" ref="E389"/>
    <hyperlink r:id="rId709" ref="E390"/>
    <hyperlink r:id="rId710" ref="H390"/>
    <hyperlink r:id="rId711" ref="E391"/>
    <hyperlink r:id="rId712" ref="H391"/>
    <hyperlink r:id="rId713" ref="E392"/>
    <hyperlink r:id="rId714" ref="H392"/>
    <hyperlink r:id="rId715" ref="E393"/>
    <hyperlink r:id="rId716" ref="H393"/>
    <hyperlink r:id="rId717" ref="E394"/>
    <hyperlink r:id="rId718" ref="E395"/>
    <hyperlink r:id="rId719" ref="H395"/>
    <hyperlink r:id="rId720" ref="E396"/>
    <hyperlink r:id="rId721" ref="H396"/>
    <hyperlink r:id="rId722" ref="E397"/>
    <hyperlink r:id="rId723" ref="H397"/>
    <hyperlink r:id="rId724" ref="E398"/>
    <hyperlink r:id="rId725" ref="H398"/>
    <hyperlink r:id="rId726" ref="E399"/>
    <hyperlink r:id="rId727" ref="H399"/>
    <hyperlink r:id="rId728" ref="E400"/>
    <hyperlink r:id="rId729" ref="H400"/>
    <hyperlink r:id="rId730" ref="E401"/>
    <hyperlink r:id="rId731" ref="H401"/>
    <hyperlink r:id="rId732" ref="E402"/>
    <hyperlink r:id="rId733" ref="H402"/>
    <hyperlink r:id="rId734" ref="E403"/>
    <hyperlink r:id="rId735" ref="H403"/>
    <hyperlink r:id="rId736" ref="E404"/>
    <hyperlink r:id="rId737" ref="H404"/>
    <hyperlink r:id="rId738" ref="E405"/>
    <hyperlink r:id="rId739" ref="H405"/>
    <hyperlink r:id="rId740" ref="E406"/>
    <hyperlink r:id="rId741" ref="H406"/>
    <hyperlink r:id="rId742" ref="E407"/>
    <hyperlink r:id="rId743" ref="E408"/>
    <hyperlink r:id="rId744" ref="H408"/>
    <hyperlink r:id="rId745" ref="E409"/>
    <hyperlink r:id="rId746" ref="H409"/>
    <hyperlink r:id="rId747" ref="E410"/>
    <hyperlink r:id="rId748" ref="H410"/>
    <hyperlink r:id="rId749" ref="E411"/>
    <hyperlink r:id="rId750" ref="E412"/>
    <hyperlink r:id="rId751" ref="H412"/>
    <hyperlink r:id="rId752" ref="E413"/>
    <hyperlink r:id="rId753" ref="H413"/>
    <hyperlink r:id="rId754" ref="E414"/>
    <hyperlink r:id="rId755" ref="H414"/>
    <hyperlink r:id="rId756" ref="E415"/>
    <hyperlink r:id="rId757" ref="H415"/>
    <hyperlink r:id="rId758" ref="E416"/>
    <hyperlink r:id="rId759" ref="H416"/>
    <hyperlink r:id="rId760" ref="E417"/>
    <hyperlink r:id="rId761" ref="H417"/>
    <hyperlink r:id="rId762" ref="E418"/>
    <hyperlink r:id="rId763" ref="H418"/>
    <hyperlink r:id="rId764" ref="E419"/>
    <hyperlink r:id="rId765" ref="H419"/>
    <hyperlink r:id="rId766" ref="E420"/>
    <hyperlink r:id="rId767" ref="H420"/>
    <hyperlink r:id="rId768" ref="E421"/>
    <hyperlink r:id="rId769" ref="E422"/>
    <hyperlink r:id="rId770" ref="H422"/>
    <hyperlink r:id="rId771" ref="E423"/>
    <hyperlink r:id="rId772" ref="H423"/>
    <hyperlink r:id="rId773" ref="E424"/>
    <hyperlink r:id="rId774" ref="H424"/>
    <hyperlink r:id="rId775" ref="E425"/>
    <hyperlink r:id="rId776" ref="H425"/>
    <hyperlink r:id="rId777" ref="E426"/>
    <hyperlink r:id="rId778" ref="H426"/>
    <hyperlink r:id="rId779" ref="E427"/>
    <hyperlink r:id="rId780" ref="H427"/>
    <hyperlink r:id="rId781" ref="E428"/>
    <hyperlink r:id="rId782" ref="H428"/>
    <hyperlink r:id="rId783" ref="E429"/>
    <hyperlink r:id="rId784" ref="H429"/>
    <hyperlink r:id="rId785" ref="E430"/>
    <hyperlink r:id="rId786" ref="H430"/>
    <hyperlink r:id="rId787" ref="E431"/>
    <hyperlink r:id="rId788" ref="H431"/>
    <hyperlink r:id="rId789" ref="E432"/>
    <hyperlink r:id="rId790" ref="E433"/>
    <hyperlink r:id="rId791" ref="H433"/>
    <hyperlink r:id="rId792" ref="E434"/>
    <hyperlink r:id="rId793" ref="H434"/>
    <hyperlink r:id="rId794" ref="E435"/>
    <hyperlink r:id="rId795" ref="E436"/>
    <hyperlink r:id="rId796" ref="H436"/>
    <hyperlink r:id="rId797" ref="E437"/>
    <hyperlink r:id="rId798" ref="E438"/>
    <hyperlink r:id="rId799" ref="H438"/>
    <hyperlink r:id="rId800" ref="E439"/>
    <hyperlink r:id="rId801" ref="H439"/>
    <hyperlink r:id="rId802" ref="E440"/>
    <hyperlink r:id="rId803" ref="E441"/>
    <hyperlink r:id="rId804" ref="H441"/>
    <hyperlink r:id="rId805" ref="E442"/>
    <hyperlink r:id="rId806" ref="H442"/>
    <hyperlink r:id="rId807" ref="E443"/>
    <hyperlink r:id="rId808" ref="H443"/>
    <hyperlink r:id="rId809" ref="E444"/>
    <hyperlink r:id="rId810" ref="H444"/>
    <hyperlink r:id="rId811" ref="E445"/>
    <hyperlink r:id="rId812" ref="H445"/>
    <hyperlink r:id="rId813" ref="E446"/>
    <hyperlink r:id="rId814" ref="H446"/>
    <hyperlink r:id="rId815" ref="E447"/>
    <hyperlink r:id="rId816" ref="E448"/>
    <hyperlink r:id="rId817" ref="H448"/>
    <hyperlink r:id="rId818" ref="E449"/>
    <hyperlink r:id="rId819" ref="H449"/>
    <hyperlink r:id="rId820" ref="E450"/>
    <hyperlink r:id="rId821" ref="H450"/>
    <hyperlink r:id="rId822" ref="E451"/>
    <hyperlink r:id="rId823" ref="H451"/>
    <hyperlink r:id="rId824" ref="E452"/>
    <hyperlink r:id="rId825" ref="E453"/>
    <hyperlink r:id="rId826" ref="H453"/>
    <hyperlink r:id="rId827" ref="E454"/>
    <hyperlink r:id="rId828" ref="E455"/>
    <hyperlink r:id="rId829" ref="H455"/>
    <hyperlink r:id="rId830" ref="E456"/>
    <hyperlink r:id="rId831" ref="H456"/>
    <hyperlink r:id="rId832" ref="E457"/>
    <hyperlink r:id="rId833" ref="H457"/>
    <hyperlink r:id="rId834" ref="E458"/>
    <hyperlink r:id="rId835" ref="E459"/>
    <hyperlink r:id="rId836" ref="H459"/>
    <hyperlink r:id="rId837" ref="E460"/>
    <hyperlink r:id="rId838" ref="H460"/>
    <hyperlink r:id="rId839" ref="E461"/>
    <hyperlink r:id="rId840" ref="H461"/>
    <hyperlink r:id="rId841" ref="E462"/>
    <hyperlink r:id="rId842" ref="H462"/>
    <hyperlink r:id="rId843" ref="E463"/>
    <hyperlink r:id="rId844" ref="H463"/>
    <hyperlink r:id="rId845" ref="E464"/>
    <hyperlink r:id="rId846" ref="E465"/>
    <hyperlink r:id="rId847" ref="E466"/>
    <hyperlink r:id="rId848" ref="H466"/>
    <hyperlink r:id="rId849" ref="E467"/>
    <hyperlink r:id="rId850" ref="E468"/>
    <hyperlink r:id="rId851" ref="E469"/>
    <hyperlink r:id="rId852" ref="H469"/>
    <hyperlink r:id="rId853" ref="E470"/>
    <hyperlink r:id="rId854" ref="H470"/>
    <hyperlink r:id="rId855" ref="E471"/>
    <hyperlink r:id="rId856" ref="H471"/>
    <hyperlink r:id="rId857" ref="E472"/>
    <hyperlink r:id="rId858" ref="E473"/>
    <hyperlink r:id="rId859" ref="H473"/>
    <hyperlink r:id="rId860" ref="E474"/>
    <hyperlink r:id="rId861" ref="H474"/>
    <hyperlink r:id="rId862" ref="E475"/>
    <hyperlink r:id="rId863" ref="H475"/>
    <hyperlink r:id="rId864" ref="E476"/>
    <hyperlink r:id="rId865" ref="E477"/>
    <hyperlink r:id="rId866" ref="H477"/>
    <hyperlink r:id="rId867" ref="E478"/>
    <hyperlink r:id="rId868" ref="H478"/>
    <hyperlink r:id="rId869" ref="E479"/>
    <hyperlink r:id="rId870" ref="E480"/>
    <hyperlink r:id="rId871" ref="H480"/>
    <hyperlink r:id="rId872" ref="E481"/>
    <hyperlink r:id="rId873" ref="E482"/>
    <hyperlink r:id="rId874" ref="H482"/>
    <hyperlink r:id="rId875" ref="E483"/>
    <hyperlink r:id="rId876" ref="H483"/>
    <hyperlink r:id="rId877" ref="E484"/>
    <hyperlink r:id="rId878" ref="H484"/>
    <hyperlink r:id="rId879" ref="E485"/>
    <hyperlink r:id="rId880" ref="H485"/>
    <hyperlink r:id="rId881" ref="E486"/>
    <hyperlink r:id="rId882" ref="H486"/>
    <hyperlink r:id="rId883" ref="E487"/>
    <hyperlink r:id="rId884" ref="H487"/>
    <hyperlink r:id="rId885" ref="E488"/>
    <hyperlink r:id="rId886" ref="H488"/>
    <hyperlink r:id="rId887" ref="E489"/>
    <hyperlink r:id="rId888" ref="H489"/>
    <hyperlink r:id="rId889" ref="E490"/>
    <hyperlink r:id="rId890" ref="H490"/>
    <hyperlink r:id="rId891" ref="E491"/>
    <hyperlink r:id="rId892" ref="H491"/>
    <hyperlink r:id="rId893" ref="E492"/>
    <hyperlink r:id="rId894" ref="H492"/>
    <hyperlink r:id="rId895" ref="E493"/>
    <hyperlink r:id="rId896" ref="H493"/>
    <hyperlink r:id="rId897" ref="E494"/>
    <hyperlink r:id="rId898" ref="H494"/>
    <hyperlink r:id="rId899" ref="E495"/>
    <hyperlink r:id="rId900" ref="H495"/>
    <hyperlink r:id="rId901" ref="E496"/>
    <hyperlink r:id="rId902" ref="H496"/>
    <hyperlink r:id="rId903" ref="E497"/>
    <hyperlink r:id="rId904" ref="H497"/>
    <hyperlink r:id="rId905" ref="E498"/>
    <hyperlink r:id="rId906" ref="H498"/>
    <hyperlink r:id="rId907" ref="E499"/>
    <hyperlink r:id="rId908" ref="H499"/>
    <hyperlink r:id="rId909" ref="E500"/>
    <hyperlink r:id="rId910" ref="H500"/>
    <hyperlink r:id="rId911" ref="E501"/>
    <hyperlink r:id="rId912" ref="E502"/>
    <hyperlink r:id="rId913" ref="E503"/>
    <hyperlink r:id="rId914" ref="E504"/>
    <hyperlink r:id="rId915" ref="E505"/>
    <hyperlink r:id="rId916" ref="E506"/>
    <hyperlink r:id="rId917" ref="H506"/>
    <hyperlink r:id="rId918" ref="E507"/>
    <hyperlink r:id="rId919" ref="H507"/>
    <hyperlink r:id="rId920" ref="E508"/>
    <hyperlink r:id="rId921" ref="H508"/>
    <hyperlink r:id="rId922" ref="E509"/>
    <hyperlink r:id="rId923" ref="H509"/>
    <hyperlink r:id="rId924" ref="E510"/>
    <hyperlink r:id="rId925" ref="H510"/>
    <hyperlink r:id="rId926" ref="E511"/>
    <hyperlink r:id="rId927" ref="H511"/>
    <hyperlink r:id="rId928" ref="E512"/>
    <hyperlink r:id="rId929" ref="H512"/>
    <hyperlink r:id="rId930" ref="E513"/>
    <hyperlink r:id="rId931" ref="E514"/>
    <hyperlink r:id="rId932" ref="H514"/>
    <hyperlink r:id="rId933" ref="E515"/>
    <hyperlink r:id="rId934" ref="H515"/>
    <hyperlink r:id="rId935" ref="E516"/>
    <hyperlink r:id="rId936" ref="H516"/>
    <hyperlink r:id="rId937" ref="E517"/>
    <hyperlink r:id="rId938" ref="E518"/>
    <hyperlink r:id="rId939" ref="H518"/>
    <hyperlink r:id="rId940" ref="E519"/>
    <hyperlink r:id="rId941" ref="H519"/>
    <hyperlink r:id="rId942" ref="E520"/>
    <hyperlink r:id="rId943" ref="H520"/>
    <hyperlink r:id="rId944" ref="E521"/>
    <hyperlink r:id="rId945" ref="E522"/>
    <hyperlink r:id="rId946" ref="H522"/>
    <hyperlink r:id="rId947" ref="E523"/>
    <hyperlink r:id="rId948" ref="E524"/>
    <hyperlink r:id="rId949" ref="E525"/>
    <hyperlink r:id="rId950" ref="H525"/>
    <hyperlink r:id="rId951" ref="E526"/>
    <hyperlink r:id="rId952" ref="H526"/>
    <hyperlink r:id="rId953" ref="E527"/>
    <hyperlink r:id="rId954" ref="H527"/>
    <hyperlink r:id="rId955" ref="E528"/>
    <hyperlink r:id="rId956" ref="H528"/>
    <hyperlink r:id="rId957" ref="E529"/>
    <hyperlink r:id="rId958" ref="H529"/>
    <hyperlink r:id="rId959" ref="E530"/>
    <hyperlink r:id="rId960" ref="H530"/>
    <hyperlink r:id="rId961" ref="E531"/>
    <hyperlink r:id="rId962" ref="H531"/>
    <hyperlink r:id="rId963" ref="E532"/>
    <hyperlink r:id="rId964" ref="H532"/>
    <hyperlink r:id="rId965" ref="E533"/>
    <hyperlink r:id="rId966" ref="H533"/>
    <hyperlink r:id="rId967" ref="E534"/>
    <hyperlink r:id="rId968" ref="H534"/>
    <hyperlink r:id="rId969" ref="E535"/>
    <hyperlink r:id="rId970" ref="H535"/>
    <hyperlink r:id="rId971" ref="E536"/>
    <hyperlink r:id="rId972" ref="H536"/>
    <hyperlink r:id="rId973" ref="E537"/>
    <hyperlink r:id="rId974" ref="H537"/>
    <hyperlink r:id="rId975" ref="E538"/>
    <hyperlink r:id="rId976" ref="H538"/>
    <hyperlink r:id="rId977" ref="E539"/>
    <hyperlink r:id="rId978" ref="H539"/>
    <hyperlink r:id="rId979" ref="E540"/>
    <hyperlink r:id="rId980" ref="H540"/>
    <hyperlink r:id="rId981" ref="E541"/>
    <hyperlink r:id="rId982" ref="H541"/>
    <hyperlink r:id="rId983" ref="E542"/>
    <hyperlink r:id="rId984" ref="H542"/>
    <hyperlink r:id="rId985" ref="E543"/>
    <hyperlink r:id="rId986" ref="E544"/>
    <hyperlink r:id="rId987" ref="E545"/>
    <hyperlink r:id="rId988" ref="H545"/>
    <hyperlink r:id="rId989" ref="E546"/>
    <hyperlink r:id="rId990" ref="E547"/>
    <hyperlink r:id="rId991" ref="E548"/>
    <hyperlink r:id="rId992" ref="H548"/>
    <hyperlink r:id="rId993" ref="E549"/>
    <hyperlink r:id="rId994" ref="H549"/>
    <hyperlink r:id="rId995" ref="E550"/>
    <hyperlink r:id="rId996" ref="H550"/>
    <hyperlink r:id="rId997" ref="E551"/>
    <hyperlink r:id="rId998" ref="H551"/>
    <hyperlink r:id="rId999" ref="E552"/>
    <hyperlink r:id="rId1000" ref="H552"/>
    <hyperlink r:id="rId1001" ref="E553"/>
    <hyperlink r:id="rId1002" ref="H553"/>
    <hyperlink r:id="rId1003" ref="E554"/>
    <hyperlink r:id="rId1004" ref="H554"/>
    <hyperlink r:id="rId1005" ref="E555"/>
    <hyperlink r:id="rId1006" ref="E556"/>
    <hyperlink r:id="rId1007" ref="H556"/>
    <hyperlink r:id="rId1008" ref="E557"/>
    <hyperlink r:id="rId1009" ref="H557"/>
    <hyperlink r:id="rId1010" ref="E558"/>
    <hyperlink r:id="rId1011" ref="H558"/>
    <hyperlink r:id="rId1012" ref="E559"/>
    <hyperlink r:id="rId1013" ref="H559"/>
    <hyperlink r:id="rId1014" ref="E560"/>
    <hyperlink r:id="rId1015" ref="H560"/>
    <hyperlink r:id="rId1016" ref="E561"/>
    <hyperlink r:id="rId1017" ref="H561"/>
    <hyperlink r:id="rId1018" ref="E562"/>
    <hyperlink r:id="rId1019" ref="H562"/>
    <hyperlink r:id="rId1020" ref="E563"/>
    <hyperlink r:id="rId1021" ref="H563"/>
    <hyperlink r:id="rId1022" ref="E564"/>
    <hyperlink r:id="rId1023" ref="H564"/>
    <hyperlink r:id="rId1024" ref="E565"/>
    <hyperlink r:id="rId1025" ref="H565"/>
    <hyperlink r:id="rId1026" ref="E566"/>
    <hyperlink r:id="rId1027" ref="H566"/>
    <hyperlink r:id="rId1028" ref="B567"/>
    <hyperlink r:id="rId1029" ref="E567"/>
    <hyperlink r:id="rId1030" ref="H567"/>
    <hyperlink r:id="rId1031" ref="E568"/>
    <hyperlink r:id="rId1032" ref="H568"/>
    <hyperlink r:id="rId1033" ref="E569"/>
    <hyperlink r:id="rId1034" ref="H569"/>
    <hyperlink r:id="rId1035" ref="E570"/>
    <hyperlink r:id="rId1036" ref="H570"/>
    <hyperlink r:id="rId1037" ref="E571"/>
    <hyperlink r:id="rId1038" ref="H571"/>
    <hyperlink r:id="rId1039" ref="E572"/>
    <hyperlink r:id="rId1040" ref="H572"/>
    <hyperlink r:id="rId1041" ref="E573"/>
    <hyperlink r:id="rId1042" ref="E574"/>
    <hyperlink r:id="rId1043" ref="H574"/>
    <hyperlink r:id="rId1044" ref="E575"/>
    <hyperlink r:id="rId1045" ref="H575"/>
    <hyperlink r:id="rId1046" ref="E576"/>
    <hyperlink r:id="rId1047" ref="H576"/>
    <hyperlink r:id="rId1048" ref="E577"/>
    <hyperlink r:id="rId1049" ref="H577"/>
    <hyperlink r:id="rId1050" ref="E578"/>
    <hyperlink r:id="rId1051" ref="E579"/>
    <hyperlink r:id="rId1052" ref="H579"/>
    <hyperlink r:id="rId1053" ref="E580"/>
    <hyperlink r:id="rId1054" ref="H580"/>
    <hyperlink r:id="rId1055" ref="E581"/>
    <hyperlink r:id="rId1056" ref="H581"/>
    <hyperlink r:id="rId1057" ref="E582"/>
    <hyperlink r:id="rId1058" ref="H582"/>
    <hyperlink r:id="rId1059" ref="E583"/>
    <hyperlink r:id="rId1060" ref="H583"/>
    <hyperlink r:id="rId1061" ref="E584"/>
    <hyperlink r:id="rId1062" ref="H584"/>
    <hyperlink r:id="rId1063" ref="E585"/>
    <hyperlink r:id="rId1064" ref="H585"/>
    <hyperlink r:id="rId1065" ref="E586"/>
    <hyperlink r:id="rId1066" ref="H586"/>
    <hyperlink r:id="rId1067" ref="E587"/>
    <hyperlink r:id="rId1068" ref="H587"/>
    <hyperlink r:id="rId1069" ref="E588"/>
    <hyperlink r:id="rId1070" ref="E589"/>
    <hyperlink r:id="rId1071" ref="H589"/>
    <hyperlink r:id="rId1072" ref="E590"/>
    <hyperlink r:id="rId1073" ref="E591"/>
    <hyperlink r:id="rId1074" ref="E592"/>
    <hyperlink r:id="rId1075" ref="H592"/>
    <hyperlink r:id="rId1076" ref="E593"/>
    <hyperlink r:id="rId1077" ref="H593"/>
    <hyperlink r:id="rId1078" ref="E594"/>
    <hyperlink r:id="rId1079" ref="E595"/>
    <hyperlink r:id="rId1080" ref="E596"/>
    <hyperlink r:id="rId1081" ref="H596"/>
    <hyperlink r:id="rId1082" ref="E597"/>
    <hyperlink r:id="rId1083" ref="H597"/>
    <hyperlink r:id="rId1084" ref="E598"/>
    <hyperlink r:id="rId1085" ref="H598"/>
    <hyperlink r:id="rId1086" ref="E599"/>
    <hyperlink r:id="rId1087" ref="H599"/>
    <hyperlink r:id="rId1088" ref="E600"/>
    <hyperlink r:id="rId1089" ref="H600"/>
    <hyperlink r:id="rId1090" ref="E601"/>
    <hyperlink r:id="rId1091" ref="H601"/>
    <hyperlink r:id="rId1092" ref="E602"/>
    <hyperlink r:id="rId1093" ref="H602"/>
    <hyperlink r:id="rId1094" ref="E603"/>
    <hyperlink r:id="rId1095" ref="H603"/>
    <hyperlink r:id="rId1096" ref="E604"/>
    <hyperlink r:id="rId1097" ref="H604"/>
    <hyperlink r:id="rId1098" ref="E605"/>
    <hyperlink r:id="rId1099" ref="H605"/>
    <hyperlink r:id="rId1100" ref="E606"/>
    <hyperlink r:id="rId1101" ref="H606"/>
    <hyperlink r:id="rId1102" ref="E607"/>
    <hyperlink r:id="rId1103" ref="H607"/>
    <hyperlink r:id="rId1104" ref="E608"/>
    <hyperlink r:id="rId1105" ref="H608"/>
    <hyperlink r:id="rId1106" ref="E609"/>
    <hyperlink r:id="rId1107" ref="H609"/>
    <hyperlink r:id="rId1108" ref="B610"/>
    <hyperlink r:id="rId1109" ref="E610"/>
    <hyperlink r:id="rId1110" ref="H610"/>
    <hyperlink r:id="rId1111" ref="E611"/>
    <hyperlink r:id="rId1112" ref="H611"/>
    <hyperlink r:id="rId1113" ref="E612"/>
    <hyperlink r:id="rId1114" ref="H612"/>
    <hyperlink r:id="rId1115" ref="E613"/>
    <hyperlink r:id="rId1116" ref="H613"/>
    <hyperlink r:id="rId1117" ref="E614"/>
    <hyperlink r:id="rId1118" ref="H614"/>
    <hyperlink r:id="rId1119" ref="E615"/>
    <hyperlink r:id="rId1120" ref="E616"/>
    <hyperlink r:id="rId1121" ref="E617"/>
    <hyperlink r:id="rId1122" ref="H617"/>
    <hyperlink r:id="rId1123" ref="E618"/>
    <hyperlink r:id="rId1124" ref="E619"/>
    <hyperlink r:id="rId1125" ref="H619"/>
    <hyperlink r:id="rId1126" ref="E620"/>
    <hyperlink r:id="rId1127" ref="H620"/>
    <hyperlink r:id="rId1128" ref="E621"/>
    <hyperlink r:id="rId1129" ref="H621"/>
    <hyperlink r:id="rId1130" ref="E622"/>
    <hyperlink r:id="rId1131" ref="H622"/>
    <hyperlink r:id="rId1132" ref="E623"/>
    <hyperlink r:id="rId1133" ref="H623"/>
    <hyperlink r:id="rId1134" ref="E624"/>
    <hyperlink r:id="rId1135" ref="E625"/>
    <hyperlink r:id="rId1136" ref="H625"/>
    <hyperlink r:id="rId1137" ref="E626"/>
    <hyperlink r:id="rId1138" ref="E627"/>
    <hyperlink r:id="rId1139" ref="E628"/>
    <hyperlink r:id="rId1140" ref="H628"/>
    <hyperlink r:id="rId1141" ref="E629"/>
    <hyperlink r:id="rId1142" ref="H629"/>
    <hyperlink r:id="rId1143" ref="E630"/>
    <hyperlink r:id="rId1144" ref="H630"/>
    <hyperlink r:id="rId1145" ref="E631"/>
    <hyperlink r:id="rId1146" ref="H631"/>
    <hyperlink r:id="rId1147" ref="E632"/>
    <hyperlink r:id="rId1148" ref="H632"/>
    <hyperlink r:id="rId1149" ref="E633"/>
    <hyperlink r:id="rId1150" ref="H633"/>
    <hyperlink r:id="rId1151" ref="E634"/>
    <hyperlink r:id="rId1152" ref="E635"/>
    <hyperlink r:id="rId1153" ref="E636"/>
    <hyperlink r:id="rId1154" ref="H636"/>
    <hyperlink r:id="rId1155" ref="E637"/>
    <hyperlink r:id="rId1156" ref="H637"/>
    <hyperlink r:id="rId1157" ref="E638"/>
    <hyperlink r:id="rId1158" ref="H638"/>
    <hyperlink r:id="rId1159" ref="E639"/>
    <hyperlink r:id="rId1160" ref="H639"/>
    <hyperlink r:id="rId1161" ref="E640"/>
    <hyperlink r:id="rId1162" ref="H640"/>
    <hyperlink r:id="rId1163" ref="E641"/>
    <hyperlink r:id="rId1164" ref="E642"/>
    <hyperlink r:id="rId1165" ref="H642"/>
    <hyperlink r:id="rId1166" ref="E643"/>
    <hyperlink r:id="rId1167" ref="H643"/>
    <hyperlink r:id="rId1168" ref="E644"/>
    <hyperlink r:id="rId1169" ref="H644"/>
    <hyperlink r:id="rId1170" ref="E645"/>
    <hyperlink r:id="rId1171" ref="H645"/>
    <hyperlink r:id="rId1172" ref="E646"/>
    <hyperlink r:id="rId1173" ref="H646"/>
    <hyperlink r:id="rId1174" ref="E647"/>
    <hyperlink r:id="rId1175" ref="H647"/>
    <hyperlink r:id="rId1176" ref="E648"/>
    <hyperlink r:id="rId1177" ref="H648"/>
    <hyperlink r:id="rId1178" ref="E649"/>
    <hyperlink r:id="rId1179" ref="H649"/>
    <hyperlink r:id="rId1180" ref="E650"/>
    <hyperlink r:id="rId1181" ref="H650"/>
    <hyperlink r:id="rId1182" ref="E651"/>
    <hyperlink r:id="rId1183" ref="H651"/>
    <hyperlink r:id="rId1184" ref="E652"/>
    <hyperlink r:id="rId1185" ref="E653"/>
    <hyperlink r:id="rId1186" ref="H653"/>
    <hyperlink r:id="rId1187" ref="E654"/>
    <hyperlink r:id="rId1188" ref="H654"/>
    <hyperlink r:id="rId1189" ref="E655"/>
    <hyperlink r:id="rId1190" ref="H655"/>
    <hyperlink r:id="rId1191" ref="E656"/>
    <hyperlink r:id="rId1192" ref="H656"/>
    <hyperlink r:id="rId1193" ref="E657"/>
    <hyperlink r:id="rId1194" ref="H657"/>
    <hyperlink r:id="rId1195" ref="E658"/>
    <hyperlink r:id="rId1196" ref="H658"/>
    <hyperlink r:id="rId1197" ref="E659"/>
    <hyperlink r:id="rId1198" ref="H659"/>
    <hyperlink r:id="rId1199" ref="E660"/>
    <hyperlink r:id="rId1200" ref="E661"/>
    <hyperlink r:id="rId1201" ref="H661"/>
    <hyperlink r:id="rId1202" ref="E662"/>
    <hyperlink r:id="rId1203" ref="H662"/>
    <hyperlink r:id="rId1204" ref="E663"/>
    <hyperlink r:id="rId1205" ref="H663"/>
    <hyperlink r:id="rId1206" ref="E664"/>
    <hyperlink r:id="rId1207" ref="H664"/>
    <hyperlink r:id="rId1208" ref="E665"/>
    <hyperlink r:id="rId1209" ref="H665"/>
    <hyperlink r:id="rId1210" ref="E666"/>
    <hyperlink r:id="rId1211" ref="E667"/>
    <hyperlink r:id="rId1212" ref="E668"/>
    <hyperlink r:id="rId1213" ref="H668"/>
    <hyperlink r:id="rId1214" ref="E669"/>
    <hyperlink r:id="rId1215" ref="H669"/>
    <hyperlink r:id="rId1216" ref="E670"/>
    <hyperlink r:id="rId1217" ref="H670"/>
    <hyperlink r:id="rId1218" ref="E671"/>
    <hyperlink r:id="rId1219" ref="H671"/>
    <hyperlink r:id="rId1220" ref="E672"/>
    <hyperlink r:id="rId1221" ref="H672"/>
    <hyperlink r:id="rId1222" ref="E673"/>
    <hyperlink r:id="rId1223" ref="H673"/>
    <hyperlink r:id="rId1224" ref="E674"/>
    <hyperlink r:id="rId1225" ref="E675"/>
    <hyperlink r:id="rId1226" ref="H675"/>
    <hyperlink r:id="rId1227" ref="E676"/>
    <hyperlink r:id="rId1228" ref="H676"/>
    <hyperlink r:id="rId1229" ref="E677"/>
    <hyperlink r:id="rId1230" ref="E678"/>
    <hyperlink r:id="rId1231" ref="H678"/>
    <hyperlink r:id="rId1232" ref="E679"/>
    <hyperlink r:id="rId1233" ref="H679"/>
    <hyperlink r:id="rId1234" ref="E680"/>
    <hyperlink r:id="rId1235" ref="H680"/>
    <hyperlink r:id="rId1236" ref="E681"/>
    <hyperlink r:id="rId1237" ref="H681"/>
    <hyperlink r:id="rId1238" ref="E682"/>
    <hyperlink r:id="rId1239" ref="H682"/>
    <hyperlink r:id="rId1240" ref="E683"/>
    <hyperlink r:id="rId1241" ref="H683"/>
    <hyperlink r:id="rId1242" ref="E684"/>
    <hyperlink r:id="rId1243" ref="H684"/>
    <hyperlink r:id="rId1244" ref="E685"/>
    <hyperlink r:id="rId1245" ref="H685"/>
    <hyperlink r:id="rId1246" ref="E686"/>
    <hyperlink r:id="rId1247" ref="H686"/>
    <hyperlink r:id="rId1248" ref="E687"/>
    <hyperlink r:id="rId1249" ref="H687"/>
    <hyperlink r:id="rId1250" ref="E688"/>
    <hyperlink r:id="rId1251" ref="H688"/>
    <hyperlink r:id="rId1252" ref="E689"/>
    <hyperlink r:id="rId1253" ref="H689"/>
    <hyperlink r:id="rId1254" ref="E690"/>
    <hyperlink r:id="rId1255" ref="H690"/>
    <hyperlink r:id="rId1256" ref="E691"/>
    <hyperlink r:id="rId1257" ref="H691"/>
    <hyperlink r:id="rId1258" ref="E692"/>
    <hyperlink r:id="rId1259" ref="H692"/>
    <hyperlink r:id="rId1260" ref="E693"/>
    <hyperlink r:id="rId1261" ref="H693"/>
    <hyperlink r:id="rId1262" ref="E694"/>
    <hyperlink r:id="rId1263" ref="H694"/>
    <hyperlink r:id="rId1264" ref="E695"/>
    <hyperlink r:id="rId1265" ref="H695"/>
    <hyperlink r:id="rId1266" ref="E696"/>
    <hyperlink r:id="rId1267" ref="H696"/>
    <hyperlink r:id="rId1268" ref="E697"/>
    <hyperlink r:id="rId1269" ref="H697"/>
    <hyperlink r:id="rId1270" ref="E698"/>
    <hyperlink r:id="rId1271" ref="H698"/>
    <hyperlink r:id="rId1272" ref="E699"/>
    <hyperlink r:id="rId1273" ref="H699"/>
    <hyperlink r:id="rId1274" ref="E700"/>
    <hyperlink r:id="rId1275" ref="H700"/>
    <hyperlink r:id="rId1276" ref="E701"/>
    <hyperlink r:id="rId1277" ref="H701"/>
    <hyperlink r:id="rId1278" ref="E702"/>
    <hyperlink r:id="rId1279" ref="H702"/>
    <hyperlink r:id="rId1280" ref="E703"/>
    <hyperlink r:id="rId1281" ref="H703"/>
    <hyperlink r:id="rId1282" ref="E704"/>
    <hyperlink r:id="rId1283" ref="H704"/>
    <hyperlink r:id="rId1284" ref="E705"/>
    <hyperlink r:id="rId1285" ref="H705"/>
    <hyperlink r:id="rId1286" ref="E706"/>
    <hyperlink r:id="rId1287" ref="H706"/>
    <hyperlink r:id="rId1288" ref="E707"/>
    <hyperlink r:id="rId1289" ref="H707"/>
    <hyperlink r:id="rId1290" ref="E708"/>
    <hyperlink r:id="rId1291" ref="H708"/>
    <hyperlink r:id="rId1292" ref="E709"/>
    <hyperlink r:id="rId1293" ref="H709"/>
    <hyperlink r:id="rId1294" ref="E710"/>
    <hyperlink r:id="rId1295" ref="H710"/>
    <hyperlink r:id="rId1296" ref="E711"/>
    <hyperlink r:id="rId1297" ref="H711"/>
    <hyperlink r:id="rId1298" ref="E712"/>
    <hyperlink r:id="rId1299" ref="E713"/>
    <hyperlink r:id="rId1300" ref="E714"/>
    <hyperlink r:id="rId1301" ref="H714"/>
    <hyperlink r:id="rId1302" ref="E715"/>
    <hyperlink r:id="rId1303" ref="H715"/>
    <hyperlink r:id="rId1304" ref="E716"/>
    <hyperlink r:id="rId1305" ref="H716"/>
    <hyperlink r:id="rId1306" ref="E717"/>
    <hyperlink r:id="rId1307" ref="H717"/>
    <hyperlink r:id="rId1308" ref="E718"/>
    <hyperlink r:id="rId1309" ref="H718"/>
    <hyperlink r:id="rId1310" ref="E719"/>
    <hyperlink r:id="rId1311" ref="H719"/>
    <hyperlink r:id="rId1312" ref="E720"/>
    <hyperlink r:id="rId1313" ref="H720"/>
    <hyperlink r:id="rId1314" ref="E721"/>
    <hyperlink r:id="rId1315" ref="H721"/>
    <hyperlink r:id="rId1316" ref="E722"/>
    <hyperlink r:id="rId1317" ref="H722"/>
    <hyperlink r:id="rId1318" ref="E723"/>
    <hyperlink r:id="rId1319" ref="G723"/>
    <hyperlink r:id="rId1320" ref="H723"/>
    <hyperlink r:id="rId1321" ref="E724"/>
    <hyperlink r:id="rId1322" ref="H724"/>
    <hyperlink r:id="rId1323" ref="E725"/>
    <hyperlink r:id="rId1324" ref="H725"/>
    <hyperlink r:id="rId1325" ref="E726"/>
    <hyperlink r:id="rId1326" ref="H726"/>
    <hyperlink r:id="rId1327" ref="E727"/>
    <hyperlink r:id="rId1328" ref="H727"/>
    <hyperlink r:id="rId1329" ref="E728"/>
    <hyperlink r:id="rId1330" ref="H728"/>
    <hyperlink r:id="rId1331" ref="E729"/>
    <hyperlink r:id="rId1332" ref="H729"/>
    <hyperlink r:id="rId1333" ref="E730"/>
    <hyperlink r:id="rId1334" ref="H730"/>
    <hyperlink r:id="rId1335" ref="E731"/>
    <hyperlink r:id="rId1336" ref="H731"/>
    <hyperlink r:id="rId1337" ref="E732"/>
    <hyperlink r:id="rId1338" ref="H732"/>
    <hyperlink r:id="rId1339" ref="E733"/>
    <hyperlink r:id="rId1340" ref="H733"/>
    <hyperlink r:id="rId1341" ref="E734"/>
    <hyperlink r:id="rId1342" ref="H734"/>
    <hyperlink r:id="rId1343" ref="E735"/>
    <hyperlink r:id="rId1344" ref="H735"/>
    <hyperlink r:id="rId1345" ref="E736"/>
    <hyperlink r:id="rId1346" ref="H736"/>
    <hyperlink r:id="rId1347" ref="E737"/>
    <hyperlink r:id="rId1348" ref="H737"/>
    <hyperlink r:id="rId1349" ref="E738"/>
    <hyperlink r:id="rId1350" ref="H738"/>
    <hyperlink r:id="rId1351" ref="E739"/>
    <hyperlink r:id="rId1352" ref="H739"/>
    <hyperlink r:id="rId1353" ref="E740"/>
    <hyperlink r:id="rId1354" ref="H740"/>
    <hyperlink r:id="rId1355" ref="E741"/>
    <hyperlink r:id="rId1356" ref="H741"/>
    <hyperlink r:id="rId1357" ref="E742"/>
    <hyperlink r:id="rId1358" ref="H742"/>
    <hyperlink r:id="rId1359" ref="E743"/>
    <hyperlink r:id="rId1360" ref="H743"/>
    <hyperlink r:id="rId1361" ref="E744"/>
    <hyperlink r:id="rId1362" ref="H744"/>
    <hyperlink r:id="rId1363" ref="E745"/>
    <hyperlink r:id="rId1364" ref="H745"/>
    <hyperlink r:id="rId1365" ref="E746"/>
    <hyperlink r:id="rId1366" ref="H746"/>
    <hyperlink r:id="rId1367" ref="E747"/>
    <hyperlink r:id="rId1368" ref="H747"/>
    <hyperlink r:id="rId1369" ref="E748"/>
    <hyperlink r:id="rId1370" ref="H748"/>
    <hyperlink r:id="rId1371" ref="E749"/>
    <hyperlink r:id="rId1372" ref="H749"/>
    <hyperlink r:id="rId1373" ref="E750"/>
    <hyperlink r:id="rId1374" ref="H750"/>
    <hyperlink r:id="rId1375" ref="E751"/>
    <hyperlink r:id="rId1376" ref="H751"/>
    <hyperlink r:id="rId1377" ref="E752"/>
    <hyperlink r:id="rId1378" ref="H752"/>
    <hyperlink r:id="rId1379" ref="E753"/>
    <hyperlink r:id="rId1380" ref="H753"/>
    <hyperlink r:id="rId1381" ref="E754"/>
    <hyperlink r:id="rId1382" ref="H754"/>
    <hyperlink r:id="rId1383" ref="E755"/>
    <hyperlink r:id="rId1384" ref="H755"/>
    <hyperlink r:id="rId1385" ref="E756"/>
    <hyperlink r:id="rId1386" ref="H756"/>
    <hyperlink r:id="rId1387" ref="E757"/>
    <hyperlink r:id="rId1388" ref="H757"/>
    <hyperlink r:id="rId1389" ref="E758"/>
    <hyperlink r:id="rId1390" ref="H758"/>
    <hyperlink r:id="rId1391" ref="E759"/>
    <hyperlink r:id="rId1392" ref="H759"/>
    <hyperlink r:id="rId1393" ref="E760"/>
    <hyperlink r:id="rId1394" ref="H760"/>
    <hyperlink r:id="rId1395" ref="E761"/>
    <hyperlink r:id="rId1396" ref="H761"/>
    <hyperlink r:id="rId1397" ref="E762"/>
    <hyperlink r:id="rId1398" ref="H762"/>
    <hyperlink r:id="rId1399" ref="E763"/>
    <hyperlink r:id="rId1400" ref="H763"/>
    <hyperlink r:id="rId1401" ref="E764"/>
    <hyperlink r:id="rId1402" ref="H764"/>
    <hyperlink r:id="rId1403" ref="E765"/>
    <hyperlink r:id="rId1404" ref="E766"/>
    <hyperlink r:id="rId1405" ref="E767"/>
    <hyperlink r:id="rId1406" ref="H767"/>
    <hyperlink r:id="rId1407" ref="E768"/>
    <hyperlink r:id="rId1408" ref="H768"/>
    <hyperlink r:id="rId1409" ref="E769"/>
    <hyperlink r:id="rId1410" ref="H769"/>
    <hyperlink r:id="rId1411" ref="E770"/>
    <hyperlink r:id="rId1412" ref="H770"/>
    <hyperlink r:id="rId1413" ref="E771"/>
    <hyperlink r:id="rId1414" ref="E772"/>
    <hyperlink r:id="rId1415" ref="E773"/>
    <hyperlink r:id="rId1416" ref="H773"/>
    <hyperlink r:id="rId1417" ref="E774"/>
    <hyperlink r:id="rId1418" ref="H774"/>
    <hyperlink r:id="rId1419" ref="E775"/>
    <hyperlink r:id="rId1420" ref="H775"/>
    <hyperlink r:id="rId1421" ref="E776"/>
    <hyperlink r:id="rId1422" ref="H776"/>
    <hyperlink r:id="rId1423" ref="E777"/>
    <hyperlink r:id="rId1424" ref="E778"/>
    <hyperlink r:id="rId1425" ref="H778"/>
    <hyperlink r:id="rId1426" ref="E779"/>
    <hyperlink r:id="rId1427" ref="H779"/>
    <hyperlink r:id="rId1428" ref="E780"/>
    <hyperlink r:id="rId1429" ref="E781"/>
    <hyperlink r:id="rId1430" ref="H781"/>
    <hyperlink r:id="rId1431" ref="E782"/>
    <hyperlink r:id="rId1432" ref="H782"/>
    <hyperlink r:id="rId1433" ref="E783"/>
    <hyperlink r:id="rId1434" ref="H783"/>
    <hyperlink r:id="rId1435" ref="E784"/>
    <hyperlink r:id="rId1436" ref="E785"/>
    <hyperlink r:id="rId1437" ref="H785"/>
    <hyperlink r:id="rId1438" ref="E786"/>
    <hyperlink r:id="rId1439" ref="H786"/>
    <hyperlink r:id="rId1440" ref="E787"/>
    <hyperlink r:id="rId1441" ref="E788"/>
    <hyperlink r:id="rId1442" ref="H788"/>
    <hyperlink r:id="rId1443" ref="E789"/>
    <hyperlink r:id="rId1444" ref="E790"/>
    <hyperlink r:id="rId1445" ref="H790"/>
    <hyperlink r:id="rId1446" ref="E791"/>
    <hyperlink r:id="rId1447" ref="H791"/>
    <hyperlink r:id="rId1448" ref="E792"/>
    <hyperlink r:id="rId1449" ref="H792"/>
    <hyperlink r:id="rId1450" ref="E793"/>
    <hyperlink r:id="rId1451" ref="E794"/>
    <hyperlink r:id="rId1452" ref="H794"/>
    <hyperlink r:id="rId1453" ref="E795"/>
    <hyperlink r:id="rId1454" ref="H795"/>
    <hyperlink r:id="rId1455" ref="E796"/>
    <hyperlink r:id="rId1456" ref="E797"/>
    <hyperlink r:id="rId1457" ref="H797"/>
    <hyperlink r:id="rId1458" ref="E798"/>
    <hyperlink r:id="rId1459" ref="H798"/>
    <hyperlink r:id="rId1460" ref="E799"/>
    <hyperlink r:id="rId1461" ref="H799"/>
    <hyperlink r:id="rId1462" ref="E800"/>
    <hyperlink r:id="rId1463" ref="E801"/>
    <hyperlink r:id="rId1464" ref="H801"/>
    <hyperlink r:id="rId1465" ref="E802"/>
    <hyperlink r:id="rId1466" ref="H802"/>
    <hyperlink r:id="rId1467" ref="E803"/>
    <hyperlink r:id="rId1468" ref="H803"/>
    <hyperlink r:id="rId1469" ref="E804"/>
    <hyperlink r:id="rId1470" ref="E805"/>
    <hyperlink r:id="rId1471" ref="H805"/>
    <hyperlink r:id="rId1472" ref="E806"/>
    <hyperlink r:id="rId1473" ref="H806"/>
    <hyperlink r:id="rId1474" ref="E807"/>
    <hyperlink r:id="rId1475" ref="H807"/>
    <hyperlink r:id="rId1476" ref="E808"/>
    <hyperlink r:id="rId1477" ref="H808"/>
    <hyperlink r:id="rId1478" ref="E809"/>
    <hyperlink r:id="rId1479" ref="H809"/>
    <hyperlink r:id="rId1480" ref="E810"/>
    <hyperlink r:id="rId1481" ref="H810"/>
    <hyperlink r:id="rId1482" ref="E811"/>
    <hyperlink r:id="rId1483" ref="H811"/>
    <hyperlink r:id="rId1484" ref="E812"/>
    <hyperlink r:id="rId1485" ref="H812"/>
    <hyperlink r:id="rId1486" ref="E813"/>
    <hyperlink r:id="rId1487" ref="H813"/>
    <hyperlink r:id="rId1488" ref="E814"/>
    <hyperlink r:id="rId1489" ref="E815"/>
    <hyperlink r:id="rId1490" ref="H815"/>
    <hyperlink r:id="rId1491" ref="E816"/>
    <hyperlink r:id="rId1492" ref="H816"/>
    <hyperlink r:id="rId1493" ref="E817"/>
    <hyperlink r:id="rId1494" ref="H817"/>
    <hyperlink r:id="rId1495" ref="E818"/>
    <hyperlink r:id="rId1496" ref="H818"/>
    <hyperlink r:id="rId1497" ref="E819"/>
    <hyperlink r:id="rId1498" ref="H819"/>
    <hyperlink r:id="rId1499" ref="E820"/>
    <hyperlink r:id="rId1500" ref="H820"/>
    <hyperlink r:id="rId1501" ref="E821"/>
    <hyperlink r:id="rId1502" ref="H821"/>
    <hyperlink r:id="rId1503" ref="E822"/>
    <hyperlink r:id="rId1504" ref="H822"/>
    <hyperlink r:id="rId1505" ref="E823"/>
    <hyperlink r:id="rId1506" ref="H823"/>
    <hyperlink r:id="rId1507" ref="E824"/>
    <hyperlink r:id="rId1508" ref="H824"/>
    <hyperlink r:id="rId1509" ref="E825"/>
    <hyperlink r:id="rId1510" ref="E826"/>
    <hyperlink r:id="rId1511" ref="H826"/>
    <hyperlink r:id="rId1512" ref="E827"/>
    <hyperlink r:id="rId1513" ref="H827"/>
    <hyperlink r:id="rId1514" ref="E828"/>
    <hyperlink r:id="rId1515" ref="H828"/>
    <hyperlink r:id="rId1516" ref="E829"/>
    <hyperlink r:id="rId1517" ref="H829"/>
    <hyperlink r:id="rId1518" ref="E830"/>
    <hyperlink r:id="rId1519" ref="H830"/>
    <hyperlink r:id="rId1520" ref="E831"/>
    <hyperlink r:id="rId1521" ref="H831"/>
    <hyperlink r:id="rId1522" ref="B832"/>
    <hyperlink r:id="rId1523" ref="E832"/>
    <hyperlink r:id="rId1524" ref="E833"/>
    <hyperlink r:id="rId1525" ref="H833"/>
    <hyperlink r:id="rId1526" ref="E834"/>
    <hyperlink r:id="rId1527" ref="H834"/>
    <hyperlink r:id="rId1528" ref="E835"/>
    <hyperlink r:id="rId1529" ref="E836"/>
    <hyperlink r:id="rId1530" ref="H836"/>
    <hyperlink r:id="rId1531" ref="E837"/>
    <hyperlink r:id="rId1532" ref="E838"/>
    <hyperlink r:id="rId1533" ref="H838"/>
    <hyperlink r:id="rId1534" ref="E839"/>
    <hyperlink r:id="rId1535" ref="E840"/>
    <hyperlink r:id="rId1536" ref="H840"/>
    <hyperlink r:id="rId1537" ref="E841"/>
    <hyperlink r:id="rId1538" ref="H841"/>
    <hyperlink r:id="rId1539" ref="E842"/>
    <hyperlink r:id="rId1540" ref="H842"/>
    <hyperlink r:id="rId1541" ref="E843"/>
    <hyperlink r:id="rId1542" ref="H843"/>
    <hyperlink r:id="rId1543" ref="E844"/>
    <hyperlink r:id="rId1544" ref="E845"/>
    <hyperlink r:id="rId1545" ref="H845"/>
    <hyperlink r:id="rId1546" ref="E846"/>
    <hyperlink r:id="rId1547" ref="H846"/>
    <hyperlink r:id="rId1548" ref="E847"/>
    <hyperlink r:id="rId1549" ref="E848"/>
    <hyperlink r:id="rId1550" ref="E849"/>
    <hyperlink r:id="rId1551" ref="H849"/>
    <hyperlink r:id="rId1552" ref="E850"/>
    <hyperlink r:id="rId1553" ref="H850"/>
    <hyperlink r:id="rId1554" ref="E851"/>
    <hyperlink r:id="rId1555" ref="H851"/>
    <hyperlink r:id="rId1556" ref="E852"/>
    <hyperlink r:id="rId1557" ref="E853"/>
    <hyperlink r:id="rId1558" ref="E854"/>
    <hyperlink r:id="rId1559" ref="H854"/>
    <hyperlink r:id="rId1560" ref="E855"/>
    <hyperlink r:id="rId1561" ref="E856"/>
    <hyperlink r:id="rId1562" ref="H856"/>
    <hyperlink r:id="rId1563" ref="E857"/>
    <hyperlink r:id="rId1564" ref="H857"/>
    <hyperlink r:id="rId1565" ref="E858"/>
    <hyperlink r:id="rId1566" ref="H858"/>
    <hyperlink r:id="rId1567" ref="E859"/>
    <hyperlink r:id="rId1568" ref="E860"/>
    <hyperlink r:id="rId1569" ref="H860"/>
    <hyperlink r:id="rId1570" ref="E861"/>
    <hyperlink r:id="rId1571" ref="H861"/>
    <hyperlink r:id="rId1572" ref="E862"/>
    <hyperlink r:id="rId1573" ref="H862"/>
    <hyperlink r:id="rId1574" ref="E863"/>
    <hyperlink r:id="rId1575" ref="E864"/>
    <hyperlink r:id="rId1576" ref="E865"/>
    <hyperlink r:id="rId1577" ref="H865"/>
    <hyperlink r:id="rId1578" ref="E866"/>
    <hyperlink r:id="rId1579" ref="H866"/>
    <hyperlink r:id="rId1580" ref="E867"/>
    <hyperlink r:id="rId1581" ref="E868"/>
    <hyperlink r:id="rId1582" ref="H868"/>
    <hyperlink r:id="rId1583" ref="E869"/>
    <hyperlink r:id="rId1584" ref="H869"/>
    <hyperlink r:id="rId1585" ref="E870"/>
    <hyperlink r:id="rId1586" ref="H870"/>
    <hyperlink r:id="rId1587" ref="E871"/>
    <hyperlink r:id="rId1588" ref="E872"/>
    <hyperlink r:id="rId1589" ref="H872"/>
    <hyperlink r:id="rId1590" ref="E873"/>
    <hyperlink r:id="rId1591" ref="H873"/>
    <hyperlink r:id="rId1592" ref="E874"/>
    <hyperlink r:id="rId1593" ref="H874"/>
    <hyperlink r:id="rId1594" ref="E875"/>
    <hyperlink r:id="rId1595" ref="H875"/>
    <hyperlink r:id="rId1596" ref="E876"/>
    <hyperlink r:id="rId1597" ref="E877"/>
    <hyperlink r:id="rId1598" ref="H877"/>
    <hyperlink r:id="rId1599" ref="E878"/>
    <hyperlink r:id="rId1600" ref="H878"/>
    <hyperlink r:id="rId1601" ref="E879"/>
    <hyperlink r:id="rId1602" ref="H879"/>
    <hyperlink r:id="rId1603" ref="E880"/>
    <hyperlink r:id="rId1604" ref="H880"/>
    <hyperlink r:id="rId1605" ref="E881"/>
    <hyperlink r:id="rId1606" ref="E882"/>
    <hyperlink r:id="rId1607" ref="H882"/>
    <hyperlink r:id="rId1608" ref="E883"/>
    <hyperlink r:id="rId1609" ref="E884"/>
    <hyperlink r:id="rId1610" ref="H884"/>
    <hyperlink r:id="rId1611" ref="E885"/>
    <hyperlink r:id="rId1612" ref="H885"/>
    <hyperlink r:id="rId1613" ref="E886"/>
    <hyperlink r:id="rId1614" ref="H886"/>
    <hyperlink r:id="rId1615" ref="E887"/>
    <hyperlink r:id="rId1616" ref="E888"/>
    <hyperlink r:id="rId1617" ref="E889"/>
    <hyperlink r:id="rId1618" ref="H889"/>
    <hyperlink r:id="rId1619" ref="E890"/>
    <hyperlink r:id="rId1620" ref="E891"/>
    <hyperlink r:id="rId1621" ref="H891"/>
    <hyperlink r:id="rId1622" ref="E892"/>
    <hyperlink r:id="rId1623" ref="E893"/>
    <hyperlink r:id="rId1624" ref="H893"/>
    <hyperlink r:id="rId1625" ref="E894"/>
    <hyperlink r:id="rId1626" ref="E895"/>
    <hyperlink r:id="rId1627" ref="E896"/>
    <hyperlink r:id="rId1628" ref="E897"/>
    <hyperlink r:id="rId1629" ref="H897"/>
    <hyperlink r:id="rId1630" ref="E898"/>
    <hyperlink r:id="rId1631" ref="E899"/>
    <hyperlink r:id="rId1632" ref="H899"/>
    <hyperlink r:id="rId1633" ref="E900"/>
    <hyperlink r:id="rId1634" ref="E901"/>
    <hyperlink r:id="rId1635" ref="E902"/>
    <hyperlink r:id="rId1636" ref="H902"/>
    <hyperlink r:id="rId1637" ref="E903"/>
    <hyperlink r:id="rId1638" ref="E904"/>
    <hyperlink r:id="rId1639" ref="H904"/>
    <hyperlink r:id="rId1640" ref="E905"/>
    <hyperlink r:id="rId1641" ref="H905"/>
    <hyperlink r:id="rId1642" ref="E906"/>
    <hyperlink r:id="rId1643" ref="H906"/>
    <hyperlink r:id="rId1644" ref="E907"/>
    <hyperlink r:id="rId1645" ref="H907"/>
    <hyperlink r:id="rId1646" ref="E908"/>
    <hyperlink r:id="rId1647" ref="H908"/>
    <hyperlink r:id="rId1648" ref="E909"/>
    <hyperlink r:id="rId1649" ref="E910"/>
    <hyperlink r:id="rId1650" ref="E911"/>
    <hyperlink r:id="rId1651" ref="H911"/>
    <hyperlink r:id="rId1652" ref="E912"/>
    <hyperlink r:id="rId1653" ref="H912"/>
    <hyperlink r:id="rId1654" ref="E913"/>
    <hyperlink r:id="rId1655" ref="H913"/>
    <hyperlink r:id="rId1656" ref="E914"/>
    <hyperlink r:id="rId1657" ref="H914"/>
    <hyperlink r:id="rId1658" ref="E915"/>
    <hyperlink r:id="rId1659" ref="H915"/>
    <hyperlink r:id="rId1660" ref="E916"/>
    <hyperlink r:id="rId1661" ref="E917"/>
    <hyperlink r:id="rId1662" ref="H917"/>
    <hyperlink r:id="rId1663" ref="E918"/>
    <hyperlink r:id="rId1664" ref="H918"/>
    <hyperlink r:id="rId1665" ref="E919"/>
    <hyperlink r:id="rId1666" ref="H919"/>
    <hyperlink r:id="rId1667" ref="E920"/>
    <hyperlink r:id="rId1668" ref="H920"/>
    <hyperlink r:id="rId1669" ref="E921"/>
    <hyperlink r:id="rId1670" ref="H921"/>
    <hyperlink r:id="rId1671" ref="E922"/>
    <hyperlink r:id="rId1672" ref="H922"/>
    <hyperlink r:id="rId1673" ref="E923"/>
    <hyperlink r:id="rId1674" ref="H923"/>
    <hyperlink r:id="rId1675" ref="E924"/>
    <hyperlink r:id="rId1676" ref="H924"/>
    <hyperlink r:id="rId1677" ref="E925"/>
    <hyperlink r:id="rId1678" ref="H925"/>
    <hyperlink r:id="rId1679" ref="E926"/>
    <hyperlink r:id="rId1680" ref="E927"/>
    <hyperlink r:id="rId1681" ref="H927"/>
    <hyperlink r:id="rId1682" ref="E928"/>
    <hyperlink r:id="rId1683" ref="H928"/>
    <hyperlink r:id="rId1684" ref="E929"/>
    <hyperlink r:id="rId1685" ref="H929"/>
    <hyperlink r:id="rId1686" ref="E930"/>
    <hyperlink r:id="rId1687" ref="H930"/>
    <hyperlink r:id="rId1688" ref="E931"/>
    <hyperlink r:id="rId1689" ref="E932"/>
    <hyperlink r:id="rId1690" ref="H932"/>
    <hyperlink r:id="rId1691" ref="E933"/>
    <hyperlink r:id="rId1692" ref="H933"/>
    <hyperlink r:id="rId1693" ref="E934"/>
    <hyperlink r:id="rId1694" ref="H934"/>
    <hyperlink r:id="rId1695" ref="E935"/>
    <hyperlink r:id="rId1696" ref="H935"/>
    <hyperlink r:id="rId1697" ref="E936"/>
    <hyperlink r:id="rId1698" ref="E937"/>
    <hyperlink r:id="rId1699" ref="H937"/>
    <hyperlink r:id="rId1700" ref="E938"/>
    <hyperlink r:id="rId1701" ref="H938"/>
    <hyperlink r:id="rId1702" ref="E939"/>
    <hyperlink r:id="rId1703" ref="H939"/>
    <hyperlink r:id="rId1704" ref="E940"/>
    <hyperlink r:id="rId1705" ref="H940"/>
    <hyperlink r:id="rId1706" ref="E941"/>
    <hyperlink r:id="rId1707" ref="E942"/>
    <hyperlink r:id="rId1708" ref="H942"/>
    <hyperlink r:id="rId1709" ref="E943"/>
    <hyperlink r:id="rId1710" ref="E944"/>
    <hyperlink r:id="rId1711" ref="H944"/>
    <hyperlink r:id="rId1712" ref="E945"/>
    <hyperlink r:id="rId1713" ref="H945"/>
    <hyperlink r:id="rId1714" ref="E946"/>
    <hyperlink r:id="rId1715" ref="E947"/>
    <hyperlink r:id="rId1716" ref="H947"/>
    <hyperlink r:id="rId1717" ref="E948"/>
    <hyperlink r:id="rId1718" ref="H948"/>
    <hyperlink r:id="rId1719" ref="E949"/>
    <hyperlink r:id="rId1720" ref="E950"/>
    <hyperlink r:id="rId1721" ref="E951"/>
    <hyperlink r:id="rId1722" ref="E952"/>
    <hyperlink r:id="rId1723" ref="E953"/>
    <hyperlink r:id="rId1724" ref="E954"/>
    <hyperlink r:id="rId1725" ref="E955"/>
    <hyperlink r:id="rId1726" ref="H955"/>
    <hyperlink r:id="rId1727" ref="E956"/>
    <hyperlink r:id="rId1728" ref="E957"/>
    <hyperlink r:id="rId1729" ref="E958"/>
    <hyperlink r:id="rId1730" ref="E959"/>
    <hyperlink r:id="rId1731" ref="H959"/>
    <hyperlink r:id="rId1732" ref="E960"/>
    <hyperlink r:id="rId1733" ref="E961"/>
    <hyperlink r:id="rId1734" ref="H961"/>
    <hyperlink r:id="rId1735" ref="E962"/>
    <hyperlink r:id="rId1736" ref="H962"/>
    <hyperlink r:id="rId1737" ref="E963"/>
    <hyperlink r:id="rId1738" ref="E964"/>
    <hyperlink r:id="rId1739" ref="E965"/>
    <hyperlink r:id="rId1740" ref="E966"/>
    <hyperlink r:id="rId1741" ref="E967"/>
    <hyperlink r:id="rId1742" ref="E968"/>
    <hyperlink r:id="rId1743" ref="H968"/>
    <hyperlink r:id="rId1744" ref="E969"/>
    <hyperlink r:id="rId1745" ref="E970"/>
    <hyperlink r:id="rId1746" ref="H970"/>
    <hyperlink r:id="rId1747" ref="E971"/>
    <hyperlink r:id="rId1748" ref="E972"/>
    <hyperlink r:id="rId1749" ref="E973"/>
    <hyperlink r:id="rId1750" ref="H973"/>
    <hyperlink r:id="rId1751" ref="E974"/>
    <hyperlink r:id="rId1752" ref="H974"/>
    <hyperlink r:id="rId1753" ref="E975"/>
    <hyperlink r:id="rId1754" ref="E976"/>
    <hyperlink r:id="rId1755" ref="H976"/>
    <hyperlink r:id="rId1756" ref="E977"/>
    <hyperlink r:id="rId1757" ref="H977"/>
    <hyperlink r:id="rId1758" ref="E978"/>
    <hyperlink r:id="rId1759" ref="H978"/>
    <hyperlink r:id="rId1760" ref="E979"/>
    <hyperlink r:id="rId1761" ref="H979"/>
    <hyperlink r:id="rId1762" ref="E980"/>
    <hyperlink r:id="rId1763" ref="E981"/>
    <hyperlink r:id="rId1764" ref="E982"/>
    <hyperlink r:id="rId1765" ref="E983"/>
    <hyperlink r:id="rId1766" ref="B984"/>
    <hyperlink r:id="rId1767" ref="E984"/>
    <hyperlink r:id="rId1768" ref="E985"/>
    <hyperlink r:id="rId1769" ref="H985"/>
    <hyperlink r:id="rId1770" ref="E986"/>
    <hyperlink r:id="rId1771" ref="H986"/>
    <hyperlink r:id="rId1772" ref="E987"/>
    <hyperlink r:id="rId1773" ref="H987"/>
    <hyperlink r:id="rId1774" ref="E988"/>
    <hyperlink r:id="rId1775" ref="H988"/>
    <hyperlink r:id="rId1776" ref="E989"/>
    <hyperlink r:id="rId1777" ref="H989"/>
    <hyperlink r:id="rId1778" ref="E990"/>
    <hyperlink r:id="rId1779" ref="H990"/>
    <hyperlink r:id="rId1780" ref="E991"/>
    <hyperlink r:id="rId1781" ref="H991"/>
    <hyperlink r:id="rId1782" ref="E992"/>
    <hyperlink r:id="rId1783" ref="H992"/>
    <hyperlink r:id="rId1784" ref="E993"/>
    <hyperlink r:id="rId1785" ref="H993"/>
    <hyperlink r:id="rId1786" ref="E994"/>
    <hyperlink r:id="rId1787" ref="E995"/>
    <hyperlink r:id="rId1788" ref="H995"/>
    <hyperlink r:id="rId1789" ref="E996"/>
    <hyperlink r:id="rId1790" ref="E997"/>
    <hyperlink r:id="rId1791" ref="H997"/>
    <hyperlink r:id="rId1792" ref="E998"/>
    <hyperlink r:id="rId1793" ref="H998"/>
    <hyperlink r:id="rId1794" ref="E999"/>
    <hyperlink r:id="rId1795" ref="H999"/>
    <hyperlink r:id="rId1796" ref="E1000"/>
    <hyperlink r:id="rId1797" ref="H1000"/>
    <hyperlink r:id="rId1798" ref="E1001"/>
    <hyperlink r:id="rId1799" ref="H1001"/>
    <hyperlink r:id="rId1800" ref="E1002"/>
    <hyperlink r:id="rId1801" ref="H1002"/>
    <hyperlink r:id="rId1802" ref="E1003"/>
    <hyperlink r:id="rId1803" ref="H1003"/>
    <hyperlink r:id="rId1804" ref="E1004"/>
    <hyperlink r:id="rId1805" ref="H1004"/>
    <hyperlink r:id="rId1806" ref="E1005"/>
    <hyperlink r:id="rId1807" ref="H1005"/>
    <hyperlink r:id="rId1808" ref="E1006"/>
    <hyperlink r:id="rId1809" ref="H1006"/>
    <hyperlink r:id="rId1810" ref="E1007"/>
    <hyperlink r:id="rId1811" ref="H1007"/>
    <hyperlink r:id="rId1812" ref="E1008"/>
    <hyperlink r:id="rId1813" ref="H1008"/>
    <hyperlink r:id="rId1814" ref="E1009"/>
    <hyperlink r:id="rId1815" ref="H1009"/>
    <hyperlink r:id="rId1816" ref="E1010"/>
    <hyperlink r:id="rId1817" ref="H1010"/>
    <hyperlink r:id="rId1818" ref="E1011"/>
    <hyperlink r:id="rId1819" ref="H1011"/>
    <hyperlink r:id="rId1820" ref="E1012"/>
    <hyperlink r:id="rId1821" ref="H1012"/>
    <hyperlink r:id="rId1822" ref="E1013"/>
    <hyperlink r:id="rId1823" ref="H1013"/>
    <hyperlink r:id="rId1824" ref="E1014"/>
    <hyperlink r:id="rId1825" ref="E1015"/>
    <hyperlink r:id="rId1826" ref="H1015"/>
    <hyperlink r:id="rId1827" ref="E1016"/>
    <hyperlink r:id="rId1828" ref="H1016"/>
    <hyperlink r:id="rId1829" ref="E1017"/>
    <hyperlink r:id="rId1830" ref="H1017"/>
    <hyperlink r:id="rId1831" ref="E1018"/>
    <hyperlink r:id="rId1832" ref="H1018"/>
    <hyperlink r:id="rId1833" ref="E1019"/>
    <hyperlink r:id="rId1834" ref="H1019"/>
    <hyperlink r:id="rId1835" ref="E1020"/>
    <hyperlink r:id="rId1836" ref="H1020"/>
    <hyperlink r:id="rId1837" ref="E1021"/>
    <hyperlink r:id="rId1838" ref="H1021"/>
    <hyperlink r:id="rId1839" ref="E1022"/>
    <hyperlink r:id="rId1840" ref="E1023"/>
    <hyperlink r:id="rId1841" ref="H1023"/>
    <hyperlink r:id="rId1842" ref="E1024"/>
    <hyperlink r:id="rId1843" ref="H1024"/>
    <hyperlink r:id="rId1844" ref="E1025"/>
    <hyperlink r:id="rId1845" ref="H1025"/>
    <hyperlink r:id="rId1846" ref="E1026"/>
    <hyperlink r:id="rId1847" ref="H1026"/>
    <hyperlink r:id="rId1848" ref="E1027"/>
    <hyperlink r:id="rId1849" ref="H1027"/>
    <hyperlink r:id="rId1850" ref="E1028"/>
    <hyperlink r:id="rId1851" ref="H1028"/>
    <hyperlink r:id="rId1852" ref="E1029"/>
    <hyperlink r:id="rId1853" ref="H1029"/>
    <hyperlink r:id="rId1854" ref="E1030"/>
    <hyperlink r:id="rId1855" ref="H1030"/>
    <hyperlink r:id="rId1856" ref="E1031"/>
    <hyperlink r:id="rId1857" ref="H1031"/>
    <hyperlink r:id="rId1858" ref="E1032"/>
    <hyperlink r:id="rId1859" ref="H1032"/>
    <hyperlink r:id="rId1860" ref="E1033"/>
    <hyperlink r:id="rId1861" ref="H1033"/>
    <hyperlink r:id="rId1862" ref="E1034"/>
    <hyperlink r:id="rId1863" ref="H1034"/>
    <hyperlink r:id="rId1864" ref="E1035"/>
    <hyperlink r:id="rId1865" ref="H1035"/>
    <hyperlink r:id="rId1866" ref="E1036"/>
    <hyperlink r:id="rId1867" ref="H1036"/>
    <hyperlink r:id="rId1868" ref="E1037"/>
    <hyperlink r:id="rId1869" ref="H1037"/>
    <hyperlink r:id="rId1870" ref="E1038"/>
  </hyperlinks>
  <drawing r:id="rId187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2" max="2" width="16.75"/>
    <col customWidth="1" min="3" max="3" width="23.25"/>
    <col customWidth="1" min="4" max="4" width="6.88"/>
    <col customWidth="1" min="5" max="5" width="25.25"/>
    <col customWidth="1" min="6" max="6" width="5.63"/>
    <col customWidth="1" min="8" max="8" width="21.63"/>
    <col customWidth="1" min="11" max="11" width="50.63"/>
    <col customWidth="1" min="12" max="12" width="153.25"/>
    <col customWidth="1" min="13" max="13" width="42314.13"/>
  </cols>
  <sheetData>
    <row r="1">
      <c r="A1" s="1" t="s">
        <v>0</v>
      </c>
      <c r="B1" s="1" t="s">
        <v>1</v>
      </c>
      <c r="C1" s="1" t="s">
        <v>2</v>
      </c>
      <c r="D1" s="1" t="s">
        <v>3</v>
      </c>
      <c r="E1" s="1" t="s">
        <v>4</v>
      </c>
      <c r="F1" s="1" t="s">
        <v>5</v>
      </c>
      <c r="G1" s="1" t="s">
        <v>6</v>
      </c>
      <c r="H1" s="1" t="s">
        <v>7</v>
      </c>
      <c r="I1" s="2" t="s">
        <v>8</v>
      </c>
      <c r="J1" s="1" t="s">
        <v>9</v>
      </c>
      <c r="K1" s="3" t="s">
        <v>10</v>
      </c>
      <c r="L1" s="1" t="s">
        <v>11</v>
      </c>
      <c r="M1" s="1" t="s">
        <v>12</v>
      </c>
    </row>
    <row r="2">
      <c r="A2" s="1" t="s">
        <v>13</v>
      </c>
      <c r="B2" s="1" t="s">
        <v>14</v>
      </c>
      <c r="D2" s="1">
        <v>1.0</v>
      </c>
      <c r="E2" s="4" t="s">
        <v>15</v>
      </c>
      <c r="F2" s="1" t="s">
        <v>16</v>
      </c>
      <c r="I2" s="2">
        <v>0.0</v>
      </c>
      <c r="J2" s="5" t="str">
        <f>IFERROR(__xludf.DUMMYFUNCTION("GOOGLETRANSLATE(A2)"),"atomic heart")</f>
        <v>atomic heart</v>
      </c>
      <c r="K2" s="6" t="str">
        <f>IFERROR(__xludf.DUMMYFUNCTION("GOOGLETRANSLATE(B2)"),"Atomic Heart – Atomic Heart")</f>
        <v>Atomic Heart – Atomic Heart</v>
      </c>
      <c r="M2" s="5" t="str">
        <f>IFERROR(__xludf.DUMMYFUNCTION("GOOGLETRANSLATE(G2)"),"#VALUE!")</f>
        <v>#VALUE!</v>
      </c>
    </row>
    <row r="3">
      <c r="A3" s="1" t="s">
        <v>13</v>
      </c>
      <c r="B3" s="1" t="s">
        <v>17</v>
      </c>
      <c r="D3" s="1">
        <v>2.0</v>
      </c>
      <c r="E3" s="4" t="s">
        <v>18</v>
      </c>
      <c r="F3" s="1" t="s">
        <v>16</v>
      </c>
      <c r="G3" s="1" t="s">
        <v>19</v>
      </c>
      <c r="H3" s="4" t="s">
        <v>20</v>
      </c>
      <c r="I3" s="2">
        <v>1.0</v>
      </c>
      <c r="J3" s="5" t="str">
        <f>IFERROR(__xludf.DUMMYFUNCTION("GOOGLETRANSLATE(A3)"),"atomic heart")</f>
        <v>atomic heart</v>
      </c>
      <c r="K3" s="6" t="str">
        <f>IFERROR(__xludf.DUMMYFUNCTION("GOOGLETRANSLATE(B3)"),"Atomic Heart on Steam")</f>
        <v>Atomic Heart on Steam</v>
      </c>
      <c r="M3" s="5" t="str">
        <f>IFERROR(__xludf.DUMMYFUNCTION("GOOGLETRANSLATE(G3)"),"Welcome to Steam									Login										Store	HomeDiscovery QueueWishlistPoints ShopNewsStats			Community		HomeDiscussionsWorkshopMarketBroadcasts		Support										Change language																		View desktop website																	© Valve Corporation."&amp;" All rights reserved. All trademarks are property of their respective owners in the US and other countries.								Privacy Policy									 |  Legal									 |  Steam Subscriber Agreement									 |  Refunds		STORE	HomeDiscovery QueueWishlistPoints ShopNew"&amp;"sStats			COMMUNITY		HomeDiscussionsWorkshopMarketBroadcasts				About					SUPPORT								Install Steam						login											 | 						language简体中文 (Simplified Chinese)繁體中文 (Traditional Chinese)日本語 (Japanese)한국어 (Korean)ไทย (Thai)Български (Bulgarian)Čeština"&amp;" (Czech)Dansk (Danish)Deutsch (German)Español - España (Spanish - Spain)Español - Latinoamérica (Spanish - Latin America)Ελληνικά (Greek)Français (French)Italiano (Italian)Bahasa Indonesia (Indonesian)Magyar (Hungarian)Nederlands (Dutch)Norsk (Norwegian)P"&amp;"olski (Polish)Português (Portuguese - Portugal)Português - Brasil (Portuguese - Brazil)Română (Romanian)Русский (Russian)Suomi (Finnish)Svenska (Swedish)Türkçe (Turkish)Tiếng Việt (Vietnamese)Українська (Ukrainian)Report a translation problem						Steam D"&amp;"eck											Get Yours Now											Steam Gift Cards											Give the Gift of Game					Recently ViewedYour TagsRecommendedBy FriendsBy CuratorsTagsBrowse CategoriesTop SellersNew ReleasesUpcoming SpecialsVR TitlesController-FriendlyGreat on DeckHardwa"&amp;"reSteam DeckSteam Deck DockVR HardwareBrowse by genre							Free to Play													Early Access													Action													Adventure													Casual													Indie													Massively Multiplayer													Racing													RPG											"&amp;"		Simulation													Sports													Strategy															Cart									(0)								Your StoreYour Store										Home									                                            Community Recommendations                                        										Re"&amp;"cently Viewed									                                            Steam Curators                                        New &amp; NoteworthyNew &amp; NoteworthyPopular											Top Sellers																					Most Played																					New Releases									"&amp;"												Upcoming Releases										News &amp; Updates											Recently Updated										Promos &amp; Events											Special Offers																					Sale Events																					Steam Replay 2022																					Steam Next Fest										Categorie"&amp;"sCategoriesSpecial Sections														Free to Play													Demos														Early Access													Steam DeckGreat on DeckController-FriendlyRemote PlayVR TitlesVR Hardware                                                Software																"&amp;"							Soundtracks																								macOS																									SteamOS + Linux												For PC Cafés													Genres																										Action																												Action														Arcade &amp; RhythmFighting &amp; Martial ArtsFirst-P"&amp;"erson ShooterHack &amp; SlashPlatformer &amp; RunnerThird-Person Shootershmup														Adventure																												Adventure														Adventure RPGCasualHidden ObjectMetroidvaniaPuzzleStory-RichVisual Novel 														Role-Playing													"&amp;"															Role-Playing														Action RPGAdventure RPGJRPGParty-BasedRogue-LikeStrategy RPGTurn-Based														Simulation																												Simulation														Building &amp; AutomationDatingFarming &amp; CraftingHobby &amp; JobLife &amp; Immer"&amp;"siveSandbox &amp; PhysicsSpace &amp; Flight 														Strategy																												Strategy														Card &amp; BoardCity &amp; SettlementGrand &amp; 4XMilitaryReal-Time StrategyTower DefenseTurn-Based Strategy														Sports &amp; Racing																					"&amp;"							Sports &amp; Racing														All SportsFishing &amp; HuntingIndividual SportsRacingRacing SimSports SimTeam Sports 														Themes																											Themes													AnimeHorrorMystery &amp; DetectiveOpen WorldSci-Fi &amp; CyberpunkSpaceSurvival"&amp;" 														Player Support																											Player Support													Co-OperativeLANLocal &amp; PartyMMOMultiplayerOnline CompetitiveSingleplayer Points ShopNewsLabsFeatured &amp; RecommendedSpecial Offers									Browse More									More									Li"&amp;"veFree WeekendOffer ends Nov 13 @ 10:00am.-70%$39.99$11.99 Weekend DealOffer ends Nov 16 @ 10:00am.-65 - 85% Today's deal!-20%$24.99$19.99 Today's deal!-50%$39.99$19.99 Weekend DealOffer ends Nov 16 @ 10:00am.-50%$49.99$24.99 LiveFree WeekendOffer ends No"&amp;"v 21 @ 9:59am.-67%$29.99$9.89 Weekend DealOffer ends Nov 20 @ 10:00am.-33%$29.99$20.09 Weekend DealOffer ends Nov 13 @ 9:00am.-30%$34.99$24.49       Browse by categorySign in to view personalized recommendationsSign In                        Or sign up an"&amp;"d join Steam for free                                        Recommended based on the games you play                                                    More                                Explore and Customize					Your Discovery Queue					Learn MoreSign i"&amp;"n to view and browse your personalized Discovery QueueSign In						Or sign up and join Steam for free												Click here to begin exploring your queue						Explore Your QueueYou have viewed all the productsin your Discovery Queue for today.You have fin"&amp;"ished your list for today but if you're eager for more you can click below to generate another set.Start another queue &gt;&gt;Browse Steam                    New Releases                                    Specials                                    Free Games"&amp;"                                    By User Tags                					Recently Updated					Browse All										More														From developers and publishers that you know				Browse all                                More                                B"&amp;"rowse All                                More                                                POPULAR VR GAMESNew &amp; TrendingTop SellersPopular UpcomingSpecialsNew &amp; TrendingFree To Play Vegas Infinite by PokerStarsVR Supported Free to Play Casual Strategy "&amp;"VRFree Gatekeeper: Infinity Action Roguelite Roguelike Shooter-10%$19.99$17.99 Strike Force Heroes Action Shooter 2D Arena Shooter$69.99 Call of Duty®: Modern Warfare® III Action FPS Shooter Multiplayer$69.99 Call of Duty®: Modern Warfare® III Action FPS "&amp;"Shooter MultiplayerFree I Wanna Maker Precision Platformer Level Editor 2D Platformer Free to Play$49.99 Dungeons 4 Simulation Strategy RTS City Builder-10%$24.99$22.49 Cuisineer Action Roguelike Cooking Casual Wholesome-20%$24.99$19.99 Spells &amp; Secrets A"&amp;"ction Controller Singleplayer Roguelite-25%$39.99$29.99 Colony Ship: A Post-Earth Role Playing Game Turn-Based Tactical RPG Choices Matter Party-Based RPG-15%$14.99$12.74 Risk of Rain Returns Online Co-Op Multiplayer Action Roguelike PvE-10%$14.99$13.49 D"&amp;"oomsday Paradise Anime LGBTQ+ Dating Sim Dark Humor-10%$19.99$17.99 Cobalt Core Roguelike Deckbuilder Strategy Card Game Roguelike$49.99 Like a Dragon Gaiden: The Man Who Erased His Name Action Beat 'em up Action RPG Action-Adventure$49.99 Like a Dragon G"&amp;"aiden: The Man Who Erased His Name Action Beat 'em up Action RPG Action-Adventure$49.99 Nickelodeon All-Star Brawl 2 Action 2D Fighter Arcade Beat 'em up-10%$14.99$13.49 Stronghold: Definitive Edition Real Time Tactics City Builder Sandbox Colony Sim-20%$"&amp;"24.99$19.99 Roboquest FPS Action Roguelike Roguelite Co-op$59.99 Football Manager 2024 Simulation Sports Strategy Football (Soccer)$29.99 The Invincible Adventure Robots Singleplayer FuturisticFree to Play Cards and Castles 2 Strategy Turn-Based Tactics C"&amp;"ard Game Card Battler$24.99 Ranch Simulator - Build Farm Hunt Simulation Multiplayer Online Co-Op Open World$24.99 For The King II Adventure RPG Strategy Board Game$49.99 RoboCop: Rogue City Action FPS First-Person Singleplayer$49.99 STAR OCEAN THE SECOND"&amp;" STORY R RPG JRPG Action Action RPG$29.99 The Talos Principle 2 Puzzle Puzzle Platformer Sci-fi Exploration$39.99 My Time at Sandrock Life Sim Building Sandbox Farming Sim$19.99 Alien Hominid Invasion Online Co-Op Multiplayer Action Roguelike Shoot 'Em Up"&amp;"$24.99 This Bed We Made Mystery Third Person Cinematic Story Rich$19.99 Headbangers: Rhythm Royale Casual Rhythm Battle Royale Character Customization							See more:							New ReleasesTop Sellers										Include free to play items																			Incl"&amp;"ude items in my library									 Call of Duty® FPS Multiplayer Shooter ActionFree to Play Counter-Strike 2 FPS Shooter Multiplayer Competitive$9.99 Lethal Company Early Access Online Co-Op Horror PvE$59.99 Baldur's Gate 3 RPG Choices Matter Character Cust"&amp;"omization Story Rich-15%$14.99$12.74 Risk of Rain Returns Online Co-Op Multiplayer Action Roguelike PvE$349.00 Steam Deck Free to Play War ThunderVR Supported Free to Play Vehicular Combat Combat World War II$44.99 ARK: Survival Ascended Early Access Surv"&amp;"ival Open World DinosaursFree to Play Apex Legends™ Free to Play Battle Royale Multiplayer Shooter$29.99 Call of Duty®: Modern Warfare® II - BlackCell (Season 06) Action Gore Violent Capitalism$49.99 Cities: Skylines II Simulation City Builder Building Si"&amp;"ngleplayer$59.99 Cyberpunk 2077 Cyberpunk Open World Nudity RPG-50%$49.99$24.99 Crusader Kings III Strategy Simulation RPG Medieval$19.99 Dead by Daylight Horror Survival Horror Multiplayer Online Co-Op$39.99 Rust Survival Crafting Multiplayer Open WorldF"&amp;"ree To Play Lost Ark MMORPG Free to Play Action RPG MultiplayerFree to Play Warframe Free to Play Action RPG Looter Shooter Third-Person ShooterFree to Play PUBG: BATTLEGROUNDS Survival Shooter Battle Royale Multiplayer$69.99 Mortal Kombat 1 Action Gore F"&amp;"ighting Blood$19.99 Party Animals Casual Funny Multiplayer Cute$29.99 Cyberpunk 2077: Phantom Liberty RPG Story Rich Cyberpunk Open World$69.99 EA SPORTS FC™ 24 Sports Football (Soccer) Controller PvP$19.99 Tom Clancy's Rainbow Six® Siege FPS PvP eSports "&amp;"Shooter-30%$34.99$24.49 Stranded: Alien Dawn Survival Base Building Simulation Strategy$39.99 New World Massively Multiplayer Open World MMORPG RPG Grand Theft Auto V Open World Action Multiplayer Crime$39.99 Warhammer 40000: Darktide Warhammer 40K Gore A"&amp;"dventure Online Co-Op$49.99 RoboCop: Rogue City Action FPS First-Person Singleplayer$69.99 Starfield Space Singleplayer Open World RPG$24.99 For The King II Adventure RPG Strategy Board Game								See more:																	Top Sellers																				"&amp;"	or											Global Top SellersTop Sellers																					or											Global Top SellersPopular Upcoming CD 2: Trap Master Early Access Roguelike Roguelike Deckbuilder Adventure Dream Town Island Simulation Strategy Casual City Builder Microciviliz"&amp;"ation 4X Clicker Base Building Resource ManagementFree Disco Simulator: Prologue Casual Simulation Management Party Minigame Madness Early Access Multiplayer Minigames Funny Estate Agent Simulator Simulation Life Sim Trading FPS Spirittea RPG Life Sim Sim"&amp;"ulation Fantasy March of Shrooms Strategy Action Action RTS 2D Bzzzt Precision Platformer Indie Action 2D Broken Roads RPG Post-apocalyptic Isometric Philosophical-10%$39.99$35.99 SUPER CRAZY RHYTHM CASTLE Puzzle Rhythm Action Music Misty's Shining Blacks"&amp;"mithing Sexual Content Nudity Adventure RPG Refind Self: The Personality Test Game Casual Adventure Pixel Graphics Choices Matter The Dot Adventure Story Rich Walking Simulator Exploration Invincible Presents: Atom Eve Adventure Action Visual Novel Story "&amp;"Rich Dune: Imperium Early Access Strategy Board Game Deckbuilding Ticket to Ride Board Game Tabletop Strategy Trains$39.99 UFO ROBOT GRENDIZER – The Feast of the Wolves Action Adventure Action-Adventure Beat 'em up-25%$9.99$7.49 KarmaZoo Action Casual Pla"&amp;"tformer Puzzle Death Must Die Early Access RPG Action Roguelike Bullet Hell Skybreakers Action Roguelike Action RPG Bullet Hell RogueliteFree To Play PHANTOM GALAXIES™ Action Adventure Anime Mechs Naheulbeuk's Dungeon Master Simulation Management Funny Re"&amp;"play Value The Last Faith Metroidvania Souls-like Violent Pixel Graphics American Arcadia Story Rich Atmospheric Puzzle Exploration Wizordum Early Access Action FPS Shooter Checkmate Showdown Fighting Competitive PvP Local Multiplayer Waifu Fighter -Famil"&amp;"y Friendly Casual Sexual Content Interactive Fiction Dating Sim 7th Domain RPG Action Action-Adventure Action Roguelike YOHANE THE PARHELION -BLAZE in the DEEPBLUE- Action Adventure Metroidvania Anime							See more:							Upcoming ReleasesSpecials-67%$29"&amp;".99$9.89 Deep Rock Galactic Co-op PvE FPS Procedural Generation-50%$49.99$24.99 Crusader Kings III Strategy Simulation RPG Medieval-30%$34.99$24.49 Stranded: Alien Dawn Survival Base Building Simulation Strategy-75%$59.99$14.99 Tiny Tina's Wonderlands Loo"&amp;"t Adventure Shooter Looter Shooter-30%$49.99$34.99 Mount &amp; Blade II: Bannerlord Medieval Strategy Open World RPG-60%$69.99$27.99 F1® 23VR Supported VR Racing Driving Sports-20%$21.99$17.59 Void Crew Adventure Action Online Co-Op Multiplayer-67%$59.99$19.7"&amp;"9 Mafia Trilogy Action Open World Crime Story Rich-20%$74.99$59.99 Crusader Kings III Royal Edition Strategy Simulation RPG Medieval-75%$59.99$14.99 Tiny Tina's Wonderlands Loot Adventure Shooter Looter Shooter-30%$49.99$34.99 Age of Wonders 4 Strategy 4X"&amp;" Choices Matter Character Customization-85%$59.99$8.99 Far Cry® 5 Action-Adventure Open World FPS Shooter-70%$29.99$8.99 Dying Light Enhanced Edition Action Zombies RPG Parkour-75%$24.99$6.24 Overcooked! 2 Multiplayer Online Co-Op Local Co-Op Co-op-33%$29"&amp;".99$20.09 Trepang2 Gore FPS Violent Action-85%$59.99$8.99 Watch Dogs®: Legion Action Adventure RPG Shooter-20%$24.99$19.99 ULTRAKILL Early Access FPS Arena Shooter Spectacle fighter-67%$29.99$9.89 Isonzo War Atmospheric Indie Simulation-85%$49.99$7.49 Wat"&amp;"ch_Dogs® 2 Open World Hacking Illuminati Parkour-85%$59.99$8.99 Borderlands 3 RPG Action Looter Shooter Multiplayer-20%$24.99$19.99 HYPERCHARGE: Unboxed Action-Adventure Co-op Campaign Singleplayer Third-Person Shooter-20%$29.99$23.99 Crusader Kings III: "&amp;"Tours &amp; Tournaments Strategy RPG Simulation Medieval-67%$14.99$4.94 Golf With Your Friends Multiplayer Casual Mini Golf Sports-75%$39.99$9.99 Riders Republic Racing Open World Massively Multiplayer Sports-70%$19.99$5.99 Grand Theft Auto IV: The Complete E"&amp;"dition Open World Action Automobile Sim Multiplayer-20%$19.99$15.99 Shadows of Doubt Early Access Detective Immersive Sim Sandbox-50%$39.99$19.99 Way of the Hunter Adventure Shooter Hunting Exploration-20%$29.99$23.99 Sengoku Dynasty Early Access Adventur"&amp;"e Life Sim Simulation-50%$59.99$29.99 Grand Theft Auto: The Trilogy – The Definitive Edition Action Third-Person Shooter Open World Adventure-25%$14.99$11.24 Escape Simulator Puzzle Co-op Escape Room Multiplayer-80%$99.99$19.99 ACE COMBAT™ 7: SKIES UNKNOW"&amp;"N - TOP GUN: Maverick Ultimate Edition Simulation Action Flight Jet-20%$19.99$15.99 Chants of Sennaar Adventure Singleplayer Puzzle Colorful-77%$84.99$19.54 DRAGON BALL Z: KAKAROT Action RPG Anime Open World-80%$29.99$5.99 Far Cry® 4 Open World Action FPS"&amp;" Co-op-75%$39.99$9.99 Mafia: Definitive Edition Open World Action Story Rich Crime-85%$29.99$4.49 Watch_Dogs™ Open World Hacking Action Multiplayer-20%$29.99$23.99 Tainted Grail: The Fall of Avalon Early Access RPG Open World Dark Fantasy-20%$19.99$15.99 "&amp;"Dinkum Early Access Farming Sim Life Sim Online Co-Op-75%$79.99$19.99 Borderlands 3: Super Deluxe Edition Action RPG Looter Shooter Gore-60%$99.99$39.99 WWE 2K23 Sports Simulation Wrestling Multiplayer							See more:							SpecialsView all               "&amp;"             More                            Games streaming now				TRENDING AMONG FRIENDS				Browse All                                More                                					Under $10                    Under $10Under $5Updates and Offers  Keep scrolli"&amp;"ng for more recommendationsBelow you'll find a variety of titles that you may be interested in from categories across SteamLooking for recommendations?Sign in to view personalized recommendationsSign In						Or sign up and join Steam for free					© 2023 V"&amp;"alve Corporation.  All rights reserved.  All trademarks are property of their respective owners in the US and other countries.VAT included in all prices where applicable.              Privacy Policy              |              Legal              |        "&amp;"      Steam Subscriber Agreement              |              Refunds              |              CookiesView mobile websiteAbout Valve          |  Jobs          |  Steamworks          |  Steam Distribution          |  Support                          |  R"&amp;"ecycling                		  |  Gift Cards		  |   Steam		  |   @steam We're out of personalized recommendations for you right nowWe can recommend some different titles once you've played more games.Still looking for more? Check out a random game.We don't h"&amp;"ave any recommendations to show you here.This might be an error or it might be that you don't have any playtime on record.You can hit refresh or come back once you've played a game.Perhaps you'd like to check out a random game?Loading more content...")</f>
        <v>Welcome to Steam									Login										Store	HomeDiscovery QueueWishlistPoints ShopNewsStats			Community		HomeDiscussionsWorkshopMarketBroadcasts		Support										Change language																		View desktop website																	© Valve Corporation. All rights reserved. All trademarks are property of their respective owners in the US and other countries.								Privacy Policy									 |  Legal									 |  Steam Subscriber Agreement									 |  Refunds		STORE	HomeDiscovery QueueWishlistPoints ShopNewsStats			COMMUNITY		HomeDiscussionsWorkshopMarketBroadcasts				About					SUPPORT								Install Steam						login											 | 						language简体中文 (Simplified Chinese)繁體中文 (Traditional Chinese)日本語 (Japanese)한국어 (Korean)ไทย (Thai)Български (Bulgarian)Čeština (Czech)Dansk (Danish)Deutsch (German)Español - España (Spanish - Spain)Español - Latinoamérica (Spanish - Latin America)Ελληνικά (Greek)Français (French)Italiano (Italian)Bahasa Indonesia (Indonesian)Magyar (Hungarian)Nederlands (Dutch)Norsk (Norwegian)Polski (Polish)Português (Portuguese - Portugal)Português - Brasil (Portuguese - Brazil)Română (Romanian)Русский (Russian)Suomi (Finnish)Svenska (Swedish)Türkçe (Turkish)Tiếng Việt (Vietnamese)Українська (Ukrainian)Report a translation problem						Steam Deck											Get Yours Now											Steam Gift Cards											Give the Gift of Game					Recently ViewedYour TagsRecommendedBy FriendsBy CuratorsTagsBrowse CategoriesTop SellersNew ReleasesUpcoming SpecialsVR TitlesController-FriendlyGreat on DeckHardwareSteam DeckSteam Deck DockVR HardwareBrowse by genre							Free to Play													Early Access													Action													Adventure													Casual													Indie													Massively Multiplayer													Racing													RPG													Simulation													Sports													Strategy															Cart									(0)								Your StoreYour Store										Home									                                            Community Recommendations                                        										Recently Viewed									                                            Steam Curators                                        New &amp; NoteworthyNew &amp; NoteworthyPopular											Top Sellers																					Most Played																					New Releases																					Upcoming Releases										News &amp; Updates											Recently Updated										Promos &amp; Events											Special Offers																					Sale Events																					Steam Replay 2022																					Steam Next Fest										CategoriesCategoriesSpecial Sections														Free to Play													Demos														Early Access													Steam DeckGreat on DeckController-FriendlyRemote PlayVR TitlesVR Hardware                                                Software																							Soundtracks																								macOS																									SteamOS + Linux												For PC Cafés													Genres																										Action																												Action														Arcade &amp; RhythmFighting &amp; Martial ArtsFirst-Person ShooterHack &amp; SlashPlatformer &amp; RunnerThird-Person Shootershmup														Adventure																												Adventure														Adventure RPGCasualHidden ObjectMetroidvaniaPuzzleStory-RichVisual Novel 														Role-Playing																												Role-Playing														Action RPGAdventure RPGJRPGParty-BasedRogue-LikeStrategy RPGTurn-Based														Simulation																												Simulation														Building &amp; AutomationDatingFarming &amp; CraftingHobby &amp; JobLife &amp; ImmersiveSandbox &amp; PhysicsSpace &amp; Flight 														Strategy																												Strategy														Card &amp; BoardCity &amp; SettlementGrand &amp; 4XMilitaryReal-Time StrategyTower DefenseTurn-Based Strategy														Sports &amp; Racing																												Sports &amp; Racing														All SportsFishing &amp; HuntingIndividual SportsRacingRacing SimSports SimTeam Sports 														Themes																											Themes													AnimeHorrorMystery &amp; DetectiveOpen WorldSci-Fi &amp; CyberpunkSpaceSurvival 														Player Support																											Player Support													Co-OperativeLANLocal &amp; PartyMMOMultiplayerOnline CompetitiveSingleplayer Points ShopNewsLabsFeatured &amp; RecommendedSpecial Offers									Browse More									More									LiveFree WeekendOffer ends Nov 13 @ 10:00am.-70%$39.99$11.99 Weekend DealOffer ends Nov 16 @ 10:00am.-65 - 85% Today's deal!-20%$24.99$19.99 Today's deal!-50%$39.99$19.99 Weekend DealOffer ends Nov 16 @ 10:00am.-50%$49.99$24.99 LiveFree WeekendOffer ends Nov 21 @ 9:59am.-67%$29.99$9.89 Weekend DealOffer ends Nov 20 @ 10:00am.-33%$29.99$20.09 Weekend DealOffer ends Nov 13 @ 9:00am.-30%$34.99$24.49       Browse by categorySign in to view personalized recommendationsSign In                        Or sign up and join Steam for free                                        Recommended based on the games you play                                                    More                                Explore and Customize					Your Discovery Queue					Learn MoreSign in to view and browse your personalized Discovery QueueSign In						Or sign up and join Steam for free												Click here to begin exploring your queue						Explore Your QueueYou have viewed all the productsin your Discovery Queue for today.You have finished your list for today but if you're eager for more you can click below to generate another set.Start another queue &gt;&gt;Browse Steam                    New Releases                                    Specials                                    Free Games                                    By User Tags                					Recently Updated					Browse All										More														From developers and publishers that you know				Browse all                                More                                Browse All                                More                                                POPULAR VR GAMESNew &amp; TrendingTop SellersPopular UpcomingSpecialsNew &amp; TrendingFree To Play Vegas Infinite by PokerStarsVR Supported Free to Play Casual Strategy VRFree Gatekeeper: Infinity Action Roguelite Roguelike Shooter-10%$19.99$17.99 Strike Force Heroes Action Shooter 2D Arena Shooter$69.99 Call of Duty®: Modern Warfare® III Action FPS Shooter Multiplayer$69.99 Call of Duty®: Modern Warfare® III Action FPS Shooter MultiplayerFree I Wanna Maker Precision Platformer Level Editor 2D Platformer Free to Play$49.99 Dungeons 4 Simulation Strategy RTS City Builder-10%$24.99$22.49 Cuisineer Action Roguelike Cooking Casual Wholesome-20%$24.99$19.99 Spells &amp; Secrets Action Controller Singleplayer Roguelite-25%$39.99$29.99 Colony Ship: A Post-Earth Role Playing Game Turn-Based Tactical RPG Choices Matter Party-Based RPG-15%$14.99$12.74 Risk of Rain Returns Online Co-Op Multiplayer Action Roguelike PvE-10%$14.99$13.49 Doomsday Paradise Anime LGBTQ+ Dating Sim Dark Humor-10%$19.99$17.99 Cobalt Core Roguelike Deckbuilder Strategy Card Game Roguelike$49.99 Like a Dragon Gaiden: The Man Who Erased His Name Action Beat 'em up Action RPG Action-Adventure$49.99 Like a Dragon Gaiden: The Man Who Erased His Name Action Beat 'em up Action RPG Action-Adventure$49.99 Nickelodeon All-Star Brawl 2 Action 2D Fighter Arcade Beat 'em up-10%$14.99$13.49 Stronghold: Definitive Edition Real Time Tactics City Builder Sandbox Colony Sim-20%$24.99$19.99 Roboquest FPS Action Roguelike Roguelite Co-op$59.99 Football Manager 2024 Simulation Sports Strategy Football (Soccer)$29.99 The Invincible Adventure Robots Singleplayer FuturisticFree to Play Cards and Castles 2 Strategy Turn-Based Tactics Card Game Card Battler$24.99 Ranch Simulator - Build Farm Hunt Simulation Multiplayer Online Co-Op Open World$24.99 For The King II Adventure RPG Strategy Board Game$49.99 RoboCop: Rogue City Action FPS First-Person Singleplayer$49.99 STAR OCEAN THE SECOND STORY R RPG JRPG Action Action RPG$29.99 The Talos Principle 2 Puzzle Puzzle Platformer Sci-fi Exploration$39.99 My Time at Sandrock Life Sim Building Sandbox Farming Sim$19.99 Alien Hominid Invasion Online Co-Op Multiplayer Action Roguelike Shoot 'Em Up$24.99 This Bed We Made Mystery Third Person Cinematic Story Rich$19.99 Headbangers: Rhythm Royale Casual Rhythm Battle Royale Character Customization							See more:							New ReleasesTop Sellers										Include free to play items																			Include items in my library									 Call of Duty® FPS Multiplayer Shooter ActionFree to Play Counter-Strike 2 FPS Shooter Multiplayer Competitive$9.99 Lethal Company Early Access Online Co-Op Horror PvE$59.99 Baldur's Gate 3 RPG Choices Matter Character Customization Story Rich-15%$14.99$12.74 Risk of Rain Returns Online Co-Op Multiplayer Action Roguelike PvE$349.00 Steam Deck Free to Play War ThunderVR Supported Free to Play Vehicular Combat Combat World War II$44.99 ARK: Survival Ascended Early Access Survival Open World DinosaursFree to Play Apex Legends™ Free to Play Battle Royale Multiplayer Shooter$29.99 Call of Duty®: Modern Warfare® II - BlackCell (Season 06) Action Gore Violent Capitalism$49.99 Cities: Skylines II Simulation City Builder Building Singleplayer$59.99 Cyberpunk 2077 Cyberpunk Open World Nudity RPG-50%$49.99$24.99 Crusader Kings III Strategy Simulation RPG Medieval$19.99 Dead by Daylight Horror Survival Horror Multiplayer Online Co-Op$39.99 Rust Survival Crafting Multiplayer Open WorldFree To Play Lost Ark MMORPG Free to Play Action RPG MultiplayerFree to Play Warframe Free to Play Action RPG Looter Shooter Third-Person ShooterFree to Play PUBG: BATTLEGROUNDS Survival Shooter Battle Royale Multiplayer$69.99 Mortal Kombat 1 Action Gore Fighting Blood$19.99 Party Animals Casual Funny Multiplayer Cute$29.99 Cyberpunk 2077: Phantom Liberty RPG Story Rich Cyberpunk Open World$69.99 EA SPORTS FC™ 24 Sports Football (Soccer) Controller PvP$19.99 Tom Clancy's Rainbow Six® Siege FPS PvP eSports Shooter-30%$34.99$24.49 Stranded: Alien Dawn Survival Base Building Simulation Strategy$39.99 New World Massively Multiplayer Open World MMORPG RPG Grand Theft Auto V Open World Action Multiplayer Crime$39.99 Warhammer 40000: Darktide Warhammer 40K Gore Adventure Online Co-Op$49.99 RoboCop: Rogue City Action FPS First-Person Singleplayer$69.99 Starfield Space Singleplayer Open World RPG$24.99 For The King II Adventure RPG Strategy Board Game								See more:																	Top Sellers																					or											Global Top SellersTop Sellers																					or											Global Top SellersPopular Upcoming CD 2: Trap Master Early Access Roguelike Roguelike Deckbuilder Adventure Dream Town Island Simulation Strategy Casual City Builder Microcivilization 4X Clicker Base Building Resource ManagementFree Disco Simulator: Prologue Casual Simulation Management Party Minigame Madness Early Access Multiplayer Minigames Funny Estate Agent Simulator Simulation Life Sim Trading FPS Spirittea RPG Life Sim Simulation Fantasy March of Shrooms Strategy Action Action RTS 2D Bzzzt Precision Platformer Indie Action 2D Broken Roads RPG Post-apocalyptic Isometric Philosophical-10%$39.99$35.99 SUPER CRAZY RHYTHM CASTLE Puzzle Rhythm Action Music Misty's Shining Blacksmithing Sexual Content Nudity Adventure RPG Refind Self: The Personality Test Game Casual Adventure Pixel Graphics Choices Matter The Dot Adventure Story Rich Walking Simulator Exploration Invincible Presents: Atom Eve Adventure Action Visual Novel Story Rich Dune: Imperium Early Access Strategy Board Game Deckbuilding Ticket to Ride Board Game Tabletop Strategy Trains$39.99 UFO ROBOT GRENDIZER – The Feast of the Wolves Action Adventure Action-Adventure Beat 'em up-25%$9.99$7.49 KarmaZoo Action Casual Platformer Puzzle Death Must Die Early Access RPG Action Roguelike Bullet Hell Skybreakers Action Roguelike Action RPG Bullet Hell RogueliteFree To Play PHANTOM GALAXIES™ Action Adventure Anime Mechs Naheulbeuk's Dungeon Master Simulation Management Funny Replay Value The Last Faith Metroidvania Souls-like Violent Pixel Graphics American Arcadia Story Rich Atmospheric Puzzle Exploration Wizordum Early Access Action FPS Shooter Checkmate Showdown Fighting Competitive PvP Local Multiplayer Waifu Fighter -Family Friendly Casual Sexual Content Interactive Fiction Dating Sim 7th Domain RPG Action Action-Adventure Action Roguelike YOHANE THE PARHELION -BLAZE in the DEEPBLUE- Action Adventure Metroidvania Anime							See more:							Upcoming ReleasesSpecials-67%$29.99$9.89 Deep Rock Galactic Co-op PvE FPS Procedural Generation-50%$49.99$24.99 Crusader Kings III Strategy Simulation RPG Medieval-30%$34.99$24.49 Stranded: Alien Dawn Survival Base Building Simulation Strategy-75%$59.99$14.99 Tiny Tina's Wonderlands Loot Adventure Shooter Looter Shooter-30%$49.99$34.99 Mount &amp; Blade II: Bannerlord Medieval Strategy Open World RPG-60%$69.99$27.99 F1® 23VR Supported VR Racing Driving Sports-20%$21.99$17.59 Void Crew Adventure Action Online Co-Op Multiplayer-67%$59.99$19.79 Mafia Trilogy Action Open World Crime Story Rich-20%$74.99$59.99 Crusader Kings III Royal Edition Strategy Simulation RPG Medieval-75%$59.99$14.99 Tiny Tina's Wonderlands Loot Adventure Shooter Looter Shooter-30%$49.99$34.99 Age of Wonders 4 Strategy 4X Choices Matter Character Customization-85%$59.99$8.99 Far Cry® 5 Action-Adventure Open World FPS Shooter-70%$29.99$8.99 Dying Light Enhanced Edition Action Zombies RPG Parkour-75%$24.99$6.24 Overcooked! 2 Multiplayer Online Co-Op Local Co-Op Co-op-33%$29.99$20.09 Trepang2 Gore FPS Violent Action-85%$59.99$8.99 Watch Dogs®: Legion Action Adventure RPG Shooter-20%$24.99$19.99 ULTRAKILL Early Access FPS Arena Shooter Spectacle fighter-67%$29.99$9.89 Isonzo War Atmospheric Indie Simulation-85%$49.99$7.49 Watch_Dogs® 2 Open World Hacking Illuminati Parkour-85%$59.99$8.99 Borderlands 3 RPG Action Looter Shooter Multiplayer-20%$24.99$19.99 HYPERCHARGE: Unboxed Action-Adventure Co-op Campaign Singleplayer Third-Person Shooter-20%$29.99$23.99 Crusader Kings III: Tours &amp; Tournaments Strategy RPG Simulation Medieval-67%$14.99$4.94 Golf With Your Friends Multiplayer Casual Mini Golf Sports-75%$39.99$9.99 Riders Republic Racing Open World Massively Multiplayer Sports-70%$19.99$5.99 Grand Theft Auto IV: The Complete Edition Open World Action Automobile Sim Multiplayer-20%$19.99$15.99 Shadows of Doubt Early Access Detective Immersive Sim Sandbox-50%$39.99$19.99 Way of the Hunter Adventure Shooter Hunting Exploration-20%$29.99$23.99 Sengoku Dynasty Early Access Adventure Life Sim Simulation-50%$59.99$29.99 Grand Theft Auto: The Trilogy – The Definitive Edition Action Third-Person Shooter Open World Adventure-25%$14.99$11.24 Escape Simulator Puzzle Co-op Escape Room Multiplayer-80%$99.99$19.99 ACE COMBAT™ 7: SKIES UNKNOWN - TOP GUN: Maverick Ultimate Edition Simulation Action Flight Jet-20%$19.99$15.99 Chants of Sennaar Adventure Singleplayer Puzzle Colorful-77%$84.99$19.54 DRAGON BALL Z: KAKAROT Action RPG Anime Open World-80%$29.99$5.99 Far Cry® 4 Open World Action FPS Co-op-75%$39.99$9.99 Mafia: Definitive Edition Open World Action Story Rich Crime-85%$29.99$4.49 Watch_Dogs™ Open World Hacking Action Multiplayer-20%$29.99$23.99 Tainted Grail: The Fall of Avalon Early Access RPG Open World Dark Fantasy-20%$19.99$15.99 Dinkum Early Access Farming Sim Life Sim Online Co-Op-75%$79.99$19.99 Borderlands 3: Super Deluxe Edition Action RPG Looter Shooter Gore-60%$99.99$39.99 WWE 2K23 Sports Simulation Wrestling Multiplayer							See more:							SpecialsView all                            More                            Games streaming now				TRENDING AMONG FRIENDS				Browse All                                More                                					Under $10                    Under $10Under $5Updates and Offers  Keep scrolling for more recommendationsBelow you'll find a variety of titles that you may be interested in from categories across SteamLooking for recommendations?Sign in to view personalized recommendationsSign In						Or sign up and join Steam for free					© 2023 Valve Corporation.  All rights reserved.  All trademarks are property of their respective owners in the US and other countries.VAT included in all prices where applicable.              Privacy Policy              |              Legal              |              Steam Subscriber Agreement              |              Refunds              |              CookiesView mobile websiteAbout Valve          |  Jobs          |  Steamworks          |  Steam Distribution          |  Support                          |  Recycling                		  |  Gift Cards		  |   Steam		  |   @steam We're out of personalized recommendations for you right nowWe can recommend some different titles once you've played more games.Still looking for more? Check out a random game.We don't have any recommendations to show you here.This might be an error or it might be that you don't have any playtime on record.You can hit refresh or come back once you've played a game.Perhaps you'd like to check out a random game?Loading more content...</v>
      </c>
    </row>
    <row r="4">
      <c r="A4" s="1" t="s">
        <v>13</v>
      </c>
      <c r="B4" s="1" t="s">
        <v>21</v>
      </c>
      <c r="D4" s="1">
        <v>3.0</v>
      </c>
      <c r="E4" s="4" t="s">
        <v>22</v>
      </c>
      <c r="F4" s="1" t="s">
        <v>16</v>
      </c>
      <c r="G4" s="1" t="s">
        <v>23</v>
      </c>
      <c r="H4" s="4" t="s">
        <v>24</v>
      </c>
      <c r="I4" s="2">
        <v>1.0</v>
      </c>
      <c r="J4" s="5" t="str">
        <f>IFERROR(__xludf.DUMMYFUNCTION("GOOGLETRANSLATE(A4)"),"atomic heart")</f>
        <v>atomic heart</v>
      </c>
      <c r="K4" s="6" t="str">
        <f>IFERROR(__xludf.DUMMYFUNCTION("GOOGLETRANSLATE(B4)"),"Atomic Heart | Exclusively on VK Play")</f>
        <v>Atomic Heart | Exclusively on VK Play</v>
      </c>
      <c r="M4" s="5" t="str">
        <f>IFERROR(__xludf.DUMMYFUNCTION("GOOGLETRANSLATE(G4)"),"Atomic Heart | Exclusively at VK Playige, it has already been available to the list of the desired VK Playob IgresSSR. You are the P-3 Major your task is to eliminate the consequences of the global catastrophe and restrain the leakage of classified inform"&amp;"ation that threatened the destruction of the whole world. Use a large arsenal of weapons as well as the superpowers of your polymer glove. Turn everything into a weapon: objects around your body and even your enemies! Each battle is unique. Less -in -the "&amp;"-manage to play the game, study all game locations. Huge research complexes many testing grounds and a deadly threat at every step. Examine all corners of the premises and you can find many interesting facts about the life and work of employees of leading"&amp;" research of varying degrees of secrecy. Unless of course you can survive. The “collective” is connected by the neuroglobal neural network to a single network of all flying and ground robots on the surface and in underground complexes. If you are noticed,"&amp;" reinforcements will quickly arrive from the nearest auto -factory to eliminate you. Play in Stealth mode and do not raise anxiety or run ahead and destroy enemies-the choice is yours! To join the atomic clubpin access to exclusive content to special offe"&amp;"rs and learn about the upcoming updates and events are the first to join VK © 2023 Astrum LLC. All rights reserved. All trademarks are the property of their owners. 18+ATOMIC HEART Privacy Policy General licensing agreement of the confidentiality center o"&amp;"f support")</f>
        <v>Atomic Heart | Exclusively at VK Playige, it has already been available to the list of the desired VK Playob IgresSSR. You are the P-3 Major your task is to eliminate the consequences of the global catastrophe and restrain the leakage of classified information that threatened the destruction of the whole world. Use a large arsenal of weapons as well as the superpowers of your polymer glove. Turn everything into a weapon: objects around your body and even your enemies! Each battle is unique. Less -in -the -manage to play the game, study all game locations. Huge research complexes many testing grounds and a deadly threat at every step. Examine all corners of the premises and you can find many interesting facts about the life and work of employees of leading research of varying degrees of secrecy. Unless of course you can survive. The “collective” is connected by the neuroglobal neural network to a single network of all flying and ground robots on the surface and in underground complexes. If you are noticed, reinforcements will quickly arrive from the nearest auto -factory to eliminate you. Play in Stealth mode and do not raise anxiety or run ahead and destroy enemies-the choice is yours! To join the atomic clubpin access to exclusive content to special offers and learn about the upcoming updates and events are the first to join VK © 2023 Astrum LLC. All rights reserved. All trademarks are the property of their owners. 18+ATOMIC HEART Privacy Policy General licensing agreement of the confidentiality center of support</v>
      </c>
    </row>
    <row r="5">
      <c r="A5" s="1" t="s">
        <v>13</v>
      </c>
      <c r="B5" s="1" t="s">
        <v>25</v>
      </c>
      <c r="D5" s="1">
        <v>4.0</v>
      </c>
      <c r="E5" s="4" t="s">
        <v>26</v>
      </c>
      <c r="F5" s="1" t="s">
        <v>16</v>
      </c>
      <c r="G5" s="1" t="s">
        <v>27</v>
      </c>
      <c r="H5" s="4" t="s">
        <v>28</v>
      </c>
      <c r="I5" s="2">
        <v>2.0</v>
      </c>
      <c r="J5" s="5" t="str">
        <f>IFERROR(__xludf.DUMMYFUNCTION("GOOGLETRANSLATE(A5)"),"atomic heart")</f>
        <v>atomic heart</v>
      </c>
      <c r="K5" s="6" t="str">
        <f>IFERROR(__xludf.DUMMYFUNCTION("GOOGLETRANSLATE(B5)"),"Atomic Heart")</f>
        <v>Atomic Heart</v>
      </c>
      <c r="M5" s="5" t="str">
        <f>IFERROR(__xludf.DUMMYFUNCTION("GOOGLETRANSLATE(G5)"),"Wikipedia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6">
      <c r="A6" s="1" t="s">
        <v>13</v>
      </c>
      <c r="B6" s="1" t="s">
        <v>25</v>
      </c>
      <c r="C6" s="1" t="s">
        <v>29</v>
      </c>
      <c r="D6" s="1">
        <v>5.0</v>
      </c>
      <c r="E6" s="4" t="s">
        <v>30</v>
      </c>
      <c r="F6" s="1" t="s">
        <v>16</v>
      </c>
      <c r="G6" s="1" t="s">
        <v>31</v>
      </c>
      <c r="H6" s="4" t="s">
        <v>32</v>
      </c>
      <c r="I6" s="2">
        <v>2.0</v>
      </c>
      <c r="J6" s="5" t="str">
        <f>IFERROR(__xludf.DUMMYFUNCTION("GOOGLETRANSLATE(A6)"),"atomic heart")</f>
        <v>atomic heart</v>
      </c>
      <c r="K6" s="6" t="str">
        <f>IFERROR(__xludf.DUMMYFUNCTION("GOOGLETRANSLATE(B6)"),"Atomic Heart")</f>
        <v>Atomic Heart</v>
      </c>
      <c r="L6" s="5" t="str">
        <f>IFERROR(__xludf.DUMMYFUNCTION("GOOGLETRANSLATE(C6)"),"Atomic Heart (from English - “Atomic Heart”) - a computer game in the genre of the first -person shooter with elements of role -playing game developed by the Russian studio ...")</f>
        <v>Atomic Heart (from English - “Atomic Heart”) - a computer game in the genre of the first -person shooter with elements of role -playing game developed by the Russian studio ...</v>
      </c>
      <c r="M6" s="5" t="str">
        <f>IFERROR(__xludf.DUMMYFUNCTION("GOOGLETRANSLATE(G6)"),"Wikipedia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7">
      <c r="A7" s="1" t="s">
        <v>13</v>
      </c>
      <c r="B7" s="1" t="s">
        <v>25</v>
      </c>
      <c r="D7" s="1">
        <v>6.0</v>
      </c>
      <c r="E7" s="4" t="s">
        <v>33</v>
      </c>
      <c r="F7" s="1" t="s">
        <v>16</v>
      </c>
      <c r="G7" s="1" t="s">
        <v>34</v>
      </c>
      <c r="H7" s="4" t="s">
        <v>35</v>
      </c>
      <c r="I7" s="2">
        <v>3.0</v>
      </c>
      <c r="J7" s="5" t="str">
        <f>IFERROR(__xludf.DUMMYFUNCTION("GOOGLETRANSLATE(A7)"),"atomic heart")</f>
        <v>atomic heart</v>
      </c>
      <c r="K7" s="6" t="str">
        <f>IFERROR(__xludf.DUMMYFUNCTION("GOOGLETRANSLATE(B7)"),"Atomic Heart")</f>
        <v>Atomic Heart</v>
      </c>
      <c r="M7" s="5" t="str">
        <f>IFERROR(__xludf.DUMMYFUNCTION("GOOGLETRANSLATE(G7)"),"VK.com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8">
      <c r="A8" s="1" t="s">
        <v>13</v>
      </c>
      <c r="B8" s="1" t="s">
        <v>25</v>
      </c>
      <c r="C8" s="1" t="s">
        <v>36</v>
      </c>
      <c r="D8" s="1">
        <v>7.0</v>
      </c>
      <c r="E8" s="4" t="s">
        <v>37</v>
      </c>
      <c r="F8" s="1" t="s">
        <v>16</v>
      </c>
      <c r="G8" s="1" t="s">
        <v>38</v>
      </c>
      <c r="H8" s="4" t="s">
        <v>39</v>
      </c>
      <c r="I8" s="2">
        <v>1.0</v>
      </c>
      <c r="J8" s="5" t="str">
        <f>IFERROR(__xludf.DUMMYFUNCTION("GOOGLETRANSLATE(A8)"),"atomic heart")</f>
        <v>atomic heart</v>
      </c>
      <c r="K8" s="6" t="str">
        <f>IFERROR(__xludf.DUMMYFUNCTION("GOOGLETRANSLATE(B8)"),"Atomic Heart")</f>
        <v>Atomic Heart</v>
      </c>
      <c r="L8" s="5" t="str">
        <f>IFERROR(__xludf.DUMMYFUNCTION("GOOGLETRANSLATE(C8)"),"Welcome to the official channel of Mundfish studio and Atomic Heart game!Atomic Heart, the first-person action-RPG set in the mad utopia of fictional 1955, ...")</f>
        <v>Welcome to the official channel of Mundfish studio and Atomic Heart game!Atomic Heart, the first-person action-RPG set in the mad utopia of fictional 1955, ...</v>
      </c>
      <c r="M8" s="5" t="str">
        <f>IFERROR(__xludf.DUMMYFUNCTION("GOOGLETRANSLATE(G8)"),"YouTubeAboutPressCopyrightContact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9">
      <c r="A9" s="1" t="s">
        <v>13</v>
      </c>
      <c r="B9" s="1" t="s">
        <v>25</v>
      </c>
      <c r="C9" s="1" t="s">
        <v>40</v>
      </c>
      <c r="D9" s="1">
        <v>8.0</v>
      </c>
      <c r="E9" s="4" t="s">
        <v>41</v>
      </c>
      <c r="F9" s="1" t="s">
        <v>16</v>
      </c>
      <c r="G9" s="1" t="s">
        <v>38</v>
      </c>
      <c r="H9" s="4" t="s">
        <v>39</v>
      </c>
      <c r="I9" s="2">
        <v>1.0</v>
      </c>
      <c r="J9" s="5" t="str">
        <f>IFERROR(__xludf.DUMMYFUNCTION("GOOGLETRANSLATE(A9)"),"atomic heart")</f>
        <v>atomic heart</v>
      </c>
      <c r="K9" s="6" t="str">
        <f>IFERROR(__xludf.DUMMYFUNCTION("GOOGLETRANSLATE(B9)"),"Atomic Heart")</f>
        <v>Atomic Heart</v>
      </c>
      <c r="L9" s="5" t="str">
        <f>IFERROR(__xludf.DUMMYFUNCTION("GOOGLETRANSLATE(C9)"),"Welcome to the official channel of Mundfish studio and Atomic Heart game! mundfish.com/enand 5 more links. Subscribe. Home. Videos. Shorts. Playlists.")</f>
        <v>Welcome to the official channel of Mundfish studio and Atomic Heart game! mundfish.com/enand 5 more links. Subscribe. Home. Videos. Shorts. Playlists.</v>
      </c>
      <c r="M9" s="5" t="str">
        <f>IFERROR(__xludf.DUMMYFUNCTION("GOOGLETRANSLATE(G9)"),"YouTubeAboutPressCopyrightContact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0">
      <c r="A10" s="1" t="s">
        <v>13</v>
      </c>
      <c r="B10" s="1" t="s">
        <v>25</v>
      </c>
      <c r="D10" s="1">
        <v>4.0</v>
      </c>
      <c r="E10" s="4" t="s">
        <v>42</v>
      </c>
      <c r="F10" s="1" t="s">
        <v>43</v>
      </c>
      <c r="I10" s="2">
        <v>0.0</v>
      </c>
      <c r="J10" s="5" t="str">
        <f>IFERROR(__xludf.DUMMYFUNCTION("GOOGLETRANSLATE(A10)"),"atomic heart")</f>
        <v>atomic heart</v>
      </c>
      <c r="K10" s="6" t="str">
        <f>IFERROR(__xludf.DUMMYFUNCTION("GOOGLETRANSLATE(B10)"),"Atomic Heart")</f>
        <v>Atomic Heart</v>
      </c>
      <c r="M10" s="5" t="str">
        <f>IFERROR(__xludf.DUMMYFUNCTION("GOOGLETRANSLATE(G10)"),"#VALUE!")</f>
        <v>#VALUE!</v>
      </c>
    </row>
    <row r="11">
      <c r="A11" s="1" t="s">
        <v>13</v>
      </c>
      <c r="B11" s="1" t="s">
        <v>25</v>
      </c>
      <c r="D11" s="1">
        <v>5.0</v>
      </c>
      <c r="E11" s="4" t="s">
        <v>44</v>
      </c>
      <c r="F11" s="1" t="s">
        <v>43</v>
      </c>
      <c r="G11" s="1" t="s">
        <v>45</v>
      </c>
      <c r="H11" s="4" t="s">
        <v>46</v>
      </c>
      <c r="I11" s="2">
        <v>1.0</v>
      </c>
      <c r="J11" s="5" t="str">
        <f>IFERROR(__xludf.DUMMYFUNCTION("GOOGLETRANSLATE(A11)"),"atomic heart")</f>
        <v>atomic heart</v>
      </c>
      <c r="K11" s="6" t="str">
        <f>IFERROR(__xludf.DUMMYFUNCTION("GOOGLETRANSLATE(B11)"),"Atomic Heart")</f>
        <v>Atomic Heart</v>
      </c>
      <c r="M11" s="5" t="str">
        <f>IFERROR(__xludf.DUMMYFUNCTION("GOOGLETRANSLATE(G11)"),"Home - Focus EntertainmentBanishers: Ghosts of New EdenLife to the living death to the dead. Watch the Gameplay Overview for an in-depth look at the poignant narrative-driven action-RPG releasing Feb 13.Watch the trailerPre-order nowSpace Marine 2Watch th"&amp;"e Extended Gameplay Trailer and sign up to get a chance to participate to upcoming beta.Pre-order nowWatch the trailerMy Time at SandrockMy Time at Sandrock is now available in its 1.0 version! Play now with co-op multiplayer on PC.Watch the trailerPlay N"&amp;"owExpeditions: A MudRunner GameEmbark on scientific expeditions with this new off-road adventure game!Wishlist nowWatch the trailerAliens: Dark DescentThe real-time squad-based tactical action game set in the iconic Alien universe is available on consoles"&amp;" and PC!Play NowWatch the trailer                Featured games            Banishers: Ghosts of New Eden - Édition CollectorPre-order the Collector’s Edition of Banishers: Ghosts of New Eden now to get a modular statuette of Red and Antea the game’s offic"&amp;"ial book a Steelbook® two Banishers signet rings and the game on the platform of your choice with the Wanderer Set DLC!Go to Store                Latest news            Become a Focus member!Create your Focus account to get the latest info and upcoming ex"&amp;"clusive offers for the whole Focus catalogue.Sign up now        	;    Latest videos Follow usFacebookTwitterYoutubeTwitchInstagram                        Company                                                    About                                     "&amp;"                       Jobs                                                            Investors                                                            Presskits                                                            Support                       "&amp;"                                     Playtest                                                            Beta                                                    Legals                                                    Privacy policy                      "&amp;"                                      Cookies policy                                                            Legal                                                            EULA                                                            YouTube terms "&amp;"for monetizing our games                                                            Data Subjects Rights Form                                                    Services                                                    Media relations                   "&amp;"                                         Business opportunities                                                Never miss a good deal by subscribing to our newsletter!                                    I want to receive awesome news about all your games "&amp;"merch and collector editions!                                © 2023 Focus Entertainment")</f>
        <v>Home - Focus EntertainmentBanishers: Ghosts of New EdenLife to the living death to the dead. Watch the Gameplay Overview for an in-depth look at the poignant narrative-driven action-RPG releasing Feb 13.Watch the trailerPre-order nowSpace Marine 2Watch the Extended Gameplay Trailer and sign up to get a chance to participate to upcoming beta.Pre-order nowWatch the trailerMy Time at SandrockMy Time at Sandrock is now available in its 1.0 version! Play now with co-op multiplayer on PC.Watch the trailerPlay NowExpeditions: A MudRunner GameEmbark on scientific expeditions with this new off-road adventure game!Wishlist nowWatch the trailerAliens: Dark DescentThe real-time squad-based tactical action game set in the iconic Alien universe is available on consoles and PC!Play NowWatch the trailer                Featured games            Banishers: Ghosts of New Eden - Édition CollectorPre-order the Collector’s Edition of Banishers: Ghosts of New Eden now to get a modular statuette of Red and Antea the game’s official book a Steelbook® two Banishers signet rings and the game on the platform of your choice with the Wanderer Set DLC!Go to Store                Latest news            Become a Focus member!Create your Focus account to get the latest info and upcoming exclusive offers for the whole Focus catalogue.Sign up now        	;    Latest videos Follow usFacebookTwitterYoutubeTwitchInstagram                        Company                                                    About                                                            Jobs                                                            Investors                                                            Presskits                                                            Support                                                            Playtest                                                            Beta                                                    Legals                                                    Privacy policy                                                            Cookies policy                                                            Legal                                                            EULA                                                            YouTube terms for monetizing our games                                                            Data Subjects Rights Form                                                    Services                                                    Media relations                                                            Business opportunities                                                Never miss a good deal by subscribing to our newsletter!                                    I want to receive awesome news about all your games merch and collector editions!                                © 2023 Focus Entertainment</v>
      </c>
    </row>
    <row r="12">
      <c r="A12" s="1" t="s">
        <v>13</v>
      </c>
      <c r="B12" s="1" t="s">
        <v>25</v>
      </c>
      <c r="D12" s="1">
        <v>6.0</v>
      </c>
      <c r="E12" s="4" t="s">
        <v>47</v>
      </c>
      <c r="F12" s="1" t="s">
        <v>43</v>
      </c>
      <c r="G12" s="1" t="s">
        <v>48</v>
      </c>
      <c r="H12" s="4" t="s">
        <v>49</v>
      </c>
      <c r="I12" s="2">
        <v>1.0</v>
      </c>
      <c r="J12" s="5" t="str">
        <f>IFERROR(__xludf.DUMMYFUNCTION("GOOGLETRANSLATE(A12)"),"atomic heart")</f>
        <v>atomic heart</v>
      </c>
      <c r="K12" s="6" t="str">
        <f>IFERROR(__xludf.DUMMYFUNCTION("GOOGLETRANSLATE(B12)"),"Atomic Heart")</f>
        <v>Atomic Heart</v>
      </c>
      <c r="M12" s="5" t="str">
        <f>IFERROR(__xludf.DUMMYFUNCTION("GOOGLETRANSLATE(G12)"),"Xbox Official Site: Consoles Games and Community | Xbox Skip to main contentMicrosoftXboxXbox Home Home Game Pass​Join Game PassBrowse Games​​Game Pass UltimatePC Game Pass​​Game Pass Core​Deals with Game Pass​Xbox Cloud Gaming (Beta)​ GamesGames homeShop"&amp;" all console gamesShop all PC gamesCloud gamesFree to play gamesOptimized gamesBackward compatible gamesSales &amp; SpecialsRedeem Code Devices​ConsolesConsolesXbox consolesXbox Series XXbox Series SXbox All AccessShop all consolesHelp Me ChooseWhere to buyAc"&amp;"cessoriesAccessoriesShop all accessoriesDesign your controllerControllersHeadsetsHard drives &amp; storageMobile gaming accessoriesPC DevicesPC DevicesGaming PCs PlayCommunityCommunityCommunityXbox communityXbox NewsSustainabilityFor EveryoneFor EveryoneOur p"&amp;"hilosophyFamily hubAccessible gamingCommunity standardsXbox Gear ShopXbox Gear ShopShop gearApps &amp; EntertainmentApps &amp; EntertainmentXbox app for mobileXbox app for Windows PCXbox app for smart TVXbox Game Pass mobile appXbox Family Settings appConsole ent"&amp;"ertainment apps SupportSupport homeXbox statusHelp topicsHelp topicsAccount &amp; profileSubscriptions &amp; billingHardware &amp; networkingFamily &amp; online safetyGames &amp; appsFriends &amp; social activityAccessible gamingXbox system updates My XboxHomeProfileRewardsWish "&amp;"list DevelopersGamesDesigned for XboxMore  All MicrosoftGlobalMicrosoft 365TeamsWindowsSurfaceXboxDealsSmall BusinessSupportSoftwareSoftwareWindows AppsAIOutlookOneDriveMicrosoft TeamsOneNoteMicrosoft EdgeSkypePCs &amp; Devices  PCs &amp; Devices  ComputersShop X"&amp;"boxAccessoriesVR &amp; mixed realityCertified RefurbishedTrade-in for cashEntertainmentEntertainmentXbox Game Pass UltimatePC Game PassXbox gamesPC and Windows gamesMovies &amp; TVBusinessBusinessMicrosoft CloudMicrosoft SecurityDynamics 365Microsoft 365 for busi"&amp;"nessMicrosoft Power PlatformWindows 365Microsoft IndustrySmall BusinessDeveloper &amp; IT  Developer &amp; IT  AzureDeveloper CenterDocumentationMicrosoft LearnMicrosoft Tech CommunityAzure MarketplaceAppSourceVisual StudioOtherOtherMicrosoft Rewards Free downloa"&amp;"ds &amp; securityEducationGift cardsHoliday giftsLicensingUnlocked storiesView SitemapSearchSearch Xbox.com No resultsCancel0Cart0 items in shopping cartSign inUse the arrow keys to navigate through the slides and tab to focus on focusable content inside a sl"&amp;"ide section          Shop for more xbox products or sign in to your xbox accountXXFollow Xbox BrowseXbox consolesXbox gamesXbox Game PassXbox accessoriesResourcesXbox NewsXbox SupportFeedbackCommunity StandardsPhotosensitive Seizure WarningUser Research a"&amp;"t XboxMicrosoft StoreMicrosoft accountMicrosoft Store SupportReturnsOrders trackingStore locationsFor DevelopersGamesDesigned for XboxEnglish (United States)California Consumer Privacy Act (CCPA) Opt-Out IconYour Privacy ChoicesCalifornia Consumer Privacy"&amp;" Act (CCPA) Opt-Out IconYour Privacy ChoicesSitemapContact MicrosoftPrivacy &amp; CookiesManage cookiesTerms of useTrademarksThird Party NoticesSafety &amp; ecoAbout our ads© Microsoft 2023")</f>
        <v>Xbox Official Site: Consoles Games and Community | Xbox Skip to main contentMicrosoftXboxXbox Home Home Game Pass​Join Game PassBrowse Games​​Game Pass UltimatePC Game Pass​​Game Pass Core​Deals with Game Pass​Xbox Cloud Gaming (Beta)​ GamesGames homeShop all console gamesShop all PC gamesCloud gamesFree to play gamesOptimized gamesBackward compatible gamesSales &amp; SpecialsRedeem Code Devices​ConsolesConsolesXbox consolesXbox Series XXbox Series SXbox All AccessShop all consolesHelp Me ChooseWhere to buyAccessoriesAccessoriesShop all accessoriesDesign your controllerControllersHeadsetsHard drives &amp; storageMobile gaming accessoriesPC DevicesPC DevicesGaming PCs PlayCommunityCommunityCommunityXbox communityXbox NewsSustainabilityFor EveryoneFor EveryoneOur philosophyFamily hubAccessible gamingCommunity standardsXbox Gear ShopXbox Gear ShopShop gearApps &amp; EntertainmentApps &amp; EntertainmentXbox app for mobileXbox app for Windows PCXbox app for smart TVXbox Game Pass mobile appXbox Family Settings appConsole entertainment apps SupportSupport homeXbox statusHelp topicsHelp topicsAccount &amp; profileSubscriptions &amp; billingHardware &amp; networkingFamily &amp; online safetyGames &amp; appsFriends &amp; social activityAccessible gamingXbox system updates My XboxHomeProfileRewardsWish list DevelopersGamesDesigned for XboxMore  All MicrosoftGlobalMicrosoft 365TeamsWindowsSurfaceXboxDealsSmall BusinessSupportSoftwareSoftwareWindows AppsAIOutlookOneDriveMicrosoft TeamsOneNoteMicrosoft EdgeSkypePCs &amp; Devices  PCs &amp; Devices  ComputersShop XboxAccessoriesVR &amp; mixed realityCertified RefurbishedTrade-in for cashEntertainmentEntertainmentXbox Game Pass UltimatePC Game PassXbox gamesPC and Windows gamesMovies &amp; TVBusinessBusinessMicrosoft CloudMicrosoft SecurityDynamics 365Microsoft 365 for businessMicrosoft Power PlatformWindows 365Microsoft IndustrySmall BusinessDeveloper &amp; IT  Developer &amp; IT  AzureDeveloper CenterDocumentationMicrosoft LearnMicrosoft Tech CommunityAzure MarketplaceAppSourceVisual StudioOtherOtherMicrosoft Rewards Free downloads &amp; securityEducationGift cardsHoliday giftsLicensingUnlocked storiesView SitemapSearchSearch Xbox.com No resultsCancel0Cart0 items in shopping cartSign inUse the arrow keys to navigate through the slides and tab to focus on focusable content inside a slide section          Shop for more xbox products or sign in to your xbox accountXXFollow Xbox BrowseXbox consolesXbox gamesXbox Game PassXbox accessoriesResourcesXbox NewsXbox SupportFeedbackCommunity StandardsPhotosensitive Seizure WarningUser Research at XboxMicrosoft StoreMicrosoft accountMicrosoft Store SupportReturnsOrders trackingStore locationsFor DevelopersGamesDesigned for XboxEnglish (United States)California Consumer Privacy Act (CCPA) Opt-Out IconYour Privacy ChoicesCalifornia Consumer Privacy Act (CCPA) Opt-Out IconYour Privacy ChoicesSitemapContact MicrosoftPrivacy &amp; CookiesManage cookiesTerms of useTrademarksThird Party NoticesSafety &amp; ecoAbout our ads© Microsoft 2023</v>
      </c>
    </row>
    <row r="13">
      <c r="A13" s="1" t="s">
        <v>13</v>
      </c>
      <c r="B13" s="1" t="s">
        <v>25</v>
      </c>
      <c r="C13" s="1" t="s">
        <v>50</v>
      </c>
      <c r="D13" s="1">
        <v>7.0</v>
      </c>
      <c r="E13" s="4" t="s">
        <v>51</v>
      </c>
      <c r="F13" s="1" t="s">
        <v>43</v>
      </c>
      <c r="G13" s="1" t="s">
        <v>52</v>
      </c>
      <c r="H13" s="4" t="s">
        <v>53</v>
      </c>
      <c r="I13" s="2">
        <v>2.0</v>
      </c>
      <c r="J13" s="5" t="str">
        <f>IFERROR(__xludf.DUMMYFUNCTION("GOOGLETRANSLATE(A13)"),"atomic heart")</f>
        <v>atomic heart</v>
      </c>
      <c r="K13" s="6" t="str">
        <f>IFERROR(__xludf.DUMMYFUNCTION("GOOGLETRANSLATE(B13)"),"Atomic Heart")</f>
        <v>Atomic Heart</v>
      </c>
      <c r="L13" s="5" t="str">
        <f>IFERROR(__xludf.DUMMYFUNCTION("GOOGLETRANSLATE(C13)"),"Atomic Heart is a colorful title with a gripping story and powerful dialogue. Its universe between Bioshock and Wolfenstein absorbs you and takes you on a fast- ...")</f>
        <v>Atomic Heart is a colorful title with a gripping story and powerful dialogue. Its universe between Bioshock and Wolfenstein absorbs you and takes you on a fast- ...</v>
      </c>
      <c r="M13" s="5" t="str">
        <f>IFERROR(__xludf.DUMMYFUNCTION("GOOGLETRANSLATE(G13)"),"Movie Reviews TV Reviews Game Reviews and Music Reviews - Metacritic                                                                                                                                                                                    X   Clo"&amp;"se Ad       Games        Explore Games                 Games Home                          Best Games This Year                          Best Games of All Time                          Upcoming Releases                          New PS5 Games              "&amp;"            New Xbox Series X/S Games                          New Switch Games                          New PC Games                          See All                 New Games                 New &amp; Upcoming Games                          Free &amp; Subscript"&amp;"ion Games                          Call of Duty: Modern Warfare III                          Alan Wake II                          Like a Dragon Gaiden: The Man Who Erased His Name                          RoboCop: Rogue City                          The "&amp;"Invincible                          Star Ocean: The Second Story R                          Marvel's Spider-Man 2                          Super Mario Bros. Wonder                          See All                  Movies        Explore Movies             "&amp;"    Movies Home                          Coming Soon to Theaters                          DVD/Blu-ray: New &amp; Upcoming                          Best Movies This Year                          Best Movies of All Time                          Best Movies on N"&amp;"etflix                          Best Movies on Hulu                          Best Movies on Prime Video                          Best Movies on Max                          Best Movies on Paramount+                          See All                 New Mov"&amp;"ies in Theaters                 November Movie Preview                          The Hunger Games: The Ballad of Songbirds and Snakes                          The Marvels                          Dream Scenario                          The Holdovers       "&amp;"                   The Killer                          Priscilla                          Five Nights at Freddy's                          Killers of the Flower Moon                          Taylor Swift: The Eras Tour                          See All    "&amp;"              TV Shows        Explore TV                 TV Home                          Best TV Shows This Year                          Apple TV+: New &amp; Upcoming                          Disney+: New &amp; Upcoming                          Hulu: New &amp; Upco"&amp;"ming                          Max: New &amp; Upcoming                          Netflix: New &amp; Upcoming                          Paramount+: New &amp; Upcoming                          Peacock: New &amp; Upcoming                          Prime Video: New &amp; Upcoming   "&amp;"                       See All                 New TV Shows                 TV Premiere Calendar                          TV Renew/Cancel Scorecard                          Fargo S5                          The Curse                          For All Manki"&amp;"nd S4                          Rap Sh!t S2                          The Buccaneers                          Robbie Williams                          Lawmen: Bass Reeves                          Blue Eye Samurai                          See All            "&amp;"      Music        New Albums                 Christ Stapleton: HIgher                          PinkPantheress: Heaven Knows                          Jung Kook: Golden                          Taylor Swift: 1989 (Taylor's Version)                         "&amp;" The Beatles: ""Now and Then""                          The Rolling Stones: Hackney Diamonds                          Blink-182: One More Time...                          Bad Bunny: Nadie Sabe                          Offset: Set it Off                   "&amp;"       Drake: For All the Dogs                          See All                  News         Register          Register           New and Notable                         The Hunger Games: The Ballad of Songbirds and Snakes     movie         Metascore    "&amp;"              Mixed or Average         Based on 22 Critic Reviews 53             The Marvels     movie         Metascore                  Mixed or Average         Based on 53 Critic Reviews 50             Call of Duty: Modern Warfare III     game         "&amp;"Metascore                  Mixed or Average         Based on 31 Critic Reviews 53             The Curse (2023)     tv show         Metascore                  Generally Favorable         Based on 28 Critic Reviews 75             Dream Scenario     movie   "&amp;"      Metascore                  Generally Favorable         Based on 37 Critic Reviews 72             Alan Wake II     game         Metascore                  Generally Favorable         Based on 65 Critic Reviews 87             The Holdovers     movie  "&amp;"       Metascore                  Universal Acclaim         Based on 54 Critic Reviews 81             The Buccaneers (2023)     tv show         Metascore                  Generally Favorable         Based on 17 Critic Reviews 74             Like a Dragon "&amp;"Gaiden: The Man Who Erased His Name     game         Metascore                  Generally Favorable         Based on 56 Critic Reviews 78             Blue Eye Samurai     tv show         Metascore                  Universal Acclaim         Based on 5 Crit"&amp;"ic Reviews 86             Lawmen: Bass Reeves     tv show         Metascore                  Generally Favorable         Based on 16 Critic Reviews 65             Marvel's Spider-Man 2     game         Metascore                  Universal Acclaim         "&amp;"Based on 145 Critic Reviews 90             RoboCop: Rogue City     game         Metascore                  Mixed or Average         Based on 47 Critic Reviews 72             Five Nights at Freddy's     movie         Metascore                  Generally Un"&amp;"favorable         Based on 38 Critic Reviews 33             Killers of the Flower Moon     movie         Metascore                  Universal Acclaim         Based on 63 Critic Reviews 89               Editorial Spotlight                         List of R"&amp;"enewed and Canceled TV Shows for 2023-24 Season (with Metascores)                 Jason Dietz         Below are all new and returning primetime and streaming shows expected to air during the 2023-24 television season (beginning with the summer of 2023). M"&amp;"etascores premiere dates and renewal status will be updated frequently throughout the season. tv show           November 2023 Movie Preview: The Marvels Hunger Games Maestro Napoleon and More Films to See                 Keith Kimbell         The packed m"&amp;"onth ahead will bring a new chapter in The Hunger Games saga a return to the MCU Disney's latest animated original plus new films from Hayao Miyazaki Sofia Coppola Bradley Cooper Ridley Scott Todd Haynes Emerald Fennell and more. To help you plan your mov"&amp;"iegoing options our editors have selected the most notable films releasing in November 2023 listed in alphabetical order. movie           Notable Video Game Releases: New and Upcoming                 Jason Dietz         Find release dates and scores for e"&amp;"very major upcoming and recent video game release for all platforms updated weekly. game           2023-2024 TV Premiere Calendar                 Jason Dietz         Find a frequently updated calendar of premiere dates for all upcoming new and returning t"&amp;"elevision shows on broadcast streaming and cable plus TV movies and specials. tv show           What to Watch on Netflix Right Now                 Jason Dietz         Get a list of the best movies and TV shows recently added (and coming soon) to Netflix u"&amp;"pdated frequently. You can also find a list of titles leaving Netflix this month. tv show           DVD/Blu-ray Releases: New &amp; Upcoming                 Jason Dietz         Find a list of new movie and TV releases on DVD and Blu-ray (updated weekly) as we"&amp;"ll as a calendar of upcoming releases on home video. movie            Latest Videos                               Fargo             tv show         Metascore                  Universal Acclaim         Based on 148 Critic Reviews 85          Metascore     "&amp;"             Universal Acclaim         Based on 148 Critic Reviews 85      1:59 Now Playing: Fargo: Season 5    1:08 Now Playing: The Marvels: Friend Of Yours?    3:21 Now Playing: The Fall Guy    7:43 Now Playing: Alone in the Dark | Looking For Jeremy G"&amp;"ameplay Trailer    0:30 Now Playing: Call of Duty: Modern Warfare III - Official Campaign Cinematic Trailer           Games                     Games Home               New Releases Top Critics' Picks Most Popular               Movies                     "&amp;"Movies Home               New Releases Top Critics' Picks Most Popular              TV Shows                     TV Home               New Releases Top Critics' Picks Most Popular                 The Gold Standard in Critical Analysis       The Metascore "&amp;"Breakdown    We collect reviews from the world's top critics.Each review is scored based on its overall quality.The summarized weighted average captures the essence of critical opinion.         Learn More              Overview About Help Center Careers Pr"&amp;"ivacy Policy Terms of Use Cookie Settings Follow Us        Video and Images from IVA &amp; Xperi   Movie title data credits and poster art provided by      © 2023 FANDOM INC. ALL RIGHTS RESERVED.   Explore Other Brands      Video and Images from IVA &amp; Xperi  "&amp;" Movie title data credits and poster art provided by      © 2023 FANDOM INC. ALL RIGHTS RESERVED.   ")</f>
        <v>Movie Reviews TV Reviews Game Reviews and Music Reviews - Metacritic                                                                                                                                                                                    X   Close Ad       Games        Explore Games                 Games Home                          Best Games This Year                          Best Games of All Time                          Upcoming Releases                          New PS5 Games                          New Xbox Series X/S Games                          New Switch Games                          New PC Games                          See All                 New Games                 New &amp; Upcoming Games                          Free &amp; Subscription Games                          Call of Duty: Modern Warfare III                          Alan Wake II                          Like a Dragon Gaiden: The Man Who Erased His Name                          RoboCop: Rogue City                          The Invincible                          Star Ocean: The Second Story R                          Marvel's Spider-Man 2                          Super Mario Bros. Wonder                          See All                  Movies        Explore Movies                 Movies Home                          Coming Soon to Theaters                          DVD/Blu-ray: New &amp; Upcoming                          Best Movies This Year                          Best Movies of All Time                          Best Movies on Netflix                          Best Movies on Hulu                          Best Movies on Prime Video                          Best Movies on Max                          Best Movies on Paramount+                          See All                 New Movies in Theaters                 November Movie Preview                          The Hunger Games: The Ballad of Songbirds and Snakes                          The Marvels                          Dream Scenario                          The Holdovers                          The Killer                          Priscilla                          Five Nights at Freddy's                          Killers of the Flower Moon                          Taylor Swift: The Eras Tour                          See All                  TV Shows        Explore TV                 TV Home                          Best TV Shows This Year                          Apple TV+: New &amp; Upcoming                          Disney+: New &amp; Upcoming                          Hulu: New &amp; Upcoming                          Max: New &amp; Upcoming                          Netflix: New &amp; Upcoming                          Paramount+: New &amp; Upcoming                          Peacock: New &amp; Upcoming                          Prime Video: New &amp; Upcoming                          See All                 New TV Shows                 TV Premiere Calendar                          TV Renew/Cancel Scorecard                          Fargo S5                          The Curse                          For All Mankind S4                          Rap Sh!t S2                          The Buccaneers                          Robbie Williams                          Lawmen: Bass Reeves                          Blue Eye Samurai                          See All                  Music        New Albums                 Christ Stapleton: HIgher                          PinkPantheress: Heaven Knows                          Jung Kook: Golden                          Taylor Swift: 1989 (Taylor's Version)                          The Beatles: "Now and Then"                          The Rolling Stones: Hackney Diamonds                          Blink-182: One More Time...                          Bad Bunny: Nadie Sabe                          Offset: Set it Off                          Drake: For All the Dogs                          See All                  News         Register          Register           New and Notable                         The Hunger Games: The Ballad of Songbirds and Snakes     movie         Metascore                  Mixed or Average         Based on 22 Critic Reviews 53             The Marvels     movie         Metascore                  Mixed or Average         Based on 53 Critic Reviews 50             Call of Duty: Modern Warfare III     game         Metascore                  Mixed or Average         Based on 31 Critic Reviews 53             The Curse (2023)     tv show         Metascore                  Generally Favorable         Based on 28 Critic Reviews 75             Dream Scenario     movie         Metascore                  Generally Favorable         Based on 37 Critic Reviews 72             Alan Wake II     game         Metascore                  Generally Favorable         Based on 65 Critic Reviews 87             The Holdovers     movie         Metascore                  Universal Acclaim         Based on 54 Critic Reviews 81             The Buccaneers (2023)     tv show         Metascore                  Generally Favorable         Based on 17 Critic Reviews 74             Like a Dragon Gaiden: The Man Who Erased His Name     game         Metascore                  Generally Favorable         Based on 56 Critic Reviews 78             Blue Eye Samurai     tv show         Metascore                  Universal Acclaim         Based on 5 Critic Reviews 86             Lawmen: Bass Reeves     tv show         Metascore                  Generally Favorable         Based on 16 Critic Reviews 65             Marvel's Spider-Man 2     game         Metascore                  Universal Acclaim         Based on 145 Critic Reviews 90             RoboCop: Rogue City     game         Metascore                  Mixed or Average         Based on 47 Critic Reviews 72             Five Nights at Freddy's     movie         Metascore                  Generally Unfavorable         Based on 38 Critic Reviews 33             Killers of the Flower Moon     movie         Metascore                  Universal Acclaim         Based on 63 Critic Reviews 89               Editorial Spotlight                         List of Renewed and Canceled TV Shows for 2023-24 Season (with Metascores)                 Jason Dietz         Below are all new and returning primetime and streaming shows expected to air during the 2023-24 television season (beginning with the summer of 2023). Metascores premiere dates and renewal status will be updated frequently throughout the season. tv show           November 2023 Movie Preview: The Marvels Hunger Games Maestro Napoleon and More Films to See                 Keith Kimbell         The packed month ahead will bring a new chapter in The Hunger Games saga a return to the MCU Disney's latest animated original plus new films from Hayao Miyazaki Sofia Coppola Bradley Cooper Ridley Scott Todd Haynes Emerald Fennell and more. To help you plan your moviegoing options our editors have selected the most notable films releasing in November 2023 listed in alphabetical order. movie           Notable Video Game Releases: New and Upcoming                 Jason Dietz         Find release dates and scores for every major upcoming and recent video game release for all platforms updated weekly. game           2023-2024 TV Premiere Calendar                 Jason Dietz         Find a frequently updated calendar of premiere dates for all upcoming new and returning television shows on broadcast streaming and cable plus TV movies and specials. tv show           What to Watch on Netflix Right Now                 Jason Dietz         Get a list of the best movies and TV shows recently added (and coming soon) to Netflix updated frequently. You can also find a list of titles leaving Netflix this month. tv show           DVD/Blu-ray Releases: New &amp; Upcoming                 Jason Dietz         Find a list of new movie and TV releases on DVD and Blu-ray (updated weekly) as well as a calendar of upcoming releases on home video. movie            Latest Videos                               Fargo             tv show         Metascore                  Universal Acclaim         Based on 148 Critic Reviews 85          Metascore                  Universal Acclaim         Based on 148 Critic Reviews 85      1:59 Now Playing: Fargo: Season 5    1:08 Now Playing: The Marvels: Friend Of Yours?    3:21 Now Playing: The Fall Guy    7:43 Now Playing: Alone in the Dark | Looking For Jeremy Gameplay Trailer    0:30 Now Playing: Call of Duty: Modern Warfare III - Official Campaign Cinematic Trailer           Games                     Games Home               New Releases Top Critics' Picks Most Popular               Movies                     Movies Home               New Releases Top Critics' Picks Most Popular              TV Shows                     TV Home               New Releases Top Critics' Picks Most Popular                 The Gold Standard in Critical Analysis       The Metascore Breakdown    We collect reviews from the world's top critics.Each review is scored based on its overall quality.The summarized weighted average captures the essence of critical opinion.         Learn More              Overview About Help Center Careers Privacy Policy Terms of Use Cookie Settings Follow Us        Video and Images from IVA &amp; Xperi   Movie title data credits and poster art provided by      © 2023 FANDOM INC. ALL RIGHTS RESERVED.   Explore Other Brands      Video and Images from IVA &amp; Xperi   Movie title data credits and poster art provided by      © 2023 FANDOM INC. ALL RIGHTS RESERVED.   </v>
      </c>
    </row>
    <row r="14">
      <c r="A14" s="1" t="s">
        <v>54</v>
      </c>
      <c r="B14" s="1" t="s">
        <v>55</v>
      </c>
      <c r="C14" s="1" t="s">
        <v>56</v>
      </c>
      <c r="D14" s="1">
        <v>1.0</v>
      </c>
      <c r="E14" s="4" t="s">
        <v>57</v>
      </c>
      <c r="F14" s="1" t="s">
        <v>16</v>
      </c>
      <c r="G14" s="1" t="s">
        <v>58</v>
      </c>
      <c r="H14" s="4" t="s">
        <v>59</v>
      </c>
      <c r="I14" s="2">
        <v>1.0</v>
      </c>
      <c r="J14" s="5" t="str">
        <f>IFERROR(__xludf.DUMMYFUNCTION("GOOGLETRANSLATE(A14)"),"chatgpt")</f>
        <v>chatgpt</v>
      </c>
      <c r="K14" s="6" t="str">
        <f>IFERROR(__xludf.DUMMYFUNCTION("GOOGLETRANSLATE(B14)"),"ChatGPT")</f>
        <v>ChatGPT</v>
      </c>
      <c r="L14" s="5" t="str">
        <f>IFERROR(__xludf.DUMMYFUNCTION("GOOGLETRANSLATE(C14)"),"ChatGPT is a free-to-use AI system. Use it for engaging conversations, gain insights, automate tasks, and witness the future of AI, all in one place.")</f>
        <v>ChatGPT is a free-to-use AI system. Use it for engaging conversations, gain insights, automate tasks, and witness the future of AI, all in one place.</v>
      </c>
      <c r="M14" s="5" t="str">
        <f>IFERROR(__xludf.DUMMYFUNCTION("GOOGLETRANSLATE(G14)"),"ChatGPTChatGPT ●Help me picka gift for my dad who loves fishing●an outfit that will look good on camera●Summarize this articleinto three key points●as a table of pros and cons●Write a textthat goes with a kitten gif for a friend having a rough day●asking "&amp;"a friend to be my plus-one at a wedding●Plan a tripto experience Seoul like a local●to see the northern lights in Norway●Help me debuga Python script automating daily reports●why the linked list appears empty after I've reversed it●Suggest fun activitiesf"&amp;"or a team-building day with remote employees●for a family of 4 to do indoors on a rainy day●Give me ideasfor a customer loyalty program in a small bookstore●for what to do with my kids' art●Write a thank-you noteto my interviewer●to our babysitter for the"&amp;" last-minute help●Brainstorm namesfor my fantasy football team●for an orange cat we're adopting from the shelter●Recommend a dishto bring to a potluck●to impress a date who's a picky eater●Draft an emailto request a quote from local plumbers●requesting a "&amp;"deadline extension for my project●Improve my postfor selling a used vacuum in good condition●for hiring a store associate●ChatGPT ●Get startedLog inSign upTerms of use|Privacy policy")</f>
        <v>ChatGPTChatGPT ●Help me picka gift for my dad who loves fishing●an outfit that will look good on camera●Summarize this articleinto three key points●as a table of pros and cons●Write a textthat goes with a kitten gif for a friend having a rough day●asking a friend to be my plus-one at a wedding●Plan a tripto experience Seoul like a local●to see the northern lights in Norway●Help me debuga Python script automating daily reports●why the linked list appears empty after I've reversed it●Suggest fun activitiesfor a team-building day with remote employees●for a family of 4 to do indoors on a rainy day●Give me ideasfor a customer loyalty program in a small bookstore●for what to do with my kids' art●Write a thank-you noteto my interviewer●to our babysitter for the last-minute help●Brainstorm namesfor my fantasy football team●for an orange cat we're adopting from the shelter●Recommend a dishto bring to a potluck●to impress a date who's a picky eater●Draft an emailto request a quote from local plumbers●requesting a deadline extension for my project●Improve my postfor selling a used vacuum in good condition●for hiring a store associate●ChatGPT ●Get startedLog inSign upTerms of use|Privacy policy</v>
      </c>
    </row>
    <row r="15">
      <c r="A15" s="1" t="s">
        <v>54</v>
      </c>
      <c r="B15" s="1" t="s">
        <v>60</v>
      </c>
      <c r="C15" s="1" t="s">
        <v>61</v>
      </c>
      <c r="D15" s="1">
        <v>2.0</v>
      </c>
      <c r="E15" s="4" t="s">
        <v>62</v>
      </c>
      <c r="F15" s="1" t="s">
        <v>16</v>
      </c>
      <c r="G15" s="1" t="s">
        <v>63</v>
      </c>
      <c r="H15" s="4" t="s">
        <v>64</v>
      </c>
      <c r="I15" s="2">
        <v>3.0</v>
      </c>
      <c r="J15" s="5" t="str">
        <f>IFERROR(__xludf.DUMMYFUNCTION("GOOGLETRANSLATE(A15)"),"chatgpt")</f>
        <v>chatgpt</v>
      </c>
      <c r="K15" s="6" t="str">
        <f>IFERROR(__xludf.DUMMYFUNCTION("GOOGLETRANSLATE(B15)"),"ChatGPT in Russian")</f>
        <v>ChatGPT in Russian</v>
      </c>
      <c r="L15" s="5" t="str">
        <f>IFERROR(__xludf.DUMMYFUNCTION("GOOGLETRANSLATE(C15)"),"ChatGPT is an artificial intelligence that can generate texts on various topics, answer questions and even maintain conversations in different languages, including ...")</f>
        <v>ChatGPT is an artificial intelligence that can generate texts on various topics, answer questions and even maintain conversations in different languages, including ...</v>
      </c>
      <c r="M15" s="5" t="str">
        <f>IFERROR(__xludf.DUMMYFUNCTION("GOOGLETRANSLATE(G15)"),"ChatGPT on Russian TryChatGpt -free we? Blog about neurosetpromtytes to sign up on Telegram to support the design of the design, we are about the Neurosetpromtypot Trying to sign up for Telegram to support the projectchatgpt - your intellectual chat bottl"&amp;"e. Based on the advanced technologies of artificial intelligence from Openai, our chat bot is ready to answer any of your questions. It has knowledge in various fields, including the history of technology science and much more. Try ChatGPT now and be surp"&amp;"rised at its abilities! Without VPN stops and numbers. Trychatgpt on RussianChatgpt - your intellectual chat bot. Based on the advanced technologies of artificial intelligence from Openai, our chat bot is ready to answer any of your questions. It has know"&amp;"ledge in various fields, including the history of technology science and much more. Try ChatGPT now and be surprised at its abilities! Without VPN stops and numbers. Trying a bout uses a model: GPT-3.5-Turbo and remembers the context of the dialog for res"&amp;"et press the button. If suddenly the answer comes for too long. Try to update the page and repeat the request. The chatbot uses the model: GPT-3.5-Turbo and remembers the context of the dialog for reset press the button. If suddenly the answer comes for t"&amp;"oo long. Try to update the page and repeat the request.Chatgpt prints ... reset the Dialogue Understand the Chat Signing on the Telegram Chat How can you use ChatGPT? ChatGPT is designed to solve a variety of problems. It is a powerful tool that can be us"&amp;"eful both at work in business in study and in programming. Creating a textane chatbot based on a neural network will help you competently write and create texts online. It is free and offers a variety of means for creating a text including techniques of a"&amp;"rtistic spelling. Our program will help you make an inscription or write a text by providing accuracy and relevance. Creating ideas-models are a source of inspiration for various projects and solutions. They are able to generate ideas that can be applied "&amp;"in marketing by science of the art of technology and other areas. These ideas become a starting point for innovative approaches and help to achieve success in various fields of activity. Studies for questions from thechatgpt - trained on large amounts of "&amp;"data - a chatbot capable of understanding a natural language and answering questions. He finds application in various fields, including medicine, the right of science and others providing quick and accurate answers to user questions. This tool greatly fac"&amp;"ilitates access to information and helps people get the necessary help and advice in various fields. As a translator-boot, it has the ability to analyze texts and perform translation into other languages ​​while maintaining their meaning and context. This"&amp;" functionality can be useful in various situations, including the translation of scientific articles of texts of texts for educational purposes and even songs. Due to the possibility of an online transmission, the chatbot provides a quick and convenient w"&amp;"ay to get a translation of the desired word of sentence or text. You can write a code that will help you automate tasks and optimize processes. ChatGPT trained on large amounts of data has a neural network model for writing code including Python programmi"&amp;"ng. This tool understands various programming languages ​​and helps to create a code that meets the requirements and conditions for solving a variety of tasks. The information analysis of information is able to analyze information and draw conclusions bas"&amp;"ed on the information contained in the texts. It collects and analysis of information recognizes the keywords of the phrase and context to determine what information in the text is the most significant and relevant. This allows you to use a chatbot for an"&amp;" effective analysis of information and obtaining valuable conclusions. What is convenient TryChatgpt.ru? Support for the Russian language, without a VPN and registration, you need a telephone number of the accelerated answer to ChatGPT Language: Russian 简"&amp;"体 中文 English 한국어 español فار#الmympة Italiano پښ Mear Hello! Welcome to the page about Chatgpt, the developed company Openi. ChatGPT is an artificial intelligence capable of generating texts on various topics to answer questions and even maintain conversa"&amp;"tions in different languages, including Russian.Chatgpt, already available in Russia and you can use it for free. Sometimes Chatgpt can be uploaded to full power, so you may need a little Wait to start using it. In order to start using ChatGPT, you do not"&amp;" need to be an expert in the field of artificial intelligence - just ask a question or write a message and the bot will begin to generate answers. If you want to know more about how to use CHATGPT you can find a lot of useful information On our site. In g"&amp;"eneral, ChatGPT is a powerful and universal tool that can be useful for a wide range of tasks. If you have questions or need help, do not hesitate to contact our support service. © 2023 TryChatgpt Ruengesitcoiraran © 2023 TryChatgpt upmade on tilda")</f>
        <v>ChatGPT on Russian TryChatGpt -free we? Blog about neurosetpromtytes to sign up on Telegram to support the design of the design, we are about the Neurosetpromtypot Trying to sign up for Telegram to support the projectchatgpt - your intellectual chat bottle. Based on the advanced technologies of artificial intelligence from Openai, our chat bot is ready to answer any of your questions. It has knowledge in various fields, including the history of technology science and much more. Try ChatGPT now and be surprised at its abilities! Without VPN stops and numbers. Trychatgpt on RussianChatgpt - your intellectual chat bot. Based on the advanced technologies of artificial intelligence from Openai, our chat bot is ready to answer any of your questions. It has knowledge in various fields, including the history of technology science and much more. Try ChatGPT now and be surprised at its abilities! Without VPN stops and numbers. Trying a bout uses a model: GPT-3.5-Turbo and remembers the context of the dialog for reset press the button. If suddenly the answer comes for too long. Try to update the page and repeat the request. The chatbot uses the model: GPT-3.5-Turbo and remembers the context of the dialog for reset press the button. If suddenly the answer comes for too long. Try to update the page and repeat the request.Chatgpt prints ... reset the Dialogue Understand the Chat Signing on the Telegram Chat How can you use ChatGPT? ChatGPT is designed to solve a variety of problems. It is a powerful tool that can be useful both at work in business in study and in programming. Creating a textane chatbot based on a neural network will help you competently write and create texts online. It is free and offers a variety of means for creating a text including techniques of artistic spelling. Our program will help you make an inscription or write a text by providing accuracy and relevance. Creating ideas-models are a source of inspiration for various projects and solutions. They are able to generate ideas that can be applied in marketing by science of the art of technology and other areas. These ideas become a starting point for innovative approaches and help to achieve success in various fields of activity. Studies for questions from thechatgpt - trained on large amounts of data - a chatbot capable of understanding a natural language and answering questions. He finds application in various fields, including medicine, the right of science and others providing quick and accurate answers to user questions. This tool greatly facilitates access to information and helps people get the necessary help and advice in various fields. As a translator-boot, it has the ability to analyze texts and perform translation into other languages ​​while maintaining their meaning and context. This functionality can be useful in various situations, including the translation of scientific articles of texts of texts for educational purposes and even songs. Due to the possibility of an online transmission, the chatbot provides a quick and convenient way to get a translation of the desired word of sentence or text. You can write a code that will help you automate tasks and optimize processes. ChatGPT trained on large amounts of data has a neural network model for writing code including Python programming. This tool understands various programming languages ​​and helps to create a code that meets the requirements and conditions for solving a variety of tasks. The information analysis of information is able to analyze information and draw conclusions based on the information contained in the texts. It collects and analysis of information recognizes the keywords of the phrase and context to determine what information in the text is the most significant and relevant. This allows you to use a chatbot for an effective analysis of information and obtaining valuable conclusions. What is convenient TryChatgpt.ru? Support for the Russian language, without a VPN and registration, you need a telephone number of the accelerated answer to ChatGPT Language: Russian 简体 中文 English 한국어 español فار#الmympة Italiano پښ Mear Hello! Welcome to the page about Chatgpt, the developed company Openi. ChatGPT is an artificial intelligence capable of generating texts on various topics to answer questions and even maintain conversations in different languages, including Russian.Chatgpt, already available in Russia and you can use it for free. Sometimes Chatgpt can be uploaded to full power, so you may need a little Wait to start using it. In order to start using ChatGPT, you do not need to be an expert in the field of artificial intelligence - just ask a question or write a message and the bot will begin to generate answers. If you want to know more about how to use CHATGPT you can find a lot of useful information On our site. In general, ChatGPT is a powerful and universal tool that can be useful for a wide range of tasks. If you have questions or need help, do not hesitate to contact our support service. © 2023 TryChatgpt Ruengesitcoiraran © 2023 TryChatgpt upmade on tilda</v>
      </c>
    </row>
    <row r="16">
      <c r="A16" s="1" t="s">
        <v>54</v>
      </c>
      <c r="B16" s="1" t="s">
        <v>65</v>
      </c>
      <c r="D16" s="1">
        <v>3.0</v>
      </c>
      <c r="E16" s="4" t="s">
        <v>66</v>
      </c>
      <c r="F16" s="1" t="s">
        <v>16</v>
      </c>
      <c r="G16" s="1" t="s">
        <v>67</v>
      </c>
      <c r="H16" s="4" t="s">
        <v>68</v>
      </c>
      <c r="I16" s="2">
        <v>3.0</v>
      </c>
      <c r="J16" s="5" t="str">
        <f>IFERROR(__xludf.DUMMYFUNCTION("GOOGLETRANSLATE(A16)"),"chatgpt")</f>
        <v>chatgpt</v>
      </c>
      <c r="K16" s="6" t="str">
        <f>IFERROR(__xludf.DUMMYFUNCTION("GOOGLETRANSLATE(B16)"),"CHAD | ChatGPT in Russian")</f>
        <v>CHAD | ChatGPT in Russian</v>
      </c>
      <c r="M16" s="5" t="str">
        <f>IFERROR(__xludf.DUMMYFUNCTION("GOOGLETRANSLATE(G16)"),"  CHAD | ChatGPT in Russian input, that the businessbog is working as a businessablog work, what can work as a work of business -calling in CHADCHAD - ChatGPT on the Russian service with popular neural networks. He writes texts code and draws pictures. It"&amp;" works without VPN and numbers. Use free ChatGPT access to GPT-3.5 and GPT-4 versions of the neural network. To work with text and code. Midjorney and Dalle artificial intelligence will draw a picture of the description. Midjorney V5 and Dall-E 3. Library"&amp;" Prosmes Library templates with high-quality answers are available in the bot. You can add yours. How does CHAD work? We connect to the paid version of the Chat GPT from Openai and other popular neural networks adapt them for Russia and make them open. CH"&amp;"AD supports the Russian language and the interface of fast answers without queue and stops for an hour access without a VPN do not need a phone number and a foreign card interface in English blocks Russian users paid version of $ 20 with a foreign card in"&amp;" the peak workload does not work time save your time to decide Routine tasks using ready -made templates Create content create unique images and text for any social networks Improve the text use in learning, edit any text increase the originality Create t"&amp;"he best text for any tasks, look for any information, create tests in one click Create code edit and create any code Learn the new and correct errors support for updates and reviews about the service in Telegram Chat Community and reviews of a really cool"&amp;" bot !!! I steamed with a scientific for half a year I bought a Turkish card for registration then translated from English ... And here it is quickly without a queue without any troubles! @StllGeekin Danil used to program at the university on Python every"&amp;"thing works clearly thank you @denisshvts Denis very quickly and everything works conveniently that now you don’t need to steam with VPN)! It works faster than the original and in Russian the answers are much better! @Rthdxbully Sasha Super product. Simpl"&amp;"ifies many tasks. This will become the most comfortable mechanism for those who have been postponing frost with registration on the original site all the time. @solo_maa Masha Krutyak! I use to write a code for the university. Functional is enough. Suppor"&amp;"ts different programming languages. No registration problems do not need Fake Simka @Dancerflexerr Misha thanks for the bot! I used for a copy in social networks I threw cool ideas for rubrics) it works faster than the usual one and does not dull since it"&amp;" doesn’t need vpn @wintervi Vita Vita View CHADS Use the service from the tablet mobile device or on the computer. Google Play does not work? Download CHAD use the service from a tablet mobile device or on a computer. Google Play does not work? Tariffs pr"&amp;"ovide 10 free queries for the service test for access without limits or personal account for the team write to the manager in Telegram Plus 1690 rubles/month to start for free ~ 450,000 words of processed or written GPT-3.5 access to GPT-4 creation of ima"&amp;"ges priority access to new capabilities priority priority Technical support is suitable for serious volumetric work optimum to start for free ~ 150,000 words of processed or written GPT-3.5 access to GPT-4 Creation of images Priority access to new capabil"&amp;"ities. Technical support is suitable for work and daily use 590 rubles/month mini mines free ~ 45,000 words Processed or written GPT-3.5 is suitable for rare use and infrequent tasks of 290 rubles/month all basic functions Creating images. Frequent questi"&amp;"ons as and on which version work CHAD? Is this a chatbot based on the original GPT-35 language model from Openai. The model was taught using an array of texts from the Internet and the human learning system. ChatGPT can sometimes give incorrect answers to"&amp;" unpopular local requests in Russia or questions until 2021. We recommend checking whether the answers of the model are accurate and use it for popular questions. GPT-4 is also available: it gives better answers but works slower and when it is used is con"&amp;"sumed 15 times more words. Now this is the most advanced text neural network. For images, the Midjourney 5.2 Stable Diffusion and Dall · E 3. So that the bot draws the image, just ask him about it (for example, “Draw a bridge over the river”). What will h"&amp;"appen if it will happen if the limit of the end of the month is used up before the end of the month ? In this case, you can re -register without waiting for the next month. You can take the same tariff plan or another. The limit will be expanded immediate"&amp;"ly and the next write -off of the funds will be made a month after the last (just designed) payment. How is the number of words indicated in the tariffs? It is taken into account: the introduced text; the text generated by the neural network; the text of "&amp;"the previous messages is necessary for the neural network to take into account the context of the dialogue and learned. By default, the neural network in a particular chat remembers and processes the last 2000-16,000 characters (250 - 2000 words) dependin"&amp;"g on the settings. When the history is disconnected (the ""Settings"" button to the left of the input field), the neural network will not spend strength on the upper messages - will be considered Only the introduced and generated text. In the GPT-4 mode, "&amp;"15 times more words are consumed from actually processed. When generating pictures, the number of words from the text sent by the text plus a fixed number of words for generating the picture itself: for midjourney 5.2 (for one request = 4 pictures ) - 320"&amp;"0 words; for Stable Diffusion (for one request = 4 pictures) - 3200 words; for dall · e 3 (for one request = one picture) - 3600 words; for dall · e 3 hd (for one request = one picture ) - 7200 words. Why is the service paid? We use a paid priority versio"&amp;"n of the Openai Chat GPT. We pay for it with abroad and provide in Russia for those who are inconvenient to limit yourself to waiting in line for processing and using VPN. If I will have questions or difficulties will help me? Yes, you can ask a question "&amp;"or write a technical problem in Telegram chat in the Support section and we We answer. How to turn off the subscription? To turn off the automotive, you need to go into your personal account and click the ""Cancel Auto -Supply"" button. When paying for SB"&amp;"P, the automotage is not issued, therefore, the option of turning off is not visible. After the automotive dodging, the already paid subscription will still continue to work until the end of the validity of the words.Hello@Chadgpt.ru © 2022 - 2023 “CHAD G"&amp;"PT” all rights are protected By paying for the tariff and/or starting to use this service, you agree with the terms of the offer. Permanent link to the offer: https://chadgpt.ru/offer Review that it may work as a business sanctuary")</f>
        <v>  CHAD | ChatGPT in Russian input, that the businessbog is working as a businessablog work, what can work as a work of business -calling in CHADCHAD - ChatGPT on the Russian service with popular neural networks. He writes texts code and draws pictures. It works without VPN and numbers. Use free ChatGPT access to GPT-3.5 and GPT-4 versions of the neural network. To work with text and code. Midjorney and Dalle artificial intelligence will draw a picture of the description. Midjorney V5 and Dall-E 3. Library Prosmes Library templates with high-quality answers are available in the bot. You can add yours. How does CHAD work? We connect to the paid version of the Chat GPT from Openai and other popular neural networks adapt them for Russia and make them open. CHAD supports the Russian language and the interface of fast answers without queue and stops for an hour access without a VPN do not need a phone number and a foreign card interface in English blocks Russian users paid version of $ 20 with a foreign card in the peak workload does not work time save your time to decide Routine tasks using ready -made templates Create content create unique images and text for any social networks Improve the text use in learning, edit any text increase the originality Create the best text for any tasks, look for any information, create tests in one click Create code edit and create any code Learn the new and correct errors support for updates and reviews about the service in Telegram Chat Community and reviews of a really cool bot !!! I steamed with a scientific for half a year I bought a Turkish card for registration then translated from English ... And here it is quickly without a queue without any troubles! @StllGeekin Danil used to program at the university on Python everything works clearly thank you @denisshvts Denis very quickly and everything works conveniently that now you don’t need to steam with VPN)! It works faster than the original and in Russian the answers are much better! @Rthdxbully Sasha Super product. Simplifies many tasks. This will become the most comfortable mechanism for those who have been postponing frost with registration on the original site all the time. @solo_maa Masha Krutyak! I use to write a code for the university. Functional is enough. Supports different programming languages. No registration problems do not need Fake Simka @Dancerflexerr Misha thanks for the bot! I used for a copy in social networks I threw cool ideas for rubrics) it works faster than the usual one and does not dull since it doesn’t need vpn @wintervi Vita Vita View CHADS Use the service from the tablet mobile device or on the computer. Google Play does not work? Download CHAD use the service from a tablet mobile device or on a computer. Google Play does not work? Tariffs provide 10 free queries for the service test for access without limits or personal account for the team write to the manager in Telegram Plus 1690 rubles/month to start for free ~ 450,000 words of processed or written GPT-3.5 access to GPT-4 creation of images priority access to new capabilities priority priority Technical support is suitable for serious volumetric work optimum to start for free ~ 150,000 words of processed or written GPT-3.5 access to GPT-4 Creation of images Priority access to new capabilities. Technical support is suitable for work and daily use 590 rubles/month mini mines free ~ 45,000 words Processed or written GPT-3.5 is suitable for rare use and infrequent tasks of 290 rubles/month all basic functions Creating images. Frequent questions as and on which version work CHAD? Is this a chatbot based on the original GPT-35 language model from Openai. The model was taught using an array of texts from the Internet and the human learning system. ChatGPT can sometimes give incorrect answers to unpopular local requests in Russia or questions until 2021. We recommend checking whether the answers of the model are accurate and use it for popular questions. GPT-4 is also available: it gives better answers but works slower and when it is used is consumed 15 times more words. Now this is the most advanced text neural network. For images, the Midjourney 5.2 Stable Diffusion and Dall · E 3. So that the bot draws the image, just ask him about it (for example, “Draw a bridge over the river”). What will happen if it will happen if the limit of the end of the month is used up before the end of the month ? In this case, you can re -register without waiting for the next month. You can take the same tariff plan or another. The limit will be expanded immediately and the next write -off of the funds will be made a month after the last (just designed) payment. How is the number of words indicated in the tariffs? It is taken into account: the introduced text; the text generated by the neural network; the text of the previous messages is necessary for the neural network to take into account the context of the dialogue and learned. By default, the neural network in a particular chat remembers and processes the last 2000-16,000 characters (250 - 2000 words) depending on the settings. When the history is disconnected (the "Settings" button to the left of the input field), the neural network will not spend strength on the upper messages - will be considered Only the introduced and generated text. In the GPT-4 mode, 15 times more words are consumed from actually processed. When generating pictures, the number of words from the text sent by the text plus a fixed number of words for generating the picture itself: for midjourney 5.2 (for one request = 4 pictures ) - 3200 words; for Stable Diffusion (for one request = 4 pictures) - 3200 words; for dall · e 3 (for one request = one picture) - 3600 words; for dall · e 3 hd (for one request = one picture ) - 7200 words. Why is the service paid? We use a paid priority version of the Openai Chat GPT. We pay for it with abroad and provide in Russia for those who are inconvenient to limit yourself to waiting in line for processing and using VPN. If I will have questions or difficulties will help me? Yes, you can ask a question or write a technical problem in Telegram chat in the Support section and we We answer. How to turn off the subscription? To turn off the automotive, you need to go into your personal account and click the "Cancel Auto -Supply" button. When paying for SBP, the automotage is not issued, therefore, the option of turning off is not visible. After the automotive dodging, the already paid subscription will still continue to work until the end of the validity of the words.Hello@Chadgpt.ru © 2022 - 2023 “CHAD GPT” all rights are protected By paying for the tariff and/or starting to use this service, you agree with the terms of the offer. Permanent link to the offer: https://chadgpt.ru/offer Review that it may work as a business sanctuary</v>
      </c>
    </row>
    <row r="17">
      <c r="A17" s="1" t="s">
        <v>54</v>
      </c>
      <c r="B17" s="1" t="s">
        <v>55</v>
      </c>
      <c r="D17" s="1">
        <v>4.0</v>
      </c>
      <c r="E17" s="4" t="s">
        <v>69</v>
      </c>
      <c r="F17" s="1" t="s">
        <v>16</v>
      </c>
      <c r="G17" s="1" t="s">
        <v>31</v>
      </c>
      <c r="H17" s="4" t="s">
        <v>32</v>
      </c>
      <c r="I17" s="2">
        <v>0.0</v>
      </c>
      <c r="J17" s="5" t="str">
        <f>IFERROR(__xludf.DUMMYFUNCTION("GOOGLETRANSLATE(A17)"),"chatgpt")</f>
        <v>chatgpt</v>
      </c>
      <c r="K17" s="6" t="str">
        <f>IFERROR(__xludf.DUMMYFUNCTION("GOOGLETRANSLATE(B17)"),"ChatGPT")</f>
        <v>ChatGPT</v>
      </c>
      <c r="M17" s="5" t="str">
        <f>IFERROR(__xludf.DUMMYFUNCTION("GOOGLETRANSLATE(G17)"),"Wikipedia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8">
      <c r="A18" s="1" t="s">
        <v>54</v>
      </c>
      <c r="B18" s="1" t="s">
        <v>70</v>
      </c>
      <c r="D18" s="1">
        <v>5.0</v>
      </c>
      <c r="E18" s="4" t="s">
        <v>71</v>
      </c>
      <c r="F18" s="1" t="s">
        <v>16</v>
      </c>
      <c r="G18" s="1" t="s">
        <v>72</v>
      </c>
      <c r="H18" s="4" t="s">
        <v>73</v>
      </c>
      <c r="I18" s="2">
        <v>1.0</v>
      </c>
      <c r="J18" s="5" t="str">
        <f>IFERROR(__xludf.DUMMYFUNCTION("GOOGLETRANSLATE(A18)"),"chatgpt")</f>
        <v>chatgpt</v>
      </c>
      <c r="K18" s="6" t="str">
        <f>IFERROR(__xludf.DUMMYFUNCTION("GOOGLETRANSLATE(B18)"),"Chat GPT: a neural network in Russian. Online service ...")</f>
        <v>Chat GPT: a neural network in Russian. Online service ...</v>
      </c>
      <c r="M18" s="5" t="str">
        <f>IFERROR(__xludf.DUMMYFUNCTION("GOOGLETRANSLATE(G18)"),"You need to enable JS support in a browser to visit this site.")</f>
        <v>You need to enable JS support in a browser to visit this site.</v>
      </c>
    </row>
    <row r="19">
      <c r="A19" s="1" t="s">
        <v>54</v>
      </c>
      <c r="B19" s="1" t="s">
        <v>74</v>
      </c>
      <c r="C19" s="1" t="s">
        <v>75</v>
      </c>
      <c r="D19" s="1">
        <v>6.0</v>
      </c>
      <c r="E19" s="4" t="s">
        <v>76</v>
      </c>
      <c r="F19" s="1" t="s">
        <v>16</v>
      </c>
      <c r="G19" s="1" t="s">
        <v>77</v>
      </c>
      <c r="H19" s="4" t="s">
        <v>78</v>
      </c>
      <c r="I19" s="2">
        <v>2.0</v>
      </c>
      <c r="J19" s="5" t="str">
        <f>IFERROR(__xludf.DUMMYFUNCTION("GOOGLETRANSLATE(A19)"),"chatgpt")</f>
        <v>chatgpt</v>
      </c>
      <c r="K19" s="6" t="str">
        <f>IFERROR(__xludf.DUMMYFUNCTION("GOOGLETRANSLATE(B19)"),"ChatGPT in Russian: free and without registration")</f>
        <v>ChatGPT in Russian: free and without registration</v>
      </c>
      <c r="L19" s="5" t="str">
        <f>IFERROR(__xludf.DUMMYFUNCTION("GOOGLETRANSLATE(C19)"),"ChatGPT neural network is available in Russia. Use the Openai chatbot in Russian completely free and without registration.")</f>
        <v>ChatGPT neural network is available in Russia. Use the Openai chatbot in Russian completely free and without registration.</v>
      </c>
      <c r="M19" s="5" t="str">
        <f>IFERROR(__xludf.DUMMYFUNCTION("GOOGLETRANSLATE(G19)"),"208.75.19.153 12.11.2023 06:45:11Sorry your request has been denied.")</f>
        <v>208.75.19.153 12.11.2023 06:45:11Sorry your request has been denied.</v>
      </c>
    </row>
    <row r="20">
      <c r="A20" s="1" t="s">
        <v>54</v>
      </c>
      <c r="B20" s="1" t="s">
        <v>79</v>
      </c>
      <c r="C20" s="1" t="s">
        <v>80</v>
      </c>
      <c r="D20" s="1">
        <v>7.0</v>
      </c>
      <c r="E20" s="4" t="s">
        <v>81</v>
      </c>
      <c r="F20" s="1" t="s">
        <v>16</v>
      </c>
      <c r="G20" s="1" t="s">
        <v>82</v>
      </c>
      <c r="H20" s="4" t="s">
        <v>83</v>
      </c>
      <c r="I20" s="2">
        <v>1.0</v>
      </c>
      <c r="J20" s="5" t="str">
        <f>IFERROR(__xludf.DUMMYFUNCTION("GOOGLETRANSLATE(A20)"),"chatgpt")</f>
        <v>chatgpt</v>
      </c>
      <c r="K20" s="6" t="str">
        <f>IFERROR(__xludf.DUMMYFUNCTION("GOOGLETRANSLATE(B20)"),"The creator of Chatgpt told what future he is us ...")</f>
        <v>The creator of Chatgpt told what future he is us ...</v>
      </c>
      <c r="L20" s="5" t="str">
        <f>IFERROR(__xludf.DUMMYFUNCTION("GOOGLETRANSLATE(C20)"),"19 hours ago -")</f>
        <v>19 hours ago -</v>
      </c>
      <c r="M20" s="5" t="str">
        <f>IFERROR(__xludf.DUMMYFUNCTION("GOOGLETRANSLATE(G20)"),"All articles in a row / Habr    Habr  β              How to become an author                        All streams                 Development                  Admin                  Design                  Management                  Marketing              "&amp;"    PopSci         Search     Profile          Pull to refresh      All streams            Articles                 Posts                 News                 Hubs                 Authors               All   Dropdown  Copy RSS link          Show first    "&amp;"         New          Top             Rating limit             All          ≥0          ≥10          ≥25          ≥50          ≥100               Level of difficulty                       All                          Easy                          Medium  "&amp;"                        Hard                     Apply                PaulKarol        Nov  10  at 17:56  Building an IT website aimed at America and the West  Reading time      3 min   Views  148 IT Infrastructure *IT Standards *Research and forecasts in"&amp;" IT *GTD *IT career     My last article stirred up some definite comments and even questions about different things in business. I’m going to keep giving you as much information as I can so that you can continue to do business as IT professionals outside "&amp;"of Russia with other countries. How do you design a website that will be viewed in the west and appreciated by the people there?What are the most important elementsfor America and other western markets?   Read more  Rating  0  Add to bookmarks      3     "&amp;"Comments        0               PaulKarol        Nov  7  at 12:32  Marketing your Mindset  Reading time      2 min   Views  177 IT Infrastructure *IT Standards *Research and forecasts in IT *GTD *IT career     Information shared below is exactly how I wor"&amp;"k with my IT professionals who are going to be participating in pre-sales to America. I tell them exactly this and it helps prepare them to successfully sell the the United States companies.As developers and IT companies we must sell our software. What ca"&amp;"n give you an edge in this very competitive market place?Please if you would allow me to let me explain why this is important and how this can make your company more successful.  There’s a certain type of thinking that is conducive to working as a softwar"&amp;"e developer. This is a very practical mindset but it goes beyond that. If you have the mindset of direct thinking.Here are examples:I see the target a target and I don’t see obstaclesВижу цель не вижу препятствийThis is an example of the practical mindset"&amp;" how is approaches the problem of development. It makes people who have this mindset the best developers in the world.Example of mindset:Problem……………… find a solution………… No problem.Notice how this looks exactly like a line of code?This is well-known arou"&amp;"nd the world in places where you would like to sell your software the United States Germany Belgium and the Middle East.Countries where people have this mindset have the best developers. now let’s talk about your competition:Americans: during the center p"&amp;"rocess “find a solution” Americans are overly concerned about responsibility. This slows them down in the decision making process.    Read more  Total votes 1: ↑0 and ↓1  -1  Add to bookmarks      3     Comments        2               kaze_no_saga        "&amp;"Nov  7  at 06:03  PostgreSQL 17: Part 2 or Commitfest 2023-09  Reading time      11 min   Views  384 Postgres Professional corporate blog PostgreSQL *SQL *     Digest       Translation     We continue to follow the news of the PostgreSQL 17 development. L"&amp;"et's find out what the September commitfest brings to the table.If you missed our July commitfest review you can check it out here: 2023-07.Removed the parameter old_snapshot_thresholdNew parameter event_triggersNew functions to_bin and to_octNew system v"&amp;"iew pg_wait_eventsEXPLAIN: a JIT compilation time counter for tuple deformingPlanner: better estimate of the initial cost of the WindowAgg nodepg_constraint: NOT NULL constraintsNormalization of CALL DEALLOCATE and two-phase commit control commandsunaccen"&amp;"t: the target rule expressions now support values in quotation marksCOPY FROM: FORCE_NOT_NULL * and FORCE_NULL *Audit of connections without authenticationpg_stat_subscription: new column worker_typeThe behaviour of pg_promote in case of unsuccessful swit"&amp;"chover to a replicaChoosing the disk synchronization method in server utilitiespg_restore: optimization of parallel recovery of a large number of tablespg_basebackup and pg_receivewal with the parameter dbnameParameter names for a number of built-in funct"&amp;"ionspsql: watch min_rows   Read more →  Total votes 3: ↑3 and ↓0  +3  Add to bookmarks      2     Comments        1               SpringJava        Nov  4  at 12:34  How to Use Throw and Throws in Java Level of difficulty      Easy   Reading time      2 m"&amp;"in   Views  347 Programming *Java *     Tutorial      Exception handling in Java is the most effective way to handle runtime errors occurring in the application. This is used to protect the abnormal flow of the execution of the application and continue th"&amp;"e application in normal flow. This is the process of handling runtime errors such as ClassNotFoundException IOException etc. The throw and throws keywords are used to handle exceptions in Java.In this topic we will learn how to use throw and throws keywor"&amp;"ds in Java with examples.   Read more  Total votes 3: ↑3 and ↓0  +3  Add to bookmarks      0     Comments        0               PaulKarol        Nov  3  at 14:20  The key to Sales Conversion of an American CEO or CFO  Reading time      1 min   Views  405"&amp;" IT Infrastructure *IT Standards *Research and forecasts in IT *GTD *IT career     i’m writing this series articles to spearhead the new marketing campaign for into the American market. I will be covering a wide range of topics that will allow us to posit"&amp;"ion the company in the proper way so that is excepted as a provider of High-quality software in America.The key to converting an American CEO or CFO is the trigger point for the American business culture. The trigger point for America is responsibility.  "&amp;" This means in business you must be responsible. You also look for business partners that are responsible.  But let’s take this into the newest more powerful view that we need to have now.  The scene from the point of you of the CFO sitting at the head of"&amp;" the financial controls of a large hospital conglomerate. Put yourself in the mind of the CFO. What are they concerned about?  As an American CFO they will be very concerned about whether they are being responsible in their job and responsible to the hosp"&amp;"ital staff shareholders patients and the management above them. And this is how we get our foot in the door in this American niche market. If we present ourselves as offering something that “May” give an answer to specific problems that they know that the"&amp;"y have they must give us a chance to present a Presale. The reason is because they are responsible and if there is a solution as an American Director you must explore that solution.It would be irresponsible to not explore a potential solution.Then it’s a "&amp;"simple case to actually give value in the presale meeting and convince them that we can deliver some thing that will benefit their business and profits.   Read more  Total votes 6: ↑0 and ↓6  -6  Add to bookmarks      4     Comments        2              "&amp;" SpringJava        Nov  3  at 10:20  One-to-One Bidirectional Mapping in Spring Boot JPA Level of difficulty      Easy   Reading time      8 min   Views  237 Programming *Java *System Programming *Systems engineering *     Tutorial      This topic will te"&amp;"ach us to implement one-to-one(@OneToOne annotation) bidirectional mapping using Spring Boot Hibernate and Spring Data JPA.   Read more  Rating  0  Add to bookmarks      0     Comments        0               RahulKumarsree        Oct  30  at 17:40  Top 10"&amp;" Best Free Partition Manager Software for Windows PC/Laptop Level of difficulty      Medium   Reading time      12 min   Views  598 Development for Windows *Technical Writing *     Opinion       From sandbox     If you are searching for free partition man"&amp;"ager software for your Windows PC then Download the Top and best Partition Manager Software on Windows PC/Laptop.It is a software program that lets us create delete shrink expand split or merge partitions on our hard drives or other storage devices. Witho"&amp;"ut extra software a hard drive will be partitioned into Windows. But we can’t resize or combine them without any extra help.The important aspect of owning a PC is to manage your hard-drive partitions very effectively. Based on categories it divides data t"&amp;"o allow people. For example you can keep your multimedia files work folders and your programs in different partitions and install them on your system drive.If you use your PC to double or triple-boot into various operating systems as a power user. Your SS"&amp;"D or HDD must be divided into smaller partitions; otherwise it is impossible.In 2020 in managing software partitions effectively. We help you with Windows and Linux by compiling a list of the best free partition software. So let’s read more to get the fre"&amp;"e partition manager Windows 10/8/7.   Read more  Rating  0  Add to bookmarks      4     Comments        1               SpringJava        Oct  30  at 16:37  List in Java | Interface Methods Example Level of difficulty      Easy   Reading time      4 min  "&amp;" Views  260 Java *      From sandbox     In this topic we will learn about what is a List in Java. How to create a List in Java? What are the methods of List in Java? The List is an interface in Java. It is extending the Collection interface in Java. This"&amp;" List interface is present in the java.util package in Java. A list represents a group of individual objects as a single entity where duplicates are allowed and insertion order is preserved.   Read more  Rating  0  Add to bookmarks      1     Comments    "&amp;"    0               ENCRY        Oct  30  at 15:25  Anonymous identification for groups Level of difficulty      Hard   Reading time      13 min   Views  231 Information Security *    The identification protocol based on the pairing function resistant to "&amp;"impersonation and compatible with the instant digital signature (IDS) mode was studied in this article. This protocol uses prover's and verifier's public keys. As a result there is no anonymity since certificates including personal data of their owners ar"&amp;"e issued for the mentioned keys. This article contains a description and analysis of new anonymous identification protocols for groups.   Read more  Rating  0  Add to bookmarks      2     Comments        0               Liga_Stavok        Oct  30  at 15:1"&amp;"3  Roadmap for Managing Chaos — Planing Migration from a Monolith to Microservices  Reading time      22 min   Views  378 Liga Stavok corporate blog      Roadmap      Roadmap for Managing Chaos - Planing Migration from a Monolith to Microservices This art"&amp;"icle tries to provide some insight into the complexities of transitioning from monolithic architectures to microservices. Our goal is to offer a high view perspective on the various considerations and challenges that arise during such migrations terms and"&amp;" keywords you will encounter and their role in this endeavor.    Read more  Rating  0  Add to bookmarks      1     Comments        0               ArcaneGamingcom        Oct  30  at 11:55  UX Designer Job Interview: 10 questions to answer 5 questions to a"&amp;"sk Level of difficulty      Easy   Reading time      6 min   Views  261 SQL *IT Standards *Usability *GitHub *Data Engineering *     Retrospective       Recovery Mode     No matter how many degrees you have or how high your experience level is your recrui"&amp;"ters need to evaluate your knowledge of UX design as a whole. But keep in mind that a job interview is not an exam so here you are expected not to recite the textbook definitions learned by heart but rather share your personal understanding of UX and your"&amp;" role as a designer in general. Consider talking about how you define UX what creates value in the design what are the necessary parts of a UX design process what are the current trends in UX. You might also be asked to explain the difference between UI a"&amp;"nd UX to see how you understand the role of each in the development process.   Read more  Rating  0  Add to bookmarks      0     Comments        0               brdnicolas        Oct  28  at 12:46  React — Higher Order Components (HOC) Level of difficulty"&amp;"      Medium   Reading time      5 min   Views  1.1K JavaScript *ReactJS *      From sandbox     In the ever-evolving realm of web development mastering advanced concepts is essential for creating robust and flexible applications. In this article we'll de"&amp;"lve into one of these foundational React concepts: Higher-Order Components commonly known as HOCs. Whether you're a seasoned developer seeking advanced techniques or a curious beginner eager to learn we'll walk through the creation and application of HOCs"&amp;" step by step. Get ready to enrich your development toolkit with this powerful approach while discovering how to enhance the readability reusability and maintainability of your code.   Learn it  Rating  0  Add to bookmarks      4     Comments        0    "&amp;"           Gonchar_POTT        Oct  26  at 08:42  Python Lives in Excel Level of difficulty      Medium   Reading time      5 min   Views  679 Python *Software      Case       Translation     There was already news on Habr about this significant event. In"&amp;"deed it resembles a retelling of the official Microsoft press release but that's how the 'news' should be.   Read more  Rating  0  Add to bookmarks      2     Comments        0               BarsMonster        Oct  22  at 22:09  Doing 10 minute task in 2 "&amp;"hours using ChatGPT Level of difficulty      Easy   Reading time      4 min   Views  1.8K Programming *Machine learning *Artificial Intelligence      Case      Many of us have heard stories where one was able to complete days worth of work in minutes usin"&amp;"g AI even being outside of one's area of expertise. Indeed often LLM's do (almost) miracles but today I had a different experience:   Read more  Total votes 3: ↑3 and ↓0  +3  Add to bookmarks      2     Comments        3               gfx_pro        Oct  "&amp;"21  at 15:21  Do smartphone cameras need 12-bit ADCs or my failed experiment Level of difficulty      Medium   Reading time      3 min   Views  388 Image processing *Gadgets Smartphones Photographic equipment      Analytics       Translation     Among pho"&amp;"tographers it is known that on ""big"" cameras the use of 14-bit readout compared to 12-bit can have a positive impact on shadow detail. How does this apply to small sensors in smartphone cameras?   Let's find out  Rating  0  Add to bookmarks      1     C"&amp;"omments        0               aozeritsky        Oct  19  at 09:00  High-performance network library using C++20 coroutines Level of difficulty      Medium   Reading time      17 min   Views  13K Programming *C++ *Development for MacOS *Development for Li"&amp;"nux *     Tutorial      Asynchronous programming is commonly employed for efficient implementation of network interactions in C++. The essence of this approach lies in the fact that the results of socket read/write functions are not immediately available "&amp;"but become accessible after some time. This approach allows for loading the processor with useful work during the wait for data. Various implementations of this approach exist such as callbacks actors future/promise coroutines. In C++ these implementation"&amp;"s are available as libraries from third-party developers or can be implemented independently.Coroutines are the most challenging to implement as they require writing platform-dependent code. However the recent version of the C++ 20 language standard intro"&amp;"duces support for coroutines at the compiler and standard library levels. Coroutines are functions that can suspend their execution preserving their state and later return to that state to resume the function's work. The compiler automatically creates a c"&amp;"heckpoint with the coroutine's state.For a comprehensive understanding of C++ 20 coroutines refer to this article. Below we examine a code example using coroutines and describe important points applied during implementation.   Read more  Total votes 6: ↑4"&amp;" and ↓2  +2  Add to bookmarks      7     Comments        11               vda19999        Oct  15  at 11:52  How sqlalchemy uses greenlet to call an async Python function from a normal function  Reading time      5 min   Views  538 Python *    The Python "&amp;"language has two kind of functions — normal functions that you would use in most cases and async functions. The latter functions are used when performing network IO in an asynchronous manner. The problem with this division is that async functions can only"&amp;" be called from other async functions. Normal functions on the other hand can be called from any functions — however if you call a normal function that does a blocking operation from an async function it will block the whole event loop and all your corout"&amp;"ines. These limitations usually mean that when writing an using Python`s asyncio you can`t use any of the IO libraries that you use when writing a synchronous application and vice versa unless a library supports usage both in sync and async applications. "&amp;"Now the question is in case you are developing a large and complex library that say allows users to interact with relational databases abstracting away (some of) the differences between the SQL syntax and other aspects of these databases and abstracting a"&amp;"way the differences between the drivers for that database how do you support both sync and async usage of your library without duplicating the code of your library? The way sqlalchemy is organized is that regardless of what database and driver for it you "&amp;"are using you will be calling functions and methods related to Engine Connection etc classes which will do some general work independent of database then apply the logic specific to your database and finally call the functions of your database driver to a"&amp;"ctually communicate with the database. If you are using Python`s asyncio the database driver will expose async functions and methods but the rest of the library that is driver‑independent would ideally remain the same. However the issue is that that you c"&amp;"an`t call the async functions of the driver from the normal functions of the core of the library.    Read more  Total votes 4: ↑4 and ↓0  +4  Add to bookmarks      2     Comments        1               Makeman        Oct  14  at 07:00  GEOMETRY OF SOUND  "&amp;"Reading time      5 min   Views  725 Programming *Algorithms *C# *Mathematics *Software     Surprisingly there are strict mathematical methods that literally allow to hear visual geometric forms and conversely to see the beauty of musical harmonies...[Rea"&amp;"d on Russian]   Read more...  Total votes 3: ↑3 and ↓0  +3  Add to bookmarks      5     Comments        0               Leschev        Oct  11  at 07:30  React Custom Hook: useTimeout Level of difficulty      Medium   Reading time      2 min   Views  1.1K"&amp;" Website development *JavaScript *ReactJS *TypeScript *Visual programming *     Digest      One of the significant advantages of this custom hook is that it ensures the callback function remains up to date even if it changes during component re-renders. B"&amp;"y using a useRef to store the callback reference the hook guarantees that the latest version of the function is always called.   Read more  Total votes 4: ↑2 and ↓2  0  Add to bookmarks      2     Comments        1               gfx_pro        Oct  9  at "&amp;"18:55  A (more) accurate camera sensor dynamic range measurement  Reading time      7 min   Views  504 Photographic equipment Data Engineering *     Analytics       Translation     Hello everyone! In this post let's talk about how to (more) accurately mea"&amp;"sure the dynamic range of a camera sensor and what can be done with these measurements.Of course I am not an expert in computer vision a programmer or a statistician so please feel free to correct me in the comments if I make mistakes in this post. Here m"&amp;"y interest was primarily focused on everyday and practical tasks such as photography but I believe the results may also be useful to computer vision professionals.   Read more  Rating  0  Add to bookmarks      1     Comments        2         Back        H"&amp;"ere            1             2              3               ...              49              50              There     Back                   Your account                         Log in                              Sign up                        Sections "&amp;"                        Articles                              News                              Hubs                              Authors                              Sandbox                        Information                         How it works         "&amp;"                     For authors                              For companies                              Documents                              Agreement                              Confidential                        Services                         Cor"&amp;"porate blogs                              Advertising                              Native advertising                              Education programs                              Startups                              Special projects                Facebo"&amp;"ok Twitter Telegram           Language settings               Support       © 2006–2023  Habr   ")</f>
        <v>All articles in a row / Habr    Habr  β              How to become an author                        All streams                 Development                  Admin                  Design                  Management                  Marketing                  PopSci         Search     Profile          Pull to refresh      All streams            Articles                 Posts                 News                 Hubs                 Authors               All   Dropdown  Copy RSS link          Show first             New          Top             Rating limit             All          ≥0          ≥10          ≥25          ≥50          ≥100               Level of difficulty                       All                          Easy                          Medium                          Hard                     Apply                PaulKarol        Nov  10  at 17:56  Building an IT website aimed at America and the West  Reading time      3 min   Views  148 IT Infrastructure *IT Standards *Research and forecasts in IT *GTD *IT career     My last article stirred up some definite comments and even questions about different things in business. I’m going to keep giving you as much information as I can so that you can continue to do business as IT professionals outside of Russia with other countries. How do you design a website that will be viewed in the west and appreciated by the people there?What are the most important elementsfor America and other western markets?   Read more  Rating  0  Add to bookmarks      3     Comments        0               PaulKarol        Nov  7  at 12:32  Marketing your Mindset  Reading time      2 min   Views  177 IT Infrastructure *IT Standards *Research and forecasts in IT *GTD *IT career     Information shared below is exactly how I work with my IT professionals who are going to be participating in pre-sales to America. I tell them exactly this and it helps prepare them to successfully sell the the United States companies.As developers and IT companies we must sell our software. What can give you an edge in this very competitive market place?Please if you would allow me to let me explain why this is important and how this can make your company more successful.  There’s a certain type of thinking that is conducive to working as a software developer. This is a very practical mindset but it goes beyond that. If you have the mindset of direct thinking.Here are examples:I see the target a target and I don’t see obstaclesВижу цель не вижу препятствийThis is an example of the practical mindset how is approaches the problem of development. It makes people who have this mindset the best developers in the world.Example of mindset:Problem……………… find a solution………… No problem.Notice how this looks exactly like a line of code?This is well-known around the world in places where you would like to sell your software the United States Germany Belgium and the Middle East.Countries where people have this mindset have the best developers. now let’s talk about your competition:Americans: during the center process “find a solution” Americans are overly concerned about responsibility. This slows them down in the decision making process.    Read more  Total votes 1: ↑0 and ↓1  -1  Add to bookmarks      3     Comments        2               kaze_no_saga        Nov  7  at 06:03  PostgreSQL 17: Part 2 or Commitfest 2023-09  Reading time      11 min   Views  384 Postgres Professional corporate blog PostgreSQL *SQL *     Digest       Translation     We continue to follow the news of the PostgreSQL 17 development. Let's find out what the September commitfest brings to the table.If you missed our July commitfest review you can check it out here: 2023-07.Removed the parameter old_snapshot_thresholdNew parameter event_triggersNew functions to_bin and to_octNew system view pg_wait_eventsEXPLAIN: a JIT compilation time counter for tuple deformingPlanner: better estimate of the initial cost of the WindowAgg nodepg_constraint: NOT NULL constraintsNormalization of CALL DEALLOCATE and two-phase commit control commandsunaccent: the target rule expressions now support values in quotation marksCOPY FROM: FORCE_NOT_NULL * and FORCE_NULL *Audit of connections without authenticationpg_stat_subscription: new column worker_typeThe behaviour of pg_promote in case of unsuccessful switchover to a replicaChoosing the disk synchronization method in server utilitiespg_restore: optimization of parallel recovery of a large number of tablespg_basebackup and pg_receivewal with the parameter dbnameParameter names for a number of built-in functionspsql: watch min_rows   Read more →  Total votes 3: ↑3 and ↓0  +3  Add to bookmarks      2     Comments        1               SpringJava        Nov  4  at 12:34  How to Use Throw and Throws in Java Level of difficulty      Easy   Reading time      2 min   Views  347 Programming *Java *     Tutorial      Exception handling in Java is the most effective way to handle runtime errors occurring in the application. This is used to protect the abnormal flow of the execution of the application and continue the application in normal flow. This is the process of handling runtime errors such as ClassNotFoundException IOException etc. The throw and throws keywords are used to handle exceptions in Java.In this topic we will learn how to use throw and throws keywords in Java with examples.   Read more  Total votes 3: ↑3 and ↓0  +3  Add to bookmarks      0     Comments        0               PaulKarol        Nov  3  at 14:20  The key to Sales Conversion of an American CEO or CFO  Reading time      1 min   Views  405 IT Infrastructure *IT Standards *Research and forecasts in IT *GTD *IT career     i’m writing this series articles to spearhead the new marketing campaign for into the American market. I will be covering a wide range of topics that will allow us to position the company in the proper way so that is excepted as a provider of High-quality software in America.The key to converting an American CEO or CFO is the trigger point for the American business culture. The trigger point for America is responsibility.   This means in business you must be responsible. You also look for business partners that are responsible.  But let’s take this into the newest more powerful view that we need to have now.  The scene from the point of you of the CFO sitting at the head of the financial controls of a large hospital conglomerate. Put yourself in the mind of the CFO. What are they concerned about?  As an American CFO they will be very concerned about whether they are being responsible in their job and responsible to the hospital staff shareholders patients and the management above them. And this is how we get our foot in the door in this American niche market. If we present ourselves as offering something that “May” give an answer to specific problems that they know that they have they must give us a chance to present a Presale. The reason is because they are responsible and if there is a solution as an American Director you must explore that solution.It would be irresponsible to not explore a potential solution.Then it’s a simple case to actually give value in the presale meeting and convince them that we can deliver some thing that will benefit their business and profits.   Read more  Total votes 6: ↑0 and ↓6  -6  Add to bookmarks      4     Comments        2               SpringJava        Nov  3  at 10:20  One-to-One Bidirectional Mapping in Spring Boot JPA Level of difficulty      Easy   Reading time      8 min   Views  237 Programming *Java *System Programming *Systems engineering *     Tutorial      This topic will teach us to implement one-to-one(@OneToOne annotation) bidirectional mapping using Spring Boot Hibernate and Spring Data JPA.   Read more  Rating  0  Add to bookmarks      0     Comments        0               RahulKumarsree        Oct  30  at 17:40  Top 10 Best Free Partition Manager Software for Windows PC/Laptop Level of difficulty      Medium   Reading time      12 min   Views  598 Development for Windows *Technical Writing *     Opinion       From sandbox     If you are searching for free partition manager software for your Windows PC then Download the Top and best Partition Manager Software on Windows PC/Laptop.It is a software program that lets us create delete shrink expand split or merge partitions on our hard drives or other storage devices. Without extra software a hard drive will be partitioned into Windows. But we can’t resize or combine them without any extra help.The important aspect of owning a PC is to manage your hard-drive partitions very effectively. Based on categories it divides data to allow people. For example you can keep your multimedia files work folders and your programs in different partitions and install them on your system drive.If you use your PC to double or triple-boot into various operating systems as a power user. Your SSD or HDD must be divided into smaller partitions; otherwise it is impossible.In 2020 in managing software partitions effectively. We help you with Windows and Linux by compiling a list of the best free partition software. So let’s read more to get the free partition manager Windows 10/8/7.   Read more  Rating  0  Add to bookmarks      4     Comments        1               SpringJava        Oct  30  at 16:37  List in Java | Interface Methods Example Level of difficulty      Easy   Reading time      4 min   Views  260 Java *      From sandbox     In this topic we will learn about what is a List in Java. How to create a List in Java? What are the methods of List in Java? The List is an interface in Java. It is extending the Collection interface in Java. This List interface is present in the java.util package in Java. A list represents a group of individual objects as a single entity where duplicates are allowed and insertion order is preserved.   Read more  Rating  0  Add to bookmarks      1     Comments        0               ENCRY        Oct  30  at 15:25  Anonymous identification for groups Level of difficulty      Hard   Reading time      13 min   Views  231 Information Security *    The identification protocol based on the pairing function resistant to impersonation and compatible with the instant digital signature (IDS) mode was studied in this article. This protocol uses prover's and verifier's public keys. As a result there is no anonymity since certificates including personal data of their owners are issued for the mentioned keys. This article contains a description and analysis of new anonymous identification protocols for groups.   Read more  Rating  0  Add to bookmarks      2     Comments        0               Liga_Stavok        Oct  30  at 15:13  Roadmap for Managing Chaos — Planing Migration from a Monolith to Microservices  Reading time      22 min   Views  378 Liga Stavok corporate blog      Roadmap      Roadmap for Managing Chaos - Planing Migration from a Monolith to Microservices This article tries to provide some insight into the complexities of transitioning from monolithic architectures to microservices. Our goal is to offer a high view perspective on the various considerations and challenges that arise during such migrations terms and keywords you will encounter and their role in this endeavor.    Read more  Rating  0  Add to bookmarks      1     Comments        0               ArcaneGamingcom        Oct  30  at 11:55  UX Designer Job Interview: 10 questions to answer 5 questions to ask Level of difficulty      Easy   Reading time      6 min   Views  261 SQL *IT Standards *Usability *GitHub *Data Engineering *     Retrospective       Recovery Mode     No matter how many degrees you have or how high your experience level is your recruiters need to evaluate your knowledge of UX design as a whole. But keep in mind that a job interview is not an exam so here you are expected not to recite the textbook definitions learned by heart but rather share your personal understanding of UX and your role as a designer in general. Consider talking about how you define UX what creates value in the design what are the necessary parts of a UX design process what are the current trends in UX. You might also be asked to explain the difference between UI and UX to see how you understand the role of each in the development process.   Read more  Rating  0  Add to bookmarks      0     Comments        0               brdnicolas        Oct  28  at 12:46  React — Higher Order Components (HOC) Level of difficulty      Medium   Reading time      5 min   Views  1.1K JavaScript *ReactJS *      From sandbox     In the ever-evolving realm of web development mastering advanced concepts is essential for creating robust and flexible applications. In this article we'll delve into one of these foundational React concepts: Higher-Order Components commonly known as HOCs. Whether you're a seasoned developer seeking advanced techniques or a curious beginner eager to learn we'll walk through the creation and application of HOCs step by step. Get ready to enrich your development toolkit with this powerful approach while discovering how to enhance the readability reusability and maintainability of your code.   Learn it  Rating  0  Add to bookmarks      4     Comments        0               Gonchar_POTT        Oct  26  at 08:42  Python Lives in Excel Level of difficulty      Medium   Reading time      5 min   Views  679 Python *Software      Case       Translation     There was already news on Habr about this significant event. Indeed it resembles a retelling of the official Microsoft press release but that's how the 'news' should be.   Read more  Rating  0  Add to bookmarks      2     Comments        0               BarsMonster        Oct  22  at 22:09  Doing 10 minute task in 2 hours using ChatGPT Level of difficulty      Easy   Reading time      4 min   Views  1.8K Programming *Machine learning *Artificial Intelligence      Case      Many of us have heard stories where one was able to complete days worth of work in minutes using AI even being outside of one's area of expertise. Indeed often LLM's do (almost) miracles but today I had a different experience:   Read more  Total votes 3: ↑3 and ↓0  +3  Add to bookmarks      2     Comments        3               gfx_pro        Oct  21  at 15:21  Do smartphone cameras need 12-bit ADCs or my failed experiment Level of difficulty      Medium   Reading time      3 min   Views  388 Image processing *Gadgets Smartphones Photographic equipment      Analytics       Translation     Among photographers it is known that on "big" cameras the use of 14-bit readout compared to 12-bit can have a positive impact on shadow detail. How does this apply to small sensors in smartphone cameras?   Let's find out  Rating  0  Add to bookmarks      1     Comments        0               aozeritsky        Oct  19  at 09:00  High-performance network library using C++20 coroutines Level of difficulty      Medium   Reading time      17 min   Views  13K Programming *C++ *Development for MacOS *Development for Linux *     Tutorial      Asynchronous programming is commonly employed for efficient implementation of network interactions in C++. The essence of this approach lies in the fact that the results of socket read/write functions are not immediately available but become accessible after some time. This approach allows for loading the processor with useful work during the wait for data. Various implementations of this approach exist such as callbacks actors future/promise coroutines. In C++ these implementations are available as libraries from third-party developers or can be implemented independently.Coroutines are the most challenging to implement as they require writing platform-dependent code. However the recent version of the C++ 20 language standard introduces support for coroutines at the compiler and standard library levels. Coroutines are functions that can suspend their execution preserving their state and later return to that state to resume the function's work. The compiler automatically creates a checkpoint with the coroutine's state.For a comprehensive understanding of C++ 20 coroutines refer to this article. Below we examine a code example using coroutines and describe important points applied during implementation.   Read more  Total votes 6: ↑4 and ↓2  +2  Add to bookmarks      7     Comments        11               vda19999        Oct  15  at 11:52  How sqlalchemy uses greenlet to call an async Python function from a normal function  Reading time      5 min   Views  538 Python *    The Python language has two kind of functions — normal functions that you would use in most cases and async functions. The latter functions are used when performing network IO in an asynchronous manner. The problem with this division is that async functions can only be called from other async functions. Normal functions on the other hand can be called from any functions — however if you call a normal function that does a blocking operation from an async function it will block the whole event loop and all your coroutines. These limitations usually mean that when writing an using Python`s asyncio you can`t use any of the IO libraries that you use when writing a synchronous application and vice versa unless a library supports usage both in sync and async applications. Now the question is in case you are developing a large and complex library that say allows users to interact with relational databases abstracting away (some of) the differences between the SQL syntax and other aspects of these databases and abstracting away the differences between the drivers for that database how do you support both sync and async usage of your library without duplicating the code of your library? The way sqlalchemy is organized is that regardless of what database and driver for it you are using you will be calling functions and methods related to Engine Connection etc classes which will do some general work independent of database then apply the logic specific to your database and finally call the functions of your database driver to actually communicate with the database. If you are using Python`s asyncio the database driver will expose async functions and methods but the rest of the library that is driver‑independent would ideally remain the same. However the issue is that that you can`t call the async functions of the driver from the normal functions of the core of the library.    Read more  Total votes 4: ↑4 and ↓0  +4  Add to bookmarks      2     Comments        1               Makeman        Oct  14  at 07:00  GEOMETRY OF SOUND  Reading time      5 min   Views  725 Programming *Algorithms *C# *Mathematics *Software     Surprisingly there are strict mathematical methods that literally allow to hear visual geometric forms and conversely to see the beauty of musical harmonies...[Read on Russian]   Read more...  Total votes 3: ↑3 and ↓0  +3  Add to bookmarks      5     Comments        0               Leschev        Oct  11  at 07:30  React Custom Hook: useTimeout Level of difficulty      Medium   Reading time      2 min   Views  1.1K Website development *JavaScript *ReactJS *TypeScript *Visual programming *     Digest      One of the significant advantages of this custom hook is that it ensures the callback function remains up to date even if it changes during component re-renders. By using a useRef to store the callback reference the hook guarantees that the latest version of the function is always called.   Read more  Total votes 4: ↑2 and ↓2  0  Add to bookmarks      2     Comments        1               gfx_pro        Oct  9  at 18:55  A (more) accurate camera sensor dynamic range measurement  Reading time      7 min   Views  504 Photographic equipment Data Engineering *     Analytics       Translation     Hello everyone! In this post let's talk about how to (more) accurately measure the dynamic range of a camera sensor and what can be done with these measurements.Of course I am not an expert in computer vision a programmer or a statistician so please feel free to correct me in the comments if I make mistakes in this post. Here my interest was primarily focused on everyday and practical tasks such as photography but I believe the results may also be useful to computer vision professionals.   Read more  Rating  0  Add to bookmarks      1     Comments        2         Back        Here            1             2              3               ...              49              50              There     Back                   Your account                         Log in                              Sign up                        Sections                         Articles                              News                              Hubs                              Authors                              Sandbox                        Information                         How it works                              For authors                              For companies                              Documents                              Agreement                              Confidential                        Services                         Corporate blogs                              Advertising                              Native advertising                              Education programs                              Startups                              Special projects                Facebook Twitter Telegram           Language settings               Support       © 2006–2023  Habr   </v>
      </c>
    </row>
    <row r="21">
      <c r="A21" s="1" t="s">
        <v>54</v>
      </c>
      <c r="B21" s="1" t="s">
        <v>84</v>
      </c>
      <c r="C21" s="1" t="s">
        <v>85</v>
      </c>
      <c r="D21" s="1">
        <v>8.0</v>
      </c>
      <c r="E21" s="4" t="s">
        <v>86</v>
      </c>
      <c r="F21" s="1" t="s">
        <v>16</v>
      </c>
      <c r="G21" s="1" t="s">
        <v>87</v>
      </c>
      <c r="H21" s="4" t="s">
        <v>88</v>
      </c>
      <c r="I21" s="2">
        <v>2.0</v>
      </c>
      <c r="J21" s="5" t="str">
        <f>IFERROR(__xludf.DUMMYFUNCTION("GOOGLETRANSLATE(A21)"),"chatgpt")</f>
        <v>chatgpt</v>
      </c>
      <c r="K21" s="6" t="str">
        <f>IFERROR(__xludf.DUMMYFUNCTION("GOOGLETRANSLATE(B21)"),"Start ChatGPT")</f>
        <v>Start ChatGPT</v>
      </c>
      <c r="L21" s="5" t="str">
        <f>IFERROR(__xludf.DUMMYFUNCTION("GOOGLETRANSLATE(C21)"),"Start ChatGPT from Russia without VPN and without SMS.")</f>
        <v>Start ChatGPT from Russia without VPN and without SMS.</v>
      </c>
      <c r="M21" s="5" t="str">
        <f>IFERROR(__xludf.DUMMYFUNCTION("GOOGLETRANSLATE(G21)"),"ChatGPT for Russian confirmation of OK Camera Code for ChatGPT from Russia Openai without VPN and without SMS format: Web Sitegde is working telephone to any device of the CHATGPT Proceeds can be viewed in the record: 109 rubles per month or 10,000 signs "&amp;"of free of charge! Close go ... cancel the OK to the registration page ... Connection to ChatGPT in Russia without VPN and without CMC.chatgpttbot.ruchatgpt in Russia000 Home Chatgpt Bot Contacts Contacts Contact Documents announcement of the tariff polic"&amp;"y of the Offer data processing - Conditions for using the Code ChatGPT DGNOTE CHATGPT from Russia without VPN and without SMS. It is possible the most intelligent bot in the world. Go to ChatGPTBOTSITION for ChatGPTBOT.ru 109 rubles in the month of 25,000"&amp;" sign up for registration")</f>
        <v>ChatGPT for Russian confirmation of OK Camera Code for ChatGPT from Russia Openai without VPN and without SMS format: Web Sitegde is working telephone to any device of the CHATGPT Proceeds can be viewed in the record: 109 rubles per month or 10,000 signs of free of charge! Close go ... cancel the OK to the registration page ... Connection to ChatGPT in Russia without VPN and without CMC.chatgpttbot.ruchatgpt in Russia000 Home Chatgpt Bot Contacts Contacts Contact Documents announcement of the tariff policy of the Offer data processing - Conditions for using the Code ChatGPT DGNOTE CHATGPT from Russia without VPN and without SMS. It is possible the most intelligent bot in the world. Go to ChatGPTBOTSITION for ChatGPTBOT.ru 109 rubles in the month of 25,000 sign up for registration</v>
      </c>
    </row>
    <row r="22">
      <c r="A22" s="1" t="s">
        <v>54</v>
      </c>
      <c r="B22" s="1" t="s">
        <v>89</v>
      </c>
      <c r="C22" s="1" t="s">
        <v>90</v>
      </c>
      <c r="D22" s="1">
        <v>9.0</v>
      </c>
      <c r="E22" s="4" t="s">
        <v>91</v>
      </c>
      <c r="F22" s="1" t="s">
        <v>16</v>
      </c>
      <c r="G22" s="1" t="s">
        <v>92</v>
      </c>
      <c r="H22" s="4" t="s">
        <v>93</v>
      </c>
      <c r="I22" s="2">
        <v>2.0</v>
      </c>
      <c r="J22" s="5" t="str">
        <f>IFERROR(__xludf.DUMMYFUNCTION("GOOGLETRANSLATE(A22)"),"chatgpt")</f>
        <v>chatgpt</v>
      </c>
      <c r="K22" s="6" t="str">
        <f>IFERROR(__xludf.DUMMYFUNCTION("GOOGLETRANSLATE(B22)"),"ChatGPT: how to use a neural network and what it can")</f>
        <v>ChatGPT: how to use a neural network and what it can</v>
      </c>
      <c r="L22" s="5" t="str">
        <f>IFERROR(__xludf.DUMMYFUNCTION("GOOGLETRANSLATE(C22)"),"7 Apr. 2023. -")</f>
        <v>7 Apr. 2023. -</v>
      </c>
      <c r="M22" s="5" t="str">
        <f>IFERROR(__xludf.DUMMYFUNCTION("GOOGLETRANSLATE(G22)"),"Tinkoff magazine: a magazine about your money T - ZHUCHUCHEBNITRODURECTIONARY -CREETITIONAL History TREATIONARY TREATED DEACKENDICKENDICARICARYSENTRICALS COMPORTATIONS OF THE LAWS TRADENTRARY PRODUCTIONS AND VIDEO VIDIVERSYSHESTASS AND PROSESSIES OF RUNNI"&amp;"ES AND OFFICES OF RIGHTS AND OFFICES OF RUNDERY ACTIVERS OF THE AND EXTERNITY ONE AR Law off the lawnies of traffic jams and video tests and duties on their rights and obligations from money and duties, they take away the readers and take off their residu"&amp;"al Speech, all the quotes You advise you to ride anyone's excellent or terrible book of your favorite thing in the dressing room to make an all-school to simplify your life using neuraltykak to manage personal finances how to invest a tack to communicate "&amp;"and understand each other to examine all the course of the General Director in St. Petersburg with a salary of 70 000 ₽ an assistant general director lives in St. St. Petersburg with a salary of 70 000 ₽676 Bender from the life of a storekeeper in Kazan w"&amp;"ith a salary of 245 000 ₽ of the storekeeper’s life in Kazan with a salary of 245 000 ₽382 I earn more than 400 000 ₽ in two works and by the end of the month I barely make the ends of the end of the end of more than 400,000 ₽ in two works and by the end "&amp;"of the month I barely make ends with the ends of 369kak changed the life of a leading engineer in Moscow with a salary of 120 000 ₽ Changed the life of a leading engineer in Moscow with a salary of 120 000 ₽361-actual diemile Makhmutov 10.11valve showed S"&amp;"team Deck with an OLED screen: the better the old model and when the salevalve showed Steam Deck with the OLED screen: the better the old model and when the sales 4 Skrivpnik 10.11Savva Olluco and LOONA begins: the 10 best restaurants in Moscow according "&amp;"to the Vere to Eat 2023Savva Olluco and Loona: 10 best restors are named new Moscow According to the youth to eat 202310Mihail Boldov 09.11, banks react to the growth of the key rate in 2023: that with deposits and mortgages and mortgages, banks react to "&amp;"the growth of the key rate in 2023: that with deposits and mortgages14 sore 09.11v Turin will be held the final tournament of ATP: the main thing The final of the TURNIV TURIN Tennis season will be held by the final tournament of ATP: the main thing about"&amp;" the final of the tennis season 5 Sasash Kirillov 09.11 Hollywood actors and the studio agreed on the completion of the strike: what is known about the agreement of the Hollywood actors and the studios agreed on the completion of the strike: what is known"&amp;" about the agreement2Mihail Boldov, permitted in the retail inon Vestors exchange blocked Assets: how it will work, the president allowed retail investors to exchange blocked assets: how it will work 333artm Mazanov 09.11 “Yandex” presented the “MIDI stat"&amp;"ion” with new opportunities for managing the MIDI Smart House with new opportunities for managing the smart home28alikhan Israpilov 08.11na UFC 295 two title fights will be held: a landmark against Pereira Pavlovich against Aspinallan UFC 295 will undergo"&amp;" two title fights: a landmark against Pereira Pavlovich against Aspinal Belikova 08.11 Central University from Tinkyff launched a grant competition for bachelor's bachelor's university from Tinkoff for Tinkoff for Tinkoff I launched a competition of grant"&amp;"s for training in Bachelor's bachelor's iglkin Zhulkin 08.11 Deficiency of the budget decreased to 12 trillion rubles: record payments from the oil industry departments of the budget were reduced to 12 trillion rubles: the record payments from oil workers"&amp;" Agafonov 03.11 Little things pot and summer tumors: what to look at the exhibition about the punk culture in the Petersburgelic belongings of the pot and a pot and a pot Studios of Letov: What to see at the exhibition about punk culture in St. Petersburg"&amp;"35Artem Mazanov 03.11 of public services launched a service to verify the authenticity of someone else's passports to public services launched a service to check the authenticity of someone else's passport10Mihail Boldov 02.111SHA. NEW SACKS INTERY-agains"&amp;"t banks of St. Petersburg BiMani and Baumankishas have entered into new sanctions-new sanctions were introduced-new sanctions were introduced. Against the banks of St. Petersburg Birzhi and Baumanki788katerina Miroshkina 02.11, the Arctic mortgage and tax"&amp;"es: what will change in November 2023, the Arctic mortgage and taxes will change: what will change in November 20234 Sasash Kirillov 02.11 times in Russia rose prices for taxi159MARARS SUKHOVSKAYA 01.11ANEVA. Fines in the field of consumer rights: what is"&amp;" waiting for business in November 2023 Laeded fines in the field of consumer rights: what is waiting for a business in November 20235Artem Mazanov 01.11TSB launched an online account of financial literacy on financial literacy15Aleksander Levkin 31.10 Mag"&amp;"nit. In the Far Eastern network, Samburi: what does this give the Magnit buy a share in the Far Eastern Network Samburi: what will it give the company8 discussion11.11, tell you how you were hinted at the bribe 657 Gorod11111DOTAS AND IZUMRUD building: 15"&amp;" amazing objects of modern architecture in Moscow13168 tests13168 tests For those who want to know yourself 26.10, you are worthy of superpower? 19212 discounts 1111111111 Nereiros did not live up to your expectations? Share the indignation of the19 Promo"&amp;"tor resource for novice drivers, the course “How to get the right” can win 100 000 ₽ on the driving school of your car or something else to get involved in the way out of the repair, you don’t advise you to go any excellent or terrible book of your belove"&amp;"d thing in the dressing room, you have experienced the repair, no excellent or terrible book of your beloved things in the dressing room to take all-scrolling to simplify life with the help of neurosetrosaka to manage personal finances how to invest a man"&amp;" to communicate and understand each other to simplify life with the help of neuroseticacus to manage personal finances how to invest a man to communicate and understand each other's courses, the assistant general director in St. Petersburg with a salary o"&amp;"f 70 000 ₽ Lives an assistant general director in St. Petersburg with a salary of 70 000 ₽676. A pantry of the storekeeper in Kazan with a salary of 245,000 ₽, from the life of a storekeeper in Kazan with a salary of 245 000 ₽382, more than 400 000 ₽ in t"&amp;"wo works and barely raised by the end of the month The ends from the end of the time I earn more than 400 000 ₽ in two works and by the end of the month I barely make ends with the ends of 369kak changed the life of a leading engineer in Moscow with a sal"&amp;"ary of 120 000 ₽ Changed the life of a leading engineer in Moscow with a salary of 120 000 ₽361 with Tinkoff for readers with animal design free card in the style of Kish with cashback up to 15%credit card with double cashback for traveling emigration11.1"&amp;"1, I moved to the United States became a pilot and earn $ 140,000 a year774519 Veoughs are repairs11.11 “There was a hole on the wall”: how we make a renovation of Eurodvushka 40 m² and already spent more than 4 million945 discount 09.10, what kind of nei"&amp;"ghbors were injured by you or those around you? 3323ed11.11 “Thought the eyes of the eyes”: 7 very sharp products that were remembered for a long time 619 readers of Pisyutirin Kashirskaya 11.11 rule whether they kept vacation pay from salaries? 11.11 I a"&amp;"m getting off the train in Minsk? Can I get off the train in Minsk? 9 Lepolina Kurtenkova 11.111 What if the self -employed person was paid that exceeded the limit? What if the self -employed person was paid, which exceeded the limit? 3anastasia Vasilieva"&amp;" 11.11 of the unusual stylish clothes I I found on marketplayskhkaya unusual stylish clothes, How to return the money if you find an apartment for rent using the aggregator? How to return the money if you find an apartment for rent with the aggregator? Ho"&amp;"w to return the money if you deceived in the game? How to return the money if you deceived in the game? 7katerina 11.11 What to be with the debt for utilities? How to be with a debt for utilities? 12yulianna boldyreva 11.111 Is it possible to issue a powe"&amp;"r of attorney for a passport? Is it possible to apply for a power of attorney for a passport ? 1AS AKHMEDOVA 11.111 What if the teacher does not watch the educational work? What if the teacher does not watch the educational work? 2an Romanova 11.11 I reco"&amp;"mmend reading: “Angel from Galilee” Laura will read: “Angel from Galilee” Laura Restrepo1111. Does the state belong to the state? What if part of the apartment belongs to the state? ·,, Ramil Galaev 11.11 of the bailiff will look for the debtor if he is a"&amp;"broad? How will the bailiffs look for a debtor if he is abroad? 5mara 11.11 Service reveals the fine data when you check the car. Is it legal? Service reveals the data on fines when you check the car. Is this legal? 1leonid Panteleev 11.11. To establish p"&amp;"aternity if a child in another country? How to establish paternity if a child in another country? 1mikhail 11.11 times if the car is squeezed in the yard? Who will compensate for the car with the gates in the yard? Selivanova 11.11 Express how you were hi"&amp;"nted at a brisk -free telling how you were hinted at a bribe57 technichelium 11.1111 Nonisets did not live up to your expectations? Share in the indignation did not live up to your expectations? Share the indignation of the 9.1111111111111111th: to deal w"&amp;"ith your zone comfortable lesson: to deal with your comfort zone12 Old Lurie 11.11 “There was a hole on the wall”: how we make an Eurodvushka repair of 40 m² and have already spent more than 4 million “There was a hole on the wall”: as we are as we are We"&amp;" are making an EURDOVUSHKA 40 m² and have already spent more than 4 million44ARARINA Lipatnikova 11.11 “I thought my eyes will flow out”: 7 very sharp products that were remembered for a long time “thought my eyes to flow out”: 7 very sharp products that "&amp;"were remembered for a long time, akimov 10.11FOLEBOLBOLBOBOV: the island of ANZER SARGE YAKHTYTOLBOLBOLE: Anzer island from the side of the sailing yacht4Dmitry Dubas 10.111111111111111111111s for the day and the face at night: I combine the two professio"&amp;"ns and (not) I go my mind for sales during the day and the faceting at night: I combine two professions and (not) go crazy26marenzio 10.11 “it is not suitable She is absolutely ”: what if my mother has a dubious boyfriend“ He doesn’t suit her at all ”: wh"&amp;"at if my mother has a dubious boyfriend26arbuse 10.111 I wore braces for 3 years to correct the bruise of Zubovkak, Read: “The Cross Courtyard” by George Orwell, I recommend to read: “The Cross Courtyard” George Orwell18Aleksey Kablukov 10.111kak, return "&amp;"the money if the ordered food was not brought? How to return the money if the ordered food was not brought? 27Roman Khakimov 10.11 I was spent on a person who was not needed that he was not needed that he did not need it that He spent time on a person who"&amp;" was not needed 6th investment10.11Donald Trump-Cinema star: the best roles of the former US President412222222210.11 Russian punk rock: 10 important groups that formed the genre14 ·, 12 Business 01.099999999999 999999999 Share your experience and advise1"&amp;"0.11. Automobile market: What will be the consequences307012 is it to speculate on the dollar? 131410 What US sanctions will affect the transfer of UNISTRAMA 7113 on the Visa and Mastercard card still released? 247219 What will happen to the end of 202311"&amp;"123 What does the ruble fall: experts of experts: experts of experts: experts of experts and forecasts of the course for 20235221547KA to recover the penalty in 2023 If the developer violates the contract1611144KAK Send money from Russia to Kazakhstan1535"&amp;"39kak to download the applications that are not in the App Store? 142265kak, transfer money to Russia 63152KA to transfer money From Russia6187151, Tinkoff was removed from the App Store6022147KAK GAZ Prices to affect Russian supplies 945 Tytinkoff got in"&amp;"to the sanctions list of the European Union71130213021302130213302133021 chatter in Turkey: Economic consequences for Russia1345 What do you need to know about 20235016139Minfin and Central Bank. Market: what will happen to the ruble of1624620 countries t"&amp;"hat issue tourist visas The Russians in 202348112168 WHAT IS The ruble weaken. And what to expect from him in 2023256623VEPEPEPED DEHOUNTION and the ceiling of prices for Russian oil: what the consequences will wait for 464217KAKA Partial mobilization ref"&amp;"lected in the Russian economy338912KA, I opened a banking account in Georgia196063 KOUR Power of attorney should be issued to the mobilized51016 KUSTICA 1835kak I received two bank cards в Казахстане102338215Как я оформил карту в турецком банке за один де"&amp;"нь68232140Почему на российской границе требуют показать чеки на старые гаджеты?367734Сравнятор10.11Настольные посудомойки для дома и дачи: 6 удачных моделей4314Письмо психологу10.11«Он не подходит ей совершенно»: как быть если у мамы появился Doubtful boy"&amp;"friend3262 Decumbria for lunch and daytime sleep on the street: how are the kindergartens in Norway 20459 Brectes of readers10.11 I wore braces 3 years to correct the bustle of teeth6135o, what is important to know the travelers to book housing from Russi"&amp;"a59112103k 36 countries in which banking Maps Russians6385233 CHARCH FLOWERS can be transported in hand luggage? 182432 Countries are open for tourists from Russia184295574AMALIARIARYABILIARY ABAND WEDDEN to sell subsidized tickets for 2023: who can buy t"&amp;"hem212532KAC to get a Green Card US Stage: how much can you spend on the day4558128Pop-culture10. 11 “Invulnerable”: we talk about the second season and answer the main questions about the series111 what to do? 10.111 how to return the money if the ordere"&amp;"d food was not brought? 8272port10.1110 Best Boxing Films: Rocky Balboa Muhammad Ali and Robota2 5 reasons to abandon corporate parties1430 Poddakasts “We are not at all demolished”: for the first time we answer the questions of the audience6 ·,, 121 stup"&amp;"id question about pregnancy3 ·,, 8 sects and the refrigerator-killer: 8 of the most interesting releases of the podcast “Scheme” 5 ·,, 11,000 “This will affect us all”: what do we know about dying and death101118 bikubushka for high a house in Cyprus and "&amp;"traveling to Canaries: a new issue of NKTSD5 ·,, 3 “Only a ruble is cheaper”: how much life is in Russia1378 “What the wife will say that the children will say What will they say at work? ”: the release about HIV624“ Well, how is there with money? ”: we r"&amp;"eturned8 ·,, 1 what students answer questions about money982“ feel irrelevant ”: why we are afraid of old age11814“ you can’t wash longer than three minutes ”: how many Life in Australia is worth it1111 · · · Petya with dad - on a Mercedes and my mother a"&amp;"nd I are on a minibus ”: what do children think about inequality753“ It breaks physically and psychologically ”: how they live with pelvic pain 7,“ Viewer or you or you or you or you player? Time to solve ”: as the“ Blogger-millionaire ”bred subscribers f"&amp;"or money7106“ They came up with taxes on everything ”: how much life costs in the Netherlands10231111110.11111111 Fosagro report for 9 months of 2023: revenue and profits fell despite the growth of sales1,00010 .1111 is right: for which they can be taken "&amp;"what to do after that ·., 1 Corporation of the Internet10.11 What is Girl Math - a meme about how we come up with an unobvious benefit to justify the expenses of 3126 Besit! 10.111111111111111523 have read so many things. It’s time to relax: what superpow"&amp;"ers are you worthy of? 19212 Guess what this child has done1881 in what apartment would you live in a parallel universe? 17261 musical guide: find out in what secret place in Moscow do you need to visit271734 Victor T⁠ -⁠ZH: What do you know about the his"&amp;"tory of money? 2735 KO. Are you a meme about money? 44295 Can you eat 16 million rubles? 31394, we go to the Hasali Shurushki: do you understand the words from different regions of Russia? 42828 Is your money? Or whose? 45263 Could you write a book? 49642"&amp;"6 Hall of hearing10.11 will say that there is no benefit from iodine and Zelenka. True? 5101 discount 10.11 love to go to the library? Tell us why6122 Life in Russia10.11 “I love and hate my city: how I live in the suburbs of Perm13137 Moving10.1111111111"&amp;"11111111111111111s: plastic flowers in the cemetery is a garbage that needs to be prohibited for two indivisions to a man to go on maternity leave92517 I spend more than 400,000 I earn more than 400,000 ₽ in two works and by the end of the month I barely "&amp;"make ends with the ends of 6836920 to save in Moscow thanks to the student ticket125016 “Fast cheap and angrily”: another 11 simple dishes in case you are too lazy to cook3210983MA: the classic “Napoleon” 182650 is worth becoming a surf8222 The best Power"&amp;": 4 high -quality models: 4 high -quality models: 4 high -quality models: 4 high -quality models for different tasks1819528 of popular phrases of parents who infuriate educators in kindergarten1065195 ideas how to arrange an entrance hall in an apartment "&amp;"202133 cosmetic bag: budgetary set of natural cosmetics755 discount10.11 Excuse me that for you include 337110.11 “The procedure for adoption was carried out incomprehensible” I raised four children in the village And at the age of 40 it became a mother a"&amp;"gain2774 What to do? 10.11 Is it possible to buy window samples of electronics? 7142 To invest money money from Fosagro Medical Arts for 9 months of 2023: revenue and profit fell despite the growth of sales1 · the most promising shares on the Mosbirzh in "&amp;"November 2023 . Opinions of investment companies5 ·,, 2 Softline result: the turnover and debt are growing against the backdrop of the growth of sales of their own decisions22 report VK for 9 months of 2023: good operational results but not a word about p"&amp;"rofit. President allowed retail investors to exchange blocked assets: how it will work 7339 report “Positive Groups Groups ""For 9 months of 2023: while losses but profit ahead711"" Now I'm in the plus "": how I invest in the Kazakhstan tenge Kyrgyz catfi"&amp;"sh and Uzbek Summarian securities on the Mosbirzh for October 20233 ·, 11 Sberbank report for 3 quarter of 2023: New Records despite the growth of bets411 “from the good to the Great”: what happened to the best companies from the book by Jim Collins10410 "&amp;"Formation10.11 “We will recreate the Platonic Academy”: how I organize free exit schools in the regions514 Videoigra readers 110.11 “As a good mini-series”: I recommend a simulator Walking through the forest Firewatch1476pop-culture10.11valve showed Steam"&amp;" Deck with an OLED screen: the better the old model and when the sales of the 942 recipe begins10.11 recipe Crak-Paya: the cast from the American restaurant 8617NAYS will be paid for the best calculators for you and When it is more profitable To take? 628"&amp;"18809 Incutant vaccinations do you need adults? 140237462 Caluation consumption, how much do you actually cost the purchase 4522501kalcal for children in 2023292987 What is the product is more profitable? Buyer calculator5451181u you are several loans? Ca"&amp;"lculate how to give them to save on percentages16982275 Motor deduction: how much will you return when buying an apartment? 52145426 How much should you postpone for a rainy day? 565326579 Calculator of social deductions55127342 How much can you spend on "&amp;"the day? 337101558Mozg10.111. 10.11Savva Olluco and Loona: The 10 best restaurants in Moscow are named Versions of the award of the award to to eat 2023101020fent10.1111110 Sidius in the sweater and no sweets: 12 children's advent are 611110pop-culture10."&amp;"11 “Killer”: David Fincher removed the witty thriller about the perfectionist with Michael Fassbender955 Business: Cases and news on the first half Yes Crazy ”: the former marketer opened the Korean-Israeli cafe in Yerevan22139 Hollowed actors and the stu"&amp;"dio agreed to complete the strike: what is known about the agreement1021 how to hire employees on the remotes and manage them: 7 advice of HR expert61219 they opened a bicycle distribution in the garage of the house and earn 100 000 ₽ 100 ₽ in the garage "&amp;"of the house. Month211311 “From the good to the Great”: what happened to the best companies from the book by Jim Collins104107 of free online services from the state that will make life easier for the entrepreneur2120NA fines in the field of consumer righ"&amp;"ts: what is waiting for business in November 20234544444 Production calendar for November 2023 “We grew 10 years Thanks to the community and then many left ”: the story of the“ Black Cooperative ”1919111111111111111111111s and the order of issuing orders:"&amp;" 7 stories about the business that did not live up to expectations 579.11114 types of pasta: how they differ and which one to buy181426 RASTA10.1111 is arranged a divorce from a rally of large sums of large sums of large sums The name of bloggers1085 Goro"&amp;"d10.1111 Advent calendars with cosmetics that will brighten up the expectation of the new year7148 What to do? 10.111 of the airline to cancel the ticket bought at an erroneous tariff? 142 of it is healthy and rich that there is no benefit from iodine and"&amp;" Zelenka. True? 5101, I encountered preeclampsia during pregnancy581 when breastfeeding is not contraindicated: 7 situations6 ·, 16 Dubious Ayurvedic drugs 542 Truths do not make an MRI? 411 “Any infections can lead to a serious illness”: a pediatrician a"&amp;"bout the vaccination of children812 Truth is that something like that additives with a barin improve memory and treat cancer? 422 builds in the chest: why do they arise and when they are associated with the heart8922 Work or not: 6 methods for checking fo"&amp;"r tuberculosis241 What to do if the homeless animal is bite1188888ed10.11 “I remember this dinner so far”: 5 stories about the most impressive campaigns In the restaurant1153pop-culture10.1120 of class games lasting up to 10 hours91015 discount10.11, tell"&amp;" about the most amazing coincidence in your life 3381pop-culture10.11call of duty: Modern Warfare 3 (2023)-3 reasons to skip the plot campaign in payments and state traffic in payments and state traffic 2023 Galgot Mortgage under 7 % can be taken for the "&amp;"purchase or construction of the house112332KAK to apply for free gas supply to the site1961666DAL Payments for the first and second child up to 3 years old I need a Mir card 4816 Rights for the calculation of children's hospital93216 Subsiability Pension "&amp;"and Decree: what has changed in the rules of the mortgage vacation since July 2021159k. For a monthly allowance for children from 8 to 17 years old2857154, July 2021 Families with one child can take a preferential mortgage under 6%93742 The result of a pr"&amp;"eferential mortgage from June 202242216 Prescribes for children from 8 to 17 years old from 2021: The main conditions2932656 Peni for pregnant women in 2022: Basic Conditions510448 INSUBRISTRES10.11 SAME promising shares on the Mosbirzh in November 2023. "&amp;"Opinions of investment companies5 ·,, 2 days of expenses10.11kak changed the life of a leading engineer in Moscow with a salary of 120 000 ₽5736113 Investments 09/09/11 own decisions22 -business for The border 09.11 “The first six months were crazy”: the "&amp;"former marketer opened the Korean-Israeli cafe in Yerevan22139 Real Estate Modeliers can again recover a penalty with developers and make a claim122528kak to accept the apartment of the developer1919127kak to receive an online statement from the USRN91633"&amp;" How to choose a reliable developer 3491887 myths about the purchase of real estate from -for which you can lose millions132970 “I will be unscrupulous but with a whole furniture”: as I punished the tenants to sue98121110 Average for general resources and"&amp;" checks of counters: the Ministry of Construction explained the changes in the housing and communal services of the housing and communal services, and the developers gave the preferential rate for the mortgage21113sberbank during the sale of housing to ma"&amp;"intain the mortgage The taste of the seller: What you should know 82217 Right of burning garbage and breeding bonfires in garden plots255229 Social gasification in Russia became unlimited 83216KAK to receive a tax deduction for the apartment28102335 Devil"&amp;"s Tutkak changed the life of a leading engineer in Moscow with a salary of 120,000 ₽573613. 70 000 ₽5067615 "" Spoiled - consumption compensated ”: 7 reasons to give children pocket money294, a programmer lives in Yerevan with a salary of about 219 000 ₽2"&amp;"43418, from the life of a storekeeper in Kazan with a salary of 245 000 ₽3838215kak changed the life of a technical writer in Moscow with a salary of 100 000 ₽472512kak lives In Nizhny Novgorod with a salary of 100 000 ₽5533013 “I want a career and not to"&amp;" be an eternal student”: 7 stories about how to combine work and study4146KAKS lives an archivist in a bank in the North-Western Federal District with a salary of 54 000 ₽7648814. Rostov Region on maternity leave with a manual of 14 551 ₽491k12pop-culture"&amp;"09.11 “Mask for 250 ₽ Black sheer and a couple of gloves”: 7 unusual costumes for Halloween1286 Accessts in Russia 09.1111111111 of the main attractions of Rostov and the surroundings10136economics 09.111kak Banks react 23 year: what with deposits and mor"&amp;"tgages10142 inractions 09.11 report VK for 9 months of 2023: good operational results but not a word about profit1 Vacancia to the problem of the project of confidentiality of the use of the site “Tinkoff Bank” license No. 2673202320")</f>
        <v>Tinkoff magazine: a magazine about your money T - ZHUCHUCHEBNITRODURECTIONARY -CREETITIONAL History TREATIONARY TREATED DEACKENDICKENDICARICARYSENTRICALS COMPORTATIONS OF THE LAWS TRADENTRARY PRODUCTIONS AND VIDEO VIDIVERSYSHESTASS AND PROSESSIES OF RUNNIES AND OFFICES OF RIGHTS AND OFFICES OF RUNDERY ACTIVERS OF THE AND EXTERNITY ONE AR Law off the lawnies of traffic jams and video tests and duties on their rights and obligations from money and duties, they take away the readers and take off their residual Speech, all the quotes You advise you to ride anyone's excellent or terrible book of your favorite thing in the dressing room to make an all-school to simplify your life using neuraltykak to manage personal finances how to invest a tack to communicate and understand each other to examine all the course of the General Director in St. Petersburg with a salary of 70 000 ₽ an assistant general director lives in St. St. Petersburg with a salary of 70 000 ₽676 Bender from the life of a storekeeper in Kazan with a salary of 245 000 ₽ of the storekeeper’s life in Kazan with a salary of 245 000 ₽382 I earn more than 400 000 ₽ in two works and by the end of the month I barely make the ends of the end of the end of more than 400,000 ₽ in two works and by the end of the month I barely make ends with the ends of 369kak changed the life of a leading engineer in Moscow with a salary of 120 000 ₽ Changed the life of a leading engineer in Moscow with a salary of 120 000 ₽361-actual diemile Makhmutov 10.11valve showed Steam Deck with an OLED screen: the better the old model and when the salevalve showed Steam Deck with the OLED screen: the better the old model and when the sales 4 Skrivpnik 10.11Savva Olluco and LOONA begins: the 10 best restaurants in Moscow according to the Vere to Eat 2023Savva Olluco and Loona: 10 best restors are named new Moscow According to the youth to eat 202310Mihail Boldov 09.11, banks react to the growth of the key rate in 2023: that with deposits and mortgages and mortgages, banks react to the growth of the key rate in 2023: that with deposits and mortgages14 sore 09.11v Turin will be held the final tournament of ATP: the main thing The final of the TURNIV TURIN Tennis season will be held by the final tournament of ATP: the main thing about the final of the tennis season 5 Sasash Kirillov 09.11 Hollywood actors and the studio agreed on the completion of the strike: what is known about the agreement of the Hollywood actors and the studios agreed on the completion of the strike: what is known about the agreement2Mihail Boldov, permitted in the retail inon Vestors exchange blocked Assets: how it will work, the president allowed retail investors to exchange blocked assets: how it will work 333artm Mazanov 09.11 “Yandex” presented the “MIDI station” with new opportunities for managing the MIDI Smart House with new opportunities for managing the smart home28alikhan Israpilov 08.11na UFC 295 two title fights will be held: a landmark against Pereira Pavlovich against Aspinallan UFC 295 will undergo two title fights: a landmark against Pereira Pavlovich against Aspinal Belikova 08.11 Central University from Tinkyff launched a grant competition for bachelor's bachelor's university from Tinkoff for Tinkoff for Tinkoff I launched a competition of grants for training in Bachelor's bachelor's iglkin Zhulkin 08.11 Deficiency of the budget decreased to 12 trillion rubles: record payments from the oil industry departments of the budget were reduced to 12 trillion rubles: the record payments from oil workers Agafonov 03.11 Little things pot and summer tumors: what to look at the exhibition about the punk culture in the Petersburgelic belongings of the pot and a pot and a pot Studios of Letov: What to see at the exhibition about punk culture in St. Petersburg35Artem Mazanov 03.11 of public services launched a service to verify the authenticity of someone else's passports to public services launched a service to check the authenticity of someone else's passport10Mihail Boldov 02.111SHA. NEW SACKS INTERY-against banks of St. Petersburg BiMani and Baumankishas have entered into new sanctions-new sanctions were introduced-new sanctions were introduced. Against the banks of St. Petersburg Birzhi and Baumanki788katerina Miroshkina 02.11, the Arctic mortgage and taxes: what will change in November 2023, the Arctic mortgage and taxes will change: what will change in November 20234 Sasash Kirillov 02.11 times in Russia rose prices for taxi159MARARS SUKHOVSKAYA 01.11ANEVA. Fines in the field of consumer rights: what is waiting for business in November 2023 Laeded fines in the field of consumer rights: what is waiting for a business in November 20235Artem Mazanov 01.11TSB launched an online account of financial literacy on financial literacy15Aleksander Levkin 31.10 Magnit. In the Far Eastern network, Samburi: what does this give the Magnit buy a share in the Far Eastern Network Samburi: what will it give the company8 discussion11.11, tell you how you were hinted at the bribe 657 Gorod11111DOTAS AND IZUMRUD building: 15 amazing objects of modern architecture in Moscow13168 tests13168 tests For those who want to know yourself 26.10, you are worthy of superpower? 19212 discounts 1111111111 Nereiros did not live up to your expectations? Share the indignation of the19 Promotor resource for novice drivers, the course “How to get the right” can win 100 000 ₽ on the driving school of your car or something else to get involved in the way out of the repair, you don’t advise you to go any excellent or terrible book of your beloved thing in the dressing room, you have experienced the repair, no excellent or terrible book of your beloved things in the dressing room to take all-scrolling to simplify life with the help of neurosetrosaka to manage personal finances how to invest a man to communicate and understand each other to simplify life with the help of neuroseticacus to manage personal finances how to invest a man to communicate and understand each other's courses, the assistant general director in St. Petersburg with a salary of 70 000 ₽ Lives an assistant general director in St. Petersburg with a salary of 70 000 ₽676. A pantry of the storekeeper in Kazan with a salary of 245,000 ₽, from the life of a storekeeper in Kazan with a salary of 245 000 ₽382, more than 400 000 ₽ in two works and barely raised by the end of the month The ends from the end of the time I earn more than 400 000 ₽ in two works and by the end of the month I barely make ends with the ends of 369kak changed the life of a leading engineer in Moscow with a salary of 120 000 ₽ Changed the life of a leading engineer in Moscow with a salary of 120 000 ₽361 with Tinkoff for readers with animal design free card in the style of Kish with cashback up to 15%credit card with double cashback for traveling emigration11.11, I moved to the United States became a pilot and earn $ 140,000 a year774519 Veoughs are repairs11.11 “There was a hole on the wall”: how we make a renovation of Eurodvushka 40 m² and already spent more than 4 million945 discount 09.10, what kind of neighbors were injured by you or those around you? 3323ed11.11 “Thought the eyes of the eyes”: 7 very sharp products that were remembered for a long time 619 readers of Pisyutirin Kashirskaya 11.11 rule whether they kept vacation pay from salaries? 11.11 I am getting off the train in Minsk? Can I get off the train in Minsk? 9 Lepolina Kurtenkova 11.111 What if the self -employed person was paid that exceeded the limit? What if the self -employed person was paid, which exceeded the limit? 3anastasia Vasilieva 11.11 of the unusual stylish clothes I I found on marketplayskhkaya unusual stylish clothes, How to return the money if you find an apartment for rent using the aggregator? How to return the money if you find an apartment for rent with the aggregator? How to return the money if you deceived in the game? How to return the money if you deceived in the game? 7katerina 11.11 What to be with the debt for utilities? How to be with a debt for utilities? 12yulianna boldyreva 11.111 Is it possible to issue a power of attorney for a passport? Is it possible to apply for a power of attorney for a passport ? 1AS AKHMEDOVA 11.111 What if the teacher does not watch the educational work? What if the teacher does not watch the educational work? 2an Romanova 11.11 I recommend reading: “Angel from Galilee” Laura will read: “Angel from Galilee” Laura Restrepo1111. Does the state belong to the state? What if part of the apartment belongs to the state? ·,, Ramil Galaev 11.11 of the bailiff will look for the debtor if he is abroad? How will the bailiffs look for a debtor if he is abroad? 5mara 11.11 Service reveals the fine data when you check the car. Is it legal? Service reveals the data on fines when you check the car. Is this legal? 1leonid Panteleev 11.11. To establish paternity if a child in another country? How to establish paternity if a child in another country? 1mikhail 11.11 times if the car is squeezed in the yard? Who will compensate for the car with the gates in the yard? Selivanova 11.11 Express how you were hinted at a brisk -free telling how you were hinted at a bribe57 technichelium 11.1111 Nonisets did not live up to your expectations? Share in the indignation did not live up to your expectations? Share the indignation of the 9.1111111111111111th: to deal with your zone comfortable lesson: to deal with your comfort zone12 Old Lurie 11.11 “There was a hole on the wall”: how we make an Eurodvushka repair of 40 m² and have already spent more than 4 million “There was a hole on the wall”: as we are as we are We are making an EURDOVUSHKA 40 m² and have already spent more than 4 million44ARARINA Lipatnikova 11.11 “I thought my eyes will flow out”: 7 very sharp products that were remembered for a long time “thought my eyes to flow out”: 7 very sharp products that were remembered for a long time, akimov 10.11FOLEBOLBOLBOBOV: the island of ANZER SARGE YAKHTYTOLBOLBOLE: Anzer island from the side of the sailing yacht4Dmitry Dubas 10.111111111111111111111s for the day and the face at night: I combine the two professions and (not) I go my mind for sales during the day and the faceting at night: I combine two professions and (not) go crazy26marenzio 10.11 “it is not suitable She is absolutely ”: what if my mother has a dubious boyfriend“ He doesn’t suit her at all ”: what if my mother has a dubious boyfriend26arbuse 10.111 I wore braces for 3 years to correct the bruise of Zubovkak, Read: “The Cross Courtyard” by George Orwell, I recommend to read: “The Cross Courtyard” George Orwell18Aleksey Kablukov 10.111kak, return the money if the ordered food was not brought? How to return the money if the ordered food was not brought? 27Roman Khakimov 10.11 I was spent on a person who was not needed that he was not needed that he did not need it that He spent time on a person who was not needed 6th investment10.11Donald Trump-Cinema star: the best roles of the former US President412222222210.11 Russian punk rock: 10 important groups that formed the genre14 ·, 12 Business 01.099999999999 999999999 Share your experience and advise10.11. Automobile market: What will be the consequences307012 is it to speculate on the dollar? 131410 What US sanctions will affect the transfer of UNISTRAMA 7113 on the Visa and Mastercard card still released? 247219 What will happen to the end of 202311123 What does the ruble fall: experts of experts: experts of experts: experts of experts and forecasts of the course for 20235221547KA to recover the penalty in 2023 If the developer violates the contract1611144KAK Send money from Russia to Kazakhstan153539kak to download the applications that are not in the App Store? 142265kak, transfer money to Russia 63152KA to transfer money From Russia6187151, Tinkoff was removed from the App Store6022147KAK GAZ Prices to affect Russian supplies 945 Tytinkoff got into the sanctions list of the European Union71130213021302130213302133021 chatter in Turkey: Economic consequences for Russia1345 What do you need to know about 20235016139Minfin and Central Bank. Market: what will happen to the ruble of1624620 countries that issue tourist visas The Russians in 202348112168 WHAT IS The ruble weaken. And what to expect from him in 2023256623VEPEPEPED DEHOUNTION and the ceiling of prices for Russian oil: what the consequences will wait for 464217KAKA Partial mobilization reflected in the Russian economy338912KA, I opened a banking account in Georgia196063 KOUR Power of attorney should be issued to the mobilized51016 KUSTICA 1835kak I received two bank cards в Казахстане102338215Как я оформил карту в турецком банке за один день68232140Почему на российской границе требуют показать чеки на старые гаджеты?367734Сравнятор10.11Настольные посудомойки для дома и дачи: 6 удачных моделей4314Письмо психологу10.11«Он не подходит ей совершенно»: как быть если у мамы появился Doubtful boyfriend3262 Decumbria for lunch and daytime sleep on the street: how are the kindergartens in Norway 20459 Brectes of readers10.11 I wore braces 3 years to correct the bustle of teeth6135o, what is important to know the travelers to book housing from Russia59112103k 36 countries in which banking Maps Russians6385233 CHARCH FLOWERS can be transported in hand luggage? 182432 Countries are open for tourists from Russia184295574AMALIARIARYABILIARY ABAND WEDDEN to sell subsidized tickets for 2023: who can buy them212532KAC to get a Green Card US Stage: how much can you spend on the day4558128Pop-culture10. 11 “Invulnerable”: we talk about the second season and answer the main questions about the series111 what to do? 10.111 how to return the money if the ordered food was not brought? 8272port10.1110 Best Boxing Films: Rocky Balboa Muhammad Ali and Robota2 5 reasons to abandon corporate parties1430 Poddakasts “We are not at all demolished”: for the first time we answer the questions of the audience6 ·,, 121 stupid question about pregnancy3 ·,, 8 sects and the refrigerator-killer: 8 of the most interesting releases of the podcast “Scheme” 5 ·,, 11,000 “This will affect us all”: what do we know about dying and death101118 bikubushka for high a house in Cyprus and traveling to Canaries: a new issue of NKTSD5 ·,, 3 “Only a ruble is cheaper”: how much life is in Russia1378 “What the wife will say that the children will say What will they say at work? ”: the release about HIV624“ Well, how is there with money? ”: we returned8 ·,, 1 what students answer questions about money982“ feel irrelevant ”: why we are afraid of old age11814“ you can’t wash longer than three minutes ”: how many Life in Australia is worth it1111 · · · Petya with dad - on a Mercedes and my mother and I are on a minibus ”: what do children think about inequality753“ It breaks physically and psychologically ”: how they live with pelvic pain 7,“ Viewer or you or you or you or you player? Time to solve ”: as the“ Blogger-millionaire ”bred subscribers for money7106“ They came up with taxes on everything ”: how much life costs in the Netherlands10231111110.11111111 Fosagro report for 9 months of 2023: revenue and profits fell despite the growth of sales1,00010 .1111 is right: for which they can be taken what to do after that ·., 1 Corporation of the Internet10.11 What is Girl Math - a meme about how we come up with an unobvious benefit to justify the expenses of 3126 Besit! 10.111111111111111523 have read so many things. It’s time to relax: what superpowers are you worthy of? 19212 Guess what this child has done1881 in what apartment would you live in a parallel universe? 17261 musical guide: find out in what secret place in Moscow do you need to visit271734 Victor T⁠ -⁠ZH: What do you know about the history of money? 2735 KO. Are you a meme about money? 44295 Can you eat 16 million rubles? 31394, we go to the Hasali Shurushki: do you understand the words from different regions of Russia? 42828 Is your money? Or whose? 45263 Could you write a book? 496426 Hall of hearing10.11 will say that there is no benefit from iodine and Zelenka. True? 5101 discount 10.11 love to go to the library? Tell us why6122 Life in Russia10.11 “I love and hate my city: how I live in the suburbs of Perm13137 Moving10.111111111111111111111111111s: plastic flowers in the cemetery is a garbage that needs to be prohibited for two indivisions to a man to go on maternity leave92517 I spend more than 400,000 I earn more than 400,000 ₽ in two works and by the end of the month I barely make ends with the ends of 6836920 to save in Moscow thanks to the student ticket125016 “Fast cheap and angrily”: another 11 simple dishes in case you are too lazy to cook3210983MA: the classic “Napoleon” 182650 is worth becoming a surf8222 The best Power: 4 high -quality models: 4 high -quality models: 4 high -quality models: 4 high -quality models for different tasks1819528 of popular phrases of parents who infuriate educators in kindergarten1065195 ideas how to arrange an entrance hall in an apartment 202133 cosmetic bag: budgetary set of natural cosmetics755 discount10.11 Excuse me that for you include 337110.11 “The procedure for adoption was carried out incomprehensible” I raised four children in the village And at the age of 40 it became a mother again2774 What to do? 10.11 Is it possible to buy window samples of electronics? 7142 To invest money money from Fosagro Medical Arts for 9 months of 2023: revenue and profit fell despite the growth of sales1 · the most promising shares on the Mosbirzh in November 2023 . Opinions of investment companies5 ·,, 2 Softline result: the turnover and debt are growing against the backdrop of the growth of sales of their own decisions22 report VK for 9 months of 2023: good operational results but not a word about profit. President allowed retail investors to exchange blocked assets: how it will work 7339 report “Positive Groups Groups "For 9 months of 2023: while losses but profit ahead711" Now I'm in the plus ": how I invest in the Kazakhstan tenge Kyrgyz catfish and Uzbek Summarian securities on the Mosbirzh for October 20233 ·, 11 Sberbank report for 3 quarter of 2023: New Records despite the growth of bets411 “from the good to the Great”: what happened to the best companies from the book by Jim Collins10410 Formation10.11 “We will recreate the Platonic Academy”: how I organize free exit schools in the regions514 Videoigra readers 110.11 “As a good mini-series”: I recommend a simulator Walking through the forest Firewatch1476pop-culture10.11valve showed Steam Deck with an OLED screen: the better the old model and when the sales of the 942 recipe begins10.11 recipe Crak-Paya: the cast from the American restaurant 8617NAYS will be paid for the best calculators for you and When it is more profitable To take? 62818809 Incutant vaccinations do you need adults? 140237462 Caluation consumption, how much do you actually cost the purchase 4522501kalcal for children in 2023292987 What is the product is more profitable? Buyer calculator5451181u you are several loans? Calculate how to give them to save on percentages16982275 Motor deduction: how much will you return when buying an apartment? 52145426 How much should you postpone for a rainy day? 565326579 Calculator of social deductions55127342 How much can you spend on the day? 337101558Mozg10.111. 10.11Savva Olluco and Loona: The 10 best restaurants in Moscow are named Versions of the award of the award to to eat 2023101020fent10.1111110 Sidius in the sweater and no sweets: 12 children's advent are 611110pop-culture10.11 “Killer”: David Fincher removed the witty thriller about the perfectionist with Michael Fassbender955 Business: Cases and news on the first half Yes Crazy ”: the former marketer opened the Korean-Israeli cafe in Yerevan22139 Hollowed actors and the studio agreed to complete the strike: what is known about the agreement1021 how to hire employees on the remotes and manage them: 7 advice of HR expert61219 they opened a bicycle distribution in the garage of the house and earn 100 000 ₽ 100 ₽ in the garage of the house. Month211311 “From the good to the Great”: what happened to the best companies from the book by Jim Collins104107 of free online services from the state that will make life easier for the entrepreneur2120NA fines in the field of consumer rights: what is waiting for business in November 20234544444 Production calendar for November 2023 “We grew 10 years Thanks to the community and then many left ”: the story of the“ Black Cooperative ”1919111111111111111111111s and the order of issuing orders: 7 stories about the business that did not live up to expectations 579.11114 types of pasta: how they differ and which one to buy181426 RASTA10.1111 is arranged a divorce from a rally of large sums of large sums of large sums The name of bloggers1085 Gorod10.1111 Advent calendars with cosmetics that will brighten up the expectation of the new year7148 What to do? 10.111 of the airline to cancel the ticket bought at an erroneous tariff? 142 of it is healthy and rich that there is no benefit from iodine and Zelenka. True? 5101, I encountered preeclampsia during pregnancy581 when breastfeeding is not contraindicated: 7 situations6 ·, 16 Dubious Ayurvedic drugs 542 Truths do not make an MRI? 411 “Any infections can lead to a serious illness”: a pediatrician about the vaccination of children812 Truth is that something like that additives with a barin improve memory and treat cancer? 422 builds in the chest: why do they arise and when they are associated with the heart8922 Work or not: 6 methods for checking for tuberculosis241 What to do if the homeless animal is bite1188888ed10.11 “I remember this dinner so far”: 5 stories about the most impressive campaigns In the restaurant1153pop-culture10.1120 of class games lasting up to 10 hours91015 discount10.11, tell about the most amazing coincidence in your life 3381pop-culture10.11call of duty: Modern Warfare 3 (2023)-3 reasons to skip the plot campaign in payments and state traffic in payments and state traffic 2023 Galgot Mortgage under 7 % can be taken for the purchase or construction of the house112332KAK to apply for free gas supply to the site1961666DAL Payments for the first and second child up to 3 years old I need a Mir card 4816 Rights for the calculation of children's hospital93216 Subsiability Pension and Decree: what has changed in the rules of the mortgage vacation since July 2021159k. For a monthly allowance for children from 8 to 17 years old2857154, July 2021 Families with one child can take a preferential mortgage under 6%93742 The result of a preferential mortgage from June 202242216 Prescribes for children from 8 to 17 years old from 2021: The main conditions2932656 Peni for pregnant women in 2022: Basic Conditions510448 INSUBRISTRES10.11 SAME promising shares on the Mosbirzh in November 2023. Opinions of investment companies5 ·,, 2 days of expenses10.11kak changed the life of a leading engineer in Moscow with a salary of 120 000 ₽5736113 Investments 09/09/11 own decisions22 -business for The border 09.11 “The first six months were crazy”: the former marketer opened the Korean-Israeli cafe in Yerevan22139 Real Estate Modeliers can again recover a penalty with developers and make a claim122528kak to accept the apartment of the developer1919127kak to receive an online statement from the USRN91633 How to choose a reliable developer 3491887 myths about the purchase of real estate from -for which you can lose millions132970 “I will be unscrupulous but with a whole furniture”: as I punished the tenants to sue98121110 Average for general resources and checks of counters: the Ministry of Construction explained the changes in the housing and communal services of the housing and communal services, and the developers gave the preferential rate for the mortgage21113sberbank during the sale of housing to maintain the mortgage The taste of the seller: What you should know 82217 Right of burning garbage and breeding bonfires in garden plots255229 Social gasification in Russia became unlimited 83216KAK to receive a tax deduction for the apartment28102335 Devils Tutkak changed the life of a leading engineer in Moscow with a salary of 120,000 ₽573613. 70 000 ₽5067615 " Spoiled - consumption compensated ”: 7 reasons to give children pocket money294, a programmer lives in Yerevan with a salary of about 219 000 ₽243418, from the life of a storekeeper in Kazan with a salary of 245 000 ₽3838215kak changed the life of a technical writer in Moscow with a salary of 100 000 ₽472512kak lives In Nizhny Novgorod with a salary of 100 000 ₽5533013 “I want a career and not to be an eternal student”: 7 stories about how to combine work and study4146KAKS lives an archivist in a bank in the North-Western Federal District with a salary of 54 000 ₽7648814. Rostov Region on maternity leave with a manual of 14 551 ₽491k12pop-culture09.11 “Mask for 250 ₽ Black sheer and a couple of gloves”: 7 unusual costumes for Halloween1286 Accessts in Russia 09.1111111111 of the main attractions of Rostov and the surroundings10136economics 09.111kak Banks react 23 year: what with deposits and mortgages10142 inractions 09.11 report VK for 9 months of 2023: good operational results but not a word about profit1 Vacancia to the problem of the project of confidentiality of the use of the site “Tinkoff Bank” license No. 2673202320</v>
      </c>
    </row>
    <row r="23">
      <c r="A23" s="1" t="s">
        <v>54</v>
      </c>
      <c r="B23" s="1" t="s">
        <v>94</v>
      </c>
      <c r="C23" s="1" t="s">
        <v>95</v>
      </c>
      <c r="D23" s="1">
        <v>10.0</v>
      </c>
      <c r="E23" s="4" t="s">
        <v>96</v>
      </c>
      <c r="F23" s="1" t="s">
        <v>16</v>
      </c>
      <c r="G23" s="1" t="s">
        <v>97</v>
      </c>
      <c r="H23" s="4" t="s">
        <v>98</v>
      </c>
      <c r="I23" s="2">
        <v>0.0</v>
      </c>
      <c r="J23" s="5" t="str">
        <f>IFERROR(__xludf.DUMMYFUNCTION("GOOGLETRANSLATE(A23)"),"chatgpt")</f>
        <v>chatgpt</v>
      </c>
      <c r="K23" s="6" t="str">
        <f>IFERROR(__xludf.DUMMYFUNCTION("GOOGLETRANSLATE(B23)"),"ChatGPT - App Store")</f>
        <v>ChatGPT - App Store</v>
      </c>
      <c r="L23" s="5" t="str">
        <f>IFERROR(__xludf.DUMMYFUNCTION("GOOGLETRANSLATE(C23)"),"12 Sept. 2023. -")</f>
        <v>12 Sept. 2023. -</v>
      </c>
      <c r="M23" s="5" t="str">
        <f>IFERROR(__xludf.DUMMYFUNCTION("GOOGLETRANSLATE(G23)"),"App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4">
      <c r="A24" s="1" t="s">
        <v>54</v>
      </c>
      <c r="B24" s="1" t="s">
        <v>99</v>
      </c>
      <c r="D24" s="1">
        <v>11.0</v>
      </c>
      <c r="E24" s="4" t="s">
        <v>100</v>
      </c>
      <c r="F24" s="1" t="s">
        <v>16</v>
      </c>
      <c r="G24" s="1" t="s">
        <v>101</v>
      </c>
      <c r="H24" s="4" t="s">
        <v>102</v>
      </c>
      <c r="I24" s="2">
        <v>2.0</v>
      </c>
      <c r="J24" s="5" t="str">
        <f>IFERROR(__xludf.DUMMYFUNCTION("GOOGLETRANSLATE(A24)"),"chatgpt")</f>
        <v>chatgpt</v>
      </c>
      <c r="K24" s="6" t="str">
        <f>IFERROR(__xludf.DUMMYFUNCTION("GOOGLETRANSLATE(B24)"),"ChatGPT: What is it, opportunities, how to use from ...")</f>
        <v>ChatGPT: What is it, opportunities, how to use from ...</v>
      </c>
      <c r="M24" s="5" t="str">
        <f>IFERROR(__xludf.DUMMYFUNCTION("GOOGLETRANSLATE(G24)"),"RBC trends - who and how changes the global economics of the Pro TV channel investment of the industry real estate industry Autonews Sports Trends City Crypto RBC Crypt+ Research Club Radings Franchise Gazeta Special projects of St. Petersburg Party Speci"&amp;"al Projects Vytsk -Index Policy Policy Employment Policy Business Technology and Media. Finance RBC Korbk Life ... Hide Banner -Rights Main Forecasts of Future Artificial Intelligence Research and Subjects Self -development Entrance Subscribe to RBC Comfo"&amp;"rt get a newsletter that concerns everyone. The most relevant about personal finance careers and security. Read RBC without advertising banners on the site and in a mobile application. Subscribe for 99 rubles per month input searches of future -artistic i"&amp;"ntellectual investigations and reports of the Summodelitelecanalproine investigation of the measurement of the Autonical Sports of Projects of the Gorodistilkripribk+Discussion Kulbescredit Rategifranhizhizhizhizhizhizhizhizhizhizhizhizhizhizhizhizhizhizh"&amp;"izhizhizhizhizhdazhizpets. Ferences of St. Petersburg Projectives of counterparties Library of Library Economics of Economics of Economics and Media Financial Syrbc LifeRBK of the company Main Male Menyurbriki Main Forecasts Future Intelligence Research a"&amp;"nd Reports of RBCTRODRENDARICAL ENTERSTAROGNoses .0 robot In South Korea, he killed a man by taking him as a box with vegetables. The 4.0 Grok AI industry: how does the neural network Ilona Mask Social Economy Leonida Meteor Economy in 2023: what will it "&amp;"be and when to watch the popular -social economy why the amount of thefts in stores is increasing. Dalle-3 is a new OpenAi algorithm creating pictures from the text Green Economics What is blocking anticyclones and how they worsen the weather social econo"&amp;"my hologram and virtual reality: how modern circuses green economy Reality and Fiction: what scientists think about popular video economics of innovation three myth of replacing a person by robots Futurology overpopulation and extinction: what is humanity"&amp;" awaiting in the future Futurology “James Webb”: how will this telescope change our idea of ​​the Universe of the Social Economy How to deal with the procrastination and why idleness can be useful the latest industry 4.0 Project Kuiper: Another attempt to"&amp;" catch up with the Narbs Mask in space Green Economy The most popular type of bananas can disappear in the Futurology station Tiangun: how the Chinese analogue of the ISS Economics Innovation Economics Grants and Compensation: What support does the busine"&amp;"ss in Moscow grow the Social Economy why the level of cyberbill is growing and how to protect itself from persecution on the network Popularly -social The economy why the amount of thefts in stores is increasing around the world as Dalle-3 draws-the new O"&amp;"penai algorithm creating pictures from the text is green economy what is blocking anticyclones and how they worsen the social economy of the hologram and virtual reality: how modern circuses are green economy reality and fiction: what do scientists think "&amp;"about popular catastrophs of the podging economy why it is interesting to watch how other people enjoy the social economy of the game in which people play: why gaming is normal green economy: what it is and why we need to save our food social Economics E "&amp;"- screen time: how much we stick in the phones of the 4.0VSEKOSMOM Project Kuiper: the next attempt to catch the mask in the cosmos of the neural network GROK AI: how does the neural network Ilon Mask Maxim Eremenko - RBC: “Neural networks will open a sup"&amp;"erpowered person” Robotics robot in South Korea in South Korea He killed a man by taking him as an eco-nomicavsebio-erasous vegetables. The most popular type of banana may disappear Congress “ESG- (P) Evolution” its own path: what will happen to the ESG-p"&amp;"acker in Russia, the bio-erase of why mushrooms are useful for humans and ecology climate changes in tropical storms in The world has become stronger: hurricanes become more frequent in the education of 19% of Russian companies accepted the work of teenag"&amp;"ers of the profession of a future personal guide by education and career growth: how to become HR and the labor market for the year of the vacancies of IT specialists have grown into 18% of the profession of the future who are corporate anthropologists wh"&amp;"o are corporate anthropologists And how to get into this profession of innovation -off -line business loans grants and compensation: what kind of support does the business in Moscow get sustainable development how the market for sustainable finances devel"&amp;"op in Russia and in the world of neural networks of artificial intelligence in the USE: how neural networks are written and testing exams Project Management Pixelizes: as companies Solving the problem of the Futurology Office of Tiangun station to solve t"&amp;"he framework of the Futurology Office: how is the Chinese analogue of the ISS Cosmos Cosmic Misses built: what launches are planned for the coming year as it is arranged, we live in a simulation: arguments of fantastic hypothesis conspiracy the conspiracy"&amp;" in the cinema: what to see about the theories of the conspiracy of socialivsichology why the level Cyberbulling is growing how to protect itself from bullying on the space of the Leonida Meteor Stream in 2023: what will it be and when to look at how it w"&amp;"orks what time is and why scientists are arguing about it and reports what is known about the new strain of the Pyrole coronavirus: symptoms and symptoms and reports The consequences of the sheringweed the fate of the decor: where are the street decoratio"&amp;"ns after the New Year Conscious consumption added value: how do foodshering in Russia develop mediastream of delivery and spectacles: how the economy of subscription services of the alphabet of our time F - Frigiganism: who refuses to pay for food, Subscr"&amp;"ibe to us in the course in the course world trendelegramvontacttube ""Yandex.Zen"" RBKTRANDS Talk about trends in the economy of technology and society that are right now changing our life about the project of the plant-proofurogologiShering industry 4.0 "&amp;"Formation of the RBC Comfort RBC PRO Subscribe Utube ""Yandex.Zen"" © Rosbusinessconsulting JSC 1995–2023 Messages and materials RBC network edition (registered by the Federal Service for Supervision of Information Technologies and Mass Communications (Ro"&amp;"skomnadzor) on 12/03/2021 at the EL number77-82385) are accompanied by a margin of RBC. 18+ letters@rbc.ru found a mistake? Highlight it and click Ctrl+Enter information about the restrictions on the compliance of copyright to the Telegram VKontakte YouTu"&amp;"be ""Yandex.Zen"" Close")</f>
        <v>RBC trends - who and how changes the global economics of the Pro TV channel investment of the industry real estate industry Autonews Sports Trends City Crypto RBC Crypt+ Research Club Radings Franchise Gazeta Special projects of St. Petersburg Party Special Projects Vytsk -Index Policy Policy Employment Policy Business Technology and Media. Finance RBC Korbk Life ... Hide Banner -Rights Main Forecasts of Future Artificial Intelligence Research and Subjects Self -development Entrance Subscribe to RBC Comfort get a newsletter that concerns everyone. The most relevant about personal finance careers and security. Read RBC without advertising banners on the site and in a mobile application. Subscribe for 99 rubles per month input searches of future -artistic intellectual investigations and reports of the Summodelitelecanalproine investigation of the measurement of the Autonical Sports of Projects of the Gorodistilkripribk+Discussion Kulbescredit Rategifranhizhizhizhizhizhizhizhizhizhizhizhizhizhizhizhizhizhizhizhizhizhizhizhdazhizpets. Ferences of St. Petersburg Projectives of counterparties Library of Library Economics of Economics of Economics and Media Financial Syrbc LifeRBK of the company Main Male Menyurbriki Main Forecasts Future Intelligence Research and Reports of RBCTRODRENDARICAL ENTERSTAROGNoses .0 robot In South Korea, he killed a man by taking him as a box with vegetables. The 4.0 Grok AI industry: how does the neural network Ilona Mask Social Economy Leonida Meteor Economy in 2023: what will it be and when to watch the popular -social economy why the amount of thefts in stores is increasing. Dalle-3 is a new OpenAi algorithm creating pictures from the text Green Economics What is blocking anticyclones and how they worsen the weather social economy hologram and virtual reality: how modern circuses green economy Reality and Fiction: what scientists think about popular video economics of innovation three myth of replacing a person by robots Futurology overpopulation and extinction: what is humanity awaiting in the future Futurology “James Webb”: how will this telescope change our idea of ​​the Universe of the Social Economy How to deal with the procrastination and why idleness can be useful the latest industry 4.0 Project Kuiper: Another attempt to catch up with the Narbs Mask in space Green Economy The most popular type of bananas can disappear in the Futurology station Tiangun: how the Chinese analogue of the ISS Economics Innovation Economics Grants and Compensation: What support does the business in Moscow grow the Social Economy why the level of cyberbill is growing and how to protect itself from persecution on the network Popularly -social The economy why the amount of thefts in stores is increasing around the world as Dalle-3 draws-the new Openai algorithm creating pictures from the text is green economy what is blocking anticyclones and how they worsen the social economy of the hologram and virtual reality: how modern circuses are green economy reality and fiction: what do scientists think about popular catastrophs of the podging economy why it is interesting to watch how other people enjoy the social economy of the game in which people play: why gaming is normal green economy: what it is and why we need to save our food social Economics E - screen time: how much we stick in the phones of the 4.0VSEKOSMOM Project Kuiper: the next attempt to catch the mask in the cosmos of the neural network GROK AI: how does the neural network Ilon Mask Maxim Eremenko - RBC: “Neural networks will open a superpowered person” Robotics robot in South Korea in South Korea He killed a man by taking him as an eco-nomicavsebio-erasous vegetables. The most popular type of banana may disappear Congress “ESG- (P) Evolution” its own path: what will happen to the ESG-packer in Russia, the bio-erase of why mushrooms are useful for humans and ecology climate changes in tropical storms in The world has become stronger: hurricanes become more frequent in the education of 19% of Russian companies accepted the work of teenagers of the profession of a future personal guide by education and career growth: how to become HR and the labor market for the year of the vacancies of IT specialists have grown into 18% of the profession of the future who are corporate anthropologists who are corporate anthropologists And how to get into this profession of innovation -off -line business loans grants and compensation: what kind of support does the business in Moscow get sustainable development how the market for sustainable finances develop in Russia and in the world of neural networks of artificial intelligence in the USE: how neural networks are written and testing exams Project Management Pixelizes: as companies Solving the problem of the Futurology Office of Tiangun station to solve the framework of the Futurology Office: how is the Chinese analogue of the ISS Cosmos Cosmic Misses built: what launches are planned for the coming year as it is arranged, we live in a simulation: arguments of fantastic hypothesis conspiracy the conspiracy in the cinema: what to see about the theories of the conspiracy of socialivsichology why the level Cyberbulling is growing how to protect itself from bullying on the space of the Leonida Meteor Stream in 2023: what will it be and when to look at how it works what time is and why scientists are arguing about it and reports what is known about the new strain of the Pyrole coronavirus: symptoms and symptoms and reports The consequences of the sheringweed the fate of the decor: where are the street decorations after the New Year Conscious consumption added value: how do foodshering in Russia develop mediastream of delivery and spectacles: how the economy of subscription services of the alphabet of our time F - Frigiganism: who refuses to pay for food, Subscribe to us in the course in the course world trendelegramvontacttube "Yandex.Zen" RBKTRANDS Talk about trends in the economy of technology and society that are right now changing our life about the project of the plant-proofurogologiShering industry 4.0 Formation of the RBC Comfort RBC PRO Subscribe Utube "Yandex.Zen" © Rosbusinessconsulting JSC 1995–2023 Messages and materials RBC network edition (registered by the Federal Service for Supervision of Information Technologies and Mass Communications (Roskomnadzor) on 12/03/2021 at the EL number77-82385) are accompanied by a margin of RBC. 18+ letters@rbc.ru found a mistake? Highlight it and click Ctrl+Enter information about the restrictions on the compliance of copyright to the Telegram VKontakte YouTube "Yandex.Zen" Close</v>
      </c>
    </row>
    <row r="25">
      <c r="A25" s="1" t="s">
        <v>54</v>
      </c>
      <c r="B25" s="1" t="s">
        <v>103</v>
      </c>
      <c r="D25" s="1">
        <v>12.0</v>
      </c>
      <c r="E25" s="4" t="s">
        <v>104</v>
      </c>
      <c r="F25" s="1" t="s">
        <v>16</v>
      </c>
      <c r="G25" s="1" t="s">
        <v>105</v>
      </c>
      <c r="H25" s="4" t="s">
        <v>106</v>
      </c>
      <c r="I25" s="2">
        <v>1.0</v>
      </c>
      <c r="J25" s="5" t="str">
        <f>IFERROR(__xludf.DUMMYFUNCTION("GOOGLETRANSLATE(A25)"),"chatgpt")</f>
        <v>chatgpt</v>
      </c>
      <c r="K25" s="6" t="str">
        <f>IFERROR(__xludf.DUMMYFUNCTION("GOOGLETRANSLATE(B25)"),"What is ChatGPT? - Management")</f>
        <v>What is ChatGPT? - Management</v>
      </c>
      <c r="M25" s="5" t="str">
        <f>IFERROR(__xludf.DUMMYFUNCTION("GOOGLETRANSLATE(G25)"),"Multi-Channel Marketing Automation Platform | SendPulsetoggle menu                                 Products                            PricingSupport                                 Resources                             Email CampaignsDrag-and-Drop Builde"&amp;"rSubscription FormsTransactional EmailsCampaign AnalyticsEmail VerifierAutomation 360СRMWebsitesOnline Course BuilderLMSChatbot BuilderInstagram ChatbotsWhatsApp ChatbotsViber ChatbotsFacebook ChatbotsTelegram ChatbotsLive ChatChatbots AppSMSViber Campaig"&amp;"nsWeb Push NotificationsPop-upsNPS WidgetsAPIIntegrationsPartner ProgramFind a SendPulse ExpertAll Features →                            Blog                            Discover actionable tips and helpful tools to fuel your growth                        "&amp;"     Knowledge Base                            Learn how to use SendPulse with our in-depth guides                            Platform Updates                            Recent SendPulse updates and new features                            SendPulse Academ"&amp;"y                            Take online courses to grow in-demand marketing skills                            YouTube Channel                            Expand your knowledge with video content from our experts                             Marketing 101  "&amp;"                          Keep up with all the key digital marketing terms and definitionsEnglish                                                                    Українська                                                                                "&amp;"                                                Русский                                                                                                                                Português                                                               "&amp;"                                                                 Türkçe                                                                                                                                Español                                                 "&amp;"                                                                               Français                                                                                                                                Italiano                                "&amp;"                                                        Login                                                            Login                                 Remember me                                or                                                   "&amp;" Sign in with Facebook                                                                                                    Sign in with Google                                                                                Sign Up                           "&amp;"  Accelerate your sales and grow your business on a single platform                                    Get all the multichannel marketing and sales tools you need for increased profits better workflows and happier customers                                "&amp;"Sign up for free                                    Sign in with Google                                15000 free emails3 free chatbotsFree landing page builderFree CRMNo credit card requiredOur customers love us                    4.6                    "&amp;"                /5                                    4.6                                    /5                                    4.6                                    /5                                    4.6                                    /5      "&amp;"                              4.3                                    /5                                    5                                    /5                            Stay in touch with your customers — wherever they areEmail MarketingDeliver valua"&amp;"ble content straight to your audience's inboxesSMSReach your prospects on their mobile phones while they’re on the goChatbotsUse Facebook Messenger Telegram Instagram and WhatsApp chatbots to connect with your audience in real timeWeb PushConnect with you"&amp;"r subscribers no matter what they’re doing online Everything you need to streamline sales and marketing processes.  From start to finishHouse all sales and marketing activities in one placeGet a complete picture of your contacts and workflows collaborate "&amp;"seamlessly and win more customers. All from a single easy-to-manage dashboard.Get full visibilityUse chatbots subscription forms and landing pages to capture contact details. Automatically push new contacts to your CRM and organize your existing contact d"&amp;"ata in lists and Kanban boards so you can be sure that a lead never slips through the cracks again.Fast-track communicationIntegrate CRM with other SendPulse products seamlessly. Reach out to your leads and customers via email or chatbot directly from the"&amp;"ir contact card in your CRM.Make data-driven decisionsHave all of your customer interaction history and insights on hand to build winning sales pipelines and shorten sales cycles.Improve collaborationBring all of your team members under one roof to elimin"&amp;"ate organizational silos assign roles and permissions and keep track of sales and marketing processes. Teach online and monetize your knowledgeCreate professional online courses using our simple visual builder conduct tests add homework assignments and is"&amp;"sue certificates of completion.Enroll students in your course through an auto-generated landing page with the ability to accept online payments and promote your courses using SendPulse's tools.Instructor accountSet up your courses and their pricing choose"&amp;" the format and order of your lessons add teachers and track students' engagement in the learning process.Student accountPass the available courses pay online through popular payment systems communicate with teachers and receive course completion certific"&amp;"ates.Take repetitive tasks off your to-do listUse SendPulse automation features to keep time-wasting tasks on autopilot and get the time you need to focus on high-value work.Automation 360Set up automated email flows paired with messenger chatbots and SMS"&amp;" to advance leads from stage to stage of your sales process and close more deals.Transactional emailsSend automated emails triggered by user behavior to deliver valuable information to your customers at key moments of their journey.ChatbotsLet WhatsApp Fa"&amp;"cebook Messenger Instagram and Telegram chatbots handle routine tasks like giving shopping advice gathering customer data and feedback and much more. Free up your time to focus on growing your business.CRMAutomatically create deals when a new contact is a"&amp;"dded to CRM through email or chatbot flows and never miss a sales opportunity again. Enhance customer satisfactionMake every customer feel special with personalized messages and lightning-fast responsesCRMAnalyze customer interactions throughout their jou"&amp;"rney and tailor your follow-ups to their behaviors and preferences.                            Learn more                                →ChatbotsGood customer service is fast customer service. Use messenger chatbots to speed up response times and never m"&amp;"ake a customer wait again – even outside of business hours.Learn more                                →SegmentationSegment your contact list to deliver the right content to the right people at the right moments of their customer journey.Learn more         "&amp;"                       → Turn prospects into paying customersGet all of the tools you need to capture leads and map out the customer journey from awareness to sale.CRMSee — at a glance — where your prospects are in the sales process and monitor which deal"&amp;"s are most effective.Subscription formsCreate responsive opt-in forms in no time to grow your list of engaged subscribers and convert them into customers.Landing pagesCraft highly-converting landing pages to capture more leads close more sales and take yo"&amp;"ur campaigns to the next level.ChatbotsUse Facebook Telegram Instagram and WhatsApp chatbots to grab fresh leads and nudge them to make purchase decisions.Web push notificationsAdd push notifications to your campaigns to drive visitors back to your websit"&amp;"e keep them in the know about limited-time deals and make more sales.SMSIntegrate SMS into your marketing strategy to catch prospects and customers on the move. Deliver time-sensitive messages and follow-ups.EmailsSell to a targeted list of email subscrib"&amp;"ers cater to their needs and watch sales roll in.Make the creation process hassle-freeUse SendPulse creative tools and professionally designed templates to create compelling emails and powerful landing pages in a matter of minutes.Drag and drop email edit"&amp;"orDesign attention-grabbing emails the easy way. Zero coding skills or HTML experience required.Email templatesSave time and money with over 130+ prebuilt email templates and customize them to match your brand.Landing page builderEasily create responsive "&amp;"landing pages without a single line of code to get more leads and sales. Stay on target with customer insights and campaign analyticsTake the guesswork out of your marketing and sales process with actionable insights to refine your strategyEmail campaign "&amp;"reports and analyticsGet detailed reports on your email campaigns. Tweak them for success and uncover hidden growth opportunities.Learn more                                →A/B testingIdentify what resonates with your audience and fine-tune your marketing"&amp;" and sales strategies.Learn more                                →CRMKnow what’s going on with every deal and never miss a step in your sales or marketing process.Learn more                                →Integrate SendPulse features with your projectAuto"&amp;"mate data transfer and send campaigns directly from your project. Check out the list of CRM CMS and eCommerce systems you can integrate with SendPulse.More than 40 integrationsAPI documentation Get all of the help and resources you need every step of the "&amp;"wayNeed a helping hand?We’re always here to back you up                                 Talk to us 24/7 in 6 languages                        Knowledge BaseAll the answers you need to get to grips with SendPulse toolsBlogActionable marketing insights and "&amp;"tips hot industry trends and moreYouTubeService manuals and digital marketing webinars FAQ                        What is marketing automation?                        It is a set of tools that improve relationships with a massive audience. SendPulse is a "&amp;"marketing automation platform that offers triggered emails chatbots scheduled SMS and web push notifications. Dive deeper into what marketing automation is.                         Why should I use marketing automation?                        Automated ma"&amp;"rketing makes your living easier since some of the crucial processes like purchasing running giveaways onboarding and more can be once set up and run on their own.                          How do I start using marketing automation?                        "&amp;"Define the goals that marketing automation will help you achieve. Choose marketing channels respectively mastering one channel after another. Here is the list of features  SendPulse provides for your marketing automation.                         How much "&amp;"does marketing automation cost?                        The price depends on what tools you use how many clients you have and what features you need. Check out our pricing plans to find out what suits your needs. Reinvent your sales and marketing with Send"&amp;"PulseGet the most out of a powerful CRM platform email marketing and automation tools and much more to skyrocket your sales and business performance.Sign up for free Email Email CampaignsTransactional EmailsDrag-and-Drop BuilderSubscription FormsAutomatio"&amp;"nCampaign AnalyticsFree Email TemplatesFree Chrome ExtensionChatbotsChatbot BuilderInstagram ChatbotsWhatsApp ChatbotsWhatsApp Business APIWhatsApp Сampaigns WhatsApp Link GeneratorViber ChatbotsFacebook ChatbotsTelegram ChatbotsChatbot Signup WidgetsChat"&amp;"bots AppServicesOnline Course BuilderLMSCRMWebsitesBio Link Page SMSViberWeb Push NotificationsSmart Pop-upsNPS WidgetsLive ChatAll-in-one platformAbout Our CompanyOur TeamFeedbackService UpdatesResources SendPulse AcademyKnowledge BaseInternet Marketing "&amp;"101BlogIntegrationsAPIExpert directoryFor PartnersPartner ProgramInvite friendsСertificationTerms of ServicePrivacy PolicyCookie StatementSendPulse SecurityData Processing AgreementCopyright © 2015 - 2023. SendPulse. All rights reservedEnglish            "&amp;"                                                Українська                                                                                                                Русский                                                                              "&amp;"                                  Português                                                                                                                Türkçe                                                                                              "&amp;"                  Español                                                                                                                Français                                                                                                              "&amp;"  Italiano                                                    			     		Get started with SendPulse			     	Create a free account. No credit card requiredPlease enter a valid email addressRequired fieldThe password is too shortYour password should be from "&amp;"8 to 48 characters long contain at least one uppercase letter one lowercase letter and a number.Please enter 3 or more charactersPlease enter your namePlease enter a valid phone numberPlease confirm you are not a robotRegistration domain is blocked       "&amp;"       The user with this email address already exists. You can Login or Restore a password.            Your promo code is invalid              Such phone number is already registered.You can Login or Restore a password.            Looks like you already "&amp;"have an account. Please email us at support@sendpulse.com if you think this is an error.                          Name                                                    Email address                                                  Phone number          "&amp;"                Password                        Password security tips:                                        from 8 to 48 characters long                                                                            contains a digit                        "&amp;"                                                    contains an uppercase character                                                                            contains a lowercase character                                       or                         "&amp;"               Sign up with Facebook                                                                        Sign up with Google                                                            By creating a SendPulse account you agree to our Terms of Service an"&amp;"d Privacy Policy")</f>
        <v>Multi-Channel Marketing Automation Platform | SendPulsetoggle menu                                 Products                            PricingSupport                                 Resources                             Email CampaignsDrag-and-Drop BuilderSubscription FormsTransactional EmailsCampaign AnalyticsEmail VerifierAutomation 360СRMWebsitesOnline Course BuilderLMSChatbot BuilderInstagram ChatbotsWhatsApp ChatbotsViber ChatbotsFacebook ChatbotsTelegram ChatbotsLive ChatChatbots AppSMSViber CampaignsWeb Push NotificationsPop-upsNPS WidgetsAPIIntegrationsPartner ProgramFind a SendPulse ExpertAll Features →                            Blog                            Discover actionable tips and helpful tools to fuel your growth                             Knowledge Base                            Learn how to use SendPulse with our in-depth guides                            Platform Updates                            Recent SendPulse updates and new features                            SendPulse Academy                            Take online courses to grow in-demand marketing skills                            YouTube Channel                            Expand your knowledge with video content from our experts                             Marketing 101                            Keep up with all the key digital marketing terms and definitionsEnglish                                                                    Українська                                                                                                                                Русский                                                                                                                                Português                                                                                                                                Türkçe                                                                                                                                Español                                                                                                                                Français                                                                                                                                Italiano                                                                                        Login                                                            Login                                 Remember me                                or                                                    Sign in with Facebook                                                                                                    Sign in with Google                                                                                Sign Up                             Accelerate your sales and grow your business on a single platform                                    Get all the multichannel marketing and sales tools you need for increased profits better workflows and happier customers                                Sign up for free                                    Sign in with Google                                15000 free emails3 free chatbotsFree landing page builderFree CRMNo credit card requiredOur customers love us                    4.6                                    /5                                    4.6                                    /5                                    4.6                                    /5                                    4.6                                    /5                                    4.3                                    /5                                    5                                    /5                            Stay in touch with your customers — wherever they areEmail MarketingDeliver valuable content straight to your audience's inboxesSMSReach your prospects on their mobile phones while they’re on the goChatbotsUse Facebook Messenger Telegram Instagram and WhatsApp chatbots to connect with your audience in real timeWeb PushConnect with your subscribers no matter what they’re doing online Everything you need to streamline sales and marketing processes.  From start to finishHouse all sales and marketing activities in one placeGet a complete picture of your contacts and workflows collaborate seamlessly and win more customers. All from a single easy-to-manage dashboard.Get full visibilityUse chatbots subscription forms and landing pages to capture contact details. Automatically push new contacts to your CRM and organize your existing contact data in lists and Kanban boards so you can be sure that a lead never slips through the cracks again.Fast-track communicationIntegrate CRM with other SendPulse products seamlessly. Reach out to your leads and customers via email or chatbot directly from their contact card in your CRM.Make data-driven decisionsHave all of your customer interaction history and insights on hand to build winning sales pipelines and shorten sales cycles.Improve collaborationBring all of your team members under one roof to eliminate organizational silos assign roles and permissions and keep track of sales and marketing processes. Teach online and monetize your knowledgeCreate professional online courses using our simple visual builder conduct tests add homework assignments and issue certificates of completion.Enroll students in your course through an auto-generated landing page with the ability to accept online payments and promote your courses using SendPulse's tools.Instructor accountSet up your courses and their pricing choose the format and order of your lessons add teachers and track students' engagement in the learning process.Student accountPass the available courses pay online through popular payment systems communicate with teachers and receive course completion certificates.Take repetitive tasks off your to-do listUse SendPulse automation features to keep time-wasting tasks on autopilot and get the time you need to focus on high-value work.Automation 360Set up automated email flows paired with messenger chatbots and SMS to advance leads from stage to stage of your sales process and close more deals.Transactional emailsSend automated emails triggered by user behavior to deliver valuable information to your customers at key moments of their journey.ChatbotsLet WhatsApp Facebook Messenger Instagram and Telegram chatbots handle routine tasks like giving shopping advice gathering customer data and feedback and much more. Free up your time to focus on growing your business.CRMAutomatically create deals when a new contact is added to CRM through email or chatbot flows and never miss a sales opportunity again. Enhance customer satisfactionMake every customer feel special with personalized messages and lightning-fast responsesCRMAnalyze customer interactions throughout their journey and tailor your follow-ups to their behaviors and preferences.                            Learn more                                →ChatbotsGood customer service is fast customer service. Use messenger chatbots to speed up response times and never make a customer wait again – even outside of business hours.Learn more                                →SegmentationSegment your contact list to deliver the right content to the right people at the right moments of their customer journey.Learn more                                → Turn prospects into paying customersGet all of the tools you need to capture leads and map out the customer journey from awareness to sale.CRMSee — at a glance — where your prospects are in the sales process and monitor which deals are most effective.Subscription formsCreate responsive opt-in forms in no time to grow your list of engaged subscribers and convert them into customers.Landing pagesCraft highly-converting landing pages to capture more leads close more sales and take your campaigns to the next level.ChatbotsUse Facebook Telegram Instagram and WhatsApp chatbots to grab fresh leads and nudge them to make purchase decisions.Web push notificationsAdd push notifications to your campaigns to drive visitors back to your website keep them in the know about limited-time deals and make more sales.SMSIntegrate SMS into your marketing strategy to catch prospects and customers on the move. Deliver time-sensitive messages and follow-ups.EmailsSell to a targeted list of email subscribers cater to their needs and watch sales roll in.Make the creation process hassle-freeUse SendPulse creative tools and professionally designed templates to create compelling emails and powerful landing pages in a matter of minutes.Drag and drop email editorDesign attention-grabbing emails the easy way. Zero coding skills or HTML experience required.Email templatesSave time and money with over 130+ prebuilt email templates and customize them to match your brand.Landing page builderEasily create responsive landing pages without a single line of code to get more leads and sales. Stay on target with customer insights and campaign analyticsTake the guesswork out of your marketing and sales process with actionable insights to refine your strategyEmail campaign reports and analyticsGet detailed reports on your email campaigns. Tweak them for success and uncover hidden growth opportunities.Learn more                                →A/B testingIdentify what resonates with your audience and fine-tune your marketing and sales strategies.Learn more                                →CRMKnow what’s going on with every deal and never miss a step in your sales or marketing process.Learn more                                →Integrate SendPulse features with your projectAutomate data transfer and send campaigns directly from your project. Check out the list of CRM CMS and eCommerce systems you can integrate with SendPulse.More than 40 integrationsAPI documentation Get all of the help and resources you need every step of the wayNeed a helping hand?We’re always here to back you up                                 Talk to us 24/7 in 6 languages                        Knowledge BaseAll the answers you need to get to grips with SendPulse toolsBlogActionable marketing insights and tips hot industry trends and moreYouTubeService manuals and digital marketing webinars FAQ                        What is marketing automation?                        It is a set of tools that improve relationships with a massive audience. SendPulse is a marketing automation platform that offers triggered emails chatbots scheduled SMS and web push notifications. Dive deeper into what marketing automation is.                         Why should I use marketing automation?                        Automated marketing makes your living easier since some of the crucial processes like purchasing running giveaways onboarding and more can be once set up and run on their own.                          How do I start using marketing automation?                        Define the goals that marketing automation will help you achieve. Choose marketing channels respectively mastering one channel after another. Here is the list of features  SendPulse provides for your marketing automation.                         How much does marketing automation cost?                        The price depends on what tools you use how many clients you have and what features you need. Check out our pricing plans to find out what suits your needs. Reinvent your sales and marketing with SendPulseGet the most out of a powerful CRM platform email marketing and automation tools and much more to skyrocket your sales and business performance.Sign up for free Email Email CampaignsTransactional EmailsDrag-and-Drop BuilderSubscription FormsAutomationCampaign AnalyticsFree Email TemplatesFree Chrome ExtensionChatbotsChatbot BuilderInstagram ChatbotsWhatsApp ChatbotsWhatsApp Business APIWhatsApp Сampaigns WhatsApp Link GeneratorViber ChatbotsFacebook ChatbotsTelegram ChatbotsChatbot Signup WidgetsChatbots AppServicesOnline Course BuilderLMSCRMWebsitesBio Link Page SMSViberWeb Push NotificationsSmart Pop-upsNPS WidgetsLive ChatAll-in-one platformAbout Our CompanyOur TeamFeedbackService UpdatesResources SendPulse AcademyKnowledge BaseInternet Marketing 101BlogIntegrationsAPIExpert directoryFor PartnersPartner ProgramInvite friendsСertificationTerms of ServicePrivacy PolicyCookie StatementSendPulse SecurityData Processing AgreementCopyright © 2015 - 2023. SendPulse. All rights reservedEnglish                                                            Українська                                                                                                                Русский                                                                                                                Português                                                                                                                Türkçe                                                                                                                Español                                                                                                                Français                                                                                                                Italiano                                                    			     		Get started with SendPulse			     	Create a free account. No credit card requiredPlease enter a valid email addressRequired fieldThe password is too shortYour password should be from 8 to 48 characters long contain at least one uppercase letter one lowercase letter and a number.Please enter 3 or more charactersPlease enter your namePlease enter a valid phone numberPlease confirm you are not a robotRegistration domain is blocked              The user with this email address already exists. You can Login or Restore a password.            Your promo code is invalid              Such phone number is already registered.You can Login or Restore a password.            Looks like you already have an account. Please email us at support@sendpulse.com if you think this is an error.                          Name                                                    Email address                                                  Phone number                          Password                        Password security tips:                                        from 8 to 48 characters long                                                                            contains a digit                                                                            contains an uppercase character                                                                            contains a lowercase character                                       or                                        Sign up with Facebook                                                                        Sign up with Google                                                            By creating a SendPulse account you agree to our Terms of Service and Privacy Policy</v>
      </c>
    </row>
    <row r="26">
      <c r="A26" s="1" t="s">
        <v>54</v>
      </c>
      <c r="B26" s="1" t="s">
        <v>107</v>
      </c>
      <c r="C26" s="1" t="s">
        <v>108</v>
      </c>
      <c r="D26" s="1">
        <v>13.0</v>
      </c>
      <c r="E26" s="4" t="s">
        <v>109</v>
      </c>
      <c r="F26" s="1" t="s">
        <v>16</v>
      </c>
      <c r="G26" s="1" t="s">
        <v>110</v>
      </c>
      <c r="H26" s="4" t="s">
        <v>111</v>
      </c>
      <c r="I26" s="2">
        <v>1.0</v>
      </c>
      <c r="J26" s="5" t="str">
        <f>IFERROR(__xludf.DUMMYFUNCTION("GOOGLETRANSLATE(A26)"),"chatgpt")</f>
        <v>chatgpt</v>
      </c>
      <c r="K26" s="6" t="str">
        <f>IFERROR(__xludf.DUMMYFUNCTION("GOOGLETRANSLATE(B26)"),"Chat GPT neural network - Artificial intelligence online")</f>
        <v>Chat GPT neural network - Artificial intelligence online</v>
      </c>
      <c r="L26" s="5" t="str">
        <f>IFERROR(__xludf.DUMMYFUNCTION("GOOGLETRANSLATE(C26)"),"The Chat GPT neural network ... a powerful chatbot in Russian, developed by Openai, ChatGPT answers your questions. In order to start using the tool, ...")</f>
        <v>The Chat GPT neural network ... a powerful chatbot in Russian, developed by Openai, ChatGPT answers your questions. In order to start using the tool, ...</v>
      </c>
      <c r="M26" s="5" t="str">
        <f>IFERROR(__xludf.DUMMYFUNCTION("GOOGLETRANSLATE(G26)"),"PR -CY 🔥 Site analysis: Site Service Service - Online tools for webmasters of optimizers and copywriters. Tariffs and prices tools for the country's employment person Seti -owned -owned regional control over the seo are controlled and independently impro"&amp;"ve the positions of your site in search engines to get more traffic and sales. Near the analysis of the site analize the necessary - In one service, we analyze a lot of data for each project daily, which allows you to manage all your and client projects f"&amp;"rom the same place. Daily monitoring allows you to track the positions in the search for organic traffic and quickly respond to errors. Steaming the positions of the web traffic maintenance of the technical condition pages of the domain metric and the tec"&amp;"hnical characteristics of the site of the most necessary tools for the tools-give you full control over projects and strengthen their management so that you can concentrate on you Key tasks. Positioning of positions on the pulse with a daily check of your"&amp;" site’s position in search engines. Two search engines and country-mobile countries and desktop are more in the search for the site of the site with the help of an audit- the service scans the site and shows optimization errors and how to resolve them up "&amp;"to 5000 pages Tags of server answers Technical errors of content on site-stomach data in more detail by the site of the site. Steac of the site that is critical to promote and correct operation of the site, general assessment of the quality of the site an"&amp;"d quick search for errors. History of changes in parameters for email if something goes not tactfully ? Reviews of usersinyakin Sergeysiniakin.ru also have been using the PR-CC service for me as a Internet marketer for more than 3 years-this is one of the"&amp;" main tools that I use to analyze client sites and their competitors to check the positions of internal pages analysis and as a problem planner. Dmitry Stogovi. D. CODEMENCE TOPICIPTION OF CHARACTIONAL CHOOSSHICTIONS TO CREATION AND MOTING THE SITE. Every"&amp;"thing is visual and accessible in the ""for the teapot"" mode. “Drawn” reports of marketerists will no longer pump. Everything on the face is the positions of the keys that is wrong with optimization. No need to shove a million resources the necessary inf"&amp;"ormation is composed in one place! We have been used for a year and only positive emotions. Yakovinainkbuilder is used by Yakovinainkbuilder.su, the first year we use PR-CY tools to analyze data and synchronize our algorithms to calculate the promotion bu"&amp;"dget. Conducting the responsiveness of the caliper for our requests competitive prices and the relevance of the information received. An important point - the service is constantly developing new functions and the interface improves. The guys are always o"&amp;"n the pulse of new technologies. The Ibrahim KadirovintegerService is used regularly with its help brought two projects to the top. Quickly finds mistakes to quickly correct them. They would especially like to note the analysis of internal pages is very c"&amp;"onvenient. The main advantage is the full monitoring of the site promotion. Kyrill Nikolaevbigtime.ventureSkak from the point of view of the agency and from the point of view of the Inhaus-specialist “Website analysis” is indispensable. Inchestrations for"&amp;" a quick assessment of the general condition of the patient are needed almost every day - both for primary analysis and for intermediate reports. One of the few in Runet who checks not only the main but also internal pages. Quickly with proper ability to "&amp;"analyze the data obtained, it is very convenient. You can pay $ 200 for analogues, but why? Ruslan Fathutdinovreaspekt.ru Sopasibo for the guys for the service. We use a large amount of data from the API analysis to build reports and marketing tasks. Alek"&amp;"sey Makhmethazhievloading.express tool has established itself as a reliable service for analysis of the most important indicators of the site. After updates on our website, we always use a test in PR-CY so that nothing to miss from what can help us to be "&amp;"in the top of search engines. Thank you and good luck in development! Alexander Chepukaitisant-team.ruPr-cy.ru is an indispensable tool in work. I often have to communicate with new customers and build a strategy at the initial stage while we still do not"&amp;" have detailed audits. At this moment, I use PR-CY tools, they help me quickly find growth points and based on this to form a strategy for further work. It is also useful to check the internal pages immediately gives a complete picture of the state of the"&amp;" site. Andrey Pikuzopug Web -Hasteful Service. I use it to quickly analyze the sites of my customers. I also really like in PR-Cy the ability to maintain projects to monitor the positions of keywords to compare projects with competitors. Maxim Matveevjcat"&amp;"a Democratic service for monitoring the SEO work on the site. Visual reports weekly by mail. Sinyakin Sergeysiniakin.ru, I have been using the PR-CY service for me for more than 3 years as an Internet marketer-this is one of the main tools that I use to a"&amp;"nalyze customer sites and their competitors to verify the positions of the analysis of internal pages and how Planner of tasks. Dmitry Stogovi.d. CODEMENCE TOPICIPTION OF CHARACTIONAL CHOOSSHICTIONS TO CREATION AND MOTING THE SITE. Everything is visual an"&amp;"d accessible in the ""for the teapot"" mode. “Drawn” reports of marketerists will no longer pump. Everything on the face is the positions of the keys that is wrong with optimization. No need to shove a million resources the necessary information is compos"&amp;"ed in one place! We have been used for a year and only positive emotions. Yakovinainkbuilder is used by Yakovinainkbuilder.su, the first year we use PR-CY tools to analyze data and synchronize our algorithms to calculate the promotion budget. Conducting t"&amp;"he responsiveness of the caliper for our requests competitive prices and the relevance of the information received. An important point - the service is constantly developing new functions and the interface improves. The guys are always on the pulse of new"&amp;" technologies. The Ibrahim KadirovintegerService is used regularly with its help brought two projects to the top. Quickly finds mistakes to quickly correct them. They would especially like to note the analysis of internal pages is very convenient. The mai"&amp;"n advantage is the full monitoring of the site promotion. Kyrill Nikolaevbigtime.ventureSkak from the point of view of the agency and from the point of view of the Inhaus-specialist “Website analysis” is indispensable. Inchestrations for a quick assessmen"&amp;"t of the general condition of the patient are needed almost every day - both for primary analysis and for intermediate reports. One of the few in Runet who checks not only the main but also internal pages. Quickly with proper ability to analyze the data o"&amp;"btained, it is very convenient. You can pay $ 200 for analogues, but why? Ruslan Fathutdinovreaspekt.ru Sopasibo for the guys for the service. We use a large amount of data from the API analysis to build reports and marketing tasks. Aleksey Makhmethazhiev"&amp;"loading.express tool has established itself as a reliable service for analysis of the most important indicators of the site. After updates on our website, we always use a test in PR-CY so that nothing to miss from what can help us to be in the top of sear"&amp;"ch engines. Thank you and good luck in development! Alexander Chepukaitisant-team.ruPr-cy.ru is an indispensable tool in work. I often have to communicate with new customers and build a strategy at the initial stage while we still do not have detailed aud"&amp;"its. At this moment, I use PR-CY tools, they help me quickly find growth points and based on this to form a strategy for further work. It is also useful to check the internal pages immediately gives a complete picture of the state of the site. Andrey Piku"&amp;"zopug Web -Hasteful Service. I use it to quickly analyze the sites of my customers. I also really like in PR-Cy the ability to maintain projects to monitor the positions of keywords to compare projects with competitors. Maxim Matveevjcata Democratic servi"&amp;"ce for monitoring the SEO work on the site. Visual reports weekly by mail. Sinyakin Sergeysiniakin.ru, I have been using the PR-CY service for me for more than 3 years as an Internet marketer-this is one of the main tools that I use to analyze customer si"&amp;"tes and their competitors to verify the positions of the analysis of internal pages and how Task planner. 12345678910 Popular tools analyzing the site MACH MARTROL: Analysis of positions and audit of the site. Protection of attendance attendance and traff"&amp;"ic sources. Massion verification of the domain verification of traffic and SEO parameters for the list of domains. TZ for your keywords. Words without captcha. SEO Analysis of the page of the page of the page for optimization by the key word.chatgpt on th"&amp;"e Russian chassis artificial intellectualize the textiles of keywords in the text Analysis of the text. The text of the text to generate the authorship of the text: AI or person. Brand a check of the position of the position of positions on the list of ke"&amp;"ywords. Selection of key intricas of prompts in Google. Sliding words to competitors of the site in search engines. Speech of the URL in the TOP Yandex and Googles Squads of domains on request. Carrying out the page of the page of pages for indexing in Go"&amp;"ogle &amp; Yandex. Antiplagiat Systems. Crossing the speed of the Internet the Internet of your computer. Determination of CMS SETALLED all the technologies on the site. DESTITIONS OF POSSIASES OF ALL links on any page. IIKE IS ICE your browser data. Weching "&amp;"to the site, we can buy a canonical address of the canonical address. IP domain. Follow similar SitePoisk sites with similar traffic. Know the hosting of the Site Verrech the Data Center and the Hoster by IP. Operations DECREAST DELIVE AT ANTISTICTIONALLY"&amp;" OF THE WHOIS. Carrying SSL Certificates and Conducting SSL. Carrying for the response of the response of the HTTP-heads of any page. Robots and X-Robots to manage indexing manually conduct a clustering of semantic nucleus requests What is Google Discover"&amp;" and how to get there to the question of a primary analysis of your site or competitor? For a quick free analysis of any site, enter its domain in the form on the main page on the main page and the pressure of the “Analysis” . How to check for errors the "&amp;"entire site? The entire site, including internal pages, can be checked at the paid tariffs of the Site Analysis service. He will look for errors in metathas and encoding will analyze the server response speed and number of links. Why are paid tariffs bett"&amp;"er than a free check? For free, the service gives a surface check. At paid tariffs, expanded API Creating PDF reports are available an increased number of tests in other PR-CY tools. Tariffs are suitable to monitor the state of the site on an ongoing basi"&amp;"s. How do I not miss important events and errors on the site? Notifications are available on the tariffs: if something happens with the site, for example, it will fly out of the index or get into the register of prohibited sites, the service will receive "&amp;"a notification to E -mail. You can also connect a weekly letter with a summary of important indicators. How to use the results of the audit? Pay attention to errors and warnings about which the analysis writes. They can be conveyed to an optimization spec"&amp;"ialist or plan a task for yourself. To improve the site, the service offers a general checklist of 80 tasks, execution can be noted directly in the interface. You can help fix the errors that the service found? We develop services to facilitate the work o"&amp;"f seoshniks and webmers but do not engage in sites and do not take customers. You can find tips on improving sites in our blog. I need two or three checks per week why buy a tariff for a month? The main advantage of the service is that even if you do not "&amp;"go daily, it automatically updates all the data on your site and collects information. For example, the level of indexation or traffic does not make sense to consider in the moment these indicators make sense only in dynamics. In addition, if something ha"&amp;"ppens to the site when you are busy with other things, we will send you a notification. All in one place is the main tasks of promoting your site you can do in one place at a fixed price. Understand © 2006–2023 PR-CruENALIALISS SETASEO-analysis Pageraza c"&amp;"heck of the positions of the athletgpt test of the attendability of the site site ipwhois Democrate TSI (Line) SEO Extension for chromeinformation by nashpracaochevertacondupdentism")</f>
        <v>PR -CY 🔥 Site analysis: Site Service Service - Online tools for webmasters of optimizers and copywriters. Tariffs and prices tools for the country's employment person Seti -owned -owned regional control over the seo are controlled and independently improve the positions of your site in search engines to get more traffic and sales. Near the analysis of the site analize the necessary - In one service, we analyze a lot of data for each project daily, which allows you to manage all your and client projects from the same place. Daily monitoring allows you to track the positions in the search for organic traffic and quickly respond to errors. Steaming the positions of the web traffic maintenance of the technical condition pages of the domain metric and the technical characteristics of the site of the most necessary tools for the tools-give you full control over projects and strengthen their management so that you can concentrate on you Key tasks. Positioning of positions on the pulse with a daily check of your site’s position in search engines. Two search engines and country-mobile countries and desktop are more in the search for the site of the site with the help of an audit- the service scans the site and shows optimization errors and how to resolve them up to 5000 pages Tags of server answers Technical errors of content on site-stomach data in more detail by the site of the site. Steac of the site that is critical to promote and correct operation of the site, general assessment of the quality of the site and quick search for errors. History of changes in parameters for email if something goes not tactfully ? Reviews of usersinyakin Sergeysiniakin.ru also have been using the PR-CC service for me as a Internet marketer for more than 3 years-this is one of the main tools that I use to analyze client sites and their competitors to check the positions of internal pages analysis and as a problem planner. Dmitry Stogovi. D. CODEMENCE TOPICIPTION OF CHARACTIONAL CHOOSSHICTIONS TO CREATION AND MOTING THE SITE. Everything is visual and accessible in the "for the teapot" mode. “Drawn” reports of marketerists will no longer pump. Everything on the face is the positions of the keys that is wrong with optimization. No need to shove a million resources the necessary information is composed in one place! We have been used for a year and only positive emotions. Yakovinainkbuilder is used by Yakovinainkbuilder.su, the first year we use PR-CY tools to analyze data and synchronize our algorithms to calculate the promotion budget. Conducting the responsiveness of the caliper for our requests competitive prices and the relevance of the information received. An important point - the service is constantly developing new functions and the interface improves. The guys are always on the pulse of new technologies. The Ibrahim KadirovintegerService is used regularly with its help brought two projects to the top. Quickly finds mistakes to quickly correct them. They would especially like to note the analysis of internal pages is very convenient. The main advantage is the full monitoring of the site promotion. Kyrill Nikolaevbigtime.ventureSkak from the point of view of the agency and from the point of view of the Inhaus-specialist “Website analysis” is indispensable. Inchestrations for a quick assessment of the general condition of the patient are needed almost every day - both for primary analysis and for intermediate reports. One of the few in Runet who checks not only the main but also internal pages. Quickly with proper ability to analyze the data obtained, it is very convenient. You can pay $ 200 for analogues, but why? Ruslan Fathutdinovreaspekt.ru Sopasibo for the guys for the service. We use a large amount of data from the API analysis to build reports and marketing tasks. Aleksey Makhmethazhievloading.express tool has established itself as a reliable service for analysis of the most important indicators of the site. After updates on our website, we always use a test in PR-CY so that nothing to miss from what can help us to be in the top of search engines. Thank you and good luck in development! Alexander Chepukaitisant-team.ruPr-cy.ru is an indispensable tool in work. I often have to communicate with new customers and build a strategy at the initial stage while we still do not have detailed audits. At this moment, I use PR-CY tools, they help me quickly find growth points and based on this to form a strategy for further work. It is also useful to check the internal pages immediately gives a complete picture of the state of the site. Andrey Pikuzopug Web -Hasteful Service. I use it to quickly analyze the sites of my customers. I also really like in PR-Cy the ability to maintain projects to monitor the positions of keywords to compare projects with competitors. Maxim Matveevjcata Democratic service for monitoring the SEO work on the site. Visual reports weekly by mail. Sinyakin Sergeysiniakin.ru, I have been using the PR-CY service for me for more than 3 years as an Internet marketer-this is one of the main tools that I use to analyze customer sites and their competitors to verify the positions of the analysis of internal pages and how Planner of tasks. Dmitry Stogovi.d. CODEMENCE TOPICIPTION OF CHARACTIONAL CHOOSSHICTIONS TO CREATION AND MOTING THE SITE. Everything is visual and accessible in the "for the teapot" mode. “Drawn” reports of marketerists will no longer pump. Everything on the face is the positions of the keys that is wrong with optimization. No need to shove a million resources the necessary information is composed in one place! We have been used for a year and only positive emotions. Yakovinainkbuilder is used by Yakovinainkbuilder.su, the first year we use PR-CY tools to analyze data and synchronize our algorithms to calculate the promotion budget. Conducting the responsiveness of the caliper for our requests competitive prices and the relevance of the information received. An important point - the service is constantly developing new functions and the interface improves. The guys are always on the pulse of new technologies. The Ibrahim KadirovintegerService is used regularly with its help brought two projects to the top. Quickly finds mistakes to quickly correct them. They would especially like to note the analysis of internal pages is very convenient. The main advantage is the full monitoring of the site promotion. Kyrill Nikolaevbigtime.ventureSkak from the point of view of the agency and from the point of view of the Inhaus-specialist “Website analysis” is indispensable. Inchestrations for a quick assessment of the general condition of the patient are needed almost every day - both for primary analysis and for intermediate reports. One of the few in Runet who checks not only the main but also internal pages. Quickly with proper ability to analyze the data obtained, it is very convenient. You can pay $ 200 for analogues, but why? Ruslan Fathutdinovreaspekt.ru Sopasibo for the guys for the service. We use a large amount of data from the API analysis to build reports and marketing tasks. Aleksey Makhmethazhievloading.express tool has established itself as a reliable service for analysis of the most important indicators of the site. After updates on our website, we always use a test in PR-CY so that nothing to miss from what can help us to be in the top of search engines. Thank you and good luck in development! Alexander Chepukaitisant-team.ruPr-cy.ru is an indispensable tool in work. I often have to communicate with new customers and build a strategy at the initial stage while we still do not have detailed audits. At this moment, I use PR-CY tools, they help me quickly find growth points and based on this to form a strategy for further work. It is also useful to check the internal pages immediately gives a complete picture of the state of the site. Andrey Pikuzopug Web -Hasteful Service. I use it to quickly analyze the sites of my customers. I also really like in PR-Cy the ability to maintain projects to monitor the positions of keywords to compare projects with competitors. Maxim Matveevjcata Democratic service for monitoring the SEO work on the site. Visual reports weekly by mail. Sinyakin Sergeysiniakin.ru, I have been using the PR-CY service for me for more than 3 years as an Internet marketer-this is one of the main tools that I use to analyze customer sites and their competitors to verify the positions of the analysis of internal pages and how Task planner. 12345678910 Popular tools analyzing the site MACH MARTROL: Analysis of positions and audit of the site. Protection of attendance attendance and traffic sources. Massion verification of the domain verification of traffic and SEO parameters for the list of domains. TZ for your keywords. Words without captcha. SEO Analysis of the page of the page of the page for optimization by the key word.chatgpt on the Russian chassis artificial intellectualize the textiles of keywords in the text Analysis of the text. The text of the text to generate the authorship of the text: AI or person. Brand a check of the position of the position of positions on the list of keywords. Selection of key intricas of prompts in Google. Sliding words to competitors of the site in search engines. Speech of the URL in the TOP Yandex and Googles Squads of domains on request. Carrying out the page of the page of pages for indexing in Google &amp; Yandex. Antiplagiat Systems. Crossing the speed of the Internet the Internet of your computer. Determination of CMS SETALLED all the technologies on the site. DESTITIONS OF POSSIASES OF ALL links on any page. IIKE IS ICE your browser data. Weching to the site, we can buy a canonical address of the canonical address. IP domain. Follow similar SitePoisk sites with similar traffic. Know the hosting of the Site Verrech the Data Center and the Hoster by IP. Operations DECREAST DELIVE AT ANTISTICTIONALLY OF THE WHOIS. Carrying SSL Certificates and Conducting SSL. Carrying for the response of the response of the HTTP-heads of any page. Robots and X-Robots to manage indexing manually conduct a clustering of semantic nucleus requests What is Google Discover and how to get there to the question of a primary analysis of your site or competitor? For a quick free analysis of any site, enter its domain in the form on the main page on the main page and the pressure of the “Analysis” . How to check for errors the entire site? The entire site, including internal pages, can be checked at the paid tariffs of the Site Analysis service. He will look for errors in metathas and encoding will analyze the server response speed and number of links. Why are paid tariffs better than a free check? For free, the service gives a surface check. At paid tariffs, expanded API Creating PDF reports are available an increased number of tests in other PR-CY tools. Tariffs are suitable to monitor the state of the site on an ongoing basis. How do I not miss important events and errors on the site? Notifications are available on the tariffs: if something happens with the site, for example, it will fly out of the index or get into the register of prohibited sites, the service will receive a notification to E -mail. You can also connect a weekly letter with a summary of important indicators. How to use the results of the audit? Pay attention to errors and warnings about which the analysis writes. They can be conveyed to an optimization specialist or plan a task for yourself. To improve the site, the service offers a general checklist of 80 tasks, execution can be noted directly in the interface. You can help fix the errors that the service found? We develop services to facilitate the work of seoshniks and webmers but do not engage in sites and do not take customers. You can find tips on improving sites in our blog. I need two or three checks per week why buy a tariff for a month? The main advantage of the service is that even if you do not go daily, it automatically updates all the data on your site and collects information. For example, the level of indexation or traffic does not make sense to consider in the moment these indicators make sense only in dynamics. In addition, if something happens to the site when you are busy with other things, we will send you a notification. All in one place is the main tasks of promoting your site you can do in one place at a fixed price. Understand © 2006–2023 PR-CruENALIALISS SETASEO-analysis Pageraza check of the positions of the athletgpt test of the attendability of the site site ipwhois Democrate TSI (Line) SEO Extension for chromeinformation by nashpracaochevertacondupdentism</v>
      </c>
    </row>
    <row r="27">
      <c r="A27" s="1" t="s">
        <v>54</v>
      </c>
      <c r="B27" s="1" t="s">
        <v>112</v>
      </c>
      <c r="C27" s="1" t="s">
        <v>113</v>
      </c>
      <c r="D27" s="1">
        <v>14.0</v>
      </c>
      <c r="E27" s="4" t="s">
        <v>114</v>
      </c>
      <c r="F27" s="1" t="s">
        <v>16</v>
      </c>
      <c r="G27" s="1" t="s">
        <v>115</v>
      </c>
      <c r="H27" s="4" t="s">
        <v>116</v>
      </c>
      <c r="I27" s="2">
        <v>4.0</v>
      </c>
      <c r="J27" s="5" t="str">
        <f>IFERROR(__xludf.DUMMYFUNCTION("GOOGLETRANSLATE(A27)"),"chatgpt")</f>
        <v>chatgpt</v>
      </c>
      <c r="K27" s="6" t="str">
        <f>IFERROR(__xludf.DUMMYFUNCTION("GOOGLETRANSLATE(B27)"),"Microsoft forbade employees to use ChatGPT ...")</f>
        <v>Microsoft forbade employees to use ChatGPT ...</v>
      </c>
      <c r="L27" s="5" t="str">
        <f>IFERROR(__xludf.DUMMYFUNCTION("GOOGLETRANSLATE(C27)"),"1 day ago -")</f>
        <v>1 day ago -</v>
      </c>
      <c r="M27" s="5" t="str">
        <f>IFERROR(__xludf.DUMMYFUNCTION("GOOGLETRANSLATE(G27)"),"All the most interesting of the world of the IT industry 🇷🇺🇰🇿 Today is November 12, 2023 18+MWC 201820computExifa 2018, SitereklamazklakkontaktattovostovostovostovostovostovostovostiovostiOFSANALIDICAVIDOCAVUK and acoustics of the BP and oclaigent aMa"&amp;"ternipers and projectors of the electronical power supply system and pmperiferioplanshtyta support for processors and memory and communications SMARARTFONAURALARY DOCTIONS AND VIDEO CART RSS/Social Networks The distribution of vacancies [New!] The main su"&amp;"rvey dozens of massive stars are hastily leaving our galaxy and now scientists have found out why vast astrometric observations of the sky began in the early 2000s that gave an accurate idea of ​​the speed and direction of the stars. We began to see the u"&amp;"niverse around us in dynamics. About 20 years ago, the first star leaving our galaxy was discovered. It turned out that there were a lot of stars-stars and most of them showed the study in the early Universe a reduced copy of our galaxy-scientists do not "&amp;"understand how the James Webb space telescope appeared there, which has not yet lended to scientific explanation. The new discovery was the detection of the Galaxy very similar to the Milky Way of only 2 billion years after the Big Bang. Such a spiral gal"&amp;"axy simply could not be in that place and at that time astronomers declare. She simply would not have time to develop to such perfect forms of Alan Wake 2 - he waited for thirteen years! In a dark place! The Review of the Return of Alan Waika, many player"&amp;"s were waiting for their breath. Each Easter in Control, hinting at the fate of the famous writer, became a ray of hope. And with the release of AWE, the studio almost officially confirmed - it will definitely return! Thirteen years later, Alana brought t"&amp;"o the shore of Lake Koldron. Was it worth waiting for him? Definitely yes ... Gamesblender No. 648: PS5 Slim opening in Microsoft Games BlizzCon 2023 Announcements and the start of “Troubles” with you Gamesblender Video Dazhest of the News of the Game Ind"&amp;"ustry from 3Dnews.ru. Today we will tell you what we showed on BlizzCon and when to wait for the new Mass Effect and also look inside the lightweight PlayStation 5 model. Let's go! In trend • On Intel, they sued billions of processors with a defect of whi"&amp;"ch she knew and did nothing • “Thank you to developers now I’m not a pirate”: STRONGHOLD: Definitive Edition for the first three days, they pleased the creators • IFIXIT found out how Apple succeeded to achieve the radical black color of the MacBook Pro c"&amp;"ase • Ton’s cryptocurrency wallet began to be added to Telegram around the world • Superduper: Gigaio SuperDupernode allows you to unite 64 accelerator Hardware News • Historical Society not to build a landing station for the Nuvem Internet Cabbel for the"&amp;" Nuvam. The place of the memorial is second World War • Galax released a rare single-sloping video card of the GeForce RTX 4060 Ti Max from 16 GB of memory • SPACEX DRAGON ship delivered to the ISS a laser space communication apparatus and a lot of other "&amp;"equipment • From the beginning of 2024, 160 state and other organizations will connect 160 state and other organizations to the all-Russian anti-attacked system. • Apple promised not to increase prices to compensate for its expenses on increasing environm"&amp;"ental friendliness • Tronsmart T7 Tronsmart T7 Lite and Tronsmart Bang wireless speakers will turn any party into a real light show • Ilife L100 robot and humid cleaning with the function of laser scanning • the parking lot will not be the parking lot. : "&amp;"Mars-proceedings and even a helicopter will continue to collect data even in the absence of a connection with the Earth • Ilife T10S robot vertebrae with a self-cleaning station and Ilife W90 wireless vacuum cleaner will add comfort and efficiency • Space"&amp;"X is preparing Starship for launch on November 17, but the approval of the regulator has not yet received • for successes SpaceX discovered the prohibitive injuries of workers and a disregard for safety precautions • Ugreen has released the Porta Porta Po"&amp;"rta Hitune Max 5 wireless headphones with noise reducing and a 255 W-off • TPL NXTPAPER 11-a tablet with a bright IPS -cryise • Cruise is forced to proceed to reduce the personnel of the unmanned taxi that has served it • In October, TSMC revenue grew by "&amp;"348 % immediately • One-Netbook introduced the external Radeon RX 7600M XT video card with a built-in SSD • AOC presented a 27-inch game game game The Q27G10E monitor with a resolution of 1440P and the update frequency of 180 Hz • Galax will release 50 ex"&amp;"clusive GEFORCE RTX 4090 20TH Anniversary Carbon Fiber Edition for $ 2880 Software News: Alan Wake 2 - thirteen years old! In a dark place! Review • New Article: Gamesblender No. 648: Opening PS5 SLIM AI in Microsoft games announcements Blizzcon 2023 and "&amp;"start of pre -order “Troubles” • Celebrating the first anniversary of the action of Warhammer 40000: Darktide for two months • Hackers published confidential data from Boeeing. Backing • Authors The cooperative action of The First Descendant promises to c"&amp;"orrect all the shortcomings of the beta testing revealed during the beta-testing • Apple iPhone 15 Pro learned to shoot a 3D video for the Vision Pro headset • Meta✴ offered Europeans Instagram✴ and Facebook✴ without advertising but it costs this. Evo • T"&amp;"urok 3: Shadow of Oblivion from Nightdive will be released later than the promised - a new release date is disclosed • New article: The Invincible - Flies with us. Рецензия • Критический успех: Baldur's Gate 3 не оставила шанса конкурентам на Golden Joyst"&amp;"ick Awards 2023 • IBM инвестирует $500 млн в ИИ-стартапы ориентированные на корпоративных клиентов • В 2024 году в Steam выйдет Exilium — атмосферный российский квест про экзорцизм и демонов с геймплеем в духе “How to get a neighbor” • From Shisha to Sagi"&amp;"ttarius: Troubles Developers explained how the images of Yuri Miloslavsky differ from the classes and what they give • The social network X was very lagging behind competitors in the moderation of the EU content • Microsoft forbade employees to use Chatgp"&amp;"t from security reasons The adventure action of Senua's Saga: Hellblade II will not be released earlier than mid -2024 • Binance will stop supporting deposits in Russian rubles from November 15 • Google will not be able to turn off the support of third -p"&amp;"arty COOKIE until 2025 New Article: Alan Wake 2 - thirteen years old ! In a dark place! Soft Review • New Article: Gamesblender No. 648: Opening PS5 SLIM AI in Microsoft games announcements BlizzCon 2023 and the start of “Troubles” pre-orders of Servernew"&amp;"s • Historical Society asked Google not to build a nuvem landing station on the site of the Second World War Memorial SOF T • celebration The first anniversary of the action of the Warhammer 40000: Darktide will stretch for two months Soft • Hackers publi"&amp;"shed confidential Boeing data after refusing Hard • Galax released a rare single -sloping GEFORCE RTX 4060 Ti Max with 16 Gbytes of Soft Memory • Authors of Cooperative Equen Acshen The Fir ST Descendant promise to fix all the shortcomings Hard detected d"&amp;"uring beta testing • The SpaceX Dragon ship delivered to the ISS the laser space communication apparatus and a mass of other Servernews equipment • From the beginning of 2024, 160 state and other SOFT organizations have been connected to the All-Russian A"&amp;"nti-Atam system • Apple iphone 15 Pro taught the 3D 3D 3D -Video for the Vision Pro headset-the first videos impressed the Hard • Apple journalists not to increase prices to compensate for their expenses to increase the environmental friendliness of Hard "&amp;"• Tronsmart T7 Tronsmart T7 Lite and TronSmart Bang wireless columns will turn any party into real Hard show. With iLife L100 for dry and humid cleaning with the function of laser scanning HARD • There will be no vacation: Mars-Roads and even a helicopter"&amp;" will continue to collect data even in the absence of the Hard land • Ilife T10S Robot Delivery and the Ilife W90 wireless vacuum cleaner will add comfort and efficiency of HARD • SpaceX prepares Starship for launch on November 17, but the approval of the"&amp;" regulator has not yet received Soft • META✴ offered Europeans Instagram✴ and Facebook✴ without advertising, but it costs a short -haired Hard • The SPACEX success has discovered an outrageous traumatism of employees and the impulsive attitude to the safe"&amp;"ty technique of Hard • Ugreen released Hitune Max 5 wireless headphones concentrator “10-in-1” wireless headphones with noise-disposal and a jumper at 25,000 mAh and 145 W Hard • TPL NXTPAPER 11-a tablet with a bright Hard IPS screen HARD taxi • In Octobe"&amp;"r, TSMC revenue consistently increased by 348 % Hard • One-Netbook introduced the external video card Radeon RX 7600M XT with the built-in slot M.2 for SSD Soft • Remaster Turok 3: Shadow of Oblivion from Nightdide will be released later-a new Release dat"&amp;"e Soft • New article: The Invincible - Flies with us. Soft Review • Critical Success: Baldur's Gate 3 did not leave a chance to competitors on Golden JoyStick Awards 2023 Hard • AOC introduced a 27-inch Q27G10P gaming monitor with a resolution of 1440P an"&amp;"d the frequency of 180 Hz Hard • Galax will release 50 exclusive GEFORCE video cards RTX 4090 20TH Anniversary Carbon Fiber Edition for $ 2880 Servernews • IBM invests $ 500 million in AI-Startapa oriented to corporate customers Hard • Products of PC and "&amp;"smartphones expect the excitement around the AI ​​will raise their sales Hard • Russian Progress helped the ISS dodging Soft cosmic garbage • in 2024 in Steam Exilium will be released - an atmospheric Russian quest about exorcism and demons with gameplay "&amp;"in the spirit of “how to get a neighbor” Hard • Valve: the technologies have not yet developed enough for the appearance of Steam Deck 2.0 Soft • from Shisha to Sagittarius: the developers of “Troubles” explained how the images of Yuri Miloslavsky differe"&amp;"d from classes and what they give Hard • Tests identified a narrow place in the new younger MacBook Pro - these are praised 8 GB of memory of Soft • Social network X is very lagging behind competitors in the moderation of content in the EU Hard • All Chin"&amp;"ese flagship smartphones will receive support for Hard • Intel investigated Millions of dollars in Stability AI-developer of AI artist Stable Diffusion Soft • Microsoft forbade employees to use Chatgpt for Soft Security Relations • Adventure fighter Senua"&amp;"'s Saga: Hellblade II will not be released earlier than the middle of 2024. BR 2023 119v Apple said 8 GB of RAM in MacBook Pro is similar to 16 GB in the usual PC 104Microsoft will not allow you to close OneDrive until the user explains the cause of 57 Ka"&amp;"mAZ showed an unmanned dump truck for Robokop - it will be sent to mine 42novy in the reviews of the game November 111, 2023The Innovin Cable - flies we have. Reviews of solid science fiction is what we love what we missed and what we practically do not e"&amp;"xpect from contemporary art. After all, now this is already an unmary retro. But the grains sown in us with classics will inevitably give out seedlings. And a game will appear on the basis of a seemingly not adapted novel by Stanislav Lem. The idea doomed"&amp;" to failure? Or vice versa, a chance to disrupt a jackpot in a sparse atmosphere of serious science fiction games? The software on November10, 2023 Robots are closed: 10 applications for automating tasks on Android using a smartphone, we often perform the"&amp;" same actions to delegate the implementation of which can be specialized programs. They are able to replace a person in terms of routine tasks and release the time for more important matters smartphones on November 09, 2023 Oppo Find N3 Review: Flexible s"&amp;"martphone with the best camera Folding smartphones with flexible screens appeared long ago and already firmly settled on the market. Despite the initial skepticism, they become more and more popular and manufacturers not only enter this race but also cons"&amp;"tantly improve devices. A striking example of this is the company Oppo as if only yesterday made its first folding smartphone and already producing it the third generation with very detailed work on the mistakes of the laptop and PC08 on November 2023 com"&amp;"pensation of the month - November 2023 The penalty of the “Computer of the month” is again dedicated to answers to often Questions and criticism from our readers. We have selected relevant interesting and to some extent provocative comments related to gam"&amp;"e assemblies and rubric as a whole on November 107, 2023, MSI MSI MPG B650 Carbon WiFi: when there is everything that you need MSI MPG B650 Carbon WiFi-an example of which may be on the basis A system unit is assembled. It will be a game assembly or works"&amp;"tation - to solve its owner. In any case, he will receive the device that is relevant throughout the life cycle of the AM5 PRODUMSORS and memory on November06, 2023 Is it true that 64-gbet sets of DDR5 is faster than 32 gB? We check the example of the Pat"&amp;"riot Viper Venom DDR5-6400 2 × 32 GB of the DDR5 modules with a volume of 32 GB, unlike 16-GB of brothers, have a double-ranking architecture. But how does this affect performance? We understand comparing with each other in characteristics the DDR5-6400 s"&amp;"ets with a volume of 32 and 64 GB of the game 05 November 2023Song of Nunu: A League of Legends Story-the legends of the north. Review of multi -sized League of Legends continues to expand tirelessly. This time, we have a fascinating game-adventure of an "&amp;"inseparable “tank” tandem Nunu and Vilumpa, which is not shy about spying on God of War and Uncharted. How entertaining it turned out to be learned from our review of the game 04 November 2023Gamesblender No. 647: Team Spirit Championship dismissal at Son"&amp;"y Capcom against mods and Avatar: Frontiers of Pandora with you Gamesblender Video Dazhah of the Game Industry News from 3Dnews.ru. Today we will tell you how Capcom did not please the mods what kind of nuisance awaits the owners of the Xbox and where the"&amp;" Yakut The Day Before Games is disappeared on November04, 2023THE FINALS - the coming hit from people in love with shooters. A preliminary review in the Steam alone, the beta version of The Finals tested hundreds of thousands of players, and yet it is als"&amp;"o available on consoles. What did the coming shooter deserve such attention and did he deserve? For a while we broke away from the game and tell how it is good smartphones on November03, 2023 ITEL S23+: the most inexpensive smartphone with a curved OLED s"&amp;"creen we talked a lot about the smartphones of two brands Transion Holdings-Tecno and Infinix. But the third brand was not concerned before this day. Well, the time has come and Itel-and we will begin to get acquainted immediately with the local flagship "&amp;"of the ITEL S23+ model+ pulling into the budget segment, the elements of the BP case and cooling on November02, 2023 Overview of the 1stPlayer NGDP HA-1000BA3 power supply: white luxury NGDP-expensive power supply units built On the branded hardware platf"&amp;"orm. But they fully fulfill their price with certification of 80 Plus Platinum and cables in the braids of the Maternal board, November 101, 2023 Assus Rog Crosshair X670e Hero Maternal board: Welcome to the family such as ASUS ROG Crosshair X670E Hero us"&amp;"ually bought ilter. And for a long time. AMD platforms are famous for their long -term support - there are all the prerequisites that with AM5 there will also be smartphones on October 31, 2023, the Infinix Zero 30 4G Review: a thoroughbred smartphone in "&amp;"a holy place does not have a place in the void. Let the expected outflow of brands from the smartphone market over the past year and a half has not happened, but some place on it (primarily at the expense of Samsung) was released-and now, according to the"&amp;" law, Archimedes is filled. Transsion Holdings and in particular the Infinix brand is especially trying. The new Zero 30 4G is positioned as a kind of flagship - let's see how it is good for software on October30, 2023VO inclusive: 15 little -known applie"&amp;"d programs from the Windows set in the bowels of the Windows operating system hidden many useful applications and the existence of which sometimes even the most experienced users are not aware of the existence. We open the cards and talk about the softwar"&amp;"e built into the platform, which is exactly worth taking a note of the game on October 29, 2023 Marvel’s Spider-Man 2-two friendly neighbors. Review per day, the new Marvel’s Spider-Man 2 diverged two million copies. After the deafening success of the fir"&amp;"st part, it was expected, but did the novelty deserve such sales or the audience just bought a familiar brand? The answer is obvious, but we still talk about the game in the game’s review October 28, 2023Gamesblender No. 646: horrors of optimization of CI"&amp;"TIES: SkyLines II show “The plot” Starcitizen ARK: Survival Ascented and the heir to Planet Annihilation with you Gamesblender The gesture of news of the gaming industry from 3dnews.ru. Somewhere the first frosts were already hit and slightly zahalloidige"&amp;" glasses, which means November is close. In this issue, we will plunge into the horrors of the optimization of the CITIES: SkyLines II will tell you why the “green” Steam and arrange a particularly cruel verbal-semantic slasher of the game on October28, 2"&amp;"023station to Station-far from the bustle. Review of the train of monstrous autumn releases has already gained move. I would like to take a breath from all this noise in some pacifying indie game. And we were lucky. The location of the station is a cute p"&amp;"uzzle about the Station To Station Off Subnanka on October 27, 2023Maging of hard drives: how many terabytes will fit in 35 inches? Bully slow, energetically voracious - what kind of derogatory epithets are not used by SSD adherents to the old good magnet"&amp;"ic disc drivers! However, are there so old technologies of modern HDD technologies-and why do nand-based data carriers do not replace the Winchesters in any way from the Data Centers or from the home/office NAS nor from desktop PCs? Smartphones October 26"&amp;", 2023 Honor 90 Lite: A caring smartphone, we are used to that smartphone manufacturers trying to highlight their products on the backdrop of competitors rely on the camera sometimes on the design sometimes for autonomy. Honor 90 Lite stands out by its sa"&amp;"fety (not forgetting the truth about other elements). What is this expressed - let's talk in the review of the BP case and cooling October25, 2023 Overview and testing of the APNX C1 case: No to the screws! In our test laboratory there is an original and "&amp;"roomy case with fast -fast panels by four pre -installed fans with dust filters illumination and the possibility of a vertical installation of a video card. Let's try to understand the features of its design. We test the effectiveness of cooling and measu"&amp;"re the noise level reviews 26.10.2023 Honor 90 Lite: Careful smartphone 10.10.2023 Rent and testing of the APNX C1 case: No screws! 10.24.2023 computer of the month Special issue. What is more profitable to buy in the era ""dollar at 100"": a gaming lapto"&amp;"p or a system unit? 10/23/2023 Video cards AMD Radeon RX 7700 XT and Radeon RX 7800 XT: Step to normality 10.10.2023LORLORDS of the FALEN - attempt number two. Review on 10.2023Gamesblender No. 645: Closing the Microsoft and Activision Blizzard transactio"&amp;"n Death Death and Non-Make Lollipop Chainsaw 21.10.2023Forza Motorsport (2023)-insomnia. Review on 10/20/2023 The review of the Apple iPhone 15 Pro Max smartphone: why are we giving three hundred thousand? 19.10.2023 Harzor of Huawei Freebuds Pro 3: when "&amp;"you don’t need to change something on 10/18/2023 Tecno Phantom V Flip: how flexible smartphones become massive on 10.10.2023Top-10 smartphones up to 20 thousand rubles (2023) 16.10.2023 Beware of 48 GB of DDR5 sets? We understand the example of G.Skill Tr"&amp;"ident Z5 RGB DDR5-6400 CL40 2 × 24 GB 15.10.2023Call of Duty Modern Warfare 3 (2023)-and is that all? Preliminary review 14.10.2023Gamesblender No. 644: Thin PS5 Start of the QueSt 3 Departure of the head of the Unity Cyberpunk 2 and Return of Commandos 1"&amp;"4.10.2023assin’s Creed Mirage - they received what they received. Reviews 13.10.2023Microelectromechanics - the right path to “smart dust”? 12.10.2023 UwQHD monitor MSI MSI MSI 342C QD-OLED: The holiday comes to us 10.10.2023 REALME SMARTFON 11: on the ba"&amp;"lance 10.10.2023 Windows 11-set points over ""I"" 09.10.2023 Group testing 42 video cards in Starfield: RED Light Green GPU 08.10.2023Gamesblender No. 643: launch of AMD FSR 3.0 Problems Counter-Strike 2 Upcetic Epic Games and Retro-Anons Realms Deep 2023"&amp;" 08.10.2023COCOCON-into the piggy bank of the best adventure puzzles. Review 07.10.2023CYBERPUNK 2077: Phantom Liberty - life contrary. Review 06.10.2023 ADATA Legend 970 1 TB: PCIE 5.0-drive with a motor 05.10.2023 Maibenben P415 laptop review: I wonder "&amp;"how it may not be a cool authorization cabinet $ eth $ ltc $ ltc $ show Putnowagutorize the name of the user: and Password: Involistrationvideo on 3DNEWS Subscribe activities ""; About the website of the website of the site of the Zavkarekopiratescravers "&amp;"are posted in Hostkey © 1997–2023 Electronic periodical ""3 Dnyus"" | Certificate of registration of the media EL FS 77-2224 Vydananano by the Federal Service for Supervision of Compliance with the Legislation in the field of mass communications and the p"&amp;"rotection of the cultural heritage of citation of the document Link to the site with the indication of the author is required. The complete borrowing of the document is a violation of the Russian and international legislation and is possible only with the"&amp;" consent of the 3DNews editorial office. Window-Ned-KontaktaktiSkhrema School of Multitrands 🔥 Partia of multitles for hackers Flipper Zero for $ 200 thousand. Destroyed German customs and destroyed its scientific transistors from the water-they will ope"&amp;"n the path to processors with a frequency of more than 1 TCC “It looks very impressive: enthusiasts added the tracing of rays to Ho. Alf-Life 2 and Max Payne using the Portal with RTX Pubility of the launch of the world's first methane orbital missile “Zh"&amp;"utse-2”, China failed, the 14 satellite head Binance stated that the situation with the withdrawal of funds was stabilized but the prediction of the “Boldery” Prescription Article: Alan WAKE 2-thirteen-thirteen He was waiting for years! In a dark place! R"&amp;"eview 7 h. New article: Gamesblender No. 648: Opening PS5 SLIM AI in Microsoft Games Blizzcon 2023 and Start of pre -orders of “Troubles” 7 h. The first anniversary of the action of the action Warhammer 40000: Darktide will be extended for two months 13 h"&amp;"ours of 13 hours Oeing After the discharge of 14 hours, the authors of the cooperative action of The First Descendant promise to correct all the shortcomings of the 14-t at the beta testing of 14 teaspoon iPhone 15 Pro learned to shoot a 3D video for the "&amp;"Vision Pro headset-the first videos impressed the 4th tp VK Cloud increased in 9 months of 2023 by 58 % 16 h. Meta offered Europeans Instagram and Facebook without advertising, but it is not a time of 19 h. Ton's Crippical Wallet began to add 20 hours of "&amp;"Turok 3: Shadow of oblivion from the world. Nightdive will be released later than the promised one-the new release date is disclosed 11-11 00: 26 Superduper: Gigaio SuperDupernode allows you to unite by PCIE 64 accelerator 7 h. The Hogle Hoogle did not bu"&amp;"ild a landing station for the NuVEM Internet Cabel at the Memorial of the Second World War 9. Galax has released a rare monosyllabic video card of the GeForce RTX 4060 Ti Max with 16 GB of memory of 14 h. SPACEX DRAGON brought to the ISS a laser space com"&amp;"munication apparatus and a lot of other equipment of the beginning of 2024 to the All-Russian DDOS ATOM system will connect 160 state and other state and other state organizations 16 h. Mlperf: Intel improved the performance of the Gaudi2 but the leader r"&amp;"emains NVIDIA H100 16 h. The quarterly revenue of the SUPERMICRO has increased, but the net profit fell 16 tspls not to increase prices to compensate for its expenses for 17 hours of Tronsmart TronSmart. T7 Lite and Tronsmart Bang will turn any party into"&amp;" a real light show of 17 h. In the iFixit, they found out how Apple managed to achieve a radically black MacBook Pro hull.")</f>
        <v>All the most interesting of the world of the IT industry 🇷🇺🇰🇿 Today is November 12, 2023 18+MWC 201820computExifa 2018, SitereklamazklakkontaktattovostovostovostovostovostovostovostiovostiOFSANALIDICAVIDOCAVUK and acoustics of the BP and oclaigent aMaternipers and projectors of the electronical power supply system and pmperiferioplanshtyta support for processors and memory and communications SMARARTFONAURALARY DOCTIONS AND VIDEO CART RSS/Social Networks The distribution of vacancies [New!] The main survey dozens of massive stars are hastily leaving our galaxy and now scientists have found out why vast astrometric observations of the sky began in the early 2000s that gave an accurate idea of ​​the speed and direction of the stars. We began to see the universe around us in dynamics. About 20 years ago, the first star leaving our galaxy was discovered. It turned out that there were a lot of stars-stars and most of them showed the study in the early Universe a reduced copy of our galaxy-scientists do not understand how the James Webb space telescope appeared there, which has not yet lended to scientific explanation. The new discovery was the detection of the Galaxy very similar to the Milky Way of only 2 billion years after the Big Bang. Such a spiral galaxy simply could not be in that place and at that time astronomers declare. She simply would not have time to develop to such perfect forms of Alan Wake 2 - he waited for thirteen years! In a dark place! The Review of the Return of Alan Waika, many players were waiting for their breath. Each Easter in Control, hinting at the fate of the famous writer, became a ray of hope. And with the release of AWE, the studio almost officially confirmed - it will definitely return! Thirteen years later, Alana brought to the shore of Lake Koldron. Was it worth waiting for him? Definitely yes ... Gamesblender No. 648: PS5 Slim opening in Microsoft Games BlizzCon 2023 Announcements and the start of “Troubles” with you Gamesblender Video Dazhest of the News of the Game Industry from 3Dnews.ru. Today we will tell you what we showed on BlizzCon and when to wait for the new Mass Effect and also look inside the lightweight PlayStation 5 model. Let's go! In trend • On Intel, they sued billions of processors with a defect of which she knew and did nothing • “Thank you to developers now I’m not a pirate”: STRONGHOLD: Definitive Edition for the first three days, they pleased the creators • IFIXIT found out how Apple succeeded to achieve the radical black color of the MacBook Pro case • Ton’s cryptocurrency wallet began to be added to Telegram around the world • Superduper: Gigaio SuperDupernode allows you to unite 64 accelerator Hardware News • Historical Society not to build a landing station for the Nuvem Internet Cabbel for the Nuvam. The place of the memorial is second World War • Galax released a rare single-sloping video card of the GeForce RTX 4060 Ti Max from 16 GB of memory • SPACEX DRAGON ship delivered to the ISS a laser space communication apparatus and a lot of other equipment • From the beginning of 2024, 160 state and other organizations will connect 160 state and other organizations to the all-Russian anti-attacked system. • Apple promised not to increase prices to compensate for its expenses on increasing environmental friendliness • Tronsmart T7 Tronsmart T7 Lite and Tronsmart Bang wireless speakers will turn any party into a real light show • Ilife L100 robot and humid cleaning with the function of laser scanning • the parking lot will not be the parking lot. : Mars-proceedings and even a helicopter will continue to collect data even in the absence of a connection with the Earth • Ilife T10S robot vertebrae with a self-cleaning station and Ilife W90 wireless vacuum cleaner will add comfort and efficiency • SpaceX is preparing Starship for launch on November 17, but the approval of the regulator has not yet received • for successes SpaceX discovered the prohibitive injuries of workers and a disregard for safety precautions • Ugreen has released the Porta Porta Porta Hitune Max 5 wireless headphones with noise reducing and a 255 W-off • TPL NXTPAPER 11-a tablet with a bright IPS -cryise • Cruise is forced to proceed to reduce the personnel of the unmanned taxi that has served it • In October, TSMC revenue grew by 348 % immediately • One-Netbook introduced the external Radeon RX 7600M XT video card with a built-in SSD • AOC presented a 27-inch game game game The Q27G10E monitor with a resolution of 1440P and the update frequency of 180 Hz • Galax will release 50 exclusive GEFORCE RTX 4090 20TH Anniversary Carbon Fiber Edition for $ 2880 Software News: Alan Wake 2 - thirteen years old! In a dark place! Review • New Article: Gamesblender No. 648: Opening PS5 SLIM AI in Microsoft games announcements Blizzcon 2023 and start of pre -order “Troubles” • Celebrating the first anniversary of the action of Warhammer 40000: Darktide for two months • Hackers published confidential data from Boeeing. Backing • Authors The cooperative action of The First Descendant promises to correct all the shortcomings of the beta testing revealed during the beta-testing • Apple iPhone 15 Pro learned to shoot a 3D video for the Vision Pro headset • Meta✴ offered Europeans Instagram✴ and Facebook✴ without advertising but it costs this. Evo • Turok 3: Shadow of Oblivion from Nightdive will be released later than the promised - a new release date is disclosed • New article: The Invincible - Flies with us. Рецензия • Критический успех: Baldur's Gate 3 не оставила шанса конкурентам на Golden Joystick Awards 2023 • IBM инвестирует $500 млн в ИИ-стартапы ориентированные на корпоративных клиентов • В 2024 году в Steam выйдет Exilium — атмосферный российский квест про экзорцизм и демонов с геймплеем в духе “How to get a neighbor” • From Shisha to Sagittarius: Troubles Developers explained how the images of Yuri Miloslavsky differ from the classes and what they give • The social network X was very lagging behind competitors in the moderation of the EU content • Microsoft forbade employees to use Chatgpt from security reasons The adventure action of Senua's Saga: Hellblade II will not be released earlier than mid -2024 • Binance will stop supporting deposits in Russian rubles from November 15 • Google will not be able to turn off the support of third -party COOKIE until 2025 New Article: Alan Wake 2 - thirteen years old ! In a dark place! Soft Review • New Article: Gamesblender No. 648: Opening PS5 SLIM AI in Microsoft games announcements BlizzCon 2023 and the start of “Troubles” pre-orders of Servernews • Historical Society asked Google not to build a nuvem landing station on the site of the Second World War Memorial SOF T • celebration The first anniversary of the action of the Warhammer 40000: Darktide will stretch for two months Soft • Hackers published confidential Boeing data after refusing Hard • Galax released a rare single -sloping GEFORCE RTX 4060 Ti Max with 16 Gbytes of Soft Memory • Authors of Cooperative Equen Acshen The Fir ST Descendant promise to fix all the shortcomings Hard detected during beta testing • The SpaceX Dragon ship delivered to the ISS the laser space communication apparatus and a mass of other Servernews equipment • From the beginning of 2024, 160 state and other SOFT organizations have been connected to the All-Russian Anti-Atam system • Apple iphone 15 Pro taught the 3D 3D 3D -Video for the Vision Pro headset-the first videos impressed the Hard • Apple journalists not to increase prices to compensate for their expenses to increase the environmental friendliness of Hard • Tronsmart T7 Tronsmart T7 Lite and TronSmart Bang wireless columns will turn any party into real Hard show. With iLife L100 for dry and humid cleaning with the function of laser scanning HARD • There will be no vacation: Mars-Roads and even a helicopter will continue to collect data even in the absence of the Hard land • Ilife T10S Robot Delivery and the Ilife W90 wireless vacuum cleaner will add comfort and efficiency of HARD • SpaceX prepares Starship for launch on November 17, but the approval of the regulator has not yet received Soft • META✴ offered Europeans Instagram✴ and Facebook✴ without advertising, but it costs a short -haired Hard • The SPACEX success has discovered an outrageous traumatism of employees and the impulsive attitude to the safety technique of Hard • Ugreen released Hitune Max 5 wireless headphones concentrator “10-in-1” wireless headphones with noise-disposal and a jumper at 25,000 mAh and 145 W Hard • TPL NXTPAPER 11-a tablet with a bright Hard IPS screen HARD taxi • In October, TSMC revenue consistently increased by 348 % Hard • One-Netbook introduced the external video card Radeon RX 7600M XT with the built-in slot M.2 for SSD Soft • Remaster Turok 3: Shadow of Oblivion from Nightdide will be released later-a new Release date Soft • New article: The Invincible - Flies with us. Soft Review • Critical Success: Baldur's Gate 3 did not leave a chance to competitors on Golden JoyStick Awards 2023 Hard • AOC introduced a 27-inch Q27G10P gaming monitor with a resolution of 1440P and the frequency of 180 Hz Hard • Galax will release 50 exclusive GEFORCE video cards RTX 4090 20TH Anniversary Carbon Fiber Edition for $ 2880 Servernews • IBM invests $ 500 million in AI-Startapa oriented to corporate customers Hard • Products of PC and smartphones expect the excitement around the AI ​​will raise their sales Hard • Russian Progress helped the ISS dodging Soft cosmic garbage • in 2024 in Steam Exilium will be released - an atmospheric Russian quest about exorcism and demons with gameplay in the spirit of “how to get a neighbor” Hard • Valve: the technologies have not yet developed enough for the appearance of Steam Deck 2.0 Soft • from Shisha to Sagittarius: the developers of “Troubles” explained how the images of Yuri Miloslavsky differed from classes and what they give Hard • Tests identified a narrow place in the new younger MacBook Pro - these are praised 8 GB of memory of Soft • Social network X is very lagging behind competitors in the moderation of content in the EU Hard • All Chinese flagship smartphones will receive support for Hard • Intel investigated Millions of dollars in Stability AI-developer of AI artist Stable Diffusion Soft • Microsoft forbade employees to use Chatgpt for Soft Security Relations • Adventure fighter Senua's Saga: Hellblade II will not be released earlier than the middle of 2024. BR 2023 119v Apple said 8 GB of RAM in MacBook Pro is similar to 16 GB in the usual PC 104Microsoft will not allow you to close OneDrive until the user explains the cause of 57 KamAZ showed an unmanned dump truck for Robokop - it will be sent to mine 42novy in the reviews of the game November 111, 2023The Innovin Cable - flies we have. Reviews of solid science fiction is what we love what we missed and what we practically do not expect from contemporary art. After all, now this is already an unmary retro. But the grains sown in us with classics will inevitably give out seedlings. And a game will appear on the basis of a seemingly not adapted novel by Stanislav Lem. The idea doomed to failure? Or vice versa, a chance to disrupt a jackpot in a sparse atmosphere of serious science fiction games? The software on November10, 2023 Robots are closed: 10 applications for automating tasks on Android using a smartphone, we often perform the same actions to delegate the implementation of which can be specialized programs. They are able to replace a person in terms of routine tasks and release the time for more important matters smartphones on November 09, 2023 Oppo Find N3 Review: Flexible smartphone with the best camera Folding smartphones with flexible screens appeared long ago and already firmly settled on the market. Despite the initial skepticism, they become more and more popular and manufacturers not only enter this race but also constantly improve devices. A striking example of this is the company Oppo as if only yesterday made its first folding smartphone and already producing it the third generation with very detailed work on the mistakes of the laptop and PC08 on November 2023 compensation of the month - November 2023 The penalty of the “Computer of the month” is again dedicated to answers to often Questions and criticism from our readers. We have selected relevant interesting and to some extent provocative comments related to game assemblies and rubric as a whole on November 107, 2023, MSI MSI MPG B650 Carbon WiFi: when there is everything that you need MSI MPG B650 Carbon WiFi-an example of which may be on the basis A system unit is assembled. It will be a game assembly or workstation - to solve its owner. In any case, he will receive the device that is relevant throughout the life cycle of the AM5 PRODUMSORS and memory on November06, 2023 Is it true that 64-gbet sets of DDR5 is faster than 32 gB? We check the example of the Patriot Viper Venom DDR5-6400 2 × 32 GB of the DDR5 modules with a volume of 32 GB, unlike 16-GB of brothers, have a double-ranking architecture. But how does this affect performance? We understand comparing with each other in characteristics the DDR5-6400 sets with a volume of 32 and 64 GB of the game 05 November 2023Song of Nunu: A League of Legends Story-the legends of the north. Review of multi -sized League of Legends continues to expand tirelessly. This time, we have a fascinating game-adventure of an inseparable “tank” tandem Nunu and Vilumpa, which is not shy about spying on God of War and Uncharted. How entertaining it turned out to be learned from our review of the game 04 November 2023Gamesblender No. 647: Team Spirit Championship dismissal at Sony Capcom against mods and Avatar: Frontiers of Pandora with you Gamesblender Video Dazhah of the Game Industry News from 3Dnews.ru. Today we will tell you how Capcom did not please the mods what kind of nuisance awaits the owners of the Xbox and where the Yakut The Day Before Games is disappeared on November04, 2023THE FINALS - the coming hit from people in love with shooters. A preliminary review in the Steam alone, the beta version of The Finals tested hundreds of thousands of players, and yet it is also available on consoles. What did the coming shooter deserve such attention and did he deserve? For a while we broke away from the game and tell how it is good smartphones on November03, 2023 ITEL S23+: the most inexpensive smartphone with a curved OLED screen we talked a lot about the smartphones of two brands Transion Holdings-Tecno and Infinix. But the third brand was not concerned before this day. Well, the time has come and Itel-and we will begin to get acquainted immediately with the local flagship of the ITEL S23+ model+ pulling into the budget segment, the elements of the BP case and cooling on November02, 2023 Overview of the 1stPlayer NGDP HA-1000BA3 power supply: white luxury NGDP-expensive power supply units built On the branded hardware platform. But they fully fulfill their price with certification of 80 Plus Platinum and cables in the braids of the Maternal board, November 101, 2023 Assus Rog Crosshair X670e Hero Maternal board: Welcome to the family such as ASUS ROG Crosshair X670E Hero usually bought ilter. And for a long time. AMD platforms are famous for their long -term support - there are all the prerequisites that with AM5 there will also be smartphones on October 31, 2023, the Infinix Zero 30 4G Review: a thoroughbred smartphone in a holy place does not have a place in the void. Let the expected outflow of brands from the smartphone market over the past year and a half has not happened, but some place on it (primarily at the expense of Samsung) was released-and now, according to the law, Archimedes is filled. Transsion Holdings and in particular the Infinix brand is especially trying. The new Zero 30 4G is positioned as a kind of flagship - let's see how it is good for software on October30, 2023VO inclusive: 15 little -known applied programs from the Windows set in the bowels of the Windows operating system hidden many useful applications and the existence of which sometimes even the most experienced users are not aware of the existence. We open the cards and talk about the software built into the platform, which is exactly worth taking a note of the game on October 29, 2023 Marvel’s Spider-Man 2-two friendly neighbors. Review per day, the new Marvel’s Spider-Man 2 diverged two million copies. After the deafening success of the first part, it was expected, but did the novelty deserve such sales or the audience just bought a familiar brand? The answer is obvious, but we still talk about the game in the game’s review October 28, 2023Gamesblender No. 646: horrors of optimization of CITIES: SkyLines II show “The plot” Starcitizen ARK: Survival Ascented and the heir to Planet Annihilation with you Gamesblender The gesture of news of the gaming industry from 3dnews.ru. Somewhere the first frosts were already hit and slightly zahalloidige glasses, which means November is close. In this issue, we will plunge into the horrors of the optimization of the CITIES: SkyLines II will tell you why the “green” Steam and arrange a particularly cruel verbal-semantic slasher of the game on October28, 2023station to Station-far from the bustle. Review of the train of monstrous autumn releases has already gained move. I would like to take a breath from all this noise in some pacifying indie game. And we were lucky. The location of the station is a cute puzzle about the Station To Station Off Subnanka on October 27, 2023Maging of hard drives: how many terabytes will fit in 35 inches? Bully slow, energetically voracious - what kind of derogatory epithets are not used by SSD adherents to the old good magnetic disc drivers! However, are there so old technologies of modern HDD technologies-and why do nand-based data carriers do not replace the Winchesters in any way from the Data Centers or from the home/office NAS nor from desktop PCs? Smartphones October 26, 2023 Honor 90 Lite: A caring smartphone, we are used to that smartphone manufacturers trying to highlight their products on the backdrop of competitors rely on the camera sometimes on the design sometimes for autonomy. Honor 90 Lite stands out by its safety (not forgetting the truth about other elements). What is this expressed - let's talk in the review of the BP case and cooling October25, 2023 Overview and testing of the APNX C1 case: No to the screws! In our test laboratory there is an original and roomy case with fast -fast panels by four pre -installed fans with dust filters illumination and the possibility of a vertical installation of a video card. Let's try to understand the features of its design. We test the effectiveness of cooling and measure the noise level reviews 26.10.2023 Honor 90 Lite: Careful smartphone 10.10.2023 Rent and testing of the APNX C1 case: No screws! 10.24.2023 computer of the month Special issue. What is more profitable to buy in the era "dollar at 100": a gaming laptop or a system unit? 10/23/2023 Video cards AMD Radeon RX 7700 XT and Radeon RX 7800 XT: Step to normality 10.10.2023LORLORDS of the FALEN - attempt number two. Review on 10.2023Gamesblender No. 645: Closing the Microsoft and Activision Blizzard transaction Death Death and Non-Make Lollipop Chainsaw 21.10.2023Forza Motorsport (2023)-insomnia. Review on 10/20/2023 The review of the Apple iPhone 15 Pro Max smartphone: why are we giving three hundred thousand? 19.10.2023 Harzor of Huawei Freebuds Pro 3: when you don’t need to change something on 10/18/2023 Tecno Phantom V Flip: how flexible smartphones become massive on 10.10.2023Top-10 smartphones up to 20 thousand rubles (2023) 16.10.2023 Beware of 48 GB of DDR5 sets? We understand the example of G.Skill Trident Z5 RGB DDR5-6400 CL40 2 × 24 GB 15.10.2023Call of Duty Modern Warfare 3 (2023)-and is that all? Preliminary review 14.10.2023Gamesblender No. 644: Thin PS5 Start of the QueSt 3 Departure of the head of the Unity Cyberpunk 2 and Return of Commandos 14.10.2023assin’s Creed Mirage - they received what they received. Reviews 13.10.2023Microelectromechanics - the right path to “smart dust”? 12.10.2023 UwQHD monitor MSI MSI MSI 342C QD-OLED: The holiday comes to us 10.10.2023 REALME SMARTFON 11: on the balance 10.10.2023 Windows 11-set points over "I" 09.10.2023 Group testing 42 video cards in Starfield: RED Light Green GPU 08.10.2023Gamesblender No. 643: launch of AMD FSR 3.0 Problems Counter-Strike 2 Upcetic Epic Games and Retro-Anons Realms Deep 2023 08.10.2023COCOCON-into the piggy bank of the best adventure puzzles. Review 07.10.2023CYBERPUNK 2077: Phantom Liberty - life contrary. Review 06.10.2023 ADATA Legend 970 1 TB: PCIE 5.0-drive with a motor 05.10.2023 Maibenben P415 laptop review: I wonder how it may not be a cool authorization cabinet $ eth $ ltc $ ltc $ show Putnowagutorize the name of the user: and Password: Involistrationvideo on 3DNEWS Subscribe activities "; About the website of the website of the site of the Zavkarekopiratescravers are posted in Hostkey © 1997–2023 Electronic periodical "3 Dnyus" | Certificate of registration of the media EL FS 77-2224 Vydananano by the Federal Service for Supervision of Compliance with the Legislation in the field of mass communications and the protection of the cultural heritage of citation of the document Link to the site with the indication of the author is required. The complete borrowing of the document is a violation of the Russian and international legislation and is possible only with the consent of the 3DNews editorial office. Window-Ned-KontaktaktiSkhrema School of Multitrands 🔥 Partia of multitles for hackers Flipper Zero for $ 200 thousand. Destroyed German customs and destroyed its scientific transistors from the water-they will open the path to processors with a frequency of more than 1 TCC “It looks very impressive: enthusiasts added the tracing of rays to Ho. Alf-Life 2 and Max Payne using the Portal with RTX Pubility of the launch of the world's first methane orbital missile “Zhutse-2”, China failed, the 14 satellite head Binance stated that the situation with the withdrawal of funds was stabilized but the prediction of the “Boldery” Prescription Article: Alan WAKE 2-thirteen-thirteen He was waiting for years! In a dark place! Review 7 h. New article: Gamesblender No. 648: Opening PS5 SLIM AI in Microsoft Games Blizzcon 2023 and Start of pre -orders of “Troubles” 7 h. The first anniversary of the action of the action Warhammer 40000: Darktide will be extended for two months 13 hours of 13 hours Oeing After the discharge of 14 hours, the authors of the cooperative action of The First Descendant promise to correct all the shortcomings of the 14-t at the beta testing of 14 teaspoon iPhone 15 Pro learned to shoot a 3D video for the Vision Pro headset-the first videos impressed the 4th tp VK Cloud increased in 9 months of 2023 by 58 % 16 h. Meta offered Europeans Instagram and Facebook without advertising, but it is not a time of 19 h. Ton's Crippical Wallet began to add 20 hours of Turok 3: Shadow of oblivion from the world. Nightdive will be released later than the promised one-the new release date is disclosed 11-11 00: 26 Superduper: Gigaio SuperDupernode allows you to unite by PCIE 64 accelerator 7 h. The Hogle Hoogle did not build a landing station for the NuVEM Internet Cabel at the Memorial of the Second World War 9. Galax has released a rare monosyllabic video card of the GeForce RTX 4060 Ti Max with 16 GB of memory of 14 h. SPACEX DRAGON brought to the ISS a laser space communication apparatus and a lot of other equipment of the beginning of 2024 to the All-Russian DDOS ATOM system will connect 160 state and other state and other state organizations 16 h. Mlperf: Intel improved the performance of the Gaudi2 but the leader remains NVIDIA H100 16 h. The quarterly revenue of the SUPERMICRO has increased, but the net profit fell 16 tspls not to increase prices to compensate for its expenses for 17 hours of Tronsmart TronSmart. T7 Lite and Tronsmart Bang will turn any party into a real light show of 17 h. In the iFixit, they found out how Apple managed to achieve a radically black MacBook Pro hull.</v>
      </c>
    </row>
    <row r="28">
      <c r="A28" s="1" t="s">
        <v>54</v>
      </c>
      <c r="B28" s="1" t="s">
        <v>117</v>
      </c>
      <c r="C28" s="1" t="s">
        <v>118</v>
      </c>
      <c r="D28" s="1">
        <v>15.0</v>
      </c>
      <c r="E28" s="4" t="s">
        <v>119</v>
      </c>
      <c r="F28" s="1" t="s">
        <v>16</v>
      </c>
      <c r="G28" s="1" t="s">
        <v>120</v>
      </c>
      <c r="H28" s="4" t="s">
        <v>121</v>
      </c>
      <c r="I28" s="2">
        <v>3.0</v>
      </c>
      <c r="J28" s="5" t="str">
        <f>IFERROR(__xludf.DUMMYFUNCTION("GOOGLETRANSLATE(A28)"),"chatgpt")</f>
        <v>chatgpt</v>
      </c>
      <c r="K28" s="6" t="str">
        <f>IFERROR(__xludf.DUMMYFUNCTION("GOOGLETRANSLATE(B28)"),"ChatGPT - Apps on Google Play")</f>
        <v>ChatGPT - Apps on Google Play</v>
      </c>
      <c r="L28" s="5" t="str">
        <f>IFERROR(__xludf.DUMMYFUNCTION("GOOGLETRANSLATE(C28)"),"With ChatGPT, find instant answers, professional input, and creative inspiration.")</f>
        <v>With ChatGPT, find instant answers, professional input, and creative inspiration.</v>
      </c>
      <c r="M28" s="5" t="str">
        <f>IFERROR(__xludf.DUMMYFUNCTION("GOOGLETRANSLATE(G28)"),"Android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9">
      <c r="A29" s="1" t="s">
        <v>54</v>
      </c>
      <c r="B29" s="1" t="s">
        <v>122</v>
      </c>
      <c r="C29" s="1" t="s">
        <v>123</v>
      </c>
      <c r="D29" s="1">
        <v>16.0</v>
      </c>
      <c r="E29" s="4" t="s">
        <v>124</v>
      </c>
      <c r="F29" s="1" t="s">
        <v>16</v>
      </c>
      <c r="G29" s="1" t="s">
        <v>125</v>
      </c>
      <c r="H29" s="4" t="s">
        <v>126</v>
      </c>
      <c r="I29" s="2">
        <v>1.0</v>
      </c>
      <c r="J29" s="5" t="str">
        <f>IFERROR(__xludf.DUMMYFUNCTION("GOOGLETRANSLATE(A29)"),"chatgpt")</f>
        <v>chatgpt</v>
      </c>
      <c r="K29" s="6" t="str">
        <f>IFERROR(__xludf.DUMMYFUNCTION("GOOGLETRANSLATE(B29)"),"What is ChatGPT chat boot and how to use it from ...")</f>
        <v>What is ChatGPT chat boot and how to use it from ...</v>
      </c>
      <c r="L29" s="5" t="str">
        <f>IFERROR(__xludf.DUMMYFUNCTION("GOOGLETRANSLATE(C29)"),"Jul 15. 2023. -")</f>
        <v>Jul 15. 2023. -</v>
      </c>
      <c r="M29" s="5" t="str">
        <f>IFERROR(__xludf.DUMMYFUNCTION("GOOGLETRANSLATE(G29)"),"Lenta.ru - News of Russia and the world today -Russian -Russian USSR EconomicCasil structures and technician cultural sporting and enlightenment of travel of the life of the environment of the habitat of the habitat of sebelevidei -Opet -design. Click! Re"&amp;"turn to the usual tape? Initial Russia was explained by Armenia's attempts to spoil relations with Moscow05: 50 Vyuchkin reduced the lag behind Gretzky in the list of the best snipers of the NHL06: 42V Ancient Egyptian tomb found a tumor with teeth06: 41V"&amp;"VS of Jordan, they threw gums for the Hospital for a hospital in Gaza06: 38v China of China China. Lee About the unexpected service of Poland for Russia06: 35v Italy, Leo fled the circus and walked around the city for several hours: 35 Doctors called the "&amp;"ways to survive a magnetic storm06: 16sha and Ukraine discussed plans to meet a contact group06: 09 Ryads of the loss of the Armed Forces of the Armed Forces under Kupyanskoye05: 47Bayden predicted an inconvenient situation from the inconvenient situation"&amp;" from -Serail05: 14 rangers The consequences of recognition of a slave on the failure of the Armed Forces of the Armed Forces of the Armed Forces of the Armed Forces of the Armed Forces: 56 Oblose Kvazars hidden by clouds of dust04: 42V European Union spo"&amp;"ke about the threat from Ukraine04: 09, the News Workers all over the world refuse to return from the remotes. How does the desire to work at home hits the economy of large cities? 00: 01 cult David Fincher removed the “killer” with Fassbender as a killer"&amp;". What is surprising this stylish and witty thriller? 00: 01 Israel attacked objects in Syria05: 31b Bellator, the absence of plans to deprive Nurmagomedov title04: 19 Germanican will significantly increase military assistance to Kiev03: 34th Russia allow"&amp;"ed a change in the procedure for renting apartments for the daily house 03: 09 in the White House criticized the plan to defend the shuttle In the USA02: 28 It was a condition for establishing peace with Israel02: 02: 02 Merged Strepe divorced her husband"&amp;" after 45 years of marriage. Why did one of the strongest pairs of Hollywood break up? 00: 01 main news of the Ministry of Cyphra explained the principle of blocking the VPN in the Russian Ukrainian colonel is accused of coordinating attacks on Sozdotoki."&amp;" What else was the officer imprisoned in the Kiev pre -trial detention center? Ukraine was offered to accept in NATO within new borders without Crimea and Donbass. Why does the West need this? SK opened a criminal case of a terrorist attack after a train "&amp;"from the rails near Ryazanyupo Kyiv swept a series of explosions. In Ukraine, they talked about the first in 52 days a missile strike on the capital train went off the rails after the explosion near Ryazan. What is known about what had happened? In Kolomn"&amp;"a there was an explosion. What is known about the shot down drone of the Armed Forces of Ukraine over the defense enterprise near Moscow? The court arrested the ex-head of the Khoroshevsky department of the IC of Moscow in the case of a bribe. Who is behi"&amp;"nd the crime? David stars appeared on dozens of houses of Paris. France found in this “Russian trace” Moscow is extremely outraged “70 meters have already run” in Kyiv appreciated the course of hostilities in Ukraine. And they gave the forecast how they c"&amp;"an end with Stalin's popular manner. Marshal Budyonny loved the people and were afraid of enemies. What helped him to survive the terror of the 1930s? 00: 02 on October 26, 2023 “The smell of gunpowder and blood is everywhere” Palestinians-about the bombi"&amp;"ng of the Gaza, who terrified the world of tragedy in the hospital and constant fear00: October 19, 2023500 kilometers underground. Why did Hamas build a secret city under the gas and how is the Israeli Army going to storm it? 00: 01 October 22, 2023 “Her"&amp;"e the Pitch Hell is the inhabitants of Israel and the Russians who were saved from the execution of terrorists and fear for life 00: 08 October 10, 2023 October of the most expensive The cities of the world are rapidly empty. Why do San Francisco leave th"&amp;"e rich and capture the homeless? 00: 01 October 2, 2023 Gynecologist for years mocked hundreds of patients. The story of the most high -profile investigation of sexual violence in medicine00: 02 October 14, 2023 ""Durov really does or join?"" The founder "&amp;"of Telegram was the legend of Runet. Why are they laughing at him now? 00: 01 on October 29, 2023, Israel and Palestine fight: history and reasons. As a conflict in the Middle East will affect Mir16: 32 October 10, 2023 Liders Hamas bathe in luxury while "&amp;"the Palestinian people live in poverty. Who are they and how did they become billionaires? 00: 04 October 15, 2023 “We are on the verge of a global war” Why Israel was not ready for Hamas attack and what is the danger of a conflict in the gas sector? 00: "&amp;"02 October 10, 2023 “If I break here, he is here - he сломается там» Как волонтеры Камчатки помогают семьям участников СВО00:01Байдену потребовалась помощь караула на кладбище01:56Украинский сервис такси разрешил жалобы на «антиукраинских» водителей01:27В"&amp;" Израиле заявили о потере контроля ХАМАС над Газой01:24Раскрыты подробности о любимом напитке москвичей в XIX веке01:23Арабские And the Islamic countries spoke about the future of the GAZ sector: 22 Bellator made a statement about the failure doping test "&amp;"of brother Nurmagomedov01: 11 “Hitler portraits hung in each class” Like Ukrainians from the SS division “Galicia” fled from the NKVD and hid in Canada? On November 2023, it is known about the preparation of the slave for a long conflict with Russia01: 01"&amp;" Russian military tore off the landing of the Armed Forces on the left bank of the Dnieper. 11 Morpokhs were captured19: 20 November 11, 2023 Tonnahu announced Israeli's plans to ensure control over security in Gaza00: 57 days of the Moscow Airport resume"&amp;"d full -time work after restrictions on flights00: 45 popular video -relevant Kia Carnival videos: Ultra -Ruscular version00: 29 scientists officially named the mummies of alien from the pen. Ru are genuine . Did the aliens really discovered on Earth? 23:"&amp;" 07 on November 10, 2023, Russia arose a stir for crossovers Geely Monjaro00: 29 Federal Protection Service purchased Chinese vans and pickups00: 29 aleonardo DiCaprio - 49. How he spends millions of dollars on luxurious rest with models and? Shark? 00: 0"&amp;"1 on November 11, 2023, the first crossover Ferrari was estimated in rubles: how much it costs 00: 29 Izrail rejected the possibility of resuming settlement activities in Gaza00: 25 ordering the possible existence of life in ice water on exoplanets00: 10 "&amp;"in the United States talked about the hostage lists between Israel and hamas23: On November 11, 2023, Ukraine predicted new economic conflicts with the European Union23: 54 November 11, 2023 Home on a maniac war with bandits and a fight with a lion: which"&amp;" became famous for the most famous policemen of the USSR and Russia00: November 11, 2023 Nurmagomedov, they will deprive the Bellator champion for doping23: 44 on November 11 on November 11 on November 11 2023 Druzes and partners ""I liked all the veins!"&amp;""" Like 450 years ago, tea appeared in Moscow and why Muscovites without it were not able to be: 05 times such Tucker Carlson and why they love him in Russia and hety in the United States. “Sexist” “Racist” and defender of freedom of speech08: November 11"&amp;", 2023 What is “Black Friday” when it passes and how to save with its help in 2023. Simple words 08: 31 November 11, 2023 This is not Matiz: how do you know Fiat Lucciola? 30 years ago, Italians tried to revive the old legend but created a new09: 48 Novem"&amp;"ber 10, 2023 What is the Law on Silence and when it is impossible to make noise. In simple words 08: 03 November 10, 2023 What is a social rating and why they want to implement it in Russia. Simple words 08: 03 November 10, 2023 ""Each time going out into"&amp;" the street you risk your life!"" The history of the Muscovite who abandoned everything and went to Naples00: November 10, 2023Muzhsky intimate plastic: 7 patients of patients performed the procedure16: November 12 9, 2023 Walls with a small engine, two-l"&amp;"iter G-Wagen and other cars that have something to be ashamed09: 48 November 9, 2023 What is a magnetic storm And how it affects people. Simple words08: 02 November 9, 2023 What is reflection and how to reflect correctly. Simple words 08: 02 November 9, 2"&amp;"023 “We got married as mature people” Lyudmila Chursina - about the love of death of Moscow and St. Petersburg00: 07 November 9, 2023 What is a protein diet and what is its benefit and harm. In simple words 08: 00 November 8, 2023 What is vitamin B12 why "&amp;"the body needs it and in what products it is contained. Simple words08: 00 November 8, 2023 ""They will also pay for this garbage!"" How to get rid of unnecessary things in Moscow and earn money on this00: 05 November 8, 2023 “You can’t do anything” a wel"&amp;"l-known ophthalmologist spoke about the most difficult moments and unique methods of treatment13: November 7, 2023-Turned in America, the 80s Pontiac which was almost able Hot Hatch Shelby and other unusual models10: 19 November 7, 2023 “Fire against Schu"&amp;"sev repaid Beria” The story of the legendary architect born 150 years ago, November 6, 6, 2023 “My nerves ended” as an employee of the landfill, became business lane00: 10 4423 Cupcubs of charts Acquaintance with Shatunov and the curse of Razin interviews"&amp;" with singer Andrei Timofeev15: 16 November 2, 2023 Russian -Russian warned about fraud on dating sites23: November 11, 2023, explained the rejection of the title fight in UFC23: November 11, 2023 “Not a step backward - followed by the morgue” as in us. T"&amp;"he Donbass prepare future attack aircraft for the realities of the modern war? 00: 01 on November 10, 2023v Kiev revealed a way to resolve the conflict in Ukraine23: November 11, 2023 in Russia, a new way of fraud appeared. What is the secret of a multi -"&amp;"route scheme with ads services? 17: 42 November 10, 2023v Israel "" Hezbollah ”from joining conflict23: 21 November 11, 2023 Hellair,“ Hezbollah ”addressed the Biden administration22: 47 November 11, 2023 Russian -Russian Pavlovich described the secret of"&amp;" success in UFC22: 41 on November 11, 2023 Russian Russians warned about the magnetic storm on the night of Sunday 22: 34 11 on November 11 on November 11 2023 It is known about the plans of Colonel of the Armed Forces of Ukraine to captivate Wagner in 20"&amp;"2022: November 11, 2023, the Internet was captured by Taliban and surprised everyone. He spent a great time and called the terrorists to the brothers00: November 10, 2023 Hungry proposed creating a new security system in Europe22: 15 on November 11, 2023 "&amp;"The series “The Word of the Boanding” about the youth gangs of the collapse of the USSR. Why is it worth it to look at it? 11: 52 on November 10, 2023, the Israeli air defense seized the “suspicious target” 21:56 November 11, 2023 Eendocrinologist Pavlova"&amp;" revealed the personal principles of food21: 56 November 11, 2023, Ukraine announced the coming of Russia at Kupyansk21: 44 November 11, 2023 “Zenit” And “Krasnodar” was tied in the RPL21: November 118, 2023 APU, the Armed Forces of the Armed Forces were "&amp;"called the coordinator of the attack on “Northern Streams” 21:19 on November 11, 2023 The defense of Ukraine told Pentagon about the needs of Kiev21: 17 11, 2023 “Three -leaf native!” The Russian rifle Mosin passed all the wars of the 20th century. How di"&amp;"d this legendary weapon appear? 00: 01 on November 10, 2023, the Navigation of Ukraine was called a disappointment for the Allies of Zelensky21: 15 on November 11, 2023 “A loser one who does not get up from the ass” as a British plaster fell to the Olympi"&amp;"cs, he lost but became a celebrity 20: 01, 2023, the defense of Croatian defense, the Croatian minister He was in a car accident21: 05 on November 11, 2023VSU fired at the Russian border city 20: 59 November 11, 2023 Russian skater-champion spoke about th"&amp;"e desire to record a song 20: 54 on November 11, 2023 INO MASK wants to implant a dangerous chip in the brain of tens of thousands of people. Animals with such chips spent the rest of their lives in agony22: 54 on November 9, 2023 Beyrut predicted a repet"&amp;"ition of the fate of the Gaza under one condition 20: 51 on November 11, 2023 -Russians, he beat her20: 40 on November 11, 2023 “This is a blow to the unity of Russia” 30 years ago Yeltsin liquidated Yeltsin Ural Republic. Why was he frightened by his fel"&amp;"low countrymen? 00: 01 November 9, 2023, Britain announced the deficiency of “patriots” in Russian car dealerships 20: 10 November 2023NO SUBARU Forester, which was broken due to failures at the front of Zelensky 20: 24 on November 11, 2023 On November 20"&amp;"23Chery, she began selling cars on a “ozone” with solid discounts 20: 10 November 11, 2023 Chines, showed minivan with sun lust and a huge leg reserve 20: 10 November 11, 2023 Medical Media Medical Media could know in advance about Hamas attack on Israel."&amp;" They invaded the country along with terrorists18: November 9, 2023 in London, 92 protesters during a rally in support of Palestine 20: 09 on November 11, 2023 Ukrainian journalist announced the words of the head of the European Commission of the ears 20:"&amp;" 00 on November 11, 2023v Finland refused to let the Russians on bicycles19: 55 11: 55 11: 55 11: 55 11: 55 11: 55 11: 55 11 On November 2023, they began to dump home -made cassette ammunition into Russia. What is known about the new tactics of Ukrainians"&amp;"? 13: 59 on November 9, 2023, Lokomotiv announced the desire to return Miranchuk19: November 11, 2023 Pentagon spends millions in search of werewolves and Congress discusses UFOs. Why in the USA was obsessed with the supernatural? 00: 01 on November 9, 20"&amp;"23 in Moscow, the courier scammers took the safe from the pensioner with money19: November 11, 2023, Japan announced the most serious threat to the country since the Second World War19: November 11, 2023 Kazakhstan blogger challenged the son of Kadyrov19:"&amp;" On November 11, 2023, Russia spoke about the importance of the world recognition of Moscow’s victory over Kiev19: 22 November 11, 2023, Iceland, a few days later predicted the eruption of volcanoes19: 06 November 11, 2023v Okko - the series “Magic Plot” "&amp;"on the fighting of the police with evil heroes of Russian fairy tales. Why is this Russian answer “Deadpool”? 00: 01 November 9, 2023 Rykransk, a multi -million -dollar price tag and Ryder Meladze for a performance in Moscow18: 52 November 11, 2023 articu"&amp;"lar intelligence “hand” and self -cleaning. What else is surprised by the Dreame robot vacuum cleaner? 19: 51 on November 9, 2023, the NATO Secretary General of NATO proposed to accept Ukraine in the alliance in new borders18: 49 November 11, 2023, the wo"&amp;"man suffered from the shelling of the Russian region from Ukraine18: 47 on November 11, 2023v, explosions occurred18: 46 on November 11, November 11 2023odna from countries wanted to double the military assistance to Ukraine18: 46 November 11, 2023Pol nat"&amp;"ionalists staged a march in Warsaw18: 35 November 11, 2023citroen showed a “sports” version of the My Ami18 quadricated: November 11, 2023 Truth protects from all diseases and strengthens immunity? Doctors dispelled myths about the benefits and dangers of"&amp;" the bath05: 00 November 9, 2023Toyota BZ4X will patrol parks and cemeteries18: 33 November 11, 2023 Prigozhina, Prigozhin is considered the chief heir to the founder of the PMC Vagner. What does he know about him and what business does he get? 00: 01 Nov"&amp;"ember 8, 2023electrikhana Two: published the trailer for the last video with Ken Blok18: November 11, 2023, 2023 Rock Star, put up for auction18: November 11, 2023Dontition-Contracts. SS of the use of a policy of confidentiality of the application of reco"&amp;"mmendatory technologies © 1999–2023 LLC ""Lenta.ru"" found a typo? PLACTRL+ENTER18+The feed of good is deactivated. FOR HAVED to the real world. New Materials News")</f>
        <v>Lenta.ru - News of Russia and the world today -Russian -Russian USSR EconomicCasil structures and technician cultural sporting and enlightenment of travel of the life of the environment of the habitat of the habitat of sebelevidei -Opet -design. Click! Return to the usual tape? Initial Russia was explained by Armenia's attempts to spoil relations with Moscow05: 50 Vyuchkin reduced the lag behind Gretzky in the list of the best snipers of the NHL06: 42V Ancient Egyptian tomb found a tumor with teeth06: 41VVS of Jordan, they threw gums for the Hospital for a hospital in Gaza06: 38v China of China China. Lee About the unexpected service of Poland for Russia06: 35v Italy, Leo fled the circus and walked around the city for several hours: 35 Doctors called the ways to survive a magnetic storm06: 16sha and Ukraine discussed plans to meet a contact group06: 09 Ryads of the loss of the Armed Forces of the Armed Forces under Kupyanskoye05: 47Bayden predicted an inconvenient situation from the inconvenient situation from -Serail05: 14 rangers The consequences of recognition of a slave on the failure of the Armed Forces of the Armed Forces of the Armed Forces of the Armed Forces of the Armed Forces: 56 Oblose Kvazars hidden by clouds of dust04: 42V European Union spoke about the threat from Ukraine04: 09, the News Workers all over the world refuse to return from the remotes. How does the desire to work at home hits the economy of large cities? 00: 01 cult David Fincher removed the “killer” with Fassbender as a killer. What is surprising this stylish and witty thriller? 00: 01 Israel attacked objects in Syria05: 31b Bellator, the absence of plans to deprive Nurmagomedov title04: 19 Germanican will significantly increase military assistance to Kiev03: 34th Russia allowed a change in the procedure for renting apartments for the daily house 03: 09 in the White House criticized the plan to defend the shuttle In the USA02: 28 It was a condition for establishing peace with Israel02: 02: 02 Merged Strepe divorced her husband after 45 years of marriage. Why did one of the strongest pairs of Hollywood break up? 00: 01 main news of the Ministry of Cyphra explained the principle of blocking the VPN in the Russian Ukrainian colonel is accused of coordinating attacks on Sozdotoki. What else was the officer imprisoned in the Kiev pre -trial detention center? Ukraine was offered to accept in NATO within new borders without Crimea and Donbass. Why does the West need this? SK opened a criminal case of a terrorist attack after a train from the rails near Ryazanyupo Kyiv swept a series of explosions. In Ukraine, they talked about the first in 52 days a missile strike on the capital train went off the rails after the explosion near Ryazan. What is known about what had happened? In Kolomna there was an explosion. What is known about the shot down drone of the Armed Forces of Ukraine over the defense enterprise near Moscow? The court arrested the ex-head of the Khoroshevsky department of the IC of Moscow in the case of a bribe. Who is behind the crime? David stars appeared on dozens of houses of Paris. France found in this “Russian trace” Moscow is extremely outraged “70 meters have already run” in Kyiv appreciated the course of hostilities in Ukraine. And they gave the forecast how they can end with Stalin's popular manner. Marshal Budyonny loved the people and were afraid of enemies. What helped him to survive the terror of the 1930s? 00: 02 on October 26, 2023 “The smell of gunpowder and blood is everywhere” Palestinians-about the bombing of the Gaza, who terrified the world of tragedy in the hospital and constant fear00: October 19, 2023500 kilometers underground. Why did Hamas build a secret city under the gas and how is the Israeli Army going to storm it? 00: 01 October 22, 2023 “Here the Pitch Hell is the inhabitants of Israel and the Russians who were saved from the execution of terrorists and fear for life 00: 08 October 10, 2023 October of the most expensive The cities of the world are rapidly empty. Why do San Francisco leave the rich and capture the homeless? 00: 01 October 2, 2023 Gynecologist for years mocked hundreds of patients. The story of the most high -profile investigation of sexual violence in medicine00: 02 October 14, 2023 "Durov really does or join?" The founder of Telegram was the legend of Runet. Why are they laughing at him now? 00: 01 on October 29, 2023, Israel and Palestine fight: history and reasons. As a conflict in the Middle East will affect Mir16: 32 October 10, 2023 Liders Hamas bathe in luxury while the Palestinian people live in poverty. Who are they and how did they become billionaires? 00: 04 October 15, 2023 “We are on the verge of a global war” Why Israel was not ready for Hamas attack and what is the danger of a conflict in the gas sector? 00: 02 October 10, 2023 “If I break here, he is here - he сломается там» Как волонтеры Камчатки помогают семьям участников СВО00:01Байдену потребовалась помощь караула на кладбище01:56Украинский сервис такси разрешил жалобы на «антиукраинских» водителей01:27В Израиле заявили о потере контроля ХАМАС над Газой01:24Раскрыты подробности о любимом напитке москвичей в XIX веке01:23Арабские And the Islamic countries spoke about the future of the GAZ sector: 22 Bellator made a statement about the failure doping test of brother Nurmagomedov01: 11 “Hitler portraits hung in each class” Like Ukrainians from the SS division “Galicia” fled from the NKVD and hid in Canada? On November 2023, it is known about the preparation of the slave for a long conflict with Russia01: 01 Russian military tore off the landing of the Armed Forces on the left bank of the Dnieper. 11 Morpokhs were captured19: 20 November 11, 2023 Tonnahu announced Israeli's plans to ensure control over security in Gaza00: 57 days of the Moscow Airport resumed full -time work after restrictions on flights00: 45 popular video -relevant Kia Carnival videos: Ultra -Ruscular version00: 29 scientists officially named the mummies of alien from the pen. Ru are genuine . Did the aliens really discovered on Earth? 23: 07 on November 10, 2023, Russia arose a stir for crossovers Geely Monjaro00: 29 Federal Protection Service purchased Chinese vans and pickups00: 29 aleonardo DiCaprio - 49. How he spends millions of dollars on luxurious rest with models and? Shark? 00: 01 on November 11, 2023, the first crossover Ferrari was estimated in rubles: how much it costs 00: 29 Izrail rejected the possibility of resuming settlement activities in Gaza00: 25 ordering the possible existence of life in ice water on exoplanets00: 10 in the United States talked about the hostage lists between Israel and hamas23: On November 11, 2023, Ukraine predicted new economic conflicts with the European Union23: 54 November 11, 2023 Home on a maniac war with bandits and a fight with a lion: which became famous for the most famous policemen of the USSR and Russia00: November 11, 2023 Nurmagomedov, they will deprive the Bellator champion for doping23: 44 on November 11 on November 11 on November 11 2023 Druzes and partners "I liked all the veins!" Like 450 years ago, tea appeared in Moscow and why Muscovites without it were not able to be: 05 times such Tucker Carlson and why they love him in Russia and hety in the United States. “Sexist” “Racist” and defender of freedom of speech08: November 11, 2023 What is “Black Friday” when it passes and how to save with its help in 2023. Simple words 08: 31 November 11, 2023 This is not Matiz: how do you know Fiat Lucciola? 30 years ago, Italians tried to revive the old legend but created a new09: 48 November 10, 2023 What is the Law on Silence and when it is impossible to make noise. In simple words 08: 03 November 10, 2023 What is a social rating and why they want to implement it in Russia. Simple words 08: 03 November 10, 2023 "Each time going out into the street you risk your life!" The history of the Muscovite who abandoned everything and went to Naples00: November 10, 2023Muzhsky intimate plastic: 7 patients of patients performed the procedure16: November 12 9, 2023 Walls with a small engine, two-liter G-Wagen and other cars that have something to be ashamed09: 48 November 9, 2023 What is a magnetic storm And how it affects people. Simple words08: 02 November 9, 2023 What is reflection and how to reflect correctly. Simple words 08: 02 November 9, 2023 “We got married as mature people” Lyudmila Chursina - about the love of death of Moscow and St. Petersburg00: 07 November 9, 2023 What is a protein diet and what is its benefit and harm. In simple words 08: 00 November 8, 2023 What is vitamin B12 why the body needs it and in what products it is contained. Simple words08: 00 November 8, 2023 "They will also pay for this garbage!" How to get rid of unnecessary things in Moscow and earn money on this00: 05 November 8, 2023 “You can’t do anything” a well-known ophthalmologist spoke about the most difficult moments and unique methods of treatment13: November 7, 2023-Turned in America, the 80s Pontiac which was almost able Hot Hatch Shelby and other unusual models10: 19 November 7, 2023 “Fire against Schusev repaid Beria” The story of the legendary architect born 150 years ago, November 6, 6, 2023 “My nerves ended” as an employee of the landfill, became business lane00: 10 4423 Cupcubs of charts Acquaintance with Shatunov and the curse of Razin interviews with singer Andrei Timofeev15: 16 November 2, 2023 Russian -Russian warned about fraud on dating sites23: November 11, 2023, explained the rejection of the title fight in UFC23: November 11, 2023 “Not a step backward - followed by the morgue” as in us. The Donbass prepare future attack aircraft for the realities of the modern war? 00: 01 on November 10, 2023v Kiev revealed a way to resolve the conflict in Ukraine23: November 11, 2023 in Russia, a new way of fraud appeared. What is the secret of a multi -route scheme with ads services? 17: 42 November 10, 2023v Israel " Hezbollah ”from joining conflict23: 21 November 11, 2023 Hellair,“ Hezbollah ”addressed the Biden administration22: 47 November 11, 2023 Russian -Russian Pavlovich described the secret of success in UFC22: 41 on November 11, 2023 Russian Russians warned about the magnetic storm on the night of Sunday 22: 34 11 on November 11 on November 11 2023 It is known about the plans of Colonel of the Armed Forces of Ukraine to captivate Wagner in 202022: November 11, 2023, the Internet was captured by Taliban and surprised everyone. He spent a great time and called the terrorists to the brothers00: November 10, 2023 Hungry proposed creating a new security system in Europe22: 15 on November 11, 2023 The series “The Word of the Boanding” about the youth gangs of the collapse of the USSR. Why is it worth it to look at it? 11: 52 on November 10, 2023, the Israeli air defense seized the “suspicious target” 21:56 November 11, 2023 Eendocrinologist Pavlova revealed the personal principles of food21: 56 November 11, 2023, Ukraine announced the coming of Russia at Kupyansk21: 44 November 11, 2023 “Zenit” And “Krasnodar” was tied in the RPL21: November 118, 2023 APU, the Armed Forces of the Armed Forces were called the coordinator of the attack on “Northern Streams” 21:19 on November 11, 2023 The defense of Ukraine told Pentagon about the needs of Kiev21: 17 11, 2023 “Three -leaf native!” The Russian rifle Mosin passed all the wars of the 20th century. How did this legendary weapon appear? 00: 01 on November 10, 2023, the Navigation of Ukraine was called a disappointment for the Allies of Zelensky21: 15 on November 11, 2023 “A loser one who does not get up from the ass” as a British plaster fell to the Olympics, he lost but became a celebrity 20: 01, 2023, the defense of Croatian defense, the Croatian minister He was in a car accident21: 05 on November 11, 2023VSU fired at the Russian border city 20: 59 November 11, 2023 Russian skater-champion spoke about the desire to record a song 20: 54 on November 11, 2023 INO MASK wants to implant a dangerous chip in the brain of tens of thousands of people. Animals with such chips spent the rest of their lives in agony22: 54 on November 9, 2023 Beyrut predicted a repetition of the fate of the Gaza under one condition 20: 51 on November 11, 2023 -Russians, he beat her20: 40 on November 11, 2023 “This is a blow to the unity of Russia” 30 years ago Yeltsin liquidated Yeltsin Ural Republic. Why was he frightened by his fellow countrymen? 00: 01 November 9, 2023, Britain announced the deficiency of “patriots” in Russian car dealerships 20: 10 November 2023NO SUBARU Forester, which was broken due to failures at the front of Zelensky 20: 24 on November 11, 2023 On November 2023Chery, she began selling cars on a “ozone” with solid discounts 20: 10 November 11, 2023 Chines, showed minivan with sun lust and a huge leg reserve 20: 10 November 11, 2023 Medical Media Medical Media could know in advance about Hamas attack on Israel. They invaded the country along with terrorists18: November 9, 2023 in London, 92 protesters during a rally in support of Palestine 20: 09 on November 11, 2023 Ukrainian journalist announced the words of the head of the European Commission of the ears 20: 00 on November 11, 2023v Finland refused to let the Russians on bicycles19: 55 11: 55 11: 55 11: 55 11: 55 11: 55 11: 55 11 On November 2023, they began to dump home -made cassette ammunition into Russia. What is known about the new tactics of Ukrainians? 13: 59 on November 9, 2023, Lokomotiv announced the desire to return Miranchuk19: November 11, 2023 Pentagon spends millions in search of werewolves and Congress discusses UFOs. Why in the USA was obsessed with the supernatural? 00: 01 on November 9, 2023 in Moscow, the courier scammers took the safe from the pensioner with money19: November 11, 2023, Japan announced the most serious threat to the country since the Second World War19: November 11, 2023 Kazakhstan blogger challenged the son of Kadyrov19: On November 11, 2023, Russia spoke about the importance of the world recognition of Moscow’s victory over Kiev19: 22 November 11, 2023, Iceland, a few days later predicted the eruption of volcanoes19: 06 November 11, 2023v Okko - the series “Magic Plot” on the fighting of the police with evil heroes of Russian fairy tales. Why is this Russian answer “Deadpool”? 00: 01 November 9, 2023 Rykransk, a multi -million -dollar price tag and Ryder Meladze for a performance in Moscow18: 52 November 11, 2023 articular intelligence “hand” and self -cleaning. What else is surprised by the Dreame robot vacuum cleaner? 19: 51 on November 9, 2023, the NATO Secretary General of NATO proposed to accept Ukraine in the alliance in new borders18: 49 November 11, 2023, the woman suffered from the shelling of the Russian region from Ukraine18: 47 on November 11, 2023v, explosions occurred18: 46 on November 11, November 11 2023odna from countries wanted to double the military assistance to Ukraine18: 46 November 11, 2023Pol nationalists staged a march in Warsaw18: 35 November 11, 2023citroen showed a “sports” version of the My Ami18 quadricated: November 11, 2023 Truth protects from all diseases and strengthens immunity? Doctors dispelled myths about the benefits and dangers of the bath05: 00 November 9, 2023Toyota BZ4X will patrol parks and cemeteries18: 33 November 11, 2023 Prigozhina, Prigozhin is considered the chief heir to the founder of the PMC Vagner. What does he know about him and what business does he get? 00: 01 November 8, 2023electrikhana Two: published the trailer for the last video with Ken Blok18: November 11, 2023, 2023 Rock Star, put up for auction18: November 11, 2023Dontition-Contracts. SS of the use of a policy of confidentiality of the application of recommendatory technologies © 1999–2023 LLC "Lenta.ru" found a typo? PLACTRL+ENTER18+The feed of good is deactivated. FOR HAVED to the real world. New Materials News</v>
      </c>
    </row>
    <row r="30">
      <c r="A30" s="1" t="s">
        <v>54</v>
      </c>
      <c r="B30" s="1" t="s">
        <v>127</v>
      </c>
      <c r="D30" s="1">
        <v>17.0</v>
      </c>
      <c r="E30" s="4" t="s">
        <v>128</v>
      </c>
      <c r="F30" s="1" t="s">
        <v>16</v>
      </c>
      <c r="G30" s="1" t="s">
        <v>129</v>
      </c>
      <c r="H30" s="4" t="s">
        <v>130</v>
      </c>
      <c r="I30" s="2">
        <v>2.0</v>
      </c>
      <c r="J30" s="5" t="str">
        <f>IFERROR(__xludf.DUMMYFUNCTION("GOOGLETRANSLATE(A30)"),"chatgpt")</f>
        <v>chatgpt</v>
      </c>
      <c r="K30" s="6" t="str">
        <f>IFERROR(__xludf.DUMMYFUNCTION("GOOGLETRANSLATE(B30)"),"Free ChatGPT combines search engine ...")</f>
        <v>Free ChatGPT combines search engine ...</v>
      </c>
      <c r="M30" s="5" t="str">
        <f>IFERROR(__xludf.DUMMYFUNCTION("GOOGLETRANSLATE(G30)"),"GPTGO - ChatGPT Free combined Search EngineBlogDiscordLanguage EnglishFrenchGermanIndonesianPortugueseSpanish; Cast...TurkishVietnameseArabicChineseCzechHindiItalianJapaneseKoreanMalayPersianRussianThaiUkrainian Free ChatGPT and Search EngineDefaultEnglis"&amp;"hFrenchGermanIndonesianPortugueseSpanish; Cast...TurkishVietnameseAbkhazAfarAfrikaansAkanAlbanianAmharicArabicAragoneseArmenianAssameseAvaricAvestanAymaraAzerbaijaniBambaraBashkirBasqueBelarusianBengaliBihariBislamaBosnianBretonBulgarianBurmeseCatalan; Va"&amp;"le...ChamorroChechenChichewa; Che...ChineseChuvashCornishCorsicanCreeCroatianCzechDanishDivehi; Dhive...DutchEsperantoEstonianEweFaroeseFijianFinnishFula; Fulah; ...GalicianGeorgianGreek ModernGuaraníGujaratiHaitian; Hait...HausaHebrew (moder...HereroHind"&amp;"iHiri MotuHungarianInterlinguaInterlingueIrishIgboInupiaqIdoIcelandicItalianInuktitutJapaneseJavaneseKalaallisut ...KannadaKanuriKashmiriKazakhKhmerKikuyu Gikuy...KinyarwandaKirghiz Kyrg...KomiKongoKoreanKurdishKwanyama Kua...LatinLuxembourgish...LugandaL"&amp;"imburgish L...LingalaLaoLithuanianLuba-KatangaLatvianManxMacedonianMalagasyMalayMalayalamMalteseMāoriMarathi (Mar�...MarshalleseMongolianNauruNavajo Navah...Norwegian Bok...North NdebeleNepaliNdongaNorwegian Nyn...NorwegianNuosuSouth NdebeleOccitanOjibwe "&amp;"Ojibw...Old Church Sl...OromoOriyaOssetian Oss...Panjabi Punj...PāliPersianPolishPashto Pusht...QuechuaRomanshKirundiRomanian Mol...RussianSanskrit (Sa�...SardinianSindhiNorthern SamiSamoanSangoSerbianScottish Gael...ShonaSinhala Sinh...SlovakSloveneSomal"&amp;"iSouthern Soth...SundaneseSwahiliSwatiSwedishTamilTeluguTajikThaiTigrinyaTibetan Stand...TurkmenTagalogTswanaTonga (Tonga ...TsongaTatarTwiTahitianUighur Uyghu...UkrainianUrduUzbekVendaVolapükWalloonWelshWolofWestern Frisi...XhosaYiddishYorubaZhuang Chuan"&amp;"...  Ask GPT Search &amp; Ask GPTChatGPT Cancel...ChatGPT usually responds in 10 seconds. Press try again if waiting too long...  Search &amp; Ask GPTCopyAsk more questionsADVERTISEMENTFrequently Asked QuestionsHow is GPTGO different from regular search? GPTGO st"&amp;"ill returns search results as usual but adds a chatGPT query feature so the results will also include ChatGPT answers.Do I need a ChatGPT account or sign up to use it? No you don't need a ChatGPT account or anything we have integrated a premium ChatGPT ac"&amp;"count for you to use completely for free.Do I have to pay to use GPTGO? GPTGO is completely free you can use search combined with an unlimited paid ChatGPT account and do not have to pay any fees.What devices can I use GPTGO on? GPTGO can be used on any d"&amp;"evice: iPhone/iPad Android PC Tablet... you only need a web browser and an internet connection to use GPTGO.How accurate are the chatbot answers provided by GPTGO? GPTGO's chatbot integrates the real-time API of Google search and Chatgpt so the accuracy i"&amp;"s ensured for both companies.What makes GPTGO different from other search tools? In addition to the search results of the current leading search engine Google GPTGO also has ChatGPT search information to give you the fastest and most accurate results.Does"&amp;" GPTGO have an Android/iOS app or any way to access your website faster? GPTGo has a mobile app called Go AI available on both Android and iOS you can download it at the link on the website. Btw you can access GPTGO faster by: Setting GPTGO as the default"&amp;" search or Bookmarking in your favorites list if you dont want to install the app.How does GPTGO ensure user privacy and security? GPTGO.AI does not store or track any user information all user actions are anonymous and protected.Does GPTGO work on all de"&amp;"vices and browsers? Yes GPTGO can be used on any web browser (Chrome Firefox Microsoft Edge...) as well as on any device (Desktop Mobile phone iPhone iPad Laptop...) and any operating system (Android iOS...)Can I suggest improvements to GPTGO's search alg"&amp;"orithm? Certainly you can send us anything (Feedback Bugs Advanced Suggestions ...) and we will be very grateful for that.Privacy &amp; Terms.© 2023 by GPTGO 2.0Close")</f>
        <v>GPTGO - ChatGPT Free combined Search EngineBlogDiscordLanguage EnglishFrenchGermanIndonesianPortugueseSpanish; Cast...TurkishVietnameseArabicChineseCzechHindiItalianJapaneseKoreanMalayPersianRussianThaiUkrainian Free ChatGPT and Search EngineDefaultEnglishFrenchGermanIndonesianPortugueseSpanish; Cast...TurkishVietnameseAbkhazAfarAfrikaansAkanAlbanianAmharicArabicAragoneseArmenianAssameseAvaricAvestanAymaraAzerbaijaniBambaraBashkirBasqueBelarusianBengaliBihariBislamaBosnianBretonBulgarianBurmeseCatalan; Vale...ChamorroChechenChichewa; Che...ChineseChuvashCornishCorsicanCreeCroatianCzechDanishDivehi; Dhive...DutchEsperantoEstonianEweFaroeseFijianFinnishFula; Fulah; ...GalicianGeorgianGreek ModernGuaraníGujaratiHaitian; Hait...HausaHebrew (moder...HereroHindiHiri MotuHungarianInterlinguaInterlingueIrishIgboInupiaqIdoIcelandicItalianInuktitutJapaneseJavaneseKalaallisut ...KannadaKanuriKashmiriKazakhKhmerKikuyu Gikuy...KinyarwandaKirghiz Kyrg...KomiKongoKoreanKurdishKwanyama Kua...LatinLuxembourgish...LugandaLimburgish L...LingalaLaoLithuanianLuba-KatangaLatvianManxMacedonianMalagasyMalayMalayalamMalteseMāoriMarathi (Mar�...MarshalleseMongolianNauruNavajo Navah...Norwegian Bok...North NdebeleNepaliNdongaNorwegian Nyn...NorwegianNuosuSouth NdebeleOccitanOjibwe Ojibw...Old Church Sl...OromoOriyaOssetian Oss...Panjabi Punj...PāliPersianPolishPashto Pusht...QuechuaRomanshKirundiRomanian Mol...RussianSanskrit (Sa�...SardinianSindhiNorthern SamiSamoanSangoSerbianScottish Gael...ShonaSinhala Sinh...SlovakSloveneSomaliSouthern Soth...SundaneseSwahiliSwatiSwedishTamilTeluguTajikThaiTigrinyaTibetan Stand...TurkmenTagalogTswanaTonga (Tonga ...TsongaTatarTwiTahitianUighur Uyghu...UkrainianUrduUzbekVendaVolapükWalloonWelshWolofWestern Frisi...XhosaYiddishYorubaZhuang Chuan...  Ask GPT Search &amp; Ask GPTChatGPT Cancel...ChatGPT usually responds in 10 seconds. Press try again if waiting too long...  Search &amp; Ask GPTCopyAsk more questionsADVERTISEMENTFrequently Asked QuestionsHow is GPTGO different from regular search? GPTGO still returns search results as usual but adds a chatGPT query feature so the results will also include ChatGPT answers.Do I need a ChatGPT account or sign up to use it? No you don't need a ChatGPT account or anything we have integrated a premium ChatGPT account for you to use completely for free.Do I have to pay to use GPTGO? GPTGO is completely free you can use search combined with an unlimited paid ChatGPT account and do not have to pay any fees.What devices can I use GPTGO on? GPTGO can be used on any device: iPhone/iPad Android PC Tablet... you only need a web browser and an internet connection to use GPTGO.How accurate are the chatbot answers provided by GPTGO? GPTGO's chatbot integrates the real-time API of Google search and Chatgpt so the accuracy is ensured for both companies.What makes GPTGO different from other search tools? In addition to the search results of the current leading search engine Google GPTGO also has ChatGPT search information to give you the fastest and most accurate results.Does GPTGO have an Android/iOS app or any way to access your website faster? GPTGo has a mobile app called Go AI available on both Android and iOS you can download it at the link on the website. Btw you can access GPTGO faster by: Setting GPTGO as the default search or Bookmarking in your favorites list if you dont want to install the app.How does GPTGO ensure user privacy and security? GPTGO.AI does not store or track any user information all user actions are anonymous and protected.Does GPTGO work on all devices and browsers? Yes GPTGO can be used on any web browser (Chrome Firefox Microsoft Edge...) as well as on any device (Desktop Mobile phone iPhone iPad Laptop...) and any operating system (Android iOS...)Can I suggest improvements to GPTGO's search algorithm? Certainly you can send us anything (Feedback Bugs Advanced Suggestions ...) and we will be very grateful for that.Privacy &amp; Terms.© 2023 by GPTGO 2.0Close</v>
      </c>
    </row>
    <row r="31">
      <c r="A31" s="1" t="s">
        <v>54</v>
      </c>
      <c r="B31" s="1" t="s">
        <v>131</v>
      </c>
      <c r="D31" s="1">
        <v>18.0</v>
      </c>
      <c r="E31" s="4" t="s">
        <v>132</v>
      </c>
      <c r="F31" s="1" t="s">
        <v>16</v>
      </c>
      <c r="I31" s="2">
        <v>1.0</v>
      </c>
      <c r="J31" s="5" t="str">
        <f>IFERROR(__xludf.DUMMYFUNCTION("GOOGLETRANSLATE(A31)"),"chatgpt")</f>
        <v>chatgpt</v>
      </c>
      <c r="K31" s="6" t="str">
        <f>IFERROR(__xludf.DUMMYFUNCTION("GOOGLETRANSLATE(B31)"),"What is ChatGPT? How AI changes the rules of the game in ...")</f>
        <v>What is ChatGPT? How AI changes the rules of the game in ...</v>
      </c>
      <c r="M31" s="5" t="str">
        <f>IFERROR(__xludf.DUMMYFUNCTION("GOOGLETRANSLATE(G31)"),"#VALUE!")</f>
        <v>#VALUE!</v>
      </c>
    </row>
    <row r="32">
      <c r="A32" s="1" t="s">
        <v>54</v>
      </c>
      <c r="B32" s="1" t="s">
        <v>133</v>
      </c>
      <c r="D32" s="1">
        <v>19.0</v>
      </c>
      <c r="E32" s="4" t="s">
        <v>134</v>
      </c>
      <c r="F32" s="1" t="s">
        <v>16</v>
      </c>
      <c r="G32" s="1" t="s">
        <v>135</v>
      </c>
      <c r="H32" s="4" t="s">
        <v>136</v>
      </c>
      <c r="I32" s="2">
        <v>1.0</v>
      </c>
      <c r="J32" s="5" t="str">
        <f>IFERROR(__xludf.DUMMYFUNCTION("GOOGLETRANSLATE(A32)"),"chatgpt")</f>
        <v>chatgpt</v>
      </c>
      <c r="K32" s="6" t="str">
        <f>IFERROR(__xludf.DUMMYFUNCTION("GOOGLETRANSLATE(B32)"),"who invented ChatGPT and where do they lead it")</f>
        <v>who invented ChatGPT and where do they lead it</v>
      </c>
      <c r="M32" s="5" t="str">
        <f>IFERROR(__xludf.DUMMYFUNCTION("GOOGLETRANSLATE(G32)"),"Forbes.ru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33">
      <c r="A33" s="1" t="s">
        <v>54</v>
      </c>
      <c r="B33" s="1" t="s">
        <v>137</v>
      </c>
      <c r="C33" s="1" t="s">
        <v>138</v>
      </c>
      <c r="D33" s="1">
        <v>20.0</v>
      </c>
      <c r="E33" s="4" t="s">
        <v>139</v>
      </c>
      <c r="F33" s="1" t="s">
        <v>16</v>
      </c>
      <c r="G33" s="1" t="s">
        <v>140</v>
      </c>
      <c r="H33" s="4" t="s">
        <v>141</v>
      </c>
      <c r="I33" s="2">
        <v>1.0</v>
      </c>
      <c r="J33" s="5" t="str">
        <f>IFERROR(__xludf.DUMMYFUNCTION("GOOGLETRANSLATE(A33)"),"chatgpt")</f>
        <v>chatgpt</v>
      </c>
      <c r="K33" s="6" t="str">
        <f>IFERROR(__xludf.DUMMYFUNCTION("GOOGLETRANSLATE(B33)"),"Chat GPT neural network")</f>
        <v>Chat GPT neural network</v>
      </c>
      <c r="L33" s="5" t="str">
        <f>IFERROR(__xludf.DUMMYFUNCTION("GOOGLETRANSLATE(C33)"),"Chat GPT is a chatbot neural network that is capable of conducting a dialogue. GPT-4 Chat (Chat GPT) is looking for errors in the code, writes a diploma. Register and enter Chat GPT in ...")</f>
        <v>Chat GPT is a chatbot neural network that is capable of conducting a dialogue. GPT-4 Chat (Chat GPT) is looking for errors in the code, writes a diploma. Register and enter Chat GPT in ...</v>
      </c>
      <c r="M33" s="5" t="str">
        <f>IFERROR(__xludf.DUMMYFUNCTION("GOOGLETRANSLATE(G33)"),"Chat GPT - neural network Chat GPTSKIP to ContentChat GPTneRCE Chat GPTSearch: enter the ChatGPTSION CHATGPUN CHATGPTCHATGPT 4 PLUSAPIDYDALL · E 2MIDJURNEVPN for Chat GPT Telephone for ChatGPT contactsquest 3sites Partners need help in study? Try Chatgpt!"&amp;" Chatgpt-4 for free and without restrictions on the generation of images of the online registration of ChatGPT in Russia 02/01/2023 Katgoria: Toolmate: GPT Chat 120 Registration in Russia and other countries recently ChatGPT is very popular, but when regi"&amp;"stering in Russia, many are faced with the problem of the lack of service region. We’ll analyze the step -by -step ... read the ChatGPT01.02.2023 Kapategoria account: Tools Author: GPT Chat 31 Provide you the ready -made Chat GPT account with a login and "&amp;"password. Personal account* Chat GPT - 1000 rubles. - 499 rub. General account ** Chat GPT - 159 rubles. Buy ... read Dlayekak Connect ChatGPT-431.01.2023 Katgoria: Tools: GPT Chat 13 recognize with detailed guidelines for access to the first-class Openai"&amp;" service. In this article, we will give step-by-step instructions on how to use ChatGPT-4. With our clear instructions, it will be easy for you to reveal a huge potential ... Read more ChatGPT - example of tips28.01.2023 Katgoria: Tools: GPT Chat 1 Drive "&amp;"to the repository ""Amazing Hints of ChatGPT""! This is a set of examples of prompts for use with the ChatGPT model. The ChatGPT model is a large language model trained Openai capable of generating humanoid text. Providing him with a hint ... Read more th"&amp;"an 5 of the best alternatives to ChatGPT27.01.2023 Katgoria: Articles: GPT Chat 315 The best alternatives to Chatgpt, including free models, users seek ChatGPT alternatives for various reasons, including considerations of the CHATGPT of a slow -time respo"&amp;"nse of the capacity of the capacity or simply from the daily. nuni. Regardless ... to read Dlayekak to use Chatgpt25.01.2023 Katgoria: Tools: GPT Chat 6th language processing tool using AI has become popular from the moment of its launch at the end of las"&amp;"t year, but how do you use it and why? Do not want to understand ... Read the Free VPN Suitable Chat GPT24.01.2023 Katgoria: Tools Author: GPT Chat 38KAC Set VPN in the Chrome browser Suitable Chat GPT to start a couple of words about where to download ad"&amp;"ditions (extensions) for a google browser. Everything is simple: click on three points ... Read the Dlayekak to get the ChatGPT23.01.2023 Kapetegoria API-key: The Apart Tools: GPT Chat 7 API key is the first step to access to the powerful capabilities of "&amp;"the ChatGPT language. Using the API key, you can easily integrate ChatGPT into your website mobile application ... Read more than 4 Turbo 07.11.2023 Katgoria: Articles: GPT Chat 0 What is GPT-4 Turbo? GPT-4 Turbo is our last generation model. It has a mor"&amp;"e functional level of knowledge as of April 2023 and represents a contextual ... Read the ChatGPT can analyze files 02.11.2023 Kategoria: Articles: GPT Chat 0 Relaxes ChatGPT PLUS now have the opportunity to download and check the files in the latest beta"&amp;" version. In addition, they can freely use functions such as viewing using bing since the chat boot reasonably defines the best mode ... Read more chassis and chasses and challenges of the modern economy 10.10.2023 of the: Article: GPT Chat 0 Modern World"&amp;" Economy is faced with many problems and challenges that affect Its stability and development. In this article, we will consider 25 key problems of the modern economy using subtitles ... Read more, GPT-4 is not inferior to the GPT-4 in its capabilities 10"&amp;"/19/2023 Kategoria: Article-author: GPT Chat 0 Kittean Internet giant Baidu presented the updated version of its Ernie Bot chat. By power with GPT-4 from Openai. During the presentation, AI-Service demonstrated an understanding of complex questions The ab"&amp;"ility to create images and the implementation of elementary arithmetic ... Read the STRUP 10 Neurosete: Alternative Chat GPT19.10.2023 Caves: Article-author: GPT Chat 0Chat GPT revolutionized our use and programming more accessible to everyone. However, d"&amp;"ue to its global popularity, there are sometimes problems with the overload of the system that leads ... to read the Dlayekalcal with the ChatGPT-4V16.10.2023 Category code: Article-author: GPT Chat 0alvaro Sintas finally gained access to ChatGPT using Vi"&amp;"sion. The first thing he wanted to check was the possibility of encoding using the image and the results were stunning. Sending only the screenshot of the iOS heel, he ... Read more-Openai will study the possibility of creating its own artificial intellig"&amp;"ence chips16.10.2023 Katgoria: Articles: GPT Chat 0 Stracks report that Openai is considering the possibility of deepening the artificial intelligence chips and even carefully studied the potential prospects for acquisition. Although the final decision ha"&amp;"s not yet been made by Openai discusses the decisions ... Read more21 ChatGPT offer for business in 2023 10/16/2023 Katgoria: Articles: GPT Chat 021 ChatGPT, prompt to develop business in 2023. Hint: Create a comprehensive marketing plan for [company name"&amp;"] to increase the brand recognition and attract new potential customers. Hint: Create a list ... Read more. We represent the Dall-E 3 inside ChatGPT16.10.2023 Katgoria: Tools Author: GPT Chat 0C today Dall-E 3 Available inside ChatGPT. That is why Dall-E "&amp;"3 will improve faster than Midjourney: a multi-way dialogue multi-way dialogue is an excellent user interface for collecting people's reviews. People will explain that it is not ... Read more, can now gain access to the Internet 10/16/2023 Katgoria: Tools"&amp;" -author: GPT Chat 0 allows him to do what was not possible before. Here are 8 examples of what you can do using this Internet integration. Before we start paying attention: you can activate ... Read the dalenavigation by records12 ... 26th place of the C"&amp;"hatGPTANDRIDAPIPI GPT-4AUTOGPTCHATGPTGPT-5ChatGPT APICHATGPT ENTERPRISE status. CHATGPT PLUSCHAT GPT in Russiachatgpt prohibitingchatgpt how to usechat GPT Neurosetdallegleglegoogle bardgpt-4gpt-5gpt 4iosiphonekaiber aiopenaipalmappwhispergagglate Skursyp"&amp;"lagin Chatgpt Professaexyelation of the images are blocking the unrealistic-based articular articular articles of the articles ChatGPT can analyze the fileshatgpt: crises and calls of modern economics is not inferior to GPT-4 in its capabilities of 10 neu"&amp;"ral networks: alternative Chat GPTRUBRICS Video GPTRAMENTIONARYSTATIONALITIES in the CHATGPTCUNT CHETGPTCHATGPT 4 PLASAPI Promtygaydydyddall · E 2midjourneyvpn for ChatGPTTTELPHETENEPHPTTTECTELENT CCATCTACTTACTS CHEARTS 3S PARTERSENTS CHATGPTKACK TREATED "&amp;"CHATGPT What is CHATGPTOSHKA CHETGPT. Chat GPT1 of the best ChatGPTVPN plugins for Chat GPTKA to install ChatGPT on the iPhone5 of the best alternatives to ChatGPTATSTSTStattattattattatttatttatttatttatttatttatttatttatttesion Pro AppleCyberpunk 2077 © 2023"&amp;" Chat GPT Chat GPT-the neural network of the chatbot which is capable of conducting a dialogue. GPT-4 Chat (Chat GPT) is looking for errors in the code writes a diploma. You can register and enter the Chat GPT in Russia and in Russian on the website ChatG"&amp;"PT/ CEO.Chatgpt@gmail.com")</f>
        <v>Chat GPT - neural network Chat GPTSKIP to ContentChat GPTneRCE Chat GPTSearch: enter the ChatGPTSION CHATGPUN CHATGPTCHATGPT 4 PLUSAPIDYDALL · E 2MIDJURNEVPN for Chat GPT Telephone for ChatGPT contactsquest 3sites Partners need help in study? Try Chatgpt! Chatgpt-4 for free and without restrictions on the generation of images of the online registration of ChatGPT in Russia 02/01/2023 Katgoria: Toolmate: GPT Chat 120 Registration in Russia and other countries recently ChatGPT is very popular, but when registering in Russia, many are faced with the problem of the lack of service region. We’ll analyze the step -by -step ... read the ChatGPT01.02.2023 Kapategoria account: Tools Author: GPT Chat 31 Provide you the ready -made Chat GPT account with a login and password. Personal account* Chat GPT - 1000 rubles. - 499 rub. General account ** Chat GPT - 159 rubles. Buy ... read Dlayekak Connect ChatGPT-431.01.2023 Katgoria: Tools: GPT Chat 13 recognize with detailed guidelines for access to the first-class Openai service. In this article, we will give step-by-step instructions on how to use ChatGPT-4. With our clear instructions, it will be easy for you to reveal a huge potential ... Read more ChatGPT - example of tips28.01.2023 Katgoria: Tools: GPT Chat 1 Drive to the repository "Amazing Hints of ChatGPT"! This is a set of examples of prompts for use with the ChatGPT model. The ChatGPT model is a large language model trained Openai capable of generating humanoid text. Providing him with a hint ... Read more than 5 of the best alternatives to ChatGPT27.01.2023 Katgoria: Articles: GPT Chat 315 The best alternatives to Chatgpt, including free models, users seek ChatGPT alternatives for various reasons, including considerations of the CHATGPT of a slow -time response of the capacity of the capacity or simply from the daily. nuni. Regardless ... to read Dlayekak to use Chatgpt25.01.2023 Katgoria: Tools: GPT Chat 6th language processing tool using AI has become popular from the moment of its launch at the end of last year, but how do you use it and why? Do not want to understand ... Read the Free VPN Suitable Chat GPT24.01.2023 Katgoria: Tools Author: GPT Chat 38KAC Set VPN in the Chrome browser Suitable Chat GPT to start a couple of words about where to download additions (extensions) for a google browser. Everything is simple: click on three points ... Read the Dlayekak to get the ChatGPT23.01.2023 Kapetegoria API-key: The Apart Tools: GPT Chat 7 API key is the first step to access to the powerful capabilities of the ChatGPT language. Using the API key, you can easily integrate ChatGPT into your website mobile application ... Read more than 4 Turbo 07.11.2023 Katgoria: Articles: GPT Chat 0 What is GPT-4 Turbo? GPT-4 Turbo is our last generation model. It has a more functional level of knowledge as of April 2023 and represents a contextual ... Read the ChatGPT can analyze files 02.11.2023 Kategoria: Articles: GPT Chat 0 Relaxes ChatGPT PLUS now have the opportunity to download and check the files in the latest beta version. In addition, they can freely use functions such as viewing using bing since the chat boot reasonably defines the best mode ... Read more chassis and chasses and challenges of the modern economy 10.10.2023 of the: Article: GPT Chat 0 Modern World Economy is faced with many problems and challenges that affect Its stability and development. In this article, we will consider 25 key problems of the modern economy using subtitles ... Read more, GPT-4 is not inferior to the GPT-4 in its capabilities 10/19/2023 Kategoria: Article-author: GPT Chat 0 Kittean Internet giant Baidu presented the updated version of its Ernie Bot chat. By power with GPT-4 from Openai. During the presentation, AI-Service demonstrated an understanding of complex questions The ability to create images and the implementation of elementary arithmetic ... Read the STRUP 10 Neurosete: Alternative Chat GPT19.10.2023 Caves: Article-author: GPT Chat 0Chat GPT revolutionized our use and programming more accessible to everyone. However, due to its global popularity, there are sometimes problems with the overload of the system that leads ... to read the Dlayekalcal with the ChatGPT-4V16.10.2023 Category code: Article-author: GPT Chat 0alvaro Sintas finally gained access to ChatGPT using Vision. The first thing he wanted to check was the possibility of encoding using the image and the results were stunning. Sending only the screenshot of the iOS heel, he ... Read more-Openai will study the possibility of creating its own artificial intelligence chips16.10.2023 Katgoria: Articles: GPT Chat 0 Stracks report that Openai is considering the possibility of deepening the artificial intelligence chips and even carefully studied the potential prospects for acquisition. Although the final decision has not yet been made by Openai discusses the decisions ... Read more21 ChatGPT offer for business in 2023 10/16/2023 Katgoria: Articles: GPT Chat 021 ChatGPT, prompt to develop business in 2023. Hint: Create a comprehensive marketing plan for [company name] to increase the brand recognition and attract new potential customers. Hint: Create a list ... Read more. We represent the Dall-E 3 inside ChatGPT16.10.2023 Katgoria: Tools Author: GPT Chat 0C today Dall-E 3 Available inside ChatGPT. That is why Dall-E 3 will improve faster than Midjourney: a multi-way dialogue multi-way dialogue is an excellent user interface for collecting people's reviews. People will explain that it is not ... Read more, can now gain access to the Internet 10/16/2023 Katgoria: Tools -author: GPT Chat 0 allows him to do what was not possible before. Here are 8 examples of what you can do using this Internet integration. Before we start paying attention: you can activate ... Read the dalenavigation by records12 ... 26th place of the ChatGPTANDRIDAPIPI GPT-4AUTOGPTCHATGPTGPT-5ChatGPT APICHATGPT ENTERPRISE status. CHATGPT PLUSCHAT GPT in Russiachatgpt prohibitingchatgpt how to usechat GPT Neurosetdallegleglegoogle bardgpt-4gpt-5gpt 4iosiphonekaiber aiopenaipalmappwhispergagglate Skursyplagin Chatgpt Professaexyelation of the images are blocking the unrealistic-based articular articular articles of the articles ChatGPT can analyze the fileshatgpt: crises and calls of modern economics is not inferior to GPT-4 in its capabilities of 10 neural networks: alternative Chat GPTRUBRICS Video GPTRAMENTIONARYSTATIONALITIES in the CHATGPTCUNT CHETGPTCHATGPT 4 PLASAPI Promtygaydydyddall · E 2midjourneyvpn for ChatGPTTTELPHETENEPHPTTTECTELENT CCATCTACTTACTS CHEARTS 3S PARTERSENTS CHATGPTKACK TREATED CHATGPT What is CHATGPTOSHKA CHETGPT. Chat GPT1 of the best ChatGPTVPN plugins for Chat GPTKA to install ChatGPT on the iPhone5 of the best alternatives to ChatGPTATSTSTStattattattattatttatttatttatttatttatttatttatttatttesion Pro AppleCyberpunk 2077 © 2023 Chat GPT Chat GPT-the neural network of the chatbot which is capable of conducting a dialogue. GPT-4 Chat (Chat GPT) is looking for errors in the code writes a diploma. You can register and enter the Chat GPT in Russia and in Russian on the website ChatGPT/ CEO.Chatgpt@gmail.com</v>
      </c>
    </row>
    <row r="34">
      <c r="A34" s="1" t="s">
        <v>54</v>
      </c>
      <c r="B34" s="1" t="s">
        <v>142</v>
      </c>
      <c r="C34" s="1" t="s">
        <v>143</v>
      </c>
      <c r="D34" s="1">
        <v>2.0</v>
      </c>
      <c r="E34" s="4" t="s">
        <v>144</v>
      </c>
      <c r="F34" s="1" t="s">
        <v>43</v>
      </c>
      <c r="G34" s="1" t="s">
        <v>145</v>
      </c>
      <c r="H34" s="4" t="s">
        <v>146</v>
      </c>
      <c r="I34" s="2">
        <v>0.0</v>
      </c>
      <c r="J34" s="5" t="str">
        <f>IFERROR(__xludf.DUMMYFUNCTION("GOOGLETRANSLATE(A34)"),"chatgpt")</f>
        <v>chatgpt</v>
      </c>
      <c r="K34" s="6" t="str">
        <f>IFERROR(__xludf.DUMMYFUNCTION("GOOGLETRANSLATE(B34)"),"Introducing ChatGPT")</f>
        <v>Introducing ChatGPT</v>
      </c>
      <c r="L34" s="5" t="str">
        <f>IFERROR(__xludf.DUMMYFUNCTION("GOOGLETRANSLATE(C34)"),"November 30. 2022 -")</f>
        <v>November 30. 2022 -</v>
      </c>
      <c r="M34" s="5" t="str">
        <f>IFERROR(__xludf.DUMMYFUNCTION("GOOGLETRANSLATE(G34)"),"OpenAICloseSearch Submit Skip to main contentSite NavigationResearchOverviewIndexGPT-4DALL·E 3APIOverviewData privacyPricingDocsChatGPTOverviewEnterpriseTry ChatGPTSafetyCompanyAboutBlogCareersResidencyCharterSecurityCustomer storiesSearch Navigation quic"&amp;"k links Log inTry ChatGPTMenu Mobile Navigation CloseSite NavigationResearchOverviewIndexGPT-4DALL·E 3APIOverviewData privacyPricingDocsChatGPTOverviewEnterpriseTry ChatGPTSafetyCompanyAboutBlogCareersResidencyCharterSecurityCustomer stories Quick Links L"&amp;"og inTry ChatGPTSearch Submit  Your browser does not support the video tag. Creating safe AGI that benefits all of humanityQuicklinksLearn about OpenAIPioneering research on the path to AGILearn about our researchTransforming work and creativity with AIEx"&amp;"plore our productsJoin us in shaping the future of technologyView careersSafety &amp; responsibilityOur work to create safe and beneficial AI requires a deep understanding of the potential risks and benefits as well as careful consideration of the impact.Lear"&amp;"n about safetyResearchWe research generative models and how to align them with human values.Learn about our researchDALL·E 3 system cardOct 3 2023October 3 2023GPT-4V(ision) system cardSep 25 2023September 25 2023Confidence-Building Measures for Artificia"&amp;"l Intelligence: Workshop proceedingsAug 1 2023August 1 2023Frontier AI regulation: Managing emerging risks to public safetyJul 6 2023July 6 2023ProductsOur API platform offers our latest models and guides for safety best practices.Explore our productsCare"&amp;"ers at OpenAIDeveloping safe and beneficial AI requires people from a wide range of disciplines and backgrounds.View careersI encourage my team to keep learning. Ideas in different topics or fields can often inspire new ideas and broaden the potential sol"&amp;"ution space.Lilian WengApplied AI at OpenAIResearchOverviewIndexGPT-4DALL·E 3APIOverviewData privacyPricingDocsChatGPTOverviewEnterpriseTry ChatGPTCompanyAboutBlogCareersCharterSecurityCustomer storiesSafetyOpenAI © 2015 – 2023Terms &amp; policiesPrivacy poli"&amp;"cyBrand guidelinesSocialTwitterYouTubeGitHubSoundCloudLinkedInBack to top")</f>
        <v>OpenAICloseSearch Submit Skip to main contentSite NavigationResearchOverviewIndexGPT-4DALL·E 3APIOverviewData privacyPricingDocsChatGPTOverviewEnterpriseTry ChatGPTSafetyCompanyAboutBlogCareersResidencyCharterSecurityCustomer storiesSearch Navigation quick links Log inTry ChatGPTMenu Mobile Navigation CloseSite NavigationResearchOverviewIndexGPT-4DALL·E 3APIOverviewData privacyPricingDocsChatGPTOverviewEnterpriseTry ChatGPTSafetyCompanyAboutBlogCareersResidencyCharterSecurityCustomer stories Quick Links Log inTry ChatGPTSearch Submit  Your browser does not support the video tag. Creating safe AGI that benefits all of humanityQuicklinksLearn about OpenAIPioneering research on the path to AGILearn about our researchTransforming work and creativity with AIExplore our productsJoin us in shaping the future of technologyView careersSafety &amp; responsibilityOur work to create safe and beneficial AI requires a deep understanding of the potential risks and benefits as well as careful consideration of the impact.Learn about safetyResearchWe research generative models and how to align them with human values.Learn about our researchDALL·E 3 system cardOct 3 2023October 3 2023GPT-4V(ision) system cardSep 25 2023September 25 2023Confidence-Building Measures for Artificial Intelligence: Workshop proceedingsAug 1 2023August 1 2023Frontier AI regulation: Managing emerging risks to public safetyJul 6 2023July 6 2023ProductsOur API platform offers our latest models and guides for safety best practices.Explore our productsCareers at OpenAIDeveloping safe and beneficial AI requires people from a wide range of disciplines and backgrounds.View careersI encourage my team to keep learning. Ideas in different topics or fields can often inspire new ideas and broaden the potential solution space.Lilian WengApplied AI at OpenAIResearchOverviewIndexGPT-4DALL·E 3APIOverviewData privacyPricingDocsChatGPTOverviewEnterpriseTry ChatGPTCompanyAboutBlogCareersCharterSecurityCustomer storiesSafetyOpenAI © 2015 – 2023Terms &amp; policiesPrivacy policyBrand guidelinesSocialTwitterYouTubeGitHubSoundCloudLinkedInBack to top</v>
      </c>
    </row>
    <row r="35">
      <c r="A35" s="1" t="s">
        <v>54</v>
      </c>
      <c r="B35" s="1" t="s">
        <v>147</v>
      </c>
      <c r="C35" s="1" t="s">
        <v>148</v>
      </c>
      <c r="D35" s="1">
        <v>3.0</v>
      </c>
      <c r="E35" s="4" t="s">
        <v>149</v>
      </c>
      <c r="F35" s="1" t="s">
        <v>43</v>
      </c>
      <c r="G35" s="1" t="s">
        <v>145</v>
      </c>
      <c r="H35" s="4" t="s">
        <v>146</v>
      </c>
      <c r="I35" s="2">
        <v>0.0</v>
      </c>
      <c r="J35" s="5" t="str">
        <f>IFERROR(__xludf.DUMMYFUNCTION("GOOGLETRANSLATE(A35)"),"chatgpt")</f>
        <v>chatgpt</v>
      </c>
      <c r="K35" s="6" t="str">
        <f>IFERROR(__xludf.DUMMYFUNCTION("GOOGLETRANSLATE(B35)"),"Openai")</f>
        <v>Openai</v>
      </c>
      <c r="L35" s="5" t="str">
        <f>IFERROR(__xludf.DUMMYFUNCTION("GOOGLETRANSLATE(C35)"),"DALL·E 3 is now available in ChatGPT Plus and Enterprise. Oct 19, 2023October 19, 2023. ChatGPT Can Now See Hear And Speak. ChatGPT can now see, hear, and speak.")</f>
        <v>DALL·E 3 is now available in ChatGPT Plus and Enterprise. Oct 19, 2023October 19, 2023. ChatGPT Can Now See Hear And Speak. ChatGPT can now see, hear, and speak.</v>
      </c>
      <c r="M35" s="5" t="str">
        <f>IFERROR(__xludf.DUMMYFUNCTION("GOOGLETRANSLATE(G35)"),"OpenAICloseSearch Submit Skip to main contentSite NavigationResearchOverviewIndexGPT-4DALL·E 3APIOverviewData privacyPricingDocsChatGPTOverviewEnterpriseTry ChatGPTSafetyCompanyAboutBlogCareersResidencyCharterSecurityCustomer storiesSearch Navigation quic"&amp;"k links Log inTry ChatGPTMenu Mobile Navigation CloseSite NavigationResearchOverviewIndexGPT-4DALL·E 3APIOverviewData privacyPricingDocsChatGPTOverviewEnterpriseTry ChatGPTSafetyCompanyAboutBlogCareersResidencyCharterSecurityCustomer stories Quick Links L"&amp;"og inTry ChatGPTSearch Submit  Your browser does not support the video tag. Creating safe AGI that benefits all of humanityQuicklinksLearn about OpenAIPioneering research on the path to AGILearn about our researchTransforming work and creativity with AIEx"&amp;"plore our productsJoin us in shaping the future of technologyView careersSafety &amp; responsibilityOur work to create safe and beneficial AI requires a deep understanding of the potential risks and benefits as well as careful consideration of the impact.Lear"&amp;"n about safetyResearchWe research generative models and how to align them with human values.Learn about our researchDALL·E 3 system cardOct 3 2023October 3 2023GPT-4V(ision) system cardSep 25 2023September 25 2023Confidence-Building Measures for Artificia"&amp;"l Intelligence: Workshop proceedingsAug 1 2023August 1 2023Frontier AI regulation: Managing emerging risks to public safetyJul 6 2023July 6 2023ProductsOur API platform offers our latest models and guides for safety best practices.Explore our productsCare"&amp;"ers at OpenAIDeveloping safe and beneficial AI requires people from a wide range of disciplines and backgrounds.View careersI encourage my team to keep learning. Ideas in different topics or fields can often inspire new ideas and broaden the potential sol"&amp;"ution space.Lilian WengApplied AI at OpenAIResearchOverviewIndexGPT-4DALL·E 3APIOverviewData privacyPricingDocsChatGPTOverviewEnterpriseTry ChatGPTCompanyAboutBlogCareersCharterSecurityCustomer storiesSafetyOpenAI © 2015 – 2023Terms &amp; policiesPrivacy poli"&amp;"cyBrand guidelinesSocialTwitterYouTubeGitHubSoundCloudLinkedInBack to top")</f>
        <v>OpenAICloseSearch Submit Skip to main contentSite NavigationResearchOverviewIndexGPT-4DALL·E 3APIOverviewData privacyPricingDocsChatGPTOverviewEnterpriseTry ChatGPTSafetyCompanyAboutBlogCareersResidencyCharterSecurityCustomer storiesSearch Navigation quick links Log inTry ChatGPTMenu Mobile Navigation CloseSite NavigationResearchOverviewIndexGPT-4DALL·E 3APIOverviewData privacyPricingDocsChatGPTOverviewEnterpriseTry ChatGPTSafetyCompanyAboutBlogCareersResidencyCharterSecurityCustomer stories Quick Links Log inTry ChatGPTSearch Submit  Your browser does not support the video tag. Creating safe AGI that benefits all of humanityQuicklinksLearn about OpenAIPioneering research on the path to AGILearn about our researchTransforming work and creativity with AIExplore our productsJoin us in shaping the future of technologyView careersSafety &amp; responsibilityOur work to create safe and beneficial AI requires a deep understanding of the potential risks and benefits as well as careful consideration of the impact.Learn about safetyResearchWe research generative models and how to align them with human values.Learn about our researchDALL·E 3 system cardOct 3 2023October 3 2023GPT-4V(ision) system cardSep 25 2023September 25 2023Confidence-Building Measures for Artificial Intelligence: Workshop proceedingsAug 1 2023August 1 2023Frontier AI regulation: Managing emerging risks to public safetyJul 6 2023July 6 2023ProductsOur API platform offers our latest models and guides for safety best practices.Explore our productsCareers at OpenAIDeveloping safe and beneficial AI requires people from a wide range of disciplines and backgrounds.View careersI encourage my team to keep learning. Ideas in different topics or fields can often inspire new ideas and broaden the potential solution space.Lilian WengApplied AI at OpenAIResearchOverviewIndexGPT-4DALL·E 3APIOverviewData privacyPricingDocsChatGPTOverviewEnterpriseTry ChatGPTCompanyAboutBlogCareersCharterSecurityCustomer storiesSafetyOpenAI © 2015 – 2023Terms &amp; policiesPrivacy policyBrand guidelinesSocialTwitterYouTubeGitHubSoundCloudLinkedInBack to top</v>
      </c>
    </row>
    <row r="36">
      <c r="A36" s="1" t="s">
        <v>54</v>
      </c>
      <c r="B36" s="1" t="s">
        <v>55</v>
      </c>
      <c r="C36" s="1" t="s">
        <v>150</v>
      </c>
      <c r="D36" s="1">
        <v>4.0</v>
      </c>
      <c r="E36" s="4" t="s">
        <v>151</v>
      </c>
      <c r="F36" s="1" t="s">
        <v>43</v>
      </c>
      <c r="G36" s="1" t="s">
        <v>27</v>
      </c>
      <c r="H36" s="4" t="s">
        <v>28</v>
      </c>
      <c r="I36" s="2">
        <v>0.0</v>
      </c>
      <c r="J36" s="5" t="str">
        <f>IFERROR(__xludf.DUMMYFUNCTION("GOOGLETRANSLATE(A36)"),"chatgpt")</f>
        <v>chatgpt</v>
      </c>
      <c r="K36" s="6" t="str">
        <f>IFERROR(__xludf.DUMMYFUNCTION("GOOGLETRANSLATE(B36)"),"ChatGPT")</f>
        <v>ChatGPT</v>
      </c>
      <c r="L36" s="5" t="str">
        <f>IFERROR(__xludf.DUMMYFUNCTION("GOOGLETRANSLATE(C36)"),"ChatGPT, which stands for Chat Generative Pre-trained Transformer, is a large language model-based chatbot developed by OpenAI and launched on November 30, ...")</f>
        <v>ChatGPT, which stands for Chat Generative Pre-trained Transformer, is a large language model-based chatbot developed by OpenAI and launched on November 30, ...</v>
      </c>
      <c r="M36" s="5" t="str">
        <f>IFERROR(__xludf.DUMMYFUNCTION("GOOGLETRANSLATE(G36)"),"Wikipedia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37">
      <c r="A37" s="1" t="s">
        <v>54</v>
      </c>
      <c r="B37" s="1" t="s">
        <v>152</v>
      </c>
      <c r="C37" s="1" t="s">
        <v>153</v>
      </c>
      <c r="D37" s="1">
        <v>6.0</v>
      </c>
      <c r="E37" s="4" t="s">
        <v>154</v>
      </c>
      <c r="F37" s="1" t="s">
        <v>43</v>
      </c>
      <c r="G37" s="1" t="s">
        <v>97</v>
      </c>
      <c r="H37" s="4" t="s">
        <v>98</v>
      </c>
      <c r="I37" s="2">
        <v>0.0</v>
      </c>
      <c r="J37" s="5" t="str">
        <f>IFERROR(__xludf.DUMMYFUNCTION("GOOGLETRANSLATE(A37)"),"chatgpt")</f>
        <v>chatgpt</v>
      </c>
      <c r="K37" s="6" t="str">
        <f>IFERROR(__xludf.DUMMYFUNCTION("GOOGLETRANSLATE(B37)"),"ChatGPT on the App Store")</f>
        <v>ChatGPT on the App Store</v>
      </c>
      <c r="L37" s="5" t="str">
        <f>IFERROR(__xludf.DUMMYFUNCTION("GOOGLETRANSLATE(C37)"),"3 days ago -")</f>
        <v>3 days ago -</v>
      </c>
      <c r="M37" s="5" t="str">
        <f>IFERROR(__xludf.DUMMYFUNCTION("GOOGLETRANSLATE(G37)"),"App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8">
      <c r="A38" s="1" t="s">
        <v>54</v>
      </c>
      <c r="B38" s="1" t="s">
        <v>155</v>
      </c>
      <c r="C38" s="1" t="s">
        <v>156</v>
      </c>
      <c r="D38" s="1">
        <v>7.0</v>
      </c>
      <c r="E38" s="4" t="s">
        <v>157</v>
      </c>
      <c r="F38" s="1" t="s">
        <v>43</v>
      </c>
      <c r="G38" s="1" t="s">
        <v>158</v>
      </c>
      <c r="H38" s="4" t="s">
        <v>159</v>
      </c>
      <c r="I38" s="2">
        <v>1.0</v>
      </c>
      <c r="J38" s="5" t="str">
        <f>IFERROR(__xludf.DUMMYFUNCTION("GOOGLETRANSLATE(A38)"),"chatgpt")</f>
        <v>chatgpt</v>
      </c>
      <c r="K38" s="6" t="str">
        <f>IFERROR(__xludf.DUMMYFUNCTION("GOOGLETRANSLATE(B38)"),"What Is ChatGPT? Everything You Need to Know")</f>
        <v>What Is ChatGPT? Everything You Need to Know</v>
      </c>
      <c r="L38" s="5" t="str">
        <f>IFERROR(__xludf.DUMMYFUNCTION("GOOGLETRANSLATE(C38)"),"ChatGPT is a form of generative AI -- a tool that lets users enter prompts to receive humanlike images, text or videos that are created by AI.")</f>
        <v>ChatGPT is a form of generative AI -- a tool that lets users enter prompts to receive humanlike images, text or videos that are created by AI.</v>
      </c>
      <c r="M38" s="5" t="str">
        <f>IFERROR(__xludf.DUMMYFUNCTION("GOOGLETRANSLATE(G38)"),"Purchase Intent Data for Enterprise Tech Sales and Marketing | TechTarget    Why TechTargetBackWhy TechTarget									Audiences																	Intent Data																	Engines of Business Outcomes																	Supporting Your GTM																	Th"&amp;"e TechTarget Brands								View Our CapabilitiesSolutionsBackSolutions							Strategy &amp; GTM Expertise																	Improve GTM Strategy and Execution																					Continuously Leverage Market Experts										More About Strategy &amp; GTM ExpertiseE"&amp;"nterprise Strategy Group: Go-to-market Expertise to Help You Win Watch the Video							ABM/ABX																	Enhance Target Account Lists																					Prioritize Target Account Lists																					Engage Target Accounts																					"&amp;"Build Up Your Own Audiences																					Uncover Buying Team Contacts																					Measure Success										More About ABM/ABX							Tech Marketing																	Enhance Your Contact Database																					Build Awareness												"&amp;"									Generate Better Leads																					Drive In-Person Event Attendance																					Deliver Better Webinars and Virtual Events																					Convert Website Visitors																					Enable Sales &amp; Channel										More About "&amp;"Tech Marketing							Partner Marketing																	Strategy Services																					Content Services																					Demand Services																					Channel Marketing																					Partner Marketing Visionaries Community										Mo"&amp;"re About Partner Marketing			The Partner Marketing Visionaries™ Summit Explores Key Areas Within Strategic Partnerships							Watch Now							Tech Sales																	Prioritize Outreach																					Reach the Right Prospects																					"&amp;"Improve Response Rates																					Access Live Projects																					Generate Meetings &amp; Opps										More About Tech SalesView Our SolutionsProductsBackProducts							Digital Advertising																	Data-Driven Display																"&amp;"					Custom &amp; Native Web Sites																					BrightTALK Summits										Digital Advertising							Demand Gen &amp; ABM																	Priority Engine																					Lead Generation																					Custom Content																					BrightTALK"&amp;" Portfolio																					Contact Data Services										Demand Gen &amp; ABM							Sales Enablement																	Sales-Quality Leads																					Priority Engine																					Custom Content										Sales Enablement							Strategic Serv"&amp;"ices																	Research Advisory &amp; Consulting																					Custom Research &amp; Consulting																					Strategic Buyer Insights																					BrightTALK Studios Video Production										Strategic ServicesEnterprise Strategy Group:"&amp;" Go-to-market Expertise to Help You Win Watch the VideoView Our ProductsCustomersBackCase StudiesReviewsAward ProgramsResourcesBackResource LibraryBlogCompanyBackAbout TechTargetPress RoomCareersEditorialContact UsInvestor RelationsProduct DemoEditorialPr"&amp;"iority Engine LoginGlobalBackFrançaisDeutschGlobal MarketsEditorialPriority Engine LoginGlobalFrançaisDeutschGlobal Markets  Why TechTargetWhy TechTarget										Audiences																			Intent Data																			Engines of Business Outcomes						"&amp;"													Supporting Your GTM																			The TechTarget Brands									View Our CapabilitiesCloseAudiencesConnect with more active buying teams and shape the decisions they make																					Learn More																			TechTarget and Bri"&amp;"ghtTALK: The Best Audience for Your Enterprise Tech Watch the VideoCloseIntent DataA competitive advantage available only at TechTarget																					Learn More																						Making Sense of B2B Purchase Intent Data and Putting It to Use					"&amp;"		Download the E-bookCloseEngines of Business OutcomesMuch more than technology we guide you and help you to scale																					Learn More																			CloseSupporting Your GTMFrom build through execution to optimization we’re there for you			"&amp;"																		Learn More																			CloseThe TechTarget BrandsWith more tech buyers doing more pre-purchase research here than anywhere else we’ve built a better context to support your GTM objectives.																					Learn More												"&amp;"							SolutionsSolutions										Strategy &amp; GTM Expertise																			ABM/ABX																			Tech Marketing																			Partner Marketing																			Tech Sales									View Our SolutionsStrategy &amp; GTM Expertise											Improve GT"&amp;"M Strategy and Execution																					Continuously Leverage Market Experts										More About Strategy &amp; GTM ExpertiseCloseImprove GTM Strategy and ExecutionWe help you get the strategy right and then execute it better.																							Learn"&amp;" More																					Enterprise Strategy Group: Go-to-market Expertise to Help You Win Watch the VideoCloseContinuously Leverage Market ExpertsWhen you can stop guessing every action becomes more effective.																							Learn More											"&amp;"										Technology Spending Intentions and Buyer Behavior in an Uncertain Economic ClimateWatch the VideoABM/ABX											Enhance Target Account Lists																					Prioritize Target Account Lists																					Engage Target Accounts							"&amp;"														Build Up Your Own Audiences																					Uncover Buying Team Contacts																					Measure Success										More About ABM/ABXCloseEnhance Target Account ListsBeyond lookalikes we show you what's actually happening in your mark"&amp;"ets.																							Learn More																					Better ABM: Five Lessons Developer Marketing Can Teach All ABMersDownload the E-bookClosePrioritize Target Account ListsHealthier pipelines come fastest from jumping on the demand that’s active now"&amp;".																							Learn More																					ABM Success Is Driven by PeopleDownload the E-bookCloseEngage Target AccountsBetter ways to be present and relevant to the people that matter.																							Learn More																					A Sh"&amp;"ort End-to-End Guide to ABM EngagementDownload the E-bookCloseBuild Up Your Own AudiencesUnique content channels that help you achieve long-term scalable yields from your target accounts																							Learn More																					CloseUncover Bu"&amp;"ying Team ContactsPractical de-anonymization for marketing and sales.																							Learn More																					3 C's for Understanding Real Intent Data: Context Content and Contacts Download the E-bookCloseMeasure SuccessTrack alignment progre"&amp;"ss and opportunity.																							Learn More																					Capitalizing on ABM Engagement: Measure Right then OptimizePlay the webinarTech Marketing											Enhance Your Contact Database																					Build Awareness																	"&amp;"				Generate Better Leads																					Drive In-Person Event Attendance																					Deliver Better Webinars and Virtual Events																					Convert Website Visitors																					Enable Sales &amp; Channel										More About Tech "&amp;"MarketingCloseEnhance Your Contact DatabaseCleanse and append as needed.																							Learn More																					The Right Contacts Clean and CompleteDownload the Product SheetCloseBuild AwarenessBe in front of the best audience hyper-targete"&amp;"d and hyper-efficient.																							Learn More																					Tap into the Power of Brand AdvertisingDownload the E-bookCloseGenerate Better LeadsQuality comes from the right audience in the right context.																							Learn More			"&amp;"																		The Modern Demand Gen Engine: Everything You Need to Know to SucceedDownload the E-bookCloseDrive In-Person Event AttendanceEvents pay off when you get more of the right people to attend.																							Learn More																	"&amp;"				Using Intent Data to Improve Event MarketingDownload the E-bookCloseDeliver Better Webinars and Virtual EventsPresence and relevance where more buyers want you to be.																							Learn More																					Flip the Switch on Virtual Even"&amp;"ts Download the E-bookCloseConvert Website VisitorsWe illuminate the engaged web visitors that remain anonymous to you so can convert more of them.																							Learn More																					Convert More Web Visits to Leads with Priority Engine™"&amp;" Inbound ConverterDownload the InfographicCloseEnable Sales &amp; ChannelBecause many Sales and Partner organizations require more.																							Learn More																								Accelerate Your Pipeline with High-Quality Leads and Confirmed Projects"&amp;"™							Download the Product SheetPartner Marketing											Strategy Services																					Content Services																					Demand Services																					Channel Marketing																					Partner Marketing Visionaries Community					"&amp;"					More About Partner MarketingCloseStrategy ServicesExpert guidance to inform joint GTM strategy and messaging																							Learn More																					Marketing with and through Partners: The Power of Co-MarketingPlay the WebinarCloseConte"&amp;"nt ServicesCompelling joint content for every stage of the buyer’s journey																							Learn More																					Developing and Activating Your Content Strategy With and Through Partners Play the WebinarCloseDemand ServicesAccess and influe"&amp;"nce active buyers to drive partner pipeline																							Learn More																								Guiding the IT Buying Journey: Strategies for Partner Marketing							Play the WebinarCloseChannel MarketingRecruit and enable channel partners to grow you"&amp;"r ecosystem																							Learn More																					Achieving Channel Growth by Recruiting Influential MSPsDownload the E-bookClosePartner Marketing Visionaries CommunityInsights and best practices from the top Partner Marketers in B2B tech		"&amp;"																					Learn More																								The Partner Marketing Visionaries™ Summit Explores Key Areas Within Strategic Partnerships							Watch NowTech Sales											Prioritize Outreach																					Reach the Right Prospects								"&amp;"													Improve Response Rates																					Access Live Projects																					Generate Meetings &amp; Opps										More About Tech SalesClosePrioritize OutreachYour direct route to productivity improvement.																							Learn More"&amp;"																					How Does Your Sales Development Program Measure Up?Download the E-bookCloseReach the Right ProspectsOptimize effort for higher total returns.																							Learn More																					Is Bad Outreach Killing Your Business?D"&amp;"ownload the InfographicCloseImprove Response RatesMaximize conversion by being relevant.																							Learn More																								Frightening Realities: Improve SDR Impact							Download the E-bookCloseAccess Live ProjectsPenetrate solution"&amp;" projects you can't otherwise see.																							Learn More																					Accelerate Pipeline with TechTarget’s Confirmed Projects™Download the Product SheetCloseGenerate Meetings &amp; OppsOutreach that's on-point for real buyers.														"&amp;"									Learn More																					Inside Sales: It's Time to Bury Your Cold Contact List Download the E-bookProductsProducts										Digital Advertising																			Demand Gen &amp; ABM																			Sales Enablement																			Strateg"&amp;"ic Services									View Our ProductsDigital Advertising											Data-Driven Display																					Custom &amp; Native Web Sites																					BrightTALK Summits										View Our ProductsCloseData-Driven DisplayTargeted advertising solutions re"&amp;"aching the Web’s most active B2B tech buyers																							Learn More																								The Death of Third-Party Cookies: What’s Next for Intent-Based Digital Advertising?							Read the BlogCloseCustom &amp; Native Web SitesCustomized online env"&amp;"ironments for deep user engagement																							Learn More																					3 C's for Understanding Real Intent Data: Context Content and Contacts Download the E-bookCloseBrightTALK SummitsOnline sponsorable enterprise tech Summits keynoted by"&amp;" leading industry experts																							Learn More																								Webinar Series for ABM: An 8-Step Planning Framework							Download the E-bookDemand Gen &amp; ABM											Priority Engine																					Lead Generation																	"&amp;"				Custom Content																					BrightTALK Portfolio																					Contact Data Services										View Our ProductsClosePriority EngineThe industry’s most powerful Prospect-Level Intent™ data																							Learn More																		"&amp;"						Making Sense of B2B Purchase Intent Data and Putting It to Use							Download the E-bookCloseLead GenerationAI-driven contextually precise syndication leads that convert																							Learn More																					Beware of ROI Killers: Boo"&amp;"st Lead Generation With Intelligent AutomationPlay the WebinarCloseCustom ContentTrusted research-based content by experts coupled with superior production assistance engages prospects more productively across your GTM																							Learn More				"&amp;"																				What Is Great Content for Buyers and Why's It So Hard?							Download the E-bookCloseBrightTALK PortfolioFrom webinars to virtual events leverage our unrivaled B2B audience easy-to-use platform and robust services to engage professiona"&amp;"ls in the ways they prefer																							Learn More																					Build a Better Webinar: Creating a Promotion Plan Download the E-bookCloseContact Data ServicesOver 70 million high-quality U.S. contacts to enrich your database														"&amp;"									Learn More																					The Right Contacts Clean and CompleteDownload the Product SheetSales Enablement											Sales-Quality Leads																					Priority Engine																					Custom Content										View Our ProductsCloseSal"&amp;"es-Quality LeadsVerified active deal reports detailing confirmed tech-project plans																							Learn More																								Accelerate Your Pipeline with High-Quality Leads and Confirmed Projects™							Download the Product SheetClosePrior"&amp;"ity EngineThe industry’s most powerful Prospect-Level Intent™ data																							Learn More																								Making Sense of B2B Purchase Intent Data and Putting It to Use							Download the E-bookCloseCustom ContentTrusted research-based co"&amp;"ntent by experts coupled with superior production assistance engages prospects more productively across your GTM																							Learn More																								What Is Great Content for Buyers and Why's It So Hard?							Download the E-bookStrate"&amp;"gic Services											Research Advisory &amp; Consulting																					Custom Research &amp; Consulting																					Strategic Buyer Insights																					BrightTALK Studios Video Production										View Our ProductsCloseResearch Advisory &amp; "&amp;"ConsultingExpert guidance for strategic planning product development messaging ideation and positioning to improve GTM execution																							Learn More																					Enterprise Strategy Group: Go-to-market Expertise to Help You Win Watch t"&amp;"he VideoCloseCustom Research &amp; ConsultingCompetitive analysis partner program optimization and other custom services that deliver client-specific insights to increase GTM opportunities																							Learn More																					Enterprise Strate"&amp;"gy Group: Go-to-market Expertise to Help You Win Watch the VideoCloseStrategic Buyer InsightsCustomized reports combining buyer intent data market trends and research to guide your GTM																							Learn More																								What Is Great "&amp;"Content for Buyers and Why's It So Hard?							Download the E-bookCloseBrightTALK Studios Video ProductionFull-service video production and management to ensure your brand stands out																							Learn More																					CustomersCase Studi"&amp;"esReviewsAward ProgramsResourcesResource LibraryBlogCompanyAbout TechTargetPress RoomCareersEditorialContact UsInvestor Relations 								Product Demo							 ✕More Go for Your Go-to-MarketThe right insights. The right actions. Fuel and precision tuning fo"&amp;"r every part of your engine.✕More Go for Your Go-to-MarketThe right insights. The right actions. Fuel and precision tuning for every part of your engine.The context of modern tech businessMaximum GTM performance requires doing all the right things in exac"&amp;"tly the right context. If you aren’t where the buyers are buying you’re inefficient. On TechTarget’s network of 150+ websites and 1100+ content channels we create the modern digital buying context. That’s why more of your buyers are doing purchase researc"&amp;"h here than anywhere else. Then we provide the perfect combination of capabilities to intercept many more of them much faster.Show me the dataShow me active buyer volumes in my categoryCloser to your ICPsYou can’t do more business without engaging more of"&amp;" the right people. Because of our content publishing model even when the buyers you want aren’t on your website they are active on ours. With 30M+ opt-in tech professionals your critical targets are researching with us right now. And since they’re already"&amp;" engaging with us in a buying context it’s why we can make so many of your GTM jobs much much easier. learn moreExplore Our WebsitesHow TechTarget’s audiences align with your marketExample: Endpoint Security9600+ accounts active164100+ activities taken595"&amp;"0+ leads deliveredConnected to real buyersA cold contact supplier can only tell you who might be the right people leaving you to pound away at low-quality high-volume outreach. That’s what the intent data revolution is all about. Active prospects are doin"&amp;"g purchase research with us right now using the proprietary content we build. So we can tell you precisely who you should prioritize and what to say. We share more real buying team members in the context of more real purchases directly with you.Learn more"&amp;"150+technology websites#1in Google for B2B tech1000+full-time editors and contributors410Kindexed Google pages20+industry analysts19Mmonthly visitsSearch for active demand in your category30M+ opt-in tech prospects and growing. Priority Engine™ gives you "&amp;"direct access to the most active buyers in your space. Download full listAsk an expert#1in Intent Data forEnterpriseTechSearch (e.g. Cloud Network Storage Security)Search				TechTarget offers insight about the following market categories			﻿CATEGORY NAME "&amp;"TOTAL COMPANIES  YEARLY CATEGORY ACTIVITY  TOTAL PROSPECTS Showing 20 out of 0 matched results			We could not find any results matching that criteria.		talk to an expertSearch for active demand in your category30M+ opt-in tech prospects and growing. Prior"&amp;"ity Engine™ gives you direct access to the most active buyers in your space. Download full listAsk an expert#1in Intent Data forEnterpriseTechSearch (e.g. Cloud Network Storage Security)Search				TechTarget offers insight about the following market catego"&amp;"ries			﻿CATEGORY NAME TOTAL COMPANIES  YEARLY CATEGORY ACTIVITY  TOTAL PROSPECTS Showing 20 out of 0 matched results			We could not find any results matching that criteria.		talk to an expertConnected to real buyersScalable at speedYou want better yields "&amp;"from your plans. We’ll help you magnify them for maximum impact. From hyper-granular awareness-building advertising solutions to precision intent data and specialized lead types we energize any campaign or target account list for sales and marketing alike"&amp;". Armed with the best data in the world our platforms and full-range services can turbo-charge your programs to win.Learn moreAligned for better businessTo maximize GTM potential you need three core elements working perfectly together:You’ve got to perfec"&amp;"tly position for your ICPs.You have to optimize execution across multiple channels.And you’ve got to stay pipeline-productive even as you scale.Since weakness in one GTM area can undermine the whole we’ve built TechTarget to help you strengthen each criti"&amp;"cal function. We help your teams deliver better for each other and better for the business end-to-end.Learn moreBuilt to give you leverageTechTarget’s offerings meet every client where they are from start-ups to the world’s most sophisticated players. Tha"&amp;"t’s why more than 3000 of the best companies in every tech category look to us for the best ways to build on what they’ve already got. We can integrate our platforms into your stack or you can use them as standalones. We can build programs for you from sc"&amp;"ratch or help make what you’ve built out-perform past ROIs.learn moreWorld’s largest proprietary networkToo many tech marketing teams waste time and ad dollars scouring the web for disconnected crumbs. The internet doesn’t actually function that way! Buye"&amp;"rs go to the sites they already use or they search for the information that reputable outlets are known to supply. That’s why TechTarget’s content usually shows up right on the first page of any Google search for enterprise tech. It’s why we’ve structured"&amp;" our network to cover the solution topics that matter most. So don’t get stuck fumbling around in some AI-scraped dark funnel because we’re constantly shining a light on more business for you right now. Explore the TechTarget NetworkAI BI and Big Data + S"&amp;"how More- Show LessBrightTALK by TechTarget: Big Data and Data Management CommunityBrightTALK by TechTarget: Business Intelligence and Analytics CommunityEnterprise Strategy Group by TechTarget: Data Analytics and AI Enterprise Strategy Group by TechTarge"&amp;"t: Data Management TechTarget BI ChinaTechTarget Business AnalyticsTechTarget ComputerWeekly.comTechTarget ComputerWeekly.com.brTechTarget ComputerWeekly.deTechTarget ComputerWeekly.esTechTarget Database ChinaTechTarget Data ManagementTechTarget Data Scie"&amp;"nce CentralTechTarget Enterprise AITechTarget Information System JapanTechTarget IoT AgendaTechTarget LeMagITTechTarget Search OracleTechTarget Search SAPTechTarget SMB JapanApplication Development + Show More- Show LessBrightTALK by TechTarget: Applicati"&amp;"on Development Community BrightTALK by TechTarget: Application Management CommunityEnterprise Strategy Group by TechTarget: Application ModernizationTechTarget App ArchitectureTechTarget ComputerWeekly.comTechTarget ComputerWeekly.com.brTechTarget Compute"&amp;"rWeekly.deTechTarget ComputerWeekly.esTechTarget Develop JapanTechTarget LeMagIT TechTarget Software QualityTechTarget TheServerSideBusiness Applications + Show More- Show LessBrightTALK by TechTarget: Business Management CommunityBrightTALK by TechTarget"&amp;": Enterprise Applications CommunityBrightTALK by TechTarget: Finance CommunityBrightTALK by TechTarget: HR CommunityBrightTALK by TechTarget: Legal CommunityBrightTALK by TechTarget: Marketing CommunityBrightTALK by TechTarget: Sales CommunityTechTarget C"&amp;"omputerWeekly.comTechTarget ComputerWeekly.com.brTechTarget ComputerWeekly.deTechTarget ComputerWeekly.esTechTarget Content ManagementTechTarget Customer ExperienceTechTarget Customer Experience JapanTechTarget Database ChinaTechTarget ERPTechTarget ERP J"&amp;"apanTechTarget HR SoftwareTechTarget LeMagIT TechTarget Search OracleTechTarget Search SAPTechTarget SMB JapanCIO and IT Strategy + Show More- Show LessBrightTALK by TechTarget: IT Governance Risk and Compliance CommunityTechTarget CIOTechTarget CIO China"&amp;"TechTarget Educational IT JapanTechTarget Management and IT JapanTechTarget SMB JapanCloud Infrastructureand IT Operations+ Show More- Show LessBrightTALK by TechTarget: Cloud Computing CommunityBrightTALK by TechTarget: Help Desk and Support CommunityBri"&amp;"ghtTALK by TechTarget: IT Project Management CommunityEnterprise Strategy Group by TechTarget: InfrastructureEnterprise Strategy Group by TechTarget: OperationsTechTarget Cloud ComputingTechTarget Cloud Computing ChinaTechTarget Cloud JapanTechTarget Comp"&amp;"uterWeekly.comTechTarget ComputerWeekly.com.brTechTarget ComputerWeekly.deTechTarget ComputerWeekly.esTechTarget IT OperationsTechTarget LeMagIT TechTarget Search AWSTechTarget Systems Develop JapanTechTarget Systems Operation Management JapanCustomer Exp"&amp;"erience + Show More- Show LessBrightTALK by TechTarget: Customer Experience CommunityEnterprise Strategy Group by TechTarget: Customer ExperienceTechTarget ComputerWeekly.comTechTarget ComputerWeekly.com.brTechTarget ComputerWeekly.deTechTarget ComputerWe"&amp;"ekly.esTechTarget LeMagIT TechTarget Customer ExperienceTechTarget Customer Experience JapanData Center and Virtualization + Show More- Show LessBrightTALK by TechTarget: Data Center Management CommunityBrightTALK by TechTarget: Virtualization CommunityEn"&amp;"terprise Strategy Group by TechTarget TechTarget ComputerWeekly.comTechTarget ComputerWeekly.com.brTechTarget ComputerWeekly.deTechTarget ComputerWeekly.esTechTarget Data Analysis JapanTechTarget Data CenterTechTarget Data Center ChinaTechTarget Data Cent"&amp;"er ItalyTechTarget LeMagIT TechTarget Search VMwareTechTarget Search Windows ServerTechTarget Servers and Storage JapanTechTarget SMB JapanTechTarget Sustainability and ESGTechTarget Virtual ChinaTechTarget Virtualization JapanEnd User Computing + Show Mo"&amp;"re- Show LessBrightTALK by TechTarget: End User Computing CommunityBrightTALK by TechTarget: Mobile Computing CommunityEnterprise Strategy Group by TechTarget: End User ComputingTechTarget ComputerWeekly.comTechTarget ComputerWeekly.com.brTechTarget Compu"&amp;"terWeekly.deTechTarget ComputerWeekly.esTechTarget Enterprise DesktopTechTarget LeMagIT TechTarget Mobile ComputingTechTarget Smart Mobile JapanTechTarget Virtual ChinaTechTarget Virtual DesktopData Protection and Storage + Show More- Show LessBrightTALK "&amp;"by TechTarget: Business Continuity/Disaster Recovery CommunityBrightTALK by TechTarget: Storage CommunityEnterprise Strategy Group by TechTarget: Data ProtectionTechTarget ComputerWeekly.comTechTarget ComputerWeekly.com.brTechTarget ComputerWeekly.deTechT"&amp;"arget ComputerWeekly.esTechTarget Data BackupTechTarget Disaster RecoveryTechTarget LeMagIT TechTarget Servers and Storage JapanTechTarget SMB JapanTechTarget StorageTechTarget Storage ChinaTechTarget Virtual ChinaTechTarget Virtualization Japan Health IT"&amp;" + Show More- Show LessBrightTALK by TechTarget: Health IT CommunityTechTarget EHRIntelligenceTechTarget HealthCareExecIntelligenceTechTarget Health ITTechTarget HealthITAnalyticsTechTarget HealthITSecurityTechTarget HealthPayerIntelligenceTechTarget HITI"&amp;"nfrastructureTechTarget LifeSciencesIntelligenceTechTarget Medical IT JapanTechTarget mHealthIntelligenceTechTarget PatientEngagementHITTechTarget PharmaNewsIntelligenceTechTarget RevCycleIntelligenceTechTarget Xtelligent Healthcare Media Security + Show "&amp;"More- Show LessBrightTALK by TechTarget: IT Security CommunityEnterprise Strategy Group by TechTarget: CybersecurityTechTarget ComputerWeekly.comTechTarget ComputerWeekly.com.brTechTarget ComputerWeekly.deTechTarget ComputerWeekly.esTechTarget IoT AgendaT"&amp;"echTarget SecurityTechTarget Security ChinaTechTarget Security ItalyTechTarget Security JapanTechTarget SMB JapanNetworking + Show More- Show LessBrightTALK by TechTarget: Network Infrastructure CommunityEnterprise Strategy Group by TechTarget: Networking"&amp;"TechTarget ComputerWeekly.comTechTarget ComputerWeekly.com.brTechTarget ComputerWeekly.deTechTarget ComputerWeekly.esTechTarget IoT AgendaTechTarget LeMagIT TechTarget NetworkingTechTarget Networking ChinaTechTarget Network JapanTechTarget SMB JapanUnifie"&amp;"d Communicationsand Collaboration+ Show More- Show LessBrightTALK by TechTarget: Collaboration and UC CommunityEnterprise Strategy Group by TechTarget: UC and CollaborationTechTarget ComputerWeekly.comTechTarget ComputerWeekly.com.brTechTarget ComputerWee"&amp;"kly.deTechTarget ComputerWeekly.esTechTarget LeMagIT TechTarget Unified CommunicationsTechTarget Unified Communications JapanChannel Resources + Show More- Show LessBrightTALK by TechTarget Enterprise Strategy Group by TechTargetTechTarget IT ChannelTechT"&amp;"arget  MicroScope.co.ukTechnology Content Libraries + Show More- Show LessBrightTALK by TechTarget TechTarget Bitpipe ChinaTechTarget Bitpipe.comTechTarget Bitpipe.com.brTechTarget Bitpipe.frTechTarget de.Bitpipe.comTechTarget es.Bitpipe.comTechTarget kr."&amp;"Bitpipe.comTechTarget WhatIs3000 clients already crushing itWe build our buyer audiences for companies like yours. We see where markets are going because our publishing business depends on it. If your space is new we educate the audience. If you’re defend"&amp;"ing a legacy position we support your specific situation.View Case StudiesAI BI &amp; Big DataApplication DevelopmentBusiness ApplicationsCloud Infrastructure &amp; IT OpsData Center &amp; VirtualizationData Protection &amp; StorageDistribution/Channel PartnersEnd User C"&amp;"omputingNetworkingSecurityUC &amp; CollaborationBy company size:By company sizeSmallMidLargeIn diverse categories like AI BI &amp; Big Data more vendors turn to TechTarget because of the hyper-specificity we can provide. Leaders in cloud-native architectures low-"&amp;" and no-code platforms and more turn to TechTarget to strengthen their GTMs. CRM. CX. SCM. HCM. ERP. ECM. Whatever your acronym we capture the audiences that help more innovative business application vendors succeed. Just as Cloud &amp; DevOps go hand-in-hand"&amp;" all of the top 5 cloud application vendors and all of the top 15 hybrid cloud vendors turn to TechTarget. The top vendors winning in the Data Center &amp; Virtualization space depend on TechTarget to fuel their pipelines. As Storage technology continues to a"&amp;"dvance Storage players know that TechTarget captures their audiences. Channel players are quickly discovering there’s incredible value in real purchase intent for growing more business faster. As EUC continues to evolve more innovative companies continuou"&amp;"sly rely on TechTarget. We connect more great networking vendors to more great networking customers than anyone else. In the exploding Security space the top players turn to TechTarget. Unified Communications Collaboration and Call Center tech have never "&amp;"been more important. That’s why industry leaders use TechTarget to compete. More fast-moving disrupters choose TechTarget to outpace their competitionFor mid-sized companies TechTarget provides the right combination of actionable insights and easy-to-use "&amp;"services to scale.Audiences and insights the world's most successful tech companies depend on.Latest sales &amp; marketing thinking Visit resourcesVisit resources 									Webinars/Events								Demand GenerationHow Infinidat Drove Pipeline Through Third-Part"&amp;"y Validation 									Video								Intent DataBreak Through with Real Personalization: Priority Engine’s IntentMail AI 									Blog Post								Partner Marketing3 Steps to Make the Most of Your Partner Marketing Budget in 2024 									Webinars/Events			"&amp;"					Intent DataLast-Mile Personalization: Intent Insights and Sales Outreach				Contact Sales							Contact Sales			CompanyLeadershipCareersPress RoomContact UsInvestor RelationsPrivacy and Security Trust CenterCustomer SuccessWhy TechTargetAudiencesInte"&amp;"nt DataEngines of Business OutcomesSupporting Your GTMThe TechTarget BrandsSolutionsStrategy &amp; GTM ExpertiseABM/ABXTech MarketingPartner MarketingTech SalesProductsPriority EngineData-Driven DisplaySales-Quality LeadsLead GenerationCustom ContentResearch "&amp;"Advisory &amp; ConsultingStrategic Buyer InsightGlobalFrançaisDeutschGlobal Markets Privacy PolicyLegalDO NOT SELL OR SHARE MY PERSONAL INFORMATIONCookie PreferencesCookie Preferences© 2023 TECHTARGET")</f>
        <v>Purchase Intent Data for Enterprise Tech Sales and Marketing | TechTarget    Why TechTargetBackWhy TechTarget									Audiences																	Intent Data																	Engines of Business Outcomes																	Supporting Your GTM																	The TechTarget Brands								View Our CapabilitiesSolutionsBackSolutions							Strategy &amp; GTM Expertise																	Improve GTM Strategy and Execution																					Continuously Leverage Market Experts										More About Strategy &amp; GTM ExpertiseEnterprise Strategy Group: Go-to-market Expertise to Help You Win Watch the Video							ABM/ABX																	Enhance Target Account Lists																					Prioritize Target Account Lists																					Engage Target Accounts																					Build Up Your Own Audiences																					Uncover Buying Team Contacts																					Measure Success										More About ABM/ABX							Tech Marketing																	Enhance Your Contact Database																					Build Awareness																					Generate Better Leads																					Drive In-Person Event Attendance																					Deliver Better Webinars and Virtual Events																					Convert Website Visitors																					Enable Sales &amp; Channel										More About Tech Marketing							Partner Marketing																	Strategy Services																					Content Services																					Demand Services																					Channel Marketing																					Partner Marketing Visionaries Community										More About Partner Marketing			The Partner Marketing Visionaries™ Summit Explores Key Areas Within Strategic Partnerships							Watch Now							Tech Sales																	Prioritize Outreach																					Reach the Right Prospects																					Improve Response Rates																					Access Live Projects																					Generate Meetings &amp; Opps										More About Tech SalesView Our SolutionsProductsBackProducts							Digital Advertising																	Data-Driven Display																					Custom &amp; Native Web Sites																					BrightTALK Summits										Digital Advertising							Demand Gen &amp; ABM																	Priority Engine																					Lead Generation																					Custom Content																					BrightTALK Portfolio																					Contact Data Services										Demand Gen &amp; ABM							Sales Enablement																	Sales-Quality Leads																					Priority Engine																					Custom Content										Sales Enablement							Strategic Services																	Research Advisory &amp; Consulting																					Custom Research &amp; Consulting																					Strategic Buyer Insights																					BrightTALK Studios Video Production										Strategic ServicesEnterprise Strategy Group: Go-to-market Expertise to Help You Win Watch the VideoView Our ProductsCustomersBackCase StudiesReviewsAward ProgramsResourcesBackResource LibraryBlogCompanyBackAbout TechTargetPress RoomCareersEditorialContact UsInvestor RelationsProduct DemoEditorialPriority Engine LoginGlobalBackFrançaisDeutschGlobal MarketsEditorialPriority Engine LoginGlobalFrançaisDeutschGlobal Markets  Why TechTargetWhy TechTarget										Audiences																			Intent Data																			Engines of Business Outcomes																			Supporting Your GTM																			The TechTarget Brands									View Our CapabilitiesCloseAudiencesConnect with more active buying teams and shape the decisions they make																					Learn More																			TechTarget and BrightTALK: The Best Audience for Your Enterprise Tech Watch the VideoCloseIntent DataA competitive advantage available only at TechTarget																					Learn More																						Making Sense of B2B Purchase Intent Data and Putting It to Use							Download the E-bookCloseEngines of Business OutcomesMuch more than technology we guide you and help you to scale																					Learn More																			CloseSupporting Your GTMFrom build through execution to optimization we’re there for you																					Learn More																			CloseThe TechTarget BrandsWith more tech buyers doing more pre-purchase research here than anywhere else we’ve built a better context to support your GTM objectives.																					Learn More																			SolutionsSolutions										Strategy &amp; GTM Expertise																			ABM/ABX																			Tech Marketing																			Partner Marketing																			Tech Sales									View Our SolutionsStrategy &amp; GTM Expertise											Improve GTM Strategy and Execution																					Continuously Leverage Market Experts										More About Strategy &amp; GTM ExpertiseCloseImprove GTM Strategy and ExecutionWe help you get the strategy right and then execute it better.																							Learn More																					Enterprise Strategy Group: Go-to-market Expertise to Help You Win Watch the VideoCloseContinuously Leverage Market ExpertsWhen you can stop guessing every action becomes more effective.																							Learn More																					Technology Spending Intentions and Buyer Behavior in an Uncertain Economic ClimateWatch the VideoABM/ABX											Enhance Target Account Lists																					Prioritize Target Account Lists																					Engage Target Accounts																					Build Up Your Own Audiences																					Uncover Buying Team Contacts																					Measure Success										More About ABM/ABXCloseEnhance Target Account ListsBeyond lookalikes we show you what's actually happening in your markets.																							Learn More																					Better ABM: Five Lessons Developer Marketing Can Teach All ABMersDownload the E-bookClosePrioritize Target Account ListsHealthier pipelines come fastest from jumping on the demand that’s active now.																							Learn More																					ABM Success Is Driven by PeopleDownload the E-bookCloseEngage Target AccountsBetter ways to be present and relevant to the people that matter.																							Learn More																					A Short End-to-End Guide to ABM EngagementDownload the E-bookCloseBuild Up Your Own AudiencesUnique content channels that help you achieve long-term scalable yields from your target accounts																							Learn More																					CloseUncover Buying Team ContactsPractical de-anonymization for marketing and sales.																							Learn More																					3 C's for Understanding Real Intent Data: Context Content and Contacts Download the E-bookCloseMeasure SuccessTrack alignment progress and opportunity.																							Learn More																					Capitalizing on ABM Engagement: Measure Right then OptimizePlay the webinarTech Marketing											Enhance Your Contact Database																					Build Awareness																					Generate Better Leads																					Drive In-Person Event Attendance																					Deliver Better Webinars and Virtual Events																					Convert Website Visitors																					Enable Sales &amp; Channel										More About Tech MarketingCloseEnhance Your Contact DatabaseCleanse and append as needed.																							Learn More																					The Right Contacts Clean and CompleteDownload the Product SheetCloseBuild AwarenessBe in front of the best audience hyper-targeted and hyper-efficient.																							Learn More																					Tap into the Power of Brand AdvertisingDownload the E-bookCloseGenerate Better LeadsQuality comes from the right audience in the right context.																							Learn More																					The Modern Demand Gen Engine: Everything You Need to Know to SucceedDownload the E-bookCloseDrive In-Person Event AttendanceEvents pay off when you get more of the right people to attend.																							Learn More																					Using Intent Data to Improve Event MarketingDownload the E-bookCloseDeliver Better Webinars and Virtual EventsPresence and relevance where more buyers want you to be.																							Learn More																					Flip the Switch on Virtual Events Download the E-bookCloseConvert Website VisitorsWe illuminate the engaged web visitors that remain anonymous to you so can convert more of them.																							Learn More																					Convert More Web Visits to Leads with Priority Engine™ Inbound ConverterDownload the InfographicCloseEnable Sales &amp; ChannelBecause many Sales and Partner organizations require more.																							Learn More																								Accelerate Your Pipeline with High-Quality Leads and Confirmed Projects™							Download the Product SheetPartner Marketing											Strategy Services																					Content Services																					Demand Services																					Channel Marketing																					Partner Marketing Visionaries Community										More About Partner MarketingCloseStrategy ServicesExpert guidance to inform joint GTM strategy and messaging																							Learn More																					Marketing with and through Partners: The Power of Co-MarketingPlay the WebinarCloseContent ServicesCompelling joint content for every stage of the buyer’s journey																							Learn More																					Developing and Activating Your Content Strategy With and Through Partners Play the WebinarCloseDemand ServicesAccess and influence active buyers to drive partner pipeline																							Learn More																								Guiding the IT Buying Journey: Strategies for Partner Marketing							Play the WebinarCloseChannel MarketingRecruit and enable channel partners to grow your ecosystem																							Learn More																					Achieving Channel Growth by Recruiting Influential MSPsDownload the E-bookClosePartner Marketing Visionaries CommunityInsights and best practices from the top Partner Marketers in B2B tech																							Learn More																								The Partner Marketing Visionaries™ Summit Explores Key Areas Within Strategic Partnerships							Watch NowTech Sales											Prioritize Outreach																					Reach the Right Prospects																					Improve Response Rates																					Access Live Projects																					Generate Meetings &amp; Opps										More About Tech SalesClosePrioritize OutreachYour direct route to productivity improvement.																							Learn More																					How Does Your Sales Development Program Measure Up?Download the E-bookCloseReach the Right ProspectsOptimize effort for higher total returns.																							Learn More																					Is Bad Outreach Killing Your Business?Download the InfographicCloseImprove Response RatesMaximize conversion by being relevant.																							Learn More																								Frightening Realities: Improve SDR Impact							Download the E-bookCloseAccess Live ProjectsPenetrate solution projects you can't otherwise see.																							Learn More																					Accelerate Pipeline with TechTarget’s Confirmed Projects™Download the Product SheetCloseGenerate Meetings &amp; OppsOutreach that's on-point for real buyers.																							Learn More																					Inside Sales: It's Time to Bury Your Cold Contact List Download the E-bookProductsProducts										Digital Advertising																			Demand Gen &amp; ABM																			Sales Enablement																			Strategic Services									View Our ProductsDigital Advertising											Data-Driven Display																					Custom &amp; Native Web Sites																					BrightTALK Summits										View Our ProductsCloseData-Driven DisplayTargeted advertising solutions reaching the Web’s most active B2B tech buyers																							Learn More																								The Death of Third-Party Cookies: What’s Next for Intent-Based Digital Advertising?							Read the BlogCloseCustom &amp; Native Web SitesCustomized online environments for deep user engagement																							Learn More																					3 C's for Understanding Real Intent Data: Context Content and Contacts Download the E-bookCloseBrightTALK SummitsOnline sponsorable enterprise tech Summits keynoted by leading industry experts																							Learn More																								Webinar Series for ABM: An 8-Step Planning Framework							Download the E-bookDemand Gen &amp; ABM											Priority Engine																					Lead Generation																					Custom Content																					BrightTALK Portfolio																					Contact Data Services										View Our ProductsClosePriority EngineThe industry’s most powerful Prospect-Level Intent™ data																							Learn More																								Making Sense of B2B Purchase Intent Data and Putting It to Use							Download the E-bookCloseLead GenerationAI-driven contextually precise syndication leads that convert																							Learn More																					Beware of ROI Killers: Boost Lead Generation With Intelligent AutomationPlay the WebinarCloseCustom ContentTrusted research-based content by experts coupled with superior production assistance engages prospects more productively across your GTM																							Learn More																								What Is Great Content for Buyers and Why's It So Hard?							Download the E-bookCloseBrightTALK PortfolioFrom webinars to virtual events leverage our unrivaled B2B audience easy-to-use platform and robust services to engage professionals in the ways they prefer																							Learn More																					Build a Better Webinar: Creating a Promotion Plan Download the E-bookCloseContact Data ServicesOver 70 million high-quality U.S. contacts to enrich your database																							Learn More																					The Right Contacts Clean and CompleteDownload the Product SheetSales Enablement											Sales-Quality Leads																					Priority Engine																					Custom Content										View Our ProductsCloseSales-Quality LeadsVerified active deal reports detailing confirmed tech-project plans																							Learn More																								Accelerate Your Pipeline with High-Quality Leads and Confirmed Projects™							Download the Product SheetClosePriority EngineThe industry’s most powerful Prospect-Level Intent™ data																							Learn More																								Making Sense of B2B Purchase Intent Data and Putting It to Use							Download the E-bookCloseCustom ContentTrusted research-based content by experts coupled with superior production assistance engages prospects more productively across your GTM																							Learn More																								What Is Great Content for Buyers and Why's It So Hard?							Download the E-bookStrategic Services											Research Advisory &amp; Consulting																					Custom Research &amp; Consulting																					Strategic Buyer Insights																					BrightTALK Studios Video Production										View Our ProductsCloseResearch Advisory &amp; ConsultingExpert guidance for strategic planning product development messaging ideation and positioning to improve GTM execution																							Learn More																					Enterprise Strategy Group: Go-to-market Expertise to Help You Win Watch the VideoCloseCustom Research &amp; ConsultingCompetitive analysis partner program optimization and other custom services that deliver client-specific insights to increase GTM opportunities																							Learn More																					Enterprise Strategy Group: Go-to-market Expertise to Help You Win Watch the VideoCloseStrategic Buyer InsightsCustomized reports combining buyer intent data market trends and research to guide your GTM																							Learn More																								What Is Great Content for Buyers and Why's It So Hard?							Download the E-bookCloseBrightTALK Studios Video ProductionFull-service video production and management to ensure your brand stands out																							Learn More																					CustomersCase StudiesReviewsAward ProgramsResourcesResource LibraryBlogCompanyAbout TechTargetPress RoomCareersEditorialContact UsInvestor Relations 								Product Demo							 ✕More Go for Your Go-to-MarketThe right insights. The right actions. Fuel and precision tuning for every part of your engine.✕More Go for Your Go-to-MarketThe right insights. The right actions. Fuel and precision tuning for every part of your engine.The context of modern tech businessMaximum GTM performance requires doing all the right things in exactly the right context. If you aren’t where the buyers are buying you’re inefficient. On TechTarget’s network of 150+ websites and 1100+ content channels we create the modern digital buying context. That’s why more of your buyers are doing purchase research here than anywhere else. Then we provide the perfect combination of capabilities to intercept many more of them much faster.Show me the dataShow me active buyer volumes in my categoryCloser to your ICPsYou can’t do more business without engaging more of the right people. Because of our content publishing model even when the buyers you want aren’t on your website they are active on ours. With 30M+ opt-in tech professionals your critical targets are researching with us right now. And since they’re already engaging with us in a buying context it’s why we can make so many of your GTM jobs much much easier. learn moreExplore Our WebsitesHow TechTarget’s audiences align with your marketExample: Endpoint Security9600+ accounts active164100+ activities taken5950+ leads deliveredConnected to real buyersA cold contact supplier can only tell you who might be the right people leaving you to pound away at low-quality high-volume outreach. That’s what the intent data revolution is all about. Active prospects are doing purchase research with us right now using the proprietary content we build. So we can tell you precisely who you should prioritize and what to say. We share more real buying team members in the context of more real purchases directly with you.Learn more150+technology websites#1in Google for B2B tech1000+full-time editors and contributors410Kindexed Google pages20+industry analysts19Mmonthly visitsSearch for active demand in your category30M+ opt-in tech prospects and growing. Priority Engine™ gives you direct access to the most active buyers in your space. Download full listAsk an expert#1in Intent Data forEnterpriseTechSearch (e.g. Cloud Network Storage Security)Search				TechTarget offers insight about the following market categories			﻿CATEGORY NAME TOTAL COMPANIES  YEARLY CATEGORY ACTIVITY  TOTAL PROSPECTS Showing 20 out of 0 matched results			We could not find any results matching that criteria.		talk to an expertSearch for active demand in your category30M+ opt-in tech prospects and growing. Priority Engine™ gives you direct access to the most active buyers in your space. Download full listAsk an expert#1in Intent Data forEnterpriseTechSearch (e.g. Cloud Network Storage Security)Search				TechTarget offers insight about the following market categories			﻿CATEGORY NAME TOTAL COMPANIES  YEARLY CATEGORY ACTIVITY  TOTAL PROSPECTS Showing 20 out of 0 matched results			We could not find any results matching that criteria.		talk to an expertConnected to real buyersScalable at speedYou want better yields from your plans. We’ll help you magnify them for maximum impact. From hyper-granular awareness-building advertising solutions to precision intent data and specialized lead types we energize any campaign or target account list for sales and marketing alike. Armed with the best data in the world our platforms and full-range services can turbo-charge your programs to win.Learn moreAligned for better businessTo maximize GTM potential you need three core elements working perfectly together:You’ve got to perfectly position for your ICPs.You have to optimize execution across multiple channels.And you’ve got to stay pipeline-productive even as you scale.Since weakness in one GTM area can undermine the whole we’ve built TechTarget to help you strengthen each critical function. We help your teams deliver better for each other and better for the business end-to-end.Learn moreBuilt to give you leverageTechTarget’s offerings meet every client where they are from start-ups to the world’s most sophisticated players. That’s why more than 3000 of the best companies in every tech category look to us for the best ways to build on what they’ve already got. We can integrate our platforms into your stack or you can use them as standalones. We can build programs for you from scratch or help make what you’ve built out-perform past ROIs.learn moreWorld’s largest proprietary networkToo many tech marketing teams waste time and ad dollars scouring the web for disconnected crumbs. The internet doesn’t actually function that way! Buyers go to the sites they already use or they search for the information that reputable outlets are known to supply. That’s why TechTarget’s content usually shows up right on the first page of any Google search for enterprise tech. It’s why we’ve structured our network to cover the solution topics that matter most. So don’t get stuck fumbling around in some AI-scraped dark funnel because we’re constantly shining a light on more business for you right now. Explore the TechTarget NetworkAI BI and Big Data + Show More- Show LessBrightTALK by TechTarget: Big Data and Data Management CommunityBrightTALK by TechTarget: Business Intelligence and Analytics CommunityEnterprise Strategy Group by TechTarget: Data Analytics and AI Enterprise Strategy Group by TechTarget: Data Management TechTarget BI ChinaTechTarget Business AnalyticsTechTarget ComputerWeekly.comTechTarget ComputerWeekly.com.brTechTarget ComputerWeekly.deTechTarget ComputerWeekly.esTechTarget Database ChinaTechTarget Data ManagementTechTarget Data Science CentralTechTarget Enterprise AITechTarget Information System JapanTechTarget IoT AgendaTechTarget LeMagITTechTarget Search OracleTechTarget Search SAPTechTarget SMB JapanApplication Development + Show More- Show LessBrightTALK by TechTarget: Application Development Community BrightTALK by TechTarget: Application Management CommunityEnterprise Strategy Group by TechTarget: Application ModernizationTechTarget App ArchitectureTechTarget ComputerWeekly.comTechTarget ComputerWeekly.com.brTechTarget ComputerWeekly.deTechTarget ComputerWeekly.esTechTarget Develop JapanTechTarget LeMagIT TechTarget Software QualityTechTarget TheServerSideBusiness Applications + Show More- Show LessBrightTALK by TechTarget: Business Management CommunityBrightTALK by TechTarget: Enterprise Applications CommunityBrightTALK by TechTarget: Finance CommunityBrightTALK by TechTarget: HR CommunityBrightTALK by TechTarget: Legal CommunityBrightTALK by TechTarget: Marketing CommunityBrightTALK by TechTarget: Sales CommunityTechTarget ComputerWeekly.comTechTarget ComputerWeekly.com.brTechTarget ComputerWeekly.deTechTarget ComputerWeekly.esTechTarget Content ManagementTechTarget Customer ExperienceTechTarget Customer Experience JapanTechTarget Database ChinaTechTarget ERPTechTarget ERP JapanTechTarget HR SoftwareTechTarget LeMagIT TechTarget Search OracleTechTarget Search SAPTechTarget SMB JapanCIO and IT Strategy + Show More- Show LessBrightTALK by TechTarget: IT Governance Risk and Compliance CommunityTechTarget CIOTechTarget CIO ChinaTechTarget Educational IT JapanTechTarget Management and IT JapanTechTarget SMB JapanCloud Infrastructureand IT Operations+ Show More- Show LessBrightTALK by TechTarget: Cloud Computing CommunityBrightTALK by TechTarget: Help Desk and Support CommunityBrightTALK by TechTarget: IT Project Management CommunityEnterprise Strategy Group by TechTarget: InfrastructureEnterprise Strategy Group by TechTarget: OperationsTechTarget Cloud ComputingTechTarget Cloud Computing ChinaTechTarget Cloud JapanTechTarget ComputerWeekly.comTechTarget ComputerWeekly.com.brTechTarget ComputerWeekly.deTechTarget ComputerWeekly.esTechTarget IT OperationsTechTarget LeMagIT TechTarget Search AWSTechTarget Systems Develop JapanTechTarget Systems Operation Management JapanCustomer Experience + Show More- Show LessBrightTALK by TechTarget: Customer Experience CommunityEnterprise Strategy Group by TechTarget: Customer ExperienceTechTarget ComputerWeekly.comTechTarget ComputerWeekly.com.brTechTarget ComputerWeekly.deTechTarget ComputerWeekly.esTechTarget LeMagIT TechTarget Customer ExperienceTechTarget Customer Experience JapanData Center and Virtualization + Show More- Show LessBrightTALK by TechTarget: Data Center Management CommunityBrightTALK by TechTarget: Virtualization CommunityEnterprise Strategy Group by TechTarget TechTarget ComputerWeekly.comTechTarget ComputerWeekly.com.brTechTarget ComputerWeekly.deTechTarget ComputerWeekly.esTechTarget Data Analysis JapanTechTarget Data CenterTechTarget Data Center ChinaTechTarget Data Center ItalyTechTarget LeMagIT TechTarget Search VMwareTechTarget Search Windows ServerTechTarget Servers and Storage JapanTechTarget SMB JapanTechTarget Sustainability and ESGTechTarget Virtual ChinaTechTarget Virtualization JapanEnd User Computing + Show More- Show LessBrightTALK by TechTarget: End User Computing CommunityBrightTALK by TechTarget: Mobile Computing CommunityEnterprise Strategy Group by TechTarget: End User ComputingTechTarget ComputerWeekly.comTechTarget ComputerWeekly.com.brTechTarget ComputerWeekly.deTechTarget ComputerWeekly.esTechTarget Enterprise DesktopTechTarget LeMagIT TechTarget Mobile ComputingTechTarget Smart Mobile JapanTechTarget Virtual ChinaTechTarget Virtual DesktopData Protection and Storage + Show More- Show LessBrightTALK by TechTarget: Business Continuity/Disaster Recovery CommunityBrightTALK by TechTarget: Storage CommunityEnterprise Strategy Group by TechTarget: Data ProtectionTechTarget ComputerWeekly.comTechTarget ComputerWeekly.com.brTechTarget ComputerWeekly.deTechTarget ComputerWeekly.esTechTarget Data BackupTechTarget Disaster RecoveryTechTarget LeMagIT TechTarget Servers and Storage JapanTechTarget SMB JapanTechTarget StorageTechTarget Storage ChinaTechTarget Virtual ChinaTechTarget Virtualization Japan Health IT + Show More- Show LessBrightTALK by TechTarget: Health IT CommunityTechTarget EHRIntelligenceTechTarget HealthCareExecIntelligenceTechTarget Health ITTechTarget HealthITAnalyticsTechTarget HealthITSecurityTechTarget HealthPayerIntelligenceTechTarget HITInfrastructureTechTarget LifeSciencesIntelligenceTechTarget Medical IT JapanTechTarget mHealthIntelligenceTechTarget PatientEngagementHITTechTarget PharmaNewsIntelligenceTechTarget RevCycleIntelligenceTechTarget Xtelligent Healthcare Media Security + Show More- Show LessBrightTALK by TechTarget: IT Security CommunityEnterprise Strategy Group by TechTarget: CybersecurityTechTarget ComputerWeekly.comTechTarget ComputerWeekly.com.brTechTarget ComputerWeekly.deTechTarget ComputerWeekly.esTechTarget IoT AgendaTechTarget SecurityTechTarget Security ChinaTechTarget Security ItalyTechTarget Security JapanTechTarget SMB JapanNetworking + Show More- Show LessBrightTALK by TechTarget: Network Infrastructure CommunityEnterprise Strategy Group by TechTarget: NetworkingTechTarget ComputerWeekly.comTechTarget ComputerWeekly.com.brTechTarget ComputerWeekly.deTechTarget ComputerWeekly.esTechTarget IoT AgendaTechTarget LeMagIT TechTarget NetworkingTechTarget Networking ChinaTechTarget Network JapanTechTarget SMB JapanUnified Communicationsand Collaboration+ Show More- Show LessBrightTALK by TechTarget: Collaboration and UC CommunityEnterprise Strategy Group by TechTarget: UC and CollaborationTechTarget ComputerWeekly.comTechTarget ComputerWeekly.com.brTechTarget ComputerWeekly.deTechTarget ComputerWeekly.esTechTarget LeMagIT TechTarget Unified CommunicationsTechTarget Unified Communications JapanChannel Resources + Show More- Show LessBrightTALK by TechTarget Enterprise Strategy Group by TechTargetTechTarget IT ChannelTechTarget  MicroScope.co.ukTechnology Content Libraries + Show More- Show LessBrightTALK by TechTarget TechTarget Bitpipe ChinaTechTarget Bitpipe.comTechTarget Bitpipe.com.brTechTarget Bitpipe.frTechTarget de.Bitpipe.comTechTarget es.Bitpipe.comTechTarget kr.Bitpipe.comTechTarget WhatIs3000 clients already crushing itWe build our buyer audiences for companies like yours. We see where markets are going because our publishing business depends on it. If your space is new we educate the audience. If you’re defending a legacy position we support your specific situation.View Case StudiesAI BI &amp; Big DataApplication DevelopmentBusiness ApplicationsCloud Infrastructure &amp; IT OpsData Center &amp; VirtualizationData Protection &amp; StorageDistribution/Channel PartnersEnd User ComputingNetworkingSecurityUC &amp; CollaborationBy company size:By company sizeSmallMidLargeIn diverse categories like AI BI &amp; Big Data more vendors turn to TechTarget because of the hyper-specificity we can provide. Leaders in cloud-native architectures low- and no-code platforms and more turn to TechTarget to strengthen their GTMs. CRM. CX. SCM. HCM. ERP. ECM. Whatever your acronym we capture the audiences that help more innovative business application vendors succeed. Just as Cloud &amp; DevOps go hand-in-hand all of the top 5 cloud application vendors and all of the top 15 hybrid cloud vendors turn to TechTarget. The top vendors winning in the Data Center &amp; Virtualization space depend on TechTarget to fuel their pipelines. As Storage technology continues to advance Storage players know that TechTarget captures their audiences. Channel players are quickly discovering there’s incredible value in real purchase intent for growing more business faster. As EUC continues to evolve more innovative companies continuously rely on TechTarget. We connect more great networking vendors to more great networking customers than anyone else. In the exploding Security space the top players turn to TechTarget. Unified Communications Collaboration and Call Center tech have never been more important. That’s why industry leaders use TechTarget to compete. More fast-moving disrupters choose TechTarget to outpace their competitionFor mid-sized companies TechTarget provides the right combination of actionable insights and easy-to-use services to scale.Audiences and insights the world's most successful tech companies depend on.Latest sales &amp; marketing thinking Visit resourcesVisit resources 									Webinars/Events								Demand GenerationHow Infinidat Drove Pipeline Through Third-Party Validation 									Video								Intent DataBreak Through with Real Personalization: Priority Engine’s IntentMail AI 									Blog Post								Partner Marketing3 Steps to Make the Most of Your Partner Marketing Budget in 2024 									Webinars/Events								Intent DataLast-Mile Personalization: Intent Insights and Sales Outreach				Contact Sales							Contact Sales			CompanyLeadershipCareersPress RoomContact UsInvestor RelationsPrivacy and Security Trust CenterCustomer SuccessWhy TechTargetAudiencesIntent DataEngines of Business OutcomesSupporting Your GTMThe TechTarget BrandsSolutionsStrategy &amp; GTM ExpertiseABM/ABXTech MarketingPartner MarketingTech SalesProductsPriority EngineData-Driven DisplaySales-Quality LeadsLead GenerationCustom ContentResearch Advisory &amp; ConsultingStrategic Buyer InsightGlobalFrançaisDeutschGlobal Markets Privacy PolicyLegalDO NOT SELL OR SHARE MY PERSONAL INFORMATIONCookie PreferencesCookie Preferences© 2023 TECHTARGET</v>
      </c>
    </row>
    <row r="39">
      <c r="A39" s="1" t="s">
        <v>54</v>
      </c>
      <c r="B39" s="1" t="s">
        <v>160</v>
      </c>
      <c r="C39" s="1" t="s">
        <v>161</v>
      </c>
      <c r="D39" s="1">
        <v>8.0</v>
      </c>
      <c r="E39" s="4" t="s">
        <v>162</v>
      </c>
      <c r="F39" s="1" t="s">
        <v>43</v>
      </c>
      <c r="G39" s="1" t="s">
        <v>163</v>
      </c>
      <c r="H39" s="4" t="s">
        <v>164</v>
      </c>
      <c r="I39" s="2">
        <v>1.0</v>
      </c>
      <c r="J39" s="5" t="str">
        <f>IFERROR(__xludf.DUMMYFUNCTION("GOOGLETRANSLATE(A39)"),"chatgpt")</f>
        <v>chatgpt</v>
      </c>
      <c r="K39" s="6" t="str">
        <f>IFERROR(__xludf.DUMMYFUNCTION("GOOGLETRANSLATE(B39)"),"What is ChatGPT and why does it matter? Here's what you ...")</f>
        <v>What is ChatGPT and why does it matter? Here's what you ...</v>
      </c>
      <c r="L39" s="5" t="str">
        <f>IFERROR(__xludf.DUMMYFUNCTION("GOOGLETRANSLATE(C39)"),"15 Sept. 2023. -")</f>
        <v>15 Sept. 2023. -</v>
      </c>
      <c r="M39" s="5" t="str">
        <f>IFERROR(__xludf.DUMMYFUNCTION("GOOGLETRANSLATE(G39)"),"News and Advice on the World's Latest Innovations | ZDNET                                         /&gt;                                                                                                                                                           "&amp;"                                        X     Trending    Best early Black Friday deals: Amazon Walmart Best Buy and More Best early Black Friday Walmart deals 2023 Best early Black Friday Apple deals 2023 Best early Black Friday steaming deals 2023 Best "&amp;"early Black Friday Apple watch deals 2023 Best early Black Friday AirPod deals  Best early Black Friday Sam's Club deals 2023 Best early Black Friday TV deals 2023 Best early Black Friday headphone deals 2023 Best early Black Friday robot vacuum deals 202"&amp;"3 Best early Black Friday tablet deals 2023 Best early Black Friday Amazon deals 2023  Best laptops Best VPNs Best TVs Best Headphones Best robot vacuums ZDNET Recommends  Tech    Gaming Headphones Laptops Mobile Accessories Networking PCs  Printers Smart"&amp;"phones Smart Watches Speakers Streaming Devices Streaming Services  Tablets TVs Wearables  Kitchen &amp; Household Office Furniture Office Hardware &amp; Appliances Smart Home Smart Lighting Yard &amp; Outdoors  Innovation    Artificial Intelligence AR + VR Cloud Dig"&amp;"ital Transformation Energy  Robotics Sustainability Transportation Work Life  Accelerate your tech game Paid Content How the New Space Race Will Drive Innovation How the metaverse will change the future of work and society  Managing the Multicloud The Fut"&amp;"ure of the Internet The New Rules of Work The Tech Trends to Watch in 2023  Business    See all Business Amazon Apple Developer E-Commerce  Edge Computing Enterprise Software Executive Google Microsoft  Professional Development Social Media SMB Windows  D"&amp;"igital transformation: Trends and insights for success Software development: Emerging trends and changing roles  Security      See all Security Cyber Threats Password Manager Ransomware VPN  Cybersecurity: Let's get tactical Securing the Cloud  Advice    "&amp;"  Deals How-to Product Comparisons Product Spotlights Reviews  Buying Guides    See all Buying Guides Best all-in-one computers Best budget TVs Best gaming CPUs Best gaming laptops Best gaming PCs  Best headphones Best iPads Best iPhones Best laptops Best"&amp;" large tablets Best OLED TVs  Best robot vacuum mops Best rugged tablets Best Samsung phones Best smart rings Best smartphones Best smartwatches  Best speakers Best tablets Best travel VPNs Best TVs Best VPNs   tomorrow belongs to those who embrace it tod"&amp;"ay                 Asia                  Australia                  Europe                  India                  United Kingdom                  United States         ZDNET France ZDNET Germany ZDNET Korea ZDNET Japan        Go  Most Popular          Se"&amp;"e all Topics Finance Education Health  Special Features ZDNET In Depth ZDNET Recommends  Newsletters Videos Editorial Guidelines        Trending  Best early Black Friday deals: Amazon Walmart Best Buy and More Best early Black Friday Walmart deals 2023 Be"&amp;"st early Black Friday Apple deals 2023 Best early Black Friday steaming deals 2023 Best early Black Friday Apple watch deals 2023 Best early Black Friday AirPod deals Best early Black Friday Sam's Club deals 2023 Best early Black Friday TV deals 2023 Best"&amp;" early Black Friday headphone deals 2023 Best early Black Friday robot vacuum deals 2023 Best early Black Friday tablet deals 2023 Best early Black Friday Amazon deals 2023 Best laptops Best VPNs Best TVs Best Headphones Best robot vacuums ZDNET Recommend"&amp;"s Tech  Gaming Headphones Laptops Mobile Accessories Networking PCs Printers Smartphones Smart Watches Speakers Streaming Devices Streaming Services Tablets TVs Wearables Kitchen &amp; Household Office Furniture Office Hardware &amp; Appliances Smart Home Smart L"&amp;"ighting Yard &amp; Outdoors Innovation  Artificial Intelligence AR + VR Cloud Digital Transformation Energy Robotics Sustainability Transportation Work Life Accelerate your tech game Paid Content How the New Space Race Will Drive Innovation How the metaverse "&amp;"will change the future of work and society Managing the Multicloud The Future of the Internet The New Rules of Work The Tech Trends to Watch in 2023 Business  See all Business Amazon Apple Developer E-Commerce Edge Computing Enterprise Software Executive "&amp;"Google Microsoft Professional Development Social Media SMB Windows Digital transformation: Trends and insights for success Software development: Emerging trends and changing roles Security  See all Security Cyber Threats Password Manager Ransomware VPN Cy"&amp;"bersecurity: Let's get tactical Securing the Cloud Advice  Deals How-to Product Comparisons Product Spotlights Reviews Buying Guides  See all Buying Guides Best all-in-one computers Best budget TVs Best gaming CPUs Best gaming laptops Best gaming PCs Best"&amp;" headphones Best iPads Best iPhones Best laptops Best large tablets Best OLED TVs Best robot vacuum mops Best rugged tablets Best Samsung phones Best smart rings Best smartphones Best smartwatches Best speakers Best tablets Best travel VPNs Best TVs Best "&amp;"VPNs More  See all Topics Finance Education Health Special Features ZDNET In Depth ZDNET Recommends Newsletters Videos Editorial Guidelines  today         The 67 best early Black Friday Amazon deals 2023       9 hours ago        I did not expect this $180"&amp;" Android tablet to be as impressive as it is       13 hours ago        I tested the world's smallest smart robot vacuum and it left a big impression       14 hours ago        Vision Pro led Samsung to reboot VR headset plans. It's now targeting end of 202"&amp;"4: report       14 hours ago        You should buy Samsung's most confusing phone this year for these reasons and these reasons only       15 hours ago        The best early Black Friday deals: Amazon Best Buy Walmart and more       15 hours ago        Ge"&amp;"t these comfy stereo wireless headphones for just $25       1 day ago        The 20 best early Black Friday Dell deals available now       1 day ago        In the race to innovate with generative AI your competitive advantage isn't just speed—it's also yo"&amp;"ur data       Paid Content            AR + VR       Vision Pro led Samsung to reboot VR headset plans. It's now targeting end of 2024: report    5 essential traits that tomorrow's AI leader must have            The 36 best early Black Friday Sam's Club de"&amp;"als you can get now       1 day ago        Apple is now paying more for your used Apple Watches and iPads       1 day ago        Why Microsoft temporarily blocked ChatGPT from employees on Thursday       1 day ago        The best early Black Friday Newegg"&amp;" deals       1 day ago        The metaverse has virtually disappeared. Here's why it's generative AI's fault       1 day ago        The best early Black Friday storage and SSD deals of 2023       1 day ago        The best early Black Friday TV deals 2023 "&amp;"      1 day ago        The 15 best early Black Friday 2023 Samsung deals       1 day ago        The 17 best early Black Friday robot vacuum deals       1 day ago        Buy 1 month of Xbox Game Pass Ultimate for just $10 right now       1 day ago  Top Sto"&amp;"ries this Week       01     Humane may be launching a $699 AI-powered projector to replace your phone. That's not the craziest part June Wan       02     You can buy four of these very fine Android tablets for the price of one iPad Adrian Kingsley-Hughes "&amp;"      03     Samsung and Google reboot VR headset plans to challenge Vision Pro now targeting end of 2024: report Jason Hiner  ZDNET recommends Our editors believe in innovation that helps you succeed in work and life. They research and review so you can "&amp;"move forward today. Read our Editorial Guidelines      see all recommended              Everything you need to upgrade to a smart kitchen                      The best early Black Friday Amazon deals                      The best iPhone power banks for re"&amp;"charging                 see all recommended            The best early Black Friday security camera deals available now       1 day ago        Read more with Headway Premium on sale for $60       1 day ago        The 16 best early Black Friday 2023 headph"&amp;"ones deals       1 day ago        Samsung may debut an affordable $400 foldable phone next year and I've got questions       1 day ago        The best early Black Friday deals under $100       1 day ago        Red Hat goes to the edge       1 day ago     "&amp;"   The 14 best early Black Friday HP deals you can get now       1 day ago        The 15 best early Black Friday 2023 phone deals       1 day ago        The 20 best early Black Friday deals under $30       1 day ago            Smartphones       I found ev"&amp;"ery buying reason for Samsung's most confusing phone this year    From automated to autonomous will the real robots please stand up?            The best holiday tech gifts under $50       1 day ago        The best early Black Friday VPN deals 2023       1"&amp;" day ago        Get Windows 11 Pro for the record-low price of $25       1 day ago        Here's how to create your own custom chatbots using ChatGPT       1 day ago        The 10 best tech gifts of 2023       1 day ago        The 61 best Walmart Black Fr"&amp;"iday deals: iPads robot vacuums and more       1 day ago        The best early Black Friday iPad deals 2023       1 day ago        The best early Black Friday Apple deals 2023       1 day ago        The best early Black Friday monitor deals available now "&amp;"      1 day ago         See all latest meet the experts  Our editors believe in innovation that helps you succeed in work and life. They research and review so you can move forward today.      see all experts         see all experts           Kitchen &amp; Ho"&amp;"usehold       Everything you need to upgrade to a smart kitchen         ZDNET we equip you to harness the power of disruptive innovation at work and at home. TopicsGalleriesVideosDo Not Sell or Share My Personal Information about ZDNETMeet The TeamSitemap"&amp;"Reprint Policy Join |    Log InNewslettersSite AssistanceLicensing       © 2023 ZDNET A Red Ventures company. All rights reserved. Privacy Policy |  Cookie Settings |  Advertise |  Terms of Use")</f>
        <v>News and Advice on the World's Latest Innovations | ZDNET                                         /&gt;                                                                                                                                                                                                   X     Trending    Best early Black Friday deals: Amazon Walmart Best Buy and More Best early Black Friday Walmart deals 2023 Best early Black Friday Apple deals 2023 Best early Black Friday steaming deals 2023 Best early Black Friday Apple watch deals 2023 Best early Black Friday AirPod deals  Best early Black Friday Sam's Club deals 2023 Best early Black Friday TV deals 2023 Best early Black Friday headphone deals 2023 Best early Black Friday robot vacuum deals 2023 Best early Black Friday tablet deals 2023 Best early Black Friday Amazon deals 2023  Best laptops Best VPNs Best TVs Best Headphones Best robot vacuums ZDNET Recommends  Tech    Gaming Headphones Laptops Mobile Accessories Networking PCs  Printers Smartphones Smart Watches Speakers Streaming Devices Streaming Services  Tablets TVs Wearables  Kitchen &amp; Household Office Furniture Office Hardware &amp; Appliances Smart Home Smart Lighting Yard &amp; Outdoors  Innovation    Artificial Intelligence AR + VR Cloud Digital Transformation Energy  Robotics Sustainability Transportation Work Life  Accelerate your tech game Paid Content How the New Space Race Will Drive Innovation How the metaverse will change the future of work and society  Managing the Multicloud The Future of the Internet The New Rules of Work The Tech Trends to Watch in 2023  Business    See all Business Amazon Apple Developer E-Commerce  Edge Computing Enterprise Software Executive Google Microsoft  Professional Development Social Media SMB Windows  Digital transformation: Trends and insights for success Software development: Emerging trends and changing roles  Security      See all Security Cyber Threats Password Manager Ransomware VPN  Cybersecurity: Let's get tactical Securing the Cloud  Advice      Deals How-to Product Comparisons Product Spotlights Reviews  Buying Guides    See all Buying Guides Best all-in-one computers Best budget TVs Best gaming CPUs Best gaming laptops Best gaming PCs  Best headphones Best iPads Best iPhones Best laptops Best large tablets Best OLED TVs  Best robot vacuum mops Best rugged tablets Best Samsung phones Best smart rings Best smartphones Best smartwatches  Best speakers Best tablets Best travel VPNs Best TVs Best VPNs   tomorrow belongs to those who embrace it today                 Asia                  Australia                  Europe                  India                  United Kingdom                  United States         ZDNET France ZDNET Germany ZDNET Korea ZDNET Japan        Go  Most Popular          See all Topics Finance Education Health  Special Features ZDNET In Depth ZDNET Recommends  Newsletters Videos Editorial Guidelines        Trending  Best early Black Friday deals: Amazon Walmart Best Buy and More Best early Black Friday Walmart deals 2023 Best early Black Friday Apple deals 2023 Best early Black Friday steaming deals 2023 Best early Black Friday Apple watch deals 2023 Best early Black Friday AirPod deals Best early Black Friday Sam's Club deals 2023 Best early Black Friday TV deals 2023 Best early Black Friday headphone deals 2023 Best early Black Friday robot vacuum deals 2023 Best early Black Friday tablet deals 2023 Best early Black Friday Amazon deals 2023 Best laptops Best VPNs Best TVs Best Headphones Best robot vacuums ZDNET Recommends Tech  Gaming Headphones Laptops Mobile Accessories Networking PCs Printers Smartphones Smart Watches Speakers Streaming Devices Streaming Services Tablets TVs Wearables Kitchen &amp; Household Office Furniture Office Hardware &amp; Appliances Smart Home Smart Lighting Yard &amp; Outdoors Innovation  Artificial Intelligence AR + VR Cloud Digital Transformation Energy Robotics Sustainability Transportation Work Life Accelerate your tech game Paid Content How the New Space Race Will Drive Innovation How the metaverse will change the future of work and society Managing the Multicloud The Future of the Internet The New Rules of Work The Tech Trends to Watch in 2023 Business  See all Business Amazon Apple Developer E-Commerce Edge Computing Enterprise Software Executive Google Microsoft Professional Development Social Media SMB Windows Digital transformation: Trends and insights for success Software development: Emerging trends and changing roles Security  See all Security Cyber Threats Password Manager Ransomware VPN Cybersecurity: Let's get tactical Securing the Cloud Advice  Deals How-to Product Comparisons Product Spotlights Reviews Buying Guides  See all Buying Guides Best all-in-one computers Best budget TVs Best gaming CPUs Best gaming laptops Best gaming PCs Best headphones Best iPads Best iPhones Best laptops Best large tablets Best OLED TVs Best robot vacuum mops Best rugged tablets Best Samsung phones Best smart rings Best smartphones Best smartwatches Best speakers Best tablets Best travel VPNs Best TVs Best VPNs More  See all Topics Finance Education Health Special Features ZDNET In Depth ZDNET Recommends Newsletters Videos Editorial Guidelines  today         The 67 best early Black Friday Amazon deals 2023       9 hours ago        I did not expect this $180 Android tablet to be as impressive as it is       13 hours ago        I tested the world's smallest smart robot vacuum and it left a big impression       14 hours ago        Vision Pro led Samsung to reboot VR headset plans. It's now targeting end of 2024: report       14 hours ago        You should buy Samsung's most confusing phone this year for these reasons and these reasons only       15 hours ago        The best early Black Friday deals: Amazon Best Buy Walmart and more       15 hours ago        Get these comfy stereo wireless headphones for just $25       1 day ago        The 20 best early Black Friday Dell deals available now       1 day ago        In the race to innovate with generative AI your competitive advantage isn't just speed—it's also your data       Paid Content            AR + VR       Vision Pro led Samsung to reboot VR headset plans. It's now targeting end of 2024: report    5 essential traits that tomorrow's AI leader must have            The 36 best early Black Friday Sam's Club deals you can get now       1 day ago        Apple is now paying more for your used Apple Watches and iPads       1 day ago        Why Microsoft temporarily blocked ChatGPT from employees on Thursday       1 day ago        The best early Black Friday Newegg deals       1 day ago        The metaverse has virtually disappeared. Here's why it's generative AI's fault       1 day ago        The best early Black Friday storage and SSD deals of 2023       1 day ago        The best early Black Friday TV deals 2023       1 day ago        The 15 best early Black Friday 2023 Samsung deals       1 day ago        The 17 best early Black Friday robot vacuum deals       1 day ago        Buy 1 month of Xbox Game Pass Ultimate for just $10 right now       1 day ago  Top Stories this Week       01     Humane may be launching a $699 AI-powered projector to replace your phone. That's not the craziest part June Wan       02     You can buy four of these very fine Android tablets for the price of one iPad Adrian Kingsley-Hughes       03     Samsung and Google reboot VR headset plans to challenge Vision Pro now targeting end of 2024: report Jason Hiner  ZDNET recommends Our editors believe in innovation that helps you succeed in work and life. They research and review so you can move forward today. Read our Editorial Guidelines      see all recommended              Everything you need to upgrade to a smart kitchen                      The best early Black Friday Amazon deals                      The best iPhone power banks for recharging                 see all recommended            The best early Black Friday security camera deals available now       1 day ago        Read more with Headway Premium on sale for $60       1 day ago        The 16 best early Black Friday 2023 headphones deals       1 day ago        Samsung may debut an affordable $400 foldable phone next year and I've got questions       1 day ago        The best early Black Friday deals under $100       1 day ago        Red Hat goes to the edge       1 day ago        The 14 best early Black Friday HP deals you can get now       1 day ago        The 15 best early Black Friday 2023 phone deals       1 day ago        The 20 best early Black Friday deals under $30       1 day ago            Smartphones       I found every buying reason for Samsung's most confusing phone this year    From automated to autonomous will the real robots please stand up?            The best holiday tech gifts under $50       1 day ago        The best early Black Friday VPN deals 2023       1 day ago        Get Windows 11 Pro for the record-low price of $25       1 day ago        Here's how to create your own custom chatbots using ChatGPT       1 day ago        The 10 best tech gifts of 2023       1 day ago        The 61 best Walmart Black Friday deals: iPads robot vacuums and more       1 day ago        The best early Black Friday iPad deals 2023       1 day ago        The best early Black Friday Apple deals 2023       1 day ago        The best early Black Friday monitor deals available now       1 day ago         See all latest meet the experts  Our editors believe in innovation that helps you succeed in work and life. They research and review so you can move forward today.      see all experts         see all experts           Kitchen &amp; Household       Everything you need to upgrade to a smart kitchen         ZDNET we equip you to harness the power of disruptive innovation at work and at home. TopicsGalleriesVideosDo Not Sell or Share My Personal Information about ZDNETMeet The TeamSitemapReprint Policy Join |    Log InNewslettersSite AssistanceLicensing       © 2023 ZDNET A Red Ventures company. All rights reserved. Privacy Policy |  Cookie Settings |  Advertise |  Terms of Use</v>
      </c>
    </row>
    <row r="40">
      <c r="A40" s="1" t="s">
        <v>54</v>
      </c>
      <c r="B40" s="1" t="s">
        <v>165</v>
      </c>
      <c r="D40" s="1">
        <v>9.0</v>
      </c>
      <c r="E40" s="4" t="s">
        <v>166</v>
      </c>
      <c r="F40" s="1" t="s">
        <v>43</v>
      </c>
      <c r="G40" s="1" t="s">
        <v>167</v>
      </c>
      <c r="H40" s="4" t="s">
        <v>168</v>
      </c>
      <c r="I40" s="2">
        <v>2.0</v>
      </c>
      <c r="J40" s="5" t="str">
        <f>IFERROR(__xludf.DUMMYFUNCTION("GOOGLETRANSLATE(A40)"),"chatgpt")</f>
        <v>chatgpt</v>
      </c>
      <c r="K40" s="6" t="str">
        <f>IFERROR(__xludf.DUMMYFUNCTION("GOOGLETRANSLATE(B40)"),"ChatGPT: the latest news, controversies, and helpful tips")</f>
        <v>ChatGPT: the latest news, controversies, and helpful tips</v>
      </c>
      <c r="M40" s="5" t="str">
        <f>IFERROR(__xludf.DUMMYFUNCTION("GOOGLETRANSLATE(G40)"),"Digital Trends | Tech News Reviews Deals and How-To's Skip to main content 			Menu		ComputingMobileGamingEntertainmentAudio / VideoYouTube			Search		ComputingComputingSee All ComputingTrending TopicsLaptopsSoftwarePC GamingGraphics CardsArtificial Intelli"&amp;"genceTrending GuidesChatGPTWhat is a Chromebook?How to Choose a LaptopWindows 11 vs Windows 10Download YouTube VideosMobileMobileSee All MobileTrending Topics5GAppsiPhoneAndroidWearablesTrending GuidesWhat is 5G?How to Unlock a PhoneHow to Stop Spam Calls"&amp;"How to Use WhatsApp WebShare a Wi-Fi Password on iPhoneGamingGamingSee All GamingTrending TopicsXboxPlayStationPC GamingCloud GamingNintendo SwitchTrending GuidesWordle TodayXbox Series X vs PS5Upcoming PS5 GamesAll Cross-Platform GamesUpcoming Switch Gam"&amp;"esEntertainmentEntertainmentSee All EntertainmentTrending TopicsSci-FiActionMarvelFantasyDC ComicsTrending GuidesBest New MoviesBest New ShowsBest Shows on NetflixBest Movies on NetflixBest Shows on Disney Plus‎What to WatchBest Movies on Disney PlusBest "&amp;"Shows on Amazon PrimeBest Movies on Amazon PrimeMost Popular Movies on NetflixSee All Streaming GuidesBrowse by TypeEntertainment NewsEntertainment GuidesEntertainment FeaturesEntertainment ReviewsEntertainment DealsAudio / VideoAudio / VideoSee All Audio"&amp;" / VideoTrending TopicsTVSpeakersSoundbarsHeadphonesStreaming ServicesTrending GuidesFuboTVSling TVYouTube TVQLED vs OLEDWhat is Sonos?Smart HomeSmart HomeSee All Smart HomeTrending TopicsGoogle NestAmazon AlexaHome SecurityVideo DoorbellRobot VacuumsBrow"&amp;"se by TypeSmart Home NewsSmart Home GuidesSmart Home FeaturesSmart Home ReviewsSmart Home DealsCarsCarsSee All CarsTrending ReviewsToyota Prius Prime ReviewLexus RZ 450e ReviewMercedes EQE AMG SUV ReviewBMW XM ReviewHyundai Ioniq 6 ReviewTrending GuidesNA"&amp;"CS chargingEV tax creditsBest Level 2 EV chargersRivian R2 SUVVolvo EX90 SUVBrowse by TypeCar NewsCar GuidesCar FeaturesCar ReviewsCar DealsBest ProductsBest ProductsSee All Best ProductsBest Computing ProductsBest LaptopsBest ChromebooksBest Graphics Car"&amp;"dsBest Gaming LaptopsBest Desktop ComputerBest Mobile ProductsBest PhonesBest TabletsBest SmartwatchesBest Fitness TrackersBest Samsung PhonesBest Audio / Video ProductsBest TVsBest SpeakersBest ProjectorsBest SoundbarsBest HeadphonesBest Video GamesBest "&amp;"Mac GamesBest PS5 GamesBest Games on PS PlusBest Xbox Series X GamesBest Nintendo Switch GamesBlack Friday DealsBlack Friday DealsBest Black Friday DealsComputingBlack Friday Laptop DealsBlack Friday Gaming Laptop DealsRetailersDell Black Friday DealsWalm"&amp;"art Black Friday DealsReviewsReviewsSee All ReviewsComputing ReviewsMac ReviewsPrinter ReviewsLaptop ReviewsMonitor ReviewsDesktop ReviewsMobile ReviewsPhone ReviewsTablet ReviewsSmartwatch ReviewsFitness Tracker ReviewsiPhone and iPad ReviewsAudio / Vide"&amp;"o ReviewsTV ReviewsSpeaker ReviewsSoundbar ReviewsHeadphone ReviewsMedia Streamer ReviewsMore ReviewsGame ReviewsMovie and TV Show ReviewsSmart Home ReviewsPower Station ReviewseBike ReviewsNewsMoreMoreBrandsDellAppleGoogleSamsungMicrosoftDealsTV DealsPho"&amp;"ne DealsLaptop DealsGaming PC DealsSee All Tech DealsOriginal SeriesReSpecLife on MarsGenius HomeTech for ChangeSee All Original SeriesMore TopicsSpaceOutdoorsPortable Power StationsVersusBusinessSee All TopicsYouTube Trending:Windows 12Nintendo Switch 2G"&amp;"TA 5 CheatsGoogle Pixel 8 Pro ReviewBose QuietComfort Ultra Headphones ReviewGoogle Pixel Watch 2 ReviewDisney+ Free TrialBest Mouse for MacBest Mac AppsGoogle Pixel 8 ReviewiPhone 15 Review  JBL PartyBox Ultimate speaker review: there’s no party it can’t"&amp;" power					The JBL PartyBox Ultimate is the company's biggest and loudest party speaker yet but its sound is remarkably clean and its Wi-Fi connectivity gives it an edge.				Audio / VideoDerek Malcolm The HP Omen 16 is an unfortunate pricing mishapComputi"&amp;"ngJacob Roach8 hours agoComputingJacob Roach8 hours ago I figured out how to protect my iPhone without an ugly caseMobileAndy Boxall9 hours agoMobileAndy Boxall9 hours agoUSC Trojans vs. Oregon Ducks live stream: watch college football for freeEntertainme"&amp;"ntDan Girolamo9 minutes agoNetflix subscribers are getting one of the decade’s best gamesGamingGeorge Yang5 hours agoWhat channel is the UFC fight on today? Watch UFC 295 liveEntertainmentNoah McGraw7 hours ago3 underrated shows on Netflix you need to wat"&amp;"ch in NovemberEntertainmentDan Girolamo8 hours agoThe 10 most popular shows on Max right nowEntertainmentBlair Marnell8 hours agoChristmas and holiday program guide 2023: Movies and shows to watchEntertainmentDan Girolamo9 hours agoTesla Model S vs. Porsc"&amp;"he Taycan: turning heads and snapping necksCarsChristian de Looper9 hours ago What went wrong with The Marvels? 5 reasons why the MCU is in troubleEntertainmentBlair Marnell9 hours agoEntertainmentBlair Marnell9 hours ago Dream Scenario review: a one-note"&amp;" nightmare comedyEntertainmentAlex Welch14 hours agoEntertainmentAlex Welch14 hours ago				Original Series			      Best new movies to stream on Netflix Hulu Prime Video Max (HBO) and more						The best new movies to stream this week include David Fincher'"&amp;"s The Killer on Netflix and The League and Fool's Paradise on Hulu.					EntertainmentNick Perry10 hours ago The best MCU sequels ranked						While The Marvels isn't one of them the MCU has produced many great sequels over the years. DT ranks the 10 best M"&amp;"arvel sequels ever.					EntertainmentAnthony Orlando10 hours ago Here’s more proof that Apple is wrong about MacBook memory						Some new testing has been published that calls into question Apple's defense of the amount of memory it puts in its high-end M"&amp;"acBook Pro.					ComputingLuke Larsen10 hours ago iOS 17: How to add a different home screen wallpaper on your iPhone						With iOS 17 you can customize your iPhone lock screen like never before and it's also still really easy to select a unique home scree"&amp;"n wallpaper.					MobileJesse Hollington11 hours ago JLab jumps into hi-res and Bluetooth LE audio with $200 Epic Lab Edition earbudsSponsored						JLab's latest wireless earbuds promise its best audio quality yet with hi-res support and compatibility with"&amp;" Bluetooth LE Audio.					Presented by What time is the UFC fight tonight? Full UFC 295 schedule						 Jiří Procházka and Alex Pereira face off in a light heavyweight match this weekend. Here's the full schedule.					EntertainmentNoah McGraw12 hours ago 5 "&amp;"movies to watch if you liked The Marvels						Did you enjoy the latest MCU movie The Marvels with Brie Larson and are looking for more like it? Then these five movies should be on your list to watch.					EntertainmentJoe Allen12 hours ago How to remove a "&amp;"language on Duolingo						Duolingo offers over 30 languages you can learn. When you want to remove a language from your account here's how to do it for both iPhone and Android. 					MobileBryan M. Wolfe13 hours ago 7 best cosmic Marvel characters ever ran"&amp;"ked						There are more heroes in space than The Marvels. Let's dive into the seven best cosmic Marvel characters most of whom aren't in the MCU!					EntertainmentBlair Marnell14 hours ago All of David Fincher’s movies ranked from worst to best						From "&amp;"The Social Network and Gone Girl to Fight Club and Seven here are all of David Fincher's movies ranked from worst to best.					EntertainmentAlex Welch15 hours ago The best Samsung Galaxy S23 Plus cases: 21 you can’t ignore						The Galaxy S23 Plus is a gr"&amp;"eat phone with a big screen and battery — and it's one you should put in a case. Here are the best S23 Plus cases you can buy!					MobileJesse Hollington15 hours ago Call of Duty: Modern Warfare 3 review: little to play and nothing to say						Call of Dut"&amp;"y: Modern Warfare 3 is a pretty game but its bland campaign atrocious UI and irritating multiplayer quirks leave a sour taste in the mouth.					GamingBilly Givens16 hours ago The case for XR at work isn’t going away just yet						VR/XR might finally take "&amp;"off with the help of the enterprise space with many everyday people getting their first taste of virtual reality at work. 					ComputingFionna Agomuoh16 hours ago Michigan Wolverines vs. Penn State Nittany Lions live stream: watch college football for fre"&amp;"e						Michigan and Penn State clash in Happy Valley with huge Big Ten implications on the line. Find out how to watch college football with a free live stream.					EntertainmentDan Girolamo18 hours ago Los Angeles Clippers vs. Dallas Mavericks live strea"&amp;"m: watch the NBA for free						Find out how to watch a free live stream of Friday night's NBA In-Season Tournament game between the Los Angeles Clippers and Dallas Mavericks. 					EntertainmentDan Girolamo1 day ago Arizona Wildcats vs. Duke Blue Devils li"&amp;"ve stream: watch college basketball for free						College basketball fans are in for an early season treat when the Arizona Wildcats play the Duke Blue Devils. Find out how to watch a live stream. 					EntertainmentDan Girolamo1 day ago 4 easy ways to tak"&amp;"e a screenshot on a Windows PC						Taking screenshots on a PC is easier than you think and is an important computing task to know. Here's how to take a screenshot on a PC in a few quick steps.					ComputingAnita George1 day ago Steam Deck OLED vs. Steam "&amp;"Deck: Which should you buy?						The Stem Deck OLED is a mild iteration on the original Steam Deck but is it worth buying? Here's how the Steam Deck OLED and Steam Deck LCD stack up.					ComputingJon Martindale1 day ago 3 underrated shows on Max you need "&amp;"to watch in November						You may have missed a few great TV series during their original runs but these three underrated shows on Max will have you coming back for more.					EntertainmentBlair Marnell1 day ago The iPhone’s futuristic satellite tech isn’t"&amp;" coming to Android any time soon						Qualcomm has killed an ambitious project that sought to bring Apple-like satellite connectivity feature to Android phones but there's still some hope.					MobileNadeem Sarwar1 day ago The best holiday smart lights				"&amp;"		Smart holiday lights use an app on your phone or voice assistant to turn them on change colors or even put on a light show. These are the best options.					Smart HomeTyler Lacoma1 day ago The Marvels: Is it the worst MCU movie ever?						The MCU was onc"&amp;"e untouchable but with The Marvels the studio is at its lowest point. But is it truly awful or are there other Marvel movies that are worse?					EntertainmentDavid Caballero1 day ago ESPN+: Live sports and more you can’t get anywhere else						ESPN Plus o"&amp;"ffers so much more than the mainstream sports and shows on the cable network. Here's everything you need to know about the streaming service.					EntertainmentNick Perry1 day ago1234567 Next Latest Reviews JBL PartyBox Ultimate speaker review: there's no "&amp;"party it can't power8 hours ago The HP Omen 16 is an unfortunate pricing mishap8 hours ago Dream Scenario review: a one-note nightmare comedy14 hours ago Call of Duty: Modern Warfare 3 review: little to play and nothing to say16 hours ago This basic Broth"&amp;"er printer is a fast fix for home office needs1 day ago The Marvels review: the MCU’s shortest film is its biggest mess1 day ago The Killer review: David Fincher stylishly roasts himself1 day ago Lenovo Legion Go review: portable PC takes the right ideas "&amp;"from Nintendo Switch2 days agoMore Reviews DEALS The best projector Black Friday deals from only $70Audio / Video5 hours ago Shark Black Friday sale: Save on vacuums air purifiers and moreSmart Home6 hours ago The best gaming keyboard Black Friday deals o"&amp;"n Logitech and moreComputing6 hours ago There’s a Black Friday deal on Dyson’s Zone purifying headphonesAudio / Video7 hours ago The best Dyson cordless vacuum Black Friday deals available nowSmart Home7 hours ago The best gaming laptop deals in Best Buy'"&amp;"s Black Friday saleComputing7 hours ago The best gaming chair Black Friday deals you can shop nowGaming7 hours ago The best OLED TV Black Friday deals from Samsung Sony and LGAudio / Video7 hours agoMore DealsRECENT HOW TO`S iOS 17: How to add a different"&amp;" home screen wallpaper on your iPhoneMobile11 hours ago How to remove a language on DuolingoMobile13 hours ago 4 easy ways to take a screenshot on a Windows PCComputing1 day ago The best perks in Modern Warfare 3Gaming1 day ago These are the 6 biggest Goo"&amp;"gle Pixel 8 problems (and how to fix them)Mobile1 day ago How to add and use desktop widgets in macOS SonomaComputing2 days ago How to find your BitLocker recovery keyComputing3 days ago How to turn keyboard lighting on and offComputing3 days agoMore How "&amp;"To`sWHAT TO STREAM The 50 best movies on Netflix right now (November 2023)Entertainment1 day ago The best movies on Disney+ right now (November 2023)Entertainment2 days ago The best movies on Amazon Prime Video (November 2023)Entertainment1 day ago The be"&amp;"st movies on Hulu right now (October 2023)EntertainmentOctober 11Stream MoreUpgrade your lifestyleDigital Trends helps readers keep tabs on the fast-paced world of tech with all the latest news fun product reviews insightful editorials and one-of-a-kind s"&amp;"neak peeks.FacebookInstagramTwitterYouTubePinterestLinkedInTikTokMobileComputingGamingAudio / VideoSmart HomeEntertainmentAutomotiveSpaceStreaming GuidesOriginal ShowsDownloadsHow-ToAbout UsContact UsEditorial GuidelinesLogo &amp; Accolade LicensingSubscribe "&amp;"to our NewsletterSponsored ContentDigital Trends WallpapersDigital Trends in Spanish  PortlandNew YorkChicagoDetroitLos AngelesTorontoCareers Advertise With Us Work With Us Diversity &amp; Inclusion Terms of Use Privacy Policy Do Not Sell or Share My Informat"&amp;"ion Manage cookie preferences Press Room Sitemap Digital Trends Media Group may earn a commission when you buy through links on our sites.©2023 Digital Trends Media Group a Designtechnica Company. All rights reserved.")</f>
        <v>Digital Trends | Tech News Reviews Deals and How-To's Skip to main content 			Menu		ComputingMobileGamingEntertainmentAudio / VideoYouTube			Search		ComputingComputingSee All ComputingTrending TopicsLaptopsSoftwarePC GamingGraphics CardsArtificial IntelligenceTrending GuidesChatGPTWhat is a Chromebook?How to Choose a LaptopWindows 11 vs Windows 10Download YouTube VideosMobileMobileSee All MobileTrending Topics5GAppsiPhoneAndroidWearablesTrending GuidesWhat is 5G?How to Unlock a PhoneHow to Stop Spam CallsHow to Use WhatsApp WebShare a Wi-Fi Password on iPhoneGamingGamingSee All GamingTrending TopicsXboxPlayStationPC GamingCloud GamingNintendo SwitchTrending GuidesWordle TodayXbox Series X vs PS5Upcoming PS5 GamesAll Cross-Platform GamesUpcoming Switch GamesEntertainmentEntertainmentSee All EntertainmentTrending TopicsSci-FiActionMarvelFantasyDC ComicsTrending GuidesBest New MoviesBest New ShowsBest Shows on NetflixBest Movies on NetflixBest Shows on Disney Plus‎What to WatchBest Movies on Disney PlusBest Shows on Amazon PrimeBest Movies on Amazon PrimeMost Popular Movies on NetflixSee All Streaming GuidesBrowse by TypeEntertainment NewsEntertainment GuidesEntertainment FeaturesEntertainment ReviewsEntertainment DealsAudio / VideoAudio / VideoSee All Audio / VideoTrending TopicsTVSpeakersSoundbarsHeadphonesStreaming ServicesTrending GuidesFuboTVSling TVYouTube TVQLED vs OLEDWhat is Sonos?Smart HomeSmart HomeSee All Smart HomeTrending TopicsGoogle NestAmazon AlexaHome SecurityVideo DoorbellRobot VacuumsBrowse by TypeSmart Home NewsSmart Home GuidesSmart Home FeaturesSmart Home ReviewsSmart Home DealsCarsCarsSee All CarsTrending ReviewsToyota Prius Prime ReviewLexus RZ 450e ReviewMercedes EQE AMG SUV ReviewBMW XM ReviewHyundai Ioniq 6 ReviewTrending GuidesNACS chargingEV tax creditsBest Level 2 EV chargersRivian R2 SUVVolvo EX90 SUVBrowse by TypeCar NewsCar GuidesCar FeaturesCar ReviewsCar DealsBest ProductsBest ProductsSee All Best ProductsBest Computing ProductsBest LaptopsBest ChromebooksBest Graphics CardsBest Gaming LaptopsBest Desktop ComputerBest Mobile ProductsBest PhonesBest TabletsBest SmartwatchesBest Fitness TrackersBest Samsung PhonesBest Audio / Video ProductsBest TVsBest SpeakersBest ProjectorsBest SoundbarsBest HeadphonesBest Video GamesBest Mac GamesBest PS5 GamesBest Games on PS PlusBest Xbox Series X GamesBest Nintendo Switch GamesBlack Friday DealsBlack Friday DealsBest Black Friday DealsComputingBlack Friday Laptop DealsBlack Friday Gaming Laptop DealsRetailersDell Black Friday DealsWalmart Black Friday DealsReviewsReviewsSee All ReviewsComputing ReviewsMac ReviewsPrinter ReviewsLaptop ReviewsMonitor ReviewsDesktop ReviewsMobile ReviewsPhone ReviewsTablet ReviewsSmartwatch ReviewsFitness Tracker ReviewsiPhone and iPad ReviewsAudio / Video ReviewsTV ReviewsSpeaker ReviewsSoundbar ReviewsHeadphone ReviewsMedia Streamer ReviewsMore ReviewsGame ReviewsMovie and TV Show ReviewsSmart Home ReviewsPower Station ReviewseBike ReviewsNewsMoreMoreBrandsDellAppleGoogleSamsungMicrosoftDealsTV DealsPhone DealsLaptop DealsGaming PC DealsSee All Tech DealsOriginal SeriesReSpecLife on MarsGenius HomeTech for ChangeSee All Original SeriesMore TopicsSpaceOutdoorsPortable Power StationsVersusBusinessSee All TopicsYouTube Trending:Windows 12Nintendo Switch 2GTA 5 CheatsGoogle Pixel 8 Pro ReviewBose QuietComfort Ultra Headphones ReviewGoogle Pixel Watch 2 ReviewDisney+ Free TrialBest Mouse for MacBest Mac AppsGoogle Pixel 8 ReviewiPhone 15 Review  JBL PartyBox Ultimate speaker review: there’s no party it can’t power					The JBL PartyBox Ultimate is the company's biggest and loudest party speaker yet but its sound is remarkably clean and its Wi-Fi connectivity gives it an edge.				Audio / VideoDerek Malcolm The HP Omen 16 is an unfortunate pricing mishapComputingJacob Roach8 hours agoComputingJacob Roach8 hours ago I figured out how to protect my iPhone without an ugly caseMobileAndy Boxall9 hours agoMobileAndy Boxall9 hours agoUSC Trojans vs. Oregon Ducks live stream: watch college football for freeEntertainmentDan Girolamo9 minutes agoNetflix subscribers are getting one of the decade’s best gamesGamingGeorge Yang5 hours agoWhat channel is the UFC fight on today? Watch UFC 295 liveEntertainmentNoah McGraw7 hours ago3 underrated shows on Netflix you need to watch in NovemberEntertainmentDan Girolamo8 hours agoThe 10 most popular shows on Max right nowEntertainmentBlair Marnell8 hours agoChristmas and holiday program guide 2023: Movies and shows to watchEntertainmentDan Girolamo9 hours agoTesla Model S vs. Porsche Taycan: turning heads and snapping necksCarsChristian de Looper9 hours ago What went wrong with The Marvels? 5 reasons why the MCU is in troubleEntertainmentBlair Marnell9 hours agoEntertainmentBlair Marnell9 hours ago Dream Scenario review: a one-note nightmare comedyEntertainmentAlex Welch14 hours agoEntertainmentAlex Welch14 hours ago				Original Series			      Best new movies to stream on Netflix Hulu Prime Video Max (HBO) and more						The best new movies to stream this week include David Fincher's The Killer on Netflix and The League and Fool's Paradise on Hulu.					EntertainmentNick Perry10 hours ago The best MCU sequels ranked						While The Marvels isn't one of them the MCU has produced many great sequels over the years. DT ranks the 10 best Marvel sequels ever.					EntertainmentAnthony Orlando10 hours ago Here’s more proof that Apple is wrong about MacBook memory						Some new testing has been published that calls into question Apple's defense of the amount of memory it puts in its high-end MacBook Pro.					ComputingLuke Larsen10 hours ago iOS 17: How to add a different home screen wallpaper on your iPhone						With iOS 17 you can customize your iPhone lock screen like never before and it's also still really easy to select a unique home screen wallpaper.					MobileJesse Hollington11 hours ago JLab jumps into hi-res and Bluetooth LE audio with $200 Epic Lab Edition earbudsSponsored						JLab's latest wireless earbuds promise its best audio quality yet with hi-res support and compatibility with Bluetooth LE Audio.					Presented by What time is the UFC fight tonight? Full UFC 295 schedule						 Jiří Procházka and Alex Pereira face off in a light heavyweight match this weekend. Here's the full schedule.					EntertainmentNoah McGraw12 hours ago 5 movies to watch if you liked The Marvels						Did you enjoy the latest MCU movie The Marvels with Brie Larson and are looking for more like it? Then these five movies should be on your list to watch.					EntertainmentJoe Allen12 hours ago How to remove a language on Duolingo						Duolingo offers over 30 languages you can learn. When you want to remove a language from your account here's how to do it for both iPhone and Android. 					MobileBryan M. Wolfe13 hours ago 7 best cosmic Marvel characters ever ranked						There are more heroes in space than The Marvels. Let's dive into the seven best cosmic Marvel characters most of whom aren't in the MCU!					EntertainmentBlair Marnell14 hours ago All of David Fincher’s movies ranked from worst to best						From The Social Network and Gone Girl to Fight Club and Seven here are all of David Fincher's movies ranked from worst to best.					EntertainmentAlex Welch15 hours ago The best Samsung Galaxy S23 Plus cases: 21 you can’t ignore						The Galaxy S23 Plus is a great phone with a big screen and battery — and it's one you should put in a case. Here are the best S23 Plus cases you can buy!					MobileJesse Hollington15 hours ago Call of Duty: Modern Warfare 3 review: little to play and nothing to say						Call of Duty: Modern Warfare 3 is a pretty game but its bland campaign atrocious UI and irritating multiplayer quirks leave a sour taste in the mouth.					GamingBilly Givens16 hours ago The case for XR at work isn’t going away just yet						VR/XR might finally take off with the help of the enterprise space with many everyday people getting their first taste of virtual reality at work. 					ComputingFionna Agomuoh16 hours ago Michigan Wolverines vs. Penn State Nittany Lions live stream: watch college football for free						Michigan and Penn State clash in Happy Valley with huge Big Ten implications on the line. Find out how to watch college football with a free live stream.					EntertainmentDan Girolamo18 hours ago Los Angeles Clippers vs. Dallas Mavericks live stream: watch the NBA for free						Find out how to watch a free live stream of Friday night's NBA In-Season Tournament game between the Los Angeles Clippers and Dallas Mavericks. 					EntertainmentDan Girolamo1 day ago Arizona Wildcats vs. Duke Blue Devils live stream: watch college basketball for free						College basketball fans are in for an early season treat when the Arizona Wildcats play the Duke Blue Devils. Find out how to watch a live stream. 					EntertainmentDan Girolamo1 day ago 4 easy ways to take a screenshot on a Windows PC						Taking screenshots on a PC is easier than you think and is an important computing task to know. Here's how to take a screenshot on a PC in a few quick steps.					ComputingAnita George1 day ago Steam Deck OLED vs. Steam Deck: Which should you buy?						The Stem Deck OLED is a mild iteration on the original Steam Deck but is it worth buying? Here's how the Steam Deck OLED and Steam Deck LCD stack up.					ComputingJon Martindale1 day ago 3 underrated shows on Max you need to watch in November						You may have missed a few great TV series during their original runs but these three underrated shows on Max will have you coming back for more.					EntertainmentBlair Marnell1 day ago The iPhone’s futuristic satellite tech isn’t coming to Android any time soon						Qualcomm has killed an ambitious project that sought to bring Apple-like satellite connectivity feature to Android phones but there's still some hope.					MobileNadeem Sarwar1 day ago The best holiday smart lights						Smart holiday lights use an app on your phone or voice assistant to turn them on change colors or even put on a light show. These are the best options.					Smart HomeTyler Lacoma1 day ago The Marvels: Is it the worst MCU movie ever?						The MCU was once untouchable but with The Marvels the studio is at its lowest point. But is it truly awful or are there other Marvel movies that are worse?					EntertainmentDavid Caballero1 day ago ESPN+: Live sports and more you can’t get anywhere else						ESPN Plus offers so much more than the mainstream sports and shows on the cable network. Here's everything you need to know about the streaming service.					EntertainmentNick Perry1 day ago1234567 Next Latest Reviews JBL PartyBox Ultimate speaker review: there's no party it can't power8 hours ago The HP Omen 16 is an unfortunate pricing mishap8 hours ago Dream Scenario review: a one-note nightmare comedy14 hours ago Call of Duty: Modern Warfare 3 review: little to play and nothing to say16 hours ago This basic Brother printer is a fast fix for home office needs1 day ago The Marvels review: the MCU’s shortest film is its biggest mess1 day ago The Killer review: David Fincher stylishly roasts himself1 day ago Lenovo Legion Go review: portable PC takes the right ideas from Nintendo Switch2 days agoMore Reviews DEALS The best projector Black Friday deals from only $70Audio / Video5 hours ago Shark Black Friday sale: Save on vacuums air purifiers and moreSmart Home6 hours ago The best gaming keyboard Black Friday deals on Logitech and moreComputing6 hours ago There’s a Black Friday deal on Dyson’s Zone purifying headphonesAudio / Video7 hours ago The best Dyson cordless vacuum Black Friday deals available nowSmart Home7 hours ago The best gaming laptop deals in Best Buy's Black Friday saleComputing7 hours ago The best gaming chair Black Friday deals you can shop nowGaming7 hours ago The best OLED TV Black Friday deals from Samsung Sony and LGAudio / Video7 hours agoMore DealsRECENT HOW TO`S iOS 17: How to add a different home screen wallpaper on your iPhoneMobile11 hours ago How to remove a language on DuolingoMobile13 hours ago 4 easy ways to take a screenshot on a Windows PCComputing1 day ago The best perks in Modern Warfare 3Gaming1 day ago These are the 6 biggest Google Pixel 8 problems (and how to fix them)Mobile1 day ago How to add and use desktop widgets in macOS SonomaComputing2 days ago How to find your BitLocker recovery keyComputing3 days ago How to turn keyboard lighting on and offComputing3 days agoMore How To`sWHAT TO STREAM The 50 best movies on Netflix right now (November 2023)Entertainment1 day ago The best movies on Disney+ right now (November 2023)Entertainment2 days ago The best movies on Amazon Prime Video (November 2023)Entertainment1 day ago The best movies on Hulu right now (October 2023)EntertainmentOctober 11Stream MoreUpgrade your lifestyleDigital Trends helps readers keep tabs on the fast-paced world of tech with all the latest news fun product reviews insightful editorials and one-of-a-kind sneak peeks.FacebookInstagramTwitterYouTubePinterestLinkedInTikTokMobileComputingGamingAudio / VideoSmart HomeEntertainmentAutomotiveSpaceStreaming GuidesOriginal ShowsDownloadsHow-ToAbout UsContact UsEditorial GuidelinesLogo &amp; Accolade LicensingSubscribe to our NewsletterSponsored ContentDigital Trends WallpapersDigital Trends in Spanish  PortlandNew YorkChicagoDetroitLos AngelesTorontoCareers Advertise With Us Work With Us Diversity &amp; Inclusion Terms of Use Privacy Policy Do Not Sell or Share My Information Manage cookie preferences Press Room Sitemap Digital Trends Media Group may earn a commission when you buy through links on our sites.©2023 Digital Trends Media Group a Designtechnica Company. All rights reserved.</v>
      </c>
    </row>
    <row r="41">
      <c r="A41" s="1" t="s">
        <v>54</v>
      </c>
      <c r="B41" s="1" t="s">
        <v>169</v>
      </c>
      <c r="D41" s="1">
        <v>10.0</v>
      </c>
      <c r="E41" s="4" t="s">
        <v>170</v>
      </c>
      <c r="F41" s="1" t="s">
        <v>43</v>
      </c>
      <c r="G41" s="1" t="s">
        <v>171</v>
      </c>
      <c r="H41" s="4" t="s">
        <v>172</v>
      </c>
      <c r="I41" s="2">
        <v>1.0</v>
      </c>
      <c r="J41" s="5" t="str">
        <f>IFERROR(__xludf.DUMMYFUNCTION("GOOGLETRANSLATE(A41)"),"chatgpt")</f>
        <v>chatgpt</v>
      </c>
      <c r="K41" s="6" t="str">
        <f>IFERROR(__xludf.DUMMYFUNCTION("GOOGLETRANSLATE(B41)"),"What Is ChatGPT? Everything You Need to Know About ...")</f>
        <v>What Is ChatGPT? Everything You Need to Know About ...</v>
      </c>
      <c r="M41" s="5" t="str">
        <f>IFERROR(__xludf.DUMMYFUNCTION("GOOGLETRANSLATE(G41)"),"Insider  Jump toMain contentSearchAccountMenu iconA vertical stack of three evenly spaced horizontal lines. Search iconA magnifying glass. It indicates ""Click to perform a search"". Insider logoThe word ""Insider"". BusinessThe word Business Insider logo"&amp;"The word ""Insider"".                           Newsletters                                                  Subscribe                         Account iconAn icon in the shape of a person's head and shoulders. It often indicates a user profile. Log in Acc"&amp;"ount iconAn icon in the shape of a person's head and shoulders. It often indicates a user profile.                        Subscribe                                      Tech                              Finance                              Markets        "&amp;"                      Strategy                              Retail                              Advertising                              Healthcare                              Premium                              Video                                Busi"&amp;"ness                TechFinanceMarketsStrategyRetailAdvertisingHealthcarePremium                  Life                EntertainmentCultureTravelFoodHealthParentingBeautyStyle                  News                PoliticsMilitary &amp; DefenseSportsOpinion    "&amp;"              Reviews                TechStreamingHomeKitchenStyleBeautyGiftsDealsPetsParentingCouponsHealthLearningHobbies &amp; CraftsTravel                  Video                                  All                A-ZAdvertisingBusinessCareersCouponsDoorD"&amp;"ashWalmartDellStaplesUnder ArmourCultureDesignEntertainmentExecutive LifestyleFinanceFoodHealthHealthcareIntelligenceLatestLifeMarkets InsiderMediaMilitary &amp; DefenseNewsOpinionPeoplePersonal FinanceBankingCredit CardsInsuranceInvestingLoansMortgagesPoliti"&amp;"csPremiumRetailReviewsScienceSportsStrategyTechTransportationTravelFeaturedTalent InsiderAboutAboutAdvertiseCareersCode of EthicsContact UsCorporateCorrections PolicyFollowRSSSitemapFacebookTwitterInstagramYouTubeLinkedInSubscriptionsIntelligencePremiumCl"&amp;"ose iconTwo crossed lines that form an 'X'. It indicates a way to close an interaction or dismiss a notification.             US Markets Loading...hms                            Military &amp; Defense                             Israel is looking to World War"&amp;" II in its Gaza fight and it risks taking lessons from the wrong warVictory in Israel's deadly Gaza invasion may turn on the same factors the US blundered in its post-9/11 wars.  Weight-loss drugs just got cheaper — and betterWait the Trumps are testifyin"&amp;"g again in the NY civil fraud trial?We watched 1000 TikToks for science Billionaire FBI informant Peter Thiel dished about two Kremlin invites to private Putin meetingsA Florida boomer said he 'can't move back to California fast enough.' Here's why.Why st"&amp;"rikes are working and which industries could be next                                        Tech                                       Miss out on the limited-edition Kendrick Lamar 'dumb' phone? Don't worry — you can get a very similar model for $299 If "&amp;"you missed Kendrick Lamar's pgLang phone drop the Light Phone 2 could be the next best ""dumb"" phone — for the same $299 price.                                       Personal Finance                                       Verizon and AT&amp;T are now requirin"&amp;"g debit card payments to get the full autopay discount. Here's how to decide if it's worth it.Verizon and AT&amp;T are offering discounts for paying bills via bank account. Before you switch make sure you won't miss out on rewards and protections.            "&amp;"                           Military &amp; Defense                                       Gaza's last pediatric hospital has been surrounded by Israeli tanks as hospitals across enclave come under siege reports sayFour major hospitals in Gaza are now effectivel"&amp;"y on the front line of fighting between the IDF and Hamas the BBC reported. Video                                    Real Estate                                   A tenant stopped paying rent and listed his landlord's home on Airbnb. The landlord is now s"&amp;"tuck living in his van.                                   Economy                                   Here's one area of California where people aren't leaving and the population is actually growing                                   Media                   "&amp;"                Scooter Braun's right-hand man wanted to make Camila Sterling a star. After she died in his hotel room he wanted the world to forget.  Most popular You're all set enjoy your Insider access!Go to newsletter preferencesThanks for signing up!"&amp;"We take you inside the companies and the topics that matter to you.                    Download the app                     NEW LOOKSign up to get the inside scoop on today’s biggest stories in markets tech and business — delivered daily.                 "&amp;"       Read preview Email                          Sign up                         By clicking “Sign Up” you accept our Terms                            of Service and Privacy                            Policy. You can opt-out at any time.LoadingSomething"&amp;" is loading.                                Real Estate                               A tenant stopped paying rent and listed his landlord's home on Airbnb. The landlord is now stuck living in his van.                               Economy                "&amp;"               Here's one area of California where people aren't leaving and the population is actually growing                               Media                               Scooter Braun's right-hand man wanted to make Camila Sterling a star. After s"&amp;"he died in his hotel room he wanted the world to forget.  Most popular                             Food                            Eating around the world in New York's most diverse borough                                      Food                        "&amp;"              I host Friendsgiving every year. Here are 3 tips for a successful dinner party.                                Insider's reporter has hosted Friendsgiving with her roommates for three years.                                                   "&amp;"              Tech                                      Humane's AI Pin probably can't replace your phone                                The $699 AI-powered device is very cool but using its voice-powered functions in public is anti-social.               "&amp;"                                                   News                                       Pope Francis ousted a Texas bishop signaling he may finally be done with ultraconservative US Catholics                                Pope Francis and Texas Bis"&amp;"hop Joseph Strickland clashed over issues of same-sex couples and the ordination of women. Pope Francis has described some American Catholics as ""backward.""                                                                  Travel                         "&amp;"              I've visited 59 of the 63 US national parks. Here are 10 of my all-time favorites.                                 After traveling to 59 of the 63 major US national parks destinations like Grand Teton Acadia and Glacier National Park were my"&amp;" favorites.                                                                   Markets                                      'The hard part is over': Here's what Goldman Sachs sees in the year ahead as markets and the economy return to pre-2008 conditions T"&amp;"he best offers from Insider Coupons                       Start your new project today with the best Home Depot coupon codes.                                           Shop exclusive savings every week at Staples.com.                                      "&amp;"     Put your best foot forward with our best DSW offers.                                           Spoil your pets with deals just for them at Chewy.                    Advertisement Advertisement                       Markets                      Loadin"&amp;"gSomething is loading. Advertisement Advertisement                       Tech                      LoadingSomething is loading. Advertisement Advertisement                       Finance                      LoadingSomething is loading. Advertisement Adver"&amp;"tisement                       Strategy                      LoadingSomething is loading. Advertisement Advertisement                       Personal Finance                      LoadingSomething is loading. Advertisement Advertisement                     "&amp;"  Reviews                      LoadingSomething is loading. Video Advertisement The best offers from Insider Coupons                                 Start your new project today with the best Home Depot coupon codes.                                       "&amp;"                        Shop exclusive savings every week at Staples.com.                                                               Put your best foot forward with our best DSW offers.                                                               Spoi"&amp;"l your pets with deals just for them at Chewy.                              AdvertisementAdvertisementAdvertisement Close iconTwo crossed lines that form an 'X'. It indicates a way to close an interaction or dismiss a notification.     Follow us on:      "&amp;"                    *                  Copyright © 2023                  Insider Inc. All rights reserved.                  Registration on or use of this site constitutes acceptance of our Terms of ServiceandPrivacy Policy.                Contact UsMasth"&amp;"eadSitemapDisclaimerAccessibilityCommerce PolicyAdvertising PoliciesCouponsMade in NYCJobs @ Insider                  Stock quotes by                  finanzen.netReprints &amp; Permissions            Your Privacy Choices              International Editions:U"&amp;"nited StatesUSInternationalINTLAsiaASDeutschland &amp; ÖsterreichATDeutschlandDEEspañaESIndiaINJapanJPMéxicoMXNetherlandsNLPolskaPL    ")</f>
        <v>Insider  Jump toMain contentSearchAccountMenu iconA vertical stack of three evenly spaced horizontal lines. Search iconA magnifying glass. It indicates "Click to perform a search". Insider logoThe word "Insider". BusinessThe word Business Insider logoThe word "Insider".                           Newsletters                                                  Subscribe                         Account iconAn icon in the shape of a person's head and shoulders. It often indicates a user profile. Log in Account iconAn icon in the shape of a person's head and shoulders. It often indicates a user profile.                        Subscribe                                      Tech                              Finance                              Markets                              Strategy                              Retail                              Advertising                              Healthcare                              Premium                              Video                                Business                TechFinanceMarketsStrategyRetailAdvertisingHealthcarePremium                  Life                EntertainmentCultureTravelFoodHealthParentingBeautyStyle                  News                PoliticsMilitary &amp; DefenseSportsOpinion                  Reviews                TechStreamingHomeKitchenStyleBeautyGiftsDealsPetsParentingCouponsHealthLearningHobbies &amp; CraftsTravel                  Video                                  All                A-ZAdvertisingBusinessCareersCouponsDoorDashWalmartDellStaplesUnder ArmourCultureDesignEntertainmentExecutive LifestyleFinanceFoodHealthHealthcareIntelligenceLatestLifeMarkets InsiderMediaMilitary &amp; DefenseNewsOpinionPeoplePersonal FinanceBankingCredit CardsInsuranceInvestingLoansMortgagesPoliticsPremiumRetailReviewsScienceSportsStrategyTechTransportationTravelFeaturedTalent InsiderAboutAboutAdvertiseCareersCode of EthicsContact UsCorporateCorrections PolicyFollowRSSSitemapFacebookTwitterInstagramYouTubeLinkedInSubscriptionsIntelligencePremiumClose iconTwo crossed lines that form an 'X'. It indicates a way to close an interaction or dismiss a notification.             US Markets Loading...hms                            Military &amp; Defense                             Israel is looking to World War II in its Gaza fight and it risks taking lessons from the wrong warVictory in Israel's deadly Gaza invasion may turn on the same factors the US blundered in its post-9/11 wars.  Weight-loss drugs just got cheaper — and betterWait the Trumps are testifying again in the NY civil fraud trial?We watched 1000 TikToks for science Billionaire FBI informant Peter Thiel dished about two Kremlin invites to private Putin meetingsA Florida boomer said he 'can't move back to California fast enough.' Here's why.Why strikes are working and which industries could be next                                        Tech                                       Miss out on the limited-edition Kendrick Lamar 'dumb' phone? Don't worry — you can get a very similar model for $299 If you missed Kendrick Lamar's pgLang phone drop the Light Phone 2 could be the next best "dumb" phone — for the same $299 price.                                       Personal Finance                                       Verizon and AT&amp;T are now requiring debit card payments to get the full autopay discount. Here's how to decide if it's worth it.Verizon and AT&amp;T are offering discounts for paying bills via bank account. Before you switch make sure you won't miss out on rewards and protections.                                       Military &amp; Defense                                       Gaza's last pediatric hospital has been surrounded by Israeli tanks as hospitals across enclave come under siege reports sayFour major hospitals in Gaza are now effectively on the front line of fighting between the IDF and Hamas the BBC reported. Video                                    Real Estate                                   A tenant stopped paying rent and listed his landlord's home on Airbnb. The landlord is now stuck living in his van.                                   Economy                                   Here's one area of California where people aren't leaving and the population is actually growing                                   Media                                   Scooter Braun's right-hand man wanted to make Camila Sterling a star. After she died in his hotel room he wanted the world to forget.  Most popular You're all set enjoy your Insider access!Go to newsletter preferencesThanks for signing up!We take you inside the companies and the topics that matter to you.                    Download the app                     NEW LOOKSign up to get the inside scoop on today’s biggest stories in markets tech and business — delivered daily.                        Read preview Email                          Sign up                         By clicking “Sign Up” you accept our Terms                            of Service and Privacy                            Policy. You can opt-out at any time.LoadingSomething is loading.                                Real Estate                               A tenant stopped paying rent and listed his landlord's home on Airbnb. The landlord is now stuck living in his van.                               Economy                               Here's one area of California where people aren't leaving and the population is actually growing                               Media                               Scooter Braun's right-hand man wanted to make Camila Sterling a star. After she died in his hotel room he wanted the world to forget.  Most popular                             Food                            Eating around the world in New York's most diverse borough                                      Food                                      I host Friendsgiving every year. Here are 3 tips for a successful dinner party.                                Insider's reporter has hosted Friendsgiving with her roommates for three years.                                                                 Tech                                      Humane's AI Pin probably can't replace your phone                                The $699 AI-powered device is very cool but using its voice-powered functions in public is anti-social.                                                                  News                                       Pope Francis ousted a Texas bishop signaling he may finally be done with ultraconservative US Catholics                                Pope Francis and Texas Bishop Joseph Strickland clashed over issues of same-sex couples and the ordination of women. Pope Francis has described some American Catholics as "backward."                                                                  Travel                                       I've visited 59 of the 63 US national parks. Here are 10 of my all-time favorites.                                 After traveling to 59 of the 63 major US national parks destinations like Grand Teton Acadia and Glacier National Park were my favorites.                                                                   Markets                                      'The hard part is over': Here's what Goldman Sachs sees in the year ahead as markets and the economy return to pre-2008 conditions The best offers from Insider Coupons                       Start your new project today with the best Home Depot coupon codes.                                           Shop exclusive savings every week at Staples.com.                                           Put your best foot forward with our best DSW offers.                                           Spoil your pets with deals just for them at Chewy.                    Advertisement Advertisement                       Markets                      LoadingSomething is loading. Advertisement Advertisement                       Tech                      LoadingSomething is loading. Advertisement Advertisement                       Finance                      LoadingSomething is loading. Advertisement Advertisement                       Strategy                      LoadingSomething is loading. Advertisement Advertisement                       Personal Finance                      LoadingSomething is loading. Advertisement Advertisement                       Reviews                      LoadingSomething is loading. Video Advertisement The best offers from Insider Coupons                                 Start your new project today with the best Home Depot coupon codes.                                                               Shop exclusive savings every week at Staples.com.                                                               Put your best foot forward with our best DSW offers.                                                               Spoil your pets with deals just for them at Chewy.                              AdvertisementAdvertisementAdvertisement Close iconTwo crossed lines that form an 'X'. It indicates a way to close an interaction or dismiss a notification.     Follow us on:                          *                  Copyright © 2023                  Insider Inc. All rights reserved.                  Registration on or use of this site constitutes acceptance of our Terms of ServiceandPrivacy Policy.                Contact UsMastheadSitemapDisclaimerAccessibilityCommerce PolicyAdvertising PoliciesCouponsMade in NYCJobs @ Insider                  Stock quotes by                  finanzen.netReprints &amp; Permissions            Your Privacy Choices              International Editions:United StatesUSInternationalINTLAsiaASDeutschland &amp; ÖsterreichATDeutschlandDEEspañaESIndiaINJapanJPMéxicoMXNetherlandsNLPolskaPL    </v>
      </c>
    </row>
    <row r="42">
      <c r="A42" s="1" t="s">
        <v>54</v>
      </c>
      <c r="B42" s="1" t="s">
        <v>173</v>
      </c>
      <c r="C42" s="1" t="s">
        <v>174</v>
      </c>
      <c r="D42" s="1">
        <v>11.0</v>
      </c>
      <c r="E42" s="4" t="s">
        <v>175</v>
      </c>
      <c r="F42" s="1" t="s">
        <v>43</v>
      </c>
      <c r="G42" s="1" t="s">
        <v>176</v>
      </c>
      <c r="H42" s="4" t="s">
        <v>177</v>
      </c>
      <c r="I42" s="2">
        <v>1.0</v>
      </c>
      <c r="J42" s="5" t="str">
        <f>IFERROR(__xludf.DUMMYFUNCTION("GOOGLETRANSLATE(A42)"),"chatgpt")</f>
        <v>chatgpt</v>
      </c>
      <c r="K42" s="6" t="str">
        <f>IFERROR(__xludf.DUMMYFUNCTION("GOOGLETRANSLATE(B42)"),"What Is ChatGPT Doing … and Why Does It Work?")</f>
        <v>What Is ChatGPT Doing … and Why Does It Work?</v>
      </c>
      <c r="L42" s="5" t="str">
        <f>IFERROR(__xludf.DUMMYFUNCTION("GOOGLETRANSLATE(C42)"),"14 Fevr. 2023. -")</f>
        <v>14 Fevr. 2023. -</v>
      </c>
      <c r="M42" s="5" t="str">
        <f>IFERROR(__xludf.DUMMYFUNCTION("GOOGLETRANSLATE(G42)"),"Stephen Wolfram Writings≡Stephen Wolfram                Writings            ABOUTWRITINGSPUBLICATIONSMEDIASCRAPBOOKCONTACTRecent |                        CategoriesArtificial IntelligenceBig PictureCompanies and BusinessComputational ScienceComputational "&amp;"ThinkingData ScienceEducationFuture PerspectivesHistorical PerspectivesLanguage and CommunicationLife and TimesLife ScienceMathematicaMathematicsNew Kind of ScienceNew TechnologyPersonal AnalyticsPhilosophyPhysicsRuliologySoftware DesignWolfram|AlphaWolfr"&amp;"am|OneWolfram LanguageOther |× Aggregation and Tiling as Multicomputational ProcessesNovember 3 2023The Importance of Multiway SystemsIt’s all about systems where there can in effect be many possible paths of history. In a typical standard computational s"&amp;"ystem like a cellular automaton there’s always just one path defined by evolution from one state to the next. But in a multiway system there can be many possible next states—and thus many possible paths of history. Multiway systems have a central role in "&amp;"our Physics Project particularly in connection with quantum mechanics. But what’s now emerging is that multiway systems in fact serve as a quite general foundation for a whole new “multicomputational” paradigm for modeling.My objective here is twofold. Fi"&amp;"rst I want to use multiway systems as minimal models for growth processes based on aggregation and tiling. And second I want to use this concrete application as a way to develop further intuition about multiway systems in general. Elsewhere I have explore"&amp;"d multiway systems for strings multiway systems based on numbers multiway Turing machines multiway combinators multiway expression evaluation and multiway systems based on games and puzzles. But in studying multiway systems for aggregation  and tiling we’"&amp;"ll be dealing with something that is immediately more physical and tangible. Continue readingHow to Think Computationally about AI the Universe and EverythingOctober 27 2023Transcript of a talk at TED AI on October 17 2023 in San FranciscoHuman language. "&amp;"Mathematics. Logic. These are all ways to formalize the world. And in our century there’s a new and yet more powerful one: computation. And for nearly 50 years I’ve had the great privilege of building an ever taller tower of science and technology based o"&amp;"n that idea of computation. And today I want to tell you some of what that’s led to. There’s a lot to talk about—so I’m going to go quickly… sometimes with just a sentence summarizing what I’ve written a whole book about. Continue readingExpression Evalua"&amp;"tion and Fundamental PhysicsSeptember 29 2023An Unexpected CorrespondenceEnter any expression and it’ll get evaluated:  And internally—say in the Wolfram Language—what’s going on is that the expression is progressively being transformed using all availabl"&amp;"e rules until no more rules apply. Here the process can be represented like this:  We can think of the yellow boxes in this picture as corresponding to “evaluation events” that transform one “state of the expression” (represented by a blue box) to another"&amp;" eventually reaching the “fixed point” 12.And so far this may all seem very simple. But actually there are many surprisingly complicated and deep issues and questions. For example to what extent can the evaluation events be applied in different orders or "&amp;"in parallel? Does one always get the same answer? What about non-terminating sequences of events? And so on. Continue readingRemembering Doug Lenat (1950–2023) and His Quest to Capture the World with LogicSeptember 5 2023Logic Math and AIIn many ways the "&amp;"great quest of Doug Lenat’s life was an attempt to follow on directly from the work of Aristotle and Leibniz. For what Doug was fundamentally trying to do over the forty years he spent developing his CYC system was to use the framework of logic—in more or"&amp;" less the same form that Aristotle and Leibniz had it—to capture what happens in the world. It was a noble effort and an impressive example of long-term intellectual tenacity. And while I never managed to actually use CYC myself I consider it a magnificen"&amp;"t experiment—that if nothing else ultimately served to demonstrate the importance of building frameworks beyond logic alone in usefully representing and reasoning about the world. Continue readingRemembering the Improbable Life of Ed Fredkin (1934–2023) a"&amp;"nd His World of Ideas and StoriesAugust 22 2023Programmer of the Universe“OK so let me tell you…” And so it would begin. A long and colorful story. An elaborate description of a wild idea. In the forty years I knew Ed Fredkin I heard countless wild ideas "&amp;"and colorful stories from him. He always radiated a certain adventurous joy—together with supreme almost-childlike confidence. Ed was someone who wanted to independently figure things out for himself and delighted in presenting his often somewhat-outlandi"&amp;"sh conclusions—whether about technology science business or the world—with dramatic showman-like panache.In all the years I knew Ed I’m not sure he ever really listened to anything I said (though he did use tools I built). He used to like to tell people I"&amp;"’d learned a lot from him. And indeed we had intellectual interests that should have overlapped. But in actuality our ways of thinking about them mostly didn’t connect much at all. But at a personal and social level it was still always a lot of fun being "&amp;"around Ed and being exposed to his unique intense opportunistic energy—with its repeating themes but ever-changing directions. Continue readingGenerative AI Space and the Mental Imagery of Alien MindsJuly 17 2023Click on any image in this post to copy the"&amp;" code that produced it and generate the output on your own computer in a Wolfram notebook.AIs and Alien MindsHow do alien minds perceive the world? It’s an old and oft-debated question in philosophy. And it now turns out to also be a question that rises t"&amp;"o prominence in connection with the concept of the ruliad that’s emerged from our Wolfram Physics Project.I’ve wondered about alien minds for a long time—and tried all sorts of ways to imagine what it might be like to see things from their point of view. "&amp;"But in the past I’ve never really had a way to build my intuition about it. That is until now. So what’s changed? It’s AI. Because in AI we finally have an accessible form of alien mind. Continue readingLLM Tech and a Lot More: Version 13.3 of Wolfram Lan"&amp;"guage and MathematicaJune 28 2023The Leading Edge of 2023 Technology … and BeyondToday we’re launching Version 13.3 of Wolfram Language and Mathematica—both available immediately on desktop and cloud. It’s only been 196 days since we released Version 13.2"&amp;" but there’s a lot that’s new not least a whole subsystem around LLMs. Last Friday (June 23) we celebrated 35 years since Version 1.0 of Mathematica (and what’s now Wolfram Language). And to me it’s incredible how far we’ve come in these 35 years—yet how "&amp;"consistent we’ve been in our mission and goals and how well we’ve been able to just keep building on the foundations we created all those years ago. Continue readingIntroducing Chat Notebooks: Integrating LLMs into the Notebook ParadigmJune 8 2023This is "&amp;"part of an ongoing series about our LLM-related technology:ChatGPT Gets Its “Wolfram Superpowers”!Instant Plugins for ChatGPT: Introducing the Wolfram ChatGPT Plugin KitThe New World of LLM Functions: Integrating LLM Technology into the Wolfram LanguagePr"&amp;"ompts for Work &amp; Play: Launching the Wolfram Prompt RepositoryIntroducing Chat Notebooks: Integrating LLMs into the Notebook ParadigmA New Kind of NotebookWe originally invented the concept of “Notebooks” back in 1987 for Version 1.0 of Mathematica. And o"&amp;"ver the past 36 years Notebooks have proved to be an incredibly convenient medium in which to do—and publish—work (and indeed I for example have created hundreds of thousands of them). And yes eventually the basic concepts of Notebooks were widely copied—"&amp;"though still not even with everything we had back in 1987!Well now there’s a new challenge and opportunity for Notebooks: integrating LLM functionality into them. It’s an interesting design problem and I’m pretty pleased with what we’ve come up with. And "&amp;"today we’re introducing Chat Notebooks as a new kind of Notebook that supports LLM-based chat functionality. Continue readingPrompts for Work &amp; Play: Launching the Wolfram Prompt RepositoryJune 7 2023This is part of an ongoing series about our LLM-related"&amp;" technology:ChatGPT Gets Its “Wolfram Superpowers”!Instant Plugins for ChatGPT: Introducing the Wolfram ChatGPT Plugin KitThe New World of LLM Functions: Integrating LLM Technology into the Wolfram LanguagePrompts for Work &amp; Play: Launching the Wolfram Pr"&amp;"ompt RepositoryIntroducing Chat Notebooks: Integrating LLMs into the Notebook ParadigmBuilding Blocks of “LLM Programming”Prompts are how one channels an LLM to do something. LLMs in a sense always have lots of “latent capability” (e.g. from their trainin"&amp;"g on billions of webpages). But prompts—in a way that’s still scientifically mysterious—are what let one “engineer” what part of that capability to bring out. Continue readingThe New World of LLM Functions: Integrating LLM Technology into the Wolfram Lang"&amp;"uageMay 23 2023This is part of an ongoing series about our LLM-related technology:ChatGPT Gets Its “Wolfram Superpowers”!Instant Plugins for ChatGPT: Introducing the Wolfram ChatGPT Plugin KitThe New World of LLM Functions: Integrating LLM Technology into"&amp;" the Wolfram LanguagePrompts for Work &amp; Play: Launching the Wolfram Prompt RepositoryIntroducing Chat Notebooks: Integrating LLMs into the Notebook ParadigmTurning LLM Capabilities into FunctionsSo far we mostly think of LLMs as things we interact directl"&amp;"y with say through chat interfaces. But what if we could take LLM functionality and “package it up” so that we can routinely use it as a component inside anything we’re doing? Well that’s what our new LLMFunction is about. Continue reading‹Showing 1–10 of"&amp;" 212› Recent WritingsAggregation and Tiling as Multicomputational ProcessesNovember 3 2023How to Think Computationally about AI the Universe and EverythingOctober 27 2023Expression Evaluation and Fundamental PhysicsSeptember 29 2023Remembering Doug Lenat "&amp;"(1950–2023) and His Quest to Capture the World with LogicSeptember 5 2023Remembering the Improbable Life of Ed Fredkin (1934–2023) and His World of Ideas and StoriesAugust 22 2023All by datePopular CategoriesArtificial IntelligenceBig PictureCompanies and"&amp;" BusinessComputational ScienceComputational ThinkingData ScienceEducationFuture PerspectivesHistorical PerspectivesLanguage and CommunicationLife and TimesLife ScienceMathematicaMathematicsNew Kind of ScienceNew TechnologyPersonal AnalyticsPhilosophyPhysi"&amp;"csRuliologySoftware DesignWolfram|AlphaWolfram|OneWolfram LanguageOther Writings by Year20232022202120202019201820172016201520142013201220112010200920082007200620042003 All © Stephen Wolfram LLC | Terms | RSSEnable JavaScript to interact with content and "&amp;"submit forms on Wolfram websites. Learn how »")</f>
        <v>Stephen Wolfram Writings≡Stephen Wolfram                Writings            ABOUTWRITINGSPUBLICATIONSMEDIASCRAPBOOKCONTACTRecent |                        CategoriesArtificial IntelligenceBig PictureCompanies and BusinessComputational ScienceComputational ThinkingData ScienceEducationFuture PerspectivesHistorical PerspectivesLanguage and CommunicationLife and TimesLife ScienceMathematicaMathematicsNew Kind of ScienceNew TechnologyPersonal AnalyticsPhilosophyPhysicsRuliologySoftware DesignWolfram|AlphaWolfram|OneWolfram LanguageOther |× Aggregation and Tiling as Multicomputational ProcessesNovember 3 2023The Importance of Multiway SystemsIt’s all about systems where there can in effect be many possible paths of history. In a typical standard computational system like a cellular automaton there’s always just one path defined by evolution from one state to the next. But in a multiway system there can be many possible next states—and thus many possible paths of history. Multiway systems have a central role in our Physics Project particularly in connection with quantum mechanics. But what’s now emerging is that multiway systems in fact serve as a quite general foundation for a whole new “multicomputational” paradigm for modeling.My objective here is twofold. First I want to use multiway systems as minimal models for growth processes based on aggregation and tiling. And second I want to use this concrete application as a way to develop further intuition about multiway systems in general. Elsewhere I have explored multiway systems for strings multiway systems based on numbers multiway Turing machines multiway combinators multiway expression evaluation and multiway systems based on games and puzzles. But in studying multiway systems for aggregation  and tiling we’ll be dealing with something that is immediately more physical and tangible. Continue readingHow to Think Computationally about AI the Universe and EverythingOctober 27 2023Transcript of a talk at TED AI on October 17 2023 in San FranciscoHuman language. Mathematics. Logic. These are all ways to formalize the world. And in our century there’s a new and yet more powerful one: computation. And for nearly 50 years I’ve had the great privilege of building an ever taller tower of science and technology based on that idea of computation. And today I want to tell you some of what that’s led to. There’s a lot to talk about—so I’m going to go quickly… sometimes with just a sentence summarizing what I’ve written a whole book about. Continue readingExpression Evaluation and Fundamental PhysicsSeptember 29 2023An Unexpected CorrespondenceEnter any expression and it’ll get evaluated:  And internally—say in the Wolfram Language—what’s going on is that the expression is progressively being transformed using all available rules until no more rules apply. Here the process can be represented like this:  We can think of the yellow boxes in this picture as corresponding to “evaluation events” that transform one “state of the expression” (represented by a blue box) to another eventually reaching the “fixed point” 12.And so far this may all seem very simple. But actually there are many surprisingly complicated and deep issues and questions. For example to what extent can the evaluation events be applied in different orders or in parallel? Does one always get the same answer? What about non-terminating sequences of events? And so on. Continue readingRemembering Doug Lenat (1950–2023) and His Quest to Capture the World with LogicSeptember 5 2023Logic Math and AIIn many ways the great quest of Doug Lenat’s life was an attempt to follow on directly from the work of Aristotle and Leibniz. For what Doug was fundamentally trying to do over the forty years he spent developing his CYC system was to use the framework of logic—in more or less the same form that Aristotle and Leibniz had it—to capture what happens in the world. It was a noble effort and an impressive example of long-term intellectual tenacity. And while I never managed to actually use CYC myself I consider it a magnificent experiment—that if nothing else ultimately served to demonstrate the importance of building frameworks beyond logic alone in usefully representing and reasoning about the world. Continue readingRemembering the Improbable Life of Ed Fredkin (1934–2023) and His World of Ideas and StoriesAugust 22 2023Programmer of the Universe“OK so let me tell you…” And so it would begin. A long and colorful story. An elaborate description of a wild idea. In the forty years I knew Ed Fredkin I heard countless wild ideas and colorful stories from him. He always radiated a certain adventurous joy—together with supreme almost-childlike confidence. Ed was someone who wanted to independently figure things out for himself and delighted in presenting his often somewhat-outlandish conclusions—whether about technology science business or the world—with dramatic showman-like panache.In all the years I knew Ed I’m not sure he ever really listened to anything I said (though he did use tools I built). He used to like to tell people I’d learned a lot from him. And indeed we had intellectual interests that should have overlapped. But in actuality our ways of thinking about them mostly didn’t connect much at all. But at a personal and social level it was still always a lot of fun being around Ed and being exposed to his unique intense opportunistic energy—with its repeating themes but ever-changing directions. Continue readingGenerative AI Space and the Mental Imagery of Alien MindsJuly 17 2023Click on any image in this post to copy the code that produced it and generate the output on your own computer in a Wolfram notebook.AIs and Alien MindsHow do alien minds perceive the world? It’s an old and oft-debated question in philosophy. And it now turns out to also be a question that rises to prominence in connection with the concept of the ruliad that’s emerged from our Wolfram Physics Project.I’ve wondered about alien minds for a long time—and tried all sorts of ways to imagine what it might be like to see things from their point of view. But in the past I’ve never really had a way to build my intuition about it. That is until now. So what’s changed? It’s AI. Because in AI we finally have an accessible form of alien mind. Continue readingLLM Tech and a Lot More: Version 13.3 of Wolfram Language and MathematicaJune 28 2023The Leading Edge of 2023 Technology … and BeyondToday we’re launching Version 13.3 of Wolfram Language and Mathematica—both available immediately on desktop and cloud. It’s only been 196 days since we released Version 13.2 but there’s a lot that’s new not least a whole subsystem around LLMs. Last Friday (June 23) we celebrated 35 years since Version 1.0 of Mathematica (and what’s now Wolfram Language). And to me it’s incredible how far we’ve come in these 35 years—yet how consistent we’ve been in our mission and goals and how well we’ve been able to just keep building on the foundations we created all those years ago. Continue readingIntroducing Chat Notebooks: Integrating LLMs into the Notebook ParadigmJune 8 2023This is part of an ongoing series about our LLM-related technology:ChatGPT Gets Its “Wolfram Superpowers”!Instant Plugins for ChatGPT: Introducing the Wolfram ChatGPT Plugin KitThe New World of LLM Functions: Integrating LLM Technology into the Wolfram LanguagePrompts for Work &amp; Play: Launching the Wolfram Prompt RepositoryIntroducing Chat Notebooks: Integrating LLMs into the Notebook ParadigmA New Kind of NotebookWe originally invented the concept of “Notebooks” back in 1987 for Version 1.0 of Mathematica. And over the past 36 years Notebooks have proved to be an incredibly convenient medium in which to do—and publish—work (and indeed I for example have created hundreds of thousands of them). And yes eventually the basic concepts of Notebooks were widely copied—though still not even with everything we had back in 1987!Well now there’s a new challenge and opportunity for Notebooks: integrating LLM functionality into them. It’s an interesting design problem and I’m pretty pleased with what we’ve come up with. And today we’re introducing Chat Notebooks as a new kind of Notebook that supports LLM-based chat functionality. Continue readingPrompts for Work &amp; Play: Launching the Wolfram Prompt RepositoryJune 7 2023This is part of an ongoing series about our LLM-related technology:ChatGPT Gets Its “Wolfram Superpowers”!Instant Plugins for ChatGPT: Introducing the Wolfram ChatGPT Plugin KitThe New World of LLM Functions: Integrating LLM Technology into the Wolfram LanguagePrompts for Work &amp; Play: Launching the Wolfram Prompt RepositoryIntroducing Chat Notebooks: Integrating LLMs into the Notebook ParadigmBuilding Blocks of “LLM Programming”Prompts are how one channels an LLM to do something. LLMs in a sense always have lots of “latent capability” (e.g. from their training on billions of webpages). But prompts—in a way that’s still scientifically mysterious—are what let one “engineer” what part of that capability to bring out. Continue readingThe New World of LLM Functions: Integrating LLM Technology into the Wolfram LanguageMay 23 2023This is part of an ongoing series about our LLM-related technology:ChatGPT Gets Its “Wolfram Superpowers”!Instant Plugins for ChatGPT: Introducing the Wolfram ChatGPT Plugin KitThe New World of LLM Functions: Integrating LLM Technology into the Wolfram LanguagePrompts for Work &amp; Play: Launching the Wolfram Prompt RepositoryIntroducing Chat Notebooks: Integrating LLMs into the Notebook ParadigmTurning LLM Capabilities into FunctionsSo far we mostly think of LLMs as things we interact directly with say through chat interfaces. But what if we could take LLM functionality and “package it up” so that we can routinely use it as a component inside anything we’re doing? Well that’s what our new LLMFunction is about. Continue reading‹Showing 1–10 of 212› Recent WritingsAggregation and Tiling as Multicomputational ProcessesNovember 3 2023How to Think Computationally about AI the Universe and EverythingOctober 27 2023Expression Evaluation and Fundamental PhysicsSeptember 29 2023Remembering Doug Lenat (1950–2023) and His Quest to Capture the World with LogicSeptember 5 2023Remembering the Improbable Life of Ed Fredkin (1934–2023) and His World of Ideas and StoriesAugust 22 2023All by datePopular CategoriesArtificial IntelligenceBig PictureCompanies and BusinessComputational ScienceComputational ThinkingData ScienceEducationFuture PerspectivesHistorical PerspectivesLanguage and CommunicationLife and TimesLife ScienceMathematicaMathematicsNew Kind of ScienceNew TechnologyPersonal AnalyticsPhilosophyPhysicsRuliologySoftware DesignWolfram|AlphaWolfram|OneWolfram LanguageOther Writings by Year20232022202120202019201820172016201520142013201220112010200920082007200620042003 All © Stephen Wolfram LLC | Terms | RSSEnable JavaScript to interact with content and submit forms on Wolfram websites. Learn how »</v>
      </c>
    </row>
    <row r="43">
      <c r="A43" s="1" t="s">
        <v>54</v>
      </c>
      <c r="B43" s="1" t="s">
        <v>178</v>
      </c>
      <c r="C43" s="1" t="s">
        <v>179</v>
      </c>
      <c r="D43" s="1">
        <v>12.0</v>
      </c>
      <c r="E43" s="4" t="s">
        <v>180</v>
      </c>
      <c r="F43" s="1" t="s">
        <v>43</v>
      </c>
      <c r="G43" s="1" t="s">
        <v>181</v>
      </c>
      <c r="H43" s="4" t="s">
        <v>182</v>
      </c>
      <c r="I43" s="2">
        <v>1.0</v>
      </c>
      <c r="J43" s="5" t="str">
        <f>IFERROR(__xludf.DUMMYFUNCTION("GOOGLETRANSLATE(A43)"),"chatgpt")</f>
        <v>chatgpt</v>
      </c>
      <c r="K43" s="6" t="str">
        <f>IFERROR(__xludf.DUMMYFUNCTION("GOOGLETRANSLATE(B43)"),"OpenAI Wants Everyone to Build Their Own Version of ...")</f>
        <v>OpenAI Wants Everyone to Build Their Own Version of ...</v>
      </c>
      <c r="L43" s="5" t="str">
        <f>IFERROR(__xludf.DUMMYFUNCTION("GOOGLETRANSLATE(C43)"),"4 days ago -")</f>
        <v>4 days ago -</v>
      </c>
      <c r="M43" s="5" t="str">
        <f>IFERROR(__xludf.DUMMYFUNCTION("GOOGLETRANSLATE(G43)"),"WIRED - The Latest in Technology Science Culture and Business | WIREDSkip to main contentOpen Navigation MenuMenuStory SavedTo revisit this article visit My Profile then View saved stories.Close AlertWIRED - The Latest in Technology Science Culture and Bu"&amp;"sinessBackchannelBusinessCultureGearIdeasScienceSecurityMerchMoreChevronStory SavedTo revisit this article select My Account then View saved storiesClose AlertSign InSearchSearchBackchannelBusinessCultureGearIdeasScienceSecurityMerchPodcastsVideoArtificia"&amp;"l IntelligenceClimateGamesNewslettersMagazineEventsWired InsiderJobsCouponsWIREDMost RecentToday’s PicksVideo Doom LoopHow Citizen Surveillance Ate San FranciscoWhen a homeless man attacked a former city official footage of the onslaught became a rallying"&amp;" cry. Then came another video and another—and the story turned inside out.Lauren SmileyClimate ChangeSkiing Is Getting RiskierTristan KennedyAction!How Cinematherapy Helped Me Through a Midlife CrisisTammy RabideauSignal Is Finally Testing UsernamesDhruv "&amp;"Mehrotra and Dell CameronBest Cookbooks of 2023 (So Far)Joe RayThe Best Mechanical Keyboards for Work and PlayEric Ravenscraft and Gear TeamWegovy Slashes the Risk of Heart Attack and Stroke in a Landmark TrialEmily MullinScientists Have Been Freezing Cor"&amp;"als for Decades. Now They're Learning How to Wake Them UpBrent M. FosterTrending StoriesTOP STORIES IN THE LAST 48 HOURSGear10 Best Deals at Target’s Black Friday SaleNeed some smart home gadgets or toiletries? Target started its holiday sale early with a"&amp;" price-match guarantee.Medea GiordanoSecurityOmegle Was Forced to Shut Down by a Lawsuit From a Sexual Abuse SurvivorOmegle connected strangers to one another and had a long-standing problem of pairing minors with sexual predators. A legal settlement took"&amp;" it down.Amanda HooverBusinessHumane’s Ai Pin is a $700 Smartphone Alternative You Wear All DayIf you’re willing to clip the Ai Pin to your chest you can talk gesture and tap to take photos or summon a powerful virtual assistant.Paresh DaveScienceSkiing I"&amp;"s Getting RiskierThe threat of avalanches is rising with global warming but technology can help protect skiers on and off the slopes.Tristan KennedyEditors’ Picks404Omegle Was Forced to Shut Down by a Lawsuit From a Sexual Abuse SurvivorAmanda HooverOmegl"&amp;"e connected strangers to one another and had a long-standing problem of pairing minors with sexual predators. A legal settlement took it down.Fox in the Hen HouseThis Is the Ops Manual for the Most Tech-Savvy Animal Liberation Group in the USFourth Amendm"&amp;"entA New US Privacy Bill Seeks to End Warrantless Police and FBI SpyingMissing ConnectionsInternet Blackouts in Gaza Are a New Weapon in the Israel-Hamas WarWolf PackIntensified Israeli Surveillance Has Put the West Bank on LockdownThe Israel-Hamas WarRed"&amp;" FlagsThis New Tool Aims to Keep Terrorism Content Off the InternetDavid GilbertSmall platforms without resources to handle takedown requests have been weaponized by terrorist groups that share their content online. A free new tool is coming to help clean"&amp;" house.Danger ZoneHere’s How Violent Extremists Are Exploiting Generative AI ToolsBad CompanyThe GOP Presidential Debate Is Livestreaming on Rumble Home to White Nationalist Nick FuentesLast ResortsThe UN Hired an AI Company to Untangle the Israeli-Palest"&amp;"inian CrisisPsychological WarfareHow Telegram Became a Terrifying Weapon in the Israel-Hamas WarLongreadsHyper LinksRobotic Putting Greens. Mixed Reality. Loud Spectators. This Is Golf?!Steven LevyTiger Woods and Rory McIlroy are backing a new sports leag"&amp;"ue that's reinventing golf as high-energy made-for-TV entertainment.The Big InterviewTaylor Swift Star Wars Stranger Things and Deadpool Have One Man in CommonNouveau NicheWatch This Guy Work and You’ll Finally Understand the TikTok EraSave Yourself‘Someo"&amp;"ne Is Using Photos of Me to Talk to Men’Game of DronesIn the War Against Russia Some Ukrainians Carry AK-47s. Andrey Liscovich Carries a Shopping ListBusinessFei-Fei Li Started an AI Revolution by Seeing Like an AlgorithmGM’s Cruise Rethinks Its Robotaxi "&amp;"Strategy After Admitting a Software Fault in Gruesome CrashObamacare Call Center Staff Strike Over Steep Health Care Costs and Scarce Bathroom BreaksCultureThe 42 Best Movies on Netflix This WeekThe 43 Best Shows on Netflix Right NowTech Disrupted Hollywo"&amp;"od. AI Almost Destroyed ItGear11 Early Black Friday Deals From WalmartReview: Huawei Freebuds Pro 3 Wireless In-Ear Headphones10 Best Deals at Target’s Black Friday SaleIdeasMy Kid Wants to Be an Influencer. Is That Bad?Generative AI Has Ushered In the Ne"&amp;"xt Phase of Digital SpiritualityAI Chatbots Are Learning to Spout Authoritarian PropagandaScienceCould a Cockroach Survive a Fall From Space?The Long Quest for a Universal Flu Vaccine Finally Takes Its First StepsThe FDA Approves Weight Loss Drug Zepbound"&amp;" a Wegovy and Ozempic RivalSecurityHow to Get Facebook Without Ads—if It’s Available for YouSandworm Hackers Caused Another Blackout in Ukraine—During a Missile StrikePolice Use of Face Recognition Is Sweeping the UKSign up for the WIRED Daily NewsletterO"&amp;"ur biggest stories delivered to your inbox every day. See all newsletters.Your EmailsubmitBy signing up you agree to our User Agreement (including the  class action waiver and arbitration provisions) our Privacy Policy &amp; Cookie Statement and to receive ma"&amp;"rketing and account-related emails from WIRED. You can unsubscribe at any time.Reviews and Buying GuidesTee Us UpWe Asked a Savile Row Tailor to Test All the ‘Best’ T-Shirts You See in Social Media AdsChris HaslamBombarded by social media ads promising th"&amp;"e “perfect” T-shirt whatever your shape WIRED put these claims to the test with world-famous Savile Row tailors Gieves &amp; Hawkes.Product ReviewBowers &amp; Wilkins’ New Bookshelf Speakers SoarBuying GuideThe Best Pickleball Paddles for Beginners and ProsProduc"&amp;"t ReviewYamaha’s True X Bar 50A Is a Great Midrange SoundbarBuying GuideWhich GoPro Hero Camera Should You Buy?WIRED30WIRED30Tech and Games Can Help Curb Youth SuicideAlex MillerIn the face of lackluster mental health support especially for children of ma"&amp;"rginalized groups technology and video games can be used to meet young people where they are.WIRED30Amazon’s AI-Powered Van Inspections Give It a Powerful New Data FeedWIRED30NASA’s Psyche Mission Is Off to Test a Space Laser (for Communications)WIRED30Go"&amp;"ogle’s AI Is Making Traffic Lights More Efficient and Less AnnoyingWIRED30Meet the Next Generation of Doctors—and Their Surgical RobotsWIRED ClassicsMix &amp; MatchWhen the Boss of All Dating Apps Met the PandemicArielle PardesTinder. Hinge. OkCupid. Match. A"&amp;" year ago Shar Dubey became the CEO of a multibillion-dollar matchmaking empire. Then singles everywhere went into lockdown.CryptomaniaInside the Crypto World’s Biggest ScandalSea ChangeA Million Little Pieces: The Race to Rebuild the World’s ReefsMind th"&amp;"e GapsWhy Inventors Misjudge How We’ll Abuse Their CreationsHyperlinksThe Web Is the Power of the PeopleVideosiconPlayAutocomplete InterviewMåneskin Answer the Web's Most Searched QuestionsiconPlay5 LevelsHarvard Professor Explains Algorithms in 5 Levels "&amp;"of DifficultyiconPlayTech Support Physicist Answers Physics Questions From Twitter | Tech SupporticonPlayObsessedWhy This Woman Deconstructs Antique Books To Save ThemiconPlayAutocomplete InterviewCasey Neistat Answers The Web's Most Searched Questions | "&amp;"WIREDiconPlayVideoInside a Funeral Home with Mortician Victor SweeneyiconPlayTech Support Criminologist Answers True Crime Questions From TwittericonPlayLevels9 Levels of Pickpocketing: Easy to ComplexiconPlayAutocomplete InterviewFanum Answers The Web's "&amp;"Most Searched QuestionsiconPlayTech Support Shark Tank's Mark Cuban Answers Business Questions From TwitterChevronChevronWIRED is where tomorrow is realized. It is the essential source of information and ideas that make sense of a world in constant transf"&amp;"ormation. The WIRED conversation illuminates how technology is changing every aspect of our lives—from culture to business science to design. The breakthroughs and innovations that we uncover lead to new ways of thinking new connections and new industries"&amp;".FacebookXPinterestYouTubeInstagramTiktokMore From WIREDSubscribeNewslettersMattressesReviewsFAQWired StaffCouponsEditorial StandardsArchiveContactAdvertiseContact UsCustomer CareJobsPress CenterRSSAccessibility HelpCondé Nast StoreDo Not Sell My Personal"&amp;" Info© 2023 Condé Nast. All rights reserved. Use of this site constitutes acceptance of our User Agreement and Privacy Policy and Cookie Statement and Your California Privacy Rights. WIRED may earn a portion of sales from products that are purchased throu"&amp;"gh our site as part of our Affiliate Partnerships with retailers. The material on this site may not be reproduced distributed transmitted cached or otherwise used except with the prior written permission of Condé Nast. Ad ChoicesSelect international siteU"&amp;"nited StatesLargeChevronUKItaliaJapónCzech Republic &amp; Slovakia")</f>
        <v>WIRED - The Latest in Technology Science Culture and Business | WIREDSkip to main contentOpen Navigation MenuMenuStory SavedTo revisit this article visit My Profile then View saved stories.Close AlertWIRED - The Latest in Technology Science Culture and BusinessBackchannelBusinessCultureGearIdeasScienceSecurityMerchMoreChevronStory SavedTo revisit this article select My Account then View saved storiesClose AlertSign InSearchSearchBackchannelBusinessCultureGearIdeasScienceSecurityMerchPodcastsVideoArtificial IntelligenceClimateGamesNewslettersMagazineEventsWired InsiderJobsCouponsWIREDMost RecentToday’s PicksVideo Doom LoopHow Citizen Surveillance Ate San FranciscoWhen a homeless man attacked a former city official footage of the onslaught became a rallying cry. Then came another video and another—and the story turned inside out.Lauren SmileyClimate ChangeSkiing Is Getting RiskierTristan KennedyAction!How Cinematherapy Helped Me Through a Midlife CrisisTammy RabideauSignal Is Finally Testing UsernamesDhruv Mehrotra and Dell CameronBest Cookbooks of 2023 (So Far)Joe RayThe Best Mechanical Keyboards for Work and PlayEric Ravenscraft and Gear TeamWegovy Slashes the Risk of Heart Attack and Stroke in a Landmark TrialEmily MullinScientists Have Been Freezing Corals for Decades. Now They're Learning How to Wake Them UpBrent M. FosterTrending StoriesTOP STORIES IN THE LAST 48 HOURSGear10 Best Deals at Target’s Black Friday SaleNeed some smart home gadgets or toiletries? Target started its holiday sale early with a price-match guarantee.Medea GiordanoSecurityOmegle Was Forced to Shut Down by a Lawsuit From a Sexual Abuse SurvivorOmegle connected strangers to one another and had a long-standing problem of pairing minors with sexual predators. A legal settlement took it down.Amanda HooverBusinessHumane’s Ai Pin is a $700 Smartphone Alternative You Wear All DayIf you’re willing to clip the Ai Pin to your chest you can talk gesture and tap to take photos or summon a powerful virtual assistant.Paresh DaveScienceSkiing Is Getting RiskierThe threat of avalanches is rising with global warming but technology can help protect skiers on and off the slopes.Tristan KennedyEditors’ Picks404Omegle Was Forced to Shut Down by a Lawsuit From a Sexual Abuse SurvivorAmanda HooverOmegle connected strangers to one another and had a long-standing problem of pairing minors with sexual predators. A legal settlement took it down.Fox in the Hen HouseThis Is the Ops Manual for the Most Tech-Savvy Animal Liberation Group in the USFourth AmendmentA New US Privacy Bill Seeks to End Warrantless Police and FBI SpyingMissing ConnectionsInternet Blackouts in Gaza Are a New Weapon in the Israel-Hamas WarWolf PackIntensified Israeli Surveillance Has Put the West Bank on LockdownThe Israel-Hamas WarRed FlagsThis New Tool Aims to Keep Terrorism Content Off the InternetDavid GilbertSmall platforms without resources to handle takedown requests have been weaponized by terrorist groups that share their content online. A free new tool is coming to help clean house.Danger ZoneHere’s How Violent Extremists Are Exploiting Generative AI ToolsBad CompanyThe GOP Presidential Debate Is Livestreaming on Rumble Home to White Nationalist Nick FuentesLast ResortsThe UN Hired an AI Company to Untangle the Israeli-Palestinian CrisisPsychological WarfareHow Telegram Became a Terrifying Weapon in the Israel-Hamas WarLongreadsHyper LinksRobotic Putting Greens. Mixed Reality. Loud Spectators. This Is Golf?!Steven LevyTiger Woods and Rory McIlroy are backing a new sports league that's reinventing golf as high-energy made-for-TV entertainment.The Big InterviewTaylor Swift Star Wars Stranger Things and Deadpool Have One Man in CommonNouveau NicheWatch This Guy Work and You’ll Finally Understand the TikTok EraSave Yourself‘Someone Is Using Photos of Me to Talk to Men’Game of DronesIn the War Against Russia Some Ukrainians Carry AK-47s. Andrey Liscovich Carries a Shopping ListBusinessFei-Fei Li Started an AI Revolution by Seeing Like an AlgorithmGM’s Cruise Rethinks Its Robotaxi Strategy After Admitting a Software Fault in Gruesome CrashObamacare Call Center Staff Strike Over Steep Health Care Costs and Scarce Bathroom BreaksCultureThe 42 Best Movies on Netflix This WeekThe 43 Best Shows on Netflix Right NowTech Disrupted Hollywood. AI Almost Destroyed ItGear11 Early Black Friday Deals From WalmartReview: Huawei Freebuds Pro 3 Wireless In-Ear Headphones10 Best Deals at Target’s Black Friday SaleIdeasMy Kid Wants to Be an Influencer. Is That Bad?Generative AI Has Ushered In the Next Phase of Digital SpiritualityAI Chatbots Are Learning to Spout Authoritarian PropagandaScienceCould a Cockroach Survive a Fall From Space?The Long Quest for a Universal Flu Vaccine Finally Takes Its First StepsThe FDA Approves Weight Loss Drug Zepbound a Wegovy and Ozempic RivalSecurityHow to Get Facebook Without Ads—if It’s Available for YouSandworm Hackers Caused Another Blackout in Ukraine—During a Missile StrikePolice Use of Face Recognition Is Sweeping the UKSign up for the WIRED Daily NewsletterOur biggest stories delivered to your inbox every day. See all newsletters.Your EmailsubmitBy signing up you agree to our User Agreement (including the  class action waiver and arbitration provisions) our Privacy Policy &amp; Cookie Statement and to receive marketing and account-related emails from WIRED. You can unsubscribe at any time.Reviews and Buying GuidesTee Us UpWe Asked a Savile Row Tailor to Test All the ‘Best’ T-Shirts You See in Social Media AdsChris HaslamBombarded by social media ads promising the “perfect” T-shirt whatever your shape WIRED put these claims to the test with world-famous Savile Row tailors Gieves &amp; Hawkes.Product ReviewBowers &amp; Wilkins’ New Bookshelf Speakers SoarBuying GuideThe Best Pickleball Paddles for Beginners and ProsProduct ReviewYamaha’s True X Bar 50A Is a Great Midrange SoundbarBuying GuideWhich GoPro Hero Camera Should You Buy?WIRED30WIRED30Tech and Games Can Help Curb Youth SuicideAlex MillerIn the face of lackluster mental health support especially for children of marginalized groups technology and video games can be used to meet young people where they are.WIRED30Amazon’s AI-Powered Van Inspections Give It a Powerful New Data FeedWIRED30NASA’s Psyche Mission Is Off to Test a Space Laser (for Communications)WIRED30Google’s AI Is Making Traffic Lights More Efficient and Less AnnoyingWIRED30Meet the Next Generation of Doctors—and Their Surgical RobotsWIRED ClassicsMix &amp; MatchWhen the Boss of All Dating Apps Met the PandemicArielle PardesTinder. Hinge. OkCupid. Match. A year ago Shar Dubey became the CEO of a multibillion-dollar matchmaking empire. Then singles everywhere went into lockdown.CryptomaniaInside the Crypto World’s Biggest ScandalSea ChangeA Million Little Pieces: The Race to Rebuild the World’s ReefsMind the GapsWhy Inventors Misjudge How We’ll Abuse Their CreationsHyperlinksThe Web Is the Power of the PeopleVideosiconPlayAutocomplete InterviewMåneskin Answer the Web's Most Searched QuestionsiconPlay5 LevelsHarvard Professor Explains Algorithms in 5 Levels of DifficultyiconPlayTech Support Physicist Answers Physics Questions From Twitter | Tech SupporticonPlayObsessedWhy This Woman Deconstructs Antique Books To Save ThemiconPlayAutocomplete InterviewCasey Neistat Answers The Web's Most Searched Questions | WIREDiconPlayVideoInside a Funeral Home with Mortician Victor SweeneyiconPlayTech Support Criminologist Answers True Crime Questions From TwittericonPlayLevels9 Levels of Pickpocketing: Easy to ComplexiconPlayAutocomplete InterviewFanum Answers The Web's Most Searched QuestionsiconPlayTech Support Shark Tank's Mark Cuban Answers Business Questions From TwitterChevronChevronWIRED is where tomorrow is realized. It is the essential source of information and ideas that make sense of a world in constant transformation. The WIRED conversation illuminates how technology is changing every aspect of our lives—from culture to business science to design. The breakthroughs and innovations that we uncover lead to new ways of thinking new connections and new industries.FacebookXPinterestYouTubeInstagramTiktokMore From WIREDSubscribeNewslettersMattressesReviewsFAQWired StaffCouponsEditorial StandardsArchiveContactAdvertiseContact UsCustomer CareJobsPress CenterRSSAccessibility HelpCondé Nast StoreDo Not Sell My Personal Info© 2023 Condé Nast. All rights reserved. Use of this site constitutes acceptance of our User Agreement and Privacy Policy and Cookie Statement and Your California Privacy Rights. WIRED may earn a portion of sales from products that are purchased through our site as part of our Affiliate Partnerships with retailers. The material on this site may not be reproduced distributed transmitted cached or otherwise used except with the prior written permission of Condé Nast. Ad ChoicesSelect international siteUnited StatesLargeChevronUKItaliaJapónCzech Republic &amp; Slovakia</v>
      </c>
    </row>
    <row r="44">
      <c r="A44" s="1" t="s">
        <v>54</v>
      </c>
      <c r="B44" s="1" t="s">
        <v>183</v>
      </c>
      <c r="D44" s="1">
        <v>13.0</v>
      </c>
      <c r="E44" s="4" t="s">
        <v>184</v>
      </c>
      <c r="F44" s="1" t="s">
        <v>43</v>
      </c>
      <c r="G44" s="1" t="s">
        <v>185</v>
      </c>
      <c r="H44" s="4" t="s">
        <v>186</v>
      </c>
      <c r="I44" s="2">
        <v>1.0</v>
      </c>
      <c r="J44" s="5" t="str">
        <f>IFERROR(__xludf.DUMMYFUNCTION("GOOGLETRANSLATE(A44)"),"chatgpt")</f>
        <v>chatgpt</v>
      </c>
      <c r="K44" s="6" t="str">
        <f>IFERROR(__xludf.DUMMYFUNCTION("GOOGLETRANSLATE(B44)"),"ChatGPT | Technology")</f>
        <v>ChatGPT | Technology</v>
      </c>
      <c r="M44" s="5" t="str">
        <f>IFERROR(__xludf.DUMMYFUNCTION("GOOGLETRANSLATE(G44)"),"News sport and opinion from the Guardian's US edition | The GuardianSkip to main contentSkip to navigationPrint subscriptions Sign inSearch jobsSearchUS editionUS editionUK editionAustralia editionInternational editionEurope editionThe Guardian - Back to "&amp;"homeThe GuardianNewsOpinionSportCultureLifestyleShowMoreShow MoreNewsView all NewsUS newsWorld newsEnvironmentUS politicsUkraineSoccerBusinessTechScienceNewslettersWellnessOpinionView all OpinionThe Guardian viewColumnistsLettersOpinion videosCartoonsSpor"&amp;"tView all SportSoccerNFLTennisMLBMLSNBANHLF1GolfCultureView all CultureFilmBooksMusicArt &amp; designTV &amp; radioStageClassicalGamesLifestyleView all LifestyleWellnessFashionFoodRecipesLove &amp; sexHome &amp; gardenHealth &amp; fitnessFamilyTravelMoneySearch input google-"&amp;"search SearchSupport usPrint subscriptionsUS editionUK editionAustralia editionInternational editionEurope editionSearch jobsDigital ArchiveGuardian Puzzles appGuardian LicensingThe Guardian appVideoPodcastsPicturesInside the GuardianGuardian WeeklyCrossw"&amp;"ordsWordiplyCorrectionsFacebookTwitterSearch jobsDigital ArchiveGuardian Puzzles appGuardian LicensingUSWorldEnvironmentUS PoliticsUkraineSoccerBusinessTechScienceNewslettersWellnessIsrael-Hamas warHidePalestinians flee south to escape Israel's bombardmen"&amp;"ts of GazaHundreds of thousands of people march for Palestine in LondonSurvivors of the Nova festival at a memorial and remembrance event in Caesarea IsraelPeople salvage belongings from a damaged building after an Israeli bombing on RafahChildren react d"&amp;"uring the funeral of a family killed by Israeli bombardment in the Gaza StripFull reportIsraeli troops in key battle with Hamas gunmen near hospital8h agoAt a glanceWhat we know on day 37LondonHundreds of thousands rally for GazaSaudi ArabiaMiddle East le"&amp;"aders hold emergency summit amid‘Personal and painful’How Gaza war has split families friends and colleagues in Britain11h agoFacial recognitionHow Chinese firm linked to Uyghur repression aids Israeli surveillance in West Bank12h agoHeadlinesNatoEx-chief"&amp;" proposes Ukraine joins without Russian-occupied territoriesFormer secretary general says partial membership would warn Russia it cannot stop Ukraine joining the allianceAnalysisAs counteroffensive stalls Ukraine signals readiness for long warUKHundreds o"&amp;"f thousands rally for Gaza in London as police arrest far-right protesters7h agoVoting rightsLouisiana must draw new congressional map by mid-January for 2024 electionsLost in spaceAstronaut’s toolbag orbits Earth after escaping during spacewalk3h agoOhio"&amp;"Republicans move to exclude judges from interpreting enshrined abortion rightsLiveNWSL final: OL Reign v Gotham FC8m agoCaliforniaControversial police-led recall vote wins key ruling8h agoDonald TrumpEx-president pushes for live broadcast of his trial ove"&amp;"r election subversion11h agoDetroitSuspect in killing of Samantha Woll released from custody without charges12h agoIdahoJudge blocks law stopping adults from helping minors seeking abortionIn focusHide ‘A revenge term’What would another four years of Trum"&amp;"p look like?BrazilHow a prison gang became an international criminal leviathanThe PCC – First Capital Command – arose in the country’s notoriously brutal penitentiaries 30 years ago but now controls a billion-dollar drug trade supplying much of Europe’s c"&amp;"ocaineThe British are coming!US media sees influx of Britons in top rolesWill Lewis’s helming of the Washington Post comes after the Wall Street Journal and CNN hired other UK talent as top brassSpotlightHideCaliforniaCan goats and sheep stop wildfires? T"&amp;"his shepherdess is rallying the flockA rancher in California is training a new generation to fight fires – and foster deeper connections to the land – with farm animalsMichael Winterbottom‘Studying English at Oxford University was a mistake’Pinkpantheress"&amp;"‘I don’t think I’m very brandable. I dress weird. I’m shy’She may have conquered TikTok and then the Billboard charts but the UK pop phenom is still learning how to be herself in public. As she releases her debut album she discusses her rapid rise and whi"&amp;"ch of her viral hits are ‘crap’……Pre-eclampsiaWhy is the condition still causing the deaths of mothers and their babies?The condition affects up to 6% of all pregnancies yet understanding of its causes and how to treat it remains basic……Dream Scenario rev"&amp;"iewNicolas Cage is at his very best in savagely funny comedy……Communal livingFor 50 years I’ve let friends and strangers share my house – this can make for better lives for allParty of the People reviewRepublican strength – and weakness – examined‘It is a"&amp;" beast that needs to be tamed’Leading novelists on how AI could rewrite the futureRead more on living a good life in a complex world.OpinionHideMy life has been defined by genocide of Jewish people. I look on Gaza with concernJason StanleyThe history of m"&amp;"ass killings for me is never ending. And so are the lessons for todayHow did Sam Bankman-Fried attract investors? Well Fomo probably helpedJohn Naughton12h ago……As The Crown ends a gap arises. A tragi-comedy on a dysfunctional family anyone?Martha Gill12h"&amp;" ago……How two-faced Xi Jinping is exploiting war in Gaza to beget China’s new order Simon TisdallThe death of Jezebel is the end of an era of feminism. We’re worse off without itMoira DoneganWill Ukraine really join the EU? The answer lies with the countr"&amp;"ies facing the billDermot Hodson……Sign up to the US opinion emailSportsHideNWSL finalGotham FC edge OL Reign for first title as Rapinoe hurt earlyMegan Rapinoe of the OL Reign was injured early in the NWSL final on Saturday and hobbled off the field in th"&amp;"e last match of her storied career54m agoOL Reign 1-2 Gotham FCRead Beau Dure's rolling reportCollege footballMichigan grinds past Penn State to stay unbeaten despite Jim Harbaugh ban6h agoHoustonEx-NFL player and former college teammates killed in collis"&amp;"ionDJ Hayden who played nine seasons with the Raiders Lions Jaguars and Commanders was in SUV hit by speeding car8h agoMan Utd 1-0 LutonTen Hag says club in ‘very good position’ for top four finish8h agoWill UnwinProsaic win may prove to be another false "&amp;"dawnBournemouth 2-0 NewcastleSolanke doubles up to shoot down Howe's weary side8h ago……‘Very difficult’Father of Luis Díaz speaks for first time after release by Colombia guerillas3h agoSkiingShiffrin places fourth in first World Cup slalom of season afte"&amp;"r training crashArsenal 3-1 BurnleySleepy Gunners awaken to overwhelm toothless Burnley10h ago……Soccer with Jonathan Wilson: The latest on the global game        Play the Guardian's daily word game and share your score with your        friends      Play W"&amp;"ordiply""          Play           Climate crisisHideClimate crisis and China-US rivalryFive top takeaways from the Pacific’s most important summitEuropeEU strikes landmark deal on law to restore and protect nature AlaskaApproval of divisive oil project up"&amp;"held in blow to US climate goalsHazardous chemicalsUS faces almost daily accidents research suggestsAcross the countryHideAttack adsPro-Israel groups target US lawmakers critical of Israel’s war ahead of primariesRashida Tlaib and other Democratic ‘Squad’"&amp;" members – and one Republican – are targets of attack ads as critics support opponentsPhoenixDeadliest year on record as heat fatalities rise by 50%Hottest US city buffeted by extreme temperatures sees 579 heat-related deaths in 2023 with large number amo"&amp;"ng unhoused peopleGeorgiaFederal agency says it stopped measuring water pollution near ‘Cop City’Supreme courtCase heard on reinstating gun possession to people accused of domestic violenceMichiganTwo former officials sue city over ‘unconstitutional’ Prid"&amp;"e flag banEric AdamsPhones and iPad of New York mayor Eric Adams were seized by FBI report saysCaliforniaSon of Hollywood agent in custody after woman’s torso found in dumpsterDonald TrumpEx-president suggests he would use FBI to pursue political rivals i"&amp;"f elected in 2024FloridaOutrage grows after ‘chilling call for genocide’ by Republican lawmakerHollywoodContract for actors includes $40m yearly in streaming bonusesMore Across the countryLoads more stories and moves focus to first new story.Around the wo"&amp;"rldHideAustraliaMalaysian hitman released from immigration detention after high court rulingSirul Azhar Umar sentenced in Malaysia over a politically charged murder cannot be deported by Australia because he would face the death penalty1h agoHong KongGay "&amp;"Games amid China’s growing hostility to LGBTQ+ community‘Unthinkable cruelty’Kenyan expert working at Bristol University denied visa for six-year-old daughterSuella BravermanUK home secretary accused of fuelling far-right violence near war memorial10h ago"&amp;"Oysters and ice creamMenu for dinner on Titanic sold for £830009h agoParkinson’s‘Why did I get it?’: Australian research into early onset disease hopes to give patients answersUK politicsRishi Sunak faces civil war within his party as he holds off sacking"&amp;" home secretary‘It’s like a jungle’London’s pedicab cyclists welcome licenses but not price controlsAmsterdamHas ‘stay away’ tourism experiment worked?Bad drivingBMW Subaru and Porsche drivers ‘more likely to cause a crash’ study findsMore Around the worl"&amp;"dLoads more stories and moves focus to first new story.                        Wake up to a global view on America                                                Get The Guardian's top stories and best reads in one hit. Sign up for First Thing.           "&amp;"                 Read the latest here.Sign upSign upDailyPrivacy Notice: Newsletters may contain info about charities online ads and content funded by outside parties. For more information click here for our privacy policy.                                "&amp;"     We operate Google reCaptcha to protect our website and the Google Privacy Policy and Terms of Service apply.                PodcastsPodcastsWeekendWeekend podcast: Harry Potter’s stunt double on life after breaking his neck on set and Marina Hyde on "&amp;"Nadine Dorries’s new book23h agoPolitics Weekly AmericaElections 2023: Republicans lose big on issue of abortion2d agoThe Audio Long Read‘Incoherence and inconsistency’: the inside story of the Rwanda deportation plan – podcast2d agoToday in FocusSuella B"&amp;"raverman the police and the protests2d agoFootball WeeklyChaos in Copenhagen and Arsenal’s easy night – Football Weekly Extra3d agoScienceWhy is the Amazon rainforest drying up? – podcast3d agoPolitics Weekly UKThe king’s speech Suella Braverman and ‘hate"&amp;" marches’ – Politics Weekly UK 3d agodocumentariesMy Blonde GFA disturbing story of deepfake pornography. Sexually explicit images appear on a porn site with Helen's face edited onto other women’s bodies.  In this powerful short film Helen shares the impa"&amp;"ct this experience has had on her lifeWatch now18:39CultureHideSadistic and misogynistic? Argument erupts over sex claims in book about George Orwell’s marriageAuthor of acclaimed biography Wifedom hits back at critics who say book casts Orwell in an unfa"&amp;"irly negative lightNostalgia has consumed pop culture but The Holdovers does something specialAdrian HortonJudi Jackson: My American Songbook reviewA brave musical expedition 12h ago……Ezra Collective reviewA hometown triumph for jazz’s young heroes……Party"&amp;" of the People reviewRepublican strength – and weakness – examinedThe week in classicalJephtha; 7 Deaths of Maria Callas; Perfection of a Kind: Britten v Auden……From Guardian LabsHideDiscover the Laurentians a tranquil Canadian wintertime escapePaid for b"&amp;"yThis content was paid for by The Laurentians and produced by the Guardian Labs team.Head to Québec’s Lanaudière region for snowshoeing dog-sledding and skiing galore – and so much morePaid for byThis content was paid for by Lanaudière and produced by the"&amp;" Guardian Labs team.Exploring the Eastern Townships: Close to Montréal far from ordinairePaid for byThis content was paid for by Eastern Townships Québec and produced by the Guardian Labs team.See Montréal come alive this winterPaid for byThis content was"&amp;" paid for by Tourisme Montréal and produced by the Guardian Labs team.LifestyleHideSwedenHow I learned to make and sleep in a snowhole – at minus 30CKevin Rushby saw a way to fulfill his childhood dream with an adventure company in Sweden – but could he s"&amp;"ki into the snowy wilderness on a twisted ankle?Dom Joly looks back‘My wife says I’ve become slightly nicer in my 50s. I’m still very argumentative but I have relaxed a bit’……Fendi teddies and Dior perfumeThe multibillion-pound rise of baby bling The new "&amp;"veganMeera Sodha’s recipe for mushroom Guinness and pearl barley stew……The Saturday quizWhat links pickle fish chip and pastry? Try our kids’ quizWhy do we wear socks in summer and how is glass made? Soda bread ice cream and whiskey custardPatrick Powell’"&amp;"s recipes for Irish-style puddings……More LifestyleLoads more stories and moves focus to first new story.Take partHideTell usAre you struggling with medical debt in the US? People in GazaHow have you been affected by the Israel-Hamas war?People in IsraelHo"&amp;"w have you been affected by the Israel-Hamas war?Tell usWhat are your super-specific tips for getting to sleep?In case you missed itHideAnalysisWhat would Israel look like under a new leader – and who would benefit?As a former Palestinian negotiator I kno"&amp;"w Biden’s two-state solution is sheer delusionAhmad Samih KhalidiIt is nigh-on impossible to meet both Israeli security demands and Palestinian requirements for minimal ‘sovereignty’ says writer Ahmad Samih KhalidiIsrael-Hamas warFake news thrives on poor"&amp;"ly regulated online platformsClaims on X and Telegram include downplaying 7 October Hamas attack and allegations Palestinians are faking scenes of sufferingAnalysisAs its counteroffensive stalls Ukraine signals readiness for a long warThis is how we do it"&amp;"‘I rarely allow myself to have an orgasm’A shocking episode of racist violence The Wilmington North Carolina massacre of 1898MichiganDisguises subterfuge and conspiracy: college football’s sign-stealing scandal explainedMore In case you missed itLoads mor"&amp;"e stories and moves focus to first new story.VideoVideo00:02:13LondonHundreds of thousands march in support for Gaza ceasefire on Armistice Day – videoGazaOne child killed every 10 minutes on average says WHO chief 00:01:06Palestinian territoriesCrowds at"&amp;"tend funeral procession for those killed in West Bank raidWatchA safe space for Gaza’s children: 'They still have dreams for the future'00:01:46Israel-Hamas warUN-run school among shelters hit in GazaPro-Palestine protestThousands rally in London's Trafal"&amp;"gar Square00:00:44Nepal earthquakeBuildings reduced to rubble in worst quake in eight years00:01:03Storm CiaránFive dead as floods wreak havoc in Tuscany00:11:46IlyaThe AI scientist shaping the world00:01:56'I'm so full of grief'Thousands take to the stre"&amp;"ets in support of PalestineIn picturesHideLondonThousands march at pro-Palestinian rallyThe most dramatic photographs from today’s march in London where more than 300000 attended and more than 100 counter-protesters were arrested9h agoGraphic designFemale"&amp;" trailblazers of block-printed design11h agoTwenty photographs of the weekThe week around the worldSmart shot‘I just love how sisterly they are. I love the mischief’: William Lepper’s best phone picture……Photos of the dayEchidna Apophis asteroid and Taylo"&amp;"r SwiftPhotographyAustralia's Head On portrait award 2023 winners and finalistsMore In picturesLoads more stories and moves focus to first new story.        Tip us off    Share stories with the Guardian securely and confidentiallyMost viewedHideMost viewe"&amp;"d Most viewedIsraeli troops in key battle with Hamas gunmen near Gaza City hospitalOutrage grows after ‘chilling call for genocide’ by Florida Republican Ohio Republicans move to exclude judges from interpreting enshrined abortion rightsIsrael-Hamas war: "&amp;"UN calls Gaza fighting ‘reprehensible’ – as it happenedAs a former Palestinian negotiator I know Biden’s two-state solution is sheer delusionLiveNWSL championship 2023: OL Reign 1-2 Gotham FC – live reaction ‘A revenge term’: what would another four years"&amp;" of Trump look like?My life has been defined by genocide of Jewish people. I look on Gaza with concernLost in space: astronaut’s toolbag orbits Earth after escaping during spacewalkEx-Nato chief proposes Ukraine joins without Russian-occupied territoriesM"&amp;"ost commentedHow a false claim about wind turbines killing whales is spinning out of control in coastal AustraliaMost sharedIsraeli troops in key battle with Hamas gunmen near Gaza City hospitalExplore more on these topicsPalestinian territoriesIsrael-Ham"&amp;"as warIsraelGazaMiddle East and north AfricaUSWorldEnvironmentUS PoliticsUkraineSoccerBusinessTechScienceNewslettersWellnessNewsOpinionSportCultureLifestyleOriginal reporting and incisive analysis direct from the Guardian every morningSign up for our emai"&amp;"lAbout usHelpComplaints &amp; correctionsSecureDropWork for us Privacy policyCookie policyTerms &amp; conditionsContact usAll topicsAll writersDigital newspaper archiveFacebookYouTubeInstagramLinkedInTwitterNewslettersAdvertise with usGuardian LabsSearch jobsBack"&amp;" to top© 2023 Guardian News &amp; Media Limited or its affiliated companies. All rights reserved. (dcr)")</f>
        <v>News sport and opinion from the Guardian's US edition | The GuardianSkip to main contentSkip to navigationPrint subscriptions Sign inSearch jobsSearchUS editionUS editionUK editionAustralia editionInternational editionEurope editionThe Guardian - Back to homeThe GuardianNewsOpinionSportCultureLifestyleShowMoreShow MoreNewsView all NewsUS newsWorld newsEnvironmentUS politicsUkraineSoccerBusinessTechScienceNewslettersWellnessOpinionView all OpinionThe Guardian viewColumnistsLettersOpinion videosCartoonsSportView all SportSoccerNFLTennisMLBMLSNBANHLF1GolfCultureView all CultureFilmBooksMusicArt &amp; designTV &amp; radioStageClassicalGamesLifestyleView all LifestyleWellnessFashionFoodRecipesLove &amp; sexHome &amp; gardenHealth &amp; fitnessFamilyTravelMoneySearch input google-search SearchSupport usPrint subscriptionsUS editionUK editionAustralia editionInternational editionEurope editionSearch jobsDigital ArchiveGuardian Puzzles appGuardian LicensingThe Guardian appVideoPodcastsPicturesInside the GuardianGuardian WeeklyCrosswordsWordiplyCorrectionsFacebookTwitterSearch jobsDigital ArchiveGuardian Puzzles appGuardian LicensingUSWorldEnvironmentUS PoliticsUkraineSoccerBusinessTechScienceNewslettersWellnessIsrael-Hamas warHidePalestinians flee south to escape Israel's bombardments of GazaHundreds of thousands of people march for Palestine in LondonSurvivors of the Nova festival at a memorial and remembrance event in Caesarea IsraelPeople salvage belongings from a damaged building after an Israeli bombing on RafahChildren react during the funeral of a family killed by Israeli bombardment in the Gaza StripFull reportIsraeli troops in key battle with Hamas gunmen near hospital8h agoAt a glanceWhat we know on day 37LondonHundreds of thousands rally for GazaSaudi ArabiaMiddle East leaders hold emergency summit amid‘Personal and painful’How Gaza war has split families friends and colleagues in Britain11h agoFacial recognitionHow Chinese firm linked to Uyghur repression aids Israeli surveillance in West Bank12h agoHeadlinesNatoEx-chief proposes Ukraine joins without Russian-occupied territoriesFormer secretary general says partial membership would warn Russia it cannot stop Ukraine joining the allianceAnalysisAs counteroffensive stalls Ukraine signals readiness for long warUKHundreds of thousands rally for Gaza in London as police arrest far-right protesters7h agoVoting rightsLouisiana must draw new congressional map by mid-January for 2024 electionsLost in spaceAstronaut’s toolbag orbits Earth after escaping during spacewalk3h agoOhioRepublicans move to exclude judges from interpreting enshrined abortion rightsLiveNWSL final: OL Reign v Gotham FC8m agoCaliforniaControversial police-led recall vote wins key ruling8h agoDonald TrumpEx-president pushes for live broadcast of his trial over election subversion11h agoDetroitSuspect in killing of Samantha Woll released from custody without charges12h agoIdahoJudge blocks law stopping adults from helping minors seeking abortionIn focusHide ‘A revenge term’What would another four years of Trump look like?BrazilHow a prison gang became an international criminal leviathanThe PCC – First Capital Command – arose in the country’s notoriously brutal penitentiaries 30 years ago but now controls a billion-dollar drug trade supplying much of Europe’s cocaineThe British are coming!US media sees influx of Britons in top rolesWill Lewis’s helming of the Washington Post comes after the Wall Street Journal and CNN hired other UK talent as top brassSpotlightHideCaliforniaCan goats and sheep stop wildfires? This shepherdess is rallying the flockA rancher in California is training a new generation to fight fires – and foster deeper connections to the land – with farm animalsMichael Winterbottom‘Studying English at Oxford University was a mistake’Pinkpantheress‘I don’t think I’m very brandable. I dress weird. I’m shy’She may have conquered TikTok and then the Billboard charts but the UK pop phenom is still learning how to be herself in public. As she releases her debut album she discusses her rapid rise and which of her viral hits are ‘crap’……Pre-eclampsiaWhy is the condition still causing the deaths of mothers and their babies?The condition affects up to 6% of all pregnancies yet understanding of its causes and how to treat it remains basic……Dream Scenario reviewNicolas Cage is at his very best in savagely funny comedy……Communal livingFor 50 years I’ve let friends and strangers share my house – this can make for better lives for allParty of the People reviewRepublican strength – and weakness – examined‘It is a beast that needs to be tamed’Leading novelists on how AI could rewrite the futureRead more on living a good life in a complex world.OpinionHideMy life has been defined by genocide of Jewish people. I look on Gaza with concernJason StanleyThe history of mass killings for me is never ending. And so are the lessons for todayHow did Sam Bankman-Fried attract investors? Well Fomo probably helpedJohn Naughton12h ago……As The Crown ends a gap arises. A tragi-comedy on a dysfunctional family anyone?Martha Gill12h ago……How two-faced Xi Jinping is exploiting war in Gaza to beget China’s new order Simon TisdallThe death of Jezebel is the end of an era of feminism. We’re worse off without itMoira DoneganWill Ukraine really join the EU? The answer lies with the countries facing the billDermot Hodson……Sign up to the US opinion emailSportsHideNWSL finalGotham FC edge OL Reign for first title as Rapinoe hurt earlyMegan Rapinoe of the OL Reign was injured early in the NWSL final on Saturday and hobbled off the field in the last match of her storied career54m agoOL Reign 1-2 Gotham FCRead Beau Dure's rolling reportCollege footballMichigan grinds past Penn State to stay unbeaten despite Jim Harbaugh ban6h agoHoustonEx-NFL player and former college teammates killed in collisionDJ Hayden who played nine seasons with the Raiders Lions Jaguars and Commanders was in SUV hit by speeding car8h agoMan Utd 1-0 LutonTen Hag says club in ‘very good position’ for top four finish8h agoWill UnwinProsaic win may prove to be another false dawnBournemouth 2-0 NewcastleSolanke doubles up to shoot down Howe's weary side8h ago……‘Very difficult’Father of Luis Díaz speaks for first time after release by Colombia guerillas3h agoSkiingShiffrin places fourth in first World Cup slalom of season after training crashArsenal 3-1 BurnleySleepy Gunners awaken to overwhelm toothless Burnley10h ago……Soccer with Jonathan Wilson: The latest on the global game        Play the Guardian's daily word game and share your score with your        friends      Play Wordiply"          Play           Climate crisisHideClimate crisis and China-US rivalryFive top takeaways from the Pacific’s most important summitEuropeEU strikes landmark deal on law to restore and protect nature AlaskaApproval of divisive oil project upheld in blow to US climate goalsHazardous chemicalsUS faces almost daily accidents research suggestsAcross the countryHideAttack adsPro-Israel groups target US lawmakers critical of Israel’s war ahead of primariesRashida Tlaib and other Democratic ‘Squad’ members – and one Republican – are targets of attack ads as critics support opponentsPhoenixDeadliest year on record as heat fatalities rise by 50%Hottest US city buffeted by extreme temperatures sees 579 heat-related deaths in 2023 with large number among unhoused peopleGeorgiaFederal agency says it stopped measuring water pollution near ‘Cop City’Supreme courtCase heard on reinstating gun possession to people accused of domestic violenceMichiganTwo former officials sue city over ‘unconstitutional’ Pride flag banEric AdamsPhones and iPad of New York mayor Eric Adams were seized by FBI report saysCaliforniaSon of Hollywood agent in custody after woman’s torso found in dumpsterDonald TrumpEx-president suggests he would use FBI to pursue political rivals if elected in 2024FloridaOutrage grows after ‘chilling call for genocide’ by Republican lawmakerHollywoodContract for actors includes $40m yearly in streaming bonusesMore Across the countryLoads more stories and moves focus to first new story.Around the worldHideAustraliaMalaysian hitman released from immigration detention after high court rulingSirul Azhar Umar sentenced in Malaysia over a politically charged murder cannot be deported by Australia because he would face the death penalty1h agoHong KongGay Games amid China’s growing hostility to LGBTQ+ community‘Unthinkable cruelty’Kenyan expert working at Bristol University denied visa for six-year-old daughterSuella BravermanUK home secretary accused of fuelling far-right violence near war memorial10h agoOysters and ice creamMenu for dinner on Titanic sold for £830009h agoParkinson’s‘Why did I get it?’: Australian research into early onset disease hopes to give patients answersUK politicsRishi Sunak faces civil war within his party as he holds off sacking home secretary‘It’s like a jungle’London’s pedicab cyclists welcome licenses but not price controlsAmsterdamHas ‘stay away’ tourism experiment worked?Bad drivingBMW Subaru and Porsche drivers ‘more likely to cause a crash’ study findsMore Around the worldLoads more stories and moves focus to first new story.                        Wake up to a global view on America                                                Get The Guardian's top stories and best reads in one hit. Sign up for First Thing.                            Read the latest here.Sign upSign upDailyPrivacy Notice: Newsletters may contain info about charities online ads and content funded by outside parties. For more information click here for our privacy policy.                                     We operate Google reCaptcha to protect our website and the Google Privacy Policy and Terms of Service apply.                PodcastsPodcastsWeekendWeekend podcast: Harry Potter’s stunt double on life after breaking his neck on set and Marina Hyde on Nadine Dorries’s new book23h agoPolitics Weekly AmericaElections 2023: Republicans lose big on issue of abortion2d agoThe Audio Long Read‘Incoherence and inconsistency’: the inside story of the Rwanda deportation plan – podcast2d agoToday in FocusSuella Braverman the police and the protests2d agoFootball WeeklyChaos in Copenhagen and Arsenal’s easy night – Football Weekly Extra3d agoScienceWhy is the Amazon rainforest drying up? – podcast3d agoPolitics Weekly UKThe king’s speech Suella Braverman and ‘hate marches’ – Politics Weekly UK 3d agodocumentariesMy Blonde GFA disturbing story of deepfake pornography. Sexually explicit images appear on a porn site with Helen's face edited onto other women’s bodies.  In this powerful short film Helen shares the impact this experience has had on her lifeWatch now18:39CultureHideSadistic and misogynistic? Argument erupts over sex claims in book about George Orwell’s marriageAuthor of acclaimed biography Wifedom hits back at critics who say book casts Orwell in an unfairly negative lightNostalgia has consumed pop culture but The Holdovers does something specialAdrian HortonJudi Jackson: My American Songbook reviewA brave musical expedition 12h ago……Ezra Collective reviewA hometown triumph for jazz’s young heroes……Party of the People reviewRepublican strength – and weakness – examinedThe week in classicalJephtha; 7 Deaths of Maria Callas; Perfection of a Kind: Britten v Auden……From Guardian LabsHideDiscover the Laurentians a tranquil Canadian wintertime escapePaid for byThis content was paid for by The Laurentians and produced by the Guardian Labs team.Head to Québec’s Lanaudière region for snowshoeing dog-sledding and skiing galore – and so much morePaid for byThis content was paid for by Lanaudière and produced by the Guardian Labs team.Exploring the Eastern Townships: Close to Montréal far from ordinairePaid for byThis content was paid for by Eastern Townships Québec and produced by the Guardian Labs team.See Montréal come alive this winterPaid for byThis content was paid for by Tourisme Montréal and produced by the Guardian Labs team.LifestyleHideSwedenHow I learned to make and sleep in a snowhole – at minus 30CKevin Rushby saw a way to fulfill his childhood dream with an adventure company in Sweden – but could he ski into the snowy wilderness on a twisted ankle?Dom Joly looks back‘My wife says I’ve become slightly nicer in my 50s. I’m still very argumentative but I have relaxed a bit’……Fendi teddies and Dior perfumeThe multibillion-pound rise of baby bling The new veganMeera Sodha’s recipe for mushroom Guinness and pearl barley stew……The Saturday quizWhat links pickle fish chip and pastry? Try our kids’ quizWhy do we wear socks in summer and how is glass made? Soda bread ice cream and whiskey custardPatrick Powell’s recipes for Irish-style puddings……More LifestyleLoads more stories and moves focus to first new story.Take partHideTell usAre you struggling with medical debt in the US? People in GazaHow have you been affected by the Israel-Hamas war?People in IsraelHow have you been affected by the Israel-Hamas war?Tell usWhat are your super-specific tips for getting to sleep?In case you missed itHideAnalysisWhat would Israel look like under a new leader – and who would benefit?As a former Palestinian negotiator I know Biden’s two-state solution is sheer delusionAhmad Samih KhalidiIt is nigh-on impossible to meet both Israeli security demands and Palestinian requirements for minimal ‘sovereignty’ says writer Ahmad Samih KhalidiIsrael-Hamas warFake news thrives on poorly regulated online platformsClaims on X and Telegram include downplaying 7 October Hamas attack and allegations Palestinians are faking scenes of sufferingAnalysisAs its counteroffensive stalls Ukraine signals readiness for a long warThis is how we do it‘I rarely allow myself to have an orgasm’A shocking episode of racist violence The Wilmington North Carolina massacre of 1898MichiganDisguises subterfuge and conspiracy: college football’s sign-stealing scandal explainedMore In case you missed itLoads more stories and moves focus to first new story.VideoVideo00:02:13LondonHundreds of thousands march in support for Gaza ceasefire on Armistice Day – videoGazaOne child killed every 10 minutes on average says WHO chief 00:01:06Palestinian territoriesCrowds attend funeral procession for those killed in West Bank raidWatchA safe space for Gaza’s children: 'They still have dreams for the future'00:01:46Israel-Hamas warUN-run school among shelters hit in GazaPro-Palestine protestThousands rally in London's Trafalgar Square00:00:44Nepal earthquakeBuildings reduced to rubble in worst quake in eight years00:01:03Storm CiaránFive dead as floods wreak havoc in Tuscany00:11:46IlyaThe AI scientist shaping the world00:01:56'I'm so full of grief'Thousands take to the streets in support of PalestineIn picturesHideLondonThousands march at pro-Palestinian rallyThe most dramatic photographs from today’s march in London where more than 300000 attended and more than 100 counter-protesters were arrested9h agoGraphic designFemale trailblazers of block-printed design11h agoTwenty photographs of the weekThe week around the worldSmart shot‘I just love how sisterly they are. I love the mischief’: William Lepper’s best phone picture……Photos of the dayEchidna Apophis asteroid and Taylor SwiftPhotographyAustralia's Head On portrait award 2023 winners and finalistsMore In picturesLoads more stories and moves focus to first new story.        Tip us off    Share stories with the Guardian securely and confidentiallyMost viewedHideMost viewed Most viewedIsraeli troops in key battle with Hamas gunmen near Gaza City hospitalOutrage grows after ‘chilling call for genocide’ by Florida Republican Ohio Republicans move to exclude judges from interpreting enshrined abortion rightsIsrael-Hamas war: UN calls Gaza fighting ‘reprehensible’ – as it happenedAs a former Palestinian negotiator I know Biden’s two-state solution is sheer delusionLiveNWSL championship 2023: OL Reign 1-2 Gotham FC – live reaction ‘A revenge term’: what would another four years of Trump look like?My life has been defined by genocide of Jewish people. I look on Gaza with concernLost in space: astronaut’s toolbag orbits Earth after escaping during spacewalkEx-Nato chief proposes Ukraine joins without Russian-occupied territoriesMost commentedHow a false claim about wind turbines killing whales is spinning out of control in coastal AustraliaMost sharedIsraeli troops in key battle with Hamas gunmen near Gaza City hospitalExplore more on these topicsPalestinian territoriesIsrael-Hamas warIsraelGazaMiddle East and north AfricaUSWorldEnvironmentUS PoliticsUkraineSoccerBusinessTechScienceNewslettersWellnessNewsOpinionSportCultureLifestyleOriginal reporting and incisive analysis direct from the Guardian every morningSign up for our emailAbout usHelpComplaints &amp; correctionsSecureDropWork for us Privacy policyCookie policyTerms &amp; conditionsContact usAll topicsAll writersDigital newspaper archiveFacebookYouTubeInstagramLinkedInTwitterNewslettersAdvertise with usGuardian LabsSearch jobsBack to top© 2023 Guardian News &amp; Media Limited or its affiliated companies. All rights reserved. (dcr)</v>
      </c>
    </row>
    <row r="45">
      <c r="A45" s="1" t="s">
        <v>54</v>
      </c>
      <c r="B45" s="1" t="s">
        <v>187</v>
      </c>
      <c r="D45" s="1">
        <v>14.0</v>
      </c>
      <c r="E45" s="4" t="s">
        <v>188</v>
      </c>
      <c r="F45" s="1" t="s">
        <v>43</v>
      </c>
      <c r="G45" s="1" t="s">
        <v>189</v>
      </c>
      <c r="H45" s="4" t="s">
        <v>190</v>
      </c>
      <c r="I45" s="2">
        <v>1.0</v>
      </c>
      <c r="J45" s="5" t="str">
        <f>IFERROR(__xludf.DUMMYFUNCTION("GOOGLETRANSLATE(A45)"),"chatgpt")</f>
        <v>chatgpt</v>
      </c>
      <c r="K45" s="6" t="str">
        <f>IFERROR(__xludf.DUMMYFUNCTION("GOOGLETRANSLATE(B45)"),"30 Best ChatGPT Alternatives for 2023 | Free &amp; Paid")</f>
        <v>30 Best ChatGPT Alternatives for 2023 | Free &amp; Paid</v>
      </c>
      <c r="M45" s="5" t="str">
        <f>IFERROR(__xludf.DUMMYFUNCTION("GOOGLETRANSLATE(G45)"),"Writesonic - Best AI Writer Copywriting &amp; Paraphrasing ToolProductschatsonicbotsonicaudiosonicPricingsign inget startedsign inAI Content Creation &amp; Customer Experience PlatformYour One-Stop Solution for Content Creation Audio Generation Image Crafting and"&amp;" AI Chatbot Development.Get Started FreeWatch an OverviewTrusted by 5000000+ teams agencies and freelancers. 15000+ 5-star ratings.AI Content CreationWrite on-brand factual articles  in no time and rank #1 on GoogleBoost Your Brand's Influence with Trend-"&amp;"Driven SEO-Optimized Blogs Written in Your Unique Brand Voice.Get Started Free PreviousFactual Up-to-date ContentOur AI integrates with Google to pull the latest information ensuring accurate and up-to-date content.Enrich with Knowledge GraphIntegrate com"&amp;"pany data via Knowledge Graph for insightful data-backed content.Built-in SEO OptimizationWith built-in keyword optimization and the option to add your own list of keywords you can rest assured that you'll rank higher faster.Outrank CompetitorsAnalyze and"&amp;" outperform competitor content with Writesonic's advanced AI algorithms.Consistent Brand StyleEnsure every piece resonates with your unique brand voice using tailored guidelines. Next 12 ChatGPT like ChatMeet Chatsonic — Your generativeAI conversation par"&amp;"tnerThe free next-level alternative to ChatGPT for content creation and ideas. It's powered by GPT-4 and designed to tackle ChatGPT's limits.Get Started Free PreviousReal-time Trending AI GenerationsWith Chatsonic's Google Search integration engage in rea"&amp;"l-time conversations on current events and trending topics effortlessly.Multipurpose file chatUpload various formats – PDFs links blog posts videos and more; Chatsonic extracts key info and crafts content from your important documents.AI-generated artwork"&amp;"Elevate your visuals with Chatsonic's ability to create striking digital AI art for social media posts and digital campaigns.Extensive Prompt LibrarySelect from 1000+ Chatsonic prompts for various needs: sales marketing research PR and beyond.Team Collab "&amp;"Made EasyShare prompts across departments to foster teamwork and streamline your workflow for better productivity. Next 12 No-code AI Chatbot BuilderBuild no-code AI chatbotson your own data with BotsonicTrain ChatGPT on your own data and build smarter AI"&amp;" chatbots for your website. Make customer interactions your strong suit using Botsonic.Get Started Free PreviousData-driven CustomizationUpload sitemaps files and URLs to train ChatGPT on your unique data enabling this AI chatbot to assist customers with "&amp;"personalized responses.Chatbot PersonalizationCustomize your AI chatbot with logos colors and messages for a cohesive brand experience. Set starter questions and guidelines for a truly consistent experience.No-code IntegrationEasily set up Botsonic with n"&amp;"o-code; embed on your site or integrate via API for a seamless experience.Multilingual SupportReach a global audience with Botsonic's support for up to 30 languages offering multilingual capabilities.Privacy ManagementPrioritize customer privacy and secur"&amp;"ely capture leads with Botsonic's guaranteed secure environment. Next 12 Write anywhere and everywhere with the AI chrome extensionNo more switching between multiple tabs. Just  your way to Chatsonic’s Chrome extension—the ultimate shortcut for quick cont"&amp;"ent generation. Get Started FreegmailweblinkedinFrom content to success: Customer ROI storiesDiscover how our customers transformed their narratives into tangible returns.Get Started FreeSireesha ChilakamarriCTO at AdMedia5xContent Creation Transformation"&amp;" for AdmediaDiscover how Writesonic's AI-powered solutions transformed AdMedia's content generation process and reduced content queue by 65% leading to unprecedented success.Read moreLaura MalcolmCEO of Give InKind$1000sOf Dollars Saved Per Month for Give"&amp;" InKindDiscover how Give InKind harnessed the power of Writesonic to generate 3.5 million words and create 16000+ product listings while strengthening their community support platform.Read moreAdrian Hery BarrancoMarketing Officer at Biosynth5000+Scientif"&amp;"ic Product Descriptions Weekly for BiosynthDiscover how Biosynth revolutionized its content creation process merged scientific accuracy with compelling copy and boosted productivity by 375%—all with Writesonic today!Read moreThe AI-powered suite you need "&amp;"right away Accelerate your business with Writesonic.Get Started FreeProduct DescriptionsLearn moreAd CopyLearn moreImages &amp; ArtLearn moreHuman-Like VoiceoversLearn moreSummarizationLearn moreLanding PagesLearn moreSocial MediaLearn moreArticles &amp; BlogsLea"&amp;"rn moreProduct DescriptionsLearn moreAd CopyLearn moreImages &amp; ArtLearn moreHuman-Like VoiceoversLearn moreSummarizationLearn moreLanding PagesLearn moreSocial MediaLearn moreArticles &amp; BlogsLearn moreProduct DescriptionsLearn moreAd CopyLearn moreImages "&amp;"&amp; ArtLearn moreHuman-Like VoiceoversLearn moreOne platform multiple AI applicationsLearn more about WritesonicGet all your automation conversations tickets customer dataand reporting working together seamlessly. Maximize team performance by connecting all"&amp;" your other tools to our platform. Best software as voted by you.  The AI-powered solution your business needs. Power up your business with AI: Join 5M+ professionals &amp; teamsLet Writesonic be the catalyst for your business's transformation.Get Started Fre"&amp;"eToolsAI Article and Blog WriterParaphrasing ToolSentence ExpanderText SummarizerStory Generator Landing Page GeneratorFree ToolsAI Content DetectorProductsChatsonic Botsonic Audiosonic PhotosonicResourcesBlogGuides and TutorialsAPIFree TemplatesStatusCom"&amp;"panyContact Us About UsCareersHelp CenterWritesonic PricingBotsonic PricingAffiliate ProgramCreator Program© 2023 Writesonic Inc. All rights reserved.Backed by2261 Market Street #4608 San Francisco CA 94114 USATermsPrivacy Policy")</f>
        <v>Writesonic - Best AI Writer Copywriting &amp; Paraphrasing ToolProductschatsonicbotsonicaudiosonicPricingsign inget startedsign inAI Content Creation &amp; Customer Experience PlatformYour One-Stop Solution for Content Creation Audio Generation Image Crafting and AI Chatbot Development.Get Started FreeWatch an OverviewTrusted by 5000000+ teams agencies and freelancers. 15000+ 5-star ratings.AI Content CreationWrite on-brand factual articles  in no time and rank #1 on GoogleBoost Your Brand's Influence with Trend-Driven SEO-Optimized Blogs Written in Your Unique Brand Voice.Get Started Free PreviousFactual Up-to-date ContentOur AI integrates with Google to pull the latest information ensuring accurate and up-to-date content.Enrich with Knowledge GraphIntegrate company data via Knowledge Graph for insightful data-backed content.Built-in SEO OptimizationWith built-in keyword optimization and the option to add your own list of keywords you can rest assured that you'll rank higher faster.Outrank CompetitorsAnalyze and outperform competitor content with Writesonic's advanced AI algorithms.Consistent Brand StyleEnsure every piece resonates with your unique brand voice using tailored guidelines. Next 12 ChatGPT like ChatMeet Chatsonic — Your generativeAI conversation partnerThe free next-level alternative to ChatGPT for content creation and ideas. It's powered by GPT-4 and designed to tackle ChatGPT's limits.Get Started Free PreviousReal-time Trending AI GenerationsWith Chatsonic's Google Search integration engage in real-time conversations on current events and trending topics effortlessly.Multipurpose file chatUpload various formats – PDFs links blog posts videos and more; Chatsonic extracts key info and crafts content from your important documents.AI-generated artworkElevate your visuals with Chatsonic's ability to create striking digital AI art for social media posts and digital campaigns.Extensive Prompt LibrarySelect from 1000+ Chatsonic prompts for various needs: sales marketing research PR and beyond.Team Collab Made EasyShare prompts across departments to foster teamwork and streamline your workflow for better productivity. Next 12 No-code AI Chatbot BuilderBuild no-code AI chatbotson your own data with BotsonicTrain ChatGPT on your own data and build smarter AI chatbots for your website. Make customer interactions your strong suit using Botsonic.Get Started Free PreviousData-driven CustomizationUpload sitemaps files and URLs to train ChatGPT on your unique data enabling this AI chatbot to assist customers with personalized responses.Chatbot PersonalizationCustomize your AI chatbot with logos colors and messages for a cohesive brand experience. Set starter questions and guidelines for a truly consistent experience.No-code IntegrationEasily set up Botsonic with no-code; embed on your site or integrate via API for a seamless experience.Multilingual SupportReach a global audience with Botsonic's support for up to 30 languages offering multilingual capabilities.Privacy ManagementPrioritize customer privacy and securely capture leads with Botsonic's guaranteed secure environment. Next 12 Write anywhere and everywhere with the AI chrome extensionNo more switching between multiple tabs. Just  your way to Chatsonic’s Chrome extension—the ultimate shortcut for quick content generation. Get Started FreegmailweblinkedinFrom content to success: Customer ROI storiesDiscover how our customers transformed their narratives into tangible returns.Get Started FreeSireesha ChilakamarriCTO at AdMedia5xContent Creation Transformation for AdmediaDiscover how Writesonic's AI-powered solutions transformed AdMedia's content generation process and reduced content queue by 65% leading to unprecedented success.Read moreLaura MalcolmCEO of Give InKind$1000sOf Dollars Saved Per Month for Give InKindDiscover how Give InKind harnessed the power of Writesonic to generate 3.5 million words and create 16000+ product listings while strengthening their community support platform.Read moreAdrian Hery BarrancoMarketing Officer at Biosynth5000+Scientific Product Descriptions Weekly for BiosynthDiscover how Biosynth revolutionized its content creation process merged scientific accuracy with compelling copy and boosted productivity by 375%—all with Writesonic today!Read moreThe AI-powered suite you need right away Accelerate your business with Writesonic.Get Started FreeProduct DescriptionsLearn moreAd CopyLearn moreImages &amp; ArtLearn moreHuman-Like VoiceoversLearn moreSummarizationLearn moreLanding PagesLearn moreSocial MediaLearn moreArticles &amp; BlogsLearn moreProduct DescriptionsLearn moreAd CopyLearn moreImages &amp; ArtLearn moreHuman-Like VoiceoversLearn moreSummarizationLearn moreLanding PagesLearn moreSocial MediaLearn moreArticles &amp; BlogsLearn moreProduct DescriptionsLearn moreAd CopyLearn moreImages &amp; ArtLearn moreHuman-Like VoiceoversLearn moreOne platform multiple AI applicationsLearn more about WritesonicGet all your automation conversations tickets customer dataand reporting working together seamlessly. Maximize team performance by connecting all your other tools to our platform. Best software as voted by you.  The AI-powered solution your business needs. Power up your business with AI: Join 5M+ professionals &amp; teamsLet Writesonic be the catalyst for your business's transformation.Get Started FreeToolsAI Article and Blog WriterParaphrasing ToolSentence ExpanderText SummarizerStory Generator Landing Page GeneratorFree ToolsAI Content DetectorProductsChatsonic Botsonic Audiosonic PhotosonicResourcesBlogGuides and TutorialsAPIFree TemplatesStatusCompanyContact Us About UsCareersHelp CenterWritesonic PricingBotsonic PricingAffiliate ProgramCreator Program© 2023 Writesonic Inc. All rights reserved.Backed by2261 Market Street #4608 San Francisco CA 94114 USATermsPrivacy Policy</v>
      </c>
    </row>
    <row r="46">
      <c r="A46" s="1" t="s">
        <v>54</v>
      </c>
      <c r="B46" s="1" t="s">
        <v>55</v>
      </c>
      <c r="D46" s="1">
        <v>15.0</v>
      </c>
      <c r="E46" s="4" t="s">
        <v>191</v>
      </c>
      <c r="F46" s="1" t="s">
        <v>43</v>
      </c>
      <c r="I46" s="2">
        <v>3.0</v>
      </c>
      <c r="J46" s="5" t="str">
        <f>IFERROR(__xludf.DUMMYFUNCTION("GOOGLETRANSLATE(A46)"),"chatgpt")</f>
        <v>chatgpt</v>
      </c>
      <c r="K46" s="6" t="str">
        <f>IFERROR(__xludf.DUMMYFUNCTION("GOOGLETRANSLATE(B46)"),"ChatGPT")</f>
        <v>ChatGPT</v>
      </c>
    </row>
    <row r="47">
      <c r="A47" s="1" t="s">
        <v>54</v>
      </c>
      <c r="B47" s="1" t="s">
        <v>192</v>
      </c>
      <c r="C47" s="1" t="s">
        <v>179</v>
      </c>
      <c r="D47" s="1">
        <v>16.0</v>
      </c>
      <c r="E47" s="4" t="s">
        <v>193</v>
      </c>
      <c r="F47" s="1" t="s">
        <v>43</v>
      </c>
      <c r="G47" s="1" t="s">
        <v>194</v>
      </c>
      <c r="H47" s="4" t="s">
        <v>195</v>
      </c>
      <c r="I47" s="2">
        <v>1.0</v>
      </c>
      <c r="J47" s="5" t="str">
        <f>IFERROR(__xludf.DUMMYFUNCTION("GOOGLETRANSLATE(A47)"),"chatgpt")</f>
        <v>chatgpt</v>
      </c>
      <c r="K47" s="6" t="str">
        <f>IFERROR(__xludf.DUMMYFUNCTION("GOOGLETRANSLATE(B47)"),"OpenAI is letting anyone create their own version of ChatGPT")</f>
        <v>OpenAI is letting anyone create their own version of ChatGPT</v>
      </c>
      <c r="L47" s="5" t="str">
        <f>IFERROR(__xludf.DUMMYFUNCTION("GOOGLETRANSLATE(C47)"),"4 days ago -")</f>
        <v>4 days ago -</v>
      </c>
      <c r="M47" s="5" t="str">
        <f>IFERROR(__xludf.DUMMYFUNCTION("GOOGLETRANSLATE(G47)"),"The VergeSkip to main contentThe Verge homepageThe VergeThe Verge logo./Tech/Reviews/Science/Entertainment/MoreMenuExpandThe VergeThe Verge logo.Apple MacBook Pro 16 M3 Max reviewIt’s undoubtedly fast powerful and earns the Pro moniker. It’ll also cost yo"&amp;"u a pretty penny.Victoria SongNov 10|CommentsTop Stories11Sony’s new ‘slim’ PlayStation 5 is smaller but also weirderAntonio G. Di BenedettoNov 10|Comments22Loki’s season 2 finale dug deep to find a meaning in all of Marvel’s madnessCharles Pulliam-MooreN"&amp;"ov 11|Comments33Pushy checkout screens are helping ‘tipflation’Victoria SongNov 11|Comments44The Verge’s staff tries to survive the holiday seasonVerge StaffNov 10|Comments55Hades is coming to NetflixAsh ParrishNov 11|CommentsToday’s StorystreamFeed refre"&amp;"shed WExternal LinkCommentsWes DavisNov 11LinkThere’s good account security and then there’s this.Cybersecurity blogger Brian Krebs wrote today — a little over a year from his 2022 article describing the same issue — that anyone can usurp someone else’s E"&amp;"xperian credit account simply by creating a new account. He described what happens after you do so based on his own experience regaining his own stolen Experian account:After that your new account is created and you’re directed to the Experian dashboard w"&amp;"hich allows you to view your full credit file and freeze or unfreeze it.At this point Experian will send a message to the old email address tied to the account saying certain aspects of the user profile have changed. But this message isn’t a request seeki"&amp;"ng verification: It’s just a notification from Experian that the account’s user data has changed and the original user is offered zero recourse here other than to a click a link to log in at Experian.com.It’s Still Easy for Anyone to Become You at Experia"&amp;"n[briankrebs]NetflixNetflixNetflix’s Terminator anime gets the briefest of teasersAndrew WebsterNov 11|CommentsNetflixNetflixNetflix’s next Neil Gaiman adaptation is Dead Boy DetectivesAndrew WebsterNov 11|CommentsDYoutubeCommentsDavid PierceNov 11LinkWat"&amp;"ch the Vergecast crew talk Humane and ChatGPT — and what it’s like to go Full Dex.Because Nilay doesn’t usually have enough stuff to fiddle with during the Vergecast recordings you know what I mean? There was a ton of news this week from the AI Pin to the"&amp;" Steam Deck to custom GPTs. But that’s all just the sideshow to the grand (or not so grand) finale of Nilay’s experiments with Samsung Dex. Is it the end of the road or the beginning of the future? You be the judge.AYoutubeCommentsAndrew WebsterNov 11Link"&amp;"The distressed look.Saturday’s edition of Geeked Week opened with the first trailer for Damsel in which “a dutiful damsel agrees to marry a handsome prince only to find the royal family has recruited her as a sacrifice to repay an ancient debt.” It stars "&amp;"Millie Bobby Brown as the princess is directed by Juan Carlos Fresnadillo and will hit Netflix in 2024.WExternal LinkCommentsWes DavisNov 11LinkGoogle’s Jigsaw team created a free tool for small platforms to deal with terrorist content.Wired reported yest"&amp;"erday that the “Altitude” tool gives small user-created content platforms access to a central database of content deemed to be created by terrorist organizations. Altitude joins similar past Jigsaw tools for toxic speech moderation and CSAM identification"&amp;". The database maintained by the UN-backed online counter-terrorism group Tech Against Terrorism is already used by major tech companies. This New Tool Aims to Keep Terrorism Content Off the Internet[WIRED]Most PopularMost PopularMost PopularHumane offici"&amp;"ally launches the AI Pin its OpenAI-powered wearableDavid PierceNov 9|CommentsSony’s new ‘slim’ PlayStation 5 is smaller but also weirderAntonio G. Di BenedettoNov 10|CommentsNew teaser for Netflix’s 3 Body Problem series will make you want to play the ga"&amp;"meCharles Pulliam-MooreNov 10|CommentsGoogle offered Netflix a sweetheart deal to pay just 10 percent on Google PlaySean HollisterNov 10|CommentsApple reportedly cut a deal to get cleaner Amazon pagesEmma RothNov 10|CommentsRExternal LinkCommentsRichard L"&amp;"awlerNov 11LinkWhat could possibly go wrong again?Following a jury's conviction of former FTX boss Sam Bankman-Fried on fraud charges the Wall Street Journal reports that several former FTX employees including former general counsel Can Sun are involved i"&amp;"n launching a new cryptocurrency exchange based on Dubai.Sun and Ferrante said they wanted to use the lessons they learned from FTX’s failure to protect user funds. Backpack Exchange the name under which Trek Labs will do business will use Backpack’s tech"&amp;"nology to allow users to hold funds in their own “self-custody” crypto wallets that the exchange itself wouldn’t be able to unilaterally access they said.Key Witness at Sam Bankman-Fried Trial to Launch New Crypto Exchange[WSJ]AdvertisementAdvertisementAd"&amp;"vertiser ContentAYoutubeCommentsAndrew WebsterNov 11LinkAnother afternoon of Netflix announcements.For the third day in a row Netflix is streaming a whole bunch of news about its upcoming shows movies and games. Today’s once again takes place at 4PM ET an"&amp;"d will include among other things a first look at the film Damsel with Stranger Things star Millie Bobby Brown.WQuoteCommentsWes DavisNov 11LinkHumane is hiring if you’re an Android developer looking for a job.Humane didn’t explicitly say what underpins t"&amp;"he Ai Pin’s “Cosmos” operating system when it announced it this week. A Threads user spotted this nugget in a job posting on the company’s website which has a pretty strong hint:Work alongside our System Software team to tightly integrate and customize ou"&amp;"r usage of Android OS (AOSP)TeslaTeslaIs the Cybertruck’s wiper actually multiple wipers in a row? An investigationNilay PatelNov 10|CommentsWCommentsWes DavisNov 11LinkI can’t emphasize this enough but nothing was greater than McDonald’s in the ‘80s.Ther"&amp;"e’s plenty to criticize about the company but tell that to 7-year-old me climbing up into that hamburger cop’s head.Anyway here are some behind-the-scenes pictures from the Loki McDonald’s episode. While we’re at it here’s the McDonald’s scene from Mac an"&amp;"d Me. And an AI-upscaled Mac Tonight commercial.WCommentsWes DavisNov 11LinkSuperman Legacy is still on time.Not every comic book movie is getting a studio delay following the end of the actors strike. James Gunn posted on Threads today that Superman Lega"&amp;"cy will still reboot the DC extended universe on its original planned date of July 11th 2025.If you need your Zac Snyder-era DCEU fix much of it will shamble on next month on Netflix.TechTechThe Screen Actors Guild’s strike-ending deal has entered its fin"&amp;"al stepWes DavisNov 11|CommentsMint is going away but these easy budgeting apps can take its placeMint will disappear at the end of the year but there are other apps that can help you watch your budget.Barbara KrasnoffNov 10|CommentsWThe VergeCommentsWes "&amp;"DavisNov 11LinkBlue Beetle will start streaming on Max next week.I missed this in theaters but I’m excited to catch up on it when it debuts on November 17th as Warner Bros. Discovery announced yesterday. Maybe the movie is a decade late as Charles said in"&amp;" his review. But as a person who’s always fallen more on the DC side of the fence this bit from his review’s opening paragraph has me looking forward to finally seeing it anyway:Blue Beetle feels like the end result of a creative team thoughtfully executi"&amp;"ng a plan to replicate certain elements of what’s made rival studio Marvel’s films so successful — and not just Warner Bros. clumsily trying to play catch-up.Blue Beetle is the kitschy sort of superhero throwback DC should have been making years agoCharle"&amp;"s Pulliam-MooreAug 16WExternal LinkCommentsWes DavisNov 11LinkYep that sounds about right.Business Insider assigned two journalists the task of scrolling 500 TikTok videos each to tally up the number of ads they saw. Both reported that around 30 percent o"&amp;"f the content was sponsored. Insider notes that’s similar to broadcast TV’s roughly 28 percent. TikTok’s been testing an ad-free tier for five bucks a month so at least there’s that.We watched 1000 TikToks in one sitting. The algorithm served up a shockin"&amp;"g number of ads rivaling network TV.[Insider]WExternal LinkCommentsWes DavisNov 11LinkFree pizza coupons are a risky business when the internet is involved.Domino’s apparently flew too close to the sun this week when the internet figured out via the alway"&amp;"s-reliable Wario64 and others that its free pizza codes were infinitely reusable. Read all about the chaos in Kotaku’s story.Chaos At Domino’s After Free Pizza Glitch Goes Viral[Kotaku]TechTechSee all TechTechValve reveals the Steam Deck OLED: $549 buys b"&amp;"etter screen battery and moreSean HollisterNov 9|CommentsSony’s new ‘slim’ PlayStation 5 is smaller but also weirderAntonio G. Di BenedettoNov 10|CommentsGoogle won’t say if companies beyond Spotify got secret special app store dealsSean HollisterNov 9|Co"&amp;"mmentsAppleAppleApple’s midrange ‘Pro’ M3 chip isn’t looking like a huge upgradeUmar ShakirNov 11|CommentsACommentsAndrew WebsterNov 11LinkA marvelous weekend for entertainment.Leading the way this week is The Marvels which it turns out is actually quite "&amp;"fun. Dream Scenario is also in theaters (it was one of our favorites from TIFF this year) this weekend while David Fincher’s The Killer is now streaming on Netflix.Elsewhere Loki just wrapped up its second season on Disney Plus The Invincible brings a har"&amp;"d sci-fi adventure to next-gen consoles and PC Apple Arcade hit Air Twister is finally on PC and console and Mario Kart 8 Deluxe’s huge wave of new tracks is now complete.PreviousNext1/7The Marvels. Image: Marvel StudiosHumane officially launches the AI P"&amp;"in its OpenAI-powered wearableIt’s a gadget designed for talking to large-language model AIs instead of typing into apps.David PierceNov 9|CommentsDealsDealsSony’s comfy LinkBuds S earbuds are at their lowest price for a limited timeAntonio G. Di Benedett"&amp;"oNov 11|CommentsGadgetsGadgetsOf course Dbrand’s first novelty keycaps include a ‘fuck off’ keyJon PorterNov 11|CommentsRQuoteCommentsRichard LawlerNov 11LinkSpaceX hypes up its next Starship flight test while ignoring a report about workplace injuries.Th"&amp;"e FAA still hasn’t cleared SpaceX to attempt another Starship orbital launch from its Boca Chica TX site after the first one caused significant damage to the pad and surrounding environment. SpaceX’s website and this teaser trailer indicate it’s ready to "&amp;"try again as soon as November 17th.Those are also popping up on the same day as a report from Reuters documenting 600 injuries to SpaceX workers since 2014.The records included reports of more than 100 workers suffering cuts or lacerations 29 with broken "&amp;"bones or dislocations 17 whose hands or fingers were “crushed” and nine with head injuries including one skull fracture four concussions and one traumatic brain injury. Musk himself at times appeared cavalier about safety on visits to SpaceX sites: Four e"&amp;"mployees said he sometimes played with a novelty flamethrower and discouraged workers from wearing safety yellow because he dislikes bright colors.PodcastsPodcastsSee more PodcastsPodcastsToday on the Vergecast: we talk about that new pin that wants to re"&amp;"place the phone.Alex CranzNov 10|CommentsWhat’s at stake in Epic Games’ fight to open up the Google Play Store?Makena KellyNov 8|CommentsBarack Obama on AI free speech and the future of the internetNilay PatelNov 7|CommentsHandheld gaming is the future — "&amp;"againDavid PierceNov 6|CommentsToday on The Vergecast: Google searches iPhone videos and being mad on the internet.David PierceNov 3|CommentsAppleAppleApple reportedly cut a deal to get cleaner Amazon pagesEmma RothNov 10|CommentsRCommentsRichard LawlerNo"&amp;"v 8LinkBarack Obama on AI free speech and the future of the internet.In a sitdown with Verge EIC Nilay Patel on Decoder the 44th president discussed Joe Biden’s recently-signed executive order about AI why Obama disagrees with the idea that social network"&amp;"s are a “common carrier” and which iPhone apps he uses the most now that he’s no longer president and he can use an iPhone.InstagramInstagramAd-free Instagram and Facebook is here — and it’s expensiveRichard LawlerNov 10|CommentsETwitterCommentsEmma RothN"&amp;"ov 10LinkNaughty Dog is losing another executive.The Last of Us developer announced head of technology Christian Gyrling is leaving the company after 17 years. In addition to layoffs Naughty Dog has seen quite a few executive departures with co-president "&amp;"Evan Wells and narrative designer Josh Scherr leaving earlier this year.NetflixNetflixNew teaser for Netflix’s 3 Body Problem series will make you want to play the gameCharles Pulliam-MooreNov 10|CommentsNetflixNetflixThe first trailer of Netflix’s live-a"&amp;"ction Yu Yu Hakusho is missing one crucial thingAsh ParrishNov 10|CommentsScienceScienceSee all ScienceScienceRedwood Materials will recycle stationary storage batteries as it expands its scopeAndrew J. HawkinsNov 7|CommentsAmazon’s latest Prime perk is a"&amp;" $100 discount on One MedicalChris WelchNov 8|CommentsThe Tsubame Archax is the coolest $3 million mecha on Earth — and soon the MoonTim StevensOct 30|CommentsAll the biggest news from Netflix Geeked Week 2023Avatar: The Last Airbender Scott Pilgrim Takes"&amp;" Off Devil May Cry Stranger Things and 3 Body Problem are all showing out at Netflix’s Geeked 2023 showcase.Charles Pulliam-MooreNov 11|CommentsNetflixNetflixThe Witcher continues on Netflix with the Sirens of the Deep animated movieAndrew WebsterNov 10|C"&amp;"ommentsCreatorsCreatorsThe strikes are over — cue the rewatch podcastsAriel ShapiroNov 10|CommentsEExternal LinkCommentsEmma RothNov 10LinkMaine says MOVEit hackers accessed the information of 1.3 million people.The state government disclosed the breach i"&amp;"n a notice posted to its website stating that social security numbers birthdates and driver’s license numbers “may have been involved” in the incident:On May 31 2023 the State of Maine became aware of a software vulnerability in MOVEit a third-party file "&amp;"transfer tool owned by Progress Software and used by thousands of entities worldwide to send and receive data. The software vulnerability was exploited by a group of cybercriminals and allowed them to access and download files belonging to certain agencie"&amp;"s in the State of Maine between May 28 2023 and May 29 2023.It adds that anyone who wants to know whether their data was affected by the breach can contact Maine’s dedicated call center.Maine govt notifies 1.3 million people of MOVEit data breach[Bleeping"&amp;"Computer]FilmFilmWarner Bros. Discovery just canned another nearly finished filmEmma RothNov 10|CommentsUYoutubeCommentsUmar ShakirNov 10LinkApple’s Space Black aluminum took ‘a lot of R&amp;D for the sake of aesthetics.’iFixit did some digging on the new Mac"&amp;"Book Pro and found that Apple’s anodization and dying process must have taken “a huge amount of effort and trial and error” according to metallurgist David Niebuhr.Under a microscope Space Black had higher peaks and lower valleys from an etching process t"&amp;"han Space Gray. It still shows light fingerprints but iFixit gives Apple an “A-for-effort.”CreatorsCreatorsSee all CreatorsCreatorsSiriusXM needs to attract a younger audience — its new app isn’t enoughAriel ShapiroNov 9|CommentsChatGPT is powering a new "&amp;"kind of Snapchat lensMia SatoNov 9|CommentsYouTube pages are getting a TikTok-like For You feedWes DavisNov 8|CommentsEpic v. Google: everything we’re learning live in Fortnite courtIn a redux of a case against Apple and iOS Epic aims to dismantle barrier"&amp;"s that could spell higher fees for app makers — and Google argues keep Android safe and competitive.Adi RobertsonNov 10|CommentsEYoutubeCommentsEmma RothNov 10LinkEver wonder why Smash Bros. stopped including those neat character cutscenes?Well it’s appar"&amp;"ently because the clips kept getting leaked Super Smash Bros. creator Masahiro Sakurai says in a video posted to his YouTube channel. The cutscenes which Sakurai stopped including after SSB Brawl for the Wii appear when you complete adventure mode.“We put"&amp;" a lot of money and effort into making them but before the game even came out people were posting them online” Sakurai said. “This meant they really weren’t much of a reward so I decided to stop making movies that cut in during gameplay.”AndroidAndroidQua"&amp;"lcomm’s satellite SOS for Android feature didn’t make it to launchJacob KastrenakesNov 10|CommentsDealsDealsThe Nintendo Switch OLED and Xbox Series X are on sale with a $75 Dell gift cardSheena VasaniNov 10|CommentsACommentsAlex CranzNov 10LinkToday on t"&amp;"he Vergecast: we talk about that new pin that wants to replace the phone.I won’t spoil things but we spend quite a while talking about Humane’s AI Pin and what a device needs to be to get us to put down our phones. We also talk about the other big AI news"&amp;" of the week: Open AI’s new app store. Its no-code approach to building new GPTs seems very cool even if its approach to compensating new GPT builders seems decidedly less so.All that plus a steamy lightning round.PaginationMore StoriesEntertainmentEntert"&amp;"ainmentSee all EntertainmentEntertainmentLoki’s season 2 finale dug deep to find a meaning in all of Marvel’s madnessCharles Pulliam-MooreNov 11|CommentsAll the biggest news from Netflix Geeked Week 2023Charles Pulliam-MooreNov 11|CommentsHades is coming "&amp;"to NetflixAsh ParrishNov 11|CommentsThe VergeThe Verge logo.Terms of UsePrivacy NoticeCookie PolicyDo Not Sell Or Share My Personal InfoLicensing FAQAccessibilityPlatform StatusHow We Rate and Review ProductsContactTip UsCommunity GuidelinesAboutEthics St"&amp;"atementThe Verge is a vox media networkAdvertise with usJobs @ Vox Media© 2023 Vox Media LLC. All Rights Reserved")</f>
        <v>The VergeSkip to main contentThe Verge homepageThe VergeThe Verge logo./Tech/Reviews/Science/Entertainment/MoreMenuExpandThe VergeThe Verge logo.Apple MacBook Pro 16 M3 Max reviewIt’s undoubtedly fast powerful and earns the Pro moniker. It’ll also cost you a pretty penny.Victoria SongNov 10|CommentsTop Stories11Sony’s new ‘slim’ PlayStation 5 is smaller but also weirderAntonio G. Di BenedettoNov 10|Comments22Loki’s season 2 finale dug deep to find a meaning in all of Marvel’s madnessCharles Pulliam-MooreNov 11|Comments33Pushy checkout screens are helping ‘tipflation’Victoria SongNov 11|Comments44The Verge’s staff tries to survive the holiday seasonVerge StaffNov 10|Comments55Hades is coming to NetflixAsh ParrishNov 11|CommentsToday’s StorystreamFeed refreshed WExternal LinkCommentsWes DavisNov 11LinkThere’s good account security and then there’s this.Cybersecurity blogger Brian Krebs wrote today — a little over a year from his 2022 article describing the same issue — that anyone can usurp someone else’s Experian credit account simply by creating a new account. He described what happens after you do so based on his own experience regaining his own stolen Experian account:After that your new account is created and you’re directed to the Experian dashboard which allows you to view your full credit file and freeze or unfreeze it.At this point Experian will send a message to the old email address tied to the account saying certain aspects of the user profile have changed. But this message isn’t a request seeking verification: It’s just a notification from Experian that the account’s user data has changed and the original user is offered zero recourse here other than to a click a link to log in at Experian.com.It’s Still Easy for Anyone to Become You at Experian[briankrebs]NetflixNetflixNetflix’s Terminator anime gets the briefest of teasersAndrew WebsterNov 11|CommentsNetflixNetflixNetflix’s next Neil Gaiman adaptation is Dead Boy DetectivesAndrew WebsterNov 11|CommentsDYoutubeCommentsDavid PierceNov 11LinkWatch the Vergecast crew talk Humane and ChatGPT — and what it’s like to go Full Dex.Because Nilay doesn’t usually have enough stuff to fiddle with during the Vergecast recordings you know what I mean? There was a ton of news this week from the AI Pin to the Steam Deck to custom GPTs. But that’s all just the sideshow to the grand (or not so grand) finale of Nilay’s experiments with Samsung Dex. Is it the end of the road or the beginning of the future? You be the judge.AYoutubeCommentsAndrew WebsterNov 11LinkThe distressed look.Saturday’s edition of Geeked Week opened with the first trailer for Damsel in which “a dutiful damsel agrees to marry a handsome prince only to find the royal family has recruited her as a sacrifice to repay an ancient debt.” It stars Millie Bobby Brown as the princess is directed by Juan Carlos Fresnadillo and will hit Netflix in 2024.WExternal LinkCommentsWes DavisNov 11LinkGoogle’s Jigsaw team created a free tool for small platforms to deal with terrorist content.Wired reported yesterday that the “Altitude” tool gives small user-created content platforms access to a central database of content deemed to be created by terrorist organizations. Altitude joins similar past Jigsaw tools for toxic speech moderation and CSAM identification. The database maintained by the UN-backed online counter-terrorism group Tech Against Terrorism is already used by major tech companies. This New Tool Aims to Keep Terrorism Content Off the Internet[WIRED]Most PopularMost PopularMost PopularHumane officially launches the AI Pin its OpenAI-powered wearableDavid PierceNov 9|CommentsSony’s new ‘slim’ PlayStation 5 is smaller but also weirderAntonio G. Di BenedettoNov 10|CommentsNew teaser for Netflix’s 3 Body Problem series will make you want to play the gameCharles Pulliam-MooreNov 10|CommentsGoogle offered Netflix a sweetheart deal to pay just 10 percent on Google PlaySean HollisterNov 10|CommentsApple reportedly cut a deal to get cleaner Amazon pagesEmma RothNov 10|CommentsRExternal LinkCommentsRichard LawlerNov 11LinkWhat could possibly go wrong again?Following a jury's conviction of former FTX boss Sam Bankman-Fried on fraud charges the Wall Street Journal reports that several former FTX employees including former general counsel Can Sun are involved in launching a new cryptocurrency exchange based on Dubai.Sun and Ferrante said they wanted to use the lessons they learned from FTX’s failure to protect user funds. Backpack Exchange the name under which Trek Labs will do business will use Backpack’s technology to allow users to hold funds in their own “self-custody” crypto wallets that the exchange itself wouldn’t be able to unilaterally access they said.Key Witness at Sam Bankman-Fried Trial to Launch New Crypto Exchange[WSJ]AdvertisementAdvertisementAdvertiser ContentAYoutubeCommentsAndrew WebsterNov 11LinkAnother afternoon of Netflix announcements.For the third day in a row Netflix is streaming a whole bunch of news about its upcoming shows movies and games. Today’s once again takes place at 4PM ET and will include among other things a first look at the film Damsel with Stranger Things star Millie Bobby Brown.WQuoteCommentsWes DavisNov 11LinkHumane is hiring if you’re an Android developer looking for a job.Humane didn’t explicitly say what underpins the Ai Pin’s “Cosmos” operating system when it announced it this week. A Threads user spotted this nugget in a job posting on the company’s website which has a pretty strong hint:Work alongside our System Software team to tightly integrate and customize our usage of Android OS (AOSP)TeslaTeslaIs the Cybertruck’s wiper actually multiple wipers in a row? An investigationNilay PatelNov 10|CommentsWCommentsWes DavisNov 11LinkI can’t emphasize this enough but nothing was greater than McDonald’s in the ‘80s.There’s plenty to criticize about the company but tell that to 7-year-old me climbing up into that hamburger cop’s head.Anyway here are some behind-the-scenes pictures from the Loki McDonald’s episode. While we’re at it here’s the McDonald’s scene from Mac and Me. And an AI-upscaled Mac Tonight commercial.WCommentsWes DavisNov 11LinkSuperman Legacy is still on time.Not every comic book movie is getting a studio delay following the end of the actors strike. James Gunn posted on Threads today that Superman Legacy will still reboot the DC extended universe on its original planned date of July 11th 2025.If you need your Zac Snyder-era DCEU fix much of it will shamble on next month on Netflix.TechTechThe Screen Actors Guild’s strike-ending deal has entered its final stepWes DavisNov 11|CommentsMint is going away but these easy budgeting apps can take its placeMint will disappear at the end of the year but there are other apps that can help you watch your budget.Barbara KrasnoffNov 10|CommentsWThe VergeCommentsWes DavisNov 11LinkBlue Beetle will start streaming on Max next week.I missed this in theaters but I’m excited to catch up on it when it debuts on November 17th as Warner Bros. Discovery announced yesterday. Maybe the movie is a decade late as Charles said in his review. But as a person who’s always fallen more on the DC side of the fence this bit from his review’s opening paragraph has me looking forward to finally seeing it anyway:Blue Beetle feels like the end result of a creative team thoughtfully executing a plan to replicate certain elements of what’s made rival studio Marvel’s films so successful — and not just Warner Bros. clumsily trying to play catch-up.Blue Beetle is the kitschy sort of superhero throwback DC should have been making years agoCharles Pulliam-MooreAug 16WExternal LinkCommentsWes DavisNov 11LinkYep that sounds about right.Business Insider assigned two journalists the task of scrolling 500 TikTok videos each to tally up the number of ads they saw. Both reported that around 30 percent of the content was sponsored. Insider notes that’s similar to broadcast TV’s roughly 28 percent. TikTok’s been testing an ad-free tier for five bucks a month so at least there’s that.We watched 1000 TikToks in one sitting. The algorithm served up a shocking number of ads rivaling network TV.[Insider]WExternal LinkCommentsWes DavisNov 11LinkFree pizza coupons are a risky business when the internet is involved.Domino’s apparently flew too close to the sun this week when the internet figured out via the always-reliable Wario64 and others that its free pizza codes were infinitely reusable. Read all about the chaos in Kotaku’s story.Chaos At Domino’s After Free Pizza Glitch Goes Viral[Kotaku]TechTechSee all TechTechValve reveals the Steam Deck OLED: $549 buys better screen battery and moreSean HollisterNov 9|CommentsSony’s new ‘slim’ PlayStation 5 is smaller but also weirderAntonio G. Di BenedettoNov 10|CommentsGoogle won’t say if companies beyond Spotify got secret special app store dealsSean HollisterNov 9|CommentsAppleAppleApple’s midrange ‘Pro’ M3 chip isn’t looking like a huge upgradeUmar ShakirNov 11|CommentsACommentsAndrew WebsterNov 11LinkA marvelous weekend for entertainment.Leading the way this week is The Marvels which it turns out is actually quite fun. Dream Scenario is also in theaters (it was one of our favorites from TIFF this year) this weekend while David Fincher’s The Killer is now streaming on Netflix.Elsewhere Loki just wrapped up its second season on Disney Plus The Invincible brings a hard sci-fi adventure to next-gen consoles and PC Apple Arcade hit Air Twister is finally on PC and console and Mario Kart 8 Deluxe’s huge wave of new tracks is now complete.PreviousNext1/7The Marvels. Image: Marvel StudiosHumane officially launches the AI Pin its OpenAI-powered wearableIt’s a gadget designed for talking to large-language model AIs instead of typing into apps.David PierceNov 9|CommentsDealsDealsSony’s comfy LinkBuds S earbuds are at their lowest price for a limited timeAntonio G. Di BenedettoNov 11|CommentsGadgetsGadgetsOf course Dbrand’s first novelty keycaps include a ‘fuck off’ keyJon PorterNov 11|CommentsRQuoteCommentsRichard LawlerNov 11LinkSpaceX hypes up its next Starship flight test while ignoring a report about workplace injuries.The FAA still hasn’t cleared SpaceX to attempt another Starship orbital launch from its Boca Chica TX site after the first one caused significant damage to the pad and surrounding environment. SpaceX’s website and this teaser trailer indicate it’s ready to try again as soon as November 17th.Those are also popping up on the same day as a report from Reuters documenting 600 injuries to SpaceX workers since 2014.The records included reports of more than 100 workers suffering cuts or lacerations 29 with broken bones or dislocations 17 whose hands or fingers were “crushed” and nine with head injuries including one skull fracture four concussions and one traumatic brain injury. Musk himself at times appeared cavalier about safety on visits to SpaceX sites: Four employees said he sometimes played with a novelty flamethrower and discouraged workers from wearing safety yellow because he dislikes bright colors.PodcastsPodcastsSee more PodcastsPodcastsToday on the Vergecast: we talk about that new pin that wants to replace the phone.Alex CranzNov 10|CommentsWhat’s at stake in Epic Games’ fight to open up the Google Play Store?Makena KellyNov 8|CommentsBarack Obama on AI free speech and the future of the internetNilay PatelNov 7|CommentsHandheld gaming is the future — againDavid PierceNov 6|CommentsToday on The Vergecast: Google searches iPhone videos and being mad on the internet.David PierceNov 3|CommentsAppleAppleApple reportedly cut a deal to get cleaner Amazon pagesEmma RothNov 10|CommentsRCommentsRichard LawlerNov 8LinkBarack Obama on AI free speech and the future of the internet.In a sitdown with Verge EIC Nilay Patel on Decoder the 44th president discussed Joe Biden’s recently-signed executive order about AI why Obama disagrees with the idea that social networks are a “common carrier” and which iPhone apps he uses the most now that he’s no longer president and he can use an iPhone.InstagramInstagramAd-free Instagram and Facebook is here — and it’s expensiveRichard LawlerNov 10|CommentsETwitterCommentsEmma RothNov 10LinkNaughty Dog is losing another executive.The Last of Us developer announced head of technology Christian Gyrling is leaving the company after 17 years. In addition to layoffs Naughty Dog has seen quite a few executive departures with co-president Evan Wells and narrative designer Josh Scherr leaving earlier this year.NetflixNetflixNew teaser for Netflix’s 3 Body Problem series will make you want to play the gameCharles Pulliam-MooreNov 10|CommentsNetflixNetflixThe first trailer of Netflix’s live-action Yu Yu Hakusho is missing one crucial thingAsh ParrishNov 10|CommentsScienceScienceSee all ScienceScienceRedwood Materials will recycle stationary storage batteries as it expands its scopeAndrew J. HawkinsNov 7|CommentsAmazon’s latest Prime perk is a $100 discount on One MedicalChris WelchNov 8|CommentsThe Tsubame Archax is the coolest $3 million mecha on Earth — and soon the MoonTim StevensOct 30|CommentsAll the biggest news from Netflix Geeked Week 2023Avatar: The Last Airbender Scott Pilgrim Takes Off Devil May Cry Stranger Things and 3 Body Problem are all showing out at Netflix’s Geeked 2023 showcase.Charles Pulliam-MooreNov 11|CommentsNetflixNetflixThe Witcher continues on Netflix with the Sirens of the Deep animated movieAndrew WebsterNov 10|CommentsCreatorsCreatorsThe strikes are over — cue the rewatch podcastsAriel ShapiroNov 10|CommentsEExternal LinkCommentsEmma RothNov 10LinkMaine says MOVEit hackers accessed the information of 1.3 million people.The state government disclosed the breach in a notice posted to its website stating that social security numbers birthdates and driver’s license numbers “may have been involved” in the incident:On May 31 2023 the State of Maine became aware of a software vulnerability in MOVEit a third-party file transfer tool owned by Progress Software and used by thousands of entities worldwide to send and receive data. The software vulnerability was exploited by a group of cybercriminals and allowed them to access and download files belonging to certain agencies in the State of Maine between May 28 2023 and May 29 2023.It adds that anyone who wants to know whether their data was affected by the breach can contact Maine’s dedicated call center.Maine govt notifies 1.3 million people of MOVEit data breach[BleepingComputer]FilmFilmWarner Bros. Discovery just canned another nearly finished filmEmma RothNov 10|CommentsUYoutubeCommentsUmar ShakirNov 10LinkApple’s Space Black aluminum took ‘a lot of R&amp;D for the sake of aesthetics.’iFixit did some digging on the new MacBook Pro and found that Apple’s anodization and dying process must have taken “a huge amount of effort and trial and error” according to metallurgist David Niebuhr.Under a microscope Space Black had higher peaks and lower valleys from an etching process than Space Gray. It still shows light fingerprints but iFixit gives Apple an “A-for-effort.”CreatorsCreatorsSee all CreatorsCreatorsSiriusXM needs to attract a younger audience — its new app isn’t enoughAriel ShapiroNov 9|CommentsChatGPT is powering a new kind of Snapchat lensMia SatoNov 9|CommentsYouTube pages are getting a TikTok-like For You feedWes DavisNov 8|CommentsEpic v. Google: everything we’re learning live in Fortnite courtIn a redux of a case against Apple and iOS Epic aims to dismantle barriers that could spell higher fees for app makers — and Google argues keep Android safe and competitive.Adi RobertsonNov 10|CommentsEYoutubeCommentsEmma RothNov 10LinkEver wonder why Smash Bros. stopped including those neat character cutscenes?Well it’s apparently because the clips kept getting leaked Super Smash Bros. creator Masahiro Sakurai says in a video posted to his YouTube channel. The cutscenes which Sakurai stopped including after SSB Brawl for the Wii appear when you complete adventure mode.“We put a lot of money and effort into making them but before the game even came out people were posting them online” Sakurai said. “This meant they really weren’t much of a reward so I decided to stop making movies that cut in during gameplay.”AndroidAndroidQualcomm’s satellite SOS for Android feature didn’t make it to launchJacob KastrenakesNov 10|CommentsDealsDealsThe Nintendo Switch OLED and Xbox Series X are on sale with a $75 Dell gift cardSheena VasaniNov 10|CommentsACommentsAlex CranzNov 10LinkToday on the Vergecast: we talk about that new pin that wants to replace the phone.I won’t spoil things but we spend quite a while talking about Humane’s AI Pin and what a device needs to be to get us to put down our phones. We also talk about the other big AI news of the week: Open AI’s new app store. Its no-code approach to building new GPTs seems very cool even if its approach to compensating new GPT builders seems decidedly less so.All that plus a steamy lightning round.PaginationMore StoriesEntertainmentEntertainmentSee all EntertainmentEntertainmentLoki’s season 2 finale dug deep to find a meaning in all of Marvel’s madnessCharles Pulliam-MooreNov 11|CommentsAll the biggest news from Netflix Geeked Week 2023Charles Pulliam-MooreNov 11|CommentsHades is coming to NetflixAsh ParrishNov 11|CommentsThe VergeThe Verge logo.Terms of UsePrivacy NoticeCookie PolicyDo Not Sell Or Share My Personal InfoLicensing FAQAccessibilityPlatform StatusHow We Rate and Review ProductsContactTip UsCommunity GuidelinesAboutEthics StatementThe Verge is a vox media networkAdvertise with usJobs @ Vox Media© 2023 Vox Media LLC. All Rights Reserved</v>
      </c>
    </row>
    <row r="48">
      <c r="A48" s="1" t="s">
        <v>54</v>
      </c>
      <c r="B48" s="1" t="s">
        <v>196</v>
      </c>
      <c r="C48" s="1" t="s">
        <v>179</v>
      </c>
      <c r="D48" s="1">
        <v>17.0</v>
      </c>
      <c r="E48" s="4" t="s">
        <v>197</v>
      </c>
      <c r="F48" s="1" t="s">
        <v>43</v>
      </c>
      <c r="G48" s="1" t="s">
        <v>198</v>
      </c>
      <c r="H48" s="4" t="s">
        <v>199</v>
      </c>
      <c r="I48" s="2">
        <v>1.0</v>
      </c>
      <c r="J48" s="5" t="str">
        <f>IFERROR(__xludf.DUMMYFUNCTION("GOOGLETRANSLATE(A48)"),"chatgpt")</f>
        <v>chatgpt</v>
      </c>
      <c r="K48" s="6" t="str">
        <f>IFERROR(__xludf.DUMMYFUNCTION("GOOGLETRANSLATE(B48)"),"OpenAI Lets Mom-and-Pop Shops Customize ChatGPT")</f>
        <v>OpenAI Lets Mom-and-Pop Shops Customize ChatGPT</v>
      </c>
      <c r="L48" s="5" t="str">
        <f>IFERROR(__xludf.DUMMYFUNCTION("GOOGLETRANSLATE(C48)"),"4 days ago -")</f>
        <v>4 days ago -</v>
      </c>
      <c r="M48" s="5" t="str">
        <f>IFERROR(__xludf.DUMMYFUNCTION("GOOGLETRANSLATE(G48)"),"The New York Times - Breaking News US News World News and Videos  Skip to contentSkip to site indexSKIP ADVERTISEMENTSearch &amp; Section NavigationSection NavigationSEARCHU.S.InternationalCanadaEspañol中文 Today’s PaperU.S.SectionsU.S.PoliticsNew YorkCaliforni"&amp;"aEducationHealthObituariesScienceClimateSportsBusinessTechThe UpshotThe MagazineU.S. Politics2024 ElectionsSupreme CourtCongressBiden AdministrationNewslettersThe MorningMake sense of the day’s news and ideas.The UpshotAnalysis that explains politics poli"&amp;"cy and everyday life.See all newslettersPodcastsThe DailyThe biggest stories of our time in 20 minutes a day.The Run-UpOn the campaign trail with Astead Herndon.See all podcastsWorldSectionsWorldAfricaAmericasAsiaAustraliaCanadaEuropeMiddle EastScienceCli"&amp;"mateHealthObituariesNewslettersMorning Briefing: EuropeGet what you need to know to start your day.The InterpreterOriginal analysis on the week’s biggest global stories.Australia LetterNews features and opinion for readers in the region.Canada LetterBacks"&amp;"tories and analysis from our Canadian correspondents.See all newslettersBusinessSectionsBusinessTechEconomyMediaFinance and MarketsDealBookPersonal TechEnergy TransitionYour MoneyNewslettersDealBookThe most crucial business and policy news you need to kno"&amp;"w.See all newslettersPodcastsHard ForkOur tech journalists help you make sense of the rapidly changing tech world.See all podcastsArtsSectionsArtsBooksBest SellersDanceMoviesMusicTelevisionTheaterPop CultureT MagazineVisual ArtsRecommendationsCritic’s Pic"&amp;"ksWhat to ReadWhat to WatchWhat to Listen To5 Minutes to Make You Love MusicNewslettersRead Like the WindBook recommendations from our critics.WatchingStreaming TV and movie recommendations.See all newslettersPodcastsBook ReviewThe podcast that takes you "&amp;"inside the literary world.PopcastPop music news new songs and albums and artists of note.See all podcastsLifestyleSectionsLifestyleHealthWellFoodLoveTravelStyleFashionT MagazineYour MoneyPersonal TechReal EstateColumnsModern LoveThe HuntSocial Q’sThe Ethi"&amp;"cistWellEatMoveMindFamilyLiveAsk WellNewslettersOpen ThreadThe latest news on what we wear by our chief fashion critic.Love LetterReal stories of relationship highs lows and woes.See all newslettersPodcastsModern LoveThe complicated love lives of real peo"&amp;"ple.See all podcastsOpinionSectionsOpinionGuest EssaysEditorialsOp-DocsVideosLettersTopicsPoliticsWorldBusinessTechClimateHealthCultureColumnistsCharles M. BlowJamelle BouieDavid BrooksGail CollinsRoss DouthatMaureen DowdDavid FrenchThomas L. FriedmanMich"&amp;"elle GoldbergEzra KleinNicholas KristofPaul KrugmanCarlos LozadaFarhad ManjooTressie McMillan CottomPamela PaulLydia PolgreenBret StephensZeynep TufekciPodcastsMatter of OpinionThoughts aloud. With Michelle Cottle Ross Douthat Carlos Lozada and Lydia Polg"&amp;"reen.The Ezra Klein ShowDiscussions of ideas that matter plus book recommendations.See all podcastsAudioAudioPodcasts and narrated articles covering news tech culture and more.Download the Audio app on iOS.ListenThe HeadlinesThe DailyHard ForkThe Ezra Kle"&amp;"in ShowMatter of OpinionSerial ProductionsThe Book Review PodcastModern LoveThe Run-UpPopcastReporter ReadsThe Sunday ReadSee all audioFeaturedThe HeadlinesYour morning listen. Top stories in 10 minutes.The Kids of Rutherford CountyA series about how one "&amp;"county illegally jailed children.Reporter ReadsRecent articles read by the reporters behind them.NewslettersAudioOur editors share their favorite listens from the New York Times Audio app.See all newslettersAudio is included in an All Access subscription."&amp;" Learn more.GamesGamesWord games logic puzzles and crosswords including an extensive archive.PlaySpelling BeeThe Mini CrosswordWordleThe CrosswordVertexConnectionsSudokuLetter BoxedTilesCommunitySpelling Bee ForumWordplay ColumnWordle ReviewSubmit a Cross"&amp;"wordMeet Our Crossword ConstructorsMini to MaestroWordlebotNewslettersGameplayPuzzles brain teasers solving tips and more.See all newslettersGames is included in an All Access subscription. Learn more.CookingCookingRecipes advice and inspiration for every"&amp;"day cooking special occasions and more.RecipesEasyDinnerQuickHealthyBreakfastVegetarianVeganChickenPastaDessertEditors' PicksThanksgiving RecipesEasy WeeknightNewest RecipesOne-Pot MealsSlow Cooker RecipesComfort FoodParty RecipesNewslettersThe Cooking Ne"&amp;"wsletterCulinary inspiration from Sam Sifton and Melissa Clark.The VeggieDelicious vegetarian recipes and tips from Tanya Sichynsky.Five Weeknight DishesDinner ideas for busy people from Emily Weinstein.See all newslettersCooking is included in an All Acc"&amp;"ess subscription. Learn more.WirecutterWirecutterReviews and recommendations for thousands of products.ReviewsKitchenTechSleepAppliancesHome and GardenMovingTravelGiftsDealsBaby and KidHealth and FitnessThe Best...Air PurifierElectric ToothbrushPressure W"&amp;"asherCordless Stick VacuumOffice ChairRobot VacuumNewslettersThe RecommendationThe best independent reviews expert advice and intensively researched deals.Clean EverythingStep-by-step advice on how to keep everything in your home squeaky clean.See all new"&amp;"slettersWirecutter is included in an All Access subscription. Learn more.The AthleticThe AthleticPersonalized coverage of your sports teams and leagues.LeaguesNFLMLBNBAPremier LeagueNCAAFNCAAMNHLNCAAWMLSFormula 1NWSLGolfNewslettersThe PulseDelivering the "&amp;"top stories in sports Sunday to Friday.The WindupThe biggest stories in baseball by Levi Weaver with Ken Rosenthal.The BounceEssential NBA news from Zach Harper and Shams Charania.Full TimeThe biggest women's soccer stories from Emily Olsen Meg Linehan &amp; "&amp;"Steph YangThe Athletic is included in an All Access subscription. Learn more.U.S.SectionsU.S.PoliticsNew YorkCaliforniaEducationHealthObituariesScienceClimateSportsBusinessTechThe UpshotThe MagazineU.S. Politics2024 ElectionsSupreme CourtCongressBiden Adm"&amp;"inistrationNewslettersThe MorningMake sense of the day’s news and ideas.The UpshotAnalysis that explains politics policy and everyday life.See all newslettersPodcastsThe DailyThe biggest stories of our time in 20 minutes a day.The Run-UpOn the campaign tr"&amp;"ail with Astead Herndon.See all podcastsWorldSectionsWorldAfricaAmericasAsiaAustraliaCanadaEuropeMiddle EastScienceClimateHealthObituariesNewslettersMorning Briefing: EuropeGet what you need to know to start your day.The InterpreterOriginal analysis on th"&amp;"e week’s biggest global stories.Australia LetterNews features and opinion for readers in the region.Canada LetterBackstories and analysis from our Canadian correspondents.See all newslettersBusinessSectionsBusinessTechEconomyMediaFinance and MarketsDealBo"&amp;"okPersonal TechEnergy TransitionYour MoneyNewslettersDealBookThe most crucial business and policy news you need to know.See all newslettersPodcastsHard ForkOur tech journalists help you make sense of the rapidly changing tech world.See all podcastsArtsSec"&amp;"tionsArtsBooksBest SellersDanceMoviesMusicTelevisionTheaterPop CultureT MagazineVisual ArtsRecommendationsCritic’s PicksWhat to ReadWhat to WatchWhat to Listen To5 Minutes to Make You Love MusicNewslettersRead Like the WindBook recommendations from our cr"&amp;"itics.WatchingStreaming TV and movie recommendations.See all newslettersPodcastsBook ReviewThe podcast that takes you inside the literary world.PopcastPop music news new songs and albums and artists of note.See all podcastsLifestyleSectionsLifestyleHealth"&amp;"WellFoodLoveTravelStyleFashionT MagazineYour MoneyPersonal TechReal EstateColumnsModern LoveThe HuntSocial Q’sThe EthicistWellEatMoveMindFamilyLiveAsk WellNewslettersOpen ThreadThe latest news on what we wear by our chief fashion critic.Love LetterReal st"&amp;"ories of relationship highs lows and woes.See all newslettersPodcastsModern LoveThe complicated love lives of real people.See all podcastsOpinionSectionsOpinionGuest EssaysEditorialsOp-DocsVideosLettersTopicsPoliticsWorldBusinessTechClimateHealthCultureCo"&amp;"lumnistsCharles M. BlowJamelle BouieDavid BrooksGail CollinsRoss DouthatMaureen DowdDavid FrenchThomas L. FriedmanMichelle GoldbergEzra KleinNicholas KristofPaul KrugmanCarlos LozadaFarhad ManjooTressie McMillan CottomPamela PaulLydia PolgreenBret Stephen"&amp;"sZeynep TufekciPodcastsMatter of OpinionThoughts aloud. With Michelle Cottle Ross Douthat Carlos Lozada and Lydia Polgreen.The Ezra Klein ShowDiscussions of ideas that matter plus book recommendations.See all podcastsAudioAudioPodcasts and narrated articl"&amp;"es covering news tech culture and more.Download the Audio app on iOS.ListenThe HeadlinesThe DailyHard ForkThe Ezra Klein ShowMatter of OpinionSerial ProductionsThe Book Review PodcastModern LoveThe Run-UpPopcastReporter ReadsThe Sunday ReadSee all audioFe"&amp;"aturedThe HeadlinesYour morning listen. Top stories in 10 minutes.The Kids of Rutherford CountyA series about how one county illegally jailed children.Reporter ReadsRecent articles read by the reporters behind them.NewslettersAudioOur editors share their "&amp;"favorite listens from the New York Times Audio app.See all newslettersAudio is included in an All Access subscription. Learn more.GamesGamesWord games logic puzzles and crosswords including an extensive archive.PlaySpelling BeeThe Mini CrosswordWordleThe "&amp;"CrosswordVertexConnectionsSudokuLetter BoxedTilesCommunitySpelling Bee ForumWordplay ColumnWordle ReviewSubmit a CrosswordMeet Our Crossword ConstructorsMini to MaestroWordlebotNewslettersGameplayPuzzles brain teasers solving tips and more.See all newslet"&amp;"tersGames is included in an All Access subscription. Learn more.CookingCookingRecipes advice and inspiration for everyday cooking special occasions and more.RecipesEasyDinnerQuickHealthyBreakfastVegetarianVeganChickenPastaDessertEditors' PicksThanksgiving"&amp;" RecipesEasy WeeknightNewest RecipesOne-Pot MealsSlow Cooker RecipesComfort FoodParty RecipesNewslettersThe Cooking NewsletterCulinary inspiration from Sam Sifton and Melissa Clark.The VeggieDelicious vegetarian recipes and tips from Tanya Sichynsky.Five "&amp;"Weeknight DishesDinner ideas for busy people from Emily Weinstein.See all newslettersCooking is included in an All Access subscription. Learn more.WirecutterWirecutterReviews and recommendations for thousands of products.ReviewsKitchenTechSleepAppliancesH"&amp;"ome and GardenMovingTravelGiftsDealsBaby and KidHealth and FitnessThe Best...Air PurifierElectric ToothbrushPressure WasherCordless Stick VacuumOffice ChairRobot VacuumNewslettersThe RecommendationThe best independent reviews expert advice and intensively"&amp;" researched deals.Clean EverythingStep-by-step advice on how to keep everything in your home squeaky clean.See all newslettersWirecutter is included in an All Access subscription. Learn more.The AthleticThe AthleticPersonalized coverage of your sports tea"&amp;"ms and leagues.LeaguesNFLMLBNBAPremier LeagueNCAAFNCAAMNHLNCAAWMLSFormula 1NWSLGolfNewslettersThe PulseDelivering the top stories in sports Sunday to Friday.The WindupThe biggest stories in baseball by Levi Weaver with Ken Rosenthal.The BounceEssential NB"&amp;"A news from Zach Harper and Shams Charania.Full TimeThe biggest women's soccer stories from Emily Olsen Meg Linehan &amp; Steph YangThe Athletic is included in an All Access subscription. Learn more.Giant Camps and Mass Deportations: Inside Trump’s 2025 Immig"&amp;"ration PlansIf he regains power Donald Trump wants not only to revive some of the immigration policies criticized during his presidency but expand and toughen them.11 min readTrump Takes Veterans Day Speech in a Very Different DirectionDonald Trump said t"&amp;"hat threats from abroad were less concerning than liberal “threats from within” and that he was a “very proud election denier.”4 min readDonald Trump asked for his federal election trial to be televised but the request faces an uphill battle.2 min readDou"&amp;"g Mills/The New York TimesIsrael-Hamas WarWhat We KnowMapsPhotosLaws of War ExplainedHamas HostagesLIVENov. 11 2023 10:02 p.m. ETGaza’s Largest Hospital Says It Is Struggling to Keep Patients AliveAl-Shifa which has lost power and other Gaza City hospital"&amp;"s have been increasingly under siege as Israel tries to take out Hamas. Iran and Saudi Arabia Regional Rivals Call for Gaza Cease-FireThe leaders of both countries appeared to put aside their historical animosities at a summit to present a united stand ag"&amp;"ainst Israel’s bombardment of Gaza.5 min readAl-Shifa and some other Gaza hospitals have come increasingly under Israeli siege over the past few days with hundreds of seriously ill and wounded patients and displaced people stranded on the grounds.Khader A"&amp;"l Zanoun/Agence France-Presse — Getty ImagesIsrael’s military said this week that its troops had encircled Gaza City effectively splitting the Gaza Strip in half.Abed Khaled/Associated PressResidents displaced from Gaza City arriving in Khan Younis on Fri"&amp;"day. Samar Abu Elouf for The New York TimesIn just the past week an estimated 50000 to 80000 residents have fled south by foot according to UNRWA the U.N. agency that helps Palestinians.Haitham Imad/EPA via ShutterstockPalestinians mourned their relatives"&amp;" outside the morgue at a hospital in Khan Younis on Saturday. Thousands have died in weeks of heavy Israeli bombardment.Yousef Masoud for The New York TimesAn Israeli tank maneuvering in Gaza on Saturday. Leaders in Europe as well as the United States are"&amp;" increasingly questioning Israel’s military response to the Oct. 7 attacks and calling for a cease-fire to save civilian lives.Evelyn Hockstein/ReutersIsraelis lit candles in Tel Aviv to mark one month since the Oct. 7 attacks this week. Israeli health of"&amp;"ficials say they have struggled to identify many Israelis and foreigners who were killed in the attacks.Avishag Shaar-Yashuv for The New York TimesProviding Decent Burials for Soviet Soldiers Who Died in World War IIA Russian man searches for the remains "&amp;"of soldiers left on the battlefield almost 80 years ago. Then he had to bury his own son who fought in Ukraine.5 min readUkraine said that it had shot down a Russian missile hurtling toward Kyiv the first such attack on the city in weeks.3 min readNanna H"&amp;"eitmann for The New York TimesBehind the Gates of a Private World for Only the Wealthiest New YorkersAlthough everyday life has become increasingly unaffordable for almost everyone a new class of private members-only and concierge services is emerging.6 m"&amp;"in readEugene Gologursky/Getty Images for Haute LivingMike Johnson Pitches Bill to Avert Government ShutdownThe measure which faces an uncertain fate would extend funding for some agencies through late January. It omits funding for Ukraine or Israel.4 min"&amp;" readKenny Holston/The New York TimesTexas Bishop Loudly Critical of Pope Francis Is RemovedThe rare move by Francis was a measure of his frustration with ultraconservatives in the U.S. and of Bishop Joseph Strickland’s criticism of the pope.5 min readKir"&amp;"by Lee/USA Today Sports via ReutersHe’s Gone From Miami to Celebrity to Upending Greek PoliticsThe rapid ascent of Stefanos Kasselakis a former Goldman Sachs trader and Greece’s first openly gay party leader has gripped the nation.5 min readGiannis Papani"&amp;"kos/ZUMA via AlamyTropical Birds Took Over This European Capital Bringing a ‘Splash of Color’After a group of parakeets were released from a zoo in Brussels in the 1970s their numbers soared. A population increase has also occurred across Europe.4 min rea"&amp;"dMax Pinckers for The New York TimesMax Pinckers for The New York TimesMax Pinckers for The New York TimesMax Pinckers for The New York TimesMax Pinckers for The New York TimesMax Pinckers for The New York TimesThe Only People Who Understand What a Caregi"&amp;"ver Goes ThroughMentoring programs bring together those just starting to care for family members with dementia and those who have been coping for some time.5 min readCaroline Gutman for The New York TimesThe WeekenderA Beginner’s Guide to Looking at the U"&amp;"niverseAlso in this edition: Americans head for the drive-through and Barbra Streisand tells all.2 min readDid you follow the news this week? Take our quiz.Play Flashback your weekly history quiz.Ryan Pfluger for The New York Times NASA Nate Ryan for The "&amp;"New York TimesWhat to Watch and Read This WeekendOpinionCarlos LozadaA Trump-Biden Rematch Is the Election We Need5 min readAnna Louie SussmanWhy Aren’t More People Getting Married? Ask Women What Dating Is Like.7 min readNina BurleighIvanka Trump Witness"&amp;" for the Prosecution6 min readSerge SchmemannViolence by West Bank Settlers Cannot Be Ignored5 min readNicholas Kristof‘We Cannot Kill Our Way Out of This Endeavor’5 min readAngelina Kariakina and Zhenya OliinykHer Husband Left to Get Diapers. When He Got"&amp;" Back the Hospital Was Gone.Zhenya OliinykRoss DouthatShould Joe Manchin Run for President?4 min readLucinda RogersDrawings of a City Divided: New York Reacts to the Israel-Hamas War5 min readLetters From Our ReadersTough Decisions About Dementia and End-"&amp;"of-Life Care5 min readOmer BartovWhat I Believe as a Historian of Genocide6 min readTom BonierThis Is the Winning Issue for Biden in 20245 min readEmily YoshidaSofia Coppola and All the Sad Girls8 min readBret StephensIn Israel There Is Grief and There Is"&amp;" Fury. Beneath the Fury Fear.13 min readDavid BrooksDemocrats: You Can Chill Out Now!5 min readThe Ezra Klein ShowAudioWhat Israelis Fear the World Does Not Understand67 min listenJamelle BouieThe G.O.P’s Culture War Shtick Is Wearing Thin With Voters4 mi"&amp;"n readIn Case You Missed ItTop picks from The Times recommended for youAdvertisementSKIP ADVERTISEMENTMore NewsBREAKINGRapinoe Exits Final Career Game Early With an Apparent Leg InjuryMegan Rapinoe’s final game came to an early heartbreaking close only tw"&amp;"o minutes and 25 seconds into the N.W.S.L. Championship match.From The AthleticA Pond in Hawaii Turned Pink Raising an Environmental Red FlagDry conditions and high salt levels in the water allowed for halobacteria to thrive turning a pond bubble-gum pink"&amp;".2 min readRobyn Beck/Getty ImagesKaren Davis Who Battled for the Rights of Birds Dies at 79A fierce campaigner Ms. Davis expanded the reach of the animal rights movement by advocating for chickens turkeys and other farmyard fowl.4 min readSam Bankman-Fri"&amp;"ed Could Get 100 Years in Prison. What Is Fair?The founder of the failed FTX cryptocurrency exchange was found guilty of seven counts of fraud and conspiracy.7 min readCookingRecipes and guidesAdvertisementSKIP ADVERTISEMENTFine ArtsMatisse and Derain: Th"&amp;"e Audacious ‘Wild Beasts’ of FauvismThe leaders of a short-lived but consequential art movement that flourished in the early 20th century take center stage at the Met Museum.6 min readArtists Rights Society (ARS) New York/ADAGP Paris; via Galerie Philippe"&amp;" David ZurichDawoud Bey Full Frame: On Richmond’s Trail of the EnslavedIn haunting studies of Black American history a photographer lets the land do the talking.7 min readInside Shary Boyle’s Head-Spinning Palace of WondersThe artist creates a fun house o"&amp;"f a show at the Museum of Arts and Design that explores identity.4 min readSwiss Museum in Financial Straits Sells Three Cézannes for $53 MillionMuseum Langmatt said the sales were necessary to keep its doors open.2 min readThe AthleticSports coverageWell"&amp;"AdvertisementSKIP ADVERTISEMENTWirecutterProduct recommendationsGamesDaily puzzlesWordleGuess the 5-letter word with 6 chances.Connections CompanionIn case you need some puzzle help.ConnectionsGroup words that share a common thread.Spelling BeeSubscribers"&amp;" can now play puzzles from previous days.The CrosswordGet clued in with wordplay every day.Letter BoxedCreate words using letters around the square.AdvertisementSKIP ADVERTISEMENTSite IndexSite Information Navigation© 2023 The New York Times CompanyNYTCoC"&amp;"ontact UsAccessibilityWork with usAdvertiseT Brand StudioYour Ad ChoicesPrivacy PolicyTerms of ServiceTerms of SaleSite MapCanadaInternationalHelpSubscriptions")</f>
        <v>The New York Times - Breaking News US News World News and Videos  Skip to contentSkip to site indexSKIP ADVERTISEMENTSearch &amp; Section NavigationSection NavigationSEARCHU.S.InternationalCanadaEspañol中文 Today’s PaperU.S.SectionsU.S.PoliticsNew YorkCaliforniaEducationHealthObituariesScienceClimateSportsBusinessTechThe UpshotThe MagazineU.S. Politics2024 ElectionsSupreme CourtCongressBiden AdministrationNewslettersThe MorningMake sense of the day’s news and ideas.The UpshotAnalysis that explains politics policy and everyday life.See all newslettersPodcastsThe DailyThe biggest stories of our time in 20 minutes a day.The Run-UpOn the campaign trail with Astead Herndon.See all podcastsWorldSectionsWorldAfricaAmericasAsiaAustraliaCanadaEuropeMiddle EastScienceClimateHealthObituariesNewslettersMorning Briefing: EuropeGet what you need to know to start your day.The InterpreterOriginal analysis on the week’s biggest global stories.Australia LetterNews features and opinion for readers in the region.Canada LetterBackstories and analysis from our Canadian correspondents.See all newslettersBusinessSectionsBusinessTechEconomyMediaFinance and MarketsDealBookPersonal TechEnergy TransitionYour MoneyNewslettersDealBookThe most crucial business and policy news you need to know.See all newslettersPodcastsHard ForkOur tech journalists help you make sense of the rapidly changing tech world.See all podcastsArtsSectionsArtsBooksBest SellersDanceMoviesMusicTelevisionTheaterPop CultureT MagazineVisual ArtsRecommendationsCritic’s PicksWhat to ReadWhat to WatchWhat to Listen To5 Minutes to Make You Love MusicNewslettersRead Like the WindBook recommendations from our critics.WatchingStreaming TV and movie recommendations.See all newslettersPodcastsBook ReviewThe podcast that takes you inside the literary world.PopcastPop music news new songs and albums and artists of note.See all podcastsLifestyleSectionsLifestyleHealthWellFoodLoveTravelStyleFashionT MagazineYour MoneyPersonal TechReal EstateColumnsModern LoveThe HuntSocial Q’sThe EthicistWellEatMoveMindFamilyLiveAsk WellNewslettersOpen ThreadThe latest news on what we wear by our chief fashion critic.Love LetterReal stories of relationship highs lows and woes.See all newslettersPodcastsModern LoveThe complicated love lives of real people.See all podcastsOpinionSectionsOpinionGuest EssaysEditorialsOp-DocsVideosLettersTopicsPoliticsWorldBusinessTechClimateHealthCultureColumnistsCharles M. BlowJamelle BouieDavid BrooksGail CollinsRoss DouthatMaureen DowdDavid FrenchThomas L. FriedmanMichelle GoldbergEzra KleinNicholas KristofPaul KrugmanCarlos LozadaFarhad ManjooTressie McMillan CottomPamela PaulLydia PolgreenBret StephensZeynep TufekciPodcastsMatter of OpinionThoughts aloud. With Michelle Cottle Ross Douthat Carlos Lozada and Lydia Polgreen.The Ezra Klein ShowDiscussions of ideas that matter plus book recommendations.See all podcastsAudioAudioPodcasts and narrated articles covering news tech culture and more.Download the Audio app on iOS.ListenThe HeadlinesThe DailyHard ForkThe Ezra Klein ShowMatter of OpinionSerial ProductionsThe Book Review PodcastModern LoveThe Run-UpPopcastReporter ReadsThe Sunday ReadSee all audioFeaturedThe HeadlinesYour morning listen. Top stories in 10 minutes.The Kids of Rutherford CountyA series about how one county illegally jailed children.Reporter ReadsRecent articles read by the reporters behind them.NewslettersAudioOur editors share their favorite listens from the New York Times Audio app.See all newslettersAudio is included in an All Access subscription. Learn more.GamesGamesWord games logic puzzles and crosswords including an extensive archive.PlaySpelling BeeThe Mini CrosswordWordleThe CrosswordVertexConnectionsSudokuLetter BoxedTilesCommunitySpelling Bee ForumWordplay ColumnWordle ReviewSubmit a CrosswordMeet Our Crossword ConstructorsMini to MaestroWordlebotNewslettersGameplayPuzzles brain teasers solving tips and more.See all newslettersGames is included in an All Access subscription. Learn more.CookingCookingRecipes advice and inspiration for everyday cooking special occasions and more.RecipesEasyDinnerQuickHealthyBreakfastVegetarianVeganChickenPastaDessertEditors' PicksThanksgiving RecipesEasy WeeknightNewest RecipesOne-Pot MealsSlow Cooker RecipesComfort FoodParty RecipesNewslettersThe Cooking NewsletterCulinary inspiration from Sam Sifton and Melissa Clark.The VeggieDelicious vegetarian recipes and tips from Tanya Sichynsky.Five Weeknight DishesDinner ideas for busy people from Emily Weinstein.See all newslettersCooking is included in an All Access subscription. Learn more.WirecutterWirecutterReviews and recommendations for thousands of products.ReviewsKitchenTechSleepAppliancesHome and GardenMovingTravelGiftsDealsBaby and KidHealth and FitnessThe Best...Air PurifierElectric ToothbrushPressure WasherCordless Stick VacuumOffice ChairRobot VacuumNewslettersThe RecommendationThe best independent reviews expert advice and intensively researched deals.Clean EverythingStep-by-step advice on how to keep everything in your home squeaky clean.See all newslettersWirecutter is included in an All Access subscription. Learn more.The AthleticThe AthleticPersonalized coverage of your sports teams and leagues.LeaguesNFLMLBNBAPremier LeagueNCAAFNCAAMNHLNCAAWMLSFormula 1NWSLGolfNewslettersThe PulseDelivering the top stories in sports Sunday to Friday.The WindupThe biggest stories in baseball by Levi Weaver with Ken Rosenthal.The BounceEssential NBA news from Zach Harper and Shams Charania.Full TimeThe biggest women's soccer stories from Emily Olsen Meg Linehan &amp; Steph YangThe Athletic is included in an All Access subscription. Learn more.U.S.SectionsU.S.PoliticsNew YorkCaliforniaEducationHealthObituariesScienceClimateSportsBusinessTechThe UpshotThe MagazineU.S. Politics2024 ElectionsSupreme CourtCongressBiden AdministrationNewslettersThe MorningMake sense of the day’s news and ideas.The UpshotAnalysis that explains politics policy and everyday life.See all newslettersPodcastsThe DailyThe biggest stories of our time in 20 minutes a day.The Run-UpOn the campaign trail with Astead Herndon.See all podcastsWorldSectionsWorldAfricaAmericasAsiaAustraliaCanadaEuropeMiddle EastScienceClimateHealthObituariesNewslettersMorning Briefing: EuropeGet what you need to know to start your day.The InterpreterOriginal analysis on the week’s biggest global stories.Australia LetterNews features and opinion for readers in the region.Canada LetterBackstories and analysis from our Canadian correspondents.See all newslettersBusinessSectionsBusinessTechEconomyMediaFinance and MarketsDealBookPersonal TechEnergy TransitionYour MoneyNewslettersDealBookThe most crucial business and policy news you need to know.See all newslettersPodcastsHard ForkOur tech journalists help you make sense of the rapidly changing tech world.See all podcastsArtsSectionsArtsBooksBest SellersDanceMoviesMusicTelevisionTheaterPop CultureT MagazineVisual ArtsRecommendationsCritic’s PicksWhat to ReadWhat to WatchWhat to Listen To5 Minutes to Make You Love MusicNewslettersRead Like the WindBook recommendations from our critics.WatchingStreaming TV and movie recommendations.See all newslettersPodcastsBook ReviewThe podcast that takes you inside the literary world.PopcastPop music news new songs and albums and artists of note.See all podcastsLifestyleSectionsLifestyleHealthWellFoodLoveTravelStyleFashionT MagazineYour MoneyPersonal TechReal EstateColumnsModern LoveThe HuntSocial Q’sThe EthicistWellEatMoveMindFamilyLiveAsk WellNewslettersOpen ThreadThe latest news on what we wear by our chief fashion critic.Love LetterReal stories of relationship highs lows and woes.See all newslettersPodcastsModern LoveThe complicated love lives of real people.See all podcastsOpinionSectionsOpinionGuest EssaysEditorialsOp-DocsVideosLettersTopicsPoliticsWorldBusinessTechClimateHealthCultureColumnistsCharles M. BlowJamelle BouieDavid BrooksGail CollinsRoss DouthatMaureen DowdDavid FrenchThomas L. FriedmanMichelle GoldbergEzra KleinNicholas KristofPaul KrugmanCarlos LozadaFarhad ManjooTressie McMillan CottomPamela PaulLydia PolgreenBret StephensZeynep TufekciPodcastsMatter of OpinionThoughts aloud. With Michelle Cottle Ross Douthat Carlos Lozada and Lydia Polgreen.The Ezra Klein ShowDiscussions of ideas that matter plus book recommendations.See all podcastsAudioAudioPodcasts and narrated articles covering news tech culture and more.Download the Audio app on iOS.ListenThe HeadlinesThe DailyHard ForkThe Ezra Klein ShowMatter of OpinionSerial ProductionsThe Book Review PodcastModern LoveThe Run-UpPopcastReporter ReadsThe Sunday ReadSee all audioFeaturedThe HeadlinesYour morning listen. Top stories in 10 minutes.The Kids of Rutherford CountyA series about how one county illegally jailed children.Reporter ReadsRecent articles read by the reporters behind them.NewslettersAudioOur editors share their favorite listens from the New York Times Audio app.See all newslettersAudio is included in an All Access subscription. Learn more.GamesGamesWord games logic puzzles and crosswords including an extensive archive.PlaySpelling BeeThe Mini CrosswordWordleThe CrosswordVertexConnectionsSudokuLetter BoxedTilesCommunitySpelling Bee ForumWordplay ColumnWordle ReviewSubmit a CrosswordMeet Our Crossword ConstructorsMini to MaestroWordlebotNewslettersGameplayPuzzles brain teasers solving tips and more.See all newslettersGames is included in an All Access subscription. Learn more.CookingCookingRecipes advice and inspiration for everyday cooking special occasions and more.RecipesEasyDinnerQuickHealthyBreakfastVegetarianVeganChickenPastaDessertEditors' PicksThanksgiving RecipesEasy WeeknightNewest RecipesOne-Pot MealsSlow Cooker RecipesComfort FoodParty RecipesNewslettersThe Cooking NewsletterCulinary inspiration from Sam Sifton and Melissa Clark.The VeggieDelicious vegetarian recipes and tips from Tanya Sichynsky.Five Weeknight DishesDinner ideas for busy people from Emily Weinstein.See all newslettersCooking is included in an All Access subscription. Learn more.WirecutterWirecutterReviews and recommendations for thousands of products.ReviewsKitchenTechSleepAppliancesHome and GardenMovingTravelGiftsDealsBaby and KidHealth and FitnessThe Best...Air PurifierElectric ToothbrushPressure WasherCordless Stick VacuumOffice ChairRobot VacuumNewslettersThe RecommendationThe best independent reviews expert advice and intensively researched deals.Clean EverythingStep-by-step advice on how to keep everything in your home squeaky clean.See all newslettersWirecutter is included in an All Access subscription. Learn more.The AthleticThe AthleticPersonalized coverage of your sports teams and leagues.LeaguesNFLMLBNBAPremier LeagueNCAAFNCAAMNHLNCAAWMLSFormula 1NWSLGolfNewslettersThe PulseDelivering the top stories in sports Sunday to Friday.The WindupThe biggest stories in baseball by Levi Weaver with Ken Rosenthal.The BounceEssential NBA news from Zach Harper and Shams Charania.Full TimeThe biggest women's soccer stories from Emily Olsen Meg Linehan &amp; Steph YangThe Athletic is included in an All Access subscription. Learn more.Giant Camps and Mass Deportations: Inside Trump’s 2025 Immigration PlansIf he regains power Donald Trump wants not only to revive some of the immigration policies criticized during his presidency but expand and toughen them.11 min readTrump Takes Veterans Day Speech in a Very Different DirectionDonald Trump said that threats from abroad were less concerning than liberal “threats from within” and that he was a “very proud election denier.”4 min readDonald Trump asked for his federal election trial to be televised but the request faces an uphill battle.2 min readDoug Mills/The New York TimesIsrael-Hamas WarWhat We KnowMapsPhotosLaws of War ExplainedHamas HostagesLIVENov. 11 2023 10:02 p.m. ETGaza’s Largest Hospital Says It Is Struggling to Keep Patients AliveAl-Shifa which has lost power and other Gaza City hospitals have been increasingly under siege as Israel tries to take out Hamas. Iran and Saudi Arabia Regional Rivals Call for Gaza Cease-FireThe leaders of both countries appeared to put aside their historical animosities at a summit to present a united stand against Israel’s bombardment of Gaza.5 min readAl-Shifa and some other Gaza hospitals have come increasingly under Israeli siege over the past few days with hundreds of seriously ill and wounded patients and displaced people stranded on the grounds.Khader Al Zanoun/Agence France-Presse — Getty ImagesIsrael’s military said this week that its troops had encircled Gaza City effectively splitting the Gaza Strip in half.Abed Khaled/Associated PressResidents displaced from Gaza City arriving in Khan Younis on Friday. Samar Abu Elouf for The New York TimesIn just the past week an estimated 50000 to 80000 residents have fled south by foot according to UNRWA the U.N. agency that helps Palestinians.Haitham Imad/EPA via ShutterstockPalestinians mourned their relatives outside the morgue at a hospital in Khan Younis on Saturday. Thousands have died in weeks of heavy Israeli bombardment.Yousef Masoud for The New York TimesAn Israeli tank maneuvering in Gaza on Saturday. Leaders in Europe as well as the United States are increasingly questioning Israel’s military response to the Oct. 7 attacks and calling for a cease-fire to save civilian lives.Evelyn Hockstein/ReutersIsraelis lit candles in Tel Aviv to mark one month since the Oct. 7 attacks this week. Israeli health officials say they have struggled to identify many Israelis and foreigners who were killed in the attacks.Avishag Shaar-Yashuv for The New York TimesProviding Decent Burials for Soviet Soldiers Who Died in World War IIA Russian man searches for the remains of soldiers left on the battlefield almost 80 years ago. Then he had to bury his own son who fought in Ukraine.5 min readUkraine said that it had shot down a Russian missile hurtling toward Kyiv the first such attack on the city in weeks.3 min readNanna Heitmann for The New York TimesBehind the Gates of a Private World for Only the Wealthiest New YorkersAlthough everyday life has become increasingly unaffordable for almost everyone a new class of private members-only and concierge services is emerging.6 min readEugene Gologursky/Getty Images for Haute LivingMike Johnson Pitches Bill to Avert Government ShutdownThe measure which faces an uncertain fate would extend funding for some agencies through late January. It omits funding for Ukraine or Israel.4 min readKenny Holston/The New York TimesTexas Bishop Loudly Critical of Pope Francis Is RemovedThe rare move by Francis was a measure of his frustration with ultraconservatives in the U.S. and of Bishop Joseph Strickland’s criticism of the pope.5 min readKirby Lee/USA Today Sports via ReutersHe’s Gone From Miami to Celebrity to Upending Greek PoliticsThe rapid ascent of Stefanos Kasselakis a former Goldman Sachs trader and Greece’s first openly gay party leader has gripped the nation.5 min readGiannis Papanikos/ZUMA via AlamyTropical Birds Took Over This European Capital Bringing a ‘Splash of Color’After a group of parakeets were released from a zoo in Brussels in the 1970s their numbers soared. A population increase has also occurred across Europe.4 min readMax Pinckers for The New York TimesMax Pinckers for The New York TimesMax Pinckers for The New York TimesMax Pinckers for The New York TimesMax Pinckers for The New York TimesMax Pinckers for The New York TimesThe Only People Who Understand What a Caregiver Goes ThroughMentoring programs bring together those just starting to care for family members with dementia and those who have been coping for some time.5 min readCaroline Gutman for The New York TimesThe WeekenderA Beginner’s Guide to Looking at the UniverseAlso in this edition: Americans head for the drive-through and Barbra Streisand tells all.2 min readDid you follow the news this week? Take our quiz.Play Flashback your weekly history quiz.Ryan Pfluger for The New York Times NASA Nate Ryan for The New York TimesWhat to Watch and Read This WeekendOpinionCarlos LozadaA Trump-Biden Rematch Is the Election We Need5 min readAnna Louie SussmanWhy Aren’t More People Getting Married? Ask Women What Dating Is Like.7 min readNina BurleighIvanka Trump Witness for the Prosecution6 min readSerge SchmemannViolence by West Bank Settlers Cannot Be Ignored5 min readNicholas Kristof‘We Cannot Kill Our Way Out of This Endeavor’5 min readAngelina Kariakina and Zhenya OliinykHer Husband Left to Get Diapers. When He Got Back the Hospital Was Gone.Zhenya OliinykRoss DouthatShould Joe Manchin Run for President?4 min readLucinda RogersDrawings of a City Divided: New York Reacts to the Israel-Hamas War5 min readLetters From Our ReadersTough Decisions About Dementia and End-of-Life Care5 min readOmer BartovWhat I Believe as a Historian of Genocide6 min readTom BonierThis Is the Winning Issue for Biden in 20245 min readEmily YoshidaSofia Coppola and All the Sad Girls8 min readBret StephensIn Israel There Is Grief and There Is Fury. Beneath the Fury Fear.13 min readDavid BrooksDemocrats: You Can Chill Out Now!5 min readThe Ezra Klein ShowAudioWhat Israelis Fear the World Does Not Understand67 min listenJamelle BouieThe G.O.P’s Culture War Shtick Is Wearing Thin With Voters4 min readIn Case You Missed ItTop picks from The Times recommended for youAdvertisementSKIP ADVERTISEMENTMore NewsBREAKINGRapinoe Exits Final Career Game Early With an Apparent Leg InjuryMegan Rapinoe’s final game came to an early heartbreaking close only two minutes and 25 seconds into the N.W.S.L. Championship match.From The AthleticA Pond in Hawaii Turned Pink Raising an Environmental Red FlagDry conditions and high salt levels in the water allowed for halobacteria to thrive turning a pond bubble-gum pink.2 min readRobyn Beck/Getty ImagesKaren Davis Who Battled for the Rights of Birds Dies at 79A fierce campaigner Ms. Davis expanded the reach of the animal rights movement by advocating for chickens turkeys and other farmyard fowl.4 min readSam Bankman-Fried Could Get 100 Years in Prison. What Is Fair?The founder of the failed FTX cryptocurrency exchange was found guilty of seven counts of fraud and conspiracy.7 min readCookingRecipes and guidesAdvertisementSKIP ADVERTISEMENTFine ArtsMatisse and Derain: The Audacious ‘Wild Beasts’ of FauvismThe leaders of a short-lived but consequential art movement that flourished in the early 20th century take center stage at the Met Museum.6 min readArtists Rights Society (ARS) New York/ADAGP Paris; via Galerie Philippe David ZurichDawoud Bey Full Frame: On Richmond’s Trail of the EnslavedIn haunting studies of Black American history a photographer lets the land do the talking.7 min readInside Shary Boyle’s Head-Spinning Palace of WondersThe artist creates a fun house of a show at the Museum of Arts and Design that explores identity.4 min readSwiss Museum in Financial Straits Sells Three Cézannes for $53 MillionMuseum Langmatt said the sales were necessary to keep its doors open.2 min readThe AthleticSports coverageWellAdvertisementSKIP ADVERTISEMENTWirecutterProduct recommendationsGamesDaily puzzlesWordleGuess the 5-letter word with 6 chances.Connections CompanionIn case you need some puzzle help.ConnectionsGroup words that share a common thread.Spelling BeeSubscribers can now play puzzles from previous days.The CrosswordGet clued in with wordplay every day.Letter BoxedCreate words using letters around the square.AdvertisementSKIP ADVERTISEMENTSite IndexSite Information Navigation© 2023 The New York Times CompanyNYTCoContact UsAccessibilityWork with usAdvertiseT Brand StudioYour Ad ChoicesPrivacy PolicyTerms of ServiceTerms of SaleSite MapCanadaInternationalHelpSubscriptions</v>
      </c>
    </row>
    <row r="49">
      <c r="A49" s="1" t="s">
        <v>54</v>
      </c>
      <c r="B49" s="1" t="s">
        <v>200</v>
      </c>
      <c r="D49" s="1">
        <v>18.0</v>
      </c>
      <c r="E49" s="4" t="s">
        <v>201</v>
      </c>
      <c r="F49" s="1" t="s">
        <v>43</v>
      </c>
      <c r="G49" s="1" t="s">
        <v>202</v>
      </c>
      <c r="H49" s="4" t="s">
        <v>203</v>
      </c>
      <c r="I49" s="2">
        <v>1.0</v>
      </c>
      <c r="J49" s="5" t="str">
        <f>IFERROR(__xludf.DUMMYFUNCTION("GOOGLETRANSLATE(A49)"),"chatgpt")</f>
        <v>chatgpt</v>
      </c>
      <c r="K49" s="6" t="str">
        <f>IFERROR(__xludf.DUMMYFUNCTION("GOOGLETRANSLATE(B49)"),"ChatGPT: Everything you need to know about OpenAI's ...")</f>
        <v>ChatGPT: Everything you need to know about OpenAI's ...</v>
      </c>
      <c r="M49" s="5" t="str">
        <f>IFERROR(__xludf.DUMMYFUNCTION("GOOGLETRANSLATE(G49)"),"BBC Science Focus Magazine - science nature technology Q&amp;AsSubscribe to BBC Science Focus MagazinePrevious IssuesPodcastQ&amp;ANewsFuture techNatureSpaceHuman bodyEveryday sciencePlanet EarthNewslettersOutlawed human embryo experiments could soon be made lega"&amp;"l. Here’s whyThe UK public recently backed a move to extend the 14-day limit on embryo research. moreThe Human BodyRead moreYou’re more likely to lose weight if your doctor is optimistic study findsStethoscope? Check. Gloves? Check. Rose-tinted glasses? E"&amp;"r…moreScience newsRead moreNo you absolutely cannot drop candy into the Large Hadron Collider. Here's whyThe Large Hadron Collider accelerates protons to near the speed of light so throwing an M&amp;M down there could be catastrophic.moreEveryday scienceRead "&amp;"moreNature at its most stunning: The 19 best images from 2023’s Nature Conservancy Photography PrizeIncludes fighter jet tigers alien snakes and underwater phantoms.moreNatureRead moreWhy scientists are now racing to stop a mass plant extinctionThe race i"&amp;"s on to document and protect the world’s plant and fungi species... and everything is at stake if we lose.moreNatureRead moreThis is how many humans a T. Rex would need to eat each day to stay aliveAs an apex predator the T. rex would have needed a hefty "&amp;"supply of flesh to meet its dietary requirements.moreQ&amp;ARead moreThe maned wolf: All you need to know about the long-legged star of BBC's Planet Earth IIINot actually a wolf this incredible animal is often referred to as a 'fox on stilts'.moreNatureRead m"&amp;"oreHere's what would happen if you lit a firework in spaceWithout additional oxygen provided by Earth's atmosphere fireworks would act very strangely.moreSpaceRead moreSnake Island: The bizarre true story of Earth’s most venomous isleThe deadly golden lan"&amp;"cehead snakes living on Snake Island have fast-acting venom which cause a range of nightmarish symptoms.moreNatureRead moreA mysterious force under Antarctica is changing how its ice meltsScientists hope new autonomous drones will reveal the geological se"&amp;"crets that have lain hidden beneath Antarctica's ice for millions of years.moreScience newsRead moreTop reads71 random fun facts that will blow your mindOur collection of the best interesting trivia covers animals biology geography space and much more.mor"&amp;"eEveryday scienceRead moreHow to beat anxiety: 8 simple concrete strategies to take control of your mindWhether in the short- or long-term there are lots of different techniques that can help you deal with anxiety.moreThe Human BodyRead more44 cool gadget"&amp;"s: Our pick of the best new tech for 2023Welcome to our regularly updated curation of the coolest smartest kit money can buy.moreFuture TechnologyRead moreMore Top ReadsScience newsJupiter in opposition 2023: How to see the gas giant at its biggest and br"&amp;"ightest tonightAstronomer Pete Lawrence shares expert tips and advice on how to spot Jupiter in opposition this November. moreSpaceRead moreScientists finally work out where a starfish’s head isNew research from Stanford University sheds a light on the an"&amp;"imal’s interesting body.moreScience newsRead moreScientists discover alien planet debris buried deep under Earth’s crustLong ago an alien planet crashed into Earth – causing a collision so big the debris formed the Moon and left mysterious remnants lodged"&amp;" deep in the Earth’s mantle.moreScience newsRead moreA giant asteroid explosion didn’t kill off the dinosaurs. Dust didNew research suggests dust in Earth’s atmosphere was a leading cause of a mass extinction 66 million years ago.moreScience newsRead more"&amp;"More science newsFuture technology8 Fortnite gifts to buy for avid gamersBrowse our favourite Fortnite gifts if you want to treat a gaming-obsessed friend or relative.moreFuture TechnologyRead more10 best gifts for geeksShow the self-confessed geek in you"&amp;"r life you care with our pick of the best gifts that will bring joy to anyone's inner nerd.moreFuture TechnologyRead moreThe best Roblox gifts and merchandise in 2023We've put together our picks of the best Roblox gifts to keep fans of the game happy in t"&amp;"he real and virtual world.moreFuture TechnologyRead more8 of the best Xbox gifts for gamers in 2023Grab the perfect present with our guide to the best Xbox gifts.moreFuture TechnologyRead moreInstant Genius PodcastFrom the creators of BBC Science Focus In"&amp;"stant Genius is a bite-sized masterclass in podcast form. With each episode a different world-leading expert will help you understand the latest ideas and research in the world of science and tech. We want to make you an expert in everything.Solving the w"&amp;"orld’s plastic pollution problemHow widespread plastic pollution is – and what we can do  to finally tackle the problem.morePlanet EarthRead moreHow can we make our food more secure?Prof Tim Benton research director at Chatham House explains how our food "&amp;"sources impacts the planet.morePlanet EarthRead moreWhat mass extinctions can teach us about the future of life on EarthInside the surprising and numerous mass extinctions in our planet's history.moreInstant Genius PodcastRead moreListen to more episodesY"&amp;"our questions answeredOur team of scientists doctors and experts answer your burning questions - send yours to questions@sciencefocus.comHere's why musicians pull such weird facesThose strange expressions actually serve a purpose.moreThe Human BodyRead mo"&amp;"reWearing headphones might be helping bacteria grow in your earsSealing off the entrance to your ears can increase the population of bugs.moreThe Human BodyRead moreIs water actually wet? Scientists aren't sureWe dive into the surprisingly deep scientific"&amp;" debate.moreEveryday scienceRead moreA doctor reveals how to pick a pillow to banish back painProper spinal support when asleep can bring some relief to back pain here are some general guidelines that could help however you sleep.moreThe Human BodyRead mo"&amp;"reWorld's weirdest animals: Meet the great-eared  'goatsucker' nightjar birdThese nocturnal birds have ear-like feathery tufts on their heads excellent night vision and a call which is said to be jarring.moreNatureRead moreWhy are strawberries red?Strawbe"&amp;"rries are packed with antioxidants which may reduce the risk of certain diseases. The redder the berry the more antioxidants it has.moreNatureRead moreMore Q&amp;AsScience photo galleriesEruption Island: Inside Iceland’s explosive new surge of volcanic activi"&amp;"tyThe Reykjanes Peninsula in southwest Iceland has recently become a hotbed of volcanic activity. Why is this happening and how worried should we be?morePlanet EarthRead moreMending a broken heart – The British Heart Foundation photography competition win"&amp;"nersTake a look at some amazing images of the human heart courtesy of the British Heart Foundation's 'Reflections of Research' photography competition.moreScience newsRead moreThe 25 most jaw-dropping images from Nikon’s Small World 2023 microphotography "&amp;"contestTake a very close look at alien spiders teeny cuckoo wasps pork parasites and caffeine crystals.moreNatureRead moreIn pictures: The 3D farm technology that could change Earth's food supply foreverCould vertical farming finally provide the breakthro"&amp;"ugh to a new reliable food source to feed an ever-growing population?moreFuture TechnologyRead moreMutant chickens and microscopic bears: 10 stunning images of nature’s hidden wondersThe most iconic and technically advanced nature pictures of recent years"&amp;".moreEveryday scienceRead moreProtective parent in a dramatic dive swoops in to win Bird Photographer of the YearAll the latest winners from the annual Bird Photographer of the Year Competition.moreScience newsRead moreFacebookTwitterInstagramPinterestYou"&amp;"tubeRSSTerms &amp; ConditionsPrivacy policyCookies policyCode of conductLicensingMagazine subscriptionsContact UsManage preferencesThis website is owned and published by Our Media Ltd (an Immediate Group Company). www.ourmedia.co.uk© Our Media 2023")</f>
        <v>BBC Science Focus Magazine - science nature technology Q&amp;AsSubscribe to BBC Science Focus MagazinePrevious IssuesPodcastQ&amp;ANewsFuture techNatureSpaceHuman bodyEveryday sciencePlanet EarthNewslettersOutlawed human embryo experiments could soon be made legal. Here’s whyThe UK public recently backed a move to extend the 14-day limit on embryo research. moreThe Human BodyRead moreYou’re more likely to lose weight if your doctor is optimistic study findsStethoscope? Check. Gloves? Check. Rose-tinted glasses? Er…moreScience newsRead moreNo you absolutely cannot drop candy into the Large Hadron Collider. Here's whyThe Large Hadron Collider accelerates protons to near the speed of light so throwing an M&amp;M down there could be catastrophic.moreEveryday scienceRead moreNature at its most stunning: The 19 best images from 2023’s Nature Conservancy Photography PrizeIncludes fighter jet tigers alien snakes and underwater phantoms.moreNatureRead moreWhy scientists are now racing to stop a mass plant extinctionThe race is on to document and protect the world’s plant and fungi species... and everything is at stake if we lose.moreNatureRead moreThis is how many humans a T. Rex would need to eat each day to stay aliveAs an apex predator the T. rex would have needed a hefty supply of flesh to meet its dietary requirements.moreQ&amp;ARead moreThe maned wolf: All you need to know about the long-legged star of BBC's Planet Earth IIINot actually a wolf this incredible animal is often referred to as a 'fox on stilts'.moreNatureRead moreHere's what would happen if you lit a firework in spaceWithout additional oxygen provided by Earth's atmosphere fireworks would act very strangely.moreSpaceRead moreSnake Island: The bizarre true story of Earth’s most venomous isleThe deadly golden lancehead snakes living on Snake Island have fast-acting venom which cause a range of nightmarish symptoms.moreNatureRead moreA mysterious force under Antarctica is changing how its ice meltsScientists hope new autonomous drones will reveal the geological secrets that have lain hidden beneath Antarctica's ice for millions of years.moreScience newsRead moreTop reads71 random fun facts that will blow your mindOur collection of the best interesting trivia covers animals biology geography space and much more.moreEveryday scienceRead moreHow to beat anxiety: 8 simple concrete strategies to take control of your mindWhether in the short- or long-term there are lots of different techniques that can help you deal with anxiety.moreThe Human BodyRead more44 cool gadgets: Our pick of the best new tech for 2023Welcome to our regularly updated curation of the coolest smartest kit money can buy.moreFuture TechnologyRead moreMore Top ReadsScience newsJupiter in opposition 2023: How to see the gas giant at its biggest and brightest tonightAstronomer Pete Lawrence shares expert tips and advice on how to spot Jupiter in opposition this November. moreSpaceRead moreScientists finally work out where a starfish’s head isNew research from Stanford University sheds a light on the animal’s interesting body.moreScience newsRead moreScientists discover alien planet debris buried deep under Earth’s crustLong ago an alien planet crashed into Earth – causing a collision so big the debris formed the Moon and left mysterious remnants lodged deep in the Earth’s mantle.moreScience newsRead moreA giant asteroid explosion didn’t kill off the dinosaurs. Dust didNew research suggests dust in Earth’s atmosphere was a leading cause of a mass extinction 66 million years ago.moreScience newsRead moreMore science newsFuture technology8 Fortnite gifts to buy for avid gamersBrowse our favourite Fortnite gifts if you want to treat a gaming-obsessed friend or relative.moreFuture TechnologyRead more10 best gifts for geeksShow the self-confessed geek in your life you care with our pick of the best gifts that will bring joy to anyone's inner nerd.moreFuture TechnologyRead moreThe best Roblox gifts and merchandise in 2023We've put together our picks of the best Roblox gifts to keep fans of the game happy in the real and virtual world.moreFuture TechnologyRead more8 of the best Xbox gifts for gamers in 2023Grab the perfect present with our guide to the best Xbox gifts.moreFuture TechnologyRead moreInstant Genius PodcastFrom the creators of BBC Science Focus Instant Genius is a bite-sized masterclass in podcast form. With each episode a different world-leading expert will help you understand the latest ideas and research in the world of science and tech. We want to make you an expert in everything.Solving the world’s plastic pollution problemHow widespread plastic pollution is – and what we can do  to finally tackle the problem.morePlanet EarthRead moreHow can we make our food more secure?Prof Tim Benton research director at Chatham House explains how our food sources impacts the planet.morePlanet EarthRead moreWhat mass extinctions can teach us about the future of life on EarthInside the surprising and numerous mass extinctions in our planet's history.moreInstant Genius PodcastRead moreListen to more episodesYour questions answeredOur team of scientists doctors and experts answer your burning questions - send yours to questions@sciencefocus.comHere's why musicians pull such weird facesThose strange expressions actually serve a purpose.moreThe Human BodyRead moreWearing headphones might be helping bacteria grow in your earsSealing off the entrance to your ears can increase the population of bugs.moreThe Human BodyRead moreIs water actually wet? Scientists aren't sureWe dive into the surprisingly deep scientific debate.moreEveryday scienceRead moreA doctor reveals how to pick a pillow to banish back painProper spinal support when asleep can bring some relief to back pain here are some general guidelines that could help however you sleep.moreThe Human BodyRead moreWorld's weirdest animals: Meet the great-eared  'goatsucker' nightjar birdThese nocturnal birds have ear-like feathery tufts on their heads excellent night vision and a call which is said to be jarring.moreNatureRead moreWhy are strawberries red?Strawberries are packed with antioxidants which may reduce the risk of certain diseases. The redder the berry the more antioxidants it has.moreNatureRead moreMore Q&amp;AsScience photo galleriesEruption Island: Inside Iceland’s explosive new surge of volcanic activityThe Reykjanes Peninsula in southwest Iceland has recently become a hotbed of volcanic activity. Why is this happening and how worried should we be?morePlanet EarthRead moreMending a broken heart – The British Heart Foundation photography competition winnersTake a look at some amazing images of the human heart courtesy of the British Heart Foundation's 'Reflections of Research' photography competition.moreScience newsRead moreThe 25 most jaw-dropping images from Nikon’s Small World 2023 microphotography contestTake a very close look at alien spiders teeny cuckoo wasps pork parasites and caffeine crystals.moreNatureRead moreIn pictures: The 3D farm technology that could change Earth's food supply foreverCould vertical farming finally provide the breakthrough to a new reliable food source to feed an ever-growing population?moreFuture TechnologyRead moreMutant chickens and microscopic bears: 10 stunning images of nature’s hidden wondersThe most iconic and technically advanced nature pictures of recent years.moreEveryday scienceRead moreProtective parent in a dramatic dive swoops in to win Bird Photographer of the YearAll the latest winners from the annual Bird Photographer of the Year Competition.moreScience newsRead moreFacebookTwitterInstagramPinterestYoutubeRSSTerms &amp; ConditionsPrivacy policyCookies policyCode of conductLicensingMagazine subscriptionsContact UsManage preferencesThis website is owned and published by Our Media Ltd (an Immediate Group Company). www.ourmedia.co.uk© Our Media 2023</v>
      </c>
    </row>
    <row r="50">
      <c r="A50" s="1" t="s">
        <v>204</v>
      </c>
      <c r="B50" s="1" t="s">
        <v>205</v>
      </c>
      <c r="D50" s="1">
        <v>1.0</v>
      </c>
      <c r="E50" s="4" t="s">
        <v>206</v>
      </c>
      <c r="F50" s="1" t="s">
        <v>16</v>
      </c>
      <c r="G50" s="1" t="s">
        <v>38</v>
      </c>
      <c r="H50" s="4" t="s">
        <v>39</v>
      </c>
      <c r="I50" s="2">
        <v>0.0</v>
      </c>
      <c r="J50" s="5" t="str">
        <f>IFERROR(__xludf.DUMMYFUNCTION("GOOGLETRANSLATE(A50)"),"youtube")</f>
        <v>youtube</v>
      </c>
      <c r="K50" s="6" t="str">
        <f>IFERROR(__xludf.DUMMYFUNCTION("GOOGLETRANSLATE(B50)"),"YouTube: Home")</f>
        <v>YouTube: Home</v>
      </c>
      <c r="M50" s="5" t="str">
        <f>IFERROR(__xludf.DUMMYFUNCTION("GOOGLETRANSLATE(G50)"),"YouTubeAboutPressCopyrightContact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51">
      <c r="A51" s="1" t="s">
        <v>204</v>
      </c>
      <c r="B51" s="1" t="s">
        <v>207</v>
      </c>
      <c r="C51" s="1" t="s">
        <v>208</v>
      </c>
      <c r="D51" s="1">
        <v>2.0</v>
      </c>
      <c r="E51" s="4" t="s">
        <v>209</v>
      </c>
      <c r="F51" s="1" t="s">
        <v>16</v>
      </c>
      <c r="G51" s="1" t="s">
        <v>31</v>
      </c>
      <c r="H51" s="4" t="s">
        <v>32</v>
      </c>
      <c r="I51" s="2">
        <v>0.0</v>
      </c>
      <c r="J51" s="5" t="str">
        <f>IFERROR(__xludf.DUMMYFUNCTION("GOOGLETRANSLATE(A51)"),"youtube")</f>
        <v>youtube</v>
      </c>
      <c r="K51" s="6" t="str">
        <f>IFERROR(__xludf.DUMMYFUNCTION("GOOGLETRANSLATE(B51)"),"YouTube")</f>
        <v>YouTube</v>
      </c>
      <c r="L51" s="5" t="str">
        <f>IFERROR(__xludf.DUMMYFUNCTION("GOOGLETRANSLATE(C51)"),"YouTube (MFA: [ˈjuːt (j) uːb], “yutyub”, “yutub”, “yutub”) - a video hosting that provides users with storage, delivery and showing videos.")</f>
        <v>YouTube (MFA: [ˈjuːt (j) uːb], “yutyub”, “yutub”, “yutub”) - a video hosting that provides users with storage, delivery and showing videos.</v>
      </c>
      <c r="M51" s="5" t="str">
        <f>IFERROR(__xludf.DUMMYFUNCTION("GOOGLETRANSLATE(G51)"),"Wikipedia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52">
      <c r="A52" s="1" t="s">
        <v>204</v>
      </c>
      <c r="B52" s="1" t="s">
        <v>210</v>
      </c>
      <c r="C52" s="1" t="s">
        <v>211</v>
      </c>
      <c r="D52" s="1">
        <v>3.0</v>
      </c>
      <c r="E52" s="4" t="s">
        <v>212</v>
      </c>
      <c r="F52" s="1" t="s">
        <v>16</v>
      </c>
      <c r="G52" s="1" t="s">
        <v>120</v>
      </c>
      <c r="H52" s="4" t="s">
        <v>121</v>
      </c>
      <c r="I52" s="2">
        <v>3.0</v>
      </c>
      <c r="J52" s="5" t="str">
        <f>IFERROR(__xludf.DUMMYFUNCTION("GOOGLETRANSLATE(A52)"),"youtube")</f>
        <v>youtube</v>
      </c>
      <c r="K52" s="6" t="str">
        <f>IFERROR(__xludf.DUMMYFUNCTION("GOOGLETRANSLATE(B52)"),"YouTube - Apps on Google Play")</f>
        <v>YouTube - Apps on Google Play</v>
      </c>
      <c r="L52" s="5" t="str">
        <f>IFERROR(__xludf.DUMMYFUNCTION("GOOGLETRANSLATE(C52)"),"Get the official YouTube app on Android phones and tablets. See what the world is watching -- from the hottest music videos to what's popular in gaming, ...")</f>
        <v>Get the official YouTube app on Android phones and tablets. See what the world is watching -- from the hottest music videos to what's popular in gaming, ...</v>
      </c>
      <c r="M52" s="5" t="str">
        <f>IFERROR(__xludf.DUMMYFUNCTION("GOOGLETRANSLATE(G52)"),"Android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53">
      <c r="A53" s="1" t="s">
        <v>204</v>
      </c>
      <c r="B53" s="1" t="s">
        <v>213</v>
      </c>
      <c r="C53" s="1" t="s">
        <v>214</v>
      </c>
      <c r="D53" s="1">
        <v>4.0</v>
      </c>
      <c r="E53" s="4" t="s">
        <v>215</v>
      </c>
      <c r="F53" s="1" t="s">
        <v>16</v>
      </c>
      <c r="G53" s="1" t="s">
        <v>216</v>
      </c>
      <c r="H53" s="4" t="s">
        <v>217</v>
      </c>
      <c r="I53" s="2">
        <v>1.0</v>
      </c>
      <c r="J53" s="5" t="str">
        <f>IFERROR(__xludf.DUMMYFUNCTION("GOOGLETRANSLATE(A53)"),"youtube")</f>
        <v>youtube</v>
      </c>
      <c r="K53" s="6" t="str">
        <f>IFERROR(__xludf.DUMMYFUNCTION("GOOGLETRANSLATE(B53)"),"What is YouTube mix - station")</f>
        <v>What is YouTube mix - station</v>
      </c>
      <c r="L53" s="5" t="str">
        <f>IFERROR(__xludf.DUMMYFUNCTION("GOOGLETRANSLATE(C53)"),"YouTube mix is ​​a playlist with an unlimited number of compositions. It is compiled taking into account your preferences. YouTube mixes can be found: in the results ...")</f>
        <v>YouTube mix is ​​a playlist with an unlimited number of compositions. It is compiled taking into account your preferences. YouTube mixes can be found: in the results ...</v>
      </c>
      <c r="M53" s="5" t="str">
        <f>IFERROR(__xludf.DUMMYFUNCTION("GOOGLETRANSLATE(G53)"),"Google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54">
      <c r="A54" s="1" t="s">
        <v>204</v>
      </c>
      <c r="B54" s="1" t="s">
        <v>218</v>
      </c>
      <c r="C54" s="1" t="s">
        <v>219</v>
      </c>
      <c r="D54" s="1">
        <v>5.0</v>
      </c>
      <c r="E54" s="4" t="s">
        <v>220</v>
      </c>
      <c r="F54" s="1" t="s">
        <v>16</v>
      </c>
      <c r="G54" s="1" t="s">
        <v>221</v>
      </c>
      <c r="H54" s="4" t="s">
        <v>222</v>
      </c>
      <c r="I54" s="2">
        <v>5.0</v>
      </c>
      <c r="J54" s="5" t="str">
        <f>IFERROR(__xludf.DUMMYFUNCTION("GOOGLETRANSLATE(A54)"),"youtube")</f>
        <v>youtube</v>
      </c>
      <c r="K54" s="6" t="str">
        <f>IFERROR(__xludf.DUMMYFUNCTION("GOOGLETRANSLATE(B54)"),"YouTube blocked a video of a journalist from Hungary with ...")</f>
        <v>YouTube blocked a video of a journalist from Hungary with ...</v>
      </c>
      <c r="L54" s="5" t="str">
        <f>IFERROR(__xludf.DUMMYFUNCTION("GOOGLETRANSLATE(C54)"),"17 hours ago -")</f>
        <v>17 hours ago -</v>
      </c>
      <c r="M54" s="5" t="str">
        <f>IFERROR(__xludf.DUMMYFUNCTION("GOOGLETRANSLATE(G54)"),"Vedomosti is a leading business publication of Russia. The newspaper enter the article in the “Purreled Materials” to read when the time appears. To do this, enter or register. Determine, save the article in “Purreled Materials” to read when the time appe"&amp;"ars. To do this, enter or register. To expand the import of cars to Russia, the growth of utilsbor and domestic production will slow down this dynamics in 2024, save the article in “Postponed Materials” to read the time. To do this, enter or register. Det"&amp;"ermine the frame of the day, save the article in the “Purreled Materials” to read when the time appears. To do this, enter or register. To expand back the Central Bank spoke about the expansion of the presence of insurers in the new regions, save the arti"&amp;"cle in “Purchase Materials” to read when the time appears. To do this, enter or register. The new film by Anna Melikyan about a woman who began to hear alien voices, keep an article in “Post -Posted Materials” came out to expand the “Feelings of Anna” fro"&amp;"m the Cosmos with love. To read the time. To do this, enter or register. Determine, save the article in “Purreled Materials” to read when the time appears. To do this, enter or register. To expand back the Minister of Education of Russia personally showed"&amp;" the head of Chechnya a new textbook of history, save the article in “Purchase Materials” to read when the time appears. To do this, enter or register. Patients and government agencies have stopped expanding the sales of insulin in Russia in Russia, exper"&amp;"ts consider to buy the drug to save the article in “Post -Executed Materials” to read out when there is time. To do this, enter or register. To expand the “Magic Plot” fantastic creatures and the magical police on the Okko video service started showing th"&amp;"e series about modern Moscow and its fairy -tale inhabitants, save the article in “Postponed Materials” to read the time. To do this, enter or register. To expand back the zhora of gooseberries “to lure them to spoll” the screenwriter and producer about t"&amp;"he “adult” spectators and new realities of serial production in Russia, save the article in “Delayed Materials” to read when the time appears. To do this, enter or register. To expand back to Russian investors will be paid equally when exchanging assets w"&amp;"ith foreigners to assess the Central Bank of the funds to all whose portfolio does not exceed 100,000 rubles, save the article in “Defed Materials” to read out when the time appears. To do this, enter or register. Expand the plot Partner Advertising Newto"&amp;"n Investment ERID: LDTKKN4FB in detail with information can be found on gazprombank.investments/broker/disclosure investment Reading all materials from UC Rusal, Sberbank for nine months, Sberbank received 133 billion rubles in October Trading by the eter"&amp;"nal futures on the Mosbirzhi index will begin on November 14, save the article in “Purchase Materials” to read when the time appears. To do this, enter or register. To expand the first group of Russian citizens at the exit from the Gaza to Egypt of 85 peo"&amp;"ple approved to the aisle through the Rafach 68 checkpoint 68 - women and children will save the article in “Postponed Materials” to read out when time appears. To do this, enter or register. To deploy Zhora Kryzhovnikov, he spoke about the new hierarchy "&amp;"in the chain “Producer - Director - Screenwriter” Save the article in “Post -Executed Materials” to read when the time appears. To do this, enter or register. The Director of the Department of Corporate Relations of the Central Bank, Elena Kuritsyna, will"&amp;" deploy the head of the Department of Corporate Relations, will interact with issuers and authorities to maintain the article in the “Mathered Materials” to read the time. To do this, enter or register. To expand back the natural decline of the population"&amp;" decreased in 9 months by almost a quarter, save the article in “Postponed Materials” to read when time appears. To do this, enter or register. Determine the plot partner Advertising I ERID: ldtckew5y gsb.hse.ru the main Russian IT trends 2024 Read all ma"&amp;"terials in the interests of traffic, the key to all doors is clear without seams, save the article in “Postponed Materials” to read out when time appears. To do this, enter or register. The Central Bank warned to expand about the accumulation of risks in "&amp;"the “garbage” bonds of individuals to the demand of individuals for such papers reduced the risk coating with profitability to save the article in “Postponed Materials” to read the time. To do this, enter or register. To expand back as state support helps"&amp;" exporters overcome boundaries and barriers why it is important for business to cooperate with the regions and federal authorities to maintain an article in “Postponed Materials” to read when time appears. To do this, enter or register. To expand the Cong"&amp;"ress of United Russia will be held on December 17 Save the article in “Postponed Materials” to read when the time appears. To do this, enter or register. The Central Bank does not plan to deploy lending through the Tsfa, save the article in “Postponed Mat"&amp;"erials” to read when time appears. To do this, enter or register. Determine, save the article in “Purreled Materials” to read when the time appears. To do this, enter or register. The Russian “exchanged” 85 million rubles for fake dollars in the Uralsib o"&amp;"ffice to expand back the businessman, the businessman came across a fraudster who allegedly was an employee of the bank, save the article in “Mattle Materials” to read out when the time appears. To do this, enter or register. Determine, save the article i"&amp;"n “Purreled Materials” to read when the time appears. To do this, enter or register. The drones will be expanded back to monitor the territories of the Federal Penitentiary Service, the Ministry of Justice included them in the draft regulation of technica"&amp;"l means of supervision of the prisoners, save the article in “Postponed Materials” to read the time. To do this, enter or register. Determine the plot of the exacerbation of the conflict between Israel and Palestine: what is happening to read all the mate"&amp;"rials of Israel promised Livana the fate of Gaza when involving the Palestinians, President Iran called the Islamic world to arm the Palestinians Erdogan said that Israel support the minority of the countries to keep the article in the “Milituted Material"&amp;"s” to read out When the time appears. To do this, enter or register. Putin visited the headquarters of the Armed Forces of the Russian Federation in Rostov-on-Don, keep the article in the “Postponed Materials” to read when the time appears. To do this, en"&amp;"ter or register. To expand back the gas sector will leave the first 85 citizens of Russia, save the article in “Postponed Materials” to read when the time appears. To do this, enter or register. To expand back why the personnel deficit has become the main"&amp;" problem of the Russian economy in the Central Bank believe that it can solve its increase in labor productivity save the article in “Postponed Materials” to read when time appears. To do this, enter or register. To expand back what the presidents of Russ"&amp;"ia and Kazakhstan spoke about in Astana, save the article in “Postponed Materials” to read when time appears. To do this, enter or register. Determine, save the article in “Purreled Materials” to read when the time appears. To do this, enter or register. "&amp;"To expand back the first sentence in Moscow in the case of the murder of Daria Dugina has been sentenced to save the article in “Purchase Materials” to read when the time appears. To do this, enter or register. Determine the frame of the day, save the art"&amp;"icle in the “Purreled Materials” to read when the time appears. To do this, enter or register. Determine, save the article in “Purreled Materials” to read when the time appears. To do this, enter or register. Determine the messages of the partners to watc"&amp;"h the company's directory save the article in “Postponed Materials” to read when the time appears. To do this, enter or register. Determining the business price for chipboard began to grow against the background of the peak of the production of Aeroflot f"&amp;"urniture will halve the number of aircraft in the Krasnoyarsk Hab of Inter RAO will take up the CHP in Kazakhstan Yuzhuralzoloto will place up to 5% of the shares on the TOBILISTRIC OF BUSINESS In the “Purchase Materials” to read when the time appears. To"&amp;" do this, enter or register. The Ministry of Labor Economics and the Ministry of Labor and the Ministry of Construction want to expand the family mortgage on the secondary in small cities what Nabiullina spoke about in the State Duma. The main thing for t"&amp;"he renovation of the Cosmonauts training center will be allocated more than 5 billion rubles by experts called five fundamental shortcomings of the regulation of the digital ruble to the “Economics” column, save the article in “Delayed Materials” to read "&amp;"out when time appears. To do this, enter or register. Determine, save the article in “Purreled Materials” to read when the time appears. To do this, enter or register. Determine the companies to watch the company's directory PSK PARMA PARMA, the 2023 empl"&amp;"oyer of the 2023 Product Product, supported Russian cycling Russia and China approved the cooperation plan for 2024 in the construction of the Russian Compliance Award Sitronics Group for information security for information security for information secur"&amp;"ity He became the speaker of the professional retraining course “Management of information security in the body (organization)” in the MSTU named after N.E. Baumanavsk Olga Sorokina in the fields of Finopolis 2023 spoke about the potential to use digital "&amp;"profile in insurance in the focus for online channels: the Far Eastern Regional Center ""Ingosstrakh"" spoke about the results of the half-year nostroy and the Chinese Civil Construction Society concluded an agreement on industrial investment and science "&amp;"of the Moscow Region Fund Microfinancing of the Moscow Region supported the business for 45 billion rubles, save the article in the “Posted Materials” to read when the time appears. To do this, enter or register. Determine the Central Bank’s finances want"&amp;"s to introduce a single QR code to pay for goods, the president signed a decree to launch the exchange of blocked assets of Russians “Sber” prohibited the Kandinsky AI to generate state symbols in Alfa Bank proposed “Sleep” to pay less dividends to the Fi"&amp;"nance section, save the article in the article in “Purchase materials” to read when time appears. To do this, enter or register. Investments to expand investments to Russian investors will pay equally when exchanging assets with foreigners of the Central "&amp;"Bank, warned the accumulation of risks in the “garbage” bonds of the Central Bank does not plan to regulate lending through the Yuzhuralzoloto TSFA up to 5% of the shares in the investment column, save the article in “delayed materials »To read when time "&amp;"appears. To do this, enter or register. Determine, save the article in “Purreled Materials” to read when the time appears. To do this, enter or register. The European Polish Political Politics urged the Russian politics from Russians as France is trying t"&amp;"o achieve a humanitarian pause in the gas sector Ukraine quarreled the Republican candidate of the State Duma approved the expert research plan in 2024 on the “Politician” section, save the article in “Mathered Materials” to read the time when the time ap"&amp;"pears. To do this, enter or register. To expand the technologies back the market of video conferences-communications in 2023 will reach $ 40 million to renovation of the Cosmonauts training center will allocate more than 5 billion rubles for garbage train"&amp;"ing grounds will be monitored using drones on pharmacy sites. Anomalous growth of dirty traffic in the “Technology” section, save the article In the “Purchase Materials” to read when the time appears. To do this, enter or register. Jora Kryzhovnikov spoke"&amp;" to expand the media about the new hierarchy in the chain “Producer -Screenwriter” Zhora Kryzhovnikov told about the reluctance to make full -length films the most cash films of Zhora Kryzhovnikov “Magic Plot”: Fantastic creatures and the magical police i"&amp;"n the Media section “Save the article in the article in” Delayed materials ”to read when time appears. To do this, enter or register. Determine, save the article in “Purreled Materials” to read when the time appears. To do this, enter or register. Determi"&amp;"ning the real estate on the site of the Topaz and Amethyst plants in the southeast of Moscow may appear housing next to Moscow City will appear about 2 million square meters. m Real Estate Apollax Space will open a flexible office in the building of the t"&amp;"radesinovye of the farmstead “The time of large -scale“ carpet buildings ”has already passed” as a “Real Estate” section, save the article in “Postponed Materials” to read when the time appears. To do this, enter or register. The Ministry of Industry and "&amp;"Trade revised the approaches to localization in the automobiles in October to expand the car, the UAZ raised prices for their cars due to the rise in the cost of logistics in the government supported the draft law on the localization of taxi vehicles to t"&amp;"he Auto section, save the article in “Postponed Materials »To read when time appears. To do this, enter or register. Determine, save the article in “Purreled Materials” to read when the time appears. To do this, enter or register. Many Russian companies d"&amp;"eclare the integrated care of the health of employees of personnel hunger dictates to Russian companies new methods of hiring and holding couriers will feed the comprehensive care of employees on the road for more than a third of vacancies in the IT Reman"&amp;"ders in the Office section, save the article in the “Malminated Materials” to read it to read When the time appears. To do this, enter or register. For more than 3,000 enterprises to expand the quarry, about 5,000 marketers in the field of industry, Russi"&amp;"ans still consider the most prestigious work in the field of IT the total income of Russian freelancers by 53% in the first half of the “career”. An article in “Purchase Materials” to read when time appears. To do this, enter or register. To expand back t"&amp;"he lifestyle of the most cash films of Zhora Kryzhovnikov “The Word of the Boanding”: Very terrible deeds Anatoly Shuliev: “The viewer needs catharsis“ Museum of the Spiritual Vanguard ”: Alternative thaw to the“ Lifestyle ”section, save the article in“ M"&amp;"athered Materials ”to read when it appears when to read time. To do this, enter or register. Determine the subscription -commercial of companies subscription for legal entity for the company. The company of the company editorial -management processing cen"&amp;"ter our projects Contacts 127018 Moscow st. Regimental d. 3 pp. 1 on the map +7 495 956-34-58 info@Vedomosti.ru Vedomosti newsletters-get the main business news by mail I want to subscribe to the VK VK VKi VKi Vedomosti Vedomosti Vedomosts in Flipboard Te"&amp;"nchat Mobile application Network edition of the Vedomosti (Vedomosti) Decision of the Federal Service for the Service of the Communications of Information Technologies and Mass Communications (Roskomnadzor) dated November 27, 2020 EL No. FS 77-79546 Found"&amp;"er: BUSINESS NUSEN MEDIA JSC editor-in-chief: Kazmina Irina Sergeevna Electronic Mail: News@Vedomosti.ru Phone: +7 495 956-34-58 The site uses IP addresses COOKIE and data geolocation of the conditions of use are contained in the Personal Data Protection "&amp;"Policy Any use of materials is allowed only if you comply Retrot Rules and if there are hyperlinks on vedomosti.ru News Analytics forecasts and other materials presented on this site are not an offer or a recommendation for the purchase or sale of any ass"&amp;"ets. The information resource uses recommendation technologies (information technologies for providing information based on the collection of systematization and analysis of information related to preferences of users of the Internet in the Russian Federa"&amp;"tion). The rules for applying recommendation technologies in the widgets of the Media2 advertising and exchange network ""posted on the website Vedomosti.ru are all rights protected © AO Business News Media TIN/CPP 7712108141/771501001 OGRN 1027739124775 "&amp;"127018 Moscow st. Regimental house 3 building 1 room I floor 2 room 21. 1999–2023 Any use of materials is allowed only if the reprint rules are observed and, if there are hyperlinks on vedomosti.ru news Analytics forecasts and other materials presented on"&amp;" this site are not an offer or recommendation for purchase or recommendation for purchase or recommendation sale of any assets. The information resource uses recommendation technologies (information technologies for providing information based on the coll"&amp;"ection of systematization and analysis of information related to preferences of users of the Internet in the Russian Federation). The rules for applying recommendation technologies in the widgets of the Media2 advertising and exchange network ""posted on "&amp;"the website Vedomosti.ru are all rights protected © AO Business News Media TIN/CPP 7712108141/771501001 OGRN 1027739124775 127018 Moscow st. Regimental house 3 Building 1 Premises I floor 2 room 21. 1999–2023 Network edition of the statement (Vedomosti) T"&amp;"he decision of the Federal Service for Supervision of Information Technologies and Mass Communications (Roskomnadzor) dated November 27, 2020 EL No. FS 77-79546 Founder : JSC ""Business News Media"" acting editor-in-chief: Kazmina Irina Sergeevna Electron"&amp;"ic Mail: News@Vedomosti.ru Phone: +7 495 956-34-58 The site uses IP addresses COOKIE and data geolocation of the conditions of use are contained in the Personal Data Protection Policy")</f>
        <v>Vedomosti is a leading business publication of Russia. The newspaper enter the article in the “Purreled Materials” to read when the time appears. To do this, enter or register. Determine, save the article in “Purreled Materials” to read when the time appears. To do this, enter or register. To expand the import of cars to Russia, the growth of utilsbor and domestic production will slow down this dynamics in 2024, save the article in “Postponed Materials” to read the time. To do this, enter or register. Determine the frame of the day, save the article in the “Purreled Materials” to read when the time appears. To do this, enter or register. To expand back the Central Bank spoke about the expansion of the presence of insurers in the new regions, save the article in “Purchase Materials” to read when the time appears. To do this, enter or register. The new film by Anna Melikyan about a woman who began to hear alien voices, keep an article in “Post -Posted Materials” came out to expand the “Feelings of Anna” from the Cosmos with love. To read the time. To do this, enter or register. Determine, save the article in “Purreled Materials” to read when the time appears. To do this, enter or register. To expand back the Minister of Education of Russia personally showed the head of Chechnya a new textbook of history, save the article in “Purchase Materials” to read when the time appears. To do this, enter or register. Patients and government agencies have stopped expanding the sales of insulin in Russia in Russia, experts consider to buy the drug to save the article in “Post -Executed Materials” to read out when there is time. To do this, enter or register. To expand the “Magic Plot” fantastic creatures and the magical police on the Okko video service started showing the series about modern Moscow and its fairy -tale inhabitants, save the article in “Postponed Materials” to read the time. To do this, enter or register. To expand back the zhora of gooseberries “to lure them to spoll” the screenwriter and producer about the “adult” spectators and new realities of serial production in Russia, save the article in “Delayed Materials” to read when the time appears. To do this, enter or register. To expand back to Russian investors will be paid equally when exchanging assets with foreigners to assess the Central Bank of the funds to all whose portfolio does not exceed 100,000 rubles, save the article in “Defed Materials” to read out when the time appears. To do this, enter or register. Expand the plot Partner Advertising Newton Investment ERID: LDTKKN4FB in detail with information can be found on gazprombank.investments/broker/disclosure investment Reading all materials from UC Rusal, Sberbank for nine months, Sberbank received 133 billion rubles in October Trading by the eternal futures on the Mosbirzhi index will begin on November 14, save the article in “Purchase Materials” to read when the time appears. To do this, enter or register. To expand the first group of Russian citizens at the exit from the Gaza to Egypt of 85 people approved to the aisle through the Rafach 68 checkpoint 68 - women and children will save the article in “Postponed Materials” to read out when time appears. To do this, enter or register. To deploy Zhora Kryzhovnikov, he spoke about the new hierarchy in the chain “Producer - Director - Screenwriter” Save the article in “Post -Executed Materials” to read when the time appears. To do this, enter or register. The Director of the Department of Corporate Relations of the Central Bank, Elena Kuritsyna, will deploy the head of the Department of Corporate Relations, will interact with issuers and authorities to maintain the article in the “Mathered Materials” to read the time. To do this, enter or register. To expand back the natural decline of the population decreased in 9 months by almost a quarter, save the article in “Postponed Materials” to read when time appears. To do this, enter or register. Determine the plot partner Advertising I ERID: ldtckew5y gsb.hse.ru the main Russian IT trends 2024 Read all materials in the interests of traffic, the key to all doors is clear without seams, save the article in “Postponed Materials” to read out when time appears. To do this, enter or register. The Central Bank warned to expand about the accumulation of risks in the “garbage” bonds of individuals to the demand of individuals for such papers reduced the risk coating with profitability to save the article in “Postponed Materials” to read the time. To do this, enter or register. To expand back as state support helps exporters overcome boundaries and barriers why it is important for business to cooperate with the regions and federal authorities to maintain an article in “Postponed Materials” to read when time appears. To do this, enter or register. To expand the Congress of United Russia will be held on December 17 Save the article in “Postponed Materials” to read when the time appears. To do this, enter or register. The Central Bank does not plan to deploy lending through the Tsfa, save the article in “Postponed Materials” to read when time appears. To do this, enter or register. Determine, save the article in “Purreled Materials” to read when the time appears. To do this, enter or register. The Russian “exchanged” 85 million rubles for fake dollars in the Uralsib office to expand back the businessman, the businessman came across a fraudster who allegedly was an employee of the bank, save the article in “Mattle Materials” to read out when the time appears. To do this, enter or register. Determine, save the article in “Purreled Materials” to read when the time appears. To do this, enter or register. The drones will be expanded back to monitor the territories of the Federal Penitentiary Service, the Ministry of Justice included them in the draft regulation of technical means of supervision of the prisoners, save the article in “Postponed Materials” to read the time. To do this, enter or register. Determine the plot of the exacerbation of the conflict between Israel and Palestine: what is happening to read all the materials of Israel promised Livana the fate of Gaza when involving the Palestinians, President Iran called the Islamic world to arm the Palestinians Erdogan said that Israel support the minority of the countries to keep the article in the “Milituted Materials” to read out When the time appears. To do this, enter or register. Putin visited the headquarters of the Armed Forces of the Russian Federation in Rostov-on-Don, keep the article in the “Postponed Materials” to read when the time appears. To do this, enter or register. To expand back the gas sector will leave the first 85 citizens of Russia, save the article in “Postponed Materials” to read when the time appears. To do this, enter or register. To expand back why the personnel deficit has become the main problem of the Russian economy in the Central Bank believe that it can solve its increase in labor productivity save the article in “Postponed Materials” to read when time appears. To do this, enter or register. To expand back what the presidents of Russia and Kazakhstan spoke about in Astana, save the article in “Postponed Materials” to read when time appears. To do this, enter or register. Determine, save the article in “Purreled Materials” to read when the time appears. To do this, enter or register. To expand back the first sentence in Moscow in the case of the murder of Daria Dugina has been sentenced to save the article in “Purchase Materials” to read when the time appears. To do this, enter or register. Determine the frame of the day, save the article in the “Purreled Materials” to read when the time appears. To do this, enter or register. Determine, save the article in “Purreled Materials” to read when the time appears. To do this, enter or register. Determine the messages of the partners to watch the company's directory save the article in “Postponed Materials” to read when the time appears. To do this, enter or register. Determining the business price for chipboard began to grow against the background of the peak of the production of Aeroflot furniture will halve the number of aircraft in the Krasnoyarsk Hab of Inter RAO will take up the CHP in Kazakhstan Yuzhuralzoloto will place up to 5% of the shares on the TOBILISTRIC OF BUSINESS In the “Purchase Materials” to read when the time appears. To do this, enter or register. The Ministry of Labor Economics and the Ministry of Labor and the Ministry of Construction want to expand the family mortgage on the secondary in small cities what Nabiullina spoke about in the State Duma. The main thing for the renovation of the Cosmonauts training center will be allocated more than 5 billion rubles by experts called five fundamental shortcomings of the regulation of the digital ruble to the “Economics” column, save the article in “Delayed Materials” to read out when time appears. To do this, enter or register. Determine, save the article in “Purreled Materials” to read when the time appears. To do this, enter or register. Determine the companies to watch the company's directory PSK PARMA PARMA, the 2023 employer of the 2023 Product Product, supported Russian cycling Russia and China approved the cooperation plan for 2024 in the construction of the Russian Compliance Award Sitronics Group for information security for information security for information security He became the speaker of the professional retraining course “Management of information security in the body (organization)” in the MSTU named after N.E. Baumanavsk Olga Sorokina in the fields of Finopolis 2023 spoke about the potential to use digital profile in insurance in the focus for online channels: the Far Eastern Regional Center "Ingosstrakh" spoke about the results of the half-year nostroy and the Chinese Civil Construction Society concluded an agreement on industrial investment and science of the Moscow Region Fund Microfinancing of the Moscow Region supported the business for 45 billion rubles, save the article in the “Posted Materials” to read when the time appears. To do this, enter or register. Determine the Central Bank’s finances wants to introduce a single QR code to pay for goods, the president signed a decree to launch the exchange of blocked assets of Russians “Sber” prohibited the Kandinsky AI to generate state symbols in Alfa Bank proposed “Sleep” to pay less dividends to the Finance section, save the article in the article in “Purchase materials” to read when time appears. To do this, enter or register. Investments to expand investments to Russian investors will pay equally when exchanging assets with foreigners of the Central Bank, warned the accumulation of risks in the “garbage” bonds of the Central Bank does not plan to regulate lending through the Yuzhuralzoloto TSFA up to 5% of the shares in the investment column, save the article in “delayed materials »To read when time appears. To do this, enter or register. Determine, save the article in “Purreled Materials” to read when the time appears. To do this, enter or register. The European Polish Political Politics urged the Russian politics from Russians as France is trying to achieve a humanitarian pause in the gas sector Ukraine quarreled the Republican candidate of the State Duma approved the expert research plan in 2024 on the “Politician” section, save the article in “Mathered Materials” to read the time when the time appears. To do this, enter or register. To expand the technologies back the market of video conferences-communications in 2023 will reach $ 40 million to renovation of the Cosmonauts training center will allocate more than 5 billion rubles for garbage training grounds will be monitored using drones on pharmacy sites. Anomalous growth of dirty traffic in the “Technology” section, save the article In the “Purchase Materials” to read when the time appears. To do this, enter or register. Jora Kryzhovnikov spoke to expand the media about the new hierarchy in the chain “Producer -Screenwriter” Zhora Kryzhovnikov told about the reluctance to make full -length films the most cash films of Zhora Kryzhovnikov “Magic Plot”: Fantastic creatures and the magical police in the Media section “Save the article in the article in” Delayed materials ”to read when time appears. To do this, enter or register. Determine, save the article in “Purreled Materials” to read when the time appears. To do this, enter or register. Determining the real estate on the site of the Topaz and Amethyst plants in the southeast of Moscow may appear housing next to Moscow City will appear about 2 million square meters. m Real Estate Apollax Space will open a flexible office in the building of the tradesinovye of the farmstead “The time of large -scale“ carpet buildings ”has already passed” as a “Real Estate” section, save the article in “Postponed Materials” to read when the time appears. To do this, enter or register. The Ministry of Industry and Trade revised the approaches to localization in the automobiles in October to expand the car, the UAZ raised prices for their cars due to the rise in the cost of logistics in the government supported the draft law on the localization of taxi vehicles to the Auto section, save the article in “Postponed Materials »To read when time appears. To do this, enter or register. Determine, save the article in “Purreled Materials” to read when the time appears. To do this, enter or register. Many Russian companies declare the integrated care of the health of employees of personnel hunger dictates to Russian companies new methods of hiring and holding couriers will feed the comprehensive care of employees on the road for more than a third of vacancies in the IT Remanders in the Office section, save the article in the “Malminated Materials” to read it to read When the time appears. To do this, enter or register. For more than 3,000 enterprises to expand the quarry, about 5,000 marketers in the field of industry, Russians still consider the most prestigious work in the field of IT the total income of Russian freelancers by 53% in the first half of the “career”. An article in “Purchase Materials” to read when time appears. To do this, enter or register. To expand back the lifestyle of the most cash films of Zhora Kryzhovnikov “The Word of the Boanding”: Very terrible deeds Anatoly Shuliev: “The viewer needs catharsis“ Museum of the Spiritual Vanguard ”: Alternative thaw to the“ Lifestyle ”section, save the article in“ Mathered Materials ”to read when it appears when to read time. To do this, enter or register. Determine the subscription -commercial of companies subscription for legal entity for the company. The company of the company editorial -management processing center our projects Contacts 127018 Moscow st. Regimental d. 3 pp. 1 on the map +7 495 956-34-58 info@Vedomosti.ru Vedomosti newsletters-get the main business news by mail I want to subscribe to the VK VK VKi VKi Vedomosti Vedomosti Vedomosts in Flipboard Tenchat Mobile application Network edition of the Vedomosti (Vedomosti) Decision of the Federal Service for the Service of the Communications of Information Technologies and Mass Communications (Roskomnadzor) dated November 27, 2020 EL No. FS 77-79546 Founder: BUSINESS NUSEN MEDIA JSC editor-in-chief: Kazmina Irina Sergeevna Electronic Mail: News@Vedomosti.ru Phone: +7 495 956-34-58 The site uses IP addresses COOKIE and data geolocation of the conditions of use are contained in the Personal Data Protection Policy Any use of materials is allowed only if you comply Retrot Rules and if there are hyperlinks on vedomosti.ru News Analytics forecasts and other materials presented on this site are not an offer or a recommendation for the purchase or sale of any assets. The information resource uses recommendation technologies (information technologies for providing information based on the collection of systematization and analysis of information related to preferences of users of the Internet in the Russian Federation). The rules for applying recommendation technologies in the widgets of the Media2 advertising and exchange network "posted on the website Vedomosti.ru are all rights protected © AO Business News Media TIN/CPP 7712108141/771501001 OGRN 1027739124775 127018 Moscow st. Regimental house 3 building 1 room I floor 2 room 21. 1999–2023 Any use of materials is allowed only if the reprint rules are observed and, if there are hyperlinks on vedomosti.ru news Analytics forecasts and other materials presented on this site are not an offer or recommendation for purchase or recommendation for purchase or recommendation sale of any assets. The information resource uses recommendation technologies (information technologies for providing information based on the collection of systematization and analysis of information related to preferences of users of the Internet in the Russian Federation). The rules for applying recommendation technologies in the widgets of the Media2 advertising and exchange network "posted on the website Vedomosti.ru are all rights protected © AO Business News Media TIN/CPP 7712108141/771501001 OGRN 1027739124775 127018 Moscow st. Regimental house 3 Building 1 Premises I floor 2 room 21. 1999–2023 Network edition of the statement (Vedomosti) The decision of the Federal Service for Supervision of Information Technologies and Mass Communications (Roskomnadzor) dated November 27, 2020 EL No. FS 77-79546 Founder : JSC "Business News Media" acting editor-in-chief: Kazmina Irina Sergeevna Electronic Mail: News@Vedomosti.ru Phone: +7 495 956-34-58 The site uses IP addresses COOKIE and data geolocation of the conditions of use are contained in the Personal Data Protection Policy</v>
      </c>
    </row>
    <row r="55">
      <c r="A55" s="1" t="s">
        <v>204</v>
      </c>
      <c r="B55" s="1" t="s">
        <v>223</v>
      </c>
      <c r="C55" s="1" t="s">
        <v>224</v>
      </c>
      <c r="D55" s="1">
        <v>6.0</v>
      </c>
      <c r="E55" s="4" t="s">
        <v>225</v>
      </c>
      <c r="F55" s="1" t="s">
        <v>16</v>
      </c>
      <c r="I55" s="2">
        <v>5.0</v>
      </c>
      <c r="J55" s="5" t="str">
        <f>IFERROR(__xludf.DUMMYFUNCTION("GOOGLETRANSLATE(A55)"),"youtube")</f>
        <v>youtube</v>
      </c>
      <c r="K55" s="6" t="str">
        <f>IFERROR(__xludf.DUMMYFUNCTION("GOOGLETRANSLATE(B55)"),"YouTube blocked the video of a Hungarian journalist with ...")</f>
        <v>YouTube blocked the video of a Hungarian journalist with ...</v>
      </c>
      <c r="L55" s="5" t="str">
        <f>IFERROR(__xludf.DUMMYFUNCTION("GOOGLETRANSLATE(C55)"),"18 hours ago -")</f>
        <v>18 hours ago -</v>
      </c>
      <c r="M55" s="5" t="str">
        <f>IFERROR(__xludf.DUMMYFUNCTION("GOOGLETRANSLATE(G55)"),"#VALUE!")</f>
        <v>#VALUE!</v>
      </c>
    </row>
    <row r="56">
      <c r="A56" s="1" t="s">
        <v>204</v>
      </c>
      <c r="B56" s="1" t="s">
        <v>226</v>
      </c>
      <c r="D56" s="1">
        <v>7.0</v>
      </c>
      <c r="E56" s="4" t="s">
        <v>227</v>
      </c>
      <c r="F56" s="1" t="s">
        <v>16</v>
      </c>
      <c r="G56" s="1" t="s">
        <v>228</v>
      </c>
      <c r="H56" s="4" t="s">
        <v>229</v>
      </c>
      <c r="I56" s="2">
        <v>0.0</v>
      </c>
      <c r="J56" s="5" t="str">
        <f>IFERROR(__xludf.DUMMYFUNCTION("GOOGLETRANSLATE(A56)"),"youtube")</f>
        <v>youtube</v>
      </c>
      <c r="K56" s="6" t="str">
        <f>IFERROR(__xludf.DUMMYFUNCTION("GOOGLETRANSLATE(B56)"),"YouTube. How did the most popular video hosting win the world?")</f>
        <v>YouTube. How did the most popular video hosting win the world?</v>
      </c>
      <c r="M56" s="5" t="str">
        <f>IFERROR(__xludf.DUMMYFUNCTION("GOOGLETRANSLATE(G56)"),"Google �����������������������PlayYouTube����������������������������������������� ����������������������Blogger����������������������� �������� »Account Options��������������� ������� ���������� � ������� �������������������� ��������������� ������������"&amp;"������������� ��������������������")</f>
        <v>Google �����������������������PlayYouTube����������������������������������������� ����������������������Blogger����������������������� �������� »Account Options��������������� ������� ���������� � ������� �������������������� ��������������� ������������������������� ��������������������</v>
      </c>
    </row>
    <row r="57">
      <c r="A57" s="1" t="s">
        <v>204</v>
      </c>
      <c r="B57" s="1" t="s">
        <v>230</v>
      </c>
      <c r="D57" s="1">
        <v>8.0</v>
      </c>
      <c r="E57" s="4" t="s">
        <v>231</v>
      </c>
      <c r="F57" s="1" t="s">
        <v>16</v>
      </c>
      <c r="G57" s="1" t="s">
        <v>228</v>
      </c>
      <c r="H57" s="4" t="s">
        <v>229</v>
      </c>
      <c r="I57" s="2">
        <v>0.0</v>
      </c>
      <c r="J57" s="5" t="str">
        <f>IFERROR(__xludf.DUMMYFUNCTION("GOOGLETRANSLATE(A57)"),"youtube")</f>
        <v>youtube</v>
      </c>
      <c r="K57" s="6" t="str">
        <f>IFERROR(__xludf.DUMMYFUNCTION("GOOGLETRANSLATE(B57)"),"YouTubinaril. YouTube for business. How to sell goods and ...")</f>
        <v>YouTubinaril. YouTube for business. How to sell goods and ...</v>
      </c>
      <c r="M57" s="5" t="str">
        <f>IFERROR(__xludf.DUMMYFUNCTION("GOOGLETRANSLATE(G57)"),"Google �����������������������PlayYouTube����������������������������������������� ����������������������Blogger����������������������� �������� »Account Options��������������� ������� ���������� � ������� �������������������� ��������������� ������������"&amp;"������������� ��������������������")</f>
        <v>Google �����������������������PlayYouTube����������������������������������������� ����������������������Blogger����������������������� �������� »Account Options��������������� ������� ���������� � ������� �������������������� ��������������� ������������������������� ��������������������</v>
      </c>
    </row>
    <row r="58">
      <c r="A58" s="1" t="s">
        <v>204</v>
      </c>
      <c r="B58" s="1" t="s">
        <v>232</v>
      </c>
      <c r="C58" s="1" t="s">
        <v>113</v>
      </c>
      <c r="D58" s="1">
        <v>9.0</v>
      </c>
      <c r="E58" s="4" t="s">
        <v>233</v>
      </c>
      <c r="F58" s="1" t="s">
        <v>16</v>
      </c>
      <c r="I58" s="2">
        <v>5.0</v>
      </c>
      <c r="J58" s="5" t="str">
        <f>IFERROR(__xludf.DUMMYFUNCTION("GOOGLETRANSLATE(A58)"),"youtube")</f>
        <v>youtube</v>
      </c>
      <c r="K58" s="6" t="str">
        <f>IFERROR(__xludf.DUMMYFUNCTION("GOOGLETRANSLATE(B58)"),"YouTube blocked the program with Russian ...")</f>
        <v>YouTube blocked the program with Russian ...</v>
      </c>
      <c r="L58" s="5" t="str">
        <f>IFERROR(__xludf.DUMMYFUNCTION("GOOGLETRANSLATE(C58)"),"1 day ago -")</f>
        <v>1 day ago -</v>
      </c>
      <c r="M58" s="5" t="str">
        <f>IFERROR(__xludf.DUMMYFUNCTION("GOOGLETRANSLATE(G58)"),"#VALUE!")</f>
        <v>#VALUE!</v>
      </c>
    </row>
    <row r="59">
      <c r="A59" s="1" t="s">
        <v>204</v>
      </c>
      <c r="B59" s="1" t="s">
        <v>234</v>
      </c>
      <c r="D59" s="1">
        <v>10.0</v>
      </c>
      <c r="E59" s="4" t="s">
        <v>235</v>
      </c>
      <c r="F59" s="1" t="s">
        <v>16</v>
      </c>
      <c r="G59" s="1" t="s">
        <v>228</v>
      </c>
      <c r="H59" s="4" t="s">
        <v>229</v>
      </c>
      <c r="I59" s="2">
        <v>0.0</v>
      </c>
      <c r="J59" s="5" t="str">
        <f>IFERROR(__xludf.DUMMYFUNCTION("GOOGLETRANSLATE(A59)"),"youtube")</f>
        <v>youtube</v>
      </c>
      <c r="K59" s="6" t="str">
        <f>IFERROR(__xludf.DUMMYFUNCTION("GOOGLETRANSLATE(B59)"),"YouTube: The Way to Success. Part 2. How to get trucks and ...")</f>
        <v>YouTube: The Way to Success. Part 2. How to get trucks and ...</v>
      </c>
      <c r="M59" s="5" t="str">
        <f>IFERROR(__xludf.DUMMYFUNCTION("GOOGLETRANSLATE(G59)"),"Google �����������������������PlayYouTube����������������������������������������� ����������������������Blogger����������������������� �������� »Account Options��������������� ������� ���������� � ������� �������������������� ��������������� ������������"&amp;"������������� ��������������������")</f>
        <v>Google �����������������������PlayYouTube����������������������������������������� ����������������������Blogger����������������������� �������� »Account Options��������������� ������� ���������� � ������� �������������������� ��������������� ������������������������� ��������������������</v>
      </c>
    </row>
    <row r="60">
      <c r="A60" s="1" t="s">
        <v>204</v>
      </c>
      <c r="B60" s="1" t="s">
        <v>236</v>
      </c>
      <c r="C60" s="1" t="s">
        <v>153</v>
      </c>
      <c r="D60" s="1">
        <v>11.0</v>
      </c>
      <c r="E60" s="4" t="s">
        <v>237</v>
      </c>
      <c r="F60" s="1" t="s">
        <v>16</v>
      </c>
      <c r="G60" s="1" t="s">
        <v>238</v>
      </c>
      <c r="H60" s="4" t="s">
        <v>239</v>
      </c>
      <c r="I60" s="2">
        <v>5.0</v>
      </c>
      <c r="J60" s="5" t="str">
        <f>IFERROR(__xludf.DUMMYFUNCTION("GOOGLETRANSLATE(A60)"),"youtube")</f>
        <v>youtube</v>
      </c>
      <c r="K60" s="6" t="str">
        <f>IFERROR(__xludf.DUMMYFUNCTION("GOOGLETRANSLATE(B60)"),"A woman who led a burst on the border ...")</f>
        <v>A woman who led a burst on the border ...</v>
      </c>
      <c r="L60" s="5" t="str">
        <f>IFERROR(__xludf.DUMMYFUNCTION("GOOGLETRANSLATE(C60)"),"3 days ago -")</f>
        <v>3 days ago -</v>
      </c>
      <c r="M60" s="5" t="str">
        <f>IFERROR(__xludf.DUMMYFUNCTION("GOOGLETRANSLATE(G60)"),"Auto -Grodno - Cars Grodno News Services Buy Auto Lakatsya losses and finds Grodno Entrance / Registration Remember me to enter the password? Have you forgotten the login? Registration of news Service Service Buy Lakatsya Loginparol, remember me, forgot m"&amp;"y password? Forgot the login? Registration as the Likhokoy ax team from Grodno Free guarantee for tires from damage - a new service in autoset stores Woman who led the queue at the Lithuanian border, the journalists came to the site with cars confiscated "&amp;"in Belarus. Here's what they are sold there as a rule in confiscat, they sell very cheap cars and cheaply is extremely rare. But are there any worthy cars and how much are they worth it? ""Maybe parents find out?"" The boy on the scooter appeared from the"&amp;" darkness and rushed in front of the bumper of the car in Grodno Andrei reader AvoGrodno drove last night in the yards along the Kalinovsky 50 residential building. Suddenly I had to emergently slow down. What benefits do the Belarusian disabled have when"&amp;" crossing the border? The official response of the Grodno border group helps to understand some issues of crossing the state border. What projects are collected now in the Grodno workshop of the ""dashing ax"" - the report ""no one said that the dream sho"&amp;"uld be reasonable."" This is how the status of a “dashing ax” sounds in one of its social networks. On Sunday, some roads in Grodno will be blocked. A family race will take place on Sunday November 12 from 11:00 to 15:00 in the city of Grodno will be bloc"&amp;"ked by some streets. The traffic police of Grodno are looking for a SUV driver: yesterday morning he left the scene of an accident. There is an entry from the registrar on Yanka Kupala Avenue on November 10 at about 07:52 a collision of Citroen C3 Citroen"&amp;" Car and Dark SUV. In the morning, a girl was shot down at Dombrovsky. She is in the hospital on the morning of November 11 at 8:37 am a 31-year-old Volkswagen driver was moving along Dombrovsky Street in the direction of the Fort Ring. As a couple in the"&amp;" elephant, she walked on a criminal article. Video the other day, a 29-year-old resident of Slonim and his 29-year-old girlfriend rested visiting a friend where they used alcohol. In the Netherlands, the Belarusian trucker was killed by the Belarusian For"&amp;"eign Ministry officially confirmed the death of a citizen of Belarus. The traffic police officers took the Avtouraganes and went to look for violators on Grodno - a car without inspection and drivers without ""rights"" in the Grodno GAI have special devic"&amp;"es - ""Avtouragana"". These are computer complexes that allow you to calculate violators directly in the stream. Today, on November 10, two traffic police crews with Avtomougans went to Grodno at once. You also have an end to read. Our news has ended the "&amp;"service catalog all services&gt; one hundred Grodno auto -disassembled tires tires Evacuators Especially vehicle automatic cleaning vehicles Automated Automated all categories of one hundred Grodnoavtno -Author -Obrookhino -Meshino -Meskhino -Mokykhokykiyava"&amp;"cia Automobiles Auto / MOTO / ATATO store and one hundred Bialystokaavto from the USA From European resources to the delivery of a car from European Auto to lease driving schools of driving -nuclear -sabosaloniaw -affairs and passenger transportation of c"&amp;"argoxpetstsputsputskrakhovka, car collection The ransom of auto -action and discounts in Grodnovolagselomastern recommend a service station for body repair ""Folyush"" repair of mufflers - IP Masyuk P.A. IP Dubrovchik - Rent of a mini -tractor (mini -expl"&amp;"orer + mini -carrier) and trailer for category ""B"" OJSC Grodnoavtoservis - STO ""Batavtotrad"" - batteries in Grodno 12 volts of grodno Sales Auto more&gt; Mitsubishi Galanthi (propane -tutan ) Hyundai Santa Fe 2005 gasoline Honda 7 2003 gasoline (Propan-B"&amp;"utan) KIA Carnival 1999 diesel Opel Signum 2005 gasoline Ford Fiesta 2019 BMW X3 2022 gasoline Citroen C4 2006 gasoline Audi Q7 2019 gasoline post all ads all the ads of the advertisements what projects are now collected in g. Rodnenskaya The workshop of "&amp;"the ""dashing ax"" - report ""we got involved in what we did not understand."" The History of the Restoration of the Chevrolet Monza from Grodno Belorus with his own hands gathered a caterpillar all -terrain vehicle from the Seat and conquered the Tiktok "&amp;"Belarusian Master of Sports of the International Class Sports in long ago and travels with a dog! “Yes, even with a crocodile! The main thing is to be clean in the cab! "" Haval Dargo went to a test drive in Grodno. The first impressions and overview by t"&amp;"he fields in the fields of the Blue Tractor goes to us! Belarusian showed the restored MTZ-50 in 1965. The Belarusian family has a real MTZ-50 “Belarus” (or “fifty dollars” as he was nicknamed the people)! Moreover, he was acquired in a state of ""decommi"&amp;"ssioned on scrap"", but in a couple of years they returned to a full life. Awesome Jetta MK1 from Grodno: created to catch views, Victor took up the restoration of the 1983 Volkswagen Jetta MK1, passed through difficulties several years ago but collected "&amp;"a delightful copy! How did he do it? Haval is already in Grodno. Everyone is called for test drives and gifts. See what models inside the showroom and at what price from November 3 to 6, the Haval Motor Show in Grodno will host presentations of new crosso"&amp;"vers expanded test drives and gift contests. They invite everyone! The correspondent of Avtogrodno visited the Haval salon on the eve of the event and looked at what models are presented in our city. Belarusians cannot sell these cars for years. We looked"&amp;" at the ""hanging"" Autonomane RB for what time are usually sold in Belarus? Two three months? Sometimes for the sale of a car, years take. And such cases in our country are enough. Looking at the well -known car resource in the Republic of Belarus, we in"&amp;"stalled a filter on the oldest ads. It is difficult to imagine but some ads date back to 2015 - 2020! At the same time, the owners regularly update them. See which cars have been looking for new owners for a long time. Belarusian drove from China ""Restyl"&amp;"ing Kulrei"" - Binyue Cool. It is very different from the predecessor of Belarusians continue to search and buy new products from China. So the Minsk resident has just received from the Middle Kingdom of Binyue Cool the first generation of which is known "&amp;"with us under the name Coolray (now - Belgee X50). It is still unclear when the crossover begins to supply to the country officially, which only increases the anticipation of acquaintance with the model. All reviews follow us on social networks of News Gr"&amp;"odno Buy Auto Catalog of Grodno Services: one hundred Grodno Auto Diaspons Tires. Tires Mounting Evacuators Special Technics for us write to us advertisements on the site to place a company © 2006 - 2023 Avtogrodno News of News")</f>
        <v>Auto -Grodno - Cars Grodno News Services Buy Auto Lakatsya losses and finds Grodno Entrance / Registration Remember me to enter the password? Have you forgotten the login? Registration of news Service Service Buy Lakatsya Loginparol, remember me, forgot my password? Forgot the login? Registration as the Likhokoy ax team from Grodno Free guarantee for tires from damage - a new service in autoset stores Woman who led the queue at the Lithuanian border, the journalists came to the site with cars confiscated in Belarus. Here's what they are sold there as a rule in confiscat, they sell very cheap cars and cheaply is extremely rare. But are there any worthy cars and how much are they worth it? "Maybe parents find out?" The boy on the scooter appeared from the darkness and rushed in front of the bumper of the car in Grodno Andrei reader AvoGrodno drove last night in the yards along the Kalinovsky 50 residential building. Suddenly I had to emergently slow down. What benefits do the Belarusian disabled have when crossing the border? The official response of the Grodno border group helps to understand some issues of crossing the state border. What projects are collected now in the Grodno workshop of the "dashing ax" - the report "no one said that the dream should be reasonable." This is how the status of a “dashing ax” sounds in one of its social networks. On Sunday, some roads in Grodno will be blocked. A family race will take place on Sunday November 12 from 11:00 to 15:00 in the city of Grodno will be blocked by some streets. The traffic police of Grodno are looking for a SUV driver: yesterday morning he left the scene of an accident. There is an entry from the registrar on Yanka Kupala Avenue on November 10 at about 07:52 a collision of Citroen C3 Citroen Car and Dark SUV. In the morning, a girl was shot down at Dombrovsky. She is in the hospital on the morning of November 11 at 8:37 am a 31-year-old Volkswagen driver was moving along Dombrovsky Street in the direction of the Fort Ring. As a couple in the elephant, she walked on a criminal article. Video the other day, a 29-year-old resident of Slonim and his 29-year-old girlfriend rested visiting a friend where they used alcohol. In the Netherlands, the Belarusian trucker was killed by the Belarusian Foreign Ministry officially confirmed the death of a citizen of Belarus. The traffic police officers took the Avtouraganes and went to look for violators on Grodno - a car without inspection and drivers without "rights" in the Grodno GAI have special devices - "Avtouragana". These are computer complexes that allow you to calculate violators directly in the stream. Today, on November 10, two traffic police crews with Avtomougans went to Grodno at once. You also have an end to read. Our news has ended the service catalog all services&gt; one hundred Grodno auto -disassembled tires tires Evacuators Especially vehicle automatic cleaning vehicles Automated Automated all categories of one hundred Grodnoavtno -Author -Obrookhino -Meshino -Meskhino -Mokykhokykiyavacia Automobiles Auto / MOTO / ATATO store and one hundred Bialystokaavto from the USA From European resources to the delivery of a car from European Auto to lease driving schools of driving -nuclear -sabosaloniaw -affairs and passenger transportation of cargoxpetstsputsputskrakhovka, car collection The ransom of auto -action and discounts in Grodnovolagselomastern recommend a service station for body repair "Folyush" repair of mufflers - IP Masyuk P.A. IP Dubrovchik - Rent of a mini -tractor (mini -explorer + mini -carrier) and trailer for category "B" OJSC Grodnoavtoservis - STO "Batavtotrad" - batteries in Grodno 12 volts of grodno Sales Auto more&gt; Mitsubishi Galanthi (propane -tutan ) Hyundai Santa Fe 2005 gasoline Honda 7 2003 gasoline (Propan-Butan) KIA Carnival 1999 diesel Opel Signum 2005 gasoline Ford Fiesta 2019 BMW X3 2022 gasoline Citroen C4 2006 gasoline Audi Q7 2019 gasoline post all ads all the ads of the advertisements what projects are now collected in g. Rodnenskaya The workshop of the "dashing ax" - report "we got involved in what we did not understand." The History of the Restoration of the Chevrolet Monza from Grodno Belorus with his own hands gathered a caterpillar all -terrain vehicle from the Seat and conquered the Tiktok Belarusian Master of Sports of the International Class Sports in long ago and travels with a dog! “Yes, even with a crocodile! The main thing is to be clean in the cab! " Haval Dargo went to a test drive in Grodno. The first impressions and overview by the fields in the fields of the Blue Tractor goes to us! Belarusian showed the restored MTZ-50 in 1965. The Belarusian family has a real MTZ-50 “Belarus” (or “fifty dollars” as he was nicknamed the people)! Moreover, he was acquired in a state of "decommissioned on scrap", but in a couple of years they returned to a full life. Awesome Jetta MK1 from Grodno: created to catch views, Victor took up the restoration of the 1983 Volkswagen Jetta MK1, passed through difficulties several years ago but collected a delightful copy! How did he do it? Haval is already in Grodno. Everyone is called for test drives and gifts. See what models inside the showroom and at what price from November 3 to 6, the Haval Motor Show in Grodno will host presentations of new crossovers expanded test drives and gift contests. They invite everyone! The correspondent of Avtogrodno visited the Haval salon on the eve of the event and looked at what models are presented in our city. Belarusians cannot sell these cars for years. We looked at the "hanging" Autonomane RB for what time are usually sold in Belarus? Two three months? Sometimes for the sale of a car, years take. And such cases in our country are enough. Looking at the well -known car resource in the Republic of Belarus, we installed a filter on the oldest ads. It is difficult to imagine but some ads date back to 2015 - 2020! At the same time, the owners regularly update them. See which cars have been looking for new owners for a long time. Belarusian drove from China "Restyling Kulrei" - Binyue Cool. It is very different from the predecessor of Belarusians continue to search and buy new products from China. So the Minsk resident has just received from the Middle Kingdom of Binyue Cool the first generation of which is known with us under the name Coolray (now - Belgee X50). It is still unclear when the crossover begins to supply to the country officially, which only increases the anticipation of acquaintance with the model. All reviews follow us on social networks of News Grodno Buy Auto Catalog of Grodno Services: one hundred Grodno Auto Diaspons Tires. Tires Mounting Evacuators Special Technics for us write to us advertisements on the site to place a company © 2006 - 2023 Avtogrodno News of News</v>
      </c>
    </row>
    <row r="61">
      <c r="A61" s="1" t="s">
        <v>204</v>
      </c>
      <c r="B61" s="1" t="s">
        <v>240</v>
      </c>
      <c r="C61" s="1" t="s">
        <v>113</v>
      </c>
      <c r="D61" s="1">
        <v>12.0</v>
      </c>
      <c r="E61" s="4" t="s">
        <v>241</v>
      </c>
      <c r="F61" s="1" t="s">
        <v>16</v>
      </c>
      <c r="G61" s="1" t="s">
        <v>242</v>
      </c>
      <c r="H61" s="4" t="s">
        <v>243</v>
      </c>
      <c r="I61" s="2">
        <v>5.0</v>
      </c>
      <c r="J61" s="5" t="str">
        <f>IFERROR(__xludf.DUMMYFUNCTION("GOOGLETRANSLATE(A61)"),"youtube")</f>
        <v>youtube</v>
      </c>
      <c r="K61" s="6" t="str">
        <f>IFERROR(__xludf.DUMMYFUNCTION("GOOGLETRANSLATE(B61)"),"On the pages of the channels in YouTube, the section ""For ...")</f>
        <v>On the pages of the channels in YouTube, the section "For ...</v>
      </c>
      <c r="L61" s="5" t="str">
        <f>IFERROR(__xludf.DUMMYFUNCTION("GOOGLETRANSLATE(C61)"),"1 day ago -")</f>
        <v>1 day ago -</v>
      </c>
      <c r="M61" s="5" t="str">
        <f>IFERROR(__xludf.DUMMYFUNCTION("GOOGLETRANSLATE(G61)"),"Kommersant: the latest news of Russia and the world advertising in Kommersant.kommersant.ru/adreklama in Kommersant www.kommersant.ru/admersant Entrance Kommersant FM Cover the menu of the menu of the menu of the menu of the ClubgazetaweKend -Autophydrapi"&amp;"st Partner Partifier -Apartican Science Cardioprothelian Conferences Verser of the subscriptionsmaphotogenicism of the economy of the economy of the policy of the market-residential-consulting telecommunication of the social and technologists of cultural "&amp;"and technologists of the appendix of the Khutimultimultimultimomtimultimetamystskihniki ""Kommersant"" for Android to skill the appendoreAppgallerymoskvasankankvasankanzhanburgsanchangzanzanzanzanzanyarcsnodarznodarznodar-icon-core, Novgorodnovosibirskper"&amp;"istovsty-Donusarasaratovskaratovskayaroslavl-predicting $ 9229 € 9855 ¥ 1261i MOEX 324206 STOLSENT WEEKENDALLENT WELLOW WHAT IS SET WAS A GASENT OPERATION OF GASEN Operation in Ukraine Kommersant Economics of Plazances against the Russian Federation again"&amp;"st the Russian Tecyathi-Tecystilweecendiye Extensive News Representatives proposed financing the US government without the help of Ukraine and Israel Netanyahu opposed the transfer of the gas sector under the control of Palestine, the American military ai"&amp;"rcraft crashed in the Mediterranean Sea WP and SPIegel: the coordinator of the Northern Streams undermined the Armed Forces of the Armed Forces Usman Nurmagomedov will not be deprived of the title of the Bellator champion after the disqualification The ex"&amp;"-head of NATO proposed to accept Ukraine in an alliance without lost territories of the Investigative Committee of the TFR initiated a terrorist attack after the 19 wagons in the Ryazan region, three checkpoints on the Finnish-Russian border banned the en"&amp;"try of cyclists from Russia thanks to a draw with Zenit Krasnodar won the first round The Russian Championship what happened after the entry of Russian troops into Ukraine. The day of the 626th as the Internet of things helps to protect the environment of"&amp;" the Wedding Project, the entire tape of the slide photo fact in the Ryazan region in the rails of 19 cars of the cargo train Schedule of the day of unemployment in Russia, Translations of Russians in the currency continue to decline the quote from the da"&amp;"y “There are practically no workers left in the economy” Chairman of the Central Bank Elvira Nabiullin -following sludge lasting about the military operation for Ukrainian, the plot of the Slide Photo Fact in the Ryazan region, 19 wagons of the cargo trai"&amp;"n Schedule of the day of unemployment in Russia in comparison with other countries of the world video fact of losing Podolsk collapsed over the car bridge over the Pakhra River Schedule of the day of Russians in the currency, the quote of the day “There a"&amp;"re practically no working hands in the currency”, the Chairman of the Central Bank Elvira Nabiulville's Slipulating Slimensional Reply to all of their crimes - death ”as they instructed The order in the fish capital of Russia is the world animal with terr"&amp;"or -skating methods are radical zoo guards society “Each large military conflict leads to the emergence of new rehabilitation technologies” the founder of the collection of historical rehabilitation means - about the paths from the disabled to cyborgs, cu"&amp;"lture female infection and unexpectedness in the list of nominees on Grammy culture through apocalypse The revolution to the millennial kingdom of the Tsaria Obopia The Culture Theater of Damage, which the first pan -European war began and who defeated th"&amp;"e culture of the Magic Street Street “The Magic Plot”: the police fairy tale can be used against you in the Codeyuria of Litvinenko about the secret training of Dementye's cash on the difficult path. Technologies in the Russian Federation of such conditio"&amp;"ns did not have to enjoy, but Zvonarev to survive about his victory at WTA FINALSMULSMULTIMEDIMOPOPOPECTROPECHTOD -PECHAPARY PREASHING SLADEND -REPARY TELL WAS Watch on November 11–12, “I hope” how the uniforms of law enforcement officers have the most re"&amp;"cruiting personnel 6- On November 10, all the winners are “Miss Universe” Competition of the international-national exhibition-forum “Russia” Photo-Portage-Champions “I represent all the evil spirits in the Soviet cinema” Creative path George Millyaran-Gr"&amp;"eat and Karabakh, but without water, Azerbaijan under Ilham Aliyev-in 13 graphics-fiber-shaped operations from the scene of the events Actions between Israel and the Gazaphotoreport -Gallery Sector "" I hate watching my films because I am annoyed by my fa"&amp;"ce. ”Emma Stone and her tapo -gallery folk unity were held a holiday -span projects“ The American flag was considered a symbol of evil ”the views of Richard Nixon on the Cold War Calls - in 10 quotes, the next readable community is the next in the name of"&amp;" the world33454 income 32402 Theater of defeat 3215555 355 battery The Akordac -Economy Police is pushed away from the State Duma business, amendments to exclude part of the violations of the Code of Administrative Offenses from law enforcement officers, "&amp;"too, paying housing rental prices in Europe will limit and extend the inflation but there is a TOMALLENTIVE PROBRAGE House determined the criteria of the companies from which the technological breakthrough IPOVELGENGOMEN added money by the Government clos"&amp;"es the financing shortage The subsidized programs of the Ealmoteral Programs were protected by the intellectual property patentomonitoring of the Rubricedin Russians, they are being built into the presidency of the congress on December 17, the party will "&amp;"discuss the election of the head of state-2024 not harmful natives and the deputies discussed the demography in two hearings, but one of the Russians should not be considered a victory in the vomiting of the mob. Yulletins K. The presidential election wil"&amp;"l be printed without a discount on an online head and “who arrived” by deputies about the Extraordinary Duma promised the head of the Ministry of Emergencies to support the rescuers working in the zone in the zone of their own rubricacle in the name of th"&amp;"e Mira-Azerbaijani and Azerbaijan talk a lot about the peace treaty, but they did not make steps for more than four not to collect the President of the Belarusian Parties before the election campaign of the campaign in Akordin, Vladimir Putin was looking "&amp;"for in the capital of Kazakhstana-Aitoto, he wants to more actively attract private companies in the confrontation with Russia in cyberspace for the discrediting of the sanctioned European Parliament and at the same time more reasonable to deliver the san"&amp;"ctions against Russia, the predecestive Slid Project thinking as the innovative president of the Realme Russia Dmitry GOSTEV about the fifth anniversary of the company and plans for the future -eumatic project “Challenge” to the future technology, the Rus"&amp;"sian Nobelparter material “We are not ready to sacrifice quality” general director of Industrial.market Alexander Antonyuk about the purchases of companies on marketplaces conference and subsidiary liability of management and business owners on November X"&amp;"ia Rubrikles went from breeze Transport subsidies of the industry still do not have enough to pay from the formerly liquidated companies to sue the arbitration controls, the Kuzbass energy -wires in the wires of the Kuzbass energy impede its export to Chi"&amp;"nabenzin set up the quotes for exporting fuel, the Embargonagnant as part of the Platinum Grouping Court will recalculate the NPI for the mining company for the mining company Rubricabez Switching collapse and rebuild whether the new requirements of the C"&amp;"entral Bank to Donasting the insurance market, the representatives of the income Russian banks expand the foreign branch network for the Yuanbirzhenaya foreign currency conjuncture in the Russian Federation rapidly changing the Turkish stream is on the ap"&amp;"plication to open the Troy map, are ready for the few Russian tourist dependencies of the growth of the background of the background of the background lakes of storagery business hammered warehouses of goods of coffee For “Tibio”, “Chibo CIS” changes the "&amp;"name and branded sales without excitement of retailers did not set the beginning of the end of the year of year, the dark “Yandex Lavka” will begin to open the darkmolpoststist -Soviet champagne group Group will launch the playground of the playful Wintel"&amp;"ecoming -Services can affect Russian IT companies. In the Chinese bank, they attacked the American unit of the ICBCs across the roads of roadside networks will pay for the owners of Trasstelegram, the market has been drawn by the market market, they say a"&amp;"bout the risks of the new instrument of advancement in the Aquarius messenger, I looked into the budgetary company asks the state to co -finance the production of the entire Smart News of the Companies of the Companies. 11.11.2023AO “ »On the FINOPOLIS fo"&amp;"rum They talked about the new scientific prize in the field of future technologies 110.11.2023OOO Serons Serkons told how to compensate for labor protection costs in 2023 110.11.2023OOO SEO Certification of dangerous attractions 110.11.2023AO Dom.rf for i"&amp;"mport substitution of a key banking The new industrial center of competencies is necessary for the Rubricas with reagents of the ice, the ice moved the rules for the fight against winter slippery on the roads to write down in the state -owned relations se"&amp;"emed to the biases of Russia are concerned with migrantophobiyirairairairairanemas tested on the social toxicity of Russians know about the cases of discrimination in the collectives of employees with oncologists to the forest in the forest in the prosecu"&amp;"tor Buryatia guns thought about loans You’re going to the fire - further the cash staging authorities and the traffic police offer new measures to tighten the control of the Simplies of the Ribricabankovsky “Caravan” finished the deadlines for trying to t"&amp;"heft of funds from the asvorganized community of three employees of the Investigative Committee of the Investigative Committee, on charges of especially serious crimes, the “marine launch” fell to the final accusations to the final accusations. -A. Energi"&amp;"a, the head of the RSC, charged the damage by more than 4 billion rubles, estimated the information about Daria Dugina -Moving Police and the Entrepreneur appointed the Hero's STARD -STRISMISITION sets on common sense of the deputy commander that he had n"&amp;"o reason to kill the girl culture of Jerome Robbins in Opera Garnierneophys. Liam "" How to have sex ”neatly about the fuel -by -arts“ Master and its Muse ”by Diter Bernranstrashly Documentary Songs“ Red Book ”at the Shalom Theater Hollywood no more basta"&amp;"ge -dimensional actors, following the scriptwriters, achieved their position by the Ribricacialeacer Shevchenko, for the first time in his quarry, he would have fought for the titlebffffffff The champressive structure is displayed by the superstar of its "&amp;"title for revenge ""Manchester United"" was lowered to the Don English Grand risen to be left without the Play-off Kazan campaign ""Vikings"" the debutant of the Runa league was beaten by UNICKAKON of the Turinsky gravity and Andrei Rublev was trained for"&amp;" the second year in a row in the same group of a final final tour. Nira Attrasime readable 603688or-organized investigative community and Byak-beac-beac “Nish”: the ruins of the Soviet myth as an actual subject of the study “I would like to take a huge er"&amp;"aser and some -What ”Truman Kapote on how to fence off from the life of a Weekend portrait against the backdrop of an alien stories, Otto Dix again became our contemporary Weekend Conspication of the drowned“ how to have sex ”: the on -duty tender agitati"&amp;"on“ None of the goals justifies the invasion ”How the United States occupied Grenoada and how 40 years ago and how Mirmirtimur reacted to this and his city was written by travelers about Samarkand for the last 1,100 years of the rights of disabled people,"&amp;" “if you can’t learn here, let's go to Germany” why many children with serious illnesses cannot study in the Russian school -liable roses of the Georgian revolution of the Republic of Eduard Shevardnadze and what was the case Then, for the word -of -wing "&amp;"words in Europe, America and Asia, the main “words of the year” become the consumer market -based skiing of the Parker company, who taught the whole world to write in the pleasure of “earthquakes are largely useful” interview with geophysicist Grigory Ste"&amp;"blov about what they can give us natural disasters of the Weekendon books On the violence of Igor Gulin, the predicate sludotterritory of the development development of Rostakak will develop OEZ and Thorritory Development of the Development of Delokak Mos"&amp;"cow and the regions support social initiatives business ada -partner material “How to find a hacker in infrastructure despite the lack of personnel” Pavel Pavel Technology - about modern cybagod Ferencation of the full cycle on November 9 The next to the "&amp;"slider tape is a tape. News. .. Building News ... Download News ... Download News ... Download News ... Download News ... Download News ... Download News ... Download News ... Download News ... Download News. .. Having the Kommersant's tape Balage fund ar"&amp;"chive ContactwakkakakakakanijaniDroid information information for the information of the newsletter18+© Kommersant JSC. 123112 Moscow Presnenskaya nab. d. 10 floor 35 tel. +7 (495) 797-69-70. Setting publication ""Kommersant"" (domain name of the site: ko"&amp;"mmersant.ru) is registered by the Federal Service for Supervision of Information Technologies and Mass Communications (Roskomnadzor) Registration number and date of the decision on registration: Series EL No. FS77-76922 dated October 11, 2019 Partner proj"&amp;"ects/Materials of companies of companies Materials with a note “Promo” and “Official Message” are published on a commercial basis. For Kommersant.ru, recommendation technologies are applied (information technologies for providing information based on the "&amp;"systematization collection and analysis of information related to the preferences of users of the Internet “Internet” located in the territory of the Russian Federation). Read more")</f>
        <v>Kommersant: the latest news of Russia and the world advertising in Kommersant.kommersant.ru/adreklama in Kommersant www.kommersant.ru/admersant Entrance Kommersant FM Cover the menu of the menu of the menu of the menu of the ClubgazetaweKend -Autophydrapist Partner Partifier -Apartican Science Cardioprothelian Conferences Verser of the subscriptionsmaphotogenicism of the economy of the economy of the policy of the market-residential-consulting telecommunication of the social and technologists of cultural and technologists of the appendix of the Khutimultimultimultimomtimultimetamystskihniki "Kommersant" for Android to skill the appendoreAppgallerymoskvasankankvasankanzhanburgsanchangzanzanzanzanzanyarcsnodarznodarznodar-icon-core, Novgorodnovosibirskperistovsty-Donusarasaratovskaratovskayaroslavl-predicting $ 9229 € 9855 ¥ 1261i MOEX 324206 STOLSENT WEEKENDALLENT WELLOW WHAT IS SET WAS A GASENT OPERATION OF GASEN Operation in Ukraine Kommersant Economics of Plazances against the Russian Federation against the Russian Tecyathi-Tecystilweecendiye Extensive News Representatives proposed financing the US government without the help of Ukraine and Israel Netanyahu opposed the transfer of the gas sector under the control of Palestine, the American military aircraft crashed in the Mediterranean Sea WP and SPIegel: the coordinator of the Northern Streams undermined the Armed Forces of the Armed Forces Usman Nurmagomedov will not be deprived of the title of the Bellator champion after the disqualification The ex-head of NATO proposed to accept Ukraine in an alliance without lost territories of the Investigative Committee of the TFR initiated a terrorist attack after the 19 wagons in the Ryazan region, three checkpoints on the Finnish-Russian border banned the entry of cyclists from Russia thanks to a draw with Zenit Krasnodar won the first round The Russian Championship what happened after the entry of Russian troops into Ukraine. The day of the 626th as the Internet of things helps to protect the environment of the Wedding Project, the entire tape of the slide photo fact in the Ryazan region in the rails of 19 cars of the cargo train Schedule of the day of unemployment in Russia, Translations of Russians in the currency continue to decline the quote from the day “There are practically no workers left in the economy” Chairman of the Central Bank Elvira Nabiullin -following sludge lasting about the military operation for Ukrainian, the plot of the Slide Photo Fact in the Ryazan region, 19 wagons of the cargo train Schedule of the day of unemployment in Russia in comparison with other countries of the world video fact of losing Podolsk collapsed over the car bridge over the Pakhra River Schedule of the day of Russians in the currency, the quote of the day “There are practically no working hands in the currency”, the Chairman of the Central Bank Elvira Nabiulville's Slipulating Slimensional Reply to all of their crimes - death ”as they instructed The order in the fish capital of Russia is the world animal with terror -skating methods are radical zoo guards society “Each large military conflict leads to the emergence of new rehabilitation technologies” the founder of the collection of historical rehabilitation means - about the paths from the disabled to cyborgs, culture female infection and unexpectedness in the list of nominees on Grammy culture through apocalypse The revolution to the millennial kingdom of the Tsaria Obopia The Culture Theater of Damage, which the first pan -European war began and who defeated the culture of the Magic Street Street “The Magic Plot”: the police fairy tale can be used against you in the Codeyuria of Litvinenko about the secret training of Dementye's cash on the difficult path. Technologies in the Russian Federation of such conditions did not have to enjoy, but Zvonarev to survive about his victory at WTA FINALSMULSMULTIMEDIMOPOPOPECTROPECHTOD -PECHAPARY PREASHING SLADEND -REPARY TELL WAS Watch on November 11–12, “I hope” how the uniforms of law enforcement officers have the most recruiting personnel 6- On November 10, all the winners are “Miss Universe” Competition of the international-national exhibition-forum “Russia” Photo-Portage-Champions “I represent all the evil spirits in the Soviet cinema” Creative path George Millyaran-Great and Karabakh, but without water, Azerbaijan under Ilham Aliyev-in 13 graphics-fiber-shaped operations from the scene of the events Actions between Israel and the Gazaphotoreport -Gallery Sector " I hate watching my films because I am annoyed by my face. ”Emma Stone and her tapo -gallery folk unity were held a holiday -span projects“ The American flag was considered a symbol of evil ”the views of Richard Nixon on the Cold War Calls - in 10 quotes, the next readable community is the next in the name of the world33454 income 32402 Theater of defeat 3215555 355 battery The Akordac -Economy Police is pushed away from the State Duma business, amendments to exclude part of the violations of the Code of Administrative Offenses from law enforcement officers, too, paying housing rental prices in Europe will limit and extend the inflation but there is a TOMALLENTIVE PROBRAGE House determined the criteria of the companies from which the technological breakthrough IPOVELGENGOMEN added money by the Government closes the financing shortage The subsidized programs of the Ealmoteral Programs were protected by the intellectual property patentomonitoring of the Rubricedin Russians, they are being built into the presidency of the congress on December 17, the party will discuss the election of the head of state-2024 not harmful natives and the deputies discussed the demography in two hearings, but one of the Russians should not be considered a victory in the vomiting of the mob. Yulletins K. The presidential election will be printed without a discount on an online head and “who arrived” by deputies about the Extraordinary Duma promised the head of the Ministry of Emergencies to support the rescuers working in the zone in the zone of their own rubricacle in the name of the Mira-Azerbaijani and Azerbaijan talk a lot about the peace treaty, but they did not make steps for more than four not to collect the President of the Belarusian Parties before the election campaign of the campaign in Akordin, Vladimir Putin was looking for in the capital of Kazakhstana-Aitoto, he wants to more actively attract private companies in the confrontation with Russia in cyberspace for the discrediting of the sanctioned European Parliament and at the same time more reasonable to deliver the sanctions against Russia, the predecestive Slid Project thinking as the innovative president of the Realme Russia Dmitry GOSTEV about the fifth anniversary of the company and plans for the future -eumatic project “Challenge” to the future technology, the Russian Nobelparter material “We are not ready to sacrifice quality” general director of Industrial.market Alexander Antonyuk about the purchases of companies on marketplaces conference and subsidiary liability of management and business owners on November Xia Rubrikles went from breeze Transport subsidies of the industry still do not have enough to pay from the formerly liquidated companies to sue the arbitration controls, the Kuzbass energy -wires in the wires of the Kuzbass energy impede its export to Chinabenzin set up the quotes for exporting fuel, the Embargonagnant as part of the Platinum Grouping Court will recalculate the NPI for the mining company for the mining company Rubricabez Switching collapse and rebuild whether the new requirements of the Central Bank to Donasting the insurance market, the representatives of the income Russian banks expand the foreign branch network for the Yuanbirzhenaya foreign currency conjuncture in the Russian Federation rapidly changing the Turkish stream is on the application to open the Troy map, are ready for the few Russian tourist dependencies of the growth of the background of the background of the background lakes of storagery business hammered warehouses of goods of coffee For “Tibio”, “Chibo CIS” changes the name and branded sales without excitement of retailers did not set the beginning of the end of the year of year, the dark “Yandex Lavka” will begin to open the darkmolpoststist -Soviet champagne group Group will launch the playground of the playful Wintelecoming -Services can affect Russian IT companies. In the Chinese bank, they attacked the American unit of the ICBCs across the roads of roadside networks will pay for the owners of Trasstelegram, the market has been drawn by the market market, they say about the risks of the new instrument of advancement in the Aquarius messenger, I looked into the budgetary company asks the state to co -finance the production of the entire Smart News of the Companies of the Companies. 11.11.2023AO “ »On the FINOPOLIS forum They talked about the new scientific prize in the field of future technologies 110.11.2023OOO Serons Serkons told how to compensate for labor protection costs in 2023 110.11.2023OOO SEO Certification of dangerous attractions 110.11.2023AO Dom.rf for import substitution of a key banking The new industrial center of competencies is necessary for the Rubricas with reagents of the ice, the ice moved the rules for the fight against winter slippery on the roads to write down in the state -owned relations seemed to the biases of Russia are concerned with migrantophobiyirairairairairanemas tested on the social toxicity of Russians know about the cases of discrimination in the collectives of employees with oncologists to the forest in the forest in the prosecutor Buryatia guns thought about loans You’re going to the fire - further the cash staging authorities and the traffic police offer new measures to tighten the control of the Simplies of the Ribricabankovsky “Caravan” finished the deadlines for trying to theft of funds from the asvorganized community of three employees of the Investigative Committee of the Investigative Committee, on charges of especially serious crimes, the “marine launch” fell to the final accusations to the final accusations. -A. Energia, the head of the RSC, charged the damage by more than 4 billion rubles, estimated the information about Daria Dugina -Moving Police and the Entrepreneur appointed the Hero's STARD -STRISMISITION sets on common sense of the deputy commander that he had no reason to kill the girl culture of Jerome Robbins in Opera Garnierneophys. Liam " How to have sex ”neatly about the fuel -by -arts“ Master and its Muse ”by Diter Bernranstrashly Documentary Songs“ Red Book ”at the Shalom Theater Hollywood no more bastage -dimensional actors, following the scriptwriters, achieved their position by the Ribricacialeacer Shevchenko, for the first time in his quarry, he would have fought for the titlebffffffff The champressive structure is displayed by the superstar of its title for revenge "Manchester United" was lowered to the Don English Grand risen to be left without the Play-off Kazan campaign "Vikings" the debutant of the Runa league was beaten by UNICKAKON of the Turinsky gravity and Andrei Rublev was trained for the second year in a row in the same group of a final final tour. Nira Attrasime readable 603688or-organized investigative community and Byak-beac-beac “Nish”: the ruins of the Soviet myth as an actual subject of the study “I would like to take a huge eraser and some -What ”Truman Kapote on how to fence off from the life of a Weekend portrait against the backdrop of an alien stories, Otto Dix again became our contemporary Weekend Conspication of the drowned“ how to have sex ”: the on -duty tender agitation“ None of the goals justifies the invasion ”How the United States occupied Grenoada and how 40 years ago and how Mirmirtimur reacted to this and his city was written by travelers about Samarkand for the last 1,100 years of the rights of disabled people, “if you can’t learn here, let's go to Germany” why many children with serious illnesses cannot study in the Russian school -liable roses of the Georgian revolution of the Republic of Eduard Shevardnadze and what was the case Then, for the word -of -wing words in Europe, America and Asia, the main “words of the year” become the consumer market -based skiing of the Parker company, who taught the whole world to write in the pleasure of “earthquakes are largely useful” interview with geophysicist Grigory Steblov about what they can give us natural disasters of the Weekendon books On the violence of Igor Gulin, the predicate sludotterritory of the development development of Rostakak will develop OEZ and Thorritory Development of the Development of Delokak Moscow and the regions support social initiatives business ada -partner material “How to find a hacker in infrastructure despite the lack of personnel” Pavel Pavel Technology - about modern cybagod Ferencation of the full cycle on November 9 The next to the slider tape is a tape. News. .. Building News ... Download News ... Download News ... Download News ... Download News ... Download News ... Download News ... Download News ... Download News ... Download News. .. Having the Kommersant's tape Balage fund archive ContactwakkakakakakanijaniDroid information information for the information of the newsletter18+© Kommersant JSC. 123112 Moscow Presnenskaya nab. d. 10 floor 35 tel. +7 (495) 797-69-70. Setting publication "Kommersant" (domain name of the site: kommersant.ru) is registered by the Federal Service for Supervision of Information Technologies and Mass Communications (Roskomnadzor) Registration number and date of the decision on registration: Series EL No. FS77-76922 dated October 11, 2019 Partner projects/Materials of companies of companies Materials with a note “Promo” and “Official Message” are published on a commercial basis. For Kommersant.ru, recommendation technologies are applied (information technologies for providing information based on the systematization collection and analysis of information related to the preferences of users of the Internet “Internet” located in the territory of the Russian Federation). Read more</v>
      </c>
    </row>
    <row r="62">
      <c r="A62" s="1" t="s">
        <v>204</v>
      </c>
      <c r="B62" s="1" t="s">
        <v>244</v>
      </c>
      <c r="C62" s="1" t="s">
        <v>113</v>
      </c>
      <c r="D62" s="1">
        <v>13.0</v>
      </c>
      <c r="E62" s="4" t="s">
        <v>245</v>
      </c>
      <c r="F62" s="1" t="s">
        <v>16</v>
      </c>
      <c r="G62" s="1" t="s">
        <v>246</v>
      </c>
      <c r="H62" s="4" t="s">
        <v>247</v>
      </c>
      <c r="I62" s="2">
        <v>5.0</v>
      </c>
      <c r="J62" s="5" t="str">
        <f>IFERROR(__xludf.DUMMYFUNCTION("GOOGLETRANSLATE(A62)"),"youtube")</f>
        <v>youtube</v>
      </c>
      <c r="K62" s="6" t="str">
        <f>IFERROR(__xludf.DUMMYFUNCTION("GOOGLETRANSLATE(B62)"),"Gorelkin suggested that mobile operators cancel ...")</f>
        <v>Gorelkin suggested that mobile operators cancel ...</v>
      </c>
      <c r="L62" s="5" t="str">
        <f>IFERROR(__xludf.DUMMYFUNCTION("GOOGLETRANSLATE(C62)"),"1 day ago -")</f>
        <v>1 day ago -</v>
      </c>
      <c r="M62" s="5" t="str">
        <f>IFERROR(__xludf.DUMMYFUNCTION("GOOGLETRANSLATE(G62)"),"News in Russia and the world - Taspom, you use an outdated browser to work correctly, download the fresh version of the TASS.ru website, you agree using the cookies files that are indicated in the Personal Data House processing policy, rejected the financ"&amp;"ing project of the US government without the help of Kievites of Russia can make free travel to free travel The place of rest for children from large families of the US Armed Forces crashed in the eastern part of the Mediterranean Sea of ​​Mediterranean e"&amp;"xhibition-forum ""Russia"" of the Palestinian-Israeli conflict of Gaza entered over 850 trucks with humanitarian aid of Israel, announced the destruction of more than 150 tunnels and underground objects of Hamasarmia of Israel In Syriavo, she reported a l"&amp;"oss of communications with her employees in the Ashfa hospital in the Gazaisspaker of Congress proposed financing the government without the help of Kyivauarmia Israeli hit the cell of the Hzbollah missiles and threw humanitarian aid from the air for the "&amp;"field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человекаИндик"&amp;"аторырынкаНефть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NAT"&amp;"O Secretary General proposed to accept Ukraine into an alliance without the territories of the Ryazan region lost the case of 19 wagons from the rails expert stated that in Russia the mortality from pneumonia was located on a pre -ovate day of the day of "&amp;"the day of the day of the day. And they hid Russian films of the 20th century on the regiment where scientists are looking for a new house for all mankind Partner special projects on the way: about life about travel and about themselves. Four interviews f"&amp;"or the 20th anniversary of the Range Gonk of Ikonk, the 150th anniversary of Sergei Rachmaninovakak, chose the sovereign in Russia and chose Mikhail Romanovo, Li Vulcans to destroy their lives on the planetary. The study of the ice of ice saved people dur"&amp;"ing the blockade of the Leningradistory of the Complement of the Imperial train in 1888 in 1888 in 1888, they find and returned home the remains of the remains Heroes of the Stalingrad Battle of the Women's Movement in the Russian Holy of Construction of "&amp;"the famous Stalin Skolotok, which caused a rare eclipse on Yamal? How did houses on the bottom of the Black Sea of ​​Early Soviet Architecture examine all special projects of the Central Centernsk-Spectornsk prophylaxes in the Novosibirsk Region of Sverdl"&amp;"ovsk region. : Results work and Plansko incidence of diabetes mellitus in the Novosibirsk Region MSCOSTICIAL-BROGED PUSHRASTIC PROPECTION OF PUSHKINSKAYA Winter in social networks criticized Biden for the use of hints after laying Italy's wreath of the ci"&amp;"rcus and for several hours walked around the city of the Pskov Region in the DTP, three people of the Brazil championship were killed Due to the mass fight of the fans at the box, the game almost killed the game. “Krasnodar” and “Zenit” divided glasses in"&amp;" the RPL leaders match to see the material shutdown the adblock launch of the PNIPE created an accurate model of the influence of industrial dust on the health of Indonesia people for the first time in 60 years, the rare animal plastics from 13 countries "&amp;"discovered hundreds of harmful subsidiary, capable of making a fertile soil lunctural computer Helped to physicists to accelerate the algorithms of combinatorial optimization by the algorithm, American physicists have developed scientists who reported the"&amp;" causes of mass death of rare seals in the Caspian in 2022 in 2022 to treat the renal complications of the lupus Wolf passed the second phase of St. Petersburg tests created an analogue of glass -shaped rocks for medicine -scientists revealed the differen"&amp;"ces in the speed of aging cells from different parts Rnauki They said that over the year, the number of young scientists in Russia of the MES of the MIS rebukes has developed a charger for electric cars in domestic Pakpneumonia. What you need to know Nori"&amp;"lnikel intends to restore nature around the Novosibirsk factories, they have received a promising for the treatment of neuroblastyu Adygea project to manage a group of drones based on the other materials to the rest of the materials © Information Agency o"&amp;"f the TASS -Media Registration No. 03247 was issued by the State Committee on April 02, 1999. Russian Federation in Press. Sing-handed publications may contain information intended for users under 16 years old. In the information resource, recommending te"&amp;"chnologies are applied.")</f>
        <v>News in Russia and the world - Taspom, you use an outdated browser to work correctly, download the fresh version of the TASS.ru website, you agree using the cookies files that are indicated in the Personal Data House processing policy, rejected the financing project of the US government without the help of Kievites of Russia can make free travel to free travel The place of rest for children from large families of the US Armed Forces crashed in the eastern part of the Mediterranean Sea of ​​Mediterranean exhibition-forum "Russia" of the Palestinian-Israeli conflict of Gaza entered over 850 trucks with humanitarian aid of Israel, announced the destruction of more than 150 tunnels and underground objects of Hamasarmia of Israel In Syriavo, she reported a loss of communications with her employees in the Ashfa hospital in the Gazaisspaker of Congress proposed financing the government without the help of Kyivauarmia Israeli hit the cell of the Hzbollah missiles and threw humanitarian aid from the air for the 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NATO Secretary General proposed to accept Ukraine into an alliance without the territories of the Ryazan region lost the case of 19 wagons from the rails expert stated that in Russia the mortality from pneumonia was located on a pre -ovate day of the day of the day of the day of the day. And they hid Russian films of the 20th century on the regiment where scientists are looking for a new house for all mankind Partner special projects on the way: about life about travel and about themselves. Four interviews for the 20th anniversary of the Range Gonk of Ikonk, the 150th anniversary of Sergei Rachmaninovakak, chose the sovereign in Russia and chose Mikhail Romanovo, Li Vulcans to destroy their lives on the planetary. The study of the ice of ice saved people during the blockade of the Leningradistory of the Complement of the Imperial train in 1888 in 1888 in 1888, they find and returned home the remains of the remains Heroes of the Stalingrad Battle of the Women's Movement in the Russian Holy of Construction of the famous Stalin Skolotok, which caused a rare eclipse on Yamal? How did houses on the bottom of the Black Sea of ​​Early Soviet Architecture examine all special projects of the Central Centernsk-Spectornsk prophylaxes in the Novosibirsk Region of Sverdlovsk region. : Results work and Plansko incidence of diabetes mellitus in the Novosibirsk Region MSCOSTICIAL-BROGED PUSHRASTIC PROPECTION OF PUSHKINSKAYA Winter in social networks criticized Biden for the use of hints after laying Italy's wreath of the circus and for several hours walked around the city of the Pskov Region in the DTP, three people of the Brazil championship were killed Due to the mass fight of the fans at the box, the game almost killed the game. “Krasnodar” and “Zenit” divided glasses in the RPL leaders match to see the material shutdown the adblock launch of the PNIPE created an accurate model of the influence of industrial dust on the health of Indonesia people for the first time in 60 years, the rare animal plastics from 13 countries discovered hundreds of harmful subsidiary, capable of making a fertile soil lunctural computer Helped to physicists to accelerate the algorithms of combinatorial optimization by the algorithm, American physicists have developed scientists who reported the causes of mass death of rare seals in the Caspian in 2022 in 2022 to treat the renal complications of the lupus Wolf passed the second phase of St. Petersburg tests created an analogue of glass -shaped rocks for medicine -scientists revealed the differences in the speed of aging cells from different parts Rnauki They said that over the year, the number of young scientists in Russia of the MES of the MIS rebukes has developed a charger for electric cars in domestic Pakpneumonia. What you need to know Norilnikel intends to restore nature around the Novosibirsk factories, they have received a promising for the treatment of neuroblastyu Adygea project to manage a group of drones based on the other materials to the rest of the materials © Information Agency of the TASS -Media Registration No. 03247 was issued by the State Committee on April 02, 1999. Russian Federation in Press. Sing-handed publications may contain information intended for users under 16 years old. In the information resource, recommending technologies are applied.</v>
      </c>
    </row>
    <row r="63">
      <c r="A63" s="1" t="s">
        <v>204</v>
      </c>
      <c r="B63" s="1" t="s">
        <v>248</v>
      </c>
      <c r="D63" s="1">
        <v>14.0</v>
      </c>
      <c r="E63" s="4" t="s">
        <v>249</v>
      </c>
      <c r="F63" s="1" t="s">
        <v>16</v>
      </c>
      <c r="G63" s="1" t="s">
        <v>228</v>
      </c>
      <c r="H63" s="4" t="s">
        <v>229</v>
      </c>
      <c r="I63" s="2">
        <v>2.0</v>
      </c>
      <c r="J63" s="5" t="str">
        <f>IFERROR(__xludf.DUMMYFUNCTION("GOOGLETRANSLATE(A63)"),"youtube")</f>
        <v>youtube</v>
      </c>
      <c r="K63" s="6" t="str">
        <f>IFERROR(__xludf.DUMMYFUNCTION("GOOGLETRANSLATE(B63)"),"The New International Encyclopaedia")</f>
        <v>The New International Encyclopaedia</v>
      </c>
      <c r="M63" s="5" t="str">
        <f>IFERROR(__xludf.DUMMYFUNCTION("GOOGLETRANSLATE(G63)"),"Google �����������������������PlayYouTube����������������������������������������� ����������������������Blogger����������������������� �������� »Account Options��������������� ������� ���������� � ������� �������������������� ��������������� ������������"&amp;"������������� ��������������������")</f>
        <v>Google �����������������������PlayYouTube����������������������������������������� ����������������������Blogger����������������������� �������� »Account Options��������������� ������� ���������� � ������� �������������������� ��������������� ������������������������� ��������������������</v>
      </c>
    </row>
    <row r="64">
      <c r="A64" s="1" t="s">
        <v>204</v>
      </c>
      <c r="B64" s="1" t="s">
        <v>250</v>
      </c>
      <c r="D64" s="1">
        <v>15.0</v>
      </c>
      <c r="E64" s="4" t="s">
        <v>251</v>
      </c>
      <c r="F64" s="1" t="s">
        <v>16</v>
      </c>
      <c r="G64" s="1" t="s">
        <v>228</v>
      </c>
      <c r="H64" s="4" t="s">
        <v>229</v>
      </c>
      <c r="I64" s="2">
        <v>2.0</v>
      </c>
      <c r="J64" s="5" t="str">
        <f>IFERROR(__xludf.DUMMYFUNCTION("GOOGLETRANSLATE(A64)"),"youtube")</f>
        <v>youtube</v>
      </c>
      <c r="K64" s="6" t="str">
        <f>IFERROR(__xludf.DUMMYFUNCTION("GOOGLETRANSLATE(B64)"),"International Catalogue of Scientific Literature: Astronomy. E")</f>
        <v>International Catalogue of Scientific Literature: Astronomy. E</v>
      </c>
      <c r="M64" s="5" t="str">
        <f>IFERROR(__xludf.DUMMYFUNCTION("GOOGLETRANSLATE(G64)"),"Google �����������������������PlayYouTube����������������������������������������� ����������������������Blogger����������������������� �������� »Account Options��������������� ������� ���������� � ������� �������������������� ��������������� ������������"&amp;"������������� ��������������������")</f>
        <v>Google �����������������������PlayYouTube����������������������������������������� ����������������������Blogger����������������������� �������� »Account Options��������������� ������� ���������� � ������� �������������������� ��������������� ������������������������� ��������������������</v>
      </c>
    </row>
    <row r="65">
      <c r="A65" s="1" t="s">
        <v>204</v>
      </c>
      <c r="B65" s="1" t="s">
        <v>252</v>
      </c>
      <c r="C65" s="1" t="s">
        <v>179</v>
      </c>
      <c r="D65" s="1">
        <v>16.0</v>
      </c>
      <c r="E65" s="4" t="s">
        <v>253</v>
      </c>
      <c r="F65" s="1" t="s">
        <v>16</v>
      </c>
      <c r="I65" s="2">
        <v>1.0</v>
      </c>
      <c r="J65" s="5" t="str">
        <f>IFERROR(__xludf.DUMMYFUNCTION("GOOGLETRANSLATE(A65)"),"youtube")</f>
        <v>youtube</v>
      </c>
      <c r="K65" s="6" t="str">
        <f>IFERROR(__xludf.DUMMYFUNCTION("GOOGLETRANSLATE(B65)"),"YouTube tests new functions based on AI for ...")</f>
        <v>YouTube tests new functions based on AI for ...</v>
      </c>
      <c r="L65" s="5" t="str">
        <f>IFERROR(__xludf.DUMMYFUNCTION("GOOGLETRANSLATE(C65)"),"4 days ago -")</f>
        <v>4 days ago -</v>
      </c>
      <c r="M65" s="5" t="str">
        <f>IFERROR(__xludf.DUMMYFUNCTION("GOOGLETRANSLATE(G65)"),"#VALUE!")</f>
        <v>#VALUE!</v>
      </c>
    </row>
    <row r="66">
      <c r="A66" s="1" t="s">
        <v>204</v>
      </c>
      <c r="B66" s="1" t="s">
        <v>254</v>
      </c>
      <c r="D66" s="1">
        <v>17.0</v>
      </c>
      <c r="E66" s="4" t="s">
        <v>255</v>
      </c>
      <c r="F66" s="1" t="s">
        <v>16</v>
      </c>
      <c r="G66" s="1" t="s">
        <v>228</v>
      </c>
      <c r="H66" s="4" t="s">
        <v>229</v>
      </c>
      <c r="I66" s="2">
        <v>0.0</v>
      </c>
      <c r="J66" s="5" t="str">
        <f>IFERROR(__xludf.DUMMYFUNCTION("GOOGLETRANSLATE(A66)"),"youtube")</f>
        <v>youtube</v>
      </c>
      <c r="K66" s="6" t="str">
        <f>IFERROR(__xludf.DUMMYFUNCTION("GOOGLETRANSLATE(B66)"),"Documents - releases 1524-1899 - result from Google Book")</f>
        <v>Documents - releases 1524-1899 - result from Google Book</v>
      </c>
      <c r="M66" s="5" t="str">
        <f>IFERROR(__xludf.DUMMYFUNCTION("GOOGLETRANSLATE(G66)"),"Google �����������������������PlayYouTube����������������������������������������� ����������������������Blogger����������������������� �������� »Account Options��������������� ������� ���������� � ������� �������������������� ��������������� ������������"&amp;"������������� ��������������������")</f>
        <v>Google �����������������������PlayYouTube����������������������������������������� ����������������������Blogger����������������������� �������� »Account Options��������������� ������� ���������� � ������� �������������������� ��������������� ������������������������� ��������������������</v>
      </c>
    </row>
    <row r="67">
      <c r="A67" s="1" t="s">
        <v>204</v>
      </c>
      <c r="B67" s="1" t="s">
        <v>256</v>
      </c>
      <c r="D67" s="1">
        <v>18.0</v>
      </c>
      <c r="E67" s="4" t="s">
        <v>257</v>
      </c>
      <c r="F67" s="1" t="s">
        <v>16</v>
      </c>
      <c r="G67" s="1" t="s">
        <v>228</v>
      </c>
      <c r="H67" s="4" t="s">
        <v>229</v>
      </c>
      <c r="I67" s="2">
        <v>0.0</v>
      </c>
      <c r="J67" s="5" t="str">
        <f>IFERROR(__xludf.DUMMYFUNCTION("GOOGLETRANSLATE(A67)"),"youtube")</f>
        <v>youtube</v>
      </c>
      <c r="K67" s="6" t="str">
        <f>IFERROR(__xludf.DUMMYFUNCTION("GOOGLETRANSLATE(B67)"),"The Chemical Trade Journal and Chemical Engineer")</f>
        <v>The Chemical Trade Journal and Chemical Engineer</v>
      </c>
      <c r="M67" s="5" t="str">
        <f>IFERROR(__xludf.DUMMYFUNCTION("GOOGLETRANSLATE(G67)"),"Google �����������������������PlayYouTube����������������������������������������� ����������������������Blogger����������������������� �������� »Account Options��������������� ������� ���������� � ������� �������������������� ��������������� ������������"&amp;"������������� ��������������������")</f>
        <v>Google �����������������������PlayYouTube����������������������������������������� ����������������������Blogger����������������������� �������� »Account Options��������������� ������� ���������� � ������� �������������������� ��������������� ������������������������� ��������������������</v>
      </c>
    </row>
    <row r="68">
      <c r="A68" s="1" t="s">
        <v>204</v>
      </c>
      <c r="B68" s="1" t="s">
        <v>258</v>
      </c>
      <c r="D68" s="1">
        <v>1.0</v>
      </c>
      <c r="E68" s="4" t="s">
        <v>259</v>
      </c>
      <c r="F68" s="1" t="s">
        <v>43</v>
      </c>
      <c r="G68" s="1" t="s">
        <v>38</v>
      </c>
      <c r="H68" s="4" t="s">
        <v>39</v>
      </c>
      <c r="I68" s="2">
        <v>0.0</v>
      </c>
      <c r="J68" s="5" t="str">
        <f>IFERROR(__xludf.DUMMYFUNCTION("GOOGLETRANSLATE(A68)"),"youtube")</f>
        <v>youtube</v>
      </c>
      <c r="K68" s="6" t="str">
        <f>IFERROR(__xludf.DUMMYFUNCTION("GOOGLETRANSLATE(B68)"),"YouTube: Home")</f>
        <v>YouTube: Home</v>
      </c>
      <c r="M68" s="5" t="str">
        <f>IFERROR(__xludf.DUMMYFUNCTION("GOOGLETRANSLATE(G68)"),"YouTubeAboutPressCopyrightContact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69">
      <c r="A69" s="1" t="s">
        <v>204</v>
      </c>
      <c r="B69" s="1" t="s">
        <v>207</v>
      </c>
      <c r="C69" s="1" t="s">
        <v>260</v>
      </c>
      <c r="D69" s="1">
        <v>3.0</v>
      </c>
      <c r="E69" s="4" t="s">
        <v>261</v>
      </c>
      <c r="F69" s="1" t="s">
        <v>43</v>
      </c>
      <c r="G69" s="1" t="s">
        <v>27</v>
      </c>
      <c r="H69" s="4" t="s">
        <v>28</v>
      </c>
      <c r="I69" s="2">
        <v>0.0</v>
      </c>
      <c r="J69" s="5" t="str">
        <f>IFERROR(__xludf.DUMMYFUNCTION("GOOGLETRANSLATE(A69)"),"youtube")</f>
        <v>youtube</v>
      </c>
      <c r="K69" s="6" t="str">
        <f>IFERROR(__xludf.DUMMYFUNCTION("GOOGLETRANSLATE(B69)"),"YouTube")</f>
        <v>YouTube</v>
      </c>
      <c r="L69" s="5" t="str">
        <f>IFERROR(__xludf.DUMMYFUNCTION("GOOGLETRANSLATE(C69)"),"YouTube is an online video sharing and social media platform headquartered in San Bruno, California, United States. Accessible worldwide, it was launched on ...")</f>
        <v>YouTube is an online video sharing and social media platform headquartered in San Bruno, California, United States. Accessible worldwide, it was launched on ...</v>
      </c>
      <c r="M69" s="5" t="str">
        <f>IFERROR(__xludf.DUMMYFUNCTION("GOOGLETRANSLATE(G69)"),"Wikipedia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70">
      <c r="A70" s="1" t="s">
        <v>204</v>
      </c>
      <c r="B70" s="1" t="s">
        <v>262</v>
      </c>
      <c r="C70" s="1" t="s">
        <v>263</v>
      </c>
      <c r="D70" s="1">
        <v>4.0</v>
      </c>
      <c r="E70" s="4" t="s">
        <v>264</v>
      </c>
      <c r="F70" s="1" t="s">
        <v>43</v>
      </c>
      <c r="G70" s="1" t="s">
        <v>97</v>
      </c>
      <c r="H70" s="4" t="s">
        <v>98</v>
      </c>
      <c r="I70" s="2">
        <v>0.0</v>
      </c>
      <c r="J70" s="5" t="str">
        <f>IFERROR(__xludf.DUMMYFUNCTION("GOOGLETRANSLATE(A70)"),"youtube")</f>
        <v>youtube</v>
      </c>
      <c r="K70" s="6" t="str">
        <f>IFERROR(__xludf.DUMMYFUNCTION("GOOGLETRANSLATE(B70)"),"YouTube: Watch, Listen, Stream 12+ - App Store")</f>
        <v>YouTube: Watch, Listen, Stream 12+ - App Store</v>
      </c>
      <c r="L70" s="5" t="str">
        <f>IFERROR(__xludf.DUMMYFUNCTION("GOOGLETRANSLATE(C70)"),"Get the official YouTube app on iPhones and iPads. See what the world is watching -- from the hottest music videos to what's popular in gaming, fashion, ...")</f>
        <v>Get the official YouTube app on iPhones and iPads. See what the world is watching -- from the hottest music videos to what's popular in gaming, fashion, ...</v>
      </c>
      <c r="M70" s="5" t="str">
        <f>IFERROR(__xludf.DUMMYFUNCTION("GOOGLETRANSLATE(G70)"),"App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71">
      <c r="A71" s="1" t="s">
        <v>204</v>
      </c>
      <c r="B71" s="1" t="s">
        <v>265</v>
      </c>
      <c r="C71" s="1" t="s">
        <v>266</v>
      </c>
      <c r="D71" s="1">
        <v>5.0</v>
      </c>
      <c r="E71" s="4" t="s">
        <v>267</v>
      </c>
      <c r="F71" s="1" t="s">
        <v>43</v>
      </c>
      <c r="G71" s="1" t="s">
        <v>268</v>
      </c>
      <c r="H71" s="1" t="s">
        <v>269</v>
      </c>
      <c r="I71" s="2">
        <v>2.0</v>
      </c>
      <c r="J71" s="5" t="str">
        <f>IFERROR(__xludf.DUMMYFUNCTION("GOOGLETRANSLATE(A71)"),"youtube")</f>
        <v>youtube</v>
      </c>
      <c r="K71" s="6" t="str">
        <f>IFERROR(__xludf.DUMMYFUNCTION("GOOGLETRANSLATE(B71)"),"YouTube Blog — Official Blog for Latest YouTube News ...")</f>
        <v>YouTube Blog — Official Blog for Latest YouTube News ...</v>
      </c>
      <c r="L71" s="5" t="str">
        <f>IFERROR(__xludf.DUMMYFUNCTION("GOOGLETRANSLATE(C71)"),"Explore our official blog for the latest news about YouTube, creator and artist profiles, culture and trends analyses, and behind-the-scenes insights.")</f>
        <v>Explore our official blog for the latest news about YouTube, creator and artist profiles, culture and trends analyses, and behind-the-scenes insights.</v>
      </c>
      <c r="M71" s="5" t="str">
        <f>IFERROR(__xludf.DUMMYFUNCTION("GOOGLETRANSLATE(G71)"),"YouTube Blog — Official Blog for Latest YouTube News &amp; InsightsSkip to Main Content          News &amp; Events                  Creator &amp; Artist Stories                  Culture &amp; Trends                  Inside YouTube                  Made On YouTube        "&amp;"Submit Search      Search Input              News and Events                  Dua Lipa’s “Houdini” has magically arrived                Read More                  Creator and Artist Stories                  Watch the final episode of “In a Pickle”        "&amp;"        Read More                  Culture and Trends                  Try a Trend: Inktober and NPCs as main characters                Read More                  News and Events                  Make the most out of the YouTube Music app with these lates"&amp;"t features                Read More        14Creator and Artist Stories        Rene’s Top Five on YouTube: November 9 2023 Edition      Nov.09.2023News and Events        How (and why) to add captions to your YouTube videos      Nov.06.2023    Video format"&amp;" not supported  Culture and Trends        Frame by frame: celebrating stop motion animation with a master of the craft      Nov.04.2023Inside YouTube        Work Diaries: Planning Barrio YouTube Event with Martín Raygoza      Nov.02.2023            Creato"&amp;"rs          Road to 1 million subscribersTips tricks and best practices on how creators reach the coveted subscribers milestone.              Read more          Road to 1 million subscribers with Daniela LiepertUnlike many Gen Z creators nowadays Daniela "&amp;"Liepert was not always comfortable leading a digital-first platform. But after 20 years in the fashion industry she decided…Road to 1 million subscribers with Scott FrenzelRoad to one million with Reza and Puja Khan5 APAC creators paving their way to 10 m"&amp;"illion subscribers with YouTube ShortsDon't Miss This            Made On YouTube '23 Event Recap          Play buttonPlay button iconMade On YouTube '23 Event Recap            YouTube presents.... In a Pickle: The Beverly Halls          Play buttonPlay bu"&amp;"tton iconYouTube presents.... In a Pickle: The Beverly Halls            YouTube presents.... In a Pickle: Haley Kalil          Play buttonPlay button iconYouTube presents.... In a Pickle: Haley Kalil            How Sydney and Taty blew up on YouTube! — Be"&amp;"tween Two Creators          Play buttonPlay button iconHow Sydney and Taty blew up on YouTube! — Between Two Creators            When Ryan met… BEN — Between Two Creators          Play buttonPlay button iconWhen Ryan met… BEN — Between Two Creators15All t"&amp;"he Latest            Load More                      Loading...                      Explore the latest company news creator and artist profiles culture and trends analyses and behind-the-scenes insights on the YouTube Official Blog.          Our ChannelsO"&amp;"penOpen AccordionCloseclose Accordion          YouTube                  YouTube Creators                  Creator Insider                  TeamYouTube [Help]                  Susan Wojcicki        TwitterOpenOpen AccordionCloseclose Accordion          You"&amp;"Tube                  YouTube Creators                  TeamYouTube                  YouTube Gaming                  YouTube TV                  YouTube Music                  YouTubeInsider        ConnectAbout YouTubeOpenOpen AccordionCloseclose Accordio"&amp;"n          About                  Press                  Jobs                  How YouTube Works                  YouTube Culture &amp; Trends                  Community Forum        YouTube ProductsOpenOpen AccordionCloseclose Accordion          YouTube Go  "&amp;"                YouTube Kids                  YouTube Music                  YouTube Originals                  YouTube Premium                  YouTube Studio                  YouTube TV        For BusinessOpenOpen AccordionCloseclose Accordion          "&amp;"Advertising                  Developers        For CreatorsOpenOpen AccordionCloseclose Accordion          Artists                  Creators                  Creator Academy                  Creating for Kids                  Creators Research            "&amp;"      Creators Services Directory                  YouTube NextUp                  YouTube Space                  YouTube VR        Our CommitmentsOpenOpen AccordionCloseclose Accordion          Creators for Change                  CSAI Match             "&amp;"     Social Impact                          Policy &amp; Safety                                  Copyright                                  Brand Guidelines                                  Privacy                                  Terms                       "&amp;"       Help                    Deutsch              English              Español (Latinoamérica)              Português (Brasil)")</f>
        <v>YouTube Blog — Official Blog for Latest YouTube News &amp; InsightsSkip to Main Content          News &amp; Events                  Creator &amp; Artist Stories                  Culture &amp; Trends                  Inside YouTube                  Made On YouTube        Submit Search      Search Input              News and Events                  Dua Lipa’s “Houdini” has magically arrived                Read More                  Creator and Artist Stories                  Watch the final episode of “In a Pickle”                Read More                  Culture and Trends                  Try a Trend: Inktober and NPCs as main characters                Read More                  News and Events                  Make the most out of the YouTube Music app with these latest features                Read More        14Creator and Artist Stories        Rene’s Top Five on YouTube: November 9 2023 Edition      Nov.09.2023News and Events        How (and why) to add captions to your YouTube videos      Nov.06.2023    Video format not supported  Culture and Trends        Frame by frame: celebrating stop motion animation with a master of the craft      Nov.04.2023Inside YouTube        Work Diaries: Planning Barrio YouTube Event with Martín Raygoza      Nov.02.2023            Creators          Road to 1 million subscribersTips tricks and best practices on how creators reach the coveted subscribers milestone.              Read more          Road to 1 million subscribers with Daniela LiepertUnlike many Gen Z creators nowadays Daniela Liepert was not always comfortable leading a digital-first platform. But after 20 years in the fashion industry she decided…Road to 1 million subscribers with Scott FrenzelRoad to one million with Reza and Puja Khan5 APAC creators paving their way to 10 million subscribers with YouTube ShortsDon't Miss This            Made On YouTube '23 Event Recap          Play buttonPlay button iconMade On YouTube '23 Event Recap            YouTube presents.... In a Pickle: The Beverly Halls          Play buttonPlay button iconYouTube presents.... In a Pickle: The Beverly Halls            YouTube presents.... In a Pickle: Haley Kalil          Play buttonPlay button iconYouTube presents.... In a Pickle: Haley Kalil            How Sydney and Taty blew up on YouTube! — Between Two Creators          Play buttonPlay button iconHow Sydney and Taty blew up on YouTube! — Between Two Creators            When Ryan met… BEN — Between Two Creators          Play buttonPlay button iconWhen Ryan met… BEN — Between Two Creators15All the Latest            Load More                      Loading...                      Explore the latest company news creator and artist profiles culture and trends analyses and behind-the-scenes insights on the YouTube Official Blog.          Our ChannelsOpenOpen AccordionCloseclose Accordion          YouTube                  YouTube Creators                  Creator Insider                  TeamYouTube [Help]                  Susan Wojcicki        TwitterOpenOpen AccordionCloseclose Accordion          YouTube                  YouTube Creators                  TeamYouTube                  YouTube Gaming                  YouTube TV                  YouTube Music                  YouTubeInsider        ConnectAbout YouTubeOpenOpen AccordionCloseclose Accordion          About                  Press                  Jobs                  How YouTube Works                  YouTube Culture &amp; Trends                  Community Forum        YouTube ProductsOpenOpen AccordionCloseclose Accordion          YouTube Go                  YouTube Kids                  YouTube Music                  YouTube Originals                  YouTube Premium                  YouTube Studio                  YouTube TV        For BusinessOpenOpen AccordionCloseclose Accordion          Advertising                  Developers        For CreatorsOpenOpen AccordionCloseclose Accordion          Artists                  Creators                  Creator Academy                  Creating for Kids                  Creators Research                  Creators Services Directory                  YouTube NextUp                  YouTube Space                  YouTube VR        Our CommitmentsOpenOpen AccordionCloseclose Accordion          Creators for Change                  CSAI Match                  Social Impact                          Policy &amp; Safety                                  Copyright                                  Brand Guidelines                                  Privacy                                  Terms                              Help                    Deutsch              English              Español (Latinoamérica)              Português (Brasil)</v>
      </c>
    </row>
    <row r="72">
      <c r="A72" s="1" t="s">
        <v>204</v>
      </c>
      <c r="B72" s="1" t="s">
        <v>270</v>
      </c>
      <c r="C72" s="1" t="s">
        <v>271</v>
      </c>
      <c r="D72" s="1">
        <v>6.0</v>
      </c>
      <c r="E72" s="4" t="s">
        <v>272</v>
      </c>
      <c r="F72" s="1" t="s">
        <v>43</v>
      </c>
      <c r="G72" s="1" t="s">
        <v>273</v>
      </c>
      <c r="H72" s="4" t="s">
        <v>274</v>
      </c>
      <c r="I72" s="2">
        <v>1.0</v>
      </c>
      <c r="J72" s="5" t="str">
        <f>IFERROR(__xludf.DUMMYFUNCTION("GOOGLETRANSLATE(A72)"),"youtube")</f>
        <v>youtube</v>
      </c>
      <c r="K72" s="6" t="str">
        <f>IFERROR(__xludf.DUMMYFUNCTION("GOOGLETRANSLATE(B72)"),"YouTube (@youtube) • Instagram photos and videos")</f>
        <v>YouTube (@youtube) • Instagram photos and videos</v>
      </c>
      <c r="L72" s="5" t="str">
        <f>IFERROR(__xludf.DUMMYFUNCTION("GOOGLETRANSLATE(C72)"),"31M Followers, 1752 Following, 4492 Posts - See Instagram photos and videos from YouTube (@youtube)")</f>
        <v>31M Followers, 1752 Following, 4492 Posts - See Instagram photos and videos from YouTube (@youtube)</v>
      </c>
      <c r="M72" s="5" t="str">
        <f>IFERROR(__xludf.DUMMYFUNCTION("GOOGLETRANSLATE(G72)"),"Update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73">
      <c r="A73" s="1" t="s">
        <v>204</v>
      </c>
      <c r="B73" s="1" t="s">
        <v>275</v>
      </c>
      <c r="C73" s="1" t="s">
        <v>276</v>
      </c>
      <c r="D73" s="1">
        <v>7.0</v>
      </c>
      <c r="E73" s="4" t="s">
        <v>277</v>
      </c>
      <c r="F73" s="1" t="s">
        <v>43</v>
      </c>
      <c r="G73" s="1" t="s">
        <v>278</v>
      </c>
      <c r="H73" s="4" t="s">
        <v>279</v>
      </c>
      <c r="I73" s="2">
        <v>0.0</v>
      </c>
      <c r="J73" s="5" t="str">
        <f>IFERROR(__xludf.DUMMYFUNCTION("GOOGLETRANSLATE(A73)"),"youtube")</f>
        <v>youtube</v>
      </c>
      <c r="K73" s="6" t="str">
        <f>IFERROR(__xludf.DUMMYFUNCTION("GOOGLETRANSLATE(B73)"),"YouTube: What is YouTube?")</f>
        <v>YouTube: What is YouTube?</v>
      </c>
      <c r="L73" s="5" t="str">
        <f>IFERROR(__xludf.DUMMYFUNCTION("GOOGLETRANSLATE(C73)"),"YouTube is a free video sharing website that makes it easy to watch online videos. You can even create and upload your own videos to share with others.")</f>
        <v>YouTube is a free video sharing website that makes it easy to watch online videos. You can even create and upload your own videos to share with others.</v>
      </c>
      <c r="M73" s="5" t="str">
        <f>IFERROR(__xludf.DUMMYFUNCTION("GOOGLETRANSLATE(G73)"),"Free Online Learning at GCFGlobal	closesearchsearchmenuTopicscloseI want to...Get started with computersLearn Microsoft OfficeApply for a jobImprove my work skillsDesign nice-looking docsMore...Microsoft OfficeWordExcelPowerPointAccessMore...ComputersGett"&amp;"ing StartedSmartphones &amp; TabletsTyping TutorialWindowsOnline LearningMore...The InternetBasic Internet SkillsOnline SafetySocial MediaZoom BasicsEmailMore...GoogleGmailGoogle DocsGoogle SheetsMore...The Job SearchCareer PlanningResume WritingCover Letters"&amp;"Job Search and NetworkingBusiness CommunicationEntrepreneurship 101Careers without CollegeJob Hunt for TodayMore...Skills for Today3D PrintingFreelancing 101Personal FinanceSharing EconomyDecision-MakingMore...Creativity &amp; DesignGraphic DesignCreativityPh"&amp;"otographyImage EditingPhotoshopLearning WordPressMore...Core SkillsMathReadingScienceGrammarLanguage LearningCritical ThinkingMore...For EducatorsTranslationsStaff PicksAll Topics									English									expand_moreexpand_less											English											"&amp;"expand_moreexpand_less											Español																					Português										search						person_outline											arrow_drop_down					menuAll TopicsMy AccountAbout UsFAQContact UsENESPTSigninSignupDashboardProfileLogoutsearch2300 + Lessons | 200 + Topi"&amp;"csIf you’re willing to learn we’re ready to teach– anywhere anytime.								Browse TopicsLearn Your FutureLearn and develop the skills needed to advance in work and life.								Watch videoDid you come to learn? You’re in the right place.Join more than 10"&amp;"0 million people from all walks of life who have come to us to learn the essential skills they need to live and work in the 21st century. Browse our extensive library:TECHNOLOGYWORKCORE SKILLSREADING &amp; MATH All TopicsAbout usWhat is GCFGlobal.org?For almo"&amp;"st 20 years the GCFGlobal.org program has helped millions around the world learn the essential skills they need to live and work in the 21st century by offering self-paced online courses.  We invite you to utilize our courses here and on YouTube and highl"&amp;"y recommend making an account to access all of our services including course tracking view history eCoaching and more!Partner With UsAbout UsWhat does GCFGlobal.org offer?E-learningCareer Coaching (Coming Soon)Stackable Credentials (Coming Soon) From Micr"&amp;"osoft Office and email to reading math and more—GCFGlobal.org offers more than 200 topics including more than 2300 lessons more than 2000 videos and more than 50 interactives and games completely free.  We all have outside responsibilities so we make it e"&amp;"asy for you to learn at your own pace on your own time.  Join more than 100 million people from all walks of life who have come to us to learn the essential skills they need to succeed.Learn with UsFeatured ContentNew TutorialEntrepreneurship 101Learn wha"&amp;"t it takes to become a successful entrepreneur.View TutorialVIDEOZoom BasicsWe'll cover how to set up an account join/host meetings and more.View TutorialCheck out our YouTube playlist on Math Basics!Learning WordPressDiscover how to build your own websit"&amp;"e using WordPress.View TutorialCareers without CollegeLearn about interesting in-demand jobs that don't require a four-year degree.View TutorialTutorialThe What/Why SeriesWhat impacts the past present and future and why are these things so important?View "&amp;"TutorialNEWCheck out our curated playlist on Financial Awareness!Microsoft ExcelPlaylist Lesson: Mobile-friendly featuring more videos and less text.View TutorialEntrepreneurship 101Learn what it takes to become a successful entrepreneur.View TutorialVIDE"&amp;"OZoom BasicsWe'll cover how to set up an account join/host meetings and more.View TutorialCheck out our YouTube playlist on Math Basics!Learning WordPressDiscover how to build your own website using WordPress.View TutorialCareers without CollegeLearn abou"&amp;"t interesting in-demand jobs that don't require a four-year degree.View TutorialThe What/Why SeriesWhat impacts the past present and future and why are these things so important?View TutorialNEWCheck out our curated playlist on Financial Awareness!Microso"&amp;"ft ExcelPlaylist Lesson: Mobile-friendly featuring more videos and less text.View TutorialFrom Our Learners											This video is amazing. You explained typography in a few sentences using this presentation. Also as a designer you have given us an idea "&amp;"and inspiration on what fonts are appropriate to use. Never thought that typography could be this deep. Keep it up!!										 Julius M.											As a teacher in an adult upgrading program at a community college I am grateful to you for making this resou"&amp;"rce available.										 Malcolm M.											As a beginner in Microsoft Office your tutorials were very simple easy to read and understand. Thank you!										 Jeanelle D.Share Your StoryPartner With Uskeyboard_arrow_upkeyboard_arrow_downAbout UsWho We "&amp;"AreMeet the StaffWork With UsWho Uses Us + Our PartnersEducators' ResourcesTeacher GuidesResources and ToolsHelp and SupportFAQTerms of ServicePrivacy NoticeCookie PolicyContact UsMy Account")</f>
        <v>Free Online Learning at GCFGlobal	closesearchsearchmenuTopicscloseI want to...Get started with computersLearn Microsoft OfficeApply for a jobImprove my work skillsDesign nice-looking docsMore...Microsoft OfficeWordExcelPowerPointAccessMore...ComputersGetting StartedSmartphones &amp; TabletsTyping TutorialWindowsOnline LearningMore...The InternetBasic Internet SkillsOnline SafetySocial MediaZoom BasicsEmailMore...GoogleGmailGoogle DocsGoogle SheetsMore...The Job SearchCareer PlanningResume WritingCover LettersJob Search and NetworkingBusiness CommunicationEntrepreneurship 101Careers without CollegeJob Hunt for TodayMore...Skills for Today3D PrintingFreelancing 101Personal FinanceSharing EconomyDecision-MakingMore...Creativity &amp; DesignGraphic DesignCreativityPhotographyImage EditingPhotoshopLearning WordPressMore...Core SkillsMathReadingScienceGrammarLanguage LearningCritical ThinkingMore...For EducatorsTranslationsStaff PicksAll Topics									English									expand_moreexpand_less											English											expand_moreexpand_less											Español																					Português										search						person_outline											arrow_drop_down					menuAll TopicsMy AccountAbout UsFAQContact UsENESPTSigninSignupDashboardProfileLogoutsearch2300 + Lessons | 200 + TopicsIf you’re willing to learn we’re ready to teach– anywhere anytime.								Browse TopicsLearn Your FutureLearn and develop the skills needed to advance in work and life.								Watch videoDid you come to learn? You’re in the right place.Join more than 100 million people from all walks of life who have come to us to learn the essential skills they need to live and work in the 21st century. Browse our extensive library:TECHNOLOGYWORKCORE SKILLSREADING &amp; MATH All TopicsAbout usWhat is GCFGlobal.org?For almost 20 years the GCFGlobal.org program has helped millions around the world learn the essential skills they need to live and work in the 21st century by offering self-paced online courses.  We invite you to utilize our courses here and on YouTube and highly recommend making an account to access all of our services including course tracking view history eCoaching and more!Partner With UsAbout UsWhat does GCFGlobal.org offer?E-learningCareer Coaching (Coming Soon)Stackable Credentials (Coming Soon) From Microsoft Office and email to reading math and more—GCFGlobal.org offers more than 200 topics including more than 2300 lessons more than 2000 videos and more than 50 interactives and games completely free.  We all have outside responsibilities so we make it easy for you to learn at your own pace on your own time.  Join more than 100 million people from all walks of life who have come to us to learn the essential skills they need to succeed.Learn with UsFeatured ContentNew TutorialEntrepreneurship 101Learn what it takes to become a successful entrepreneur.View TutorialVIDEOZoom BasicsWe'll cover how to set up an account join/host meetings and more.View TutorialCheck out our YouTube playlist on Math Basics!Learning WordPressDiscover how to build your own website using WordPress.View TutorialCareers without CollegeLearn about interesting in-demand jobs that don't require a four-year degree.View TutorialTutorialThe What/Why SeriesWhat impacts the past present and future and why are these things so important?View TutorialNEWCheck out our curated playlist on Financial Awareness!Microsoft ExcelPlaylist Lesson: Mobile-friendly featuring more videos and less text.View TutorialEntrepreneurship 101Learn what it takes to become a successful entrepreneur.View TutorialVIDEOZoom BasicsWe'll cover how to set up an account join/host meetings and more.View TutorialCheck out our YouTube playlist on Math Basics!Learning WordPressDiscover how to build your own website using WordPress.View TutorialCareers without CollegeLearn about interesting in-demand jobs that don't require a four-year degree.View TutorialThe What/Why SeriesWhat impacts the past present and future and why are these things so important?View TutorialNEWCheck out our curated playlist on Financial Awareness!Microsoft ExcelPlaylist Lesson: Mobile-friendly featuring more videos and less text.View TutorialFrom Our Learners											This video is amazing. You explained typography in a few sentences using this presentation. Also as a designer you have given us an idea and inspiration on what fonts are appropriate to use. Never thought that typography could be this deep. Keep it up!!										 Julius M.											As a teacher in an adult upgrading program at a community college I am grateful to you for making this resource available.										 Malcolm M.											As a beginner in Microsoft Office your tutorials were very simple easy to read and understand. Thank you!										 Jeanelle D.Share Your StoryPartner With Uskeyboard_arrow_upkeyboard_arrow_downAbout UsWho We AreMeet the StaffWork With UsWho Uses Us + Our PartnersEducators' ResourcesTeacher GuidesResources and ToolsHelp and SupportFAQTerms of ServicePrivacy NoticeCookie PolicyContact UsMy Account</v>
      </c>
    </row>
    <row r="74">
      <c r="A74" s="1" t="s">
        <v>204</v>
      </c>
      <c r="B74" s="1" t="s">
        <v>280</v>
      </c>
      <c r="C74" s="1" t="s">
        <v>281</v>
      </c>
      <c r="D74" s="1">
        <v>8.0</v>
      </c>
      <c r="E74" s="4" t="s">
        <v>282</v>
      </c>
      <c r="F74" s="1" t="s">
        <v>43</v>
      </c>
      <c r="G74" s="1" t="s">
        <v>216</v>
      </c>
      <c r="H74" s="4" t="s">
        <v>217</v>
      </c>
      <c r="I74" s="2">
        <v>0.0</v>
      </c>
      <c r="J74" s="5" t="str">
        <f>IFERROR(__xludf.DUMMYFUNCTION("GOOGLETRANSLATE(A74)"),"youtube")</f>
        <v>youtube</v>
      </c>
      <c r="K74" s="6" t="str">
        <f>IFERROR(__xludf.DUMMYFUNCTION("GOOGLETRANSLATE(B74)"),"How to earn money on YouTube")</f>
        <v>How to earn money on YouTube</v>
      </c>
      <c r="L74" s="5" t="str">
        <f>IFERROR(__xludf.DUMMYFUNCTION("GOOGLETRANSLATE(C74)"),"You can earn money on YouTube by applying for and being accepted to the YouTube Partner Program. Only channels that follow our YouTube channel monetization ...")</f>
        <v>You can earn money on YouTube by applying for and being accepted to the YouTube Partner Program. Only channels that follow our YouTube channel monetization ...</v>
      </c>
      <c r="M74" s="5" t="str">
        <f>IFERROR(__xludf.DUMMYFUNCTION("GOOGLETRANSLATE(G74)"),"Google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75">
      <c r="A75" s="1" t="s">
        <v>204</v>
      </c>
      <c r="B75" s="1" t="s">
        <v>207</v>
      </c>
      <c r="D75" s="1">
        <v>9.0</v>
      </c>
      <c r="E75" s="4" t="s">
        <v>283</v>
      </c>
      <c r="F75" s="1" t="s">
        <v>43</v>
      </c>
      <c r="G75" s="1" t="s">
        <v>284</v>
      </c>
      <c r="H75" s="4" t="s">
        <v>285</v>
      </c>
      <c r="I75" s="2">
        <v>0.0</v>
      </c>
      <c r="J75" s="5" t="str">
        <f>IFERROR(__xludf.DUMMYFUNCTION("GOOGLETRANSLATE(A75)"),"youtube")</f>
        <v>youtube</v>
      </c>
      <c r="K75" s="6" t="str">
        <f>IFERROR(__xludf.DUMMYFUNCTION("GOOGLETRANSLATE(B75)"),"YouTube")</f>
        <v>YouTube</v>
      </c>
      <c r="M75" s="5" t="str">
        <f>IFERROR(__xludf.DUMMYFUNCTION("GOOGLETRANSLATE(G75)"),"Sign in - Google Accountssign Inuse Your Google Accounemail or Phoeforgot Email?not your computer? Use a private browsing window to sign in. Learn Morenextcreate AccountAfrikaansazərBaycanbosanskitalskitalàtinanymraegdanskdeutskeestienglish (United Kingdo"&amp;"m)EnglishEnglish (United States)Español (Spaña)Franágasí)Eusrafilica). Gegalegohrvatsiaisuluíslenslenskaniswahilaswahilaswahilitwahililatvietuvišmagyarmelayaderlandsnorskporturguês (Brasilsilsiluguguês (portugal)romentonsklovenárpslovenven ng Việttttttoελ"&amp;"λληικάбеллууууConаябъгарскикыргыачаікссаі.і.і.і.і.і.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amp;"erms")</f>
        <v>Sign in - Google Accountssign Inuse Your Google Accounemail or Phoeforgot Email?not your computer? Use a private browsing window to sign in. Learn Morenextcreate AccountAfrikaansazərBaycanbosanskitalskitalàtinanymraegdanskdeutskeestienglish (United Kingdom)EnglishEnglish (United States)Español (Spaña)Franágasí)Eusrafilica). Gegalegohrvatsiaisuluíslenslenskaniswahilaswahilaswahilitwahililatvietuvišmagyarmelayaderlandsnorskporturguês (Brasilsilsiluguguês (portugal)romentonsklovenárpslovenven ng ViệttttttoελλληικάбеллууууConаябъгарскикыргыачаікссаі.і.і.і.і.і. онголуусскиийсрки (ћирила)країнськаქაჰნ.ნ. עברית‬‎‫اردو‬‎‫العربية‬‎‫فارسی‬‎አማርኛनेपालीमराठीहिन्दीঅসমীয়াবাংলাਪੰਜਾਬੀગુજરાતીଓଡ଼ିଆதமிழ்తెలుగుಕನ್ನಡമലയാളംසිංහලไทยລາວမြန်မာខ្មែរ한국어中文（香港）日本語简体中文繁體中文HelpPrivacyTerms</v>
      </c>
    </row>
    <row r="76">
      <c r="A76" s="1" t="s">
        <v>204</v>
      </c>
      <c r="B76" s="1" t="s">
        <v>286</v>
      </c>
      <c r="C76" s="1" t="s">
        <v>287</v>
      </c>
      <c r="D76" s="1">
        <v>10.0</v>
      </c>
      <c r="E76" s="4" t="s">
        <v>288</v>
      </c>
      <c r="F76" s="1" t="s">
        <v>43</v>
      </c>
      <c r="I76" s="2">
        <v>3.0</v>
      </c>
      <c r="J76" s="5" t="str">
        <f>IFERROR(__xludf.DUMMYFUNCTION("GOOGLETRANSLATE(A76)"),"youtube")</f>
        <v>youtube</v>
      </c>
      <c r="K76" s="6" t="str">
        <f>IFERROR(__xludf.DUMMYFUNCTION("GOOGLETRANSLATE(B76)"),"r/YouTube")</f>
        <v>r/YouTube</v>
      </c>
      <c r="L76" s="5" t="str">
        <f>IFERROR(__xludf.DUMMYFUNCTION("GOOGLETRANSLATE(C76)"),"r/youtube: r/YouTube is for discussion about YouTube. This is a fan sub, not run or owned by YouTube! Please read the rules …")</f>
        <v>r/youtube: r/YouTube is for discussion about YouTube. This is a fan sub, not run or owned by YouTube! Please read the rules …</v>
      </c>
      <c r="M76" s="5" t="str">
        <f>IFERROR(__xludf.DUMMYFUNCTION("GOOGLETRANSLATE(G76)"),"#VALUE!")</f>
        <v>#VALUE!</v>
      </c>
    </row>
    <row r="77">
      <c r="A77" s="1" t="s">
        <v>204</v>
      </c>
      <c r="B77" s="1" t="s">
        <v>289</v>
      </c>
      <c r="C77" s="1" t="s">
        <v>290</v>
      </c>
      <c r="D77" s="1">
        <v>11.0</v>
      </c>
      <c r="E77" s="4" t="s">
        <v>291</v>
      </c>
      <c r="F77" s="1" t="s">
        <v>43</v>
      </c>
      <c r="G77" s="1" t="s">
        <v>216</v>
      </c>
      <c r="H77" s="4" t="s">
        <v>217</v>
      </c>
      <c r="I77" s="2">
        <v>0.0</v>
      </c>
      <c r="J77" s="5" t="str">
        <f>IFERROR(__xludf.DUMMYFUNCTION("GOOGLETRANSLATE(A77)"),"youtube")</f>
        <v>youtube</v>
      </c>
      <c r="K77" s="6" t="str">
        <f>IFERROR(__xludf.DUMMYFUNCTION("GOOGLETRANSLATE(B77)"),"Supported YouTube file formats")</f>
        <v>Supported YouTube file formats</v>
      </c>
      <c r="L77" s="5" t="str">
        <f>IFERROR(__xludf.DUMMYFUNCTION("GOOGLETRANSLATE(C77)"),"Supported YouTube file formats ·.MOV ·.MPEG-1 ·.MPEG-2 ·.MPEG4 ·.MP4 ·.MPG ·.AVI ·.WMV .MPEGPS .FLV ...")</f>
        <v>Supported YouTube file formats ·.MOV ·.MPEG-1 ·.MPEG-2 ·.MPEG4 ·.MP4 ·.MPG ·.AVI ·.WMV .MPEGPS .FLV ...</v>
      </c>
      <c r="M77" s="5" t="str">
        <f>IFERROR(__xludf.DUMMYFUNCTION("GOOGLETRANSLATE(G77)"),"Google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78">
      <c r="A78" s="1" t="s">
        <v>204</v>
      </c>
      <c r="B78" s="1" t="s">
        <v>292</v>
      </c>
      <c r="C78" s="1" t="s">
        <v>293</v>
      </c>
      <c r="D78" s="1">
        <v>12.0</v>
      </c>
      <c r="E78" s="4" t="s">
        <v>294</v>
      </c>
      <c r="F78" s="1" t="s">
        <v>43</v>
      </c>
      <c r="G78" s="1" t="s">
        <v>295</v>
      </c>
      <c r="H78" s="4" t="s">
        <v>296</v>
      </c>
      <c r="I78" s="2">
        <v>0.0</v>
      </c>
      <c r="J78" s="5" t="str">
        <f>IFERROR(__xludf.DUMMYFUNCTION("GOOGLETRANSLATE(A78)"),"youtube")</f>
        <v>youtube</v>
      </c>
      <c r="K78" s="6" t="str">
        <f>IFERROR(__xludf.DUMMYFUNCTION("GOOGLETRANSLATE(B78)"),"Explained: What is YouTube?")</f>
        <v>Explained: What is YouTube?</v>
      </c>
      <c r="L78" s="5" t="str">
        <f>IFERROR(__xludf.DUMMYFUNCTION("GOOGLETRANSLATE(C78)"),"YouTube is a video sharing service where users can create their own profile, upload videos, watch, like and comment on other videos.")</f>
        <v>YouTube is a video sharing service where users can create their own profile, upload videos, watch, like and comment on other videos.</v>
      </c>
      <c r="M78" s="5" t="str">
        <f>IFERROR(__xludf.DUMMYFUNCTION("GOOGLETRANSLATE(G78)"),"Webwise - Internet Safety   			Search		    Results for {phrase} ({results_count} of {results_count_total})Displaying {results_count} results of {results_count_total}Show more results...    About usPrivacyContact UsEnglishIrish   ParentsAdvice for ParentsV"&amp;"ideos For ParentsApps ExplainedTalking PointsHow ToGet ResourcesSafer Internet DayTalkListenLearnTeachersAdvice for TeachersClassroom VideosGet ResourcesSchool PolicySupports for ParentsTraining and SupportSafer Internet DayCyberbullying HubYouthJoin the "&amp;"Webwise Youth PanelYouth VideosCasting the NetVideosClassroom VideosParent VideosTeacher VideosSafer Internet DayOrder WristbandsEvents In IrelandGet IdeasSID CompetitionSID SnapsSID Ambassador ProgrammeSID PresentationsSilent Witness CampaignGet Resource"&amp;"sThe Respect EffectConnectedHTML HeroesBeinCtrlMySelfie and the Wider WorldLockersMy Online WorldUP2USThinkB4UClickOther Resources ParentsAdvice for ParentsVideos For ParentsApps ExplainedTalking PointsHow ToGet ResourcesSafer Internet DayTalkListenLearnT"&amp;"eachersAdvice for TeachersClassroom VideosGet ResourcesSchool PolicySupports for ParentsTraining and SupportSafer Internet DayCyberbullying HubYouthJoin the Webwise Youth PanelYouth VideosCasting the NetVideosClassroom VideosParent VideosTeacher VideosSaf"&amp;"er Internet DayOrder WristbandsEvents In IrelandGet IdeasSID CompetitionSID SnapsSID Ambassador ProgrammeSID PresentationsSilent Witness CampaignGet ResourcesThe Respect EffectConnectedHTML HeroesBeinCtrlMySelfie and the Wider WorldLockersMy Online WorldU"&amp;"P2USThinkB4UClickOther ResourcesWelcome to Webwise.ieHere you will find information advice and free education resources addressing a range of internet safety issues and concerns. We offer advice and support for young people teachers and parents.  Parents "&amp;"Teachers TeensTrendingBe Media Smart Includes NEW community-based training programme As part of the Be Media Smart campaign organisations across Ireland are…Read more...Webinar for TeachersTo mark the Be Media Smart Campaign and as part of Global Media an"&amp;"d Information Literacy Week Webwise will host a free webinar for primary teachers on helping pupils develop digital media literacy skills.Read more...Applications OpenThe SID 2024 Ambassador Training Programme is now open for applications from Post-Primar"&amp;"y students. An important aspect…Read more...View moreApps ExplainedWhat is ChatGPT?What is ChatGPT? OpenAI’s ChatGPT is a powerful artificial intelligence chatbot that can answer questions hold text…Learn moreSnapchat's My AISnapchat’s My AI is described "&amp;"by Snapchat as an experimental friendly chatbot currently available to Snapchatters. Initially…Learn moreWhat is BeReal?BeReal is a popular photo-sharing app that lets users share one photo per day to show their…Learn moreView more explainersTeachersWebwi"&amp;"se provides a range of free primary and secondary school teaching resources addressing a range of topics including cyberbullying image-sharing social media and more. Check out our fantastic curriculum-aligned resources and videos. Get ResourcesWebwise off"&amp;"er a range of free internet safety classroom resources for primary and secondary level schools. Learn moreSchool PolicyCreating an AUP is vital for your school. Get started using our free acceptable use policy generator tool. Learn moreTraining &amp; SupportW"&amp;"ebwise offer a range of workshops and training addressing internet safety issues. Learn moreVisit Webwise TeachersParentsBecome a Webwise Parent with our free expert advice how to guides explainers and talking points. Get extra support with our free inter"&amp;"net safety guide for parents. Get ResourcesUse our FREE Parents’ Guide to a better internet to talk to your child about safety online. Learn moreHave the ChatUse our helpful talking points to talk to your child about managing their safety online.  Learn m"&amp;"oreGet AdviceWebwise offer free advice and information on a range of internet safety topics. Learn moreVisit Webwise ParentsVideosClassroom Videos The Webwise Classroom Videos can be accessed via our Youtube channel here: youtube.com/Webwise.   MySelfie V"&amp;"ideos HTML…Orufe and DelapoThe internet is an integral part of our lives providing fantastic opportunities to learn create and connect…#TalkListenLearnThe internet is an integral part of our lives providing fantastic opportunities to learn create and conn"&amp;"ect…View all videosGet HelpHotline.ie exists to combat the distribution and proliferation of illegal content like child sexual abuse content. 1890 610 710info@hotline.ieChildline is a support service for young people up to the age of 18. There is a 24hr t"&amp;"elephone online and mobile phone texting service. 1800 66 66 6650101The National Parents Council Primary enables and empowers parents to be effective partners in their children’s education. +353 1 887 4477helpline@npc.ie Follow Us NewsletterSign up to our"&amp;" newsletter for internet safety news and updates. Subscribe Privacy PolicyAccessibility StatementCookie UsageContact Us Talk to someoneWorried about something you have seen online or concerned about your child? Childline and the National Parents Council P"&amp;"rimary offer free advice and support service.Childline is a support service for young people up to the age of 18.There is a 24hr telephone online and mobile phone texting service. 1800666666 50101 Get startedThe National Parents Council Primary enables an"&amp;"d empowers parents to be effective partners in their children’s education. 01 887 4477 helpline@npc.ieReport Illegal ContentSometimes you might unwittingly stumble across illegal online content like child abuse imagery. Always remember: you can report it "&amp;"and get it removed using Hotline.ie.  More on illegal content Make a reportHotline.ie exists to combat the distribution and proliferation of illegal content like child sexualabuse content in conjunction with police and Internet Industry")</f>
        <v>Webwise - Internet Safety   			Search		    Results for {phrase} ({results_count} of {results_count_total})Displaying {results_count} results of {results_count_total}Show more results...    About usPrivacyContact UsEnglishIrish   ParentsAdvice for ParentsVideos For ParentsApps ExplainedTalking PointsHow ToGet ResourcesSafer Internet DayTalkListenLearnTeachersAdvice for TeachersClassroom VideosGet ResourcesSchool PolicySupports for ParentsTraining and SupportSafer Internet DayCyberbullying HubYouthJoin the Webwise Youth PanelYouth VideosCasting the NetVideosClassroom VideosParent VideosTeacher VideosSafer Internet DayOrder WristbandsEvents In IrelandGet IdeasSID CompetitionSID SnapsSID Ambassador ProgrammeSID PresentationsSilent Witness CampaignGet ResourcesThe Respect EffectConnectedHTML HeroesBeinCtrlMySelfie and the Wider WorldLockersMy Online WorldUP2USThinkB4UClickOther Resources ParentsAdvice for ParentsVideos For ParentsApps ExplainedTalking PointsHow ToGet ResourcesSafer Internet DayTalkListenLearnTeachersAdvice for TeachersClassroom VideosGet ResourcesSchool PolicySupports for ParentsTraining and SupportSafer Internet DayCyberbullying HubYouthJoin the Webwise Youth PanelYouth VideosCasting the NetVideosClassroom VideosParent VideosTeacher VideosSafer Internet DayOrder WristbandsEvents In IrelandGet IdeasSID CompetitionSID SnapsSID Ambassador ProgrammeSID PresentationsSilent Witness CampaignGet ResourcesThe Respect EffectConnectedHTML HeroesBeinCtrlMySelfie and the Wider WorldLockersMy Online WorldUP2USThinkB4UClickOther ResourcesWelcome to Webwise.ieHere you will find information advice and free education resources addressing a range of internet safety issues and concerns. We offer advice and support for young people teachers and parents.  Parents Teachers TeensTrendingBe Media Smart Includes NEW community-based training programme As part of the Be Media Smart campaign organisations across Ireland are…Read more...Webinar for TeachersTo mark the Be Media Smart Campaign and as part of Global Media and Information Literacy Week Webwise will host a free webinar for primary teachers on helping pupils develop digital media literacy skills.Read more...Applications OpenThe SID 2024 Ambassador Training Programme is now open for applications from Post-Primary students. An important aspect…Read more...View moreApps ExplainedWhat is ChatGPT?What is ChatGPT? OpenAI’s ChatGPT is a powerful artificial intelligence chatbot that can answer questions hold text…Learn moreSnapchat's My AISnapchat’s My AI is described by Snapchat as an experimental friendly chatbot currently available to Snapchatters. Initially…Learn moreWhat is BeReal?BeReal is a popular photo-sharing app that lets users share one photo per day to show their…Learn moreView more explainersTeachersWebwise provides a range of free primary and secondary school teaching resources addressing a range of topics including cyberbullying image-sharing social media and more. Check out our fantastic curriculum-aligned resources and videos. Get ResourcesWebwise offer a range of free internet safety classroom resources for primary and secondary level schools. Learn moreSchool PolicyCreating an AUP is vital for your school. Get started using our free acceptable use policy generator tool. Learn moreTraining &amp; SupportWebwise offer a range of workshops and training addressing internet safety issues. Learn moreVisit Webwise TeachersParentsBecome a Webwise Parent with our free expert advice how to guides explainers and talking points. Get extra support with our free internet safety guide for parents. Get ResourcesUse our FREE Parents’ Guide to a better internet to talk to your child about safety online. Learn moreHave the ChatUse our helpful talking points to talk to your child about managing their safety online.  Learn moreGet AdviceWebwise offer free advice and information on a range of internet safety topics. Learn moreVisit Webwise ParentsVideosClassroom Videos The Webwise Classroom Videos can be accessed via our Youtube channel here: youtube.com/Webwise.   MySelfie Videos HTML…Orufe and DelapoThe internet is an integral part of our lives providing fantastic opportunities to learn create and connect…#TalkListenLearnThe internet is an integral part of our lives providing fantastic opportunities to learn create and connect…View all videosGet HelpHotline.ie exists to combat the distribution and proliferation of illegal content like child sexual abuse content. 1890 610 710info@hotline.ieChildline is a support service for young people up to the age of 18. There is a 24hr telephone online and mobile phone texting service. 1800 66 66 6650101The National Parents Council Primary enables and empowers parents to be effective partners in their children’s education. +353 1 887 4477helpline@npc.ie Follow Us NewsletterSign up to our newsletter for internet safety news and updates. Subscribe Privacy PolicyAccessibility StatementCookie UsageContact Us Talk to someoneWorried about something you have seen online or concerned about your child? Childline and the National Parents Council Primary offer free advice and support service.Childline is a support service for young people up to the age of 18.There is a 24hr telephone online and mobile phone texting service. 1800666666 50101 Get startedThe National Parents Council Primary enables and empowers parents to be effective partners in their children’s education. 01 887 4477 helpline@npc.ieReport Illegal ContentSometimes you might unwittingly stumble across illegal online content like child abuse imagery. Always remember: you can report it and get it removed using Hotline.ie.  More on illegal content Make a reportHotline.ie exists to combat the distribution and proliferation of illegal content like child sexualabuse content in conjunction with police and Internet Industry</v>
      </c>
    </row>
    <row r="79">
      <c r="A79" s="1" t="s">
        <v>204</v>
      </c>
      <c r="B79" s="1" t="s">
        <v>297</v>
      </c>
      <c r="C79" s="1" t="s">
        <v>298</v>
      </c>
      <c r="D79" s="1">
        <v>13.0</v>
      </c>
      <c r="E79" s="4" t="s">
        <v>299</v>
      </c>
      <c r="F79" s="1" t="s">
        <v>43</v>
      </c>
      <c r="I79" s="2">
        <v>1.0</v>
      </c>
      <c r="J79" s="5" t="str">
        <f>IFERROR(__xludf.DUMMYFUNCTION("GOOGLETRANSLATE(A79)"),"youtube")</f>
        <v>youtube</v>
      </c>
      <c r="K79" s="6" t="str">
        <f>IFERROR(__xludf.DUMMYFUNCTION("GOOGLETRANSLATE(B79)"),"YouTube Video Maker | Free Online YouTube Editor")</f>
        <v>YouTube Video Maker | Free Online YouTube Editor</v>
      </c>
      <c r="L79" s="5" t="str">
        <f>IFERROR(__xludf.DUMMYFUNCTION("GOOGLETRANSLATE(C79)"),"How to make YouTube videos. Open Canva's YouTube video editor. Select a YouTube video template or start one from scratch. Upload your footage, music, audio ...")</f>
        <v>How to make YouTube videos. Open Canva's YouTube video editor. Select a YouTube video template or start one from scratch. Upload your footage, music, audio ...</v>
      </c>
      <c r="M79" s="5" t="str">
        <f>IFERROR(__xludf.DUMMYFUNCTION("GOOGLETRANSLATE(G79)"),"#VALUE!")</f>
        <v>#VALUE!</v>
      </c>
    </row>
    <row r="80">
      <c r="A80" s="1" t="s">
        <v>204</v>
      </c>
      <c r="B80" s="1" t="s">
        <v>300</v>
      </c>
      <c r="D80" s="1">
        <v>14.0</v>
      </c>
      <c r="E80" s="4" t="s">
        <v>301</v>
      </c>
      <c r="F80" s="1" t="s">
        <v>43</v>
      </c>
      <c r="G80" s="1" t="s">
        <v>302</v>
      </c>
      <c r="H80" s="4" t="s">
        <v>303</v>
      </c>
      <c r="I80" s="2">
        <v>1.0</v>
      </c>
      <c r="J80" s="5" t="str">
        <f>IFERROR(__xludf.DUMMYFUNCTION("GOOGLETRANSLATE(A80)"),"youtube")</f>
        <v>youtube</v>
      </c>
      <c r="K80" s="6" t="str">
        <f>IFERROR(__xludf.DUMMYFUNCTION("GOOGLETRANSLATE(B80)"),"Introduction to YouTube Premium - result from Google Book")</f>
        <v>Introduction to YouTube Premium - result from Google Book</v>
      </c>
      <c r="M80" s="5" t="str">
        <f>IFERROR(__xludf.DUMMYFUNCTION("GOOGLETRANSLATE(G80)"),"Google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1">
      <c r="A81" s="1" t="s">
        <v>204</v>
      </c>
      <c r="B81" s="1" t="s">
        <v>304</v>
      </c>
      <c r="D81" s="1">
        <v>15.0</v>
      </c>
      <c r="E81" s="4" t="s">
        <v>305</v>
      </c>
      <c r="F81" s="1" t="s">
        <v>43</v>
      </c>
      <c r="G81" s="1" t="s">
        <v>302</v>
      </c>
      <c r="H81" s="4" t="s">
        <v>303</v>
      </c>
      <c r="I81" s="2">
        <v>1.0</v>
      </c>
      <c r="J81" s="5" t="str">
        <f>IFERROR(__xludf.DUMMYFUNCTION("GOOGLETRANSLATE(A81)"),"youtube")</f>
        <v>youtube</v>
      </c>
      <c r="K81" s="6" t="str">
        <f>IFERROR(__xludf.DUMMYFUNCTION("GOOGLETRANSLATE(B81)"),"YouTube 4 You - page 7-14 - result from Google Book")</f>
        <v>YouTube 4 You - page 7-14 - result from Google Book</v>
      </c>
      <c r="M81" s="5" t="str">
        <f>IFERROR(__xludf.DUMMYFUNCTION("GOOGLETRANSLATE(G81)"),"Google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2">
      <c r="A82" s="1" t="s">
        <v>204</v>
      </c>
      <c r="B82" s="1" t="s">
        <v>306</v>
      </c>
      <c r="C82" s="1" t="s">
        <v>307</v>
      </c>
      <c r="D82" s="1">
        <v>16.0</v>
      </c>
      <c r="E82" s="4" t="s">
        <v>308</v>
      </c>
      <c r="F82" s="1" t="s">
        <v>43</v>
      </c>
      <c r="G82" s="1" t="s">
        <v>309</v>
      </c>
      <c r="H82" s="4" t="s">
        <v>310</v>
      </c>
      <c r="I82" s="2">
        <v>3.0</v>
      </c>
      <c r="J82" s="5" t="str">
        <f>IFERROR(__xludf.DUMMYFUNCTION("GOOGLETRANSLATE(A82)"),"youtube")</f>
        <v>youtube</v>
      </c>
      <c r="K82" s="6" t="str">
        <f>IFERROR(__xludf.DUMMYFUNCTION("GOOGLETRANSLATE(B82)"),"vidIQ Vision for YouTube")</f>
        <v>vidIQ Vision for YouTube</v>
      </c>
      <c r="L82" s="5" t="str">
        <f>IFERROR(__xludf.DUMMYFUNCTION("GOOGLETRANSLATE(C82)"),"5 days ago -")</f>
        <v>5 days ago -</v>
      </c>
      <c r="M82" s="5" t="str">
        <f>IFERROR(__xludf.DUMMYFUNCTION("GOOGLETRANSLATE(G82)"),"Google Chrome - The Fast &amp; Secure Web Browser Built to be Yours         Google uses cookies to deliver its services to personalize ads and to analyze traffic. You can adjust your privacy controls anytime in your  Google settings or read our cookie policy."&amp;"Ok got itMenuMenuicon chrome logoJump to contentHomeThe Browser by GoogleFeatures              icon-expand-featuresOverviewGoogle address barPassword checkSyncDark modeTabsArticles for youExtensionsSafety              icon-expand-featuresPrivacy on the we"&amp;"bSupport              icon-expand-featuresHelpful tips for ChromeSupport              Get ChromeDownload Chromeclose drawericon chrome logoHomeThe Browser by GoogleFeatures              icon-expand-featuresOverviewGoogle address barPassword checkSyncDark "&amp;"modeTabsArticles for youExtensionsSafety              icon-expand-featuresPrivacy on the webSupport              icon-expand-featuresHelpful tips for ChromeSupport              Get ChromeDownload ChromeFastSafeYoursBy GoogleDownload                    The"&amp;" browser  built to be                   f                  a                  s                  t                  s                  a                  f                  e                  y                  o                  u                  r     "&amp;"             sPause animationPlay animationGet ChromeDownload ChromeFor Windows 10 32-bit.I want to update ChromeFor Windows 11/10 64-bit.I want to update ChromeFor Windows XP/VistaThis device won’t receive updates because Google Chrome no longer supports"&amp;" your operating system.For Windows 8.1/8/7 32-bitThis device won’t receive updates because Google Chrome no longer supports your operating system.For Windows 8.1/8/7 64-bitThis device won’t receive updates because Google Chrome no longer supports your ope"&amp;"rating system.For macOS 10.15 or later.I want to update ChromeThis computer will no longer receive Google Chrome updates because macOS 10.6 - 10.12 are no longer supported.This computer will no longer receive Google Chrome updates because macOS 10.6 - 10."&amp;"12 are no longer supported.This computer will no longer receive Google Chrome updates because macOS 10.6 - 10.12 are no longer supported.This computer will no longer receive Google Chrome updates because macOS 10.6 - 10.12 are no longer supported.For macO"&amp;"S 10.13/10.14This device won’t receive updates because Google Chrome no longer supports your operating system.Debian/Ubuntu/Fedora/openSUSE.I want to update                 Chrome              I want to update ChromeLearn how to                 update    "&amp;"          I want to update ChromeSet Google Chrome as my default browserHelp make Google Chrome better by automatically sending usage statistics and crash reports to Google.                What are crash reports?Help make Google Chrome better by automatic"&amp;"ally sending usage statistics and crash reports to Google.                What are crash reports?Help make Google Chrome better by automatically sending usage statistics and crash reports to Google.                What are crash reports?Help make Google C"&amp;"hrome better by automatically sending usage statistics and crash reports to Google.                What are crash reports?Set Google Chrome as my default browserHelp make Google Chrome better by automatically sending usage statistics and crash reports to "&amp;"Google.                What are crash reports?Help make Google Chrome better by automatically sending usage statistics and crash reports to Google.                What are crash reports?Help make Google Chrome better by automatically sending usage statist"&amp;"ics and crash reports to Google.                What are crash reports?Help make Google Chrome better by automatically sending usage statistics and crash reports to Google.                What are crash reports?Set Google Chrome as my default browserHelp "&amp;"make Google Chrome better by automatically sending usage statistics and crash reports to Google.                What are crash reports?Set Google Chrome as my default browserHelp make Google Chrome better by automatically sending usage statistics and cras"&amp;"h reports to Google.                What are crash reports?Set Google Chrome as my default browserHelp make Google Chrome better by automatically sending usage statistics and crash reports to Google.                What are crash reports?By downloading Ch"&amp;"rome you agree to the Google Terms of Service and Chrome and ChromeOS Additional Terms of ServiceBy downloading Chrome you agree to the Google Terms of Service and Chrome and ChromeOS Additional Terms of ServiceBy downloading Chrome you agree to the Googl"&amp;"e Terms of Service and Chrome and ChromeOS Additional Terms of ServiceBy downloading Chrome you agree to the Google Terms of Service and Chrome and ChromeOS Additional Terms of ServiceBy downloading Chrome you agree to the Google Terms of Service and Chro"&amp;"me and ChromeOS Additional Terms of ServiceBy downloading Chrome you agree to the Google Terms of Service and Chrome and ChromeOS Additional Terms of ServiceBy downloading Chrome you agree to the Google Terms of Service and Chrome and ChromeOS Additional "&amp;"Terms of ServiceBy downloading Chrome you agree to the Google Terms of Service and Chrome and ChromeOS Additional Terms of ServiceBy downloading Chrome you agree to the Google Terms of Service and Chrome and ChromeOS Additional Terms of ServiceBy download"&amp;"ing Chrome you agree to the Google Terms of Service and Chrome and ChromeOS Additional Terms of ServiceBy downloading Chrome you agree to the Google Terms of Service and Chrome and ChromeOS Additional Terms of ServiceBy downloading Chrome you agree to the"&amp;" Google Terms of Service and Chrome and ChromeOS Additional Terms of ServiceBy downloading Chrome you agree to the Google Terms of Service and Chrome and ChromeOS Additional Terms of ServiceBy downloading Chrome you agree to the Google Terms of Service an"&amp;"d Chrome and ChromeOS Additional Terms of ServiceBy downloading Chrome you agree to the Google Terms of Service and Chrome and ChromeOS Additional Terms of ServiceBy downloading Chrome you agree to the Google Terms of Service and Chrome and ChromeOS Addit"&amp;"ional Terms of ServiceBy downloading Chrome you agree to the Google Terms of Service and Chrome and ChromeOS Additional Terms of ServiceBy downloading Chrome you agree to the Google Terms of Service and Chrome and ChromeOS Additional Terms of ServiceBy do"&amp;"wnloading Chrome you agree to the Google Terms of Service and Chrome and ChromeOS Additional Terms of ServiceBy downloading Chrome you agree to the Google Terms of Service and Chrome and ChromeOS Additional Terms of ServiceScroll for                 more "&amp;"                   The             f            a            s            t   way to do things online          Prioritize performance              Chrome is built for performance. Optimize your experience with features like Energy Saver and Memory Saver. "&amp;"     Stay on top of tabs              Chrome has tools to help you manage the tabs you’re not quite ready to close. Group label and color code your tabs to stay organized and work faster.      Optimized for your device              Chrome is built to work"&amp;" with your device across platforms. That means a smooth experience on whatever you’re working with.      Scan for the  Chrome app          Automatic updates              There’s a new Chrome update every four weeks making it easy to have the newest featur"&amp;"es and a faster safer browser.      Prioritize performance              Chrome is built for performance. Optimize your experience with features like Energy Saver and Memory Saver.      Stay on top of tabs              Chrome has tools to help you manage t"&amp;"he tabs you’re not quite ready to close. Group label and color code your tabs to stay organized and work faster.      Optimized for your device              Chrome is built to work with your device across platforms. That means a smooth experience on whate"&amp;"ver you’re working with.      Scan for the  Chrome app          Automatic updates              There’s a new Chrome update every four weeks making it easy to have the newest features and a faster safer browser.       Stay             s            a       "&amp;"     f            e   while you browse          Stay             s            a            f            ewhile you browse          PASSWORD MANAGER          Use strong passwords on every site.              Chrome has Google Password Manager built in which"&amp;" makes it simple to save manage and protect your passwords online. It also helps you create stronger passwords for every account you use.      ENHANCED SAFE BROWSING          Browse with the confidence that you're staying safer online.              Chrome"&amp;"'s Safe Browsing warns you about malware or phishing attacks. Turn on Enhanced Safe Browsing for even more safety protections.      SAFETY CHECK          Check your safety level in real time with just one click.              Chrome's Safety Check confirms"&amp;" the overall security and privacy of your browsing experience including your saved passwords extensions and settings. If something needs attention Chrome will help you fix it.      PRIVACY GUIDE          Keep your privacy under your control with easy-to-u"&amp;"se settings.              Chrome makes it easy to understand exactly what you’re sharing online and who you’re sharing it with. Simply use the Privacy Guide a step-by-step tour of your privacy settings.       Make it             y            o            "&amp;"u            r            s   and take it with you          Make it             y            o            u            r            s   and take it with you          Customize your Chrome    Personalize your web browser with themes dark mode and other opt"&amp;"ions built just for you.      Browse across devices    Sign in to Chrome on any device to access your bookmarks saved passwords and more.      Save time with autofill    Use Chrome to save addresses passwords and more to quickly autofill your details.    "&amp;"  Customize your Chrome    Personalize your web browser with themes dark mode and other options built just for you.      Browse across devices    Sign in to Chrome on any device to access your bookmarks saved passwords and more.      Save time with autofi"&amp;"ll    Use Chrome to save addresses passwords and more to quickly autofill your details.      Extend your experience              From shopping and entertainment to productivity find extensions to improve your experience in the Chrome Web Store.       The "&amp;"browser             b            u            i            l            tby Google      GOOGLE AI          Access AI superpowers while you browse.                  Google is integrating artificial intelligence to make our products more useful. We use AI f"&amp;"or features like Search Google Translate and more and we’re innovating new technologies responsibly.      Google Search          The search bar you love built right in.              Access a world of knowledge at your fingertips. Check the weather solve m"&amp;"ath equations and get instant search results all contained inside your browser’s address bar.      GOOGLE WORKSPACE          Get things done with or without Wi-Fi.          Get things done in Gmail Google Docs Google Slides Google Sheets Google Translate "&amp;"and Google Drive even without an internet connection.Frequently asked questionsHow do I install Chrome?To install Chrome simply download the installation file then look for it in your downloads folder. Open the file and follow the instructions. Once Chrom"&amp;"e is installed you can delete the install file. Learn more about downloading Chrome here.Does Chrome work on my operating system?Chrome is compatible with devices that run Windows and Mac operating systems provided they meet the minimum system requirement"&amp;"s. In order to install Chrome and receive adequate support you must meet the system requirements. Learn more about using Chrome on your device.How do I make Chrome my default browser?You can set Chrome as your default browser on Windows or Mac operating s"&amp;"ystems as well as your iPhone iPad or Android device. When you set Chrome as your default browser any link you click will automatically open in Chrome. Find specific instructions for your device here.What are Chrome's safety settings?Chrome uses cutting-e"&amp;"dge safety and security features to help you manage your safety. Use Safety Check to instantly audit for compromised passwords safe browsing status and any available Chrome updates. Learn more about safety and security on Chrome.      Take your browser wi"&amp;"th you    Download Chrome on your mobile device or tablet and sign into your account for the same browser experience everywhere.Get ChromeDownload Chrome      Scan for the  Chrome app     Follow usYoutubeTwitterFacebook              Chrome FamilyOther Pla"&amp;"tformsChromebooks              Chromecast                            EnterpriseDownload Chrome                 Browser              Chrome Browser for                 Enterprise              Chrome                 Devices              ChromeOS            "&amp;"  Google                 Cloud              Google                 Workspace                            EducationGoogle Chrome                 Browser              Devices              Web                 Store                            Dev and PartnersC"&amp;"hromium              ChromeOS              Chrome Web                 Store              Chrome                 Experiments              Chrome BetaChrome DevChrome Canary              Stay ConnectedGoogle Chrome                 Blog              Update C"&amp;"hromeChrome                 Help              Chrome TipsGooglePrivacy and TermsAbout GoogleGoogle ProductsHelpHelpChange language or regionCatalà - EspanyaDansk - DanmarkDeutsch - DeutschlandEesti - EestiEnglish - AustraliaEnglish - CanadaEnglish - Unite"&amp;"d KingdomEnglish - Hong Kong SAR ChinaEnglish - IrelandEnglish - IndiaEnglish - PhilippinesEnglish - PakistanEnglish - SingaporeEnglish - United StatesEspañol - LatinoaméricaEspañol - EspañaEspañol - Estados UnidosFilipino - PilipinasFrançais - CanadaFran"&amp;"çais - FranceHrvatski - HrvatskaIndonesia - IndonesiaItaliano - ItaliaLatviešu - LatvijaLietuvių - LietuvaMagyar - MagyarországMelayu - MalaysiaNederlands - NederlandNorsk Bokmål - NorgePolski - PolskaPortuguês - PortugalPortuguês - BrasilRomână - România"&amp;"Slovenčina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السعوديةف"&amp;"ارسیहिन्दी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syst"&amp;"em.For Windows 8.1/8/7 32-bitThis device won’t receive updates because Google Chrome no longer supports your operating system.For Windows 8.1/8/7 64-bitThis device won’t receive updates because Google Chrome no longer supports your operating system.Get Ch"&amp;"rome for MacFor macOS 10.15 or later.This computer will no longer receive Google Chrome updates because macOS 10.6 - 10.12 are no longer supported.This computer will no longer receive Google Chrome updates because macOS 10.6 - 10.12 are no longer supporte"&amp;"d.This computer will no longer receive Google Chrome updates because macOS 10.6 - 10.12 are no longer supported.This computer will no longer receive Google Chrome updates because macOS 10.6 - 10.12 are no longer supported.For macOS 10.13/10.14This device "&amp;"won’t receive updates because Google Chrome no longer supports your operating system.Get Chrome for LinuxDebian/Ubuntu/Fedora/openSUSE.Please select your download package:64 bit .deb (For Debian/Ubuntu)64 bit .rpm (For Fedora/openSUSE)Not Debian/Ubuntu or"&amp;" Fedora/openSUSE? There may be a community-supported version for your distribution. See Linux Chromium packagesGet Chrome for iOSGet Chrome for chromeOSGet Chrome for androidSet Google Chrome as my default browserHelp make Google Chrome better by automati"&amp;"cally sending usage statistics and crash reports to Google.                What are crash reports?Note: Installing Google Chrome will add the Google repository so your system will automatically keep Google Chrome up to date. If you don’t want Google's rep"&amp;"ository do “sudo touch /etc/default/google-chrome” before installing the package.By downloading Chrome you agree to the Google Terms of Service and Chrome and ChromeOS Additional Terms of ServiceAccept and installAccept and installAccept and installGet Ch"&amp;"romeDownload for phone or tabletAndroidiOSDownload for another desktop OSWindows 11/10 64-bitWindows 10 32-bitmacOS 10.15 or laterLinuxFrozen versionsWindows XPWindows VistaWindows 8.1/8/7 32-bitWindows 8.1/8/7 64-bitMac 10.6 - 10.8Mac 10.9Mac 10.10Mac 10"&amp;".11 - 10.12Mac 10.13 - 10.14Looks like you’re already using Chrome browser. Nice!The device you have runs on ChromeOS which already has Chrome browser built-in. No need to manually install or update it — with automatic updates you’ll always get the latest"&amp;" version. Learn more about automatic updates.Looking for Chrome for a different operating system?See the full list of supported operating systems.")</f>
        <v>Google Chrome - The Fast &amp; Secure Web Browser Built to be Yours         Google uses cookies to deliver its services to personalize ads and to analyze traffic. You can adjust your privacy controls anytime in your  Google settings or read our cookie policy.Ok got itMenuMenuicon chrome logoJump to contentHomeThe Browser by GoogleFeatures              icon-expand-featuresOverviewGoogle address barPassword checkSyncDark modeTabsArticles for youExtensionsSafety              icon-expand-featuresPrivacy on the webSupport              icon-expand-featuresHelpful tips for ChromeSupport              Get ChromeDownload Chromeclose drawericon chrome logoHomeThe Browser by GoogleFeatures              icon-expand-featuresOverviewGoogle address barPassword checkSyncDark modeTabsArticles for youExtensionsSafety              icon-expand-featuresPrivacy on the webSupport              icon-expand-featuresHelpful tips for ChromeSupport              Get ChromeDownload ChromeFastSafeYoursBy GoogleDownload                    The browser  built to be                   f                  a                  s                  t                  s                  a                  f                  e                  y                  o                  u                  r                  sPause animationPlay animationGet ChromeDownload ChromeFor Windows 10 32-bit.I want to update ChromeFor Windows 11/10 64-bit.I want to update ChromeFor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system.For macOS 10.15 or later.I want to update ChromeThis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system.Debian/Ubuntu/Fedora/openSUSE.I want to update                 Chrome              I want to update ChromeLearn how to                 update              I want to update ChromeSet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ServiceScroll for                 more                    The             f            a            s            t   way to do things online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Stay             s            a            f            e   while you browse          Stay             s            a            f            ewhile you browse          PASSWORD MANAGER          Use strong passwords on every site.              Chrome has Google Password Manager built in which makes it simple to save manage and protect your passwords online. It also helps you create stronger passwords for every account you use.      ENHANCED SAFE BROWSING          Browse with the confidence that you're staying safer online.              Chrome's Safe Browsing warns you about malware or phishing attacks. Turn on Enhanced Safe Browsing for even more safety protections.      SAFETY CHECK          Check your safety level in real time with just one click.              Chrome's Safety Check confirms the overall security and privacy of your browsing experience including your saved passwords extensions and settings. If something needs attention Chrome will help you fix it.      PRIVACY GUIDE          Keep your privacy under your control with easy-to-use settings.              Chrome makes it easy to understand exactly what you’re sharing online and who you’re sharing it with. Simply use the Privacy Guide a step-by-step tour of your privacy settings.       Make it             y            o            u            r            s   and take it with you          Make it             y            o            u            r            s   and take it with you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Extend your experience              From shopping and entertainment to productivity find extensions to improve your experience in the Chrome Web Store.       The browser             b            u            i            l            tby Google      GOOGLE AI          Access AI superpowers while you browse.                  Google is integrating artificial intelligence to make our products more useful. We use AI for features like Search Google Translate and more and we’re innovating new technologies responsibly.      Google Search          The search bar you love built right in.              Access a world of knowledge at your fingertips. Check the weather solve math equations and get instant search results all contained inside your browser’s address bar.      GOOGLE WORKSPACE          Get things done with or without Wi-Fi.          Get things done in Gmail Google Docs Google Slides Google Sheets Google Translate and Google Drive even without an internet connection.Frequently asked questionsHow do I install Chrome?To install Chrome simply download the installation file then look for it in your downloads folder. Open the file and follow the instructions. Once Chrome is installed you can delete the install file. Learn more about downloading Chrome here.Does Chrome work on my operating system?Chrome is compatible with devices that run Windows and Mac operating systems provided they meet the minimum system requirements. In order to install Chrome and receive adequate support you must meet the system requirements. Learn more about using Chrome on your device.How do I make Chrome my default browser?You can set Chrome as your default browser on Windows or Mac operating systems as well as your iPhone iPad or Android device. When you set Chrome as your default browser any link you click will automatically open in Chrome. Find specific instructions for your device here.What are Chrome's safety settings?Chrome uses cutting-edge safety and security features to help you manage your safety. Use Safety Check to instantly audit for compromised passwords safe browsing status and any available Chrome updates. Learn more about safety and security on Chrome.      Take your browser with you    Download Chrome on your mobile device or tablet and sign into your account for the same browser experience everywhere.Get ChromeDownload Chrome      Scan for the  Chrome app     Follow usYoutubeTwitterFacebook              Chrome FamilyOther PlatformsChromebooks              Chromecast                            EnterpriseDownload Chrome                 Browser              Chrome Browser for                 Enterprise              Chrome                 Devices              ChromeOS              Google                 Cloud              Google                 Workspace                            EducationGoogle Chrome                 Browser              Devices              Web                 Store                            Dev and PartnersChromium              ChromeOS              Chrome Web                 Store              Chrome                 Experiments              Chrome BetaChrome DevChrome Canary              Stay ConnectedGoogle Chrome                 Blog              Update ChromeChrome                 Help              Chrome TipsGooglePrivacy and TermsAbout GoogleGoogle ProductsHelpHelpChange language or regionCatalà - EspanyaDansk - DanmarkDeutsch - DeutschlandEesti - EestiEnglish - AustraliaEnglish - CanadaEnglish - United KingdomEnglish - Hong Kong SAR ChinaEnglish - IrelandEnglish - IndiaEnglish - PhilippinesEnglish - PakistanEnglish - SingaporeEnglish - United StatesEspañol - LatinoaméricaEspañol - EspañaEspañol - Estados UnidosFilipino - PilipinasFrançais - CanadaFrançais - FranceHrvatski - HrvatskaIndonesia - IndonesiaItaliano - ItaliaLatviešu - LatvijaLietuvių - LietuvaMagyar - MagyarországMelayu - MalaysiaNederlands - NederlandNorsk Bokmål - NorgePolski - PolskaPortuguês - PortugalPortuguês - BrasilRomână - RomâniaSlovenčina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system.Get Chrome for MacFor macOS 10.15 or later.This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system.Get Chrome for LinuxDebian/Ubuntu/Fedora/openSUSE.Please select your download package:64 bit .deb (For Debian/Ubuntu)64 bit .rpm (For Fedora/openSUSE)Not Debian/Ubuntu or Fedora/openSUSE? There may be a community-supported version for your distribution. See Linux Chromium packagesGet Chrome for iOSGet Chrome for chromeOSGet Chrome for androidSet Google Chrome as my default browserHelp make Google Chrome better by automatically sending usage statistics and crash reports to Google.                What are crash reports?Note: Installing Google Chrome will add the Google repository so your system will automatically keep Google Chrome up to date. If you don’t want Google's repository do “sudo touch /etc/default/google-chrome” before installing the package.By downloading Chrome you agree to the Google Terms of Service and Chrome and ChromeOS Additional Terms of ServiceAccept and installAccept and installAccept and installGet ChromeDownload for phone or tabletAndroidiOSDownload for another desktop OSWindows 11/10 64-bitWindows 10 32-bitmacOS 10.15 or laterLinuxFrozen versionsWindows XPWindows VistaWindows 8.1/8/7 32-bitWindows 8.1/8/7 64-bitMac 10.6 - 10.8Mac 10.9Mac 10.10Mac 10.11 - 10.12Mac 10.13 - 10.14Looks like you’re already using Chrome browser. Nice!The device you have runs on ChromeOS which already has Chrome browser built-in. No need to manually install or update it — with automatic updates you’ll always get the latest version. Learn more about automatic updates.Looking for Chrome for a different operating system?See the full list of supported operating systems.</v>
      </c>
    </row>
    <row r="83">
      <c r="A83" s="1" t="s">
        <v>204</v>
      </c>
      <c r="B83" s="1" t="s">
        <v>311</v>
      </c>
      <c r="C83" s="1" t="s">
        <v>312</v>
      </c>
      <c r="D83" s="1">
        <v>23.0</v>
      </c>
      <c r="E83" s="4" t="s">
        <v>313</v>
      </c>
      <c r="F83" s="1" t="s">
        <v>43</v>
      </c>
      <c r="G83" s="1" t="s">
        <v>27</v>
      </c>
      <c r="H83" s="4" t="s">
        <v>28</v>
      </c>
      <c r="I83" s="2">
        <v>1.0</v>
      </c>
      <c r="J83" s="5" t="str">
        <f>IFERROR(__xludf.DUMMYFUNCTION("GOOGLETRANSLATE(A83)"),"youtube")</f>
        <v>youtube</v>
      </c>
      <c r="K83" s="6" t="str">
        <f>IFERROR(__xludf.DUMMYFUNCTION("GOOGLETRANSLATE(B83)"),"History of YouTube")</f>
        <v>History of YouTube</v>
      </c>
      <c r="L83" s="5" t="str">
        <f>IFERROR(__xludf.DUMMYFUNCTION("GOOGLETRANSLATE(C83)"),"YouTube is an American online video-sharing platform headquartered in San Bruno, California, founded by three former PayPal employees—Chad Hurley, ...")</f>
        <v>YouTube is an American online video-sharing platform headquartered in San Bruno, California, founded by three former PayPal employees—Chad Hurley, ...</v>
      </c>
      <c r="M83" s="5" t="str">
        <f>IFERROR(__xludf.DUMMYFUNCTION("GOOGLETRANSLATE(G83)"),"Wikipedia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84">
      <c r="A84" s="1" t="s">
        <v>204</v>
      </c>
      <c r="B84" s="1" t="s">
        <v>314</v>
      </c>
      <c r="C84" s="1" t="s">
        <v>315</v>
      </c>
      <c r="D84" s="1">
        <v>27.0</v>
      </c>
      <c r="E84" s="4" t="s">
        <v>316</v>
      </c>
      <c r="F84" s="1" t="s">
        <v>43</v>
      </c>
      <c r="G84" s="1" t="s">
        <v>216</v>
      </c>
      <c r="H84" s="4" t="s">
        <v>217</v>
      </c>
      <c r="I84" s="2">
        <v>1.0</v>
      </c>
      <c r="J84" s="5" t="str">
        <f>IFERROR(__xludf.DUMMYFUNCTION("GOOGLETRANSLATE(A84)"),"youtube")</f>
        <v>youtube</v>
      </c>
      <c r="K84" s="6" t="str">
        <f>IFERROR(__xludf.DUMMYFUNCTION("GOOGLETRANSLATE(B84)"),"Upload videos longer than 15 minutes - Android")</f>
        <v>Upload videos longer than 15 minutes - Android</v>
      </c>
      <c r="L84" s="5" t="str">
        <f>IFERROR(__xludf.DUMMYFUNCTION("GOOGLETRANSLATE(C84)"),"Increase your video length limit · Open the YouTube mobile app. · Tap Create """" and then · Select a video longer than 15 minutes. · Choose your video's title, ...")</f>
        <v>Increase your video length limit · Open the YouTube mobile app. · Tap Create "" and then · Select a video longer than 15 minutes. · Choose your video's title, ...</v>
      </c>
      <c r="M84" s="5" t="str">
        <f>IFERROR(__xludf.DUMMYFUNCTION("GOOGLETRANSLATE(G84)"),"Google Help   Skip to main content   Google HelpSign inGoogle HelpHelp CenterGooglePrivacy PolicyTerms of ServiceSubmit feedback Send feedback on...This help content &amp; informationGeneral Help Center experienceNextGoogle  How can we help you?        Read a"&amp;"bout Google's response to COVID-19  Choose a Google productGoogle ChromeGoogle AccountYouTubeGmailGoogle PlayGoogle SearchGoogle AdSensePixel PhoneGoogle MapsGoogle CloudGoogle AdsGoogle PhotosGoogle For FamiliesGoogle Fi WirelessGoogle NestGoogle PayGoog"&amp;"le StoreGoogle DriveGoogle ShoppingGoogle AccessibilityConsumerBloggerFinanceGoogle EarthGoogle MapsGmailPicasaToolbarGoogle SearchGoogle CalendarGoogle Docs EditorsBooksGoogle GroupsYouTubeTrendsAndroidSitesGoogle ChromeGoogle DriveGoogle VoiceGoogle Tra"&amp;"nslateChromebookGoogle TVGoogle PlayMy MapsChrome Web StoreTravelGoogle FiberNexusAdsNik CollectionChromecastSnapseedGoogle KeepStarbucks WiFiGoogle Fi WirelessWazeWear OS by GoogleGoogle FitYouTube For Families HelpGoogle StoreChromecast built-inGoogle P"&amp;"hotosAndroid AutoAndroid TVGoogle For FamiliesGoogle CameraGoogle WifiLocal GuidesYouTube MusicYouTube Studio App Help CenterGoogle CardboardGoogle DuoDatallyGoogle NestYouTube TVGoogle ClipsPixel PhoneOpinion RewardsDaydreamGoogle AssistantFiles by Googl"&amp;"eCS FirstGoogle ChatPixelbookMessagesReserve with GooglePhone appGboardContactsGoogle OneGoogle TasksGoogle NewsGoogle AccessibilityScience JournalGoogle ShoppingStadiaGoogle PayGoogle Food OrderingGoogle Kids SpaceUser SecurityGoogle Workspace Individual"&amp;"Google Pixel WatchGoogle WalletARGoogle Pixel TabletBusinessGoogle Ads EditorGoogle Workspace AdminBooksSearch ConsoleProgrammable Search EnginePublisher CenterAd GrantsGoogle WorkspaceGoogle AdsGoogle CloudStudioGoogle AdSenseAuthorized BuyersMaps Conten"&amp;"t PartnersGoogle Merchant CenterGoogle Ad ManagerAnalyticsCurrentsTransit PartnersGlobal Market FinderGoogle for NonprofitsSearch Ads 360Chrome Enterprise and EducationGoogle AdMobGoogle VaultGoogle Business ProfileHotel CenterDisplay &amp; Video 360Campaign "&amp;"Manager 360Google DomainsGoogle Pay MerchantGoogle Cloud Platform ConsoleGoogle Arts &amp; Culture PlatformAndroid EnterpriseCloud SearchGoogle Marketing PlatformCardboard ManufacturerCard IssuerGoogle MeetJamboardGoogle Pay for Online BusinessLocal ServicesW"&amp;"ork InsightsComparison Shopping Services CenterElastifileCEWAAppSheetAds Creative StudioOrion WifiDeveloperPlay ConsoleGDGGoogle Web DesignerCast DeveloperreCAPTCHAPayments centerPayment ProcessorsYour accountCan't access your account?Recent transactions "&amp;"with GoogleUseful stuff you can do with GoogleHelp CommunitiesLearn more aboutGoogle's Product Experts ProgramStatus dashboardIf you're having trouble accessing a Google product there's a chance we're currently experiencing a temporary problem. You can ch"&amp;"eck for outages and downtime on the G Suite Status Dashboard.     false        ©2023 Google   Privacy Policy   Terms of Service     català‎dansk‎Deutsch‎eesti‎English (United Kingdom)‎español‎Filipino‎français‎hrvatski‎Indonesia‎italiano‎latviešu‎lietuvių"&amp;"‎magyar‎Nederlands‎norsk‎polski‎português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Enab"&amp;"le Dark Mode    Send feedback about our Help Center   Send feedback on... This help content &amp; information General Help Center experience       Google appsMain menu    6861963210886545854                true       Search Help Center  true   true   true    "&amp;"        true true 102095       false                  false")</f>
        <v>Google Help   Skip to main content   Google HelpSign inGoogle HelpHelp CenterGooglePrivacy PolicyTerms of ServiceSubmit feedback Send feedback on...This help content &amp; informationGeneral Help Center experienceNextGoogle  How can we help you?        Read about Google's response to COVID-19  Choose a Google productGoogle ChromeGoogle AccountYouTubeGmailGoogle PlayGoogle SearchGoogle AdSensePixel PhoneGoogle MapsGoogle CloudGoogle AdsGoogle PhotosGoogle For FamiliesGoogle Fi WirelessGoogle NestGoogle PayGoogle StoreGoogle DriveGoogle ShoppingGoogle AccessibilityConsumerBloggerFinanceGoogle EarthGoogle MapsGmailPicasaToolbarGoogle SearchGoogle CalendarGoogle Docs EditorsBooksGoogle GroupsYouTubeTrendsAndroidSitesGoogle ChromeGoogle DriveGoogle VoiceGoogle TranslateChromebookGoogle TVGoogle PlayMy MapsChrome Web StoreTravelGoogle FiberNexusAdsNik CollectionChromecastSnapseedGoogle KeepStarbucks WiFiGoogle Fi WirelessWazeWear OS by GoogleGoogle FitYouTube For Families HelpGoogle StoreChromecast built-inGoogle PhotosAndroid AutoAndroid TVGoogle For FamiliesGoogle CameraGoogle WifiLocal GuidesYouTube MusicYouTube Studio App Help CenterGoogle CardboardGoogle DuoDatallyGoogle NestYouTube TVGoogle ClipsPixel PhoneOpinion RewardsDaydreamGoogle AssistantFiles by GoogleCS FirstGoogle ChatPixelbookMessagesReserve with GooglePhone appGboardContactsGoogle OneGoogle TasksGoogle NewsGoogle AccessibilityScience JournalGoogle ShoppingStadiaGoogle PayGoogle Food OrderingGoogle Kids SpaceUser SecurityGoogle Workspace IndividualGoogle Pixel WatchGoogle WalletARGoogle Pixel TabletBusinessGoogle Ads EditorGoogle Workspace AdminBooksSearch ConsoleProgrammable Search EnginePublisher CenterAd GrantsGoogle WorkspaceGoogle AdsGoogle CloudStudioGoogle AdSenseAuthorized BuyersMaps Content PartnersGoogle Merchant CenterGoogle Ad ManagerAnalyticsCurrentsTransit PartnersGlobal Market FinderGoogle for NonprofitsSearch Ads 360Chrome Enterprise and EducationGoogle AdMobGoogle VaultGoogle Business ProfileHotel CenterDisplay &amp; Video 360Campaign Manager 360Google DomainsGoogle Pay MerchantGoogle Cloud Platform ConsoleGoogle Arts &amp; Culture PlatformAndroid EnterpriseCloud SearchGoogle Marketing PlatformCardboard ManufacturerCard IssuerGoogle MeetJamboardGoogle Pay for Online BusinessLocal ServicesWork InsightsComparison Shopping Services CenterElastifileCEWAAppSheetAds Creative StudioOrion WifiDeveloperPlay ConsoleGDGGoogle Web DesignerCast DeveloperreCAPTCHAPayments centerPayment ProcessorsYour accountCan't access your account?Recent transactions with GoogleUseful stuff you can do with GoogleHelp CommunitiesLearn more aboutGoogle's Product Experts ProgramStatus dashboardIf you're having trouble accessing a Google product there's a chance we're currently experiencing a temporary problem. You can check for outages and downtime on the G Suite Status Dashboard.     false        ©2023 Google   Privacy Policy   Terms of Service     català‎dansk‎Deutsch‎eesti‎English (United Kingdom)‎español‎Filipino‎français‎hrvatski‎Indonesia‎italiano‎latviešu‎lietuvių‎magyar‎Nederlands‎norsk‎polski‎português (Brasil)‎română‎slovenčina‎slovenščina‎suomi‎svenska‎Tiếng Việt‎Türkçe‎íslenska‎čeština‎Ελληνικά‎български‎русский‎српски‎українська‎‏עברית‏اردو‏العربية‏فارسیहिन्दी‎ไทย‎中文（简体）‎中文（繁體）‎日本語‎한국어‎ English‎         Enable Dark Mode    Send feedback about our Help Center   Send feedback on... This help content &amp; information General Help Center experience       Google appsMain menu    6861963210886545854                true       Search Help Center  true   true   true            true true 102095       false                  false</v>
      </c>
    </row>
    <row r="85">
      <c r="A85" s="1" t="s">
        <v>204</v>
      </c>
      <c r="B85" s="1" t="s">
        <v>317</v>
      </c>
      <c r="C85" s="1" t="s">
        <v>113</v>
      </c>
      <c r="D85" s="1">
        <v>28.0</v>
      </c>
      <c r="E85" s="4" t="s">
        <v>318</v>
      </c>
      <c r="F85" s="1" t="s">
        <v>43</v>
      </c>
      <c r="G85" s="1" t="s">
        <v>319</v>
      </c>
      <c r="H85" s="4" t="s">
        <v>320</v>
      </c>
      <c r="I85" s="2">
        <v>0.0</v>
      </c>
      <c r="J85" s="5" t="str">
        <f>IFERROR(__xludf.DUMMYFUNCTION("GOOGLETRANSLATE(A85)"),"youtube")</f>
        <v>youtube</v>
      </c>
      <c r="K85" s="6" t="str">
        <f>IFERROR(__xludf.DUMMYFUNCTION("GOOGLETRANSLATE(B85)"),"Montezuma County P&amp;Z Meeting November 9, 2023")</f>
        <v>Montezuma County P&amp;Z Meeting November 9, 2023</v>
      </c>
      <c r="L85" s="5" t="str">
        <f>IFERROR(__xludf.DUMMYFUNCTION("GOOGLETRANSLATE(C85)"),"1 day ago -")</f>
        <v>1 day ago -</v>
      </c>
      <c r="M85" s="5" t="str">
        <f>IFERROR(__xludf.DUMMYFUNCTION("GOOGLETRANSLATE(G85)"),"Montezuma County &lt; Skip to content Board of County Commissioners   Search Search HomeSheriff’s OfficePublic NoticesPublic NoticesRequest for Proposal (RFP) NoticesPlanning Public NoticesDeclarations and ProclamationsResolutions &amp; OrdinancesCurrent Job Ope"&amp;"ningsCalendars &amp; MinutesCalendars &amp; MinutesBoard of Commissioners MinutesCounty CalendarAnnex CalendarCSU Extension CalendarLandfill CalendarFairgrounds CalendarSenior Center CalendarRoad &amp; Bridge CalendarDepartments &amp; ContactsDepartments &amp; ContactsAdmini"&amp;"strationAdministrationCounty AdministratorFinance DepartmentFinance DepartmentAnnual AuditAnnual Final BudgetMonthly Financial StatementsMonthly Accounts PayableHuman ResourcesAssessor’s OfficeAssessor’s OfficeSearch Property RecordsMontezuma County GIS V"&amp;"iewerSample Tax Calculations for Residential Commercial &amp; Vacant PropertiesProtest &amp; Appeal ProceduresAgricultural Land ClassificationGlossary of Assessors Office TermsClerk &amp; RecorderClerk &amp; RecorderElections OfficeSearch County RecordsCSU ExtensionCSU E"&amp;"xtensionCSU AgricultureCSU Natural ResourcesCSU Family and Consumer SciencesCSU 4-H Youth DevelopmentCSU About UsCSU Programming AreasCSU Other ResourcesCSU Extension CalendarDistrict AttorneyFairgroundsFairgroundsMontezuma County FairMontezuma County Fai"&amp;"r BoardRacetrackGIS &amp; MappingGIS &amp; MappingAddressingAvailable GIS MapsDownload GIS DataGIS Terms of UseInformation TechnologyLandfillLandfillRecyclingLandfill Tipping FeesSpecial WastesNatural Resources and Public LandsPlanning &amp; ZoningPlanning &amp; ZoningBu"&amp;"ilding in Montezuma CountyBoard Appointments &amp; TermsPublic HealthPublic HealthSecure Transportation and Licensing InformationCOVID-19 Information and ResourcesFamily ServicesPrevention ServicesEmergency PreparednessEnvironmental HealthCommunities That Car"&amp;"ePublic TransportationRoad &amp; BridgeSenior ServicesSheriff’s OfficeSheriff’s OfficeCivil DivisionDetective DivisionDetention DivisionEvidence and Found PropertyPatrol DivisionPosseRecordsSex OffendersSearch and RescuePolicy ManualSocial ServicesSocial Serv"&amp;"icesAdult Protection ServicesCash Assistance ProgramsChild Protective ServicesChild Support ServicesFood AssistanceFoster a ChildLEAPMedical AssistanceINVESTIGATION UNITSocial Services LinksTreasurer / Public TrusteeNoxious Weed ProgramNoxious Weed Progra"&amp;"mRe-Seeding Grass Recommendations for PasturesVeteran ServicesServicesServicesAttorneyAuditorCoronerCortez Cemetery DistrictDistrict AttorneyDistrict AttorneyAdult Diversion Eligibility RequirementsJuvenile Restorative Justice and Diversion EligibilityVic"&amp;"tim Compensation ProgramOffice of Emergency ManagementSurveyorVeteran ServicesPublic TransportationTreasurer / Public TrusteeOnline ServicesMontezuma County FairLinksLinksMontezuma County FairBehavioral HealthBoard of County Commissioners  MenuHomeSheriff"&amp;"’s OfficePublic NoticesPublic NoticesRequest for Proposal (RFP) NoticesPlanning Public NoticesDeclarations and ProclamationsResolutions &amp; OrdinancesCurrent Job OpeningsCalendars &amp; MinutesCalendars &amp; MinutesBoard of Commissioners MinutesCounty CalendarAnne"&amp;"x CalendarCSU Extension CalendarLandfill CalendarFairgrounds CalendarSenior Center CalendarRoad &amp; Bridge CalendarDepartments &amp; ContactsDepartments &amp; ContactsAdministrationAdministrationCounty AdministratorFinance DepartmentFinance DepartmentAnnual AuditAn"&amp;"nual Final BudgetMonthly Financial StatementsMonthly Accounts PayableHuman ResourcesAssessor’s OfficeAssessor’s OfficeSearch Property RecordsMontezuma County GIS ViewerSample Tax Calculations for Residential Commercial &amp; Vacant PropertiesProtest &amp; Appeal "&amp;"ProceduresAgricultural Land ClassificationGlossary of Assessors Office TermsClerk &amp; RecorderClerk &amp; RecorderElections OfficeSearch County RecordsCSU ExtensionCSU ExtensionCSU AgricultureCSU Natural ResourcesCSU Family and Consumer SciencesCSU 4-H Youth De"&amp;"velopmentCSU About UsCSU Programming AreasCSU Other ResourcesCSU Extension CalendarDistrict AttorneyFairgroundsFairgroundsMontezuma County FairMontezuma County Fair BoardRacetrackGIS &amp; MappingGIS &amp; MappingAddressingAvailable GIS MapsDownload GIS DataGIS T"&amp;"erms of UseInformation TechnologyLandfillLandfillRecyclingLandfill Tipping FeesSpecial WastesNatural Resources and Public LandsPlanning &amp; ZoningPlanning &amp; ZoningBuilding in Montezuma CountyBoard Appointments &amp; TermsPublic HealthPublic HealthSecure Transpo"&amp;"rtation and Licensing InformationCOVID-19 Information and ResourcesFamily ServicesPrevention ServicesEmergency PreparednessEnvironmental HealthCommunities That CarePublic TransportationRoad &amp; BridgeSenior ServicesSheriff’s OfficeSheriff’s OfficeCivil Divi"&amp;"sionDetective DivisionDetention DivisionEvidence and Found PropertyPatrol DivisionPosseRecordsSex OffendersSearch and RescuePolicy ManualSocial ServicesSocial ServicesAdult Protection ServicesCash Assistance ProgramsChild Protective ServicesChild Support "&amp;"ServicesFood AssistanceFoster a ChildLEAPMedical AssistanceINVESTIGATION UNITSocial Services LinksTreasurer / Public TrusteeNoxious Weed ProgramNoxious Weed ProgramRe-Seeding Grass Recommendations for PasturesVeteran ServicesServicesServicesAttorneyAudito"&amp;"rCoronerCortez Cemetery DistrictDistrict AttorneyDistrict AttorneyAdult Diversion Eligibility RequirementsJuvenile Restorative Justice and Diversion EligibilityVictim Compensation ProgramOffice of Emergency ManagementSurveyorVeteran ServicesPublic Transpo"&amp;"rtationTreasurer / Public TrusteeOnline ServicesMontezuma County FairLinksLinksMontezuma County FairBehavioral HealthBoard of County Commissioners Welcome toMontezuma County  Commissioners Agenda BOCC Minutes Online Services Departments News Facebook Yout"&amp;"ube    Spotlight    						PUBLIC NOTICE NOTICE OF COORDINATED ELECTION November 72023					PUBLIC NOTICENOTICE OF COORDINATED ELECTION November 7 2023 TO THE ELECTORS OF MONTEZUMA COUNTY STATE OF COLORADOCOUNTY OF MONTEZUMA ln accordance with											Cli"&amp;"ck to learn more											Montezuma County Emergency Alert System					After recent local problems with the Nixle system as well as the widely publicized issues with the alert and notification											Click to learn more											Resolution No.18-2023 "&amp;"SUSPENSION OF BAN ON OPEN FIRES AND USE OF FIREWORKS					Resolution RESOLUTION NO. 18-2023 SUSPENSION OF BAN ON OPEN FIRES AND USE OF FIREWORKS WHEREAS Montezuma County Ordinance No. 2-2015											Click to learn more											Montezuma County Road and"&amp;" Bridge: Alkali Creek Bridge replacement update					Getting closer!The past couple of weeks have been spent completing small projects at the bridge. D&amp;L Construction is applying a											Click to learn more											Montezuma County Road and Bridge: C"&amp;"ounty Road N will be closed between Roads 21 and 22 beginning May 30 for the replacement of the Alkali Creek bridge.					County Road N will be closed between Roads 21 and 22 beginning May 30 for the replacement of the Alkali											Click to learn more	"&amp;"				  						Montezuma county broadband initiative											Can you help us for a few minutes? Colorado is getting up to $1 billion over five years to improve the internet. Montezuma County and Region 9 want some of this money to improve the ""middle mile"&amp;""" of the internet which is like building a highway before adding smaller connections to homes. They are waiting for a decision about a grant but need to collect information now. We need to know how fast and reliable the internet is in the area. This will"&amp;" help us ask for more money from the State to improve it. Optimap is a data base that collects information about internet speed in different places. Please test your internet speed at home and share this link with your family and friends. Thank you for yo"&amp;"ur help!											Click Here					 Dolly Parton's Imagination LibraryNews  				YouTube: Montezuma County P&amp;Z Meeting November 9 2023						Read More »					November 9 2023						Public Notice – Noxious Weed Advisory Board meeting						Read More »					Novembe"&amp;"r 7 2023						Senior Services November MENU						Read More »					November 6 2023						Road &amp; Bridge Work Calendar- November 2023						Read More »					November 2 2023						Montezuma County Veterans Services Newsletter November 2023						Read More »					Nov"&amp;"ember 1 2023						BOCC Minutes October 24 2023						Read More »					November 1 2023						YouTube: Montezuma County BOCC Meeting October 31 2023						Read More »					October 31 2023						YouTube: Montezuma County BOCC Workshop October 30 2023						Read Mor"&amp;"e »					October 30 2023		 Load MoreNo more posts to show  Sign up for Montezuma County  alerts! Fire RestrictionsAdvisory &amp; Air Quality Forecast Air Quality Index Statewide 						Access and Functional Needs Referral to Montezuma County Office of Emergency"&amp;" Management											Fill the form out Today!											2023 Spring Water Run-off											Click Here					HomeSheriff’s OfficePublic NoticesPublic NoticesRequest for Proposal (RFP) NoticesPlanning Public NoticesDeclarations and ProclamationsResolutions "&amp;"&amp; OrdinancesCurrent Job OpeningsCalendars &amp; MinutesCalendars &amp; MinutesBoard of Commissioners MinutesCounty CalendarAnnex CalendarCSU Extension CalendarLandfill CalendarFairgrounds CalendarSenior Center CalendarRoad &amp; Bridge CalendarDepartments &amp; ContactsD"&amp;"epartments &amp; ContactsAdministrationAdministrationCounty AdministratorFinance DepartmentFinance DepartmentAnnual AuditAnnual Final BudgetMonthly Financial StatementsMonthly Accounts PayableHuman ResourcesAssessor’s OfficeAssessor’s OfficeSearch Property Re"&amp;"cordsMontezuma County GIS ViewerSample Tax Calculations for Residential Commercial &amp; Vacant PropertiesProtest &amp; Appeal ProceduresAgricultural Land ClassificationGlossary of Assessors Office TermsClerk &amp; RecorderClerk &amp; RecorderElections OfficeSearch Count"&amp;"y RecordsCSU ExtensionCSU ExtensionCSU AgricultureCSU Natural ResourcesCSU Family and Consumer SciencesCSU 4-H Youth DevelopmentCSU About UsCSU Programming AreasCSU Other ResourcesCSU Extension CalendarDistrict AttorneyFairgroundsFairgroundsMontezuma Coun"&amp;"ty FairMontezuma County Fair BoardRacetrackGIS &amp; MappingGIS &amp; MappingAddressingAvailable GIS MapsDownload GIS DataGIS Terms of UseInformation TechnologyLandfillLandfillRecyclingLandfill Tipping FeesSpecial WastesNatural Resources and Public LandsPlanning "&amp;"&amp; ZoningPlanning &amp; ZoningBuilding in Montezuma CountyBoard Appointments &amp; TermsPublic HealthPublic HealthSecure Transportation and Licensing InformationCOVID-19 Information and ResourcesFamily ServicesPrevention ServicesEmergency PreparednessEnvironmental"&amp;" HealthCommunities That CarePublic TransportationRoad &amp; BridgeSenior ServicesSheriff’s OfficeSheriff’s OfficeCivil DivisionDetective DivisionDetention DivisionEvidence and Found PropertyPatrol DivisionPosseRecordsSex OffendersSearch and RescuePolicy Manua"&amp;"lSocial ServicesSocial ServicesAdult Protection ServicesCash Assistance ProgramsChild Protective ServicesChild Support ServicesFood AssistanceFoster a ChildLEAPMedical AssistanceINVESTIGATION UNITSocial Services LinksTreasurer / Public TrusteeNoxious Weed"&amp;" ProgramNoxious Weed ProgramRe-Seeding Grass Recommendations for PasturesVeteran ServicesServicesServicesAttorneyAuditorCoronerCortez Cemetery DistrictDistrict AttorneyDistrict AttorneyAdult Diversion Eligibility RequirementsJuvenile Restorative Justice a"&amp;"nd Diversion EligibilityVictim Compensation ProgramOffice of Emergency ManagementSurveyorVeteran ServicesPublic TransportationTreasurer / Public TrusteeOnline ServicesMontezuma County FairLinksLinksMontezuma County FairBehavioral HealthBoard of County Com"&amp;"missioners HomeSheriff’s OfficePublic NoticesPublic NoticesRequest for Proposal (RFP) NoticesPlanning Public NoticesDeclarations and ProclamationsResolutions &amp; OrdinancesCurrent Job OpeningsCalendars &amp; MinutesCalendars &amp; MinutesBoard of Commissioners Minu"&amp;"tesCounty CalendarAnnex CalendarCSU Extension CalendarLandfill CalendarFairgrounds CalendarSenior Center CalendarRoad &amp; Bridge CalendarDepartments &amp; ContactsDepartments &amp; ContactsAdministrationAdministrationCounty AdministratorFinance DepartmentFinance De"&amp;"partmentAnnual AuditAnnual Final BudgetMonthly Financial StatementsMonthly Accounts PayableHuman ResourcesAssessor’s OfficeAssessor’s OfficeSearch Property RecordsMontezuma County GIS ViewerSample Tax Calculations for Residential Commercial &amp; Vacant Prope"&amp;"rtiesProtest &amp; Appeal ProceduresAgricultural Land ClassificationGlossary of Assessors Office TermsClerk &amp; RecorderClerk &amp; RecorderElections OfficeSearch County RecordsCSU ExtensionCSU ExtensionCSU AgricultureCSU Natural ResourcesCSU Family and Consumer Sc"&amp;"iencesCSU 4-H Youth DevelopmentCSU About UsCSU Programming AreasCSU Other ResourcesCSU Extension CalendarDistrict AttorneyFairgroundsFairgroundsMontezuma County FairMontezuma County Fair BoardRacetrackGIS &amp; MappingGIS &amp; MappingAddressingAvailable GIS Maps"&amp;"Download GIS DataGIS Terms of UseInformation TechnologyLandfillLandfillRecyclingLandfill Tipping FeesSpecial WastesNatural Resources and Public LandsPlanning &amp; ZoningPlanning &amp; ZoningBuilding in Montezuma CountyBoard Appointments &amp; TermsPublic HealthPubli"&amp;"c HealthSecure Transportation and Licensing InformationCOVID-19 Information and ResourcesFamily ServicesPrevention ServicesEmergency PreparednessEnvironmental HealthCommunities That CarePublic TransportationRoad &amp; BridgeSenior ServicesSheriff’s OfficeSher"&amp;"iff’s OfficeCivil DivisionDetective DivisionDetention DivisionEvidence and Found PropertyPatrol DivisionPosseRecordsSex OffendersSearch and RescuePolicy ManualSocial ServicesSocial ServicesAdult Protection ServicesCash Assistance ProgramsChild Protective "&amp;"ServicesChild Support ServicesFood AssistanceFoster a ChildLEAPMedical AssistanceINVESTIGATION UNITSocial Services LinksTreasurer / Public TrusteeNoxious Weed ProgramNoxious Weed ProgramRe-Seeding Grass Recommendations for PasturesVeteran ServicesServices"&amp;"ServicesAttorneyAuditorCoronerCortez Cemetery DistrictDistrict AttorneyDistrict AttorneyAdult Diversion Eligibility RequirementsJuvenile Restorative Justice and Diversion EligibilityVictim Compensation ProgramOffice of Emergency ManagementSurveyorVeteran "&amp;"ServicesPublic TransportationTreasurer / Public TrusteeOnline ServicesMontezuma County FairLinksLinksMontezuma County FairBehavioral HealthBoard of County Commissioners  Online ServicesCopyright © 2023. Montezuma County CO. All Rights Reserved. Facebook Y"&amp;"outube Skip to contentOpen toolbarAccessibility Tools Accessibility ToolsIncrease TextIncrease Text Decrease TextDecrease Text GrayscaleGrayscale High ContrastHigh Contrast Negative ContrastNegative Contrast Light BackgroundLight Background Links Underlin"&amp;"eLinks Underline Readable FontReadable Font ResetResetSitemapSitemap ")</f>
        <v>Montezuma County &lt; Skip to content Board of County Commissioners   Search Search 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MenuHomeSheriff’s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Welcome toMontezuma County  Commissioners Agenda BOCC Minutes Online Services Departments News Facebook Youtube    Spotlight    						PUBLIC NOTICE NOTICE OF COORDINATED ELECTION November 72023					PUBLIC NOTICENOTICE OF COORDINATED ELECTION November 7 2023 TO THE ELECTORS OF MONTEZUMA COUNTY STATE OF COLORADOCOUNTY OF MONTEZUMA ln accordance with											Click to learn more											Montezuma County Emergency Alert System					After recent local problems with the Nixle system as well as the widely publicized issues with the alert and notification											Click to learn more											Resolution No.18-2023 SUSPENSION OF BAN ON OPEN FIRES AND USE OF FIREWORKS					Resolution RESOLUTION NO. 18-2023 SUSPENSION OF BAN ON OPEN FIRES AND USE OF FIREWORKS WHEREAS Montezuma County Ordinance No. 2-2015											Click to learn more											Montezuma County Road and Bridge: Alkali Creek Bridge replacement update					Getting closer!The past couple of weeks have been spent completing small projects at the bridge. D&amp;L Construction is applying a											Click to learn more											Montezuma County Road and Bridge: County Road N will be closed between Roads 21 and 22 beginning May 30 for the replacement of the Alkali Creek bridge.					County Road N will be closed between Roads 21 and 22 beginning May 30 for the replacement of the Alkali											Click to learn more					  						Montezuma county broadband initiative											Can you help us for a few minutes? Colorado is getting up to $1 billion over five years to improve the internet. Montezuma County and Region 9 want some of this money to improve the "middle mile" of the internet which is like building a highway before adding smaller connections to homes. They are waiting for a decision about a grant but need to collect information now. We need to know how fast and reliable the internet is in the area. This will help us ask for more money from the State to improve it. Optimap is a data base that collects information about internet speed in different places. Please test your internet speed at home and share this link with your family and friends. Thank you for your help!											Click Here					 Dolly Parton's Imagination LibraryNews  				YouTube: Montezuma County P&amp;Z Meeting November 9 2023						Read More »					November 9 2023						Public Notice – Noxious Weed Advisory Board meeting						Read More »					November 7 2023						Senior Services November MENU						Read More »					November 6 2023						Road &amp; Bridge Work Calendar- November 2023						Read More »					November 2 2023						Montezuma County Veterans Services Newsletter November 2023						Read More »					November 1 2023						BOCC Minutes October 24 2023						Read More »					November 1 2023						YouTube: Montezuma County BOCC Meeting October 31 2023						Read More »					October 31 2023						YouTube: Montezuma County BOCC Workshop October 30 2023						Read More »					October 30 2023		 Load MoreNo more posts to show  Sign up for Montezuma County  alerts! Fire RestrictionsAdvisory &amp; Air Quality Forecast Air Quality Index Statewide 						Access and Functional Needs Referral to Montezuma County Office of Emergency Management											Fill the form out Today!											2023 Spring Water Run-off											Click Here					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HomeSheriff’s OfficePublic NoticesPublic NoticesRequest for Proposal (RFP) NoticesPlanning Public NoticesDeclarations and ProclamationsResolutions &amp; OrdinancesCurrent Job OpeningsCalendars &amp; MinutesCalendars &amp; MinutesBoard of Commissioners MinutesCounty CalendarAnnex CalendarCSU Extension CalendarLandfill CalendarFairgrounds CalendarSenior Center CalendarRoad &amp; Bridge CalendarDepartments &amp; ContactsDepartments &amp; ContactsAdministrationAdministrationCounty AdministratorFinance DepartmentFinance DepartmentAnnual AuditAnnual Final BudgetMonthly Financial StatementsMonthly Accounts PayableHuman ResourcesAssessor’s OfficeAssessor’s OfficeSearch Property RecordsMontezuma County GIS ViewerSample Tax Calculations for Residential Commercial &amp; Vacant PropertiesProtest &amp; Appeal ProceduresAgricultural Land ClassificationGlossary of Assessors Office TermsClerk &amp; RecorderClerk &amp; RecorderElections OfficeSearch County RecordsCSU ExtensionCSU ExtensionCSU AgricultureCSU Natural ResourcesCSU Family and Consumer SciencesCSU 4-H Youth DevelopmentCSU About UsCSU Programming AreasCSU Other ResourcesCSU Extension CalendarDistrict AttorneyFairgroundsFairgroundsMontezuma County FairMontezuma County Fair BoardRacetrackGIS &amp; MappingGIS &amp; MappingAddressingAvailable GIS MapsDownload GIS DataGIS Terms of UseInformation TechnologyLandfillLandfillRecyclingLandfill Tipping FeesSpecial WastesNatural Resources and Public LandsPlanning &amp; ZoningPlanning &amp; ZoningBuilding in Montezuma CountyBoard Appointments &amp; TermsPublic HealthPublic HealthSecure Transportation and Licensing InformationCOVID-19 Information and ResourcesFamily ServicesPrevention ServicesEmergency PreparednessEnvironmental HealthCommunities That CarePublic TransportationRoad &amp; BridgeSenior ServicesSheriff’s OfficeSheriff’s OfficeCivil DivisionDetective DivisionDetention DivisionEvidence and Found PropertyPatrol DivisionPosseRecordsSex OffendersSearch and RescuePolicy ManualSocial ServicesSocial ServicesAdult Protection ServicesCash Assistance ProgramsChild Protective ServicesChild Support ServicesFood AssistanceFoster a ChildLEAPMedical AssistanceINVESTIGATION UNITSocial Services LinksTreasurer / Public TrusteeNoxious Weed ProgramNoxious Weed ProgramRe-Seeding Grass Recommendations for PasturesVeteran ServicesServicesServicesAttorneyAuditorCoronerCortez Cemetery DistrictDistrict AttorneyDistrict AttorneyAdult Diversion Eligibility RequirementsJuvenile Restorative Justice and Diversion EligibilityVictim Compensation ProgramOffice of Emergency ManagementSurveyorVeteran ServicesPublic TransportationTreasurer / Public TrusteeOnline ServicesMontezuma County FairLinksLinksMontezuma County FairBehavioral HealthBoard of County Commissioners  Online ServicesCopyright © 2023. Montezuma County CO. All Rights Reserved. Facebook Youtube Skip to contentOpen toolbarAccessibility Tools Accessibility ToolsIncrease TextIncrease Text Decrease TextDecrease Text GrayscaleGrayscale High ContrastHigh Contrast Negative ContrastNegative Contrast Light BackgroundLight Background Links UnderlineLinks Underline Readable FontReadable Font ResetResetSitemapSitemap </v>
      </c>
    </row>
    <row r="86">
      <c r="A86" s="1" t="s">
        <v>204</v>
      </c>
      <c r="B86" s="1" t="s">
        <v>321</v>
      </c>
      <c r="D86" s="1">
        <v>29.0</v>
      </c>
      <c r="E86" s="4" t="s">
        <v>322</v>
      </c>
      <c r="F86" s="1" t="s">
        <v>43</v>
      </c>
      <c r="G86" s="1" t="s">
        <v>302</v>
      </c>
      <c r="H86" s="4" t="s">
        <v>303</v>
      </c>
      <c r="I86" s="2">
        <v>0.0</v>
      </c>
      <c r="J86" s="5" t="str">
        <f>IFERROR(__xludf.DUMMYFUNCTION("GOOGLETRANSLATE(A86)"),"youtube")</f>
        <v>youtube</v>
      </c>
      <c r="K86" s="6" t="str">
        <f>IFERROR(__xludf.DUMMYFUNCTION("GOOGLETRANSLATE(B86)"),"YouTube: An Insider's Guide to Climbing the Charts")</f>
        <v>YouTube: An Insider's Guide to Climbing the Charts</v>
      </c>
      <c r="L86" s="5" t="str">
        <f>IFERROR(__xludf.DUMMYFUNCTION("GOOGLETRANSLATE(C86)"),"#VALUE!")</f>
        <v>#VALUE!</v>
      </c>
      <c r="M86" s="5" t="str">
        <f>IFERROR(__xludf.DUMMYFUNCTION("GOOGLETRANSLATE(G86)"),"Google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7">
      <c r="A87" s="1" t="s">
        <v>204</v>
      </c>
      <c r="B87" s="1" t="s">
        <v>323</v>
      </c>
      <c r="D87" s="1">
        <v>30.0</v>
      </c>
      <c r="E87" s="4" t="s">
        <v>324</v>
      </c>
      <c r="F87" s="1" t="s">
        <v>43</v>
      </c>
      <c r="G87" s="1" t="s">
        <v>302</v>
      </c>
      <c r="H87" s="4" t="s">
        <v>303</v>
      </c>
      <c r="I87" s="2">
        <v>1.0</v>
      </c>
      <c r="J87" s="5" t="str">
        <f>IFERROR(__xludf.DUMMYFUNCTION("GOOGLETRANSLATE(A87)"),"youtube")</f>
        <v>youtube</v>
      </c>
      <c r="K87" s="6" t="str">
        <f>IFERROR(__xludf.DUMMYFUNCTION("GOOGLETRANSLATE(B87)"),"YouTube marketing is the result from Google Book")</f>
        <v>YouTube marketing is the result from Google Book</v>
      </c>
      <c r="L87" s="5" t="str">
        <f>IFERROR(__xludf.DUMMYFUNCTION("GOOGLETRANSLATE(C87)"),"#VALUE!")</f>
        <v>#VALUE!</v>
      </c>
      <c r="M87" s="5" t="str">
        <f>IFERROR(__xludf.DUMMYFUNCTION("GOOGLETRANSLATE(G87)"),"Google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88">
      <c r="A88" s="1" t="s">
        <v>204</v>
      </c>
      <c r="B88" s="1" t="s">
        <v>325</v>
      </c>
      <c r="C88" s="1" t="s">
        <v>326</v>
      </c>
      <c r="D88" s="1">
        <v>31.0</v>
      </c>
      <c r="E88" s="4" t="s">
        <v>327</v>
      </c>
      <c r="F88" s="1" t="s">
        <v>43</v>
      </c>
      <c r="G88" s="1" t="s">
        <v>328</v>
      </c>
      <c r="H88" s="4" t="s">
        <v>329</v>
      </c>
      <c r="I88" s="2">
        <v>3.0</v>
      </c>
      <c r="J88" s="5" t="str">
        <f>IFERROR(__xludf.DUMMYFUNCTION("GOOGLETRANSLATE(A88)"),"youtube")</f>
        <v>youtube</v>
      </c>
      <c r="K88" s="6" t="str">
        <f>IFERROR(__xludf.DUMMYFUNCTION("GOOGLETRANSLATE(B88)"),"Account")</f>
        <v>Account</v>
      </c>
      <c r="L88" s="5" t="str">
        <f>IFERROR(__xludf.DUMMYFUNCTION("GOOGLETRANSLATE(C88)"),"Google services, from Chrome to YouTube, work better and help you do more when you're signed in. Your account gives you access to helpful features like ...")</f>
        <v>Google services, from Chrome to YouTube, work better and help you do more when you're signed in. Your account gives you access to helpful features like ...</v>
      </c>
      <c r="M88" s="5" t="str">
        <f>IFERROR(__xludf.DUMMYFUNCTION("GOOGLETRANSLATE(G88)"),"GoogleSearchImagesMapsPlayYouTubeNewsGmailDriveMoreCalendarTranslateMobileBooksShoppingBloggerFinancePhotosDocsEven more »Account OptionsSign inSearch settingsWeb History Advanced searchLearn how Google supports veteransAdvertisingBusiness SolutionsAbout "&amp;"Google© 2023 - Privacy - Terms")</f>
        <v>GoogleSearchImagesMapsPlayYouTubeNewsGmailDriveMoreCalendarTranslateMobileBooksShoppingBloggerFinancePhotosDocsEven more »Account OptionsSign inSearch settingsWeb History Advanced searchLearn how Google supports veteransAdvertisingBusiness SolutionsAbout Google© 2023 - Privacy - Terms</v>
      </c>
    </row>
    <row r="89">
      <c r="A89" s="1" t="s">
        <v>204</v>
      </c>
      <c r="B89" s="1" t="s">
        <v>330</v>
      </c>
      <c r="D89" s="1">
        <v>32.0</v>
      </c>
      <c r="E89" s="4" t="s">
        <v>331</v>
      </c>
      <c r="F89" s="1" t="s">
        <v>43</v>
      </c>
      <c r="G89" s="1" t="s">
        <v>302</v>
      </c>
      <c r="H89" s="4" t="s">
        <v>303</v>
      </c>
      <c r="I89" s="2">
        <v>0.0</v>
      </c>
      <c r="J89" s="5" t="str">
        <f>IFERROR(__xludf.DUMMYFUNCTION("GOOGLETRANSLATE(A89)"),"youtube")</f>
        <v>youtube</v>
      </c>
      <c r="K89" s="6" t="str">
        <f>IFERROR(__xludf.DUMMYFUNCTION("GOOGLETRANSLATE(B89)"),"Wikipedia will explain everything, YouTube will show everything")</f>
        <v>Wikipedia will explain everything, YouTube will show everything</v>
      </c>
      <c r="L89" s="5" t="str">
        <f>IFERROR(__xludf.DUMMYFUNCTION("GOOGLETRANSLATE(C89)"),"#VALUE!")</f>
        <v>#VALUE!</v>
      </c>
      <c r="M89" s="5" t="str">
        <f>IFERROR(__xludf.DUMMYFUNCTION("GOOGLETRANSLATE(G89)"),"Google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90">
      <c r="A90" s="1" t="s">
        <v>332</v>
      </c>
      <c r="B90" s="1" t="s">
        <v>333</v>
      </c>
      <c r="C90" s="1" t="s">
        <v>334</v>
      </c>
      <c r="D90" s="1">
        <v>1.0</v>
      </c>
      <c r="E90" s="4" t="s">
        <v>335</v>
      </c>
      <c r="F90" s="1" t="s">
        <v>16</v>
      </c>
      <c r="G90" s="1" t="s">
        <v>336</v>
      </c>
      <c r="H90" s="4" t="s">
        <v>337</v>
      </c>
      <c r="I90" s="2">
        <v>1.0</v>
      </c>
      <c r="J90" s="5" t="str">
        <f>IFERROR(__xludf.DUMMYFUNCTION("GOOGLETRANSLATE(A90)"),"Avatar 2")</f>
        <v>Avatar 2</v>
      </c>
      <c r="K90" s="6" t="str">
        <f>IFERROR(__xludf.DUMMYFUNCTION("GOOGLETRANSLATE(B90)"),"Avatar: Water Way, 2022 - Description, interesting facts")</f>
        <v>Avatar: Water Way, 2022 - Description, interesting facts</v>
      </c>
      <c r="L90" s="5" t="str">
        <f>IFERROR(__xludf.DUMMYFUNCTION("GOOGLETRANSLATE(C90)"),"After the adoption of the image of the avatar, the soldier Jake Sally becomes the leader of the Na'vi people and takes the mission to protect new friends from selfish ...")</f>
        <v>After the adoption of the image of the avatar, the soldier Jake Sally becomes the leader of the Na'vi people and takes the mission to protect new friends from selfish ...</v>
      </c>
      <c r="M90" s="5" t="str">
        <f>IFERROR(__xludf.DUMMYFUNCTION("GOOGLETRANSLATE(G90)"),"Oh!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91">
      <c r="A91" s="1" t="s">
        <v>332</v>
      </c>
      <c r="B91" s="1" t="s">
        <v>338</v>
      </c>
      <c r="C91" s="1" t="s">
        <v>339</v>
      </c>
      <c r="D91" s="1">
        <v>2.0</v>
      </c>
      <c r="E91" s="4" t="s">
        <v>340</v>
      </c>
      <c r="F91" s="1" t="s">
        <v>16</v>
      </c>
      <c r="G91" s="1" t="s">
        <v>31</v>
      </c>
      <c r="H91" s="4" t="s">
        <v>32</v>
      </c>
      <c r="I91" s="2">
        <v>0.0</v>
      </c>
      <c r="J91" s="5" t="str">
        <f>IFERROR(__xludf.DUMMYFUNCTION("GOOGLETRANSLATE(A91)"),"Avatar 2")</f>
        <v>Avatar 2</v>
      </c>
      <c r="K91" s="6" t="str">
        <f>IFERROR(__xludf.DUMMYFUNCTION("GOOGLETRANSLATE(B91)"),"Avatar: Water Way")</f>
        <v>Avatar: Water Way</v>
      </c>
      <c r="L91" s="5" t="str">
        <f>IFERROR(__xludf.DUMMYFUNCTION("GOOGLETRANSLATE(C91)"),"“Avatar: Water Way” (English Avatar: The Way of Water) is an American epic science fiction film and screenwriter James Cameron, created ...")</f>
        <v>“Avatar: Water Way” (English Avatar: The Way of Water) is an American epic science fiction film and screenwriter James Cameron, created ...</v>
      </c>
      <c r="M91" s="5" t="str">
        <f>IFERROR(__xludf.DUMMYFUNCTION("GOOGLETRANSLATE(G91)"),"Wikipedia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92">
      <c r="A92" s="1" t="s">
        <v>332</v>
      </c>
      <c r="B92" s="1" t="s">
        <v>341</v>
      </c>
      <c r="C92" s="1" t="s">
        <v>342</v>
      </c>
      <c r="D92" s="1">
        <v>3.0</v>
      </c>
      <c r="E92" s="4" t="s">
        <v>343</v>
      </c>
      <c r="F92" s="1" t="s">
        <v>16</v>
      </c>
      <c r="G92" s="1" t="s">
        <v>344</v>
      </c>
      <c r="H92" s="4" t="s">
        <v>345</v>
      </c>
      <c r="I92" s="2">
        <v>1.0</v>
      </c>
      <c r="J92" s="5" t="str">
        <f>IFERROR(__xludf.DUMMYFUNCTION("GOOGLETRANSLATE(A92)"),"Avatar 2")</f>
        <v>Avatar 2</v>
      </c>
      <c r="K92" s="6" t="str">
        <f>IFERROR(__xludf.DUMMYFUNCTION("GOOGLETRANSLATE(B92)"),"Avatar 2: Water Way (2022) Description ...")</f>
        <v>Avatar 2: Water Way (2022) Description ...</v>
      </c>
      <c r="L92" s="5" t="str">
        <f>IFERROR(__xludf.DUMMYFUNCTION("GOOGLETRANSLATE(C92)"),"Avatar 2: Water Way (2022) ... Continuation of the spectacular science fiction epic by James Cameron. Earthlings Jake Sally are looking for his place among an alien ...")</f>
        <v>Avatar 2: Water Way (2022) ... Continuation of the spectacular science fiction epic by James Cameron. Earthlings Jake Sally are looking for his place among an alien ...</v>
      </c>
      <c r="M92" s="5" t="str">
        <f>IFERROR(__xludf.DUMMYFUNCTION("GOOGLETRANSLATE(G92)"),"IVI online cinema - films TV shows and cartoons watch online for free in good quality Ivivable Ivyvyvyanryarthaiarthausbiography Bades -Western -Westernate of the whole family of children of the children -democraticatrofycriminalmic -dimensional dimension"&amp;"s The North -Building Summer Soviet Delights of 2023 Fi films of 2022 Fuel Fuels 2021 2020 Features of 2020 Cleaning Veriatsivi. Routing Twitting, to see the films in the HDDs Subscribe on Smarttvserialyzhanybiosynynynetetetextives of the entire family of"&amp;" children Nyekhriminalmedicinemicemic dramatic adoptional -moman -mantic fantastic phynthintic -Russian -American -American -American -Twen -Summarias of 2023 Saemes of 2022 2021 Saems of 2020, Redinovyvi. Raittensurials In HDDs on Smarttvmultfiltfiltyzha"&amp;"nryanimoboevikodetal, adults of the whole family of children of children from the Children's -SamadiyuzyzyzyziklovyzyklovsikhoriahprospentiStestesistanistStesistanist -Russian -Russian -Trammults 2023 years of 2021 2021 years 2020 The years in the ONIMUMU"&amp;"LTICS in HD, in the HDTV, at the Smarttvpiwatch, take a subscription to the subscription-willcracials of the Iviteoria large money, the nyxygovy girlfriend Ivilada Goldni that the first counterclaims of the steam of the unclean digers (2019) gymnast-call "&amp;"does not happen. noah ""cranes"" exclusive I can’t Ivikho Ivikho Ivikho Ivikho I can’t go to the difficulty of the relationship of the North-Emerine Severini Emericial Heart! A brief course of a happy life-groomed cell (2013) Russian Gorcioline Kinoter Iv"&amp;"i: films in good quality always bring real pleasure to you to refuse to watch an interesting film due to the fact that it was shown in an uncomfortable time? Did you have to look for movies online on the Internet where to watch movies? And to argue with h"&amp;"ome because of the choice of movies for viewing on TV? All these problems remained in the past! Open for yourself movies online in HD quality with Ivi cinema. We do not just free you from the need to go to the cinema or study the television program-visito"&amp;"rs to our resource have much more opportunities. IVIONLINA-Kinotar-this is the largest collection of domestic and foreign films in Runet. Our video text has more than 30 thousand films and videos available for watching online and is constantly updated. Th"&amp;"e online cinema IVI.TV is: the first video service in Russia that allows you to watch movies online in good quality; The ability to postpone watching a movie for a while or start watching a movie online from any moment; Convenient search for films: by the"&amp;" name of the year of production of production or genre; Online films to watch which are not required to install video players or look for codecs; Regularly we add to the site the latest comedies the best films-adventures fighters Films of horror thrillers"&amp;" and historical dramas. Return for yourself the opportunity to watch movies online in excellent quality with the Ivy cinema! Make sure that watching online is simply and convenient! Adventures of a spray-pipe returns unnecessary people calendar MA (s) pap"&amp;"a-Vujnogenda Orlendi Pioneer 3. Hello adult life! Films about real lovers of strict-grains of ae-grader: a new turning point in the exchange of love. Only for adults 30 dates, there are a bitter-Russian multi-part melodrama of memory of the Memory and Mar"&amp;"garitagornical ALSALISA ALLECTION I know your secrets on the Kubaniton Mission Detective Military Militical Militical Films with a High Route of Subscription Series in the Subscription of the NASU SUB Ending Information for partnerships of an advertising "&amp;"agreement of the confidentiality policy of IVI, letters of recommendation are used technologies of the discretion of Ivi and something new films of the science Certificate Care Films TV shows and cartoons without advertising loads BAPP Stores is inGoogle "&amp;"Play, View devices")</f>
        <v>IVI online cinema - films TV shows and cartoons watch online for free in good quality Ivivable Ivyvyvyanryarthaiarthausbiography Bades -Western -Westernate of the whole family of children of the children -democraticatrofycriminalmic -dimensional dimensions The North -Building Summer Soviet Delights of 2023 Fi films of 2022 Fuel Fuels 2021 2020 Features of 2020 Cleaning Veriatsivi. Routing Twitting, to see the films in the HDDs Subscribe on Smarttvserialyzhanybiosynynynetetetextives of the entire family of children Nyekhriminalmedicinemicemic dramatic adoptional -moman -mantic fantastic phynthintic -Russian -American -American -American -Twen -Summarias of 2023 Saemes of 2022 2021 Saems of 2020, Redinovyvi. Raittensurials In HDDs on Smarttvmultfiltfiltyzhanryanimoboevikodetal, adults of the whole family of children of children from the Children's -SamadiyuzyzyzyziklovyzyklovsikhoriahprospentiStestesistanistStesistanist -Russian -Russian -Trammults 2023 years of 2021 2021 years 2020 The years in the ONIMUMULTICS in HD, in the HDTV, at the Smarttvpiwatch, take a subscription to the subscription-willcracials of the Iviteoria large money, the nyxygovy girlfriend Ivilada Goldni that the first counterclaims of the steam of the unclean digers (2019) gymnast-call does not happen. noah "cranes" exclusive I can’t Ivikho Ivikho Ivikho Ivikho I can’t go to the difficulty of the relationship of the North-Emerine Severini Emericial Heart! A brief course of a happy life-groomed cell (2013) Russian Gorcioline Kinoter Ivi: films in good quality always bring real pleasure to you to refuse to watch an interesting film due to the fact that it was shown in an uncomfortable time? Did you have to look for movies online on the Internet where to watch movies? And to argue with home because of the choice of movies for viewing on TV? All these problems remained in the past! Open for yourself movies online in HD quality with Ivi cinema. We do not just free you from the need to go to the cinema or study the television program-visitors to our resource have much more opportunities. IVIONLINA-Kinotar-this is the largest collection of domestic and foreign films in Runet. Our video text has more than 30 thousand films and videos available for watching online and is constantly updated. The online cinema IVI.TV is: the first video service in Russia that allows you to watch movies online in good quality; The ability to postpone watching a movie for a while or start watching a movie online from any moment; Convenient search for films: by the name of the year of production of production or genre; Online films to watch which are not required to install video players or look for codecs; Regularly we add to the site the latest comedies the best films-adventures fighters Films of horror thrillers and historical dramas. Return for yourself the opportunity to watch movies online in excellent quality with the Ivy cinema! Make sure that watching online is simply and convenient! Adventures of a spray-pipe returns unnecessary people calendar MA (s) papa-Vujnogenda Orlendi Pioneer 3. Hello adult life! Films about real lovers of strict-grains of ae-grader: a new turning point in the exchange of love. Only for adults 30 dates, there are a bitter-Russian multi-part melodrama of memory of the Memory and Margaritagornical ALSALISA ALLECTION I know your secrets on the Kubaniton Mission Detective Military Militical Militical Films with a High Route of Subscription Series in the Subscription of the NASU SUB Ending Information for partnerships of an advertising agreement of the confidentiality policy of IVI, letters of recommendation are used technologies of the discretion of Ivi and something new films of the science Certificate Care Films TV shows and cartoons without advertising loads BAPP Stores is inGoogle Play, View devices</v>
      </c>
    </row>
    <row r="93">
      <c r="A93" s="1" t="s">
        <v>332</v>
      </c>
      <c r="B93" s="1" t="s">
        <v>346</v>
      </c>
      <c r="C93" s="1" t="s">
        <v>347</v>
      </c>
      <c r="D93" s="1">
        <v>4.0</v>
      </c>
      <c r="E93" s="4" t="s">
        <v>348</v>
      </c>
      <c r="F93" s="1" t="s">
        <v>16</v>
      </c>
      <c r="G93" s="1" t="s">
        <v>349</v>
      </c>
      <c r="H93" s="4" t="s">
        <v>350</v>
      </c>
      <c r="I93" s="2">
        <v>1.0</v>
      </c>
      <c r="J93" s="5" t="str">
        <f>IFERROR(__xludf.DUMMYFUNCTION("GOOGLETRANSLATE(A93)"),"Avatar 2")</f>
        <v>Avatar 2</v>
      </c>
      <c r="K93" s="6" t="str">
        <f>IFERROR(__xludf.DUMMYFUNCTION("GOOGLETRANSLATE(B93)"),"Avatar: Water Way (2022) - Movie.ru")</f>
        <v>Avatar: Water Way (2022) - Movie.ru</v>
      </c>
      <c r="L93" s="5" t="str">
        <f>IFERROR(__xludf.DUMMYFUNCTION("GOOGLETRANSLATE(C93)"),"The third is the most box office in history ($ 2.3 billion). James Cameron is the only director who put three films with a similar achievement (see Titanic ...")</f>
        <v>The third is the most box office in history ($ 2.3 billion). James Cameron is the only director who put three films with a similar achievement (see Titanic ...</v>
      </c>
      <c r="M93" s="5" t="str">
        <f>IFERROR(__xludf.DUMMYFUNCTION("GOOGLETRANSLATE(G93)"),"Film Portal Movie.ru - All about cinema reviews reviews of the news premiere of the film, Watching online movie and TV shows online best films online the best TV series online best news online in cinemas in the release of serial -wound -premiums of the fi"&amp;"lm collection of Critical Hitsauretes of the Academician Oscaratic films to watch the best films and series. The best films are the best of the best-based Novinka films and serches of articles of the articles of the collection of interviews of the Kino-Bo"&amp;"gox- Office -tank trailetry and seeing a online output of the output of cinema in cinema in cinema premiere -dependent cinema -dependent film election of the criticism of the selection of interviews of the editorial office to watch in the cinema this week"&amp;"15 Main films NOVEMAN FILMENTS that can already be watched by online TV series November November themes. l “Bucanynerki”-retro drama in the spirit of “Bridgertons” November 11 / Text: Gulnaz Davletshorezhendeszaszaszi Code On the film ""Enemy""-a failed s"&amp;"cience fiction drama with Ronan and Meskal on November 11 / Text: Olya of a residential assessment for the film ""Lady Victor"" with Aquafina and Sandra O November November / Text: Yana Televarovalicene Countries for the series ""Last Quest"": Chtonic adv"&amp;"entures In Murino November 10 / Text: Nastasya Gorbachevsk collection Filmic films that can already be watched online November10 / Text: Alikhan there is an Israpovosezsez-gaze of male approval: Reviews for the film “Hotel“ Royal ”” November 10 / Text: Eg"&amp;"or Kozkinsey watched the plate of 2023 -... The word of the kid. Blood on asphalt 2023 -... Frozen 2023 -... Polytechnic 2023 -... FC Rodina 2023 -... Mastodont 2023 -... Last quest 2023 -... Magic site 2023 -... Shurik and ball 2023 -... Sex. Before and "&amp;"after 2023 -... Black cloud 2023 -... Ira 2023 -... Kill Rita 2023 -... Sasha against! 2023 -... Romanovs. The last word 2023 -... Trepachi 2023 -... Poor oligarch 2022 -... Contact 2021 -... Team 2023 -... Gang “Zig PAR” 2023 -... Life on call 2022 -... "&amp;"Anna Asti: the path of the Phoenix 2023 -... Satachny 2023 -... Where wormwood is blooming 2023 -... Theory of big money 2023 -... Lada Gold 2023 -... Let me contact 2023 -... District Center 2023- ... Abrek 2023 -... Once in Abkhazia 2023 -... Poor Abram"&amp;"ovichi 2023 -... Against all 2023 -... Container 2021 -... Alfaromeo 2023 -... The secret of the tailor of 2023 -... Ферри: СериалFerry: De Serie        2023-...							Голубоглазый самурайBlue Eye Samurai        2023-...							И солнце снова взойдет정신병동에도"&amp;" 아침이 와요        2023-...							Весь невидимый нам светAll the Light We Cannot See        2023-...							Онимуша鬼武 者 者 2023 -... For the sake of the whole of humanity, the All Mankind 2019 -... Chemiassons in Chemistry 2023 -... Morning Showotthe Morning Sh"&amp;"ow 2019 -... Bukanerkithe Buccaneers 2023 -... Sentless ! Curses! 2023 -... Popular films of the Online Proplox 2023 Life on Call 2022 after. Forever AVERYTHING 2023 MUCHITHIT MAN 2023 Word of a kid. Blood on asphalt 2023 Mastodont 2023 John WIK 4JOHN WIC"&amp;"K: Chapter 4 2023 Against all 2023 Lada Gold 2023 Holidays 2023 Plaxa 2023 -.. classmates. The production project of Sergei Zhukov from “Hand Up” with his daughter Nika and Agatha Mutsenets ... More about the film2 Film.ru 7 IMDB 6.4 spectators | 9906 Tra"&amp;"iler See on the Advertising 18+ •• CPO Rostelecom INN 7707049388 Identifier: 4CQWVSH9PUKPBGLZDL Advertising 18+ × LIFE A 2022 -... Drama Russia 11 hours 20 minutes 18+ for the owner of an elite escort agency open hunting. A series based on real stories fr"&amp;"om the Telegram channel ""Skeletry"" ... More about the film Film.ru 6.8 IMDB 5.2 spectators | 8911 Trailer watch online advertising 18+ •• • PJSC Mobile TeleSystems TIN 7740000076 Identifier: 4CQWVSH9PUKOXCNZPR Advertising 18+ × after. Forever Averything"&amp;" 2023 Film Drama of the United States Melodrama 1 hour 35 minutes 16+Hardin broke up with Tessa, but the thought of it does not give him rest and he sits on an airplane in Lisbon. The fifth and seems to be the final part of the romantic franchise based on"&amp;" a bestseller more about the film2 Film.ru 4.6 IMDB 6.5 Spectators | 675 trailer look at the advertisement 18+ •• • Rostelecom PJSC TIN 7707049388 Identifier: 4CQWVSH9PUKPBGLZDL Advertising 18+ × Mercenary Man 2023 Film Comedy US Comedy 1 hour 53 minutes "&amp;"Police Polish Police Preservation of Hiring, Arresting those who offers work for the time I want to actually execute the order. Black comedy based on a newspaper article in more detail about the film10 Film.ru 7.8 IMDB 5.7 spectators | 354 Look at the adv"&amp;"ertisement 18+ •• • PJSC Rostelecom INN 7707049388 Identifier: 4CQWVSH9PUKPBGLZDL Advertising 18+ × Word of the kid. Blood on asphalt 2023 The series Drama Russia 18+a new friend and a desire to assert himself lead to a high school student Andrei to the c"&amp;"reation of a criminal group. The multi-part retro epic of Zhora Kryzhovnikov based on the book of Robert Garaev about the Kazan phenomenon ... More about the film 8 Film.ru IMDB 5.5 spectators | 386 trailer look at the advertisement 18+ •• • Rostelecom PJ"&amp;"SC TIN 7707049388 Identifier: 4CQWVSH9PUKPBGLZDL Advertising 18+ × Mastodon 2023 Series Comedy 5 hours 46 minutes 16+ To get acquainted with the adult daughter, the Provincial official moves to Moscow and plunges into the frightening world of modern techn"&amp;"ologies . Fedor Dobronravov in the spiritual comedy on overcoming differences ... More about the film Film.ru 5.2 IMDB 5.9 spectators | 3137 Trailer look at the advertisement 18+ •• • Rostelecom PJSC TIN 7707049388 Identifier: 4CQWVSH9PUKPBGLZDL Advertisi"&amp;"ng 18+ × John UIK 4JOHN WICK: Chapter 4 2023 Film Triller USA zh new extremely powerful enemy. Keanu Reeves and other stars in a tense and stylistically verified continuation of the action-franchisee more about the film 8 Film.ru 7.7 IMDB 6.9 spectators |"&amp;" 2241 Trailer View for 1 ₽ Advertising 18+⋮ Advertising advertiser advertisement: 4CQWVSH9PUMPJUDSAM against all 2023 -... TV series Comedy Russia 10 hours 16+Grandfather Zakhar stubborn owner of a village house fights with developers and neighbors of a n"&amp;"earby multi-storey LCD. Sitkom on the struggle for justice from the creators of the Ivanovo-Ivanovs ... More about the film6 Film.ru 6.4 IMDB 6.0 Viewers | 3159 Trailer See at the Advertising 18+ •• CPO Rostelecom INN 7707049388 Identifier: 4CQWVSH9PUKPBG"&amp;"LZDL Advertising 18+ × Lada Gold2023 Series Detective Melodrama Russia 6 hours 6 hours+ The grandson of a policeman from Togliatti is inherited by a murdered car. Together with the grandson of local authority, guys understand that a car with a surprise. T"&amp;"he dashing criminal comedy about the problematic heritage of the ninety more about the film7 Film.ru 6.6 IMDB 4.2 spectators | 1205 Trailer See online advertising 18+ •• • CTO “Mobile TeleSystems” TIN 7740000076 Identifier: 4CQWVSH9PUKOXEHFX Advertising 1"&amp;"8+ × Holidays 2023 Film Comedy Russia 12+ Outwardly, a successful family is going to celebrate the holiday but revealed secrets risk it risk italing the triumph. Folk comedy with Maria Aronova and Vitaly Haev more about the film Film.ru IMDB 5.4 spectator"&amp;"s | 328 trailer watch online advertising 18+ •• • • Mobile TeleSystems PJSC TIN 7740000076 Identifier: 4CQWVSH9PUKOXEEHFX Advertising 18+ × Output Slue -Beneacon 23Beacon 23 1 Season / 1 episode 12 November 1 season / 1 episode 12 November IS: Sydney 1 se"&amp;"ason / 1 episode 14 Subura forever forever, season And his Muzalma &amp; Oskar 2022 How to deal with sex to have to have 2023 in the web of the Catastopaacid 2023 Winged History Bututterfly Tale 2023 Master Kidmaster Kid 2023 Feelings of Anna 2023 Nefarius 20"&amp;"23 Herthe Childe 2023 ate the priority 2023 obsessed with evilcuando Acecha la Maldad 2023 New wife of my wife NOVIO PARA MIJER 2022 Princess and sorcerer Alazarprincezna Zakletá v Case 2 2022 Agent 044: Operation Garnigent 044: Operation Garni 2023 Tiger"&amp;" 3Tiger 3 2023 Force Majorforce Majeurace 2014 Cardeman us 1787. War 2023 Legend of sambo 2023 Astral. Doubthe Harbinger 2022 Spy on the entire head of the Upeter Five Eight 2023 Book of Solutions Livre des Solutions 2023 My terrible sister 2,2023 Detecti"&amp;"ve Tabotthabo and the Rhino Case 2023 Niche 2022 Step to the dream: once and forever Supreme 2023 Supermozgheads Pace 2023 Dad on the run 2023 Versachete Genius of Gianni Versace Alive 2022 Online Premierly Santa Summithe Summit 2023 JFK: One Day in Ameri"&amp;"cajfk: One Day in America 2023 Feasts 2023 Vityazi 2023 Mom will be against 2023 Pencils VS PICIXELSPENCE ILS VS Pixels 2023 De La Called La Calle 2023 Stand Up &amp; amp; Shout: Songs from a Philly High Schoolstand Up &amp; Shout: Songs from a Philly High School"&amp;" 2023 Bucanynierkithe Buccaneers 2023 Avenger 비질란테 2023 Robbie Williamsrobie Williams 2023 You Weres Y First Boyfriendyou Were My First Boyfriend 2023 The Word of the Boy. Blood on asphalt 2023 Magic site 2023 In search of the beastbutcher's Crossing 2022"&amp;" Colin from accounting agricultural accounts 2022 Devilonokuma Kun 2023 Mystery on MistleToe Lanemy on Mistleto 2023 Kyllerthe Killer ILLER 2023 007: Road to million007: Road to a Million 2023 The Killerthe Killer 2023 Rumble Through The Darkrumble Throug"&amp;"h The Dark 2023 At the Momentat the Moment 2023 Christmas Islandchristmas Island 2023 Curses 2023 a Heidelberg Heidelberg Holyday 2023 Porchay as a woman Like A Butterfly 2018 The Lady Bird Diariesthe Lady Bird Diaries 2023 Murder on the edge of the world"&amp;" Murder at the end of the world 2023 SUBURA forever a Sydneyncis: Sydney: Sydney 2023 YOUR Lucky Day Lucky Day 2023 JFK: What the doctors sawjfk: What the doctors SAW 2023 David Holmes: Malmch Which survival david Holmes: The Boy Who Live 2023 Brawn: incr"&amp;"edible story of formula-1brawn: The Impossible Formula 1 Story 2023 Stamped from the Beginningstamped from the Beginning 2023 Dad is not a star dans les étoilels 2023 in love Love and Deep Water 2023 Best. Christmas. Ever! Best. Christmas. Ever! 2023 A Wo"&amp;"rld Record Christmasa World Record Christmas 2023 ""Monarch"": Heritage of Monsteronarch: Legacy of Monsters 2023 Family Family Affair 2023 Scott Pilgrimi on Gazscott Pilgrim TaKim Off 2023 Rubinrost In 2023 Dashing Through The Snowdashing Through The Sno"&amp;"w 2023 Twin Lovetwin Love 2023 Please Don 'T Destroy: The Treasure of Foggy Mountainase Donat Destroy: The Treasure of Foggy 2023 All-Time Highall-Time High 2023 Navigating Christmasnavigating Cheme MAS 2023 KENNEDYKENNEDY 2023 A Merry Scottish Christmasa"&amp;" Merry Scottish Christmas 2023 The Santa Summithe Santa Summit 2023 Melodrama Film Film The USA is more detail about the film Film.ru 7.1 IMDB spectators JFK: One Day in Americajfk: One Day in America 2023 Series Documentary US Great Britain about the fil"&amp;"m Film.ru 7.6 IMDB 5.8 Spectators | 2 trailer holidays 2023 Series Comedy Russia 5 hours 52 minutes 16+in the center of the plot - a simple Russian family living in a small town of Central Russia. The characters of the series are so ... More about the fil"&amp;"m Film.ru IMDB 5.7 spectators | 548 NTV-plus: 7 days free advertising 18+ •• • • • • • • `` `` `` `` `` `` `` `` `` `` `` `` `` `` `` `` iled 4cqwvszh9pukpqrqweg 18+ × Vityazi 2023 Historical Russia 6 hours 40 minutes 18+ Old Russian specialized Film.ru 4"&amp;" IMDB 5.0 spectators | 128 trailer, look at the advertisement of 18+ •• • Rostelecom PJSC TIN 7707049388 Identifier: 4CQWVSH9PUKPBGLZDL Advertising 18+ × Olga Vuzov2023 The series of reality shows Russia 36 minutes 12+ Buzova program is dedicated to techn"&amp;"ical education in Russia. Its goal is to help high school students decide on the educational ... More about the film Film.ru IMDB 5.3 spectators | 2 trailermams will be against 2023 Comedy Russia 5 hours 12 minutes 16+loader Kolya drops the box on the sal"&amp;"eswoman Natasha. Her squabble mother threatens to dismiss the guy and he decides to stir up with Natasha ... ... Read more about Film.ru 7.6 IMDB 5.2 spectators | 1394 TrailerPenCils vs PixelSpenCils vs Pixels 2023 Film Cartoons Biographical Documentary U"&amp;"SA 2 hours 25 minutes more about Film.ru 7 IMDB 5.6 spectators | 2 trailer La Called La Calle 2023 Series Documentary US SPECTION OF THE FILM.ru IMDB Spectators Stand Up &amp; AMP; Shout: Songs from a Philly High Schoolstand Up &amp; Shout: Songs from a Philly Hi"&amp;"gh School 2023 Film Documentary USA 1 hour 28 minutes about the film Film.ru IMDB spectators Trailelerbukanerkithe Buccaneeers 2023-... Series Drama UKK Tania 3 hours 32 minutes 18+Victorian London of the 1870s. A group of American girls is faced with the"&amp;" Puritan traditions of the British. Hearts ... Read more about the film7 Film.ru 6.9 IMDB 5.5 spectators | 30 TrailelerMter 비질란테 2023 -... Series Air Triller South Korea 8 hours 0 minimum wiring student of the Police Academy on weekends takes justice in t"&amp;"heir own hands and punishes criminals who received ... more about the film Film.ru 7.7 IMDB 6.7 Spectators | 20 Robbie Williamsrobie Williams 2023 series Biographical Documentary Music Great Britain more about the film Film.ru 7.7 IMDB 6.5 Spectators | 1 "&amp;"Trailelerou Were My First Boyfriendo Were My First Boyfried 2023 Documentary US Film 1 hour 37 minutes about the film Film.ru 8.5 IMDB Viewers of the TriLALLER OF THE CASAN. Blood on asphalt 2023 The series Drama Russia 18+a new friend and a desire to ass"&amp;"ert himself lead to a high school student Andrei to the creation of a criminal group. The multi-part retro epic of Zhora Kryzhovnikov based on the book of Robert Garaev about the Kazan phenomenon ... More about the film 8 Film.ru IMDB 5.5 spectators | 386"&amp;"                                    Трейлер                  Смотрите на  					РЕКЛАМА 18+					•••								ПАО «РОСТЕЛЕКОМ» ИНН 7707049388 ИДЕНТИФИКАТОР: 4CQwVszH9pUkpBGLzDL													РЕКЛАМА 18+  						   × Волшебный участок2023 сериал боевик детектив к"&amp;"омедия фэнтези Россия 7 часов 4 минуты 18+Снайпер Леха против Бабы Яги Змея Горыныча и всей русской нечисти. Fairytale comedy about the hero of our time ... ... More about the film Film.ru IMDB 7.4 spectators | 242 Trailer View for 1 ₽ Advertising 18+⋮ Ad"&amp;"vertising advertiser advertisement: 4CQWVSH9PUMPJUDSAM in search of the beastCher's Crossing 2022 Film Western Drama of the United States 1 hour 35 minutes throws her studies to Harvard to go to the rocky mountains of Colorado along with bizons hunters. H"&amp;"e does not know how ... Read more about Film.ru 5.9 IMDB 7.1 Viewers | 12 Trailercoline from accounting department from Accounts 2022 -... TV series Comedy Australia 3 hours 38 minutes of EXHERSH (Harriet Dayer) and Gordon (Patrick Brammell)-two lonely an"&amp;"d complex people of which brought together ... More about the film Film.ru 8.1 IMDB 7.4 Spectators | 14 Trailerediolonokumama Kun 2023 series anime cartoons of fantasy adventure Japanese more about the film Film.ru IMDB 6.5 spectators | 1 Mystery on Mistl"&amp;"eto LanemyStery on Mistletoe Lane 2023 Film Detective US Detective about Film.ru IMDB Spectators Killerthe Killer 2023 Film Filler Triller USA France 1 hour 58 minute killer (Michael Fassbender) is experiencing psychological crisis, lane. More about the f"&amp;"ilm7 Film.ru 7.4 IMDB 5.8 Spectators | 39 trailer007: Road to million007: Road to a Million 2023 -... Series Game show adventures of reality shows UK USA 6 hours 32 minutes 32 Minute-players are eighteen-nine pairs of two participants-ready to fight for a"&amp;" cash prize of one million ... Read more about the film Film.ru 2.8 IMDB 6.4 spectators | 1 Trailerthe Killerthe Killer 2023 Film Movies USA 1 hour 46 minutes more about Film.ru IMDB film Rumble Through The Darkrumble Through The Dark 2023 Film Triller US"&amp;"A He Moment 2023 Series Drama Taiwanza melodrama about Film.ru IMDB film Trailerchristmas Islandchristmas Island 2023 Melodrama Film Canada is in more detail about Film.ru IMDB Viewers Curses Curse 2023 —... TV series USA Comedy 8 hours 16 Minute, talk ab"&amp;"out the spouses of Ashley (Naintan Fielder) and ITETI (Emma Stone ) Siegels that create a reality show “Philanthropy” .... Read more about the film Film.ru 7.1 IMDB 6.0 spectators | 2 trailer Heidelberg Holidya Heidelberg Holid 2023 Film Melodrama Family "&amp;"Germany USA 1 hour 24 minutes about the film Film.ru IMDB Viewers Trailer -Porpyt as a butterflyfluat Like a Butterfly 2018 Film Drama Historical Sports 1 hour 47 minutes, a strong and relevant story about a girl who fought for a girl who fought for a gir"&amp;"l who fought your freedom And a vocation. As in the classic film &amp; quot ... Read more about Film.ru 5.9 IMDB, the viewers of The Lady Bird Diariesthe Lady Bird Diaries 2023 Film Documentary 1 hour 30 minutes about the film Film.ru 8.8 IMDB Viewers Treileh"&amp;"rubium on the edge of the world Murder at the end of the World 2023 Series Detective Triller of the United States Iceland 6 hours 40 minute Darbi Hart (Emma Corrin) goes to the distant island of billionaire Andy (Clive Owen). Later one of the guests ... R"&amp;"ead more about the film Film.ru IMDB Viewers of Trailersyubur forever the SuburrrrrrrrrrrNA 2023 -... The series action movie Drama Melodrama Thriller Italy 6 hours 40 hours Rome reigns chaos. Existing unions are threatened due to exacerbation of relation"&amp;"s with new criminal clans. For ... Read more about the film Film.ru IMDB Viewers of the Trailer-Sea Police: Sydneyncis: Sydney 2023 -... TV series Triller USA 8 hours 0 more about the film Film.ru IMDB 5.5 Spectators | 2 Traileler Lucky Dayor Lucky Day 20"&amp;"23 Film TRILLER USA 1 hour 29 minutes about Film.ru David Holmes: The boy who survived David Holmes: The Boy Who Lved 2023 Documentary US Film 1 hour 28 minutes HBO and Sky will tell about David Holmes- Dubblere Daniel Radcliffe in Harry films ... Read mo"&amp;"re about Film.ru 1brawn: The Impossible Formula 1 Story 2023 Series Documentary Sports of the United States UK about the Film.ru IMDB film Trailerystamped from the Beginingstamped from The Beginning 2023 Film Documentary 1 hour 40 minutes about the film F"&amp;"ilm.ru 6.7 IMDB Viewers Dad is not a star tête dans les étoiles 2023 Film Comedy France 1 hour 31 minutes 16+courier accidentally falls aboard the International Space Station. He quickly becomes a world star and a hero for ... Read more about Film.ru 4.7 "&amp;"IMDB 5.2 spectators | 234 Trailer of love and deep waterin Love and Deep Water 2023 Film Detective Comedy Melodrama Japan 1 hour 55 minutes more about the film Film.ru IMDB Viewers Trailerbest. Christmas. Ever! Best. Christmas. Ever! 2023 Film Comedy Melo"&amp;"drama USA 1 hour 41 minute about Film.ru IMDB movie A World Record Christmasa World Record Christmas 2023 Film Drama Canada 1 hour 24 minutes about the film Film.ru IMDB Viewers Monarch: Legacy of Monsters Heritage 2023- ... TV series Antholler Adventure "&amp;"Fiction USA Japan-Off films about Godzilla. The action takes place for 50 years. Military officer Li Show (Kurt Russell) is connected with ... Read more about Film.ru IMDB. Viewers trailers family business Family Affair 2023 Film Comedy Melodrama USA 1 ho"&amp;"ur 36 minutes about a love triangle between mother (Nicole Kidman) daughter (Joey King) and her Hollywood Head of Hollywood ... Read more about Film.ru IMDB, Viewers Scott Pilgrim Gazes on Gazscott Pilgrim Takes Off 2023 TV series Culti-adventure Japan Ca"&amp;"nadia Canadia version ""Scott Piligrim"" Edgara Wright. Trailelerrastinrustin 2023 Film Biographical Drama Historical USA 2 hours 1 minute 18+Biographical ribbon about Bayard Rabina-American activist of the 1960s and the closest comrade-in-arms of Martin "&amp;"Luther ... Read more about Film.ru 6.6 IMDB 6.3 spectators | 1 Trailerdashing Through The Snowdashing Through The Snow 2023 Film Family Fantasy Family 1 hour 35 minutes about Film.ru IMDB Viewers Trailertwin Lovetwin Love 2023 Series Melodrama U.S. Lerple"&amp;"ase Donmet Destroy: The Treasure of foggy mountinplease Donat Destroy: The Treasure of Foggy Mountain 2023 Film Comedy more in more detail about Film.ru IMDB Viewers Trailell-Time Highall-Time High 2023 Film MDB spectators Navigating Christmasnavigating C"&amp;"hristmas 2023 фильм мелодрама СШАПодробнее о фильме                    film.ru                                    IMDb                                    зрители                                    KennedyKennedy 2023 сериал биографический документальный и"&amp;"сторический СШАПодробнее о фильме                    film.ru                                    IMDb                                    зрители                                    A Merry Scottish ChristmasПодробнее о фильме                    film.ru     "&amp;"                               IMDb                                    зрители                                    Популярные рецензииЕЩЕРецензия на 12-й сезон «Американской истории ужасов: Нежность»: Kim Kardashian Kozla and childbirth on November 4 / Tex"&amp;"t: Nastasya Gorbachevsky Reenses for the series ""Pluto"" from Netflix - one of the best anime of 2023 on October30 / Text: Alikhan Israpilov ""Dryan"" in Russian realities: why not watch the series ""Ira""? October 14 / October 14 Text: Julia Salihovarez"&amp;"enses for the second season of the series “Loki” - a depressing continuation of the adventures of the former villain Marvel October / Text: Olya Smolinarezhendas for the film “Klyk”: Aaron Eckhart takes revenge on the dog on October 23 / Text: Andrey Volk"&amp;"ovrezensesen for the film “Telefield on freelance” - comedy - comedy Action with John Sina in the title role of October 20 / Text: Gulnaz Davltshtinzhesezseza for Generation “Vi”-the second spin-off of legendary “boys” on October 13 / Text: Yana Televanov"&amp;"o, November 11, Zach Efron reacted to the proposal to play Matthew Perry in Bayopica on November 11 The Puzzle 2 trailer became the most popular in the history of Disney on November 11, the SAG board of directors approved a new deal with producers on Nove"&amp;"mber 11, the teaser of the series “Bratsk Sun” with Michelle Yeo Jarmush will shoot a new film in Paris on November 11 “Barbie” Grammy nominees the best new trailetry worker (film 2024) Tisader-trailer (English) Orion and darkness (film 2024) Trailer (Eng"&amp;"lish) Arken (TV series 2021) Season 2: Date (English) puzzle 2 (film 2024 )            Тизер-трейлер (англ.)        КоллекцииЕЩЕНарисованное кино                  1 сериал5 фильмов                    2188Лучшие фильмы 2021 года по версии журнала Wired    "&amp;"              9 фильмов                    1328Самые скандальные американские фильмы                  66 фильмов                    10849100 лучших фильмов ужасов по версии Time Out                  100 фильмов                    259243Лучшие британские с"&amp;"ериалы 2022 года по версии BFI                  9 сериалов3 фильма 725 Best Films of 2022 according to Metacritic 30 films 1492 laureates of the Oscar for the best female role 98 films 4804 WHOLEDICES SXSW 27 Films 529 Best films of the 2000s 52326100 BBC"&amp;" 100 films 18130 films-nominees for Oscar "" In 2023, 38 films 1245550 of the best series of the XXI century according to Film.ru 48 TV shows 31721100 Best Russian and Soviet films according to Empire 100 films 110178 Oscar in the category ""Best makeup a"&amp;"nd hairstyles"" 41 Movies 1266 are the best surreal films 45 films 1837325 Greater Movies 1837325 According to AFI 25 films 439, Musicals, also orderly about the project of the printing of the printing of the Perekalzenisenyevisenyevis -Kontakteok.rudk.ru"&amp;"dex dzentelegram Film.ru is registered by the Federal Service for Supervision of Information Technologies and Mass Communications (Roskomnadzor). Certificate of EL No. FS77-82172 dated 10.11.2021. © 2023 Film.ru-All about cinema reviews Reviews News Premi"&amp;"ere of Films to Make Material If you want to offer us material for publication or cooperation write us a letter and if it seems important to us, we will answer you the current of one or two days. If your question cannot be resolved by mail to the editoria"&amp;"l office, you can call. Letters address: Partner@film.ru Editor's phone: 8 (495) 229-62-00 Postering what exactly does it seem to you unacceptable in this comment?")</f>
        <v>Film Portal Movie.ru - All about cinema reviews reviews of the news premiere of the film, Watching online movie and TV shows online best films online the best TV series online best news online in cinemas in the release of serial -wound -premiums of the film collection of Critical Hitsauretes of the Academician Oscaratic films to watch the best films and series. The best films are the best of the best-based Novinka films and serches of articles of the articles of the collection of interviews of the Kino-Bogox- Office -tank trailetry and seeing a online output of the output of cinema in cinema in cinema premiere -dependent cinema -dependent film election of the criticism of the selection of interviews of the editorial office to watch in the cinema this week15 Main films NOVEMAN FILMENTS that can already be watched by online TV series November November themes. l “Bucanynerki”-retro drama in the spirit of “Bridgertons” November 11 / Text: Gulnaz Davletshorezhendeszaszaszi Code On the film "Enemy"-a failed science fiction drama with Ronan and Meskal on November 11 / Text: Olya of a residential assessment for the film "Lady Victor" with Aquafina and Sandra O November November / Text: Yana Televarovalicene Countries for the series "Last Quest": Chtonic adventures In Murino November 10 / Text: Nastasya Gorbachevsk collection Filmic films that can already be watched online November10 / Text: Alikhan there is an Israpovosezsez-gaze of male approval: Reviews for the film “Hotel“ Royal ”” November 10 / Text: Egor Kozkinsey watched the plate of 2023 -... The word of the kid. Blood on asphalt 2023 -... Frozen 2023 -... Polytechnic 2023 -... FC Rodina 2023 -... Mastodont 2023 -... Last quest 2023 -... Magic site 2023 -... Shurik and ball 2023 -... Sex. Before and after 2023 -... Black cloud 2023 -... Ira 2023 -... Kill Rita 2023 -... Sasha against! 2023 -... Romanovs. The last word 2023 -... Trepachi 2023 -... Poor oligarch 2022 -... Contact 2021 -... Team 2023 -... Gang “Zig PAR” 2023 -... Life on call 2022 -... Anna Asti: the path of the Phoenix 2023 -... Satachny 2023 -... Where wormwood is blooming 2023 -... Theory of big money 2023 -... Lada Gold 2023 -... Let me contact 2023 -... District Center 2023- ... Abrek 2023 -... Once in Abkhazia 2023 -... Poor Abramovichi 2023 -... Against all 2023 -... Container 2021 -... Alfaromeo 2023 -... The secret of the tailor of 2023 -... Ферри: СериалFerry: De Serie        2023-...							Голубоглазый самурайBlue Eye Samurai        2023-...							И солнце снова взойдет정신병동에도 아침이 와요        2023-...							Весь невидимый нам светAll the Light We Cannot See        2023-...							Онимуша鬼武 者 者 2023 -... For the sake of the whole of humanity, the All Mankind 2019 -... Chemiassons in Chemistry 2023 -... Morning Showotthe Morning Show 2019 -... Bukanerkithe Buccaneers 2023 -... Sentless ! Curses! 2023 -... Popular films of the Online Proplox 2023 Life on Call 2022 after. Forever AVERYTHING 2023 MUCHITHIT MAN 2023 Word of a kid. Blood on asphalt 2023 Mastodont 2023 John WIK 4JOHN WICK: Chapter 4 2023 Against all 2023 Lada Gold 2023 Holidays 2023 Plaxa 2023 -.. classmates. The production project of Sergei Zhukov from “Hand Up” with his daughter Nika and Agatha Mutsenets ... More about the film2 Film.ru 7 IMDB 6.4 spectators | 9906 Trailer See on the Advertising 18+ •• CPO Rostelecom INN 7707049388 Identifier: 4CQWVSH9PUKPBGLZDL Advertising 18+ × LIFE A 2022 -... Drama Russia 11 hours 20 minutes 18+ for the owner of an elite escort agency open hunting. A series based on real stories from the Telegram channel "Skeletry" ... More about the film Film.ru 6.8 IMDB 5.2 spectators | 8911 Trailer watch online advertising 18+ •• • PJSC Mobile TeleSystems TIN 7740000076 Identifier: 4CQWVSH9PUKOXCNZPR Advertising 18+ × after. Forever Averything 2023 Film Drama of the United States Melodrama 1 hour 35 minutes 16+Hardin broke up with Tessa, but the thought of it does not give him rest and he sits on an airplane in Lisbon. The fifth and seems to be the final part of the romantic franchise based on a bestseller more about the film2 Film.ru 4.6 IMDB 6.5 Spectators | 675 trailer look at the advertisement 18+ •• • Rostelecom PJSC TIN 7707049388 Identifier: 4CQWVSH9PUKPBGLZDL Advertising 18+ × Mercenary Man 2023 Film Comedy US Comedy 1 hour 53 minutes Police Polish Police Preservation of Hiring, Arresting those who offers work for the time I want to actually execute the order. Black comedy based on a newspaper article in more detail about the film10 Film.ru 7.8 IMDB 5.7 spectators | 354 Look at the advertisement 18+ •• • PJSC Rostelecom INN 7707049388 Identifier: 4CQWVSH9PUKPBGLZDL Advertising 18+ × Word of the kid. Blood on asphalt 2023 The series Drama Russia 18+a new friend and a desire to assert himself lead to a high school student Andrei to the creation of a criminal group. The multi-part retro epic of Zhora Kryzhovnikov based on the book of Robert Garaev about the Kazan phenomenon ... More about the film 8 Film.ru IMDB 5.5 spectators | 386 trailer look at the advertisement 18+ •• • Rostelecom PJSC TIN 7707049388 Identifier: 4CQWVSH9PUKPBGLZDL Advertising 18+ × Mastodon 2023 Series Comedy 5 hours 46 minutes 16+ To get acquainted with the adult daughter, the Provincial official moves to Moscow and plunges into the frightening world of modern technologies . Fedor Dobronravov in the spiritual comedy on overcoming differences ... More about the film Film.ru 5.2 IMDB 5.9 spectators | 3137 Trailer look at the advertisement 18+ •• • Rostelecom PJSC TIN 7707049388 Identifier: 4CQWVSH9PUKPBGLZDL Advertising 18+ × John UIK 4JOHN WICK: Chapter 4 2023 Film Triller USA zh new extremely powerful enemy. Keanu Reeves and other stars in a tense and stylistically verified continuation of the action-franchisee more about the film 8 Film.ru 7.7 IMDB 6.9 spectators | 2241 Trailer View for 1 ₽ Advertising 18+⋮ Advertising advertiser advertisement: 4CQWVSH9PUMPJUDSAM against all 2023 -... TV series Comedy Russia 10 hours 16+Grandfather Zakhar stubborn owner of a village house fights with developers and neighbors of a nearby multi-storey LCD. Sitkom on the struggle for justice from the creators of the Ivanovo-Ivanovs ... More about the film6 Film.ru 6.4 IMDB 6.0 Viewers | 3159 Trailer See at the Advertising 18+ •• CPO Rostelecom INN 7707049388 Identifier: 4CQWVSH9PUKPBGLZDL Advertising 18+ × Lada Gold2023 Series Detective Melodrama Russia 6 hours 6 hours+ The grandson of a policeman from Togliatti is inherited by a murdered car. Together with the grandson of local authority, guys understand that a car with a surprise. The dashing criminal comedy about the problematic heritage of the ninety more about the film7 Film.ru 6.6 IMDB 4.2 spectators | 1205 Trailer See online advertising 18+ •• • CTO “Mobile TeleSystems” TIN 7740000076 Identifier: 4CQWVSH9PUKOXEHFX Advertising 18+ × Holidays 2023 Film Comedy Russia 12+ Outwardly, a successful family is going to celebrate the holiday but revealed secrets risk it risk italing the triumph. Folk comedy with Maria Aronova and Vitaly Haev more about the film Film.ru IMDB 5.4 spectators | 328 trailer watch online advertising 18+ •• • • Mobile TeleSystems PJSC TIN 7740000076 Identifier: 4CQWVSH9PUKOXEEHFX Advertising 18+ × Output Slue -Beneacon 23Beacon 23 1 Season / 1 episode 12 November 1 season / 1 episode 12 November IS: Sydney 1 season / 1 episode 14 Subura forever forever, season And his Muzalma &amp; Oskar 2022 How to deal with sex to have to have 2023 in the web of the Catastopaacid 2023 Winged History Bututterfly Tale 2023 Master Kidmaster Kid 2023 Feelings of Anna 2023 Nefarius 2023 Herthe Childe 2023 ate the priority 2023 obsessed with evilcuando Acecha la Maldad 2023 New wife of my wife NOVIO PARA MIJER 2022 Princess and sorcerer Alazarprincezna Zakletá v Case 2 2022 Agent 044: Operation Garnigent 044: Operation Garni 2023 Tiger 3Tiger 3 2023 Force Majorforce Majeurace 2014 Cardeman us 1787. War 2023 Legend of sambo 2023 Astral. Doubthe Harbinger 2022 Spy on the entire head of the Upeter Five Eight 2023 Book of Solutions Livre des Solutions 2023 My terrible sister 2,2023 Detective Tabotthabo and the Rhino Case 2023 Niche 2022 Step to the dream: once and forever Supreme 2023 Supermozgheads Pace 2023 Dad on the run 2023 Versachete Genius of Gianni Versace Alive 2022 Online Premierly Santa Summithe Summit 2023 JFK: One Day in Americajfk: One Day in America 2023 Feasts 2023 Vityazi 2023 Mom will be against 2023 Pencils VS PICIXELSPENCE ILS VS Pixels 2023 De La Called La Calle 2023 Stand Up &amp; amp; Shout: Songs from a Philly High Schoolstand Up &amp; Shout: Songs from a Philly High School 2023 Bucanynierkithe Buccaneers 2023 Avenger 비질란테 2023 Robbie Williamsrobie Williams 2023 You Weres Y First Boyfriendyou Were My First Boyfriend 2023 The Word of the Boy. Blood on asphalt 2023 Magic site 2023 In search of the beastbutcher's Crossing 2022 Colin from accounting agricultural accounts 2022 Devilonokuma Kun 2023 Mystery on MistleToe Lanemy on Mistleto 2023 Kyllerthe Killer ILLER 2023 007: Road to million007: Road to a Million 2023 The Killerthe Killer 2023 Rumble Through The Darkrumble Through The Dark 2023 At the Momentat the Moment 2023 Christmas Islandchristmas Island 2023 Curses 2023 a Heidelberg Heidelberg Holyday 2023 Porchay as a woman Like A Butterfly 2018 The Lady Bird Diariesthe Lady Bird Diaries 2023 Murder on the edge of the world Murder at the end of the world 2023 SUBURA forever a Sydneyncis: Sydney: Sydney 2023 YOUR Lucky Day Lucky Day 2023 JFK: What the doctors sawjfk: What the doctors SAW 2023 David Holmes: Malmch Which survival david Holmes: The Boy Who Live 2023 Brawn: incredible story of formula-1brawn: The Impossible Formula 1 Story 2023 Stamped from the Beginningstamped from the Beginning 2023 Dad is not a star dans les étoilels 2023 in love Love and Deep Water 2023 Best. Christmas. Ever! Best. Christmas. Ever! 2023 A World Record Christmasa World Record Christmas 2023 "Monarch": Heritage of Monsteronarch: Legacy of Monsters 2023 Family Family Affair 2023 Scott Pilgrimi on Gazscott Pilgrim TaKim Off 2023 Rubinrost In 2023 Dashing Through The Snowdashing Through The Snow 2023 Twin Lovetwin Love 2023 Please Don 'T Destroy: The Treasure of Foggy Mountainase Donat Destroy: The Treasure of Foggy 2023 All-Time Highall-Time High 2023 Navigating Christmasnavigating Cheme MAS 2023 KENNEDYKENNEDY 2023 A Merry Scottish Christmasa Merry Scottish Christmas 2023 The Santa Summithe Santa Summit 2023 Melodrama Film Film The USA is more detail about the film Film.ru 7.1 IMDB spectators JFK: One Day in Americajfk: One Day in America 2023 Series Documentary US Great Britain about the film Film.ru 7.6 IMDB 5.8 Spectators | 2 trailer holidays 2023 Series Comedy Russia 5 hours 52 minutes 16+in the center of the plot - a simple Russian family living in a small town of Central Russia. The characters of the series are so ... More about the film Film.ru IMDB 5.7 spectators | 548 NTV-plus: 7 days free advertising 18+ •• • • • • • • `` `` `` `` `` `` `` `` `` `` `` `` `` `` `` `` iled 4cqwvszh9pukpqrqweg 18+ × Vityazi 2023 Historical Russia 6 hours 40 minutes 18+ Old Russian specialized Film.ru 4 IMDB 5.0 spectators | 128 trailer, look at the advertisement of 18+ •• • Rostelecom PJSC TIN 7707049388 Identifier: 4CQWVSH9PUKPBGLZDL Advertising 18+ × Olga Vuzov2023 The series of reality shows Russia 36 minutes 12+ Buzova program is dedicated to technical education in Russia. Its goal is to help high school students decide on the educational ... More about the film Film.ru IMDB 5.3 spectators | 2 trailermams will be against 2023 Comedy Russia 5 hours 12 minutes 16+loader Kolya drops the box on the saleswoman Natasha. Her squabble mother threatens to dismiss the guy and he decides to stir up with Natasha ... ... Read more about Film.ru 7.6 IMDB 5.2 spectators | 1394 TrailerPenCils vs PixelSpenCils vs Pixels 2023 Film Cartoons Biographical Documentary USA 2 hours 25 minutes more about Film.ru 7 IMDB 5.6 spectators | 2 trailer La Called La Calle 2023 Series Documentary US SPECTION OF THE FILM.ru IMDB Spectators Stand Up &amp; AMP; Shout: Songs from a Philly High Schoolstand Up &amp; Shout: Songs from a Philly High School 2023 Film Documentary USA 1 hour 28 minutes about the film Film.ru IMDB spectators Trailelerbukanerkithe Buccaneeers 2023-... Series Drama UKK Tania 3 hours 32 minutes 18+Victorian London of the 1870s. A group of American girls is faced with the Puritan traditions of the British. Hearts ... Read more about the film7 Film.ru 6.9 IMDB 5.5 spectators | 30 TrailelerMter 비질란테 2023 -... Series Air Triller South Korea 8 hours 0 minimum wiring student of the Police Academy on weekends takes justice in their own hands and punishes criminals who received ... more about the film Film.ru 7.7 IMDB 6.7 Spectators | 20 Robbie Williamsrobie Williams 2023 series Biographical Documentary Music Great Britain more about the film Film.ru 7.7 IMDB 6.5 Spectators | 1 Trailelerou Were My First Boyfriendo Were My First Boyfried 2023 Documentary US Film 1 hour 37 minutes about the film Film.ru 8.5 IMDB Viewers of the TriLALLER OF THE CASAN. Blood on asphalt 2023 The series Drama Russia 18+a new friend and a desire to assert himself lead to a high school student Andrei to the creation of a criminal group. The multi-part retro epic of Zhora Kryzhovnikov based on the book of Robert Garaev about the Kazan phenomenon ... More about the film 8 Film.ru IMDB 5.5 spectators | 386                                    Трейлер                  Смотрите на  					РЕКЛАМА 18+					•••								ПАО «РОСТЕЛЕКОМ» ИНН 7707049388 ИДЕНТИФИКАТОР: 4CQwVszH9pUkpBGLzDL													РЕКЛАМА 18+  						   × Волшебный участок2023 сериал боевик детектив комедия фэнтези Россия 7 часов 4 минуты 18+Снайпер Леха против Бабы Яги Змея Горыныча и всей русской нечисти. Fairytale comedy about the hero of our time ... ... More about the film Film.ru IMDB 7.4 spectators | 242 Trailer View for 1 ₽ Advertising 18+⋮ Advertising advertiser advertisement: 4CQWVSH9PUMPJUDSAM in search of the beastCher's Crossing 2022 Film Western Drama of the United States 1 hour 35 minutes throws her studies to Harvard to go to the rocky mountains of Colorado along with bizons hunters. He does not know how ... Read more about Film.ru 5.9 IMDB 7.1 Viewers | 12 Trailercoline from accounting department from Accounts 2022 -... TV series Comedy Australia 3 hours 38 minutes of EXHERSH (Harriet Dayer) and Gordon (Patrick Brammell)-two lonely and complex people of which brought together ... More about the film Film.ru 8.1 IMDB 7.4 Spectators | 14 Trailerediolonokumama Kun 2023 series anime cartoons of fantasy adventure Japanese more about the film Film.ru IMDB 6.5 spectators | 1 Mystery on Mistleto LanemyStery on Mistletoe Lane 2023 Film Detective US Detective about Film.ru IMDB Spectators Killerthe Killer 2023 Film Filler Triller USA France 1 hour 58 minute killer (Michael Fassbender) is experiencing psychological crisis, lane. More about the film7 Film.ru 7.4 IMDB 5.8 Spectators | 39 trailer007: Road to million007: Road to a Million 2023 -... Series Game show adventures of reality shows UK USA 6 hours 32 minutes 32 Minute-players are eighteen-nine pairs of two participants-ready to fight for a cash prize of one million ... Read more about the film Film.ru 2.8 IMDB 6.4 spectators | 1 Trailerthe Killerthe Killer 2023 Film Movies USA 1 hour 46 minutes more about Film.ru IMDB film Rumble Through The Darkrumble Through The Dark 2023 Film Triller USA He Moment 2023 Series Drama Taiwanza melodrama about Film.ru IMDB film Trailerchristmas Islandchristmas Island 2023 Melodrama Film Canada is in more detail about Film.ru IMDB Viewers Curses Curse 2023 —... TV series USA Comedy 8 hours 16 Minute, talk about the spouses of Ashley (Naintan Fielder) and ITETI (Emma Stone ) Siegels that create a reality show “Philanthropy” .... Read more about the film Film.ru 7.1 IMDB 6.0 spectators | 2 trailer Heidelberg Holidya Heidelberg Holid 2023 Film Melodrama Family Germany USA 1 hour 24 minutes about the film Film.ru IMDB Viewers Trailer -Porpyt as a butterflyfluat Like a Butterfly 2018 Film Drama Historical Sports 1 hour 47 minutes, a strong and relevant story about a girl who fought for a girl who fought for a girl who fought your freedom And a vocation. As in the classic film &amp; quot ... Read more about Film.ru 5.9 IMDB, the viewers of The Lady Bird Diariesthe Lady Bird Diaries 2023 Film Documentary 1 hour 30 minutes about the film Film.ru 8.8 IMDB Viewers Treilehrubium on the edge of the world Murder at the end of the World 2023 Series Detective Triller of the United States Iceland 6 hours 40 minute Darbi Hart (Emma Corrin) goes to the distant island of billionaire Andy (Clive Owen). Later one of the guests ... Read more about the film Film.ru IMDB Viewers of Trailersyubur forever the SuburrrrrrrrrrrNA 2023 -... The series action movie Drama Melodrama Thriller Italy 6 hours 40 hours Rome reigns chaos. Existing unions are threatened due to exacerbation of relations with new criminal clans. For ... Read more about the film Film.ru IMDB Viewers of the Trailer-Sea Police: Sydneyncis: Sydney 2023 -... TV series Triller USA 8 hours 0 more about the film Film.ru IMDB 5.5 Spectators | 2 Traileler Lucky Dayor Lucky Day 2023 Film TRILLER USA 1 hour 29 minutes about Film.ru David Holmes: The boy who survived David Holmes: The Boy Who Lved 2023 Documentary US Film 1 hour 28 minutes HBO and Sky will tell about David Holmes- Dubblere Daniel Radcliffe in Harry films ... Read more about Film.ru 1brawn: The Impossible Formula 1 Story 2023 Series Documentary Sports of the United States UK about the Film.ru IMDB film Trailerystamped from the Beginingstamped from The Beginning 2023 Film Documentary 1 hour 40 minutes about the film Film.ru 6.7 IMDB Viewers Dad is not a star tête dans les étoiles 2023 Film Comedy France 1 hour 31 minutes 16+courier accidentally falls aboard the International Space Station. He quickly becomes a world star and a hero for ... Read more about Film.ru 4.7 IMDB 5.2 spectators | 234 Trailer of love and deep waterin Love and Deep Water 2023 Film Detective Comedy Melodrama Japan 1 hour 55 minutes more about the film Film.ru IMDB Viewers Trailerbest. Christmas. Ever! Best. Christmas. Ever! 2023 Film Comedy Melodrama USA 1 hour 41 minute about Film.ru IMDB movie A World Record Christmasa World Record Christmas 2023 Film Drama Canada 1 hour 24 minutes about the film Film.ru IMDB Viewers Monarch: Legacy of Monsters Heritage 2023- ... TV series Antholler Adventure Fiction USA Japan-Off films about Godzilla. The action takes place for 50 years. Military officer Li Show (Kurt Russell) is connected with ... Read more about Film.ru IMDB. Viewers trailers family business Family Affair 2023 Film Comedy Melodrama USA 1 hour 36 minutes about a love triangle between mother (Nicole Kidman) daughter (Joey King) and her Hollywood Head of Hollywood ... Read more about Film.ru IMDB, Viewers Scott Pilgrim Gazes on Gazscott Pilgrim Takes Off 2023 TV series Culti-adventure Japan Canadia Canadia version "Scott Piligrim" Edgara Wright. Trailelerrastinrustin 2023 Film Biographical Drama Historical USA 2 hours 1 minute 18+Biographical ribbon about Bayard Rabina-American activist of the 1960s and the closest comrade-in-arms of Martin Luther ... Read more about Film.ru 6.6 IMDB 6.3 spectators | 1 Trailerdashing Through The Snowdashing Through The Snow 2023 Film Family Fantasy Family 1 hour 35 minutes about Film.ru IMDB Viewers Trailertwin Lovetwin Love 2023 Series Melodrama U.S. Lerplease Donmet Destroy: The Treasure of foggy mountinplease Donat Destroy: The Treasure of Foggy Mountain 2023 Film Comedy more in more detail about Film.ru IMDB Viewers Trailell-Time Highall-Time High 2023 Film MDB spectators Navigating Christmasnavigating Christmas 2023 фильм мелодрама СШАПодробнее о фильме                    film.ru                                    IMDb                                    зрители                                    KennedyKennedy 2023 сериал биографический документальный исторический СШАПодробнее о фильме                    film.ru                                    IMDb                                    зрители                                    A Merry Scottish ChristmasПодробнее о фильме                    film.ru                                    IMDb                                    зрители                                    Популярные рецензииЕЩЕРецензия на 12-й сезон «Американской истории ужасов: Нежность»: Kim Kardashian Kozla and childbirth on November 4 / Text: Nastasya Gorbachevsky Reenses for the series "Pluto" from Netflix - one of the best anime of 2023 on October30 / Text: Alikhan Israpilov "Dryan" in Russian realities: why not watch the series "Ira"? October 14 / October 14 Text: Julia Salihovarezenses for the second season of the series “Loki” - a depressing continuation of the adventures of the former villain Marvel October / Text: Olya Smolinarezhendas for the film “Klyk”: Aaron Eckhart takes revenge on the dog on October 23 / Text: Andrey Volkovrezensesen for the film “Telefield on freelance” - comedy - comedy Action with John Sina in the title role of October 20 / Text: Gulnaz Davltshtinzhesezseza for Generation “Vi”-the second spin-off of legendary “boys” on October 13 / Text: Yana Televanovo, November 11, Zach Efron reacted to the proposal to play Matthew Perry in Bayopica on November 11 The Puzzle 2 trailer became the most popular in the history of Disney on November 11, the SAG board of directors approved a new deal with producers on November 11, the teaser of the series “Bratsk Sun” with Michelle Yeo Jarmush will shoot a new film in Paris on November 11 “Barbie” Grammy nominees the best new trailetry worker (film 2024) Tisader-trailer (English) Orion and darkness (film 2024) Trailer (English) Arken (TV series 2021) Season 2: Date (English) puzzle 2 (film 2024 )            Тизер-трейлер (англ.)        КоллекцииЕЩЕНарисованное кино                  1 сериал5 фильмов                    2188Лучшие фильмы 2021 года по версии журнала Wired                  9 фильмов                    1328Самые скандальные американские фильмы                  66 фильмов                    10849100 лучших фильмов ужасов по версии Time Out                  100 фильмов                    259243Лучшие британские сериалы 2022 года по версии BFI                  9 сериалов3 фильма 725 Best Films of 2022 according to Metacritic 30 films 1492 laureates of the Oscar for the best female role 98 films 4804 WHOLEDICES SXSW 27 Films 529 Best films of the 2000s 52326100 BBC 100 films 18130 films-nominees for Oscar " In 2023, 38 films 1245550 of the best series of the XXI century according to Film.ru 48 TV shows 31721100 Best Russian and Soviet films according to Empire 100 films 110178 Oscar in the category "Best makeup and hairstyles" 41 Movies 1266 are the best surreal films 45 films 1837325 Greater Movies 1837325 According to AFI 25 films 439, Musicals, also orderly about the project of the printing of the printing of the Perekalzenisenyevisenyevis -Kontakteok.rudk.rudex dzentelegram Film.ru is registered by the Federal Service for Supervision of Information Technologies and Mass Communications (Roskomnadzor). Certificate of EL No. FS77-82172 dated 10.11.2021. © 2023 Film.ru-All about cinema reviews Reviews News Premiere of Films to Make Material If you want to offer us material for publication or cooperation write us a letter and if it seems important to us, we will answer you the current of one or two days. If your question cannot be resolved by mail to the editorial office, you can call. Letters address: Partner@film.ru Editor's phone: 8 (495) 229-62-00 Postering what exactly does it seem to you unacceptable in this comment?</v>
      </c>
    </row>
    <row r="94">
      <c r="A94" s="1" t="s">
        <v>332</v>
      </c>
      <c r="B94" s="1" t="s">
        <v>351</v>
      </c>
      <c r="C94" s="1" t="s">
        <v>352</v>
      </c>
      <c r="D94" s="1">
        <v>5.0</v>
      </c>
      <c r="E94" s="4" t="s">
        <v>353</v>
      </c>
      <c r="F94" s="1" t="s">
        <v>16</v>
      </c>
      <c r="G94" s="1" t="s">
        <v>354</v>
      </c>
      <c r="H94" s="4" t="s">
        <v>355</v>
      </c>
      <c r="I94" s="2">
        <v>2.0</v>
      </c>
      <c r="J94" s="5" t="str">
        <f>IFERROR(__xludf.DUMMYFUNCTION("GOOGLETRANSLATE(A94)"),"Avatar 2")</f>
        <v>Avatar 2</v>
      </c>
      <c r="K94" s="6" t="str">
        <f>IFERROR(__xludf.DUMMYFUNCTION("GOOGLETRANSLATE(B94)"),"Avatar 2: Water Way (Film 2022)")</f>
        <v>Avatar 2: Water Way (Film 2022)</v>
      </c>
      <c r="L94" s="5" t="str">
        <f>IFERROR(__xludf.DUMMYFUNCTION("GOOGLETRANSLATE(C94)"),"Watch the online video Avatar 2: Water Way (Film, 2022) Channel Film in good quality without registration and completely free on RUTUBE.")</f>
        <v>Watch the online video Avatar 2: Water Way (Film, 2022) Channel Film in good quality without registration and completely free on RUTUBE.</v>
      </c>
      <c r="M94" s="5" t="str">
        <f>IFERROR(__xludf.DUMMYFUNCTION("GOOGLETRANSLATE(G94)"),"Rutube video hosting. Watch the video online for free. Add notifications of topics of the Topecatalog Sub -Subscription Subscribing Later Image Viewing Topecatalogy Sub -Subscription Supply to configure the Categories Categories and Registration of the Ca"&amp;"tegory -Assistance of the Interva -Cultural Sciences Cultural Science and Media Online teleshoteline-renovation films for helping auumorekanaly-first Canal Russia 1matic Canalcanal Culture Culture 24 Tvskassdomatomatomatmari-Zvezazzezdamir TnTNTMUZ-TNTMUN"&amp;"AL TNT42X2VIJUSTURIAL TREATED TE Vrutube children-put-up-tsopl tv resign on nasopic checks and answers to compare the review of the post-and-storage agreement of the consistent legal information recommended Service style system © 2023 RUTUBENAL Topecatalo"&amp;"gsmoyoriginalSge, to configure the category -by -Country and Registration of the Category -Autoblogs of Interviews of the Distribution of Culture -Great -Great -Khakimusovka and MECHOODURITION OF PRODUCTIONSIALSYSTENSTENTS Aids HumorTelkanaly-first Canal "&amp;"Russia 1-match Canalcanal Culture Culture 24 Twitzrena Twspassstsdomatomatomatomatomarizzazzazzdamir TNTNTMUZ-TNTMUSAL TNT42X2VIJUST Later Improving the application of instructions for children Subscribe to nashery questions and answers to compare the rev"&amp;"iew of the weapons of the Activities of the Personalized Agreement of the Employment Information recommended Service Service Service © 2023 RUTUBETOP -5 Video12+10: 57 Ukrainian Front - Armed Forces retreat in Avdeevka. Coksochem has problems. November 10"&amp;", 2023 Sunno in Floridan ago212+02: 56bykov* wants to “cleanse” Russia of Smolyaninov* Switzed Clinton compared Trump with Hitleromabzets2 Days ago316+03: 59water in Ukraine (10.11.23): Avdeevka is already sentenced - this is already understood and we und"&amp;"erstand this Opponents of Podolyaka2 days ago418+01: 14: 19 No. 457 attack on Anatoly Sharia / Hunting Jews in Dagestan / Vaccination from cocainaartemius Lebedev2 days ago516+02: 10 sorphano s04e06 all hurts all - a goblin parsing with a dementiDmititmi "&amp;"Puchkov2 days ago Riya . Kosiki for Ivyarko. Factory of animated hits5 days ago12+14: 30kat paleontologists - Vsevolod Efremenko | Lectures on paleontology | Scientific -Upro14 hours ago16+01: 16: 59 Yarsh Stars 1 season 6 production TNT 8 hours ago12+01+"&amp;"01: 31: 50 Podkodkast “Russian Geographic”: Superprojects of Russian tourism -Russian geographic17 hours ago16+01: 53: 03 Extransenses. Battle of the strongest 23 Issue Telkanal TNT325 thousand watches10 hours ago12+09: 59 Taic red button in the metro of "&amp;"St. Petersburg! [Rybatskoye station] Pro Metro16 hours ago16+01: 13: 18al hero. To remain a family 3 production telekanal TV-3781 thousand watches12 hours ago12+27: 03-naval games of the ancient world / [Black History] History of Black13 hours ago12+27: 0"&amp;"2 Building Yurt themselves! House in the suburbs. Interior Design. Rumtur. As others live12 hours ago12+16: 55, they became a dead bride and sinister pumpkin! Who will make the image on Halloween better!? Double bubble16 hours ago12+02: 36 “Way to Success"&amp;"”: Meeting with the Averny Gazprom sisters at the Russia's exhibition 3 days ago12+45: 35 Station Ay as just a psychologist about his own about his own income and Mizulina / Cyberetics with Lissovkibertika21 hour ago16+23: 52 Vkusno with Laysan 3 Season 3"&amp;" release Denis Klyaverkanal TV-321 hour ago12+17: 41jyudo with stars | Marina Lizorkina ""Serebro"" in the past gold in judoledenevye back12+01: 06: 53fantastic. Issue from 10.11.2023. Part 1 first Canal ago12+23: 36k, mountain guides live and why do peop"&amp;"le love mountains? Redaring2 Days ago12+04: 17th -Byyanka Julianna Karaulova - about friendship (Solo concert of Bianca in Moscow 2023) Bianca2 days ago06: 30 Shushumagia 5 series. Flight of Push-Pusherko. Factory of animation hits5 days ago18+01: 21: 39d"&amp;"vor per yard. 5 series. Yekaterinburg x Barnauldvor on the yard305 thousand watches3 days ago16+46: 35 Twal-Battle: Kuala Lumpur. Malaysian Pyatnitsyen, ago, News Russians will be allowed to leave the gas sector on 12 Nonimarias the Israeli defense newsma"&amp;"n warned Lebanon about the consequences of joining the Krasnodar conflict Krasnodar, after the first circle of the 2023/24masyan, Tvirossian Khabibulaev became a five -time champion of the world in combat Samobech Twibzerukov: Patriotism to children throu"&amp;"gh the art of the United States They called the nominees on Grammytassv Moscow awarded the Laureates of the Golden Mask NTVNOVNIKS12+06: 52 images Beyoncé in the tour // Fashion review for outfits 🪩jessihill1 hours ago12+02: 57anfisa Czechov: On the choi"&amp;"ce of the right men of the divorce and astrology around the world21 HAR Back12+05: 14 What is bullying and how not to become a victim of bullying? The theme is nyashin13 hours ago12+37: 03 Tyiland is resting! The unknown Philippines island of Mindanaobigt"&amp;"ripvlog12 hours ago12+05: 30 EXCLUZIV! BMW M8: Luxury speed and suite in every movement! 💥🚗 Autto as it is! 13 hours ago12+11: 04 What cartoons are better 🔥! Romantic bylocka1012 hours ago12+06: 06 Cosmetics! What can you buy in a golden apple? Malina_"&amp;"isteri4ka2 days ago12+05: 08mega Burger | How to make the largest burgervrode vladosja back12+05: 50 -month -old New Year's giftsmarkovatlda back12+06: 04roll / Kinomax Tambov17 hours ago12+10: 12 Two Two! Eat the ingredients! Second issue! Maximum back12"&amp;"+01: 07: 24 Fisherman Fisherman on the first ice to wipe his nose neighborly shift - rest together in Khanty -Mansi Autonomous Okrug. Dengue12+46: 18novy enemies ➤ spider -man: Miles Morales #2Jays_App2 days ago12+08: 08 | Day 5 | Breast training! Nosov R"&amp;"oman20 hours ago12 +11: 45#Abkhazia 2023 🌴11 November №1487❗ Weather from gray wolf 🌡 24 ° 🌡 13 ° 🐬more ​​+199 ° Sergey Sukhumsky (Gray Wolf) - rest in Abkhazia ! 21 hours ago12+29: 05, bandits hunt it! // Lunomosyklunomosik20 hours ago12+13: 09 Fires"&amp;".exe and Dim Dimych abducted Leru! The forbidden series of Fixikov __ Yus show (720p) YS Show20 hours ago12+19: 50 D3 VITS is vital for every organ of your body health with Natalia Zubareva2 days ago12+13: 43NOM SIDEN from the Swedish-Chinese symbiosis. M"&amp;"eet-Geely Emgrand already in Rostov-on-Donuslav Nikolsky2 days ago12+10: 55in Gold turned out to be a neural network? The celeba2 days ago")</f>
        <v>Rutube video hosting. Watch the video online for free. Add notifications of topics of the Topecatalog Sub -Subscription Subscribing Later Image Viewing Topecatalogy Sub -Subscription Supply to configure the Categories Categories and Registration of the Category -Assistance of the Interva -Cultural Sciences Cultural Science and Media Online teleshoteline-renovation films for helping auumorekanaly-first Canal Russia 1matic Canalcanal Culture Culture 24 Tvskassdomatomatomatmari-Zvezazzezdamir TnTNTMUZ-TNTMUNAL TNT42X2VIJUSTURIAL TREATED TE Vrutube children-put-up-tsopl tv resign on nasopic checks and answers to compare the review of the post-and-storage agreement of the consistent legal information recommended Service style system © 2023 RUTUBENAL TopecatalogsmoyoriginalSge, to configure the category -by -Country and Registration of the Category -Autoblogs of Interviews of the Distribution of Culture -Great -Great -Khakimusovka and MECHOODURITION OF PRODUCTIONSIALSYSTENSTENTS Aids HumorTelkanaly-first Canal Russia 1-match Canalcanal Culture Culture 24 Twitzrena Twspassstsdomatomatomatomatomarizzazzazzdamir TNTNTMUZ-TNTMUSAL TNT42X2VIJUST Later Improving the application of instructions for children Subscribe to nashery questions and answers to compare the review of the weapons of the Activities of the Personalized Agreement of the Employment Information recommended Service Service Service © 2023 RUTUBETOP -5 Video12+10: 57 Ukrainian Front - Armed Forces retreat in Avdeevka. Coksochem has problems. November 10, 2023 Sunno in Floridan ago212+02: 56bykov* wants to “cleanse” Russia of Smolyaninov* Switzed Clinton compared Trump with Hitleromabzets2 Days ago316+03: 59water in Ukraine (10.11.23): Avdeevka is already sentenced - this is already understood and we understand this Opponents of Podolyaka2 days ago418+01: 14: 19 No. 457 attack on Anatoly Sharia / Hunting Jews in Dagestan / Vaccination from cocainaartemius Lebedev2 days ago516+02: 10 sorphano s04e06 all hurts all - a goblin parsing with a dementiDmititmi Puchkov2 days ago Riya . Kosiki for Ivyarko. Factory of animated hits5 days ago12+14: 30kat paleontologists - Vsevolod Efremenko | Lectures on paleontology | Scientific -Upro14 hours ago16+01: 16: 59 Yarsh Stars 1 season 6 production TNT 8 hours ago12+01+01: 31: 50 Podkodkast “Russian Geographic”: Superprojects of Russian tourism -Russian geographic17 hours ago16+01: 53: 03 Extransenses. Battle of the strongest 23 Issue Telkanal TNT325 thousand watches10 hours ago12+09: 59 Taic red button in the metro of St. Petersburg! [Rybatskoye station] Pro Metro16 hours ago16+01: 13: 18al hero. To remain a family 3 production telekanal TV-3781 thousand watches12 hours ago12+27: 03-naval games of the ancient world / [Black History] History of Black13 hours ago12+27: 02 Building Yurt themselves! House in the suburbs. Interior Design. Rumtur. As others live12 hours ago12+16: 55, they became a dead bride and sinister pumpkin! Who will make the image on Halloween better!? Double bubble16 hours ago12+02: 36 “Way to Success”: Meeting with the Averny Gazprom sisters at the Russia's exhibition 3 days ago12+45: 35 Station Ay as just a psychologist about his own about his own income and Mizulina / Cyberetics with Lissovkibertika21 hour ago16+23: 52 Vkusno with Laysan 3 Season 3 release Denis Klyaverkanal TV-321 hour ago12+17: 41jyudo with stars | Marina Lizorkina "Serebro" in the past gold in judoledenevye back12+01: 06: 53fantastic. Issue from 10.11.2023. Part 1 first Canal ago12+23: 36k, mountain guides live and why do people love mountains? Redaring2 Days ago12+04: 17th -Byyanka Julianna Karaulova - about friendship (Solo concert of Bianca in Moscow 2023) Bianca2 days ago06: 30 Shushumagia 5 series. Flight of Push-Pusherko. Factory of animation hits5 days ago18+01: 21: 39dvor per yard. 5 series. Yekaterinburg x Barnauldvor on the yard305 thousand watches3 days ago16+46: 35 Twal-Battle: Kuala Lumpur. Malaysian Pyatnitsyen, ago, News Russians will be allowed to leave the gas sector on 12 Nonimarias the Israeli defense newsman warned Lebanon about the consequences of joining the Krasnodar conflict Krasnodar, after the first circle of the 2023/24masyan, Tvirossian Khabibulaev became a five -time champion of the world in combat Samobech Twibzerukov: Patriotism to children through the art of the United States They called the nominees on Grammytassv Moscow awarded the Laureates of the Golden Mask NTVNOVNIKS12+06: 52 images Beyoncé in the tour // Fashion review for outfits 🪩jessihill1 hours ago12+02: 57anfisa Czechov: On the choice of the right men of the divorce and astrology around the world21 HAR Back12+05: 14 What is bullying and how not to become a victim of bullying? The theme is nyashin13 hours ago12+37: 03 Tyiland is resting! The unknown Philippines island of Mindanaobigtripvlog12 hours ago12+05: 30 EXCLUZIV! BMW M8: Luxury speed and suite in every movement! 💥🚗 Autto as it is! 13 hours ago12+11: 04 What cartoons are better 🔥! Romantic bylocka1012 hours ago12+06: 06 Cosmetics! What can you buy in a golden apple? Malina_isteri4ka2 days ago12+05: 08mega Burger | How to make the largest burgervrode vladosja back12+05: 50 -month -old New Year's giftsmarkovatlda back12+06: 04roll / Kinomax Tambov17 hours ago12+10: 12 Two Two! Eat the ingredients! Second issue! Maximum back12+01: 07: 24 Fisherman Fisherman on the first ice to wipe his nose neighborly shift - rest together in Khanty -Mansi Autonomous Okrug. Dengue12+46: 18novy enemies ➤ spider -man: Miles Morales #2Jays_App2 days ago12+08: 08 | Day 5 | Breast training! Nosov Roman20 hours ago12 +11: 45#Abkhazia 2023 🌴11 November №1487❗ Weather from gray wolf 🌡 24 ° 🌡 13 ° 🐬more ​​+199 ° Sergey Sukhumsky (Gray Wolf) - rest in Abkhazia ! 21 hours ago12+29: 05, bandits hunt it! // Lunomosyklunomosik20 hours ago12+13: 09 Fires.exe and Dim Dimych abducted Leru! The forbidden series of Fixikov __ Yus show (720p) YS Show20 hours ago12+19: 50 D3 VITS is vital for every organ of your body health with Natalia Zubareva2 days ago12+13: 43NOM SIDEN from the Swedish-Chinese symbiosis. Meet-Geely Emgrand already in Rostov-on-Donuslav Nikolsky2 days ago12+10: 55in Gold turned out to be a neural network? The celeba2 days ago</v>
      </c>
    </row>
    <row r="95">
      <c r="A95" s="1" t="s">
        <v>332</v>
      </c>
      <c r="B95" s="1" t="s">
        <v>356</v>
      </c>
      <c r="C95" s="1" t="s">
        <v>357</v>
      </c>
      <c r="D95" s="1">
        <v>6.0</v>
      </c>
      <c r="E95" s="4" t="s">
        <v>358</v>
      </c>
      <c r="F95" s="1" t="s">
        <v>16</v>
      </c>
      <c r="G95" s="1" t="s">
        <v>359</v>
      </c>
      <c r="H95" s="4" t="s">
        <v>360</v>
      </c>
      <c r="I95" s="2">
        <v>4.0</v>
      </c>
      <c r="J95" s="5" t="str">
        <f>IFERROR(__xludf.DUMMYFUNCTION("GOOGLETRANSLATE(A95)"),"Avatar 2")</f>
        <v>Avatar 2</v>
      </c>
      <c r="K95" s="6" t="str">
        <f>IFERROR(__xludf.DUMMYFUNCTION("GOOGLETRANSLATE(B95)"),"Avatar season 2 (2023): Release date, participants, jury ...")</f>
        <v>Avatar season 2 (2023): Release date, participants, jury ...</v>
      </c>
      <c r="L95" s="5" t="str">
        <f>IFERROR(__xludf.DUMMYFUNCTION("GOOGLETRANSLATE(C95)"),"The second season of the show Avatar starts on November 5, 2023. You will learn everything about the participants, members of the jury and the leading project.")</f>
        <v>The second season of the show Avatar starts on November 5, 2023. You will learn everything about the participants, members of the jury and the leading project.</v>
      </c>
      <c r="M95" s="5" t="str">
        <f>IFERROR(__xludf.DUMMYFUNCTION("GOOGLETRANSLATE(G95)")," News of Russia and the world. Komsomolskaya Pravda in the Russian Federation - Radio and Site newspaper // www.kp.ru - kp.ru menyurossia and therapy Politics Political Economics and Economy Political Economics Miraverazdovsdovykoronavironavironavironavir"&amp;"onavironavironavirals of the Russian experts of experts, I know the family secretary of the Secretary Projects of Zhelezturism-Center-Center of Consciousness Consumer-Consumer Consumer-Consumer-Consumer Consumer Conductions and Tytynovoye on the website o"&amp;"f the website of the Ministry of Digital Communications and Mass Communications of the Russian Federation of the Russian Federation of the Russian Federation Political Economics Economy MIPRESVESSDOROVEVESSOSOSTROSKANAKORONAVISTYARITARIATARIATARY STRISTRI"&amp;"CAL Projects of Russia Expertocrofinance Semovyzhensky secret-core percussialyspecepsprojects of iron venue-central lecture-lecture VOE on the website of the website of the Radio -Rossiyamoskva today: Russian News Exhibition ""Russia"" War in Israeli -Gre"&amp;"at -Ryncorynash of Kinocrain: Summary of the County Cast in the Rossiyeschekkiy Day -Keekpa in Telegrampersi, they say that the first month of the Ukrainian ""counteratus"" was difficult - enemy peris Not sparing their own. Politicsciscence Kp.ru of our s"&amp;"oldiers of prayers and feats under shelling: the honest story of the fighters who stopped the Armed Forces of the Armed Forces under the Pyatikhatkamifoto -Vosvoslotets with the call sign “Baby” took out the wounded comrades from the BMP without caterpill"&amp;"ar2 days ago Politics Square of the KP.ru Mirav -American called the guilty “Northern Streams”: with this version, all the NOT COPHCES OF APU Chervinsky could not be the coordinator of the attack on the “northern streams” of the Moscow Policy in Europe, t"&amp;"he “funeral” of the Kiev regime began to plan: what will happen to Ukraine without the help of the USARELLEAL that Ukraine could not defeat Russia in the nearest Time of Politics and Economics Square Kp.ru will not become targeted for everyone: what will "&amp;"happen next with a preferential mortgage in the Russianarieltor Aprelev: a preferential mortgage can be limited to people with high incomes of the economics of the economics of the KP.ru Politics Politics who surrendered their surrenders: the Hero of Russ"&amp;"ia told how the Hero of Russia told how he captivated 11 Ukrainian marine marines. The military personnel of the 36th Brigade of the Marine Corps of the Armed Forces of Ukraine subsided “mobilized” the Politics and Academy of Sciences of the giants and po"&amp;"rtal to other worlds yesterday: as the occultists from the Nazi “Anenerbe” were looking for Shambhala in the mountains of the KP KP Nikolay and Natalya Varsgovs followed the footsteps Military special operation on Ukraine on November 12, 2023: the direct "&amp;"online transaction of KP.ru publishes the latest news about the military special operation of Russia in Ukraine on November 12, 2023, the Policy-Politics of the Political Education “No one is jealous of slander only in you”: the Russians answered the rebu"&amp;"ke of Alla Pugacheva Pugacheva The artists who accused her of the collapse of their career outsseers spreads through the Kp.ru -suffering her beloved husband Alexander Pakhmutov holds the hero: gives joy to the children from Donetsk looks like a queenfote"&amp;" -vydovideoAleksandra Pakhmutov met with children from Donetsk and sang her her own songs -eupsquilizes Kp.ru son and medical error were crushed by Boris Klyuyev: published The recording of the last interview of the artist before the death of the Health o"&amp;"f Boris Klyuyeva crushed the sudden death of the only son -in -lawsujauccaeukecluse Kp.ru, do you want the child to grow as poor? Do not tell him phrases that program poverty psychologist Musokhranov called phrases that programs us for poverty valiyuyaku "&amp;"Kp.ru Sports Speak of Valieva in a red dress brought her victory in the short program of Russia in Kazani that happened in a short program of women at the Russian Grand Prix in Kazanivotnutnutnuakaphoto Brides with three hands on the network dubbed the de"&amp;"vilry: what was not so with a mysterious wedding picture of the picture of the scorestone, she took a photo with three different positions of her hands at the same time at the same time as a manacdoresdorye -ethnic shuttle of kp.rumagnetic storms: on the "&amp;"night of November 12, a serious “storm” Denisenko is expected: before magnetic storms, it is worth refusing to refuse from magnetic storms Fatty food of the end of the end of the Kp.ru, 2411 minutes ago Politicalsohu: the United States provoked the Poland"&amp;" conflict with Ukraine, this is profitable for Russia backwards back to the Political Russian military destroyed up to 50 APU militants in the Kupyansk direction of the Black United Studies: in Russia, the VPN2 hours ago Political Political Political Poli"&amp;"tical Political Complex announced the readiness of Kiev for trade candidates for trade candidate liquids inside the EU3 hours ago Politicia Congress Johnson proposed financing the government without the help of Kiev -Kyamolikuardian: the sanctions could n"&amp;"ot affect the success of Russia in the production of weapons of the Czech Republic of Czech Republic 384 cases against the citizens of the countries of the countries of the countries of the world: the world with Israel is possible when the Palestinian and"&amp;" Arab lands of the MiracNN: Three Dispensers were killed in the hospital in the hospital Gases The siege of Israeli -equal for Miraceron: France was faced with the revival of the unbridled anti -Semitismavs of the political science of the city of Kherson,"&amp;" controlled by the explosive Mireliga of the Arab states: gas should remain as part of the Palestine after the war of the world under the world, the large lion escaped from the circus to catch the bill of prisoners: the plane of the US The crash in the Me"&amp;"diterranean Morevs of the News of the Hot in Moskvestyeznotra+4 ° is felt like+2 ° in the morning+4 ° after day+5 ° in the evening+8 ° weather in Moscow Trada+4 ° is felt as+2 ° in the morning+4 ° in the evening+8 ° Co-Ho. -Ho: At the bottom of the Caribb"&amp;"ean - twenty billion dollars and a bottle of Romar government of Colombia until 2026 expects to raise the inconspicuous treasures of Galeon San Jose from the bottom. We decided to recall what other sunken wealth hides the oceanic community")</f>
        <v> News of Russia and the world. Komsomolskaya Pravda in the Russian Federation - Radio and Site newspaper // www.kp.ru - kp.ru menyurossia and therapy Politics Political Economics and Economy Political Economics Miraverazdovsdovykoronavironavironavironavironavironavironavirals of the Russian experts of experts, I know the family secretary of the Secretary Projects of Zhelezturism-Center-Center of Consciousness Consumer-Consumer Consumer-Consumer-Consumer Consumer Conductions and Tytynovoye on the website of the website of the Ministry of Digital Communications and Mass Communications of the Russian Federation of the Russian Federation of the Russian Federation Political Economics Economy MIPRESVESSDOROVEVESSOSOSTROSKANAKORONAVISTYARITARIATARIATARY STRISTRICAL Projects of Russia Expertocrofinance Semovyzhensky secret-core percussialyspecepsprojects of iron venue-central lecture-lecture VOE on the website of the website of the Radio -Rossiyamoskva today: Russian News Exhibition "Russia" War in Israeli -Great -Ryncorynash of Kinocrain: Summary of the County Cast in the Rossiyeschekkiy Day -Keekpa in Telegrampersi, they say that the first month of the Ukrainian "counteratus" was difficult - enemy peris Not sparing their own. Politicsciscence Kp.ru of our soldiers of prayers and feats under shelling: the honest story of the fighters who stopped the Armed Forces of the Armed Forces under the Pyatikhatkamifoto -Vosvoslotets with the call sign “Baby” took out the wounded comrades from the BMP without caterpillar2 days ago Politics Square of the KP.ru Mirav -American called the guilty “Northern Streams”: with this version, all the NOT COPHCES OF APU Chervinsky could not be the coordinator of the attack on the “northern streams” of the Moscow Policy in Europe, the “funeral” of the Kiev regime began to plan: what will happen to Ukraine without the help of the USARELLEAL that Ukraine could not defeat Russia in the nearest Time of Politics and Economics Square Kp.ru will not become targeted for everyone: what will happen next with a preferential mortgage in the Russianarieltor Aprelev: a preferential mortgage can be limited to people with high incomes of the economics of the economics of the KP.ru Politics Politics who surrendered their surrenders: the Hero of Russia told how the Hero of Russia told how he captivated 11 Ukrainian marine marines. The military personnel of the 36th Brigade of the Marine Corps of the Armed Forces of Ukraine subsided “mobilized” the Politics and Academy of Sciences of the giants and portal to other worlds yesterday: as the occultists from the Nazi “Anenerbe” were looking for Shambhala in the mountains of the KP KP Nikolay and Natalya Varsgovs followed the footsteps Military special operation on Ukraine on November 12, 2023: the direct online transaction of KP.ru publishes the latest news about the military special operation of Russia in Ukraine on November 12, 2023, the Policy-Politics of the Political Education “No one is jealous of slander only in you”: the Russians answered the rebuke of Alla Pugacheva Pugacheva The artists who accused her of the collapse of their career outsseers spreads through the Kp.ru -suffering her beloved husband Alexander Pakhmutov holds the hero: gives joy to the children from Donetsk looks like a queenfote -vydovideoAleksandra Pakhmutov met with children from Donetsk and sang her her own songs -eupsquilizes Kp.ru son and medical error were crushed by Boris Klyuyev: published The recording of the last interview of the artist before the death of the Health of Boris Klyuyeva crushed the sudden death of the only son -in -lawsujauccaeukecluse Kp.ru, do you want the child to grow as poor? Do not tell him phrases that program poverty psychologist Musokhranov called phrases that programs us for poverty valiyuyaku Kp.ru Sports Speak of Valieva in a red dress brought her victory in the short program of Russia in Kazani that happened in a short program of women at the Russian Grand Prix in Kazanivotnutnutnuakaphoto Brides with three hands on the network dubbed the devilry: what was not so with a mysterious wedding picture of the picture of the scorestone, she took a photo with three different positions of her hands at the same time at the same time as a manacdoresdorye -ethnic shuttle of kp.rumagnetic storms: on the night of November 12, a serious “storm” Denisenko is expected: before magnetic storms, it is worth refusing to refuse from magnetic storms Fatty food of the end of the end of the Kp.ru, 2411 minutes ago Politicalsohu: the United States provoked the Poland conflict with Ukraine, this is profitable for Russia backwards back to the Political Russian military destroyed up to 50 APU militants in the Kupyansk direction of the Black United Studies: in Russia, the VPN2 hours ago Political Political Political Political Political Complex announced the readiness of Kiev for trade candidates for trade candidate liquids inside the EU3 hours ago Politicia Congress Johnson proposed financing the government without the help of Kiev -Kyamolikuardian: the sanctions could not affect the success of Russia in the production of weapons of the Czech Republic of Czech Republic 384 cases against the citizens of the countries of the countries of the countries of the world: the world with Israel is possible when the Palestinian and Arab lands of the MiracNN: Three Dispensers were killed in the hospital in the hospital Gases The siege of Israeli -equal for Miraceron: France was faced with the revival of the unbridled anti -Semitismavs of the political science of the city of Kherson, controlled by the explosive Mireliga of the Arab states: gas should remain as part of the Palestine after the war of the world under the world, the large lion escaped from the circus to catch the bill of prisoners: the plane of the US The crash in the Mediterranean Morevs of the News of the Hot in Moskvestyeznotra+4 ° is felt like+2 ° in the morning+4 ° after day+5 ° in the evening+8 ° weather in Moscow Trada+4 ° is felt as+2 ° in the morning+4 ° in the evening+8 ° Co-Ho. -Ho: At the bottom of the Caribbean - twenty billion dollars and a bottle of Romar government of Colombia until 2026 expects to raise the inconspicuous treasures of Galeon San Jose from the bottom. We decided to recall what other sunken wealth hides the oceanic community</v>
      </c>
    </row>
    <row r="96">
      <c r="A96" s="1" t="s">
        <v>332</v>
      </c>
      <c r="B96" s="1" t="s">
        <v>361</v>
      </c>
      <c r="C96" s="1" t="s">
        <v>362</v>
      </c>
      <c r="D96" s="1">
        <v>7.0</v>
      </c>
      <c r="E96" s="4" t="s">
        <v>363</v>
      </c>
      <c r="F96" s="1" t="s">
        <v>16</v>
      </c>
      <c r="G96" s="1" t="s">
        <v>364</v>
      </c>
      <c r="H96" s="4" t="s">
        <v>365</v>
      </c>
      <c r="I96" s="2">
        <v>1.0</v>
      </c>
      <c r="J96" s="5" t="str">
        <f>IFERROR(__xludf.DUMMYFUNCTION("GOOGLETRANSLATE(A96)"),"Avatar 2")</f>
        <v>Avatar 2</v>
      </c>
      <c r="K96" s="6" t="str">
        <f>IFERROR(__xludf.DUMMYFUNCTION("GOOGLETRANSLATE(B96)"),"Avatar film: Water Way (USA, 2022)-Afisha-Kino")</f>
        <v>Avatar film: Water Way (USA, 2022)-Afisha-Kino</v>
      </c>
      <c r="L96" s="5" t="str">
        <f>IFERROR(__xludf.DUMMYFUNCTION("GOOGLETRANSLATE(C96)"),"Avatar film: Water Way (Avatar: The Way of Water, USA, 2022) - actors, trailers, user reviews and criticism reviews, similar films and personnel from it.")</f>
        <v>Avatar film: Water Way (Avatar: The Way of Water, USA, 2022) - actors, trailers, user reviews and criticism reviews, similar films and personnel from it.</v>
      </c>
      <c r="M96" s="5" t="str">
        <f>IFERROR(__xludf.DUMMYFUNCTION("GOOGLETRANSLATE(G96)"),"Афиша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202"&amp;"3 - январь 2024 МДМОт 900 ₽концертВивальди. The times of the year -Yabr 2023 - April 2024 House of Kinoot 1400 ₽6.1 Filmicatriye will be in 96 cinemas to buy a ticket -portable event of Khorkin. Show Duel November 19 at 18:00 Palace of gymnastics Irina Vi"&amp;"ner-Usmanova 1 1,500 ₽8 Epavkatinkoff City: Andy Warhol and Russian art on February 18 Jewish museum to buy a ticketfilmsindromid in 136 cinemas to the Ticketscription “Griff removed” November Bunker 450 ₽ Makers Moldhilms. Shie Mirrakkatalogi Film -expec"&amp;"ted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amp;"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amp;"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amp;"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amp;"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amp;"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amp;"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"&amp;"центр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animation-30%discord-disk"&amp;"idota Christmas trees25 and 27 The Meridian Cultural Center 400 ₽ Dinagome M-Torpedhockei on November 23 at 19:30 SKRK VTB Arena Arena - The Central Stadium Dynamo named after Yashin from 400 ₽ Dinomo M - Skykhokkey on December 25 at 19:30 SKRK VTB Arena "&amp;"- the Central Stadium Dynamo named after Yashin from 400 ₽ Dinomasm M - CSKAHOKKYAI on December 19 at 19:30 SKRK "" VTB Arena - the Central Stadium Dynamo named after Yashin from 200 ₽ ROPRODINA - Chernomoretorefutbol November 19 at 19:00 Sapsan Arenaafis"&amp;" Restaurantov10 The best restaurants in Moscow according to the version of Whereteat Moscow 202310 “Nature are 150 years old”: Evgeny Reimer about the future of the future and about the future of the future and The new restaurant ""NE"" in the atom pavili"&amp;"on on November 8 is in full swing: where to go to Sochi in November 7 November for a week: Khinkali festival Kazakh delicacies and ethnic firewalls on November7 The best restaurants of the Central Region of Russia according to the Whereteat 20234 Awards w"&amp;"ill be called the best restaurants of the capital of Krasnodar on November3 Sochi Rostov-on-Don and Gelendzhik will be held the festival of southern kitchen-eve-elays of a Syndromrill9.3ot 1100 ₽ Mayakovsky premieres 2023 January 2024 Lenkom Zakharovabori"&amp;"s Sveshnikov. Dreams of Eternity -Writers on January 14 Our artists of the Khatastastophantentesis of Afishavese7.7 Tylepyntlmenyboyevik8.8ot 1000 ₽ Rruxi -tank 2023 - January 2024 Muscovite Musical Theater KDKSKORO in Kinovsovsabiletychacamediyatyabileyb"&amp;"iletikhchik and poultry farmletfilombilets to the dream: once and for all, and for all the time-mercy-hungry, terrible sister-2ocedium collections Afishas are the most convenient way to choose how to conduct a free posting post: the main events of the wee"&amp;"k - you have to sign up the company editorial campaign Contactkitat CardiAfisha Dailypiknik Afishede. Rufisha Close -moving veteranstat. Bilet -picnovicular in terms of questioned issues, 1999–2023 LLC Afisha LLC. All rights reserved. For persons over 18 "&amp;"years old. User Agreement Policy of Confidentiality Rules for the Application of Technologies Azov Almetyevsk Anapa Angarsk Arzamas Armavir Arkhangelsk Astrakhan Achinsk Balashikha Balashikh Bataysk Beloregor Belorechensk Berdsk Bereznishk Blaguruslan Bug"&amp;"ulm Bugulma Buzulm Buzuluk Veliki Velik Verkhnyaya Pyshma Vidden Vladivostok Vladikavkaz Vladimir Volgograd Volgogonsk Volzhsky Vologda Volda Volk Vsevolozhsk Vyborg Gatchina Gornzhik Gorno-Altaysk Grozny Gubkin Gudermes Dzerzhinsk Dimitrovgrad Dmitrov Do"&amp;"lgoprudny Dubomodedovo Dubna Evpatoria Yekaterinburg Yelets Esentuki Zheleznogorsk (Krasnoyarsk) Zhukovsky Zareysk Zarenogorsk Zelenogradsky Zelenogostosvost Ivanovo Ivanovo and Ivanovo Ivanovo Zhevsk Irkutsk Istrim Istra Yoshkar-Ola Kazan Kaliningrad Kal"&amp;"uga Kamensk-Uralsky Kamyshin Kaspiysk Kemerovo Kingisepp Kirishi Kirov Kirovsk Klin Klintsov Kollets Kolpino Kolpino Komsomolsk-on-Amur Kopeysk Korolev Koryazhm Kostroma Krasnodarsk Krasnoyarsk Krasnoyarsk Kubinka Kubinka Kuznetsk Kurgan Kurgan Kursk Life"&amp;"tsk Lomonosov Lomonosovsi Luhmoi Luhmovitsa Ysuva Lytkarino Lyubertsy Magadan Magnitogorsk Maykop Makhachkala Miass Mozhaisk Moscow Murmansk Murmansk Mtsevshchi Naberezhnye Chelnye Nalran Nalchik Naro-Fominsk Nevinnomyssk Nevninome Neftekhugansk Nizhnekam"&amp;"sk Nizhny Novgorod Novolattysk Novomoskovsk Novorossiysk Novosibirsk Novocheboksarsk Novoshakhkhinsk New Urengsk November November SK Nyagan Obninsk Odintsovo Ozersk Oktyabrsky Omsk Orenburg Orekhovo-Zuevo Orsus Orsus Pavlovo Pavlovsky Posad Penza Pervour"&amp;"alsk Perm Peterhof Petrozavodsk Petropavlovsk-Kamchatsk Podolsk Poskopyevsk Pushkin Pushkin Pushkino Ramenskoye Reutov Rustov Rostov-Don Ruzan Ryazan Salavat Salevat Saransk Sevastopol Sevastopol Seversk Seversk Sergiev Sergiyev Sergiyev Sergukhov Sergukh"&amp;"ov Servor Simferopol Smolensk Sokol Solnechnogorsk Sosnovy Bor Sochi Spassk- Far Stavropol Stary Oskol Sterlitamak Stupino Surgut Syzran Taganrog Tagan Tikhvin Togvin Togliatti Tula Tula Tyumen Ulan-Uda Ulyanovsk Ust-Ilymsk Ufa Fryazino Khabarovsk Khaboks"&amp;"iysk Chelabinsk Chelyabinsk Cherkessk Chekhovsky Chi Chikhi Chi Chikha Chita Chita Chita Chita Chita. Elkovo Elestostal Elista Engels Yuzhno-Sakhalinsk Yakutsk Yalta Yaroslavl Selection Afishas Afishikalendar November 13, 2023 November 13, 2023 November 1"&amp;"4, 2023 November 15, 2023 November 16, 2023 November 17, 2023 November 18, 2023 November 19, 2023 November 21, 2023 22, 2023 November 23, 2023 November 25, 2023 27 2023 November 27 November 27 November 27 2023 November 28, 2023 November 29, 2023 November "&amp;"30, 2023 December 1, 2023 December 2, 2023 December 3, 2023 4 December 2023 5 December 2023 December 6, 2023 December 7, 2023 December 9, 2023 December 10, 2023 December 11, 2023 December 12, 2023 13 December 2023 14 December 2023 December 15, 2023 Decemb"&amp;"er 16, 2023 December 17, 2023 December 18, 2023 December 19, 2023 December 20, 2023 December 21, 2023 December 22, 2023 December 23, 2023 December 25, 2023 December 25, 2023 27 2023 27 December 28, 2023 December 29, 2023 December 30, 2023 December 31, 202"&amp;"3 January 1 January 2, 2024 January 3, 2024 January 4, 2024 January 5, 2024 January 6, 2024 January 7, 2024 January 8, 2024 January 924 January 10, 2024 January 11, 2024 January 12, 2024 January 14, 2024 January 15, 2024 January 16 January, January 16, Ja"&amp;"nuary 16 2024 January 17, 2024 January 2024 January 19, 2024 January 2024 January 21, 2024 January 22, 2024 January 23, 2024 January 24, 2024 January 25, 2024 January 26, 2024 January 28, 2024 January 29, 2024 January 30, 2024 January 2024 1 February, 202"&amp;"4 2 February 2024 February 3, 2024 February 4, 2024 February 5, 2024 February 6, 2024 February 7, 2024 February 8, 2024 February 9, 2024 February 10, 2024 February 11, 2024 February 13, 2024 February 14, 2024 February 15, 2024 February 16, 2024 17 Februar"&amp;"y 17, 2024 February 18, 2024 February 19, 2024 February 20, 2024 February 2024 February 22, 2024 February 23, 2024 2424 February 25, 2024 26 February 2024 27 2024 28 February 2024 29, 2024 March 2, 2024 March 3 March 3, 2024 4 March 2024 March 6 March Mar"&amp;"ch 6 March, March 6 March 2024 March 7, 2024 March 8, 2024 March 10 March 2024 March 11, 2024 March 12, 2024 March 13, 2024 March 14, 2024 March 15, 2024 March 16 March 17, 2024 March 18, 2024 March 19 March 2024 March 21, 2024 22 March 2024 23 23 March 2"&amp;"024 March 24, 2024 March 25, 2024 March 26, 2024 March 27, 2024 March 28, 2024 March 29, 2024 March 30, 2024 March 31, 2024 April 2 April 2, 2024 3 April, 2024 April 5, 2024 April 6, 2024 April 7, 2024 April 8, 2024 April 9, 2024 April 11 April 11, 2024 A"&amp;"pril 12, 2024 April 13, 2024 April 14, 2024 April 15, 2024 April 16, 2024 17 April 18, 2024 19 April 1924 April 2024 April 22, 2024 23 23, 2024 24 April 25 April April 25 April 25 2024 April 26 April 27 April 2024 April 28, 2024 April 29, 2024 April 30, 2"&amp;"024 May 1, 2024 May 2 May 2024 May 3, 2024 May 5 May 2024 May 6 May 2024 May 8, 2024 May 9, 2024 May 10 May 2024 11 May 2024 124 124 12 May 2024 May 13, 2024 May 14 May 15, 2024 May 16 May 2024 May 17, 2024 May 18 May 2024 May 19, 2024 May 2024 May 21, 20"&amp;"24 May 22 May 23, 2024 24 May 2024 May 25, 2024 May 27, 2024 28 May 28 May 2024 May 29, May 30, 2024 May 31, 2024 June 1, 2024 June 2, 2024 June 3, 2024 June 4, 2024 June 5, 2024 June 6 June 7, 2024 June 8, 2024 June 924 June 10 June 2024 June 12 June 13,"&amp;" 2024 June 14 June June 14 June 14 2024 June 15, 2024 June 16 June 17, 2024 June 18, 2024 June 19 June 2024 June 20, 2024 June 21, 2024 June 22 June 23, 2024 June 24, 2024 June 25, 2024 June 27, 2024 28 28 June 2024 29 June 2024 June 30, 2024 1 July 2024 "&amp;"July 2 July 3, 2024 July 4 July 5 July 2024 July 6 July 7, 2024 July 8 July 924 July 10 July 2024 July 12 July 13, 2024 July 14, 2024 July 15 July 16 July 17 July 17, 2024 July 18, 2024 July 19 July 2024 July 21, 2024 July 22 July 23, 2024 July 24, 2024 J"&amp;"uly 25, 2024 July 26 July 27, 2024 July 29, 2024 July 30, 2024 31 July, 2024 August 2, 2024 August 3 August 3 2024 August 4, 2024 August 5 August 6, 2024 August 7, 2024 August 8, 2024 August 9, 2024 August 10, 2024 August 11, 2024 August 12, 2024 August 1"&amp;"3, 2024 August 14, 2024 August 16, 2024 August 17 August 17, 2024 August 18, 2024 August 19, 2024 20 August 2024 August 21, 2024 August 22, 2024 August 23, 2024 August 24, 2024 August 25, 2024 26 August 2024 27 August 2024 28 August 29 August 29, 2024 Aug"&amp;"ust 30, 2024 August 1, 2024 September 2, 2024 September 3, 2024 4 September, 2024 September 5, 2024 September 6, 2024 September 7, 2024 on September 8, 2024 September 10, 2024 September 11, 2024 September 12, 2024 September 13, 2024 September 14, 2024 Sep"&amp;"tember 15, 2024 September 17, 2024 September 18, 2024 19 September 19, 2024 September 20, 2024 September 21, 2024 22 September 22 22 2024 September 23, 2024 September 24, 2024 September 25, 2024 on September 26, 2024 on September, 2024 28 September, 2024 "&amp;"29 September 2024 September 30, 2024 1 October 2024 October 2, 2024 October 4, 2024 5 October 2024 October 6, 2024 October 7, 2024 On October 8, 2024 9 October 2024 October 10, 2024 October 11, 2024 October 12, 2024 October 13, 2024 October 14, 2024 Octob"&amp;"er 15, 2024 October 16, 2024 October 17, 2024 October 18, 2024 October 19, 2024 October 2024, 2024 October 22, 2024 23, 2024 October 24, 2024 25 October 25 October 26, 2024 October 27, 2024 October 28, 2024 October 29, 2024 October 30, 2024 on October 202"&amp;"4 November 1, 2024 November 2, 2024 November 3, 2024 November 4, 2024 November 6, 2024 November 7, 2024 November 8, 2024 November 924 November 10 November 11 2024 November December January February March April May June July August September October today "&amp;"Tomorrow Tomorrow Week Weeks of the Months of Children")</f>
        <v>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2023 - январь 2024 МДМОт 900 ₽концертВивальди. The times of the year -Yabr 2023 - April 2024 House of Kinoot 1400 ₽6.1 Filmicatriye will be in 96 cinemas to buy a ticket -portable event of Khorkin. Show Duel November 19 at 18:00 Palace of gymnastics Irina Viner-Usmanova 1 1,500 ₽8 Epavkatinkoff City: Andy Warhol and Russian art on February 18 Jewish museum to buy a ticketfilmsindromid in 136 cinemas to the Ticketscription “Griff removed” November Bunker 450 ₽ Makers Moldhilms. Shie Mirrakkatalogi Film -expected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animation-30%discord-diskidota Christmas trees25 and 27 The Meridian Cultural Center 400 ₽ Dinagome M-Torpedhockei on November 23 at 19:30 SKRK VTB Arena Arena - The Central Stadium Dynamo named after Yashin from 400 ₽ Dinomo M - Skykhokkey on December 25 at 19:30 SKRK VTB Arena - the Central Stadium Dynamo named after Yashin from 400 ₽ Dinomasm M - CSKAHOKKYAI on December 19 at 19:30 SKRK " VTB Arena - the Central Stadium Dynamo named after Yashin from 200 ₽ ROPRODINA - Chernomoretorefutbol November 19 at 19:00 Sapsan Arenaafis Restaurantov10 The best restaurants in Moscow according to the version of Whereteat Moscow 202310 “Nature are 150 years old”: Evgeny Reimer about the future of the future and about the future of the future and The new restaurant "NE" in the atom pavilion on November 8 is in full swing: where to go to Sochi in November 7 November for a week: Khinkali festival Kazakh delicacies and ethnic firewalls on November7 The best restaurants of the Central Region of Russia according to the Whereteat 20234 Awards will be called the best restaurants of the capital of Krasnodar on November3 Sochi Rostov-on-Don and Gelendzhik will be held the festival of southern kitchen-eve-elays of a Syndromrill9.3ot 1100 ₽ Mayakovsky premieres 2023 January 2024 Lenkom Zakharovaboris Sveshnikov. Dreams of Eternity -Writers on January 14 Our artists of the Khatastastophantentesis of Afishavese7.7 Tylepyntlmenyboyevik8.8ot 1000 ₽ Rruxi -tank 2023 - January 2024 Muscovite Musical Theater KDKSKORO in Kinovsovsabiletychacamediyatyabileybiletikhchik and poultry farmletfilombilets to the dream: once and for all, and for all the time-mercy-hungry, terrible sister-2ocedium collections Afishas are the most convenient way to choose how to conduct a free posting post: the main events of the week - you have to sign up the company editorial campaign Contactkitat CardiAfisha Dailypiknik Afishede. Rufisha Close -moving veteranstat. Bilet -picnovicular in terms of questioned issues, 1999–2023 LLC Afisha LLC. All rights reserved. For persons over 18 years old. User Agreement Policy of Confidentiality Rules for the Application of Technologies Azov Almetyevsk Anapa Angarsk Arzamas Armavir Arkhangelsk Astrakhan Achinsk Balashikha Balashikh Bataysk Beloregor Belorechensk Berdsk Bereznishk Blaguruslan Bugulm Bugulma Buzulm Buzuluk Veliki Velik Verkhnyaya Pyshma Vidden Vladivostok Vladikavkaz Vladimir Volgograd Volgogonsk Volzhsky Vologda Volda Volk Vsevolozhsk Vyborg Gatchina Gornzhik Gorno-Altaysk Grozny Gubkin Gudermes Dzerzhinsk Dimitrovgrad Dmitrov Dolgoprudny Dubomodedovo Dubna Evpatoria Yekaterinburg Yelets Esentuki Zheleznogorsk (Krasnoyarsk) Zhukovsky Zareysk Zarenogorsk Zelenogradsky Zelenogostosvost Ivanovo Ivanovo and Ivanovo Ivanovo Zhevsk Irkutsk Istrim Istra Yoshkar-Ola Kazan Kaliningrad Kaluga Kamensk-Uralsky Kamyshin Kaspiysk Kemerovo Kingisepp Kirishi Kirov Kirovsk Klin Klintsov Kollets Kolpino Kolpino Komsomolsk-on-Amur Kopeysk Korolev Koryazhm Kostroma Krasnodarsk Krasnoyarsk Krasnoyarsk Kubinka Kubinka Kuznetsk Kurgan Kurgan Kursk Lifetsk Lomonosov Lomonosovsi Luhmoi Luhmovitsa Ysuva Lytkarino Lyubertsy Magadan Magnitogorsk Maykop Makhachkala Miass Mozhaisk Moscow Murmansk Murmansk Mtsevshchi Naberezhnye Chelnye Nalran Nalchik Naro-Fominsk Nevinnomyssk Nevninome Neftekhugansk Nizhnekamsk Nizhny Novgorod Novolattysk Novomoskovsk Novorossiysk Novosibirsk Novocheboksarsk Novoshakhkhinsk New Urengsk November November SK Nyagan Obninsk Odintsovo Ozersk Oktyabrsky Omsk Orenburg Orekhovo-Zuevo Orsus Orsus Pavlovo Pavlovsky Posad Penza Pervouralsk Perm Peterhof Petrozavodsk Petropavlovsk-Kamchatsk Podolsk Poskopyevsk Pushkin Pushkin Pushkino Ramenskoye Reutov Rustov Rostov-Don Ruzan Ryazan Salavat Salevat Saransk Sevastopol Sevastopol Seversk Seversk Sergiev Sergiyev Sergiyev Sergukhov Sergukhov Servor Simferopol Smolensk Sokol Solnechnogorsk Sosnovy Bor Sochi Spassk- Far Stavropol Stary Oskol Sterlitamak Stupino Surgut Syzran Taganrog Tagan Tikhvin Togvin Togliatti Tula Tula Tyumen Ulan-Uda Ulyanovsk Ust-Ilymsk Ufa Fryazino Khabarovsk Khaboksiysk Chelabinsk Chelyabinsk Cherkessk Chekhovsky Chi Chikhi Chi Chikha Chita Chita Chita Chita Chita. Elkovo Elestostal Elista Engels Yuzhno-Sakhalinsk Yakutsk Yalta Yaroslavl Selection Afishas Afishikalendar November 13, 2023 November 13, 2023 November 14, 2023 November 15, 2023 November 16, 2023 November 17, 2023 November 18, 2023 November 19, 2023 November 21, 2023 22, 2023 November 23, 2023 November 25, 2023 27 2023 November 27 November 27 November 27 2023 November 28, 2023 November 29, 2023 November 30, 2023 December 1, 2023 December 2, 2023 December 3, 2023 4 December 2023 5 December 2023 December 6, 2023 December 7, 2023 December 9, 2023 December 10, 2023 December 11, 2023 December 12, 2023 13 December 2023 14 December 2023 December 15, 2023 December 16, 2023 December 17, 2023 December 18, 2023 December 19, 2023 December 20, 2023 December 21, 2023 December 22, 2023 December 23, 2023 December 25, 2023 December 25, 2023 27 2023 27 December 28, 2023 December 29, 2023 December 30, 2023 December 31, 2023 January 1 January 2, 2024 January 3, 2024 January 4, 2024 January 5, 2024 January 6, 2024 January 7, 2024 January 8, 2024 January 924 January 10, 2024 January 11, 2024 January 12, 2024 January 14, 2024 January 15, 2024 January 16 January, January 16, January 16 2024 January 17, 2024 January 2024 January 19, 2024 January 2024 January 21, 2024 January 22, 2024 January 23, 2024 January 24, 2024 January 25, 2024 January 26, 2024 January 28, 2024 January 29, 2024 January 30, 2024 January 2024 1 February, 2024 2 February 2024 February 3, 2024 February 4, 2024 February 5, 2024 February 6, 2024 February 7, 2024 February 8, 2024 February 9, 2024 February 10, 2024 February 11, 2024 February 13, 2024 February 14, 2024 February 15, 2024 February 16, 2024 17 February 17, 2024 February 18, 2024 February 19, 2024 February 20, 2024 February 2024 February 22, 2024 February 23, 2024 2424 February 25, 2024 26 February 2024 27 2024 28 February 2024 29, 2024 March 2, 2024 March 3 March 3, 2024 4 March 2024 March 6 March March 6 March, March 6 March 2024 March 7, 2024 March 8, 2024 March 10 March 2024 March 11, 2024 March 12, 2024 March 13, 2024 March 14, 2024 March 15, 2024 March 16 March 17, 2024 March 18, 2024 March 19 March 2024 March 21, 2024 22 March 2024 23 23 March 2024 March 24, 2024 March 25, 2024 March 26, 2024 March 27, 2024 March 28, 2024 March 29, 2024 March 30, 2024 March 31, 2024 April 2 April 2, 2024 3 April, 2024 April 5, 2024 April 6, 2024 April 7, 2024 April 8, 2024 April 9, 2024 April 11 April 11, 2024 April 12, 2024 April 13, 2024 April 14, 2024 April 15, 2024 April 16, 2024 17 April 18, 2024 19 April 1924 April 2024 April 22, 2024 23 23, 2024 24 April 25 April April 25 April 25 2024 April 26 April 27 April 2024 April 28, 2024 April 29, 2024 April 30, 2024 May 1, 2024 May 2 May 2024 May 3, 2024 May 5 May 2024 May 6 May 2024 May 8, 2024 May 9, 2024 May 10 May 2024 11 May 2024 124 124 12 May 2024 May 13, 2024 May 14 May 15, 2024 May 16 May 2024 May 17, 2024 May 18 May 2024 May 19, 2024 May 2024 May 21, 2024 May 22 May 23, 2024 24 May 2024 May 25, 2024 May 27, 2024 28 May 28 May 2024 May 29, May 30, 2024 May 31, 2024 June 1, 2024 June 2, 2024 June 3, 2024 June 4, 2024 June 5, 2024 June 6 June 7, 2024 June 8, 2024 June 924 June 10 June 2024 June 12 June 13, 2024 June 14 June June 14 June 14 2024 June 15, 2024 June 16 June 17, 2024 June 18, 2024 June 19 June 2024 June 20, 2024 June 21, 2024 June 22 June 23, 2024 June 24, 2024 June 25, 2024 June 27, 2024 28 28 June 2024 29 June 2024 June 30, 2024 1 July 2024 July 2 July 3, 2024 July 4 July 5 July 2024 July 6 July 7, 2024 July 8 July 924 July 10 July 2024 July 12 July 13, 2024 July 14, 2024 July 15 July 16 July 17 July 17, 2024 July 18, 2024 July 19 July 2024 July 21, 2024 July 22 July 23, 2024 July 24, 2024 July 25, 2024 July 26 July 27, 2024 July 29, 2024 July 30, 2024 31 July, 2024 August 2, 2024 August 3 August 3 2024 August 4, 2024 August 5 August 6, 2024 August 7, 2024 August 8, 2024 August 9, 2024 August 10, 2024 August 11, 2024 August 12, 2024 August 13, 2024 August 14, 2024 August 16, 2024 August 17 August 17, 2024 August 18, 2024 August 19, 2024 20 August 2024 August 21, 2024 August 22, 2024 August 23, 2024 August 24, 2024 August 25, 2024 26 August 2024 27 August 2024 28 August 29 August 29, 2024 August 30, 2024 August 1, 2024 September 2, 2024 September 3, 2024 4 September, 2024 September 5, 2024 September 6, 2024 September 7, 2024 on September 8, 2024 September 10, 2024 September 11, 2024 September 12, 2024 September 13, 2024 September 14, 2024 September 15, 2024 September 17, 2024 September 18, 2024 19 September 19, 2024 September 20, 2024 September 21, 2024 22 September 22 22 2024 September 23, 2024 September 24, 2024 September 25, 2024 on September 26, 2024 on September, 2024 28 September, 2024 29 September 2024 September 30, 2024 1 October 2024 October 2, 2024 October 4, 2024 5 October 2024 October 6, 2024 October 7, 2024 On October 8, 2024 9 October 2024 October 10, 2024 October 11, 2024 October 12, 2024 October 13, 2024 October 14, 2024 October 15, 2024 October 16, 2024 October 17, 2024 October 18, 2024 October 19, 2024 October 2024, 2024 October 22, 2024 23, 2024 October 24, 2024 25 October 25 October 26, 2024 October 27, 2024 October 28, 2024 October 29, 2024 October 30, 2024 on October 2024 November 1, 2024 November 2, 2024 November 3, 2024 November 4, 2024 November 6, 2024 November 7, 2024 November 8, 2024 November 924 November 10 November 11 2024 November December January February March April May June July August September October today Tomorrow Tomorrow Week Weeks of the Months of Children</v>
      </c>
    </row>
    <row r="97">
      <c r="A97" s="1" t="s">
        <v>332</v>
      </c>
      <c r="B97" s="1" t="s">
        <v>366</v>
      </c>
      <c r="D97" s="1">
        <v>8.0</v>
      </c>
      <c r="E97" s="4" t="s">
        <v>367</v>
      </c>
      <c r="F97" s="1" t="s">
        <v>16</v>
      </c>
      <c r="G97" s="1" t="s">
        <v>368</v>
      </c>
      <c r="H97" s="4" t="s">
        <v>369</v>
      </c>
      <c r="I97" s="2">
        <v>1.0</v>
      </c>
      <c r="J97" s="5" t="str">
        <f>IFERROR(__xludf.DUMMYFUNCTION("GOOGLETRANSLATE(A97)"),"Avatar 2")</f>
        <v>Avatar 2</v>
      </c>
      <c r="K97" s="6" t="str">
        <f>IFERROR(__xludf.DUMMYFUNCTION("GOOGLETRANSLATE(B97)"),"Avatar 2 (2022) - a film about")</f>
        <v>Avatar 2 (2022) - a film about</v>
      </c>
      <c r="L97" s="5" t="str">
        <f>IFERROR(__xludf.DUMMYFUNCTION("GOOGLETRANSLATE(C97)"),"#VALUE!")</f>
        <v>#VALUE!</v>
      </c>
      <c r="M97" s="5" t="str">
        <f>IFERROR(__xludf.DUMMYFUNCTION("GOOGLETRANSLATE(G97)"),"Film Pro - You decide what to watch: Cinema News Trailers of the collection and tops of films and TV shows Premiere Premier Premier You decide what to watch that you watch the collections of filmstop film Prime Minister online top of the expected film afi"&amp;"sh of cinema -spider -spides: through the Ecumenesses of the WIK 4KAK 3AVATARVIDEND DROMICES Elina air. "" Traillepo pike command. Trailerhules from nowhere. Trailer -hungry games: ballad about snakes and singing birds. The first tender of the interview w"&amp;"as the first teaser for the air lords - the new joint work of Stephen Spielberg and Tom Hanks “Dear Americans! Go to the bathhouse! ”: The viral advertising campaign of the Russian comedy already on Manhattenems wanted to shoot a comedy, but when they wro"&amp;"te the script for some reason, we were not ridiculous: interviews with director Renat Davleyarov Marvel Crisis Crisis the future kinematographic universe in the question of the series of exiting serial-sulfuria serial-sulfur (series) very Strange deeds (s"&amp;"eries: 4 seasons) Falcon and winter soldier (series) The Lord of the Rings: Rings of power (TV series) Form of search for the site to watch the collection of filmstopas Prime Minister Prime Minister Expected Filmic Afisha Kinodatraitovidsnovidsnovyannovst"&amp;"arnovstiye Passeriac To the outputs of the serial -polar series, Darren Aronofsky will make a film about Ilon The mask for A24 studio is the longest acting strike in the United States ended and everyone is happy! Netflix decided to stop the spectators of "&amp;"the quality of Netflix quality films and turn into a video service of the premium content “The Shit of Twes” became the third billionaire film this year for 13 days of rolling a film screening already earned 15 billion rubles “We wanted to shoot a comedy "&amp;"but when we wrote the script for us It was not funny ”interviews with director Renat Davletyarov about the film“ Man from nowhere ”and not only in Marvel Crisis the future of the cinematic universe in question, the head of the studio Kevin Faygi, thinks a"&amp;"bout how to return the former greatness of his brainchild to the Premier of the ONLINEZHECHOSKOY online 7.3ONALINALY CONTACTIONS (2023) Dramalavmimir Mashkov Julia Pereshild Milos Bikovich7.2 Onezhon UIK 4boevik thriller crime 6.6 Online detectordrome thr"&amp;"illeryaria Borisov Grigory Vernik Sergey Gilev 6online Video - Boginakyakodiyakksandra Bortichi Vasilyev Anton Filipeninko6.6 Retaine underwear Che is non -Daboevik comedy 6.3 Online Video Snowygirdramatima of Tribune Alexander Robak Evgeniy Sleeped Extra"&amp;"ordinary Videooppenheimer Biographical Film Drama Historical Movimtt Damon Emily Bllant Killian Merfione's Video GardeaMarine 1787. Mir Film Film Adventures Historical Films Domogarov Dmitry Khaatyan Mamaevolinomerbarbicomedia adventures of fantasyraian G"&amp;"osling Margo Robbie America Ferreraonamine Semenov: Big Gait -Comrade Family Film Film Film Film Film Film Film Film Materials Marteria Filmaria Marina Fil Dvedunkiv Nikita Kologriynazadvnazadnazadvsadvgdigrapik online premiere-stringed-based Popopular111"&amp;"11 10: 30 Summer Magic films-adaptation of fairy tales from which not Turn off the green compass of the golden compass of the rings of the rings: the fraternity of the rings of the hobby hogbunes The last hero of the chronic of Narnia: Leo Sorceress and t"&amp;"he Magic Cabinet Harry Potter and the philosopher's stone Snow White and the shitty hunter 110.11: 37anim about John Wick is in the development of WIC 2 John Wiik 3 John Wick 4 John Wycquian Reeves Chad Stahelski10.11 15: 30th day: Darren Aronofska will s"&amp;"hoot a film about Ilona Mask for A24 Member Swan Mom! (2017) Requiem for a dream, Fraser Natalie Portman Darren Aronofski10.11 12: 22Warner Bros. The finished cinema is again canceled - this time “Koyot against Akme” with John Sina 110.11 11:11 “Captain A"&amp;"merica” flies away in 2025 - new dates of Marvel Studios releases Dadpool 309.11 17: 55 The first teaser of the “Air Lords” - new joint work of Stephen Spielberg and Tom Hanksatikhiy Ocean (mini-series) Brothers in arms (series: season 1) Stephen Spielber"&amp;"g Austin Robert Batler Tom Hankss734 Viewing a long-term strike in the United States ended 658 The first teaser of the Vlastelins of Air-a new joint work and Tom Hanksatichi Ocean (mini-series) Brothers in arms (series: season 1) Stephen Spielberg Austin "&amp;"Robert Batler Tom Hankss478 Views of the School Command became the third film-nuclear film of the pike, Van Dan Damm admitted that he admitted that he was shameful For his Camo in “Friends” Friends (series: 10 seasons) Courtney Cox Jean-Claude Van Damm Je"&amp;"nnifer Eniston36 View Netflix decided to stop filling the audience with Netflix329 Views Waterner Bros. Again, the finished cinema is canceled - this time the “coyote against Akme” with John Sinavsa Freshness Popular Steam for the video 09.11 18:50 “The L"&amp;"ord of the Air”. Traileler to see the video 08.11 17:25 Sellers of pain. Trailer with subtitram test video 08.11 14: 32kitis. Duplicated trailer view video03.11 15: 32 people from nowhere. Traileler to examine the video02.11 10: 30romanovs. The last word."&amp;" Traileler to examine the video31.10 20: 02 sample is to blame. Teser-scenes watch video31.10 13:08 Last quest. Traileler to examine the video30.10 12: 55 mixers make a movie. Traileler to examine the video30.10 12:55 Sunny. Duplicated trailer examine the"&amp;" video27.10 17: 25 killer. Traileler to examine the video26.10 17: 44 -air. Traileler to examine the video23.10 16: 27 hood 2. Trailelernazadvv review video330 thousand hunter for monsters. Duplicated trailer No. 1 am a monster to examine the video270 tho"&amp;"usand miracle women 1984. Duplicated trailer No. 1studo-female: 1984 test video208 thousand argument. Duplicated trailer No. 2DARSTENT VIDEO VIDEO188 thousand dad. Trailer No. 1 Battery Video156 thousand deeper. Trailer No. 1 Blub! Watch video150 thousand"&amp;" black widow. Duplicated trailer black widow Video115 thousand main character. Duplicated trailer -headed hero to examine the video114 thousand love. Extraise trailer in English (18+) Love 3DGASPAPAPA NEEST Video112 thousand Furious 9. Duplicated promotio"&amp;"nal-roller No. Formation 9 to watch video70 thousand black widow. Promo-Rolik No. 11th widow Video 67 thousand. Quiet place 2. Duplicated trailer No. 2 Tychoic place 2 look at the video64 thousand volume and Jerry. Dubbed trailer No. 1st and jerrinazadvve"&amp;"tvsa is not too much to seekfilmarials 6.9 core aid inventory of Kakha1 million. Views of Grevtsov Arthur Oganesyan Danielyan 7.5 Video High -roller Video -Golop 943 thousand Mironov Milos Bikovich 7.2 F 9895 thousand Views Diesel Charlize Teron John Sina"&amp;"7.1 Consideration of video tribulations of 825 thousand View McConacha Charlie Hannem Jeremy Strong7.5 Under the video. Chapter 2811 thousand Views-Elm Blair Hiro Fains-Tiffin Dylan Sjeretniy Samtoye, Video of Shades of Gray728 thousand. View Dornon Dorni"&amp;"fer Dornififer Ilinazadvoprot 7.8 See Video (TV series) 508 thousand paved Di Hunter Shafer7.6 Under the video chernobyl (mini-series) 425 thousand. View Skarsgard Emily Watson Jared Harris7.6 Until Video Khorozhny Doctor (TV series) 425 thousand. View Ga"&amp;"rrett Anthony Thomas Chuku Modu 8.1 Watch a video investigating detective (series) 419 thousand ROZMOR CROSSUROPHIRA AIKIRA AIKSON7.6 Game of Thrones (series) 412 thousand views of bin Nikolai Koster-Waldau Harry Lloyd7.3 Underbature Video of the Wild Wes"&amp;"t (TV series: 4 seasons) 326 thousand Views James Marsden Synthia Dallas Oliver Belnazadvs films TOP Privse genyanimubiographic film-western film-core film-core-core The film Criminalmeldrama-Mustical Municipal Multfilmmmummous-Fantastic Number-Film-Film "&amp;"Film Film Sports Film Shutrillerazasyasifantastici9.71 Conside the Video Command ... The comedy cartoon adventure Charles Beker Patrick Fitssimmons Eva Konnolly 9.72 Video flesed bosses cartoon adventure Karelle Catherine O'Hara William Schetner9.73 Indep"&amp;"endent Video Imind: Back to the future 3DCOMSITION CHARCHA En Wilson Dan Fogler9.74 See Video Cartoons Cartoon Adventure Corpses Williams Jim Brodbent Mal Brooks9.75 Underbature Video run from the chicken coop -core cartoon adventures of the adventure of "&amp;"Julia Savalia Lynn Ferguson9.76 Understand Video -Twin Duckling and Yakomedia Cartoon Tylak Morgan Morgan S. Jones9.77 Video Video Grinders! ABO9.78 Until Video Square Video 2 Cartoons Cartoon Adventures Glover Eliza Gabrielly Nicen Fully Falterman9. 79 S"&amp;"ee Video City Tsipaccamedia Cartoon Adventures of the Zan ZAK ZAK Mark Dandal9.610 Underbid Video Klakemultfilm Family Film Fantesihuan Carlos Carlos Horge Ginzburg Fabbiani9.611 Video Video Video Video Video Tsnaz -comedy cartoon adventures Bodbent Jonat"&amp;"an Ross Brian Lonsdale9.612 Until Video Shutting Video: Tales from the forest comedy cartoon adventure bubrian Drammond Lee Lee Tokar Melissa Shturm9.613 Video See Video Cartoon Cartoon Adventures Extra Kucher Martin Debra Messing9.614 Video Regional Squi"&amp;"rrel 3d Cartoon Cartoon Adventures of Danam Christian Potza Ping9.615 Consideration of the Video Catch Tfilm Adventurejims Show Benjamin Nathan-Serio Frank Robledo9.616 Video Bay Hoopy Cartoon Cartoon Family Film Roosanne Carol Kuk Bobby Block9.617 Seeing"&amp;" the video adaptation of the pirates in the country of vegetable comedy Cartoon Cartoon Visher Laura Richie Adam Frik9.618 Underbature Video Supple 3 Cartoon Adventures -Menville Alex Tomas L. Walker 9 Evik Cartoon Adventures Wilem Scott Cuin Latif Denis "&amp;"Liri9.620 Video 2 comedy cartoon Family film Musical film Elijah Wood Elizabeth Daili Pinknazadvsdvo Top collection10 School films of fairy tales from which do not break away13 films that will save you from the autumn spleeners even if the cats are hoped "&amp;"out3030 the best horror of the XXI century10th century 1910 hearts: the best films with Will Smith18 Best films about The Roman Empires selections of the science collection 110.11: 37anim about John Wick is in the development of WIK 2 John Wick 3 John Wic"&amp;"k 4 John Wycquyan Reeves Chad Stachelski10.11 12: 22Warner Bros. The finished cinema is already canceled again-this time “Koyot against Akme” with John Sina 09.11: 55, the first teaser of the “power of the air”-the new joint work of Stephen Spielberg and "&amp;"Tom Hanksatichi Ocean (mini-series) brothers in arms (series: 1 Season) Stephen Spielberg Austin Robert Batler Tom Hankss09.11 13: 15 Gazhan-Claude Van Damm admitted that he was ashamed for his Camo in “Friends” Friends (series: 10 seasons) Courtney Claud"&amp;"e Jean-Claude Damm Damm Jennifer Eniston 09.11 10: 10 A long -term acting strike in the United States ended 08.11 17: 26NETFLIX decided to stop filling the audience with Netflix quality films08.11 15: 05 producers of the superhero blockbuster driven the s"&amp;"tar “Bear” and “shameless” after the question of why he was filming Allen Wait08.11 12: 09 Mike White: The third season of the White Lotus will be even larger than Mike White Jennifer Kulidge 08.11 10: 25 Greek Gervig will be engaged in the “Chronicles of"&amp;" Narnia” for Netflix in 2024 Chronicle of Narnia: Prince Caspian Chronicle of Narnia: conqueror dawn Lady Barbie Barbie ... Greta Gerwig03.11 10:59 “Mission Impossible 7” and “Reptiles” - the most popular films in October by Piratyt Kruz Justin Timberlack"&amp;" Uma Thurman 02.11: 30 The 30th Dragon House season, the Dragon House (series) Game of Thrones (TV series) 02.10 14: 54v Marvel Crisis the future of a cinematic universe in question in a question in the question of the Roman Empire1111 Films that will all"&amp;"ow you to go for your physicists 7th in the evening: the most frank Russian TV shows, rolled Russian series that extended for new seasons 20 best Russian series that will force you to believe in domestic cinema and Russian TV shows for lovers of mysticism"&amp;"16novy Russian series for which are not embarrassing, the best series about witch and vampires. The best series about serial killers of maniacs and psychopaths15 The best series about space18 SCAMITIONAL POLITICAL TRILLERS: Films and TV series15 Serials i"&amp;"n which even attentive viewers will easily be entangled in the news of the news of the best series of the All -Emotabi Ogra-western-western film detective-codic film-core film-like film-circle film Criminalmeldramism-Mistified film Multfilmmummicom Fantas"&amp;"tic named-articular film sports film-shovutsotsotsotrillerazasyasifantastic fantasy9.01 Supreme Classclame Aanima Melodrama9.02 Independent Night Sangoka: Musical themanim Musical film Fantasy Melodrama9.03 Sengoku era: Love that flies aim .94 Until the v"&amp;"ideo for the commander (series) comedy Melodmanin Usatova Maxim Averin Alexander Nikiforov 8.85 in more prostrate days : The other day, the comedy is the scientific and fiction melodrama 8.86 Supreme-freezing the dead drama melodramatrevor Iv Sue Johnston"&amp;" Felicit Duji Ju8.87 Supreme Star ONME-YANIMENIMA Fantasy Melodrama 8.88 Separates Delivery Drama Fantasy Melodrama8.89 Details of Voin-Vin Seilor Moon: Memoirs of the melodrama8.710 Separately-male Imperial Guard 2anima Mysticism of the adventure of the "&amp;"melodrama 8.711111 Subject is friendly! Anime comedy melodrama8.712 Supreme life for the online comedy Melodrama 8.713 Separate aliens: the last chapter action movie Comedy Comedy Scientific and Fantastic melodrama8.714 Individual adventure Ottho Fantasy "&amp;"Melodrama8.715 Understanding the girl Melodrama8.716 Contained blow: RECAPANIMA ANITY Drama Scientific and Fantastic melodrama8.617 Separate-Dedallas (series) Drama Melodramakhard Kil DEK DEK Linda Gray8.618 Until the video of the American (series) Drama "&amp;"Historical film Melodramadavid Harbor Green Darren Petti8.619 I will meet you on hot sources in the dungeon? To the comedy adventure of fantasy melodrama8 .620 Supported by the booty comedy Drama melodramanazadvsadvsa series Pronovinki Cinema Hot News liv"&amp;"e discussions online reports! All this is in our social networks! Join us! Https: //www.facebook.com/filmpro /wwww.youtube.com/user/filmpronews69539 Subcnsers as for the collection Filmovtop Film Profish Kinotheatrotop Premiere PremierTop Film Placular Fi"&amp;"lms of the Interviewers Portiasidazhidstryuvid. Film Trailery -School Semetrope Series Selection Series -Polopular Series -Speeds about © 2019 Network Edition “FilmPro.ru)”. Founder: Federal State Unitary Enterprise ""All -Russian State Television and Rad"&amp;"io Broadcasting Company"" (VGTRK). Certificate of registration of the media EL No. FS 77-69132 dated 03.24.2017. Issued by the Federal Service for Supervision of the Communications of Information Technologies and Mass Communications. Editor -in -chief: Ku"&amp;"dryavtsev I.A. Email address of the editorial office: info@vesti.ru Editor's phone: +7 (495) 232-63-33. For children over 16 years old. All rights to any materials published on the site are protected in accordance with Russian and international intellectu"&amp;"al property legislation. Any use of text photos of audio and video materials is possible only with the consent of the copyright holder (VGTRK). Partner of the Rambleran of our website, we use cookies to collect technical information and process the IP add"&amp;"ress of your location. Continuing to use this site, you consent to the use of cookies. I agree")</f>
        <v>Film Pro - You decide what to watch: Cinema News Trailers of the collection and tops of films and TV shows Premiere Premier Premier You decide what to watch that you watch the collections of filmstop film Prime Minister online top of the expected film afish of cinema -spider -spides: through the Ecumenesses of the WIK 4KAK 3AVATARVIDEND DROMICES Elina air. " Traillepo pike command. Trailerhules from nowhere. Trailer -hungry games: ballad about snakes and singing birds. The first tender of the interview was the first teaser for the air lords - the new joint work of Stephen Spielberg and Tom Hanks “Dear Americans! Go to the bathhouse! ”: The viral advertising campaign of the Russian comedy already on Manhattenems wanted to shoot a comedy, but when they wrote the script for some reason, we were not ridiculous: interviews with director Renat Davleyarov Marvel Crisis Crisis the future kinematographic universe in the question of the series of exiting serial-sulfuria serial-sulfur (series) very Strange deeds (series: 4 seasons) Falcon and winter soldier (series) The Lord of the Rings: Rings of power (TV series) Form of search for the site to watch the collection of filmstopas Prime Minister Prime Minister Expected Filmic Afisha Kinodatraitovidsnovidsnovyannovstarnovstiye Passeriac To the outputs of the serial -polar series, Darren Aronofsky will make a film about Ilon The mask for A24 studio is the longest acting strike in the United States ended and everyone is happy! Netflix decided to stop the spectators of the quality of Netflix quality films and turn into a video service of the premium content “The Shit of Twes” became the third billionaire film this year for 13 days of rolling a film screening already earned 15 billion rubles “We wanted to shoot a comedy but when we wrote the script for us It was not funny ”interviews with director Renat Davletyarov about the film“ Man from nowhere ”and not only in Marvel Crisis the future of the cinematic universe in question, the head of the studio Kevin Faygi, thinks about how to return the former greatness of his brainchild to the Premier of the ONLINEZHECHOSKOY online 7.3ONALINALY CONTACTIONS (2023) Dramalavmimir Mashkov Julia Pereshild Milos Bikovich7.2 Onezhon UIK 4boevik thriller crime 6.6 Online detectordrome thrilleryaria Borisov Grigory Vernik Sergey Gilev 6online Video - Boginakyakodiyakksandra Bortichi Vasilyev Anton Filipeninko6.6 Retaine underwear Che is non -Daboevik comedy 6.3 Online Video Snowygirdramatima of Tribune Alexander Robak Evgeniy Sleeped Extraordinary Videooppenheimer Biographical Film Drama Historical Movimtt Damon Emily Bllant Killian Merfione's Video GardeaMarine 1787. Mir Film Film Adventures Historical Films Domogarov Dmitry Khaatyan Mamaevolinomerbarbicomedia adventures of fantasyraian Gosling Margo Robbie America Ferreraonamine Semenov: Big Gait -Comrade Family Film Film Film Film Film Film Film Film Materials Marteria Filmaria Marina Fil Dvedunkiv Nikita Kologriynazadvnazadnazadvsadvgdigrapik online premiere-stringed-based Popopular11111 10: 30 Summer Magic films-adaptation of fairy tales from which not Turn off the green compass of the golden compass of the rings of the rings: the fraternity of the rings of the hobby hogbunes The last hero of the chronic of Narnia: Leo Sorceress and the Magic Cabinet Harry Potter and the philosopher's stone Snow White and the shitty hunter 110.11: 37anim about John Wick is in the development of WIC 2 John Wiik 3 John Wick 4 John Wycquian Reeves Chad Stahelski10.11 15: 30th day: Darren Aronofska will shoot a film about Ilona Mask for A24 Member Swan Mom! (2017) Requiem for a dream, Fraser Natalie Portman Darren Aronofski10.11 12: 22Warner Bros. The finished cinema is again canceled - this time “Koyot against Akme” with John Sina 110.11 11:11 “Captain America” flies away in 2025 - new dates of Marvel Studios releases Dadpool 309.11 17: 55 The first teaser of the “Air Lords” - new joint work of Stephen Spielberg and Tom Hanksatikhiy Ocean (mini-series) Brothers in arms (series: season 1) Stephen Spielberg Austin Robert Batler Tom Hankss734 Viewing a long-term strike in the United States ended 658 The first teaser of the Vlastelins of Air-a new joint work and Tom Hanksatichi Ocean (mini-series) Brothers in arms (series: season 1) Stephen Spielberg Austin Robert Batler Tom Hankss478 Views of the School Command became the third film-nuclear film of the pike, Van Dan Damm admitted that he admitted that he was shameful For his Camo in “Friends” Friends (series: 10 seasons) Courtney Cox Jean-Claude Van Damm Jennifer Eniston36 View Netflix decided to stop filling the audience with Netflix329 Views Waterner Bros. Again, the finished cinema is canceled - this time the “coyote against Akme” with John Sinavsa Freshness Popular Steam for the video 09.11 18:50 “The Lord of the Air”. Traileler to see the video 08.11 17:25 Sellers of pain. Trailer with subtitram test video 08.11 14: 32kitis. Duplicated trailer view video03.11 15: 32 people from nowhere. Traileler to examine the video02.11 10: 30romanovs. The last word. Traileler to examine the video31.10 20: 02 sample is to blame. Teser-scenes watch video31.10 13:08 Last quest. Traileler to examine the video30.10 12: 55 mixers make a movie. Traileler to examine the video30.10 12:55 Sunny. Duplicated trailer examine the video27.10 17: 25 killer. Traileler to examine the video26.10 17: 44 -air. Traileler to examine the video23.10 16: 27 hood 2. Trailelernazadvv review video330 thousand hunter for monsters. Duplicated trailer No. 1 am a monster to examine the video270 thousand miracle women 1984. Duplicated trailer No. 1studo-female: 1984 test video208 thousand argument. Duplicated trailer No. 2DARSTENT VIDEO VIDEO188 thousand dad. Trailer No. 1 Battery Video156 thousand deeper. Trailer No. 1 Blub! Watch video150 thousand black widow. Duplicated trailer black widow Video115 thousand main character. Duplicated trailer -headed hero to examine the video114 thousand love. Extraise trailer in English (18+) Love 3DGASPAPAPA NEEST Video112 thousand Furious 9. Duplicated promotional-roller No. Formation 9 to watch video70 thousand black widow. Promo-Rolik No. 11th widow Video 67 thousand. Quiet place 2. Duplicated trailer No. 2 Tychoic place 2 look at the video64 thousand volume and Jerry. Dubbed trailer No. 1st and jerrinazadvvetvsa is not too much to seekfilmarials 6.9 core aid inventory of Kakha1 million. Views of Grevtsov Arthur Oganesyan Danielyan 7.5 Video High -roller Video -Golop 943 thousand Mironov Milos Bikovich 7.2 F 9895 thousand Views Diesel Charlize Teron John Sina7.1 Consideration of video tribulations of 825 thousand View McConacha Charlie Hannem Jeremy Strong7.5 Under the video. Chapter 2811 thousand Views-Elm Blair Hiro Fains-Tiffin Dylan Sjeretniy Samtoye, Video of Shades of Gray728 thousand. View Dornon Dornifer Dornififer Ilinazadvoprot 7.8 See Video (TV series) 508 thousand paved Di Hunter Shafer7.6 Under the video chernobyl (mini-series) 425 thousand. View Skarsgard Emily Watson Jared Harris7.6 Until Video Khorozhny Doctor (TV series) 425 thousand. View Garrett Anthony Thomas Chuku Modu 8.1 Watch a video investigating detective (series) 419 thousand ROZMOR CROSSUROPHIRA AIKIRA AIKSON7.6 Game of Thrones (series) 412 thousand views of bin Nikolai Koster-Waldau Harry Lloyd7.3 Underbature Video of the Wild West (TV series: 4 seasons) 326 thousand Views James Marsden Synthia Dallas Oliver Belnazadvs films TOP Privse genyanimubiographic film-western film-core film-core-core The film Criminalmeldrama-Mustical Municipal Multfilmmmummous-Fantastic Number-Film-Film Film Film Sports Film Shutrillerazasyasifantastici9.71 Conside the Video Command ... The comedy cartoon adventure Charles Beker Patrick Fitssimmons Eva Konnolly 9.72 Video flesed bosses cartoon adventure Karelle Catherine O'Hara William Schetner9.73 Independent Video Imind: Back to the future 3DCOMSITION CHARCHA En Wilson Dan Fogler9.74 See Video Cartoons Cartoon Adventure Corpses Williams Jim Brodbent Mal Brooks9.75 Underbature Video run from the chicken coop -core cartoon adventures of the adventure of Julia Savalia Lynn Ferguson9.76 Understand Video -Twin Duckling and Yakomedia Cartoon Tylak Morgan Morgan S. Jones9.77 Video Video Grinders! ABO9.78 Until Video Square Video 2 Cartoons Cartoon Adventures Glover Eliza Gabrielly Nicen Fully Falterman9. 79 See Video City Tsipaccamedia Cartoon Adventures of the Zan ZAK ZAK Mark Dandal9.610 Underbid Video Klakemultfilm Family Film Fantesihuan Carlos Carlos Horge Ginzburg Fabbiani9.611 Video Video Video Video Video Tsnaz -comedy cartoon adventures Bodbent Jonatan Ross Brian Lonsdale9.612 Until Video Shutting Video: Tales from the forest comedy cartoon adventure bubrian Drammond Lee Lee Tokar Melissa Shturm9.613 Video See Video Cartoon Cartoon Adventures Extra Kucher Martin Debra Messing9.614 Video Regional Squirrel 3d Cartoon Cartoon Adventures of Danam Christian Potza Ping9.615 Consideration of the Video Catch Tfilm Adventurejims Show Benjamin Nathan-Serio Frank Robledo9.616 Video Bay Hoopy Cartoon Cartoon Family Film Roosanne Carol Kuk Bobby Block9.617 Seeing the video adaptation of the pirates in the country of vegetable comedy Cartoon Cartoon Visher Laura Richie Adam Frik9.618 Underbature Video Supple 3 Cartoon Adventures -Menville Alex Tomas L. Walker 9 Evik Cartoon Adventures Wilem Scott Cuin Latif Denis Liri9.620 Video 2 comedy cartoon Family film Musical film Elijah Wood Elizabeth Daili Pinknazadvsdvo Top collection10 School films of fairy tales from which do not break away13 films that will save you from the autumn spleeners even if the cats are hoped out3030 the best horror of the XXI century10th century 1910 hearts: the best films with Will Smith18 Best films about The Roman Empires selections of the science collection 110.11: 37anim about John Wick is in the development of WIK 2 John Wick 3 John Wick 4 John Wycquyan Reeves Chad Stachelski10.11 12: 22Warner Bros. The finished cinema is already canceled again-this time “Koyot against Akme” with John Sina 09.11: 55, the first teaser of the “power of the air”-the new joint work of Stephen Spielberg and Tom Hanksatichi Ocean (mini-series) brothers in arms (series: 1 Season) Stephen Spielberg Austin Robert Batler Tom Hankss09.11 13: 15 Gazhan-Claude Van Damm admitted that he was ashamed for his Camo in “Friends” Friends (series: 10 seasons) Courtney Claude Jean-Claude Damm Damm Jennifer Eniston 09.11 10: 10 A long -term acting strike in the United States ended 08.11 17: 26NETFLIX decided to stop filling the audience with Netflix quality films08.11 15: 05 producers of the superhero blockbuster driven the star “Bear” and “shameless” after the question of why he was filming Allen Wait08.11 12: 09 Mike White: The third season of the White Lotus will be even larger than Mike White Jennifer Kulidge 08.11 10: 25 Greek Gervig will be engaged in the “Chronicles of Narnia” for Netflix in 2024 Chronicle of Narnia: Prince Caspian Chronicle of Narnia: conqueror dawn Lady Barbie Barbie ... Greta Gerwig03.11 10:59 “Mission Impossible 7” and “Reptiles” - the most popular films in October by Piratyt Kruz Justin Timberlack Uma Thurman 02.11: 30 The 30th Dragon House season, the Dragon House (series) Game of Thrones (TV series) 02.10 14: 54v Marvel Crisis the future of a cinematic universe in question in a question in the question of the Roman Empire1111 Films that will allow you to go for your physicists 7th in the evening: the most frank Russian TV shows, rolled Russian series that extended for new seasons 20 best Russian series that will force you to believe in domestic cinema and Russian TV shows for lovers of mysticism16novy Russian series for which are not embarrassing, the best series about witch and vampires. The best series about serial killers of maniacs and psychopaths15 The best series about space18 SCAMITIONAL POLITICAL TRILLERS: Films and TV series15 Serials in which even attentive viewers will easily be entangled in the news of the news of the best series of the All -Emotabi Ogra-western-western film detective-codic film-core film-like film-circle film Criminalmeldramism-Mistified film Multfilmmummicom Fantastic named-articular film sports film-shovutsotsotsotrillerazasyasifantastic fantasy9.01 Supreme Classclame Aanima Melodrama9.02 Independent Night Sangoka: Musical themanim Musical film Fantasy Melodrama9.03 Sengoku era: Love that flies aim .94 Until the video for the commander (series) comedy Melodmanin Usatova Maxim Averin Alexander Nikiforov 8.85 in more prostrate days : The other day, the comedy is the scientific and fiction melodrama 8.86 Supreme-freezing the dead drama melodramatrevor Iv Sue Johnston Felicit Duji Ju8.87 Supreme Star ONME-YANIMENIMA Fantasy Melodrama 8.88 Separates Delivery Drama Fantasy Melodrama8.89 Details of Voin-Vin Seilor Moon: Memoirs of the melodrama8.710 Separately-male Imperial Guard 2anima Mysticism of the adventure of the melodrama 8.711111 Subject is friendly! Anime comedy melodrama8.712 Supreme life for the online comedy Melodrama 8.713 Separate aliens: the last chapter action movie Comedy Comedy Scientific and Fantastic melodrama8.714 Individual adventure Ottho Fantasy Melodrama8.715 Understanding the girl Melodrama8.716 Contained blow: RECAPANIMA ANITY Drama Scientific and Fantastic melodrama8.617 Separate-Dedallas (series) Drama Melodramakhard Kil DEK DEK Linda Gray8.618 Until the video of the American (series) Drama Historical film Melodramadavid Harbor Green Darren Petti8.619 I will meet you on hot sources in the dungeon? To the comedy adventure of fantasy melodrama8 .620 Supported by the booty comedy Drama melodramanazadvsadvsa series Pronovinki Cinema Hot News live discussions online reports! All this is in our social networks! Join us! Https: //www.facebook.com/filmpro /wwww.youtube.com/user/filmpronews69539 Subcnsers as for the collection Filmovtop Film Profish Kinotheatrotop Premiere PremierTop Film Placular Films of the Interviewers Portiasidazhidstryuvid. Film Trailery -School Semetrope Series Selection Series -Polopular Series -Speeds about © 2019 Network Edition “FilmPro.ru)”. Founder: Federal State Unitary Enterprise "All -Russian State Television and Radio Broadcasting Company" (VGTRK). Certificate of registration of the media EL No. FS 77-69132 dated 03.24.2017. Issued by the Federal Service for Supervision of the Communications of Information Technologies and Mass Communications. Editor -in -chief: Kudryavtsev I.A. Email address of the editorial office: info@vesti.ru Editor's phone: +7 (495) 232-63-33. For children over 16 years old. All rights to any materials published on the site are protected in accordance with Russian and international intellectual property legislation. Any use of text photos of audio and video materials is possible only with the consent of the copyright holder (VGTRK). Partner of the Rambleran of our website, we use cookies to collect technical information and process the IP address of your location. Continuing to use this site, you consent to the use of cookies. I agree</v>
      </c>
    </row>
    <row r="98">
      <c r="A98" s="1" t="s">
        <v>332</v>
      </c>
      <c r="B98" s="1" t="s">
        <v>370</v>
      </c>
      <c r="C98" s="1" t="s">
        <v>371</v>
      </c>
      <c r="D98" s="1">
        <v>3.0</v>
      </c>
      <c r="E98" s="4" t="s">
        <v>372</v>
      </c>
      <c r="F98" s="1" t="s">
        <v>43</v>
      </c>
      <c r="G98" s="1" t="s">
        <v>27</v>
      </c>
      <c r="H98" s="4" t="s">
        <v>28</v>
      </c>
      <c r="I98" s="2">
        <v>0.0</v>
      </c>
      <c r="J98" s="5" t="str">
        <f>IFERROR(__xludf.DUMMYFUNCTION("GOOGLETRANSLATE(A98)"),"Avatar 2")</f>
        <v>Avatar 2</v>
      </c>
      <c r="K98" s="6" t="str">
        <f>IFERROR(__xludf.DUMMYFUNCTION("GOOGLETRANSLATE(B98)"),"Avatar: The Way of Water")</f>
        <v>Avatar: The Way of Water</v>
      </c>
      <c r="L98" s="5" t="str">
        <f>IFERROR(__xludf.DUMMYFUNCTION("GOOGLETRANSLATE(C98)"),"Avatar: The Way of Water is a 2022 American epic science fiction film co-produced and directed by James Cameron, who co-wrote the screenplay with Rick Jaffa ...")</f>
        <v>Avatar: The Way of Water is a 2022 American epic science fiction film co-produced and directed by James Cameron, who co-wrote the screenplay with Rick Jaffa ...</v>
      </c>
      <c r="M98" s="5" t="str">
        <f>IFERROR(__xludf.DUMMYFUNCTION("GOOGLETRANSLATE(G98)"),"Wikipedia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99">
      <c r="A99" s="1" t="s">
        <v>332</v>
      </c>
      <c r="B99" s="1" t="s">
        <v>373</v>
      </c>
      <c r="C99" s="1" t="s">
        <v>374</v>
      </c>
      <c r="D99" s="1">
        <v>4.0</v>
      </c>
      <c r="E99" s="4" t="s">
        <v>375</v>
      </c>
      <c r="F99" s="1" t="s">
        <v>43</v>
      </c>
      <c r="G99" s="1" t="s">
        <v>376</v>
      </c>
      <c r="H99" s="4" t="s">
        <v>377</v>
      </c>
      <c r="I99" s="2">
        <v>1.0</v>
      </c>
      <c r="J99" s="5" t="str">
        <f>IFERROR(__xludf.DUMMYFUNCTION("GOOGLETRANSLATE(A99)"),"Avatar 2")</f>
        <v>Avatar 2</v>
      </c>
      <c r="K99" s="6" t="str">
        <f>IFERROR(__xludf.DUMMYFUNCTION("GOOGLETRANSLATE(B99)"),"Avatar: The Way of Water (2022)")</f>
        <v>Avatar: The Way of Water (2022)</v>
      </c>
      <c r="L99" s="5" t="str">
        <f>IFERROR(__xludf.DUMMYFUNCTION("GOOGLETRANSLATE(C99)"),"Set more than a decade after the events of the first film, 'Avatar: Play trailer2:01.")</f>
        <v>Set more than a decade after the events of the first film, 'Avatar: Play trailer2:01.</v>
      </c>
      <c r="M99" s="5" t="str">
        <f>IFERROR(__xludf.DUMMYFUNCTION("GOOGLETRANSLATE(G99)"),"IMDb: Ratings Reviews and Where to Watch the Best Movies &amp; TV Shows MenuMoviesRelease CalendarTop 250 MoviesMost Popular MoviesBrowse Movies by GenreTop Box OfficeShowtimes &amp; TicketsMovie NewsIndia Movie SpotlightTV ShowsWhat's on TV &amp; StreamingTop 250 TV"&amp;" ShowsMost Popular TV ShowsBrowse TV Shows by GenreTV NewsWatchWhat to WatchLatest TrailersIMDb OriginalsIMDb PicksIMDb PodcastsAwards &amp; EventsOscarsEmmysHoliday PicksMAMISTARmeter AwardsAwards CentralFestival CentralAll EventsCelebsBorn TodayMost Popular"&amp;" CelebsCelebrity NewsCommunityHelp CenterContributor ZonePollsFor Industry ProfessionalsLanguageEnglish (United States)LanguageFully supportedEnglish (United States)Partially supportedFrançais (Canada)Français (France)Deutsch (Deutschland)हिंदी (भारत)Ital"&amp;"iano (Italia)Português (Brasil)Español (España)Español (México)AllAllTitlesTV EpisodesCelebsCompaniesKeywordsAdvanced SearchWatchlistSign InSign InNew Customer? Create accountENFully supportedEnglish (United States)Partially supportedFrançais (Canada)Fran"&amp;"çais (France)Deutsch (Deutschland)हिंदी (भारत)Italiano (Italia)Português (Brasil)Español (España)Español (México)Use app1:59Millie Bobby Brown Stars in 'Damsel'1:59Netflix Drops First Teaser2:46Ms. Marvel Needs Help2:46What Iman Learned From Brie and Teyo"&amp;"nah1:31Meet Riley's New Emotions in 'Inside Out 2'1:31Watch the New Pixar Teaser1:005 Streamable Sci-Fi Classics1:00Top Picks All Award-Winners2:00'Ghostbusters: Frozen Empire'2:00Watch the Teaser1:33What You Need to Know About 'The Color Purple'1:33Get D"&amp;"etails on the New Movie Musical2:01""Reacher"" Returns2:01Watch the Season 2 Trailer0:57What to Watch After ""Bodies""0:575 Top Picks Streaming Now2:01'The Marvels' Final Trailer Drops2:01See Tessa Thompson's Return as Valkyrie1:40""Avatar: The Last Airbe"&amp;"nder""1:40Netflix Shares the First Trailer2:17Eddie Murphy Is Going to 'Candy Cane Lane'2:17Watch the Trailer0:42Michelle Yeoh Stars in ""The Brothers Sun""0:42Watch the Series Teaser2:26Brie Larson Is Having a Year2:26Look Back at Her Career2:07'Mean Gir"&amp;"ls' Are Back2:07Watch the Fetch New Trailer1:20Swifties in Movies and TV1:20Watch Some Memorable MomentsUp next1:20Swifties in Movies and TVWatch Some Memorable Moments1:59Millie Bobby Brown Stars in 'Damsel'Netflix Drops First Teaser2:46Ms. Marvel Needs "&amp;"HelpWhat Iman Learned From Brie and Teyonah1:31Meet Riley's New Emotions in 'Inside Out 2'Watch the New Pixar Teaser1:005 Streamable Sci-Fi ClassicsTop Picks All Award-Winners2:00'Ghostbusters: Frozen Empire'Watch the TeaserBrowse trailersFeatured todayLi"&amp;"stNovember Picks: 'The Killer' 'The Marvels' and MoreSee the listListTV Tracker: Renewed and Canceled ShowsCheck the statusPhotosThe Best On-Screen AssassinsSee the galleryPhotosThe Latest (and Greatest) New PostersSee more postersPhotosEnter the IMDb Por"&amp;"trait Studio at MAMI 2023See the galleryPhotosAdorable Red Carpet PhotosSee the galleryListWho Are the 2024 Grammy Nominees?See the full listList2023 MAMI Mumbai Film Festival WinnersSee the winnersPhotos'Dream Scenario' and More New StillsSee more stills"&amp;"What to watchGet more recommendationsMore to watchIMDb helps you select the perfect next show or movie to watch.Watch GuideMost PopularExclusive videosIMDb OriginalsCelebrity interviews trending entertainment stories and expert analysis3:26Shah Rukh Khan "&amp;"on 'Jawan' and MoreWatch the video1:33Get Details on This New Movie MusicalWatch now2:26Brie Larson Is Having a YearWatch now2:15How Cailee and Jacob Became Priscilla and ElvisWatch the interview1:005 Award-Winning Sci-Fi PicksStream these now3:13Best Cha"&amp;"racter Moments in 'The Hunger Games'Watch nowExplore what’s streamingExplore Movies &amp; TV showsMore to exploreRecently viewedYou have no recently viewed pagesGet the IMDb AppSign in for more accessSign in for more accessGet the IMDb AppHelpSite IndexIMDbPr"&amp;"oBox Office MojoIMDb DeveloperPress RoomAdvertisingJobsConditions of UsePrivacy PolicyYour Ads Privacy ChoicesIMDb an Amazon company© 1990-2023 by IMDb.com Inc.Back to top")</f>
        <v>IMDb: Ratings Reviews and Where to Watch the Best Movies &amp; TV Shows MenuMoviesRelease CalendarTop 250 MoviesMost Popular MoviesBrowse Movies by GenreTop Box OfficeShowtimes &amp; TicketsMovie NewsIndia Movie SpotlightTV ShowsWhat's on TV &amp; StreamingTop 250 TV ShowsMost Popular TV ShowsBrowse TV Shows by GenreTV NewsWatchWhat to WatchLatest TrailersIMDb OriginalsIMDb PicksIMDb PodcastsAwards &amp; EventsOscarsEmmysHoliday PicksMAMISTARmeter AwardsAwards CentralFestival CentralAll EventsCelebsBorn TodayMost Popular CelebsCelebrity NewsCommunityHelp CenterContributor ZonePollsFor Industry ProfessionalsLanguageEnglish (United States)LanguageFully supportedEnglish (United States)Partially supportedFrançais (Canada)Français (France)Deutsch (Deutschland)हिंदी (भारत)Italiano (Italia)Português (Brasil)Español (España)Español (México)AllAllTitlesTV EpisodesCelebsCompaniesKeywordsAdvanced SearchWatchlistSign InSign InNew Customer? Create accountENFully supportedEnglish (United States)Partially supportedFrançais (Canada)Français (France)Deutsch (Deutschland)हिंदी (भारत)Italiano (Italia)Português (Brasil)Español (España)Español (México)Use app1:59Millie Bobby Brown Stars in 'Damsel'1:59Netflix Drops First Teaser2:46Ms. Marvel Needs Help2:46What Iman Learned From Brie and Teyonah1:31Meet Riley's New Emotions in 'Inside Out 2'1:31Watch the New Pixar Teaser1:005 Streamable Sci-Fi Classics1:00Top Picks All Award-Winners2:00'Ghostbusters: Frozen Empire'2:00Watch the Teaser1:33What You Need to Know About 'The Color Purple'1:33Get Details on the New Movie Musical2:01"Reacher" Returns2:01Watch the Season 2 Trailer0:57What to Watch After "Bodies"0:575 Top Picks Streaming Now2:01'The Marvels' Final Trailer Drops2:01See Tessa Thompson's Return as Valkyrie1:40"Avatar: The Last Airbender"1:40Netflix Shares the First Trailer2:17Eddie Murphy Is Going to 'Candy Cane Lane'2:17Watch the Trailer0:42Michelle Yeoh Stars in "The Brothers Sun"0:42Watch the Series Teaser2:26Brie Larson Is Having a Year2:26Look Back at Her Career2:07'Mean Girls' Are Back2:07Watch the Fetch New Trailer1:20Swifties in Movies and TV1:20Watch Some Memorable MomentsUp next1:20Swifties in Movies and TVWatch Some Memorable Moments1:59Millie Bobby Brown Stars in 'Damsel'Netflix Drops First Teaser2:46Ms. Marvel Needs HelpWhat Iman Learned From Brie and Teyonah1:31Meet Riley's New Emotions in 'Inside Out 2'Watch the New Pixar Teaser1:005 Streamable Sci-Fi ClassicsTop Picks All Award-Winners2:00'Ghostbusters: Frozen Empire'Watch the TeaserBrowse trailersFeatured todayListNovember Picks: 'The Killer' 'The Marvels' and MoreSee the listListTV Tracker: Renewed and Canceled ShowsCheck the statusPhotosThe Best On-Screen AssassinsSee the galleryPhotosThe Latest (and Greatest) New PostersSee more postersPhotosEnter the IMDb Portrait Studio at MAMI 2023See the galleryPhotosAdorable Red Carpet PhotosSee the galleryListWho Are the 2024 Grammy Nominees?See the full listList2023 MAMI Mumbai Film Festival WinnersSee the winnersPhotos'Dream Scenario' and More New StillsSee more stillsWhat to watchGet more recommendationsMore to watchIMDb helps you select the perfect next show or movie to watch.Watch GuideMost PopularExclusive videosIMDb OriginalsCelebrity interviews trending entertainment stories and expert analysis3:26Shah Rukh Khan on 'Jawan' and MoreWatch the video1:33Get Details on This New Movie MusicalWatch now2:26Brie Larson Is Having a YearWatch now2:15How Cailee and Jacob Became Priscilla and ElvisWatch the interview1:005 Award-Winning Sci-Fi PicksStream these now3:13Best Character Moments in 'The Hunger Games'Watch nowExplore what’s streamingExplore Movies &amp; TV showsMore to exploreRecently viewedYou have no recently viewed pagesGet the IMDb AppSign in for more accessSign in for more accessGet the IMDb AppHelpSite IndexIMDbProBox Office MojoIMDb DeveloperPress RoomAdvertisingJobsConditions of UsePrivacy PolicyYour Ads Privacy ChoicesIMDb an Amazon company© 1990-2023 by IMDb.com Inc.Back to top</v>
      </c>
    </row>
    <row r="100">
      <c r="A100" s="1" t="s">
        <v>332</v>
      </c>
      <c r="B100" s="1" t="s">
        <v>370</v>
      </c>
      <c r="C100" s="1" t="s">
        <v>378</v>
      </c>
      <c r="D100" s="1">
        <v>5.0</v>
      </c>
      <c r="E100" s="4" t="s">
        <v>379</v>
      </c>
      <c r="F100" s="1" t="s">
        <v>43</v>
      </c>
      <c r="G100" s="1" t="s">
        <v>380</v>
      </c>
      <c r="H100" s="4" t="s">
        <v>381</v>
      </c>
      <c r="I100" s="2">
        <v>1.0</v>
      </c>
      <c r="J100" s="5" t="str">
        <f>IFERROR(__xludf.DUMMYFUNCTION("GOOGLETRANSLATE(A100)"),"Avatar 2")</f>
        <v>Avatar 2</v>
      </c>
      <c r="K100" s="6" t="str">
        <f>IFERROR(__xludf.DUMMYFUNCTION("GOOGLETRANSLATE(B100)"),"Avatar: The Way of Water")</f>
        <v>Avatar: The Way of Water</v>
      </c>
      <c r="L100" s="5" t="str">
        <f>IFERROR(__xludf.DUMMYFUNCTION("GOOGLETRANSLATE(C100)"),"Narratively, it might be fairly standard stuff -- but visually speaking, Avatar: The Way of Water is a stunningly immersive experience. Read critic reviews.")</f>
        <v>Narratively, it might be fairly standard stuff -- but visually speaking, Avatar: The Way of Water is a stunningly immersive experience. Read critic reviews.</v>
      </c>
      <c r="M100" s="5" t="str">
        <f>IFERROR(__xludf.DUMMYFUNCTION("GOOGLETRANSLATE(G100)"),"Rotten Tomatoes: Movies | TV Shows | Movie Trailers | Reviews - Rotten TomatoesSigned inSkip to Main Content        Cancel      Movies / TVCelebrityNo Results FoundView AllWhat's the Tomatometer®?CriticsLogin/signup           Wants to See                 "&amp;"  Ratings        ProfileAccountLog OutMoviesMovies in theatersOpening this weekComing soon to theatersCertified fresh moviesMovies at homePeacockVuduNetflix streamingApple TVAmazon primeMost popular streaming moviesCertified fresh moviesBrowse allMoreWhat"&amp;" to WatchNewTop moviesTrailersCertified fresh picksThe HoldoversLink to The HoldoversDream ScenarioLink to Dream ScenarioQuiz LadyLink to Quiz LadyTv shows              New TV Tonight                                Colin from Accounts: Season 1           "&amp;"                     For All Mankind: Season 4                                Rap Sh!t: Season 2                                The Curse: Season 1                                Lawmen: Bass Reeves: Season 1                                The Buccaneers:"&amp;" Season 1                                JFK: One Day in America: Season 1                                De La Calle: Season 1                            View All                          Most Popular TV on RT                                Sex Education"&amp;": Season 4                                All the Light We Cannot See: Season 1                                Blue Eye Samurai: Season 1                                The Buccaneers: Season 1                                Loki: Season 2                "&amp;"                Black Cake: Season 1                                The Fall of the House of Usher: Season 1                                Bodies: Season 1                                Ms. Marvel: Season 1                                Invincible: Sea"&amp;"son 2                            View All            More                What to WatchNewTop TV ShowsCertified Fresh TVPeacockVuduNetflix streamingApple TVAmazon primeMost popular TV              Certified fresh pick            The Curse: Season 1Link to "&amp;"The Curse: Season 1          Movie Trivia          NewNewsColumns                All-Time Lists                              Binge Guide                              Comics on TV                              Countdown                              Five Fav"&amp;"orite Films                              Video Interviews              Weekend Box Office                            Weekly Ketchup                              What to Watch              Guides100 Best Christmas Movies of All Time – Classic Christmas Fil"&amp;"msLink to 100 Best Christmas Movies of All Time – Classic Christmas Films61 Best Concert Movies of All TimeLink to 61 Best Concert Movies of All Time              View All            HubsWhat to Watch: In Theaters and On StreamingLink to What to Watch: In"&amp;" Theaters and On StreamingRT25: Celebrating 25 Years of Rotten TomatoesLink to RT25: Celebrating 25 Years of Rotten Tomatoes              View All            RT NewsTV Premiere Dates 2023Link to TV Premiere Dates 2023Loki Season 2 Finale: Where Do We Go f"&amp;"rom Here?Link to Loki Season 2 Finale: Where Do We Go from Here?              View All                    Showtimes      Trending on RT Shop Rotten Tomatoes  Play Daily Tomato   Best Movies of 2023  New on Streaming   New Tomatometer Scores Nia DaCosta on"&amp;" Mapping The Marvels Fight ScenesAlso pitching Kevin Feige and bringing humor to the filmWhere Does Loki S2 Leave Us?We look at all the questions answered and those that remain2023 Holiday TV CalendarFind out when all the holiday movies specials episodes "&amp;"and competitions will premiere this season What to Watch This Week: The Marvels Dream Scenario and MoreCaptain Marvel and Ms. Marvel and Monica Rambeau! And that’s just one of five picks this week100 Best Christmas Movies From new movie The Holdovers to c"&amp;"lassics like Miracle on 34th Street we’ve made our list of great holiday filmsThe Ballad of Songbirds &amp; Snakes First ReviewsThe Hunger Games prequel has a great cast and spectacular action but it's overstuffedNative American Heritage Month Here are 12 sho"&amp;"ws that celebrate Indigenous culture Most Anticipated Movies of 2024Inside Out 2 Ghostbusters: Frozen Empire a new Mean Girls and more new movies coming next yearNew Tomatometer ScoresBlack Cake is Fresh!Addams Family ValuesIs the sequel as good as if not"&amp;" better than its predecessor?New &amp; Upcoming Movies In TheatersView allThe MarvelsThe MarvelsThe KillerThe KillerJourney to BethlehemPriscillaPriscillaDream ScenarioDream ScenarioRadicalRadicalThe HoldoversThe HoldoversThe Hunger Games: The Ballad of Songb"&amp;"irds &amp; SnakesThe Hunger Games: The Ballad of Songbirds &amp; SnakesTrolls Band TogetherTrolls Band TogetherKillers of the Flower MoonKillers of the Flower MoonRustinRustinFive Nights at Freddy'sFive Nights at Freddy'sWhat Happens LaterWhat Happens LaterNext G"&amp;"oal WinsNext Goal WinsThe Marsh King's DaughterThe Marsh King's DaughterThanksgivingThanksgivingTAYLOR SWIFT | THE ERAS TOURTAYLOR SWIFT | THE ERAS TOURManodromeManodromePAW Patrol: The Mighty MoviePAW Patrol: The Mighty MovieScarfaceNEW &amp; UPCOMING ON STR"&amp;"EAMINGView allThe CurseThe CurseLokiLokiThe BuccaneersThe BuccaneersFor All MankindFor All MankindAll the Light We Cannot SeeAll the Light We Cannot SeeInvincibleInvincibleLawmen: Bass ReevesLawmen: Bass ReevesA Murder at the End of the WorldA Murder at t"&amp;"he End of the WorldQuiz LadyQuiz LadyRap Sh!tRap Sh!tA Haunting in VeniceA Haunting in VeniceFellow TravelersFellow TravelersGen VGen VFive Nights at Freddy'sFive Nights at Freddy'sBodiesBodiesLessons in ChemistryLessons in ChemistryMonarch: Legacy of Mon"&amp;"stersMonarch: Legacy of MonstersPlease Don't Destroy: The Treasure of Foggy MountainPlease Don't Destroy: The Treasure of Foggy MountainRick and MortyRick and MortyGoosebumpsGoosebumpsPopular Streaming MoviesView allVudu |                    Netflix |    "&amp;"                Prime Video |                    Max |                    More...Five Nights at Freddy's                                                                    30%                                                            The Killer          "&amp;"                                                          85%                                                            When Evil Lurks                                                                    99%                                                "&amp;"            Dumb Money                                                                    84%                                                            Nyad                                                                    84%                           "&amp;"                                 A Haunting in Venice                                                                    75%                                                            Quiz Lady                                                              "&amp;"      78%                                                            Locked In                                                                    33%                                                            Talk to Me                                    "&amp;"                                94%                                                            Butcher's Crossing                                                                    73%                                                            Most Popula"&amp;"r TV on RT View allSex Education                                                                    91%                                                            All the Light We Cannot See                                                                 "&amp;"   28%                                                            Blue Eye Samurai                                                                    100%                                                            The Buccaneers                           "&amp;"                                         73%                                                            Loki                                                                    82%                                                            Black Cake      "&amp;"                                                              100%                                                            The Fall of the House of Usher                                                                    90%                            "&amp;"                                Bodies                                                                    81%                                                            Ms. Marvel                                                                    98%     "&amp;"                                                       Invincible                                                                    100%                                                            New TV This WeekWhat's on TonightColin from Accounts      "&amp;"                                                              100%                                                            For All Mankind                                                                    100%                                          "&amp;"                  Rap Sh!t                                                                    100%                                                            The Curse                                                                    89%                 "&amp;"                                           Lawmen: Bass Reeves                                                                    79%                                                            The Buccaneers                                                "&amp;"                    73%                                                            JFK: One Day in America                                                                    - -                                                            The Santa Summit  "&amp;"                                                                  - -                                                            De La Calle                                                                    - -                                            "&amp;"                Mystery on Mistletoe Lane                                                                    - -                                                            Popular In TheatersView allAvailability may vary check your local showtimes for det"&amp;"ails.Five Nights at Freddy'sFive Nights at Freddy'sTAYLOR SWIFT | THE ERAS TOURTAYLOR SWIFT | THE ERAS TOURKillers of the Flower MoonKillers of the Flower MoonPriscillaPriscillaRadicalRadicalThe Exorcist: BelieverThe Exorcist: BelieverAfter DeathAfter Dea"&amp;"thPAW Patrol: The Mighty MoviePAW Patrol: The Mighty MovieWhat Happens LaterWhat Happens LaterFreelanceFreelanceSaw XSaw XThe Nightmare Before ChristmasThe Nightmare Before ChristmasThe Marsh King's DaughterThe Marsh King's DaughterThe CreatorThe CreatorA"&amp;"natomy of a FallAnatomy of a FallThe HoldoversThe HoldoversOppenheimerOppenheimerGran Turismo: Based on a True StoryGran Turismo: Based on a True StoryA Haunting in VeniceA Haunting in VeniceThe Persian VersionThe Persian VersionNoirvember: 100 Best Film "&amp;"Noirs of All TimeView allSunset BoulevardSunset BoulevardDouble IndemnityThe Third ManThe Third ManTouch of EvilThe KillingOut of the PastAce in the HoleThe Maltese FalconThe Big SleepThe Night of the HunterLauraMildred PierceIn a Lonely PlaceNightmare Al"&amp;"leyLeave Her to HeavenThe Lady From ShanghaiKiss Me DeadlyGun CrazySpellboundDetourLatest Certified Fresh MoviesView allDream ScenarioDream ScenarioTAYLOR SWIFT | THE ERAS TOURTAYLOR SWIFT | THE ERAS TOURMaestroMaestroFour DaughtersFour DaughtersQuiz Lady"&amp;"Quiz LadyThe MissionBeyond UtopiaRadicalRadicalAll Dirt Roads Taste of SaltAll Dirt Roads Taste of SaltPerfect DaysPerfect DaysRustinRustinWhen Evil LurksWhen Evil LurksPriscillaPriscillaThe HoldoversThe HoldoversThe KillerThe KillerMister OrganMister Org"&amp;"anJoan Baez I Am a NoiseSilver Dollar RoadNyadNyadThe Pigeon TunnelThe Pigeon TunnelBest Thanksgiving MoviesView allPlanes Trains and AutomobilesPlanes Trains and AutomobilesThe HumansThe HumansHome for the HolidaysHome for the HolidaysScent of a WomanSce"&amp;"nt of a WomanSoul FoodThe Ice StormThe Ice StormHannah and Her SistersHannah and Her SistersAvalonThe Big ChillThe Big ChillThe House of YesKrishaKrishaThe War at HomeGrumpy Old MenYou've Got MailAddams Family ValuesAddams Family ValuesHollidaysburgAlice'"&amp;"s RestaurantThe OathThe OathThe Myth of FingerprintsJim Henson's Turkey HollowTrailers &amp; Videos            View all        InterviewThe Marvels Director Nia DaCosta on mapping fight scenes bringing humor to the film and morePodcastAddams Family Values Is "&amp;"the sequel as good as if not better than its predecessor?TeaserGhostbusters: Frozen Empire Paul Rudd Mckenna Grace Finn Wolfhard and Carrie Coon reunite to save NYCOriginal Five Nights at Freddy's Everything you need to know!Original On The Street Asking "&amp;"fans who is the greatest MCU villain Movie &amp; TV guidesView AllRotten Tomatoes: The Card Game RT Podcasts: Rotten Tomatoes is Wrong Rotten Tomatoes Gift Cards What to Watch - In theaters &amp; streaming Close videoSee DetailsSee DetailsHelpAbout Rotten Tomatoe"&amp;"sWhat's the Tomatometer®?Critic SubmissionLicensingAdvertise With UsCareersJoin The NewsletterGet the freshest reviews news and more delivered right to your inbox!                Join The Newsletter                            Join The Newsletter          "&amp;"  Follow UsCopyright © Fandango. All rights reserved.Join The NewsletterJoin The Newsletter                        Privacy Policy                    Terms and PoliciesCookie SettingsCalifornia NoticeAd ChoicesAccessibilityV3.1                    Privacy P"&amp;"olicy                Terms and PoliciesCookie SettingsCalifornia NoticeAd ChoicesAccessibilityCopyright © Fandango. All rights reserved.")</f>
        <v>Rotten Tomatoes: Movies | TV Shows | Movie Trailers | Reviews - Rotten TomatoesSigned inSkip to Main Content        Cancel      Movies / TVCelebrityNo Results FoundView AllWhat's the Tomatometer®?CriticsLogin/signup           Wants to See                   Ratings        ProfileAccountLog OutMoviesMovies in theatersOpening this weekComing soon to theatersCertified fresh moviesMovies at homePeacockVuduNetflix streamingApple TVAmazon primeMost popular streaming moviesCertified fresh moviesBrowse allMoreWhat to WatchNewTop moviesTrailersCertified fresh picksThe HoldoversLink to The HoldoversDream ScenarioLink to Dream ScenarioQuiz LadyLink to Quiz LadyTv shows              New TV Tonight                                Colin from Accounts: Season 1                                For All Mankind: Season 4                                Rap Sh!t: Season 2                                The Curse: Season 1                                Lawmen: Bass Reeves: Season 1                                The Buccaneers: Season 1                                JFK: One Day in America: Season 1                                De La Calle: Season 1                            View All                          Most Popular TV on RT                                Sex Education: Season 4                                All the Light We Cannot See: Season 1                                Blue Eye Samurai: Season 1                                The Buccaneers: Season 1                                Loki: Season 2                                Black Cake: Season 1                                The Fall of the House of Usher: Season 1                                Bodies: Season 1                                Ms. Marvel: Season 1                                Invincible: Season 2                            View All            More                What to WatchNewTop TV ShowsCertified Fresh TVPeacockVuduNetflix streamingApple TVAmazon primeMost popular TV              Certified fresh pick            The Curse: Season 1Link to The Curse: Season 1          Movie Trivia          NewNewsColumns                All-Time Lists                              Binge Guide                              Comics on TV                              Countdown                              Five Favorite Films                              Video Interviews              Weekend Box Office                            Weekly Ketchup                              What to Watch              Guides100 Best Christmas Movies of All Time – Classic Christmas FilmsLink to 100 Best Christmas Movies of All Time – Classic Christmas Films61 Best Concert Movies of All TimeLink to 61 Best Concert Movies of All Time              View All            HubsWhat to Watch: In Theaters and On StreamingLink to What to Watch: In Theaters and On StreamingRT25: Celebrating 25 Years of Rotten TomatoesLink to RT25: Celebrating 25 Years of Rotten Tomatoes              View All            RT NewsTV Premiere Dates 2023Link to TV Premiere Dates 2023Loki Season 2 Finale: Where Do We Go from Here?Link to Loki Season 2 Finale: Where Do We Go from Here?              View All                    Showtimes      Trending on RT Shop Rotten Tomatoes  Play Daily Tomato   Best Movies of 2023  New on Streaming   New Tomatometer Scores Nia DaCosta on Mapping The Marvels Fight ScenesAlso pitching Kevin Feige and bringing humor to the filmWhere Does Loki S2 Leave Us?We look at all the questions answered and those that remain2023 Holiday TV CalendarFind out when all the holiday movies specials episodes and competitions will premiere this season What to Watch This Week: The Marvels Dream Scenario and MoreCaptain Marvel and Ms. Marvel and Monica Rambeau! And that’s just one of five picks this week100 Best Christmas Movies From new movie The Holdovers to classics like Miracle on 34th Street we’ve made our list of great holiday filmsThe Ballad of Songbirds &amp; Snakes First ReviewsThe Hunger Games prequel has a great cast and spectacular action but it's overstuffedNative American Heritage Month Here are 12 shows that celebrate Indigenous culture Most Anticipated Movies of 2024Inside Out 2 Ghostbusters: Frozen Empire a new Mean Girls and more new movies coming next yearNew Tomatometer ScoresBlack Cake is Fresh!Addams Family ValuesIs the sequel as good as if not better than its predecessor?New &amp; Upcoming Movies In TheatersView allThe MarvelsThe MarvelsThe KillerThe KillerJourney to BethlehemPriscillaPriscillaDream ScenarioDream ScenarioRadicalRadicalThe HoldoversThe HoldoversThe Hunger Games: The Ballad of Songbirds &amp; SnakesThe Hunger Games: The Ballad of Songbirds &amp; SnakesTrolls Band TogetherTrolls Band TogetherKillers of the Flower MoonKillers of the Flower MoonRustinRustinFive Nights at Freddy'sFive Nights at Freddy'sWhat Happens LaterWhat Happens LaterNext Goal WinsNext Goal WinsThe Marsh King's DaughterThe Marsh King's DaughterThanksgivingThanksgivingTAYLOR SWIFT | THE ERAS TOURTAYLOR SWIFT | THE ERAS TOURManodromeManodromePAW Patrol: The Mighty MoviePAW Patrol: The Mighty MovieScarfaceNEW &amp; UPCOMING ON STREAMINGView allThe CurseThe CurseLokiLokiThe BuccaneersThe BuccaneersFor All MankindFor All MankindAll the Light We Cannot SeeAll the Light We Cannot SeeInvincibleInvincibleLawmen: Bass ReevesLawmen: Bass ReevesA Murder at the End of the WorldA Murder at the End of the WorldQuiz LadyQuiz LadyRap Sh!tRap Sh!tA Haunting in VeniceA Haunting in VeniceFellow TravelersFellow TravelersGen VGen VFive Nights at Freddy'sFive Nights at Freddy'sBodiesBodiesLessons in ChemistryLessons in ChemistryMonarch: Legacy of MonstersMonarch: Legacy of MonstersPlease Don't Destroy: The Treasure of Foggy MountainPlease Don't Destroy: The Treasure of Foggy MountainRick and MortyRick and MortyGoosebumpsGoosebumpsPopular Streaming MoviesView allVudu |                    Netflix |                    Prime Video |                    Max |                    More...Five Nights at Freddy's                                                                    30%                                                            The Killer                                                                    85%                                                            When Evil Lurks                                                                    99%                                                            Dumb Money                                                                    84%                                                            Nyad                                                                    84%                                                            A Haunting in Venice                                                                    75%                                                            Quiz Lady                                                                    78%                                                            Locked In                                                                    33%                                                            Talk to Me                                                                    94%                                                            Butcher's Crossing                                                                    73%                                                            Most Popular TV on RT View allSex Education                                                                    91%                                                            All the Light We Cannot See                                                                    28%                                                            Blue Eye Samurai                                                                    100%                                                            The Buccaneers                                                                    73%                                                            Loki                                                                    82%                                                            Black Cake                                                                    100%                                                            The Fall of the House of Usher                                                                    90%                                                            Bodies                                                                    81%                                                            Ms. Marvel                                                                    98%                                                            Invincible                                                                    100%                                                            New TV This WeekWhat's on TonightColin from Accounts                                                                    100%                                                            For All Mankind                                                                    100%                                                            Rap Sh!t                                                                    100%                                                            The Curse                                                                    89%                                                            Lawmen: Bass Reeves                                                                    79%                                                            The Buccaneers                                                                    73%                                                            JFK: One Day in America                                                                    - -                                                            The Santa Summit                                                                    - -                                                            De La Calle                                                                    - -                                                            Mystery on Mistletoe Lane                                                                    - -                                                            Popular In TheatersView allAvailability may vary check your local showtimes for details.Five Nights at Freddy'sFive Nights at Freddy'sTAYLOR SWIFT | THE ERAS TOURTAYLOR SWIFT | THE ERAS TOURKillers of the Flower MoonKillers of the Flower MoonPriscillaPriscillaRadicalRadicalThe Exorcist: BelieverThe Exorcist: BelieverAfter DeathAfter DeathPAW Patrol: The Mighty MoviePAW Patrol: The Mighty MovieWhat Happens LaterWhat Happens LaterFreelanceFreelanceSaw XSaw XThe Nightmare Before ChristmasThe Nightmare Before ChristmasThe Marsh King's DaughterThe Marsh King's DaughterThe CreatorThe CreatorAnatomy of a FallAnatomy of a FallThe HoldoversThe HoldoversOppenheimerOppenheimerGran Turismo: Based on a True StoryGran Turismo: Based on a True StoryA Haunting in VeniceA Haunting in VeniceThe Persian VersionThe Persian VersionNoirvember: 100 Best Film Noirs of All TimeView allSunset BoulevardSunset BoulevardDouble IndemnityThe Third ManThe Third ManTouch of EvilThe KillingOut of the PastAce in the HoleThe Maltese FalconThe Big SleepThe Night of the HunterLauraMildred PierceIn a Lonely PlaceNightmare AlleyLeave Her to HeavenThe Lady From ShanghaiKiss Me DeadlyGun CrazySpellboundDetourLatest Certified Fresh MoviesView allDream ScenarioDream ScenarioTAYLOR SWIFT | THE ERAS TOURTAYLOR SWIFT | THE ERAS TOURMaestroMaestroFour DaughtersFour DaughtersQuiz LadyQuiz LadyThe MissionBeyond UtopiaRadicalRadicalAll Dirt Roads Taste of SaltAll Dirt Roads Taste of SaltPerfect DaysPerfect DaysRustinRustinWhen Evil LurksWhen Evil LurksPriscillaPriscillaThe HoldoversThe HoldoversThe KillerThe KillerMister OrganMister OrganJoan Baez I Am a NoiseSilver Dollar RoadNyadNyadThe Pigeon TunnelThe Pigeon TunnelBest Thanksgiving MoviesView allPlanes Trains and AutomobilesPlanes Trains and AutomobilesThe HumansThe HumansHome for the HolidaysHome for the HolidaysScent of a WomanScent of a WomanSoul FoodThe Ice StormThe Ice StormHannah and Her SistersHannah and Her SistersAvalonThe Big ChillThe Big ChillThe House of YesKrishaKrishaThe War at HomeGrumpy Old MenYou've Got MailAddams Family ValuesAddams Family ValuesHollidaysburgAlice's RestaurantThe OathThe OathThe Myth of FingerprintsJim Henson's Turkey HollowTrailers &amp; Videos            View all        InterviewThe Marvels Director Nia DaCosta on mapping fight scenes bringing humor to the film and morePodcastAddams Family Values Is the sequel as good as if not better than its predecessor?TeaserGhostbusters: Frozen Empire Paul Rudd Mckenna Grace Finn Wolfhard and Carrie Coon reunite to save NYCOriginal Five Nights at Freddy's Everything you need to know!Original On The Street Asking fans who is the greatest MCU villain Movie &amp; TV guidesView AllRotten Tomatoes: The Card Game RT Podcasts: Rotten Tomatoes is Wrong Rotten Tomatoes Gift Cards What to Watch - In theaters &amp; streaming Close videoSee DetailsSee DetailsHelpAbout Rotten TomatoesWhat's the Tomatometer®?Critic SubmissionLicensingAdvertise With UsCareersJoin The NewsletterGet the freshest reviews news and more delivered right to your inbox!                Join The Newsletter                            Join The Newsletter            Follow UsCopyright © Fandango. All rights reserved.Join The NewsletterJoin The Newsletter                        Privacy Policy                    Terms and PoliciesCookie SettingsCalifornia NoticeAd ChoicesAccessibilityV3.1                    Privacy Policy                Terms and PoliciesCookie SettingsCalifornia NoticeAd ChoicesAccessibilityCopyright © Fandango. All rights reserved.</v>
      </c>
    </row>
    <row r="101">
      <c r="A101" s="1" t="s">
        <v>332</v>
      </c>
      <c r="B101" s="1" t="s">
        <v>382</v>
      </c>
      <c r="C101" s="1" t="s">
        <v>383</v>
      </c>
      <c r="D101" s="1">
        <v>6.0</v>
      </c>
      <c r="E101" s="4" t="s">
        <v>384</v>
      </c>
      <c r="F101" s="1" t="s">
        <v>43</v>
      </c>
      <c r="G101" s="1" t="s">
        <v>385</v>
      </c>
      <c r="H101" s="4" t="s">
        <v>386</v>
      </c>
      <c r="I101" s="2">
        <v>1.0</v>
      </c>
      <c r="J101" s="5" t="str">
        <f>IFERROR(__xludf.DUMMYFUNCTION("GOOGLETRANSLATE(A101)"),"Avatar 2")</f>
        <v>Avatar 2</v>
      </c>
      <c r="K101" s="6" t="str">
        <f>IFERROR(__xludf.DUMMYFUNCTION("GOOGLETRANSLATE(B101)"),"Avatar.com | The Official Avatar Website for Avatar News")</f>
        <v>Avatar.com | The Official Avatar Website for Avatar News</v>
      </c>
      <c r="L101" s="5" t="str">
        <f>IFERROR(__xludf.DUMMYFUNCTION("GOOGLETRANSLATE(C101)"),"Learn about James Cameron's Avatar including news about Avatar: The Way of Water, games, comics, Pandora - World of Avatar at Walt Disney World, and more!")</f>
        <v>Learn about James Cameron's Avatar including news about Avatar: The Way of Water, games, comics, Pandora - World of Avatar at Walt Disney World, and more!</v>
      </c>
      <c r="M101" s="5" t="str">
        <f>IFERROR(__xludf.DUMMYFUNCTION("GOOGLETRANSLATE(G101)"),"Avatar.com | The Official Avatar Website for Avatar NewsSkip NavigationHomeMoviesAvatar: The Way of Water (2022)Avatar (2009)SequelsGames                                                    All Games                       Avatar: Frontiers of PandoraExperi"&amp;"ences                                                    All Experiences                       Pandora - The World of Avatar Avatar: The ExhibitionAvatar: The ExperienceCommunityPublishingPartnershipsShopOur TeamPandorapediaMoreMorefacebook               "&amp;"               twitter                              instagram                              youtube                              “The way of water has no beginning and no end.""TsireyaLatest NewsVideoLEGO x Avatar 1 Million+ Brick Diorama | BTSWatch how Id"&amp;"aho Lego User Group and Spacetime Brick Studio brought their community together to bring this stunning diorama to life.News6 Unforgettable Moments from Avatar: The Experience at Cloud Forest Gardens by the BayAvatar: The Experience at Cloud Forest Gardens"&amp;"by the Bay in Singapore is filled with momentsyou’ll remember forever.NewsAvatar: Frontiers of Pandora – New Trailer Reveals Story DetailsLearn more about the hero’s journey and the Na’vi thatcan help you protect Pandora from the RDA.NewsSDCC 2023: Avatar"&amp;": The High Ground &amp; Avatar: Adapt or Die Creator InterviewPandora returns to San Diego Comic-Con. Learn more about the latest in the world of Avatar in the graphic novel collection Avatar: The High Ground.VideoAvatar: The Way of Water | Streaming on Disne"&amp;"y+ June 7. Experience the Academy Award-winning phenomenon streaming on Disney+ June 7. Watch Avatar: The Way of Water at home buy it now on Digital.NewsAvatar: The Way of Water Wins the Academy Award for Best Visual EffectsThe achievement marks the secon"&amp;"d VFX Academy Award for the franchise following its 2010 win for Avatar.""THE UNDERSEA CREATURES OF PANDORA"" BONUS EXTRABuy Avatar: The Way of Water on Digital to Watch More Bonus Extras.VideoAvatar: The Way of Water | Unboxing Pandoran Treasures with th"&amp;"e CastSIVAKO! Watch as some of the newest cast members rise to the challenge and discover LEGO® and McFarlane products inspired by the new film. See Jack Champion as “Spider” Trinity Jo-Li Bliss as “Tuk” and Bailey Bass as Tsireya in Avatar: The Way of Wa"&amp;"ter in theaters now!AVATAR: THE WAY OF WATER CONCEPT ARTHere's an exclusive look of the Pandoran reef from Dylan Cole.VideoPRODUCTION DESIGNAvatar: The Way of Water Co-Production Designers Dylan Cole &amp; Ben Procter on building Pandora from the ground up.Vi"&amp;"deoAvatar: The Way of Water | Keep Our Oceans AmazingHelp us keep our oceans amazing. 💙 Create your very own Avatar-inspired ocean creature from now – 7/31/23 and for every creature created in the Virtual Pandoran Ocean Disney will give $5 to The Nature "&amp;"Conservancy. NewsWelcome to the All-New Pandorapedia The Guide to the World of Avatar Just in time for the release of Avatar: The Way of Water a new online guide called Pandorapedia has been launched to unlock the details behind the world of Pandora.NewsD"&amp;"isney twenty-three Journeys to Pandora Going Behind the Scenes of Avatar: The Way of WaterThe Winter issue of Disney twenty-three features dazzling details on Disney100 Years of Wonder plus exclusives on Avatar: The Way of Water and more can't miss movies"&amp;".NewsAvatar and McFarlane Toys Go Big at D23 ExpoAvatar McFarlane Toys and Lightstorm Entertainment took D23 Expo 2022 by storm showcasing the collaboration with exciting reveals demos and more at Disney's Ultimate Fan Event.NewsD23 Expo Gives Fans an Exc"&amp;"iting First Look at Avatar: The Way of WaterAcademy Award–winning director James Cameron producer Jon Landau and the cast of Avatar: The Way of Water graced the Hall D23 stage for a compelling panel conversation.NewsAvatar Video Conference BackgroundsWant"&amp;" to call in from Pandora? Download backgrounds here!NewsAvatar and Dark Horse Comics              Check out the covers for Tsu'tey's Path and The Next Shadow available online and at a comic book retailer near you.             NewsAvatar: ReckoningComing s"&amp;"oon - a new mobile MMO set on Pandora from Archosaur Games and Level Infinite.NewsDark Horse and Lightstorm on TwitchGet the inside scoop on all things Avatar: The Next Shadow.NewsIt’s Official: Avatar Returns to Theaters This SeptemberJames Cameron’s rec"&amp;"ord-breaking movie Avatar returns to theaters on September 23 2022. Audiences will get to experience Pandora with a remastered 4K HDR picture.NewsLightstorm Entertainment Disney and McFarlane Toys Reveal the First Look at Stunning New Avatar Collectibles "&amp;"at San Diego Comic-ConAt San Diego Comic-Con 2022 Lightstorm Entertainment Disney and McFarlane Toys gave fans a first look at their exciting collaboration. Todd McFarlane revealed the first two figures from their new line of Avatar collectibles showcasin"&amp;"g all of the impressive features.NewsLightstorm Entertainment Disney and the LEGO Group Reveal Immersive New LEGO Avatar SetsAt San Diego Comic-Con 2022 Lightstorm Entertainment Disney and the LEGO Group revealed four new LEGO Avatar sets that will be lau"&amp;"nching later this year. Two of the sets were showcased on the convention floor giving fans an exciting first look of what's to come with the new LEGO Avatar sets.NewsSigourney Weaver as Kiri graces the subscriber-exclusive cover of Empire MagazineSigourne"&amp;"y Weaver plays Jake and Neytiri’s adopted teenage Na’vi daughter in Avatar 2. Experience Avatar: The Way of Water only in theaters December 16.NewsEmpire’s World-Exclusive Avatar: The Way Of Water Cover RevealedThe newsstand cover of Empire Magazine for A"&amp;"vatar: The Way of Water is here. Experience it only in theaters December 16.NewsAn Inside Look at The World of Avatar with Joshua IzzoWe interviewed Joshua Izzo to discuss the gems of the Avatar franchise in his new book The World of Avatar: A Visual Expl"&amp;"oration.News5 Facts for Pandora's 5th AnniversaryTo celebrate the 5th anniversary of Pandora – The World of Avatar at Disney’s Animal Kingdom Theme Park take a look at these five facts about the Park.NewsAvatar: The Way of WaterWe officially have a title!"&amp;"NewsThe World of Avatar: A Visual ExplorationNow available for pre-order this book celebrates explores and explains the spectacular world of Pandora—its extraordinary geology flora and fauna and the customs and beliefs of its people the Na’vi.NewsAvatar 2"&amp;": Meet Spider Jake And Neytiri’s Adopted Human SonA lot has changed on Pandora in the 13-year gap between Avatar and Avatar 2 (arriving in 2022).NewsJames Cameron Opens Up About His Long-Awaited Avatar SequelThe director returns to Pandora with the first "&amp;"of four planned Avatar sequels combining innovative performance-capture and his lifelong love for the ocean.NewsAvatar Producer Teases the Four SequelsExclusive: Jon Landau reveals some of the first Avatar 2 plot details to Total FilmNewsJames Cameron Say"&amp;"s Filming On Avatar 2 Is '100 Percent Complete'It's been a long time coming but James Cameron's Avatar sequels are finally close to the finish line.NewsHow Avatar Reclaimed Its Global Box office CrownJames Cameron’s 2009 blockbuster retakes the all-time r"&amp;"ecord from Avengers: Endgame.NewsAvatar 2’s Kate Winslet On Joining James Cameron’s SequelActress Kate Winslet has had an acclaimed film career picking up an Oscar Emmy and other various awards along the way.FacebookMichelle Yeoh Kept Jim Busy Between Set"&amp;"-ups While Filming Avatar 3!NewsCongratulations To James Cameron Jon Landau And All Of Na'vi Nation For Reclaiming The Box Office Crown!We love you 3000.Facebook                                          Twitter                                          Ins"&amp;"tagram                                          YouTube                                          Terms of UsePrivacy PolicyChildren's Online Privacy PolicyYour US State Privacy RightsAvatar at shopDisneyInterest-Based AdsDo Not Sell or Share My Personal I"&amp;"nformation©2023 20th Century Studios. JAMES CAMERON'S AVATAR is a trademark of 20th Century Studios. All Rights Reserved.")</f>
        <v>Avatar.com | The Official Avatar Website for Avatar NewsSkip NavigationHomeMoviesAvatar: The Way of Water (2022)Avatar (2009)SequelsGames                                                    All Games                       Avatar: Frontiers of PandoraExperiences                                                    All Experiences                       Pandora - The World of Avatar Avatar: The ExhibitionAvatar: The ExperienceCommunityPublishingPartnershipsShopOur TeamPandorapediaMoreMorefacebook                              twitter                              instagram                              youtube                              “The way of water has no beginning and no end."TsireyaLatest NewsVideoLEGO x Avatar 1 Million+ Brick Diorama | BTSWatch how Idaho Lego User Group and Spacetime Brick Studio brought their community together to bring this stunning diorama to life.News6 Unforgettable Moments from Avatar: The Experience at Cloud Forest Gardens by the BayAvatar: The Experience at Cloud Forest Gardensby the Bay in Singapore is filled with momentsyou’ll remember forever.NewsAvatar: Frontiers of Pandora – New Trailer Reveals Story DetailsLearn more about the hero’s journey and the Na’vi thatcan help you protect Pandora from the RDA.NewsSDCC 2023: Avatar: The High Ground &amp; Avatar: Adapt or Die Creator InterviewPandora returns to San Diego Comic-Con. Learn more about the latest in the world of Avatar in the graphic novel collection Avatar: The High Ground.VideoAvatar: The Way of Water | Streaming on Disney+ June 7. Experience the Academy Award-winning phenomenon streaming on Disney+ June 7. Watch Avatar: The Way of Water at home buy it now on Digital.NewsAvatar: The Way of Water Wins the Academy Award for Best Visual EffectsThe achievement marks the second VFX Academy Award for the franchise following its 2010 win for Avatar."THE UNDERSEA CREATURES OF PANDORA" BONUS EXTRABuy Avatar: The Way of Water on Digital to Watch More Bonus Extras.VideoAvatar: The Way of Water | Unboxing Pandoran Treasures with the CastSIVAKO! Watch as some of the newest cast members rise to the challenge and discover LEGO® and McFarlane products inspired by the new film. See Jack Champion as “Spider” Trinity Jo-Li Bliss as “Tuk” and Bailey Bass as Tsireya in Avatar: The Way of Water in theaters now!AVATAR: THE WAY OF WATER CONCEPT ARTHere's an exclusive look of the Pandoran reef from Dylan Cole.VideoPRODUCTION DESIGNAvatar: The Way of Water Co-Production Designers Dylan Cole &amp; Ben Procter on building Pandora from the ground up.VideoAvatar: The Way of Water | Keep Our Oceans AmazingHelp us keep our oceans amazing. 💙 Create your very own Avatar-inspired ocean creature from now – 7/31/23 and for every creature created in the Virtual Pandoran Ocean Disney will give $5 to The Nature Conservancy. NewsWelcome to the All-New Pandorapedia The Guide to the World of Avatar Just in time for the release of Avatar: The Way of Water a new online guide called Pandorapedia has been launched to unlock the details behind the world of Pandora.NewsDisney twenty-three Journeys to Pandora Going Behind the Scenes of Avatar: The Way of WaterThe Winter issue of Disney twenty-three features dazzling details on Disney100 Years of Wonder plus exclusives on Avatar: The Way of Water and more can't miss movies.NewsAvatar and McFarlane Toys Go Big at D23 ExpoAvatar McFarlane Toys and Lightstorm Entertainment took D23 Expo 2022 by storm showcasing the collaboration with exciting reveals demos and more at Disney's Ultimate Fan Event.NewsD23 Expo Gives Fans an Exciting First Look at Avatar: The Way of WaterAcademy Award–winning director James Cameron producer Jon Landau and the cast of Avatar: The Way of Water graced the Hall D23 stage for a compelling panel conversation.NewsAvatar Video Conference BackgroundsWant to call in from Pandora? Download backgrounds here!NewsAvatar and Dark Horse Comics              Check out the covers for Tsu'tey's Path and The Next Shadow available online and at a comic book retailer near you.             NewsAvatar: ReckoningComing soon - a new mobile MMO set on Pandora from Archosaur Games and Level Infinite.NewsDark Horse and Lightstorm on TwitchGet the inside scoop on all things Avatar: The Next Shadow.NewsIt’s Official: Avatar Returns to Theaters This SeptemberJames Cameron’s record-breaking movie Avatar returns to theaters on September 23 2022. Audiences will get to experience Pandora with a remastered 4K HDR picture.NewsLightstorm Entertainment Disney and McFarlane Toys Reveal the First Look at Stunning New Avatar Collectibles at San Diego Comic-ConAt San Diego Comic-Con 2022 Lightstorm Entertainment Disney and McFarlane Toys gave fans a first look at their exciting collaboration. Todd McFarlane revealed the first two figures from their new line of Avatar collectibles showcasing all of the impressive features.NewsLightstorm Entertainment Disney and the LEGO Group Reveal Immersive New LEGO Avatar SetsAt San Diego Comic-Con 2022 Lightstorm Entertainment Disney and the LEGO Group revealed four new LEGO Avatar sets that will be launching later this year. Two of the sets were showcased on the convention floor giving fans an exciting first look of what's to come with the new LEGO Avatar sets.NewsSigourney Weaver as Kiri graces the subscriber-exclusive cover of Empire MagazineSigourney Weaver plays Jake and Neytiri’s adopted teenage Na’vi daughter in Avatar 2. Experience Avatar: The Way of Water only in theaters December 16.NewsEmpire’s World-Exclusive Avatar: The Way Of Water Cover RevealedThe newsstand cover of Empire Magazine for Avatar: The Way of Water is here. Experience it only in theaters December 16.NewsAn Inside Look at The World of Avatar with Joshua IzzoWe interviewed Joshua Izzo to discuss the gems of the Avatar franchise in his new book The World of Avatar: A Visual Exploration.News5 Facts for Pandora's 5th AnniversaryTo celebrate the 5th anniversary of Pandora – The World of Avatar at Disney’s Animal Kingdom Theme Park take a look at these five facts about the Park.NewsAvatar: The Way of WaterWe officially have a title!NewsThe World of Avatar: A Visual ExplorationNow available for pre-order this book celebrates explores and explains the spectacular world of Pandora—its extraordinary geology flora and fauna and the customs and beliefs of its people the Na’vi.NewsAvatar 2: Meet Spider Jake And Neytiri’s Adopted Human SonA lot has changed on Pandora in the 13-year gap between Avatar and Avatar 2 (arriving in 2022).NewsJames Cameron Opens Up About His Long-Awaited Avatar SequelThe director returns to Pandora with the first of four planned Avatar sequels combining innovative performance-capture and his lifelong love for the ocean.NewsAvatar Producer Teases the Four SequelsExclusive: Jon Landau reveals some of the first Avatar 2 plot details to Total FilmNewsJames Cameron Says Filming On Avatar 2 Is '100 Percent Complete'It's been a long time coming but James Cameron's Avatar sequels are finally close to the finish line.NewsHow Avatar Reclaimed Its Global Box office CrownJames Cameron’s 2009 blockbuster retakes the all-time record from Avengers: Endgame.NewsAvatar 2’s Kate Winslet On Joining James Cameron’s SequelActress Kate Winslet has had an acclaimed film career picking up an Oscar Emmy and other various awards along the way.FacebookMichelle Yeoh Kept Jim Busy Between Set-ups While Filming Avatar 3!NewsCongratulations To James Cameron Jon Landau And All Of Na'vi Nation For Reclaiming The Box Office Crown!We love you 3000.Facebook                                          Twitter                                          Instagram                                          YouTube                                          Terms of UsePrivacy PolicyChildren's Online Privacy PolicyYour US State Privacy RightsAvatar at shopDisneyInterest-Based AdsDo Not Sell or Share My Personal Information©2023 20th Century Studios. JAMES CAMERON'S AVATAR is a trademark of 20th Century Studios. All Rights Reserved.</v>
      </c>
    </row>
    <row r="102">
      <c r="A102" s="1" t="s">
        <v>332</v>
      </c>
      <c r="B102" s="1" t="s">
        <v>370</v>
      </c>
      <c r="C102" s="1" t="s">
        <v>387</v>
      </c>
      <c r="D102" s="1">
        <v>7.0</v>
      </c>
      <c r="E102" s="4" t="s">
        <v>388</v>
      </c>
      <c r="F102" s="1" t="s">
        <v>43</v>
      </c>
      <c r="G102" s="1" t="s">
        <v>385</v>
      </c>
      <c r="H102" s="4" t="s">
        <v>386</v>
      </c>
      <c r="I102" s="2">
        <v>1.0</v>
      </c>
      <c r="J102" s="5" t="str">
        <f>IFERROR(__xludf.DUMMYFUNCTION("GOOGLETRANSLATE(A102)"),"Avatar 2")</f>
        <v>Avatar 2</v>
      </c>
      <c r="K102" s="6" t="str">
        <f>IFERROR(__xludf.DUMMYFUNCTION("GOOGLETRANSLATE(B102)"),"Avatar: The Way of Water")</f>
        <v>Avatar: The Way of Water</v>
      </c>
      <c r="L102" s="5" t="str">
        <f>IFERROR(__xludf.DUMMYFUNCTION("GOOGLETRANSLATE(C102)"),"16 Dec. 2022 -")</f>
        <v>16 Dec. 2022 -</v>
      </c>
      <c r="M102" s="5" t="str">
        <f>IFERROR(__xludf.DUMMYFUNCTION("GOOGLETRANSLATE(G102)"),"Avatar.com | The Official Avatar Website for Avatar NewsSkip NavigationHomeMoviesAvatar: The Way of Water (2022)Avatar (2009)SequelsGames                                                    All Games                       Avatar: Frontiers of PandoraExperi"&amp;"ences                                                    All Experiences                       Pandora - The World of Avatar Avatar: The ExhibitionAvatar: The ExperienceCommunityPublishingPartnershipsShopOur TeamPandorapediaMoreMorefacebook               "&amp;"               twitter                              instagram                              youtube                              “The way of water has no beginning and no end.""TsireyaLatest NewsVideoLEGO x Avatar 1 Million+ Brick Diorama | BTSWatch how Id"&amp;"aho Lego User Group and Spacetime Brick Studio brought their community together to bring this stunning diorama to life.News6 Unforgettable Moments from Avatar: The Experience at Cloud Forest Gardens by the BayAvatar: The Experience at Cloud Forest Gardens"&amp;"by the Bay in Singapore is filled with momentsyou’ll remember forever.NewsAvatar: Frontiers of Pandora – New Trailer Reveals Story DetailsLearn more about the hero’s journey and the Na’vi thatcan help you protect Pandora from the RDA.NewsSDCC 2023: Avatar"&amp;": The High Ground &amp; Avatar: Adapt or Die Creator InterviewPandora returns to San Diego Comic-Con. Learn more about the latest in the world of Avatar in the graphic novel collection Avatar: The High Ground.VideoAvatar: The Way of Water | Streaming on Disne"&amp;"y+ June 7. Experience the Academy Award-winning phenomenon streaming on Disney+ June 7. Watch Avatar: The Way of Water at home buy it now on Digital.NewsAvatar: The Way of Water Wins the Academy Award for Best Visual EffectsThe achievement marks the secon"&amp;"d VFX Academy Award for the franchise following its 2010 win for Avatar.""THE UNDERSEA CREATURES OF PANDORA"" BONUS EXTRABuy Avatar: The Way of Water on Digital to Watch More Bonus Extras.VideoAvatar: The Way of Water | Unboxing Pandoran Treasures with th"&amp;"e CastSIVAKO! Watch as some of the newest cast members rise to the challenge and discover LEGO® and McFarlane products inspired by the new film. See Jack Champion as “Spider” Trinity Jo-Li Bliss as “Tuk” and Bailey Bass as Tsireya in Avatar: The Way of Wa"&amp;"ter in theaters now!AVATAR: THE WAY OF WATER CONCEPT ARTHere's an exclusive look of the Pandoran reef from Dylan Cole.VideoPRODUCTION DESIGNAvatar: The Way of Water Co-Production Designers Dylan Cole &amp; Ben Procter on building Pandora from the ground up.Vi"&amp;"deoAvatar: The Way of Water | Keep Our Oceans AmazingHelp us keep our oceans amazing. 💙 Create your very own Avatar-inspired ocean creature from now – 7/31/23 and for every creature created in the Virtual Pandoran Ocean Disney will give $5 to The Nature "&amp;"Conservancy. NewsWelcome to the All-New Pandorapedia The Guide to the World of Avatar Just in time for the release of Avatar: The Way of Water a new online guide called Pandorapedia has been launched to unlock the details behind the world of Pandora.NewsD"&amp;"isney twenty-three Journeys to Pandora Going Behind the Scenes of Avatar: The Way of WaterThe Winter issue of Disney twenty-three features dazzling details on Disney100 Years of Wonder plus exclusives on Avatar: The Way of Water and more can't miss movies"&amp;".NewsAvatar and McFarlane Toys Go Big at D23 ExpoAvatar McFarlane Toys and Lightstorm Entertainment took D23 Expo 2022 by storm showcasing the collaboration with exciting reveals demos and more at Disney's Ultimate Fan Event.NewsD23 Expo Gives Fans an Exc"&amp;"iting First Look at Avatar: The Way of WaterAcademy Award–winning director James Cameron producer Jon Landau and the cast of Avatar: The Way of Water graced the Hall D23 stage for a compelling panel conversation.NewsAvatar Video Conference BackgroundsWant"&amp;" to call in from Pandora? Download backgrounds here!NewsAvatar and Dark Horse Comics              Check out the covers for Tsu'tey's Path and The Next Shadow available online and at a comic book retailer near you.             NewsAvatar: ReckoningComing s"&amp;"oon - a new mobile MMO set on Pandora from Archosaur Games and Level Infinite.NewsDark Horse and Lightstorm on TwitchGet the inside scoop on all things Avatar: The Next Shadow.NewsIt’s Official: Avatar Returns to Theaters This SeptemberJames Cameron’s rec"&amp;"ord-breaking movie Avatar returns to theaters on September 23 2022. Audiences will get to experience Pandora with a remastered 4K HDR picture.NewsLightstorm Entertainment Disney and McFarlane Toys Reveal the First Look at Stunning New Avatar Collectibles "&amp;"at San Diego Comic-ConAt San Diego Comic-Con 2022 Lightstorm Entertainment Disney and McFarlane Toys gave fans a first look at their exciting collaboration. Todd McFarlane revealed the first two figures from their new line of Avatar collectibles showcasin"&amp;"g all of the impressive features.NewsLightstorm Entertainment Disney and the LEGO Group Reveal Immersive New LEGO Avatar SetsAt San Diego Comic-Con 2022 Lightstorm Entertainment Disney and the LEGO Group revealed four new LEGO Avatar sets that will be lau"&amp;"nching later this year. Two of the sets were showcased on the convention floor giving fans an exciting first look of what's to come with the new LEGO Avatar sets.NewsSigourney Weaver as Kiri graces the subscriber-exclusive cover of Empire MagazineSigourne"&amp;"y Weaver plays Jake and Neytiri’s adopted teenage Na’vi daughter in Avatar 2. Experience Avatar: The Way of Water only in theaters December 16.NewsEmpire’s World-Exclusive Avatar: The Way Of Water Cover RevealedThe newsstand cover of Empire Magazine for A"&amp;"vatar: The Way of Water is here. Experience it only in theaters December 16.NewsAn Inside Look at The World of Avatar with Joshua IzzoWe interviewed Joshua Izzo to discuss the gems of the Avatar franchise in his new book The World of Avatar: A Visual Expl"&amp;"oration.News5 Facts for Pandora's 5th AnniversaryTo celebrate the 5th anniversary of Pandora – The World of Avatar at Disney’s Animal Kingdom Theme Park take a look at these five facts about the Park.NewsAvatar: The Way of WaterWe officially have a title!"&amp;"NewsThe World of Avatar: A Visual ExplorationNow available for pre-order this book celebrates explores and explains the spectacular world of Pandora—its extraordinary geology flora and fauna and the customs and beliefs of its people the Na’vi.NewsAvatar 2"&amp;": Meet Spider Jake And Neytiri’s Adopted Human SonA lot has changed on Pandora in the 13-year gap between Avatar and Avatar 2 (arriving in 2022).NewsJames Cameron Opens Up About His Long-Awaited Avatar SequelThe director returns to Pandora with the first "&amp;"of four planned Avatar sequels combining innovative performance-capture and his lifelong love for the ocean.NewsAvatar Producer Teases the Four SequelsExclusive: Jon Landau reveals some of the first Avatar 2 plot details to Total FilmNewsJames Cameron Say"&amp;"s Filming On Avatar 2 Is '100 Percent Complete'It's been a long time coming but James Cameron's Avatar sequels are finally close to the finish line.NewsHow Avatar Reclaimed Its Global Box office CrownJames Cameron’s 2009 blockbuster retakes the all-time r"&amp;"ecord from Avengers: Endgame.NewsAvatar 2’s Kate Winslet On Joining James Cameron’s SequelActress Kate Winslet has had an acclaimed film career picking up an Oscar Emmy and other various awards along the way.FacebookMichelle Yeoh Kept Jim Busy Between Set"&amp;"-ups While Filming Avatar 3!NewsCongratulations To James Cameron Jon Landau And All Of Na'vi Nation For Reclaiming The Box Office Crown!We love you 3000.Facebook                                          Twitter                                          Ins"&amp;"tagram                                          YouTube                                          Terms of UsePrivacy PolicyChildren's Online Privacy PolicyYour US State Privacy RightsAvatar at shopDisneyInterest-Based AdsDo Not Sell or Share My Personal I"&amp;"nformation©2023 20th Century Studios. JAMES CAMERON'S AVATAR is a trademark of 20th Century Studios. All Rights Reserved.")</f>
        <v>Avatar.com | The Official Avatar Website for Avatar NewsSkip NavigationHomeMoviesAvatar: The Way of Water (2022)Avatar (2009)SequelsGames                                                    All Games                       Avatar: Frontiers of PandoraExperiences                                                    All Experiences                       Pandora - The World of Avatar Avatar: The ExhibitionAvatar: The ExperienceCommunityPublishingPartnershipsShopOur TeamPandorapediaMoreMorefacebook                              twitter                              instagram                              youtube                              “The way of water has no beginning and no end."TsireyaLatest NewsVideoLEGO x Avatar 1 Million+ Brick Diorama | BTSWatch how Idaho Lego User Group and Spacetime Brick Studio brought their community together to bring this stunning diorama to life.News6 Unforgettable Moments from Avatar: The Experience at Cloud Forest Gardens by the BayAvatar: The Experience at Cloud Forest Gardensby the Bay in Singapore is filled with momentsyou’ll remember forever.NewsAvatar: Frontiers of Pandora – New Trailer Reveals Story DetailsLearn more about the hero’s journey and the Na’vi thatcan help you protect Pandora from the RDA.NewsSDCC 2023: Avatar: The High Ground &amp; Avatar: Adapt or Die Creator InterviewPandora returns to San Diego Comic-Con. Learn more about the latest in the world of Avatar in the graphic novel collection Avatar: The High Ground.VideoAvatar: The Way of Water | Streaming on Disney+ June 7. Experience the Academy Award-winning phenomenon streaming on Disney+ June 7. Watch Avatar: The Way of Water at home buy it now on Digital.NewsAvatar: The Way of Water Wins the Academy Award for Best Visual EffectsThe achievement marks the second VFX Academy Award for the franchise following its 2010 win for Avatar."THE UNDERSEA CREATURES OF PANDORA" BONUS EXTRABuy Avatar: The Way of Water on Digital to Watch More Bonus Extras.VideoAvatar: The Way of Water | Unboxing Pandoran Treasures with the CastSIVAKO! Watch as some of the newest cast members rise to the challenge and discover LEGO® and McFarlane products inspired by the new film. See Jack Champion as “Spider” Trinity Jo-Li Bliss as “Tuk” and Bailey Bass as Tsireya in Avatar: The Way of Water in theaters now!AVATAR: THE WAY OF WATER CONCEPT ARTHere's an exclusive look of the Pandoran reef from Dylan Cole.VideoPRODUCTION DESIGNAvatar: The Way of Water Co-Production Designers Dylan Cole &amp; Ben Procter on building Pandora from the ground up.VideoAvatar: The Way of Water | Keep Our Oceans AmazingHelp us keep our oceans amazing. 💙 Create your very own Avatar-inspired ocean creature from now – 7/31/23 and for every creature created in the Virtual Pandoran Ocean Disney will give $5 to The Nature Conservancy. NewsWelcome to the All-New Pandorapedia The Guide to the World of Avatar Just in time for the release of Avatar: The Way of Water a new online guide called Pandorapedia has been launched to unlock the details behind the world of Pandora.NewsDisney twenty-three Journeys to Pandora Going Behind the Scenes of Avatar: The Way of WaterThe Winter issue of Disney twenty-three features dazzling details on Disney100 Years of Wonder plus exclusives on Avatar: The Way of Water and more can't miss movies.NewsAvatar and McFarlane Toys Go Big at D23 ExpoAvatar McFarlane Toys and Lightstorm Entertainment took D23 Expo 2022 by storm showcasing the collaboration with exciting reveals demos and more at Disney's Ultimate Fan Event.NewsD23 Expo Gives Fans an Exciting First Look at Avatar: The Way of WaterAcademy Award–winning director James Cameron producer Jon Landau and the cast of Avatar: The Way of Water graced the Hall D23 stage for a compelling panel conversation.NewsAvatar Video Conference BackgroundsWant to call in from Pandora? Download backgrounds here!NewsAvatar and Dark Horse Comics              Check out the covers for Tsu'tey's Path and The Next Shadow available online and at a comic book retailer near you.             NewsAvatar: ReckoningComing soon - a new mobile MMO set on Pandora from Archosaur Games and Level Infinite.NewsDark Horse and Lightstorm on TwitchGet the inside scoop on all things Avatar: The Next Shadow.NewsIt’s Official: Avatar Returns to Theaters This SeptemberJames Cameron’s record-breaking movie Avatar returns to theaters on September 23 2022. Audiences will get to experience Pandora with a remastered 4K HDR picture.NewsLightstorm Entertainment Disney and McFarlane Toys Reveal the First Look at Stunning New Avatar Collectibles at San Diego Comic-ConAt San Diego Comic-Con 2022 Lightstorm Entertainment Disney and McFarlane Toys gave fans a first look at their exciting collaboration. Todd McFarlane revealed the first two figures from their new line of Avatar collectibles showcasing all of the impressive features.NewsLightstorm Entertainment Disney and the LEGO Group Reveal Immersive New LEGO Avatar SetsAt San Diego Comic-Con 2022 Lightstorm Entertainment Disney and the LEGO Group revealed four new LEGO Avatar sets that will be launching later this year. Two of the sets were showcased on the convention floor giving fans an exciting first look of what's to come with the new LEGO Avatar sets.NewsSigourney Weaver as Kiri graces the subscriber-exclusive cover of Empire MagazineSigourney Weaver plays Jake and Neytiri’s adopted teenage Na’vi daughter in Avatar 2. Experience Avatar: The Way of Water only in theaters December 16.NewsEmpire’s World-Exclusive Avatar: The Way Of Water Cover RevealedThe newsstand cover of Empire Magazine for Avatar: The Way of Water is here. Experience it only in theaters December 16.NewsAn Inside Look at The World of Avatar with Joshua IzzoWe interviewed Joshua Izzo to discuss the gems of the Avatar franchise in his new book The World of Avatar: A Visual Exploration.News5 Facts for Pandora's 5th AnniversaryTo celebrate the 5th anniversary of Pandora – The World of Avatar at Disney’s Animal Kingdom Theme Park take a look at these five facts about the Park.NewsAvatar: The Way of WaterWe officially have a title!NewsThe World of Avatar: A Visual ExplorationNow available for pre-order this book celebrates explores and explains the spectacular world of Pandora—its extraordinary geology flora and fauna and the customs and beliefs of its people the Na’vi.NewsAvatar 2: Meet Spider Jake And Neytiri’s Adopted Human SonA lot has changed on Pandora in the 13-year gap between Avatar and Avatar 2 (arriving in 2022).NewsJames Cameron Opens Up About His Long-Awaited Avatar SequelThe director returns to Pandora with the first of four planned Avatar sequels combining innovative performance-capture and his lifelong love for the ocean.NewsAvatar Producer Teases the Four SequelsExclusive: Jon Landau reveals some of the first Avatar 2 plot details to Total FilmNewsJames Cameron Says Filming On Avatar 2 Is '100 Percent Complete'It's been a long time coming but James Cameron's Avatar sequels are finally close to the finish line.NewsHow Avatar Reclaimed Its Global Box office CrownJames Cameron’s 2009 blockbuster retakes the all-time record from Avengers: Endgame.NewsAvatar 2’s Kate Winslet On Joining James Cameron’s SequelActress Kate Winslet has had an acclaimed film career picking up an Oscar Emmy and other various awards along the way.FacebookMichelle Yeoh Kept Jim Busy Between Set-ups While Filming Avatar 3!NewsCongratulations To James Cameron Jon Landau And All Of Na'vi Nation For Reclaiming The Box Office Crown!We love you 3000.Facebook                                          Twitter                                          Instagram                                          YouTube                                          Terms of UsePrivacy PolicyChildren's Online Privacy PolicyYour US State Privacy RightsAvatar at shopDisneyInterest-Based AdsDo Not Sell or Share My Personal Information©2023 20th Century Studios. JAMES CAMERON'S AVATAR is a trademark of 20th Century Studios. All Rights Reserved.</v>
      </c>
    </row>
    <row r="103">
      <c r="A103" s="1" t="s">
        <v>332</v>
      </c>
      <c r="B103" s="1" t="s">
        <v>389</v>
      </c>
      <c r="C103" s="1" t="s">
        <v>390</v>
      </c>
      <c r="D103" s="1">
        <v>8.0</v>
      </c>
      <c r="E103" s="4" t="s">
        <v>391</v>
      </c>
      <c r="F103" s="1" t="s">
        <v>43</v>
      </c>
      <c r="G103" s="1" t="s">
        <v>273</v>
      </c>
      <c r="H103" s="4" t="s">
        <v>274</v>
      </c>
      <c r="I103" s="2">
        <v>1.0</v>
      </c>
      <c r="J103" s="5" t="str">
        <f>IFERROR(__xludf.DUMMYFUNCTION("GOOGLETRANSLATE(A103)"),"Avatar 2")</f>
        <v>Avatar 2</v>
      </c>
      <c r="K103" s="6" t="str">
        <f>IFERROR(__xludf.DUMMYFUNCTION("GOOGLETRANSLATE(B103)"),"Avatar 2 ~ The Way of Water (@avatar2officialmovie)")</f>
        <v>Avatar 2 ~ The Way of Water (@avatar2officialmovie)</v>
      </c>
      <c r="L103" s="5" t="str">
        <f>IFERROR(__xludf.DUMMYFUNCTION("GOOGLETRANSLATE(C103)"),"43K Followers, 8 Following, 52 Posts - See Instagram photos and videos from Avatar 2 ~ The Way of Water (@avatar2officialmovie)")</f>
        <v>43K Followers, 8 Following, 52 Posts - See Instagram photos and videos from Avatar 2 ~ The Way of Water (@avatar2officialmovie)</v>
      </c>
      <c r="M103" s="5" t="str">
        <f>IFERROR(__xludf.DUMMYFUNCTION("GOOGLETRANSLATE(G103)"),"Update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04">
      <c r="A104" s="1" t="s">
        <v>332</v>
      </c>
      <c r="B104" s="1" t="s">
        <v>373</v>
      </c>
      <c r="D104" s="1">
        <v>167.0</v>
      </c>
      <c r="E104" s="4" t="s">
        <v>392</v>
      </c>
      <c r="F104" s="1" t="s">
        <v>43</v>
      </c>
      <c r="G104" s="1" t="s">
        <v>393</v>
      </c>
      <c r="H104" s="4" t="s">
        <v>394</v>
      </c>
      <c r="I104" s="2">
        <v>1.0</v>
      </c>
      <c r="J104" s="5" t="str">
        <f>IFERROR(__xludf.DUMMYFUNCTION("GOOGLETRANSLATE(A104)"),"Avatar 2")</f>
        <v>Avatar 2</v>
      </c>
      <c r="K104" s="6" t="str">
        <f>IFERROR(__xludf.DUMMYFUNCTION("GOOGLETRANSLATE(B104)"),"Avatar: The Way of Water (2022)")</f>
        <v>Avatar: The Way of Water (2022)</v>
      </c>
      <c r="L104" s="5" t="str">
        <f>IFERROR(__xludf.DUMMYFUNCTION("GOOGLETRANSLATE(C104)"),"#VALUE!")</f>
        <v>#VALUE!</v>
      </c>
      <c r="M104" s="5" t="str">
        <f>IFERROR(__xludf.DUMMYFUNCTION("GOOGLETRANSLATE(G104)"),"Home - Box Office MojoDomesticInternationalWorldwideCalendarAll TimeShowdownsIndicesDailyWeekendWeeklyMonthlyQuarterlyYearlySeasonsHolidaysShortcutsBrandsGenresFranchisesRelease ScheduleTop 2023 MoviesWorldwide 2023All Time (Domestic)All Time (Worldwide) "&amp;"           Release Schedule        November 11 2023TheatersUFC 295 Jones vs. MiocicLimitedTiger 3LimitedNovember 12 2023TheatersAn All-Star Salute to Lee GreenwoodLimitedScarface2023 Re-releaseLimitedNovember 14 2023TheatersMedicine Man: The Stan Brock St"&amp;"oryLimitedNovember 17 2023TheatersNext Goal WinsLimitedThe Hunger Games: The Ballad of Songbirds &amp; SnakesWideBeyond the Aggressives: 25 Years LaterLimitedGood EggLimitedThanksgivingWideDown in Dallas TownLimitedTrolls Band TogetherWideNovember 18 2023Thea"&amp;"tersThe Metropolitan Opera: X - The Life and Times of Malcolm XLimitedNovember 19 2023TheatersSaving Private Ryan25th AnniversaryLimitedNovember 22 2023TheatersThe HoldoversWideMonsterLimitedNapoleonWideMenus Plaisirs - Les TroisgrosLimitedWishWideDecembe"&amp;"r 1 2023TheatersRENAISSANCE: A FILm by BEYONCÉWideCandy Cane LaneLimitedTeddy's ChristmasLimitedAnimalLimitedGodzilla Minus OneLimitedLa SyndicalisteLimitedMore »Latest Dailies                            Mon Nov 6                                          "&amp;"          Tue Nov 7                                                    Wed Nov 8                                                    Thu Nov 9                                                    Fri Nov 10                        2023-11-10Five Nights at Fre"&amp;"ddy's$1199770Killers of the Flower Moon$674606Priscilla$543600After Death$264502The Exorcist: Believer$181390More »Five Nights at Freddy's$1766660Killers of the Flower Moon$1049125Priscilla$833067After Death$363767Radical$298374More »Five Nights at Freddy"&amp;"'s$947635Killers of the Flower Moon$708660Priscilla$591447After Death$250243The Exorcist: Believer$168025More »Five Nights at Freddy's$1085005Priscilla$702525Killers of the Flower Moon$649687Taylor Swift: The Eras Tour$587320The Blind$186428More »The Marv"&amp;"els$21500000Five Nights at Freddy's$3030000Taylor Swift: The Eras Tour$1900000Priscilla$1636173Killers of the Flower Moon$1500000More »        Latest Weekend: Nov 10-12    1Five Nights at Freddy's$9.0Mfalsetrue2Killers of the Flower Moon$5.0Mfalsetrue3The"&amp;" Holdovers$3.0Mfalsetrue4Journey to Bethlehem$2.8Mtruetrue5PAW Patrol: The Mighty Movie$1.6MfalsetrueMore »        Recent Release Date Changes    Untitled DisneyLimitedJul 25 2025→RemovedUnknown TitleLimitedNov 7 2025→RemovedBladeWideFeb 14 2025→Nov 7 202"&amp;"5ThunderboltsLimitedDec 20 2024→Jul 25 2025Captain America: Brave New WorldLimitedJul 26 2024→Feb 14 2025More »        Top 2023 Movies    1Barbie$636.1M-2The Super Mario Bros. Movie$574.9M-3Spider-Man: Across the Spider-Verse$381.3M-4Guardians of the Gala"&amp;"xy Vol. 3$359.0M-5Oppenheimer$325.2M-More »        Worldwide 2023    1Barbie$1.4B-2The Super Mario Bros. Movie$1.4B-3Oppenheimer$949.0M-4Guardians of the Galaxy Vol. 3$845.6M-5Fast X$704.7M-More »Concert Films Showdown29-Day Total:            $16852690129"&amp;"-Day Total:            $69933507VSGran Turismo v. Need for Speed78-Day Total:            $4437633578-Day Total:            $43465568VSMario v. Sonic v. Pikachu220-Day Total:            $574934330220-Day Total:            $146066470VSTeenage Mutant Ninja T"&amp;"urtles Showdown101-Day Total:            $118613586101-Day Total:            $135265915VSMore »            Latest Updates:            News |            Daily |            Weekend |            All Time |            International |            ShowdownsGloss"&amp;"ary            |            User Guide            |            Help            BoxOfficeMojo.com by IMDbPro - an            IMDb            company.                    © IMDb.com Inc. or its affiliates. All rights reserved.            Box Office Mojo and "&amp;"IMDb are trademarks or registered trademarks of IMDb.com Inc. or its affiliates.            Conditions of Use             and             Privacy Policy            under which this service is provided to you.")</f>
        <v>Home - Box Office MojoDomesticInternationalWorldwideCalendarAll TimeShowdownsIndicesDailyWeekendWeeklyMonthlyQuarterlyYearlySeasonsHolidaysShortcutsBrandsGenresFranchisesRelease ScheduleTop 2023 MoviesWorldwide 2023All Time (Domestic)All Time (Worldwide)            Release Schedule        November 11 2023TheatersUFC 295 Jones vs. MiocicLimitedTiger 3LimitedNovember 12 2023TheatersAn All-Star Salute to Lee GreenwoodLimitedScarface2023 Re-releaseLimitedNovember 14 2023TheatersMedicine Man: The Stan Brock StoryLimitedNovember 17 2023TheatersNext Goal WinsLimitedThe Hunger Games: The Ballad of Songbirds &amp; SnakesWideBeyond the Aggressives: 25 Years LaterLimitedGood EggLimitedThanksgivingWideDown in Dallas TownLimitedTrolls Band TogetherWideNovember 18 2023TheatersThe Metropolitan Opera: X - The Life and Times of Malcolm XLimitedNovember 19 2023TheatersSaving Private Ryan25th AnniversaryLimitedNovember 22 2023TheatersThe HoldoversWideMonsterLimitedNapoleonWideMenus Plaisirs - Les TroisgrosLimitedWishWideDecember 1 2023TheatersRENAISSANCE: A FILm by BEYONCÉWideCandy Cane LaneLimitedTeddy's ChristmasLimitedAnimalLimitedGodzilla Minus OneLimitedLa SyndicalisteLimitedMore »Latest Dailies                            Mon Nov 6                                                    Tue Nov 7                                                    Wed Nov 8                                                    Thu Nov 9                                                    Fri Nov 10                        2023-11-10Five Nights at Freddy's$1199770Killers of the Flower Moon$674606Priscilla$543600After Death$264502The Exorcist: Believer$181390More »Five Nights at Freddy's$1766660Killers of the Flower Moon$1049125Priscilla$833067After Death$363767Radical$298374More »Five Nights at Freddy's$947635Killers of the Flower Moon$708660Priscilla$591447After Death$250243The Exorcist: Believer$168025More »Five Nights at Freddy's$1085005Priscilla$702525Killers of the Flower Moon$649687Taylor Swift: The Eras Tour$587320The Blind$186428More »The Marvels$21500000Five Nights at Freddy's$3030000Taylor Swift: The Eras Tour$1900000Priscilla$1636173Killers of the Flower Moon$1500000More »        Latest Weekend: Nov 10-12    1Five Nights at Freddy's$9.0Mfalsetrue2Killers of the Flower Moon$5.0Mfalsetrue3The Holdovers$3.0Mfalsetrue4Journey to Bethlehem$2.8Mtruetrue5PAW Patrol: The Mighty Movie$1.6MfalsetrueMore »        Recent Release Date Changes    Untitled DisneyLimitedJul 25 2025→RemovedUnknown TitleLimitedNov 7 2025→RemovedBladeWideFeb 14 2025→Nov 7 2025ThunderboltsLimitedDec 20 2024→Jul 25 2025Captain America: Brave New WorldLimitedJul 26 2024→Feb 14 2025More »        Top 2023 Movies    1Barbie$636.1M-2The Super Mario Bros. Movie$574.9M-3Spider-Man: Across the Spider-Verse$381.3M-4Guardians of the Galaxy Vol. 3$359.0M-5Oppenheimer$325.2M-More »        Worldwide 2023    1Barbie$1.4B-2The Super Mario Bros. Movie$1.4B-3Oppenheimer$949.0M-4Guardians of the Galaxy Vol. 3$845.6M-5Fast X$704.7M-More »Concert Films Showdown29-Day Total:            $16852690129-Day Total:            $69933507VSGran Turismo v. Need for Speed78-Day Total:            $4437633578-Day Total:            $43465568VSMario v. Sonic v. Pikachu220-Day Total:            $574934330220-Day Total:            $146066470VSTeenage Mutant Ninja Turtles Showdown101-Day Total:            $118613586101-Day Total:            $135265915VSMore »            Latest Updates:            News |            Daily |            Weekend |            All Time |            International |            ShowdownsGlossary            |            User Guide            |            Help            BoxOfficeMojo.com by IMDbPro - an            IMDb            company.                    © IMDb.com Inc. or its affiliates. All rights reserved.            Box Office Mojo and IMDb are trademarks or registered trademarks of IMDb.com Inc. or its affiliates.            Conditions of Use             and             Privacy Policy            under which this service is provided to you.</v>
      </c>
    </row>
    <row r="105">
      <c r="A105" s="1" t="s">
        <v>395</v>
      </c>
      <c r="B105" s="1" t="s">
        <v>396</v>
      </c>
      <c r="C105" s="1" t="s">
        <v>397</v>
      </c>
      <c r="D105" s="1">
        <v>1.0</v>
      </c>
      <c r="E105" s="4" t="s">
        <v>398</v>
      </c>
      <c r="F105" s="1" t="s">
        <v>16</v>
      </c>
      <c r="G105" s="1" t="s">
        <v>399</v>
      </c>
      <c r="H105" s="4" t="s">
        <v>400</v>
      </c>
      <c r="I105" s="2">
        <v>0.0</v>
      </c>
      <c r="J105" s="5" t="str">
        <f>IFERROR(__xludf.DUMMYFUNCTION("GOOGLETRANSLATE(A105)"),"Avito")</f>
        <v>Avito</v>
      </c>
      <c r="K105" s="6" t="str">
        <f>IFERROR(__xludf.DUMMYFUNCTION("GOOGLETRANSLATE(B105)"),"Avito: real estate, transport, work, services, things")</f>
        <v>Avito: real estate, transport, work, services, things</v>
      </c>
      <c r="L105" s="5" t="str">
        <f>IFERROR(__xludf.DUMMYFUNCTION("GOOGLETRANSLATE(C105)"),"On Avito, you can inexpensively buy or profitably sell a car with a mileage or a new car, an apartment and other real estate, as well as a new or used clothing, ...")</f>
        <v>On Avito, you can inexpensively buy or profitably sell a car with a mileage or a new car, an apartment and other real estate, as well as a new or used clothing, ...</v>
      </c>
      <c r="M105" s="5" t="str">
        <f>IFERROR(__xludf.DUMMYFUNCTION("GOOGLETRANSLATE(G105)"),"Avito: Real Estate Transport Work Service Services of Business Association Catalog Catalog and Registration to annoy the advent of categories of workshops of the house and dachas and accessories and accessories of all the regional-adults and equipment. Ar"&amp;"ykhobbia vacation of lifetime business businesses equipment for the service-nickname of homepage dachadroitivaries of children's lives of health, health-tasty-adherents-work-deeds, Office-General General Minute Business Equiples of the Service-Homes of Da"&amp;"chiRodi-Lifth Children Furniture game and prizes from Aviter's recommendation on the Avitoporay “Lizaalet” help from an avithic in a cages to the cage, we will get a florista prepare the house for Zimekuda to go to November 5W-40 4 l from 999 ₽ Braching t"&amp;"he hairy from Omod-verbal apartment to find housing. Eluccessing Student Training Institution for Student Machines for Haircutsiphone 15 on Avit -verbal housing for the driftal prize of Omodashkaf for the home we Anquarium for hockey services for evacuama"&amp;"l payments for the 1st day of Nike -heating aromatic renewal of machine -tree jetta for the release of silence in the apartment. Forestry from the branded -collector furnitel -correction of Breyirepeter mathematician machine -winners to the hostel to work"&amp;" and study: the trends are darkened The houses for the apartment for the autumn-lane for any tasks for Komtransanedorous new shinos rods for new building recommendations for Vaso-guard 1,500 ₽ River Station2-K. Apartment 698 m² 9/10 et. 4 900 000 ₽ Kaspiy"&amp;"skskskemic 1300 m²400 ₽ per month per m² Vladivostovok Pervomaisky District 500 m² in a section of 15 hundred ₽ per day-Kamchatka Luke is not indicated by the Leninskoye Poloprieclop. ₽ C VatSrasnoyarsk District Centrallinoleum1 000 ₽ PPROMMAMA ORDZHONICI"&amp;"DSEVSKYAMI POCO M5S 4/128 GB10 000 ₽ Marshal Koveshkinad 811 m² on the site 9 hundredth 500 000 ₽d. Small Elakadapodarny set1 350 ₽Abakanbugatti divo 8.0 AMT 2021 600 km1 120 000 000 $. Barvihalixiang L9 1.5 AT 2023 10 km7 500 000 ₽ Kashirskaya2-K. Apartm"&amp;"ent 40 m² 1/2 floor 2 800 000 ₽. Batyre-free destination 74 m²5 669 900 ₽habarovsk district Zheleznodorozhny ""Blue Tractor"". Give children emotions110 ₽ span Sverdlovskiyrenault Logan 1.4 mt 2006 300 000 km280 000 ₽ Costoma rn Central Complex Plants400 "&amp;"₽ KELLOVISTARY RN500 ₽ Irkutsk district Oktyabrsky Busmoshaka BM-160p to the central din 4605 m² on the site 85 hundred. 42 607 816 ₽Pos. The youth oven of building garbage with a cargo-shock 3 500 ₽angarsk rn Microdistrict Aeroflot200 ₽ Belyaevsingonium "&amp;"vendlandi250 ₽ River of the loader Leninsky Vacancy. Code: VA883ot 37 728 ₽ Krasnoyarsk district Oktyabrsky corpus3 000 ₽ Khovosibirsk SNT Buildmashevsky district Pervomaisky 90 m² on a plot 4 hundredth 200 000 ₽ Zlatomatoma of scrap metal. Disorder 1 ₽ B"&amp;"elibais (m/w) for work without experience (watch watch ) from 150 000 2. ₽ Novgorod rn Priokmr3-player Walkman Sony NWZ-B172F2 000 ₽ Novgorod Burnakovskaya Trinakovtoriystvotolimotocyls and motor vehicles and special equipment of the vehicle and accessory"&amp;"-designate vegetables and vidomotions for computeriga for computers Red prefixes and program -tobooking computers of photographs and electronic books of organization and consumables for accommodation of housing for a long time for long -term real estate c"&amp;"ategories ofhobbies and rest and travels of the bore -nigrics and magazine -collection -in -laws -in -law tools and fishing cards and vacation work and work as an employee of the house and dachiremont and the construction of the mixture and interior equip"&amp;"ment of the supply of a place of place to the kitchen business and equipment of the preparation business equipment for business services. For animal -sheet -shells, accessories and shoes for children and toy -toys and health and adolescence load the Avito"&amp;"va application immediately find out immediately If the message comes, a new offer appears in the chosen one or someone will buy your product with delivery. VOVTTTGAVITO-a website of the advertisements of Russia. © KEH EKOMMERTS LLC 2007–2023. Avito rules."&amp;" Data processing policy. Avito uses recommendation technologies. To disseminate the announcement of the help of the number of Identity advertising on the site of the company Courara -Avito journal blogging benefits")</f>
        <v>Avito: Real Estate Transport Work Service Services of Business Association Catalog Catalog and Registration to annoy the advent of categories of workshops of the house and dachas and accessories and accessories of all the regional-adults and equipment. Arykhobbia vacation of lifetime business businesses equipment for the service-nickname of homepage dachadroitivaries of children's lives of health, health-tasty-adherents-work-deeds, Office-General General Minute Business Equiples of the Service-Homes of DachiRodi-Lifth Children Furniture game and prizes from Aviter's recommendation on the Avitoporay “Lizaalet” help from an avithic in a cages to the cage, we will get a florista prepare the house for Zimekuda to go to November 5W-40 4 l from 999 ₽ Braching the hairy from Omod-verbal apartment to find housing. Eluccessing Student Training Institution for Student Machines for Haircutsiphone 15 on Avit -verbal housing for the driftal prize of Omodashkaf for the home we Anquarium for hockey services for evacuamal payments for the 1st day of Nike -heating aromatic renewal of machine -tree jetta for the release of silence in the apartment. Forestry from the branded -collector furnitel -correction of Breyirepeter mathematician machine -winners to the hostel to work and study: the trends are darkened The houses for the apartment for the autumn-lane for any tasks for Komtransanedorous new shinos rods for new building recommendations for Vaso-guard 1,500 ₽ River Station2-K. Apartment 698 m² 9/10 et. 4 900 000 ₽ Kaspiyskskskemic 1300 m²400 ₽ per month per m² Vladivostovok Pervomaisky District 500 m² in a section of 15 hundred ₽ per day-Kamchatka Luke is not indicated by the Leninskoye Poloprieclop. ₽ C VatSrasnoyarsk District Centrallinoleum1 000 ₽ PPROMMAMA ORDZHONICIDSEVSKYAMI POCO M5S 4/128 GB10 000 ₽ Marshal Koveshkinad 811 m² on the site 9 hundredth 500 000 ₽d. Small Elakadapodarny set1 350 ₽Abakanbugatti divo 8.0 AMT 2021 600 km1 120 000 000 $. Barvihalixiang L9 1.5 AT 2023 10 km7 500 000 ₽ Kashirskaya2-K. Apartment 40 m² 1/2 floor 2 800 000 ₽. Batyre-free destination 74 m²5 669 900 ₽habarovsk district Zheleznodorozhny "Blue Tractor". Give children emotions110 ₽ span Sverdlovskiyrenault Logan 1.4 mt 2006 300 000 km280 000 ₽ Costoma rn Central Complex Plants400 ₽ KELLOVISTARY RN500 ₽ Irkutsk district Oktyabrsky Busmoshaka BM-160p to the central din 4605 m² on the site 85 hundred. 42 607 816 ₽Pos. The youth oven of building garbage with a cargo-shock 3 500 ₽angarsk rn Microdistrict Aeroflot200 ₽ Belyaevsingonium vendlandi250 ₽ River of the loader Leninsky Vacancy. Code: VA883ot 37 728 ₽ Krasnoyarsk district Oktyabrsky corpus3 000 ₽ Khovosibirsk SNT Buildmashevsky district Pervomaisky 90 m² on a plot 4 hundredth 200 000 ₽ Zlatomatoma of scrap metal. Disorder 1 ₽ Belibais (m/w) for work without experience (watch watch ) from 150 000 2. ₽ Novgorod rn Priokmr3-player Walkman Sony NWZ-B172F2 000 ₽ Novgorod Burnakovskaya Trinakovtoriystvotolimotocyls and motor vehicles and special equipment of the vehicle and accessory-designate vegetables and vidomotions for computeriga for computers Red prefixes and program -tobooking computers of photographs and electronic books of organization and consumables for accommodation of housing for a long time for long -term real estate categories ofhobbies and rest and travels of the bore -nigrics and magazine -collection -in -laws -in -law tools and fishing cards and vacation work and work as an employee of the house and dachiremont and the construction of the mixture and interior equipment of the supply of a place of place to the kitchen business and equipment of the preparation business equipment for business services. For animal -sheet -shells, accessories and shoes for children and toy -toys and health and adolescence load the Avitova application immediately find out immediately If the message comes, a new offer appears in the chosen one or someone will buy your product with delivery. VOVTTTGAVITO-a website of the advertisements of Russia. © KEH EKOMMERTS LLC 2007–2023. Avito rules. Data processing policy. Avito uses recommendation technologies. To disseminate the announcement of the help of the number of Identity advertising on the site of the company Courara -Avito journal blogging benefits</v>
      </c>
    </row>
    <row r="106">
      <c r="A106" s="1" t="s">
        <v>395</v>
      </c>
      <c r="B106" s="1" t="s">
        <v>401</v>
      </c>
      <c r="C106" s="1" t="s">
        <v>402</v>
      </c>
      <c r="D106" s="1">
        <v>2.0</v>
      </c>
      <c r="E106" s="4" t="s">
        <v>403</v>
      </c>
      <c r="F106" s="1" t="s">
        <v>16</v>
      </c>
      <c r="G106" s="1" t="s">
        <v>399</v>
      </c>
      <c r="H106" s="4" t="s">
        <v>400</v>
      </c>
      <c r="I106" s="2">
        <v>0.0</v>
      </c>
      <c r="J106" s="5" t="str">
        <f>IFERROR(__xludf.DUMMYFUNCTION("GOOGLETRANSLATE(A106)"),"Avito")</f>
        <v>Avito</v>
      </c>
      <c r="K106" s="6" t="str">
        <f>IFERROR(__xludf.DUMMYFUNCTION("GOOGLETRANSLATE(B106)"),"Ads on the website of Avito")</f>
        <v>Ads on the website of Avito</v>
      </c>
      <c r="L106" s="5" t="str">
        <f>IFERROR(__xludf.DUMMYFUNCTION("GOOGLETRANSLATE(C106)"),"Avito - ads on the Avito website.")</f>
        <v>Avito - ads on the Avito website.</v>
      </c>
      <c r="M106" s="5" t="str">
        <f>IFERROR(__xludf.DUMMYFUNCTION("GOOGLETRANSLATE(G106)"),"Avito: Real Estate Transport Work Service Services of Business Association Catalog Catalog and Registration to annoy the advent of categories of workshops of the house and dachas and accessories and accessories of all the regional-adults and equipment. Ar"&amp;"ykhobbia vacation of lifetime business businesses equipment for the service-nickname of homepage dachadroitivaries of children's lives of health, health-tasty-adherents-work-deeds, Office-General General Minute Business Equiples of the Service-Homes of Da"&amp;"chiRodi-Lifth Children Furniture game and prizes from Aviter's recommendation on the Avitoporay “Lizaalet” help from an avithic in a cages to the cage, we will get a florista prepare the house for Zimekuda to go to November 5W-40 4 l from 999 ₽ Braching t"&amp;"he hairy from Omod-verbal apartment to find housing. Eluccessing Student Training Institution for Student Machines for Haircutsiphone 15 on Avit -verbal housing for the driftal prize of Omodashkaf for the home we Anquarium for hockey services for evacuama"&amp;"l payments for the 1st day of Nike -heating aromatic renewal of machine -tree jetta for the release of silence in the apartment. Forestry from the branded -collector furnitel -correction of Breyirepeter mathematician machine -winners to the hostel to work"&amp;" and study: the trends are darkened The houses for the apartment for the autumn-lane for any tasks for Komtransanedorous new shinos rods for new building recommendations for Vaso-guard 1,500 ₽ River Station2-K. Apartment 698 m² 9/10 et. 4 900 000 ₽ Kaspiy"&amp;"skskskemic 1300 m²400 ₽ per month per m² Vladivostovok Pervomaisky District 500 m² in a section of 15 hundred ₽ per day-Kamchatka Luke is not indicated by the Leninskoye Poloprieclop. ₽ C VatSrasnoyarsk District Centrallinoleum1 000 ₽ PPROMMAMA ORDZHONICI"&amp;"DSEVSKYAMI POCO M5S 4/128 GB10 000 ₽ Marshal Koveshkinad 811 m² on the site 9 hundredth 500 000 ₽d. Small Elakadapodarny set1 350 ₽Abakanbugatti divo 8.0 AMT 2021 600 km1 120 000 000 $. Barvihalixiang L9 1.5 AT 2023 10 km7 500 000 ₽ Kashirskaya2-K. Apartm"&amp;"ent 40 m² 1/2 floor 2 800 000 ₽. Batyre-free destination 74 m²5 669 900 ₽habarovsk district Zheleznodorozhny ""Blue Tractor"". Give children emotions110 ₽ span Sverdlovskiyrenault Logan 1.4 mt 2006 300 000 km280 000 ₽ Costoma rn Central Complex Plants400 "&amp;"₽ KELLOVISTARY RN500 ₽ Irkutsk district Oktyabrsky Busmoshaka BM-160p to the central din 4605 m² on the site 85 hundred. 42 607 816 ₽Pos. The youth oven of building garbage with a cargo-shock 3 500 ₽angarsk rn Microdistrict Aeroflot200 ₽ Belyaevsingonium "&amp;"vendlandi250 ₽ River of the loader Leninsky Vacancy. Code: VA883ot 37 728 ₽ Krasnoyarsk district Oktyabrsky corpus3 000 ₽ Khovosibirsk SNT Buildmashevsky district Pervomaisky 90 m² on a plot 4 hundredth 200 000 ₽ Zlatomatoma of scrap metal. Disorder 1 ₽ B"&amp;"elibais (m/w) for work without experience (watch watch ) from 150 000 2. ₽ Novgorod rn Priokmr3-player Walkman Sony NWZ-B172F2 000 ₽ Novgorod Burnakovskaya Trinakovtoriystvotolimotocyls and motor vehicles and special equipment of the vehicle and accessory"&amp;"-designate vegetables and vidomotions for computeriga for computers Red prefixes and program -tobooking computers of photographs and electronic books of organization and consumables for accommodation of housing for a long time for long -term real estate c"&amp;"ategories ofhobbies and rest and travels of the bore -nigrics and magazine -collection -in -laws -in -law tools and fishing cards and vacation work and work as an employee of the house and dachiremont and the construction of the mixture and interior equip"&amp;"ment of the supply of a place of place to the kitchen business and equipment of the preparation business equipment for business services. For animal -sheet -shells, accessories and shoes for children and toy -toys and health and adolescence load the Avito"&amp;"va application immediately find out immediately If the message comes, a new offer appears in the chosen one or someone will buy your product with delivery. VOVTTTGAVITO-a website of the advertisements of Russia. © KEH EKOMMERTS LLC 2007–2023. Avito rules."&amp;" Data processing policy. Avito uses recommendation technologies. To disseminate the announcement of the help of the number of Identity advertising on the site of the company Courara -Avito journal blogging benefits")</f>
        <v>Avito: Real Estate Transport Work Service Services of Business Association Catalog Catalog and Registration to annoy the advent of categories of workshops of the house and dachas and accessories and accessories of all the regional-adults and equipment. Arykhobbia vacation of lifetime business businesses equipment for the service-nickname of homepage dachadroitivaries of children's lives of health, health-tasty-adherents-work-deeds, Office-General General Minute Business Equiples of the Service-Homes of DachiRodi-Lifth Children Furniture game and prizes from Aviter's recommendation on the Avitoporay “Lizaalet” help from an avithic in a cages to the cage, we will get a florista prepare the house for Zimekuda to go to November 5W-40 4 l from 999 ₽ Braching the hairy from Omod-verbal apartment to find housing. Eluccessing Student Training Institution for Student Machines for Haircutsiphone 15 on Avit -verbal housing for the driftal prize of Omodashkaf for the home we Anquarium for hockey services for evacuamal payments for the 1st day of Nike -heating aromatic renewal of machine -tree jetta for the release of silence in the apartment. Forestry from the branded -collector furnitel -correction of Breyirepeter mathematician machine -winners to the hostel to work and study: the trends are darkened The houses for the apartment for the autumn-lane for any tasks for Komtransanedorous new shinos rods for new building recommendations for Vaso-guard 1,500 ₽ River Station2-K. Apartment 698 m² 9/10 et. 4 900 000 ₽ Kaspiyskskskemic 1300 m²400 ₽ per month per m² Vladivostovok Pervomaisky District 500 m² in a section of 15 hundred ₽ per day-Kamchatka Luke is not indicated by the Leninskoye Poloprieclop. ₽ C VatSrasnoyarsk District Centrallinoleum1 000 ₽ PPROMMAMA ORDZHONICIDSEVSKYAMI POCO M5S 4/128 GB10 000 ₽ Marshal Koveshkinad 811 m² on the site 9 hundredth 500 000 ₽d. Small Elakadapodarny set1 350 ₽Abakanbugatti divo 8.0 AMT 2021 600 km1 120 000 000 $. Barvihalixiang L9 1.5 AT 2023 10 km7 500 000 ₽ Kashirskaya2-K. Apartment 40 m² 1/2 floor 2 800 000 ₽. Batyre-free destination 74 m²5 669 900 ₽habarovsk district Zheleznodorozhny "Blue Tractor". Give children emotions110 ₽ span Sverdlovskiyrenault Logan 1.4 mt 2006 300 000 km280 000 ₽ Costoma rn Central Complex Plants400 ₽ KELLOVISTARY RN500 ₽ Irkutsk district Oktyabrsky Busmoshaka BM-160p to the central din 4605 m² on the site 85 hundred. 42 607 816 ₽Pos. The youth oven of building garbage with a cargo-shock 3 500 ₽angarsk rn Microdistrict Aeroflot200 ₽ Belyaevsingonium vendlandi250 ₽ River of the loader Leninsky Vacancy. Code: VA883ot 37 728 ₽ Krasnoyarsk district Oktyabrsky corpus3 000 ₽ Khovosibirsk SNT Buildmashevsky district Pervomaisky 90 m² on a plot 4 hundredth 200 000 ₽ Zlatomatoma of scrap metal. Disorder 1 ₽ Belibais (m/w) for work without experience (watch watch ) from 150 000 2. ₽ Novgorod rn Priokmr3-player Walkman Sony NWZ-B172F2 000 ₽ Novgorod Burnakovskaya Trinakovtoriystvotolimotocyls and motor vehicles and special equipment of the vehicle and accessory-designate vegetables and vidomotions for computeriga for computers Red prefixes and program -tobooking computers of photographs and electronic books of organization and consumables for accommodation of housing for a long time for long -term real estate categories ofhobbies and rest and travels of the bore -nigrics and magazine -collection -in -laws -in -law tools and fishing cards and vacation work and work as an employee of the house and dachiremont and the construction of the mixture and interior equipment of the supply of a place of place to the kitchen business and equipment of the preparation business equipment for business services. For animal -sheet -shells, accessories and shoes for children and toy -toys and health and adolescence load the Avitova application immediately find out immediately If the message comes, a new offer appears in the chosen one or someone will buy your product with delivery. VOVTTTGAVITO-a website of the advertisements of Russia. © KEH EKOMMERTS LLC 2007–2023. Avito rules. Data processing policy. Avito uses recommendation technologies. To disseminate the announcement of the help of the number of Identity advertising on the site of the company Courara -Avito journal blogging benefits</v>
      </c>
    </row>
    <row r="107">
      <c r="A107" s="1" t="s">
        <v>395</v>
      </c>
      <c r="B107" s="1" t="s">
        <v>404</v>
      </c>
      <c r="C107" s="1" t="s">
        <v>397</v>
      </c>
      <c r="D107" s="1">
        <v>3.0</v>
      </c>
      <c r="E107" s="4" t="s">
        <v>405</v>
      </c>
      <c r="F107" s="1" t="s">
        <v>16</v>
      </c>
      <c r="G107" s="1" t="s">
        <v>399</v>
      </c>
      <c r="H107" s="4" t="s">
        <v>400</v>
      </c>
      <c r="I107" s="2">
        <v>0.0</v>
      </c>
      <c r="J107" s="5" t="str">
        <f>IFERROR(__xludf.DUMMYFUNCTION("GOOGLETRANSLATE(A107)"),"Avito")</f>
        <v>Avito</v>
      </c>
      <c r="K107" s="6" t="str">
        <f>IFERROR(__xludf.DUMMYFUNCTION("GOOGLETRANSLATE(B107)"),"Real estate, transport, work, services, things")</f>
        <v>Real estate, transport, work, services, things</v>
      </c>
      <c r="L107" s="5" t="str">
        <f>IFERROR(__xludf.DUMMYFUNCTION("GOOGLETRANSLATE(C107)"),"On Avito, you can inexpensively buy or profitably sell a car with a mileage or a new car, an apartment and other real estate, as well as a new or used clothing, ...")</f>
        <v>On Avito, you can inexpensively buy or profitably sell a car with a mileage or a new car, an apartment and other real estate, as well as a new or used clothing, ...</v>
      </c>
      <c r="M107" s="5" t="str">
        <f>IFERROR(__xludf.DUMMYFUNCTION("GOOGLETRANSLATE(G107)"),"Avito: Real Estate Transport Work Service Services of Business Association Catalog Catalog and Registration to annoy the advent of categories of workshops of the house and dachas and accessories and accessories of all the regional-adults and equipment. Ar"&amp;"ykhobbia vacation of lifetime business businesses equipment for the service-nickname of homepage dachadroitivaries of children's lives of health, health-tasty-adherents-work-deeds, Office-General General Minute Business Equiples of the Service-Homes of Da"&amp;"chiRodi-Lifth Children Furniture game and prizes from Aviter's recommendation on the Avitoporay “Lizaalet” help from an avithic in a cages to the cage, we will get a florista prepare the house for Zimekuda to go to November 5W-40 4 l from 999 ₽ Braching t"&amp;"he hairy from Omod-verbal apartment to find housing. Eluccessing Student Training Institution for Student Machines for Haircutsiphone 15 on Avit -verbal housing for the driftal prize of Omodashkaf for the home we Anquarium for hockey services for evacuama"&amp;"l payments for the 1st day of Nike -heating aromatic renewal of machine -tree jetta for the release of silence in the apartment. Forestry from the branded -collector furnitel -correction of Breyirepeter mathematician machine -winners to the hostel to work"&amp;" and study: the trends are darkened The houses for the apartment for the autumn-lane for any tasks for Komtransanedorous new shinos rods for new building recommendations for Vaso-guard 1,500 ₽ River Station2-K. Apartment 698 m² 9/10 et. 4 900 000 ₽ Kaspiy"&amp;"skskskemic 1300 m²400 ₽ per month per m² Vladivostovok Pervomaisky District 500 m² in a section of 15 hundred ₽ per day-Kamchatka Luke is not indicated by the Leninskoye Poloprieclop. ₽ C VatSrasnoyarsk District Centrallinoleum1 000 ₽ PPROMMAMA ORDZHONICI"&amp;"DSEVSKYAMI POCO M5S 4/128 GB10 000 ₽ Marshal Koveshkinad 811 m² on the site 9 hundredth 500 000 ₽d. Small Elakadapodarny set1 350 ₽Abakanbugatti divo 8.0 AMT 2021 600 km1 120 000 000 $. Barvihalixiang L9 1.5 AT 2023 10 km7 500 000 ₽ Kashirskaya2-K. Apartm"&amp;"ent 40 m² 1/2 floor 2 800 000 ₽. Batyre-free destination 74 m²5 669 900 ₽habarovsk district Zheleznodorozhny ""Blue Tractor"". Give children emotions110 ₽ span Sverdlovskiyrenault Logan 1.4 mt 2006 300 000 km280 000 ₽ Costoma rn Central Complex Plants400 "&amp;"₽ KELLOVISTARY RN500 ₽ Irkutsk district Oktyabrsky Busmoshaka BM-160p to the central din 4605 m² on the site 85 hundred. 42 607 816 ₽Pos. The youth oven of building garbage with a cargo-shock 3 500 ₽angarsk rn Microdistrict Aeroflot200 ₽ Belyaevsingonium "&amp;"vendlandi250 ₽ River of the loader Leninsky Vacancy. Code: VA883ot 37 728 ₽ Krasnoyarsk district Oktyabrsky corpus3 000 ₽ Khovosibirsk SNT Buildmashevsky district Pervomaisky 90 m² on a plot 4 hundredth 200 000 ₽ Zlatomatoma of scrap metal. Disorder 1 ₽ B"&amp;"elibais (m/w) for work without experience (watch watch ) from 150 000 2. ₽ Novgorod rn Priokmr3-player Walkman Sony NWZ-B172F2 000 ₽ Novgorod Burnakovskaya Trinakovtoriystvotolimotocyls and motor vehicles and special equipment of the vehicle and accessory"&amp;"-designate vegetables and vidomotions for computeriga for computers Red prefixes and program -tobooking computers of photographs and electronic books of organization and consumables for accommodation of housing for a long time for long -term real estate c"&amp;"ategories ofhobbies and rest and travels of the bore -nigrics and magazine -collection -in -laws -in -law tools and fishing cards and vacation work and work as an employee of the house and dachiremont and the construction of the mixture and interior equip"&amp;"ment of the supply of a place of place to the kitchen business and equipment of the preparation business equipment for business services. For animal -sheet -shells, accessories and shoes for children and toy -toys and health and adolescence load the Avito"&amp;"va application immediately find out immediately If the message comes, a new offer appears in the chosen one or someone will buy your product with delivery. VOVTTTGAVITO-a website of the advertisements of Russia. © KEH EKOMMERTS LLC 2007–2023. Avito rules."&amp;" Data processing policy. Avito uses recommendation technologies. To disseminate the announcement of the help of the number of Identity advertising on the site of the company Courara -Avito journal blogging benefits")</f>
        <v>Avito: Real Estate Transport Work Service Services of Business Association Catalog Catalog and Registration to annoy the advent of categories of workshops of the house and dachas and accessories and accessories of all the regional-adults and equipment. Arykhobbia vacation of lifetime business businesses equipment for the service-nickname of homepage dachadroitivaries of children's lives of health, health-tasty-adherents-work-deeds, Office-General General Minute Business Equiples of the Service-Homes of DachiRodi-Lifth Children Furniture game and prizes from Aviter's recommendation on the Avitoporay “Lizaalet” help from an avithic in a cages to the cage, we will get a florista prepare the house for Zimekuda to go to November 5W-40 4 l from 999 ₽ Braching the hairy from Omod-verbal apartment to find housing. Eluccessing Student Training Institution for Student Machines for Haircutsiphone 15 on Avit -verbal housing for the driftal prize of Omodashkaf for the home we Anquarium for hockey services for evacuamal payments for the 1st day of Nike -heating aromatic renewal of machine -tree jetta for the release of silence in the apartment. Forestry from the branded -collector furnitel -correction of Breyirepeter mathematician machine -winners to the hostel to work and study: the trends are darkened The houses for the apartment for the autumn-lane for any tasks for Komtransanedorous new shinos rods for new building recommendations for Vaso-guard 1,500 ₽ River Station2-K. Apartment 698 m² 9/10 et. 4 900 000 ₽ Kaspiyskskskemic 1300 m²400 ₽ per month per m² Vladivostovok Pervomaisky District 500 m² in a section of 15 hundred ₽ per day-Kamchatka Luke is not indicated by the Leninskoye Poloprieclop. ₽ C VatSrasnoyarsk District Centrallinoleum1 000 ₽ PPROMMAMA ORDZHONICIDSEVSKYAMI POCO M5S 4/128 GB10 000 ₽ Marshal Koveshkinad 811 m² on the site 9 hundredth 500 000 ₽d. Small Elakadapodarny set1 350 ₽Abakanbugatti divo 8.0 AMT 2021 600 km1 120 000 000 $. Barvihalixiang L9 1.5 AT 2023 10 km7 500 000 ₽ Kashirskaya2-K. Apartment 40 m² 1/2 floor 2 800 000 ₽. Batyre-free destination 74 m²5 669 900 ₽habarovsk district Zheleznodorozhny "Blue Tractor". Give children emotions110 ₽ span Sverdlovskiyrenault Logan 1.4 mt 2006 300 000 km280 000 ₽ Costoma rn Central Complex Plants400 ₽ KELLOVISTARY RN500 ₽ Irkutsk district Oktyabrsky Busmoshaka BM-160p to the central din 4605 m² on the site 85 hundred. 42 607 816 ₽Pos. The youth oven of building garbage with a cargo-shock 3 500 ₽angarsk rn Microdistrict Aeroflot200 ₽ Belyaevsingonium vendlandi250 ₽ River of the loader Leninsky Vacancy. Code: VA883ot 37 728 ₽ Krasnoyarsk district Oktyabrsky corpus3 000 ₽ Khovosibirsk SNT Buildmashevsky district Pervomaisky 90 m² on a plot 4 hundredth 200 000 ₽ Zlatomatoma of scrap metal. Disorder 1 ₽ Belibais (m/w) for work without experience (watch watch ) from 150 000 2. ₽ Novgorod rn Priokmr3-player Walkman Sony NWZ-B172F2 000 ₽ Novgorod Burnakovskaya Trinakovtoriystvotolimotocyls and motor vehicles and special equipment of the vehicle and accessory-designate vegetables and vidomotions for computeriga for computers Red prefixes and program -tobooking computers of photographs and electronic books of organization and consumables for accommodation of housing for a long time for long -term real estate categories ofhobbies and rest and travels of the bore -nigrics and magazine -collection -in -laws -in -law tools and fishing cards and vacation work and work as an employee of the house and dachiremont and the construction of the mixture and interior equipment of the supply of a place of place to the kitchen business and equipment of the preparation business equipment for business services. For animal -sheet -shells, accessories and shoes for children and toy -toys and health and adolescence load the Avitova application immediately find out immediately If the message comes, a new offer appears in the chosen one or someone will buy your product with delivery. VOVTTTGAVITO-a website of the advertisements of Russia. © KEH EKOMMERTS LLC 2007–2023. Avito rules. Data processing policy. Avito uses recommendation technologies. To disseminate the announcement of the help of the number of Identity advertising on the site of the company Courara -Avito journal blogging benefits</v>
      </c>
    </row>
    <row r="108">
      <c r="A108" s="1" t="s">
        <v>395</v>
      </c>
      <c r="B108" s="1" t="s">
        <v>406</v>
      </c>
      <c r="C108" s="1" t="s">
        <v>407</v>
      </c>
      <c r="D108" s="1">
        <v>4.0</v>
      </c>
      <c r="E108" s="4" t="s">
        <v>408</v>
      </c>
      <c r="F108" s="1" t="s">
        <v>16</v>
      </c>
      <c r="G108" s="1" t="s">
        <v>120</v>
      </c>
      <c r="H108" s="4" t="s">
        <v>121</v>
      </c>
      <c r="I108" s="2">
        <v>0.0</v>
      </c>
      <c r="J108" s="5" t="str">
        <f>IFERROR(__xludf.DUMMYFUNCTION("GOOGLETRANSLATE(A108)"),"Avito")</f>
        <v>Avito</v>
      </c>
      <c r="K108" s="6" t="str">
        <f>IFERROR(__xludf.DUMMYFUNCTION("GOOGLETRANSLATE(B108)"),"Avito: apartments, cars, work - Apps on Google Play")</f>
        <v>Avito: apartments, cars, work - Apps on Google Play</v>
      </c>
      <c r="L108" s="5" t="str">
        <f>IFERROR(__xludf.DUMMYFUNCTION("GOOGLETRANSLATE(C108)"),"Avito is millions of ads throughout Russia. What to sell or do, for how much and to whom - users themselves decide. Buy profitably.")</f>
        <v>Avito is millions of ads throughout Russia. What to sell or do, for how much and to whom - users themselves decide. Buy profitably.</v>
      </c>
      <c r="M108" s="5" t="str">
        <f>IFERROR(__xludf.DUMMYFUNCTION("GOOGLETRANSLATE(G108)"),"Android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09">
      <c r="A109" s="1" t="s">
        <v>395</v>
      </c>
      <c r="B109" s="1" t="s">
        <v>409</v>
      </c>
      <c r="C109" s="1" t="s">
        <v>410</v>
      </c>
      <c r="D109" s="1">
        <v>5.0</v>
      </c>
      <c r="E109" s="4" t="s">
        <v>411</v>
      </c>
      <c r="F109" s="1" t="s">
        <v>16</v>
      </c>
      <c r="G109" s="1" t="s">
        <v>34</v>
      </c>
      <c r="H109" s="4" t="s">
        <v>35</v>
      </c>
      <c r="I109" s="2">
        <v>4.0</v>
      </c>
      <c r="J109" s="5" t="str">
        <f>IFERROR(__xludf.DUMMYFUNCTION("GOOGLETRANSLATE(A109)"),"Avito")</f>
        <v>Avito</v>
      </c>
      <c r="K109" s="6" t="str">
        <f>IFERROR(__xludf.DUMMYFUNCTION("GOOGLETRANSLATE(B109)"),"Avito 2023")</f>
        <v>Avito 2023</v>
      </c>
      <c r="L109" s="5" t="str">
        <f>IFERROR(__xludf.DUMMYFUNCTION("GOOGLETRANSLATE(C109)"),"On Avito, you can buy an apartment, a car - new and with mileage, electronics, home goods, furniture, clothes and much more. | 955733 subscribers. 50319 records.")</f>
        <v>On Avito, you can buy an apartment, a car - new and with mileage, electronics, home goods, furniture, clothes and much more. | 955733 subscribers. 50319 records.</v>
      </c>
      <c r="M109" s="5" t="str">
        <f>IFERROR(__xludf.DUMMYFUNCTION("GOOGLETRANSLATE(G109)"),"VK.com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10">
      <c r="A110" s="1" t="s">
        <v>395</v>
      </c>
      <c r="B110" s="1" t="s">
        <v>412</v>
      </c>
      <c r="C110" s="1" t="s">
        <v>413</v>
      </c>
      <c r="D110" s="1">
        <v>6.0</v>
      </c>
      <c r="E110" s="4" t="s">
        <v>414</v>
      </c>
      <c r="F110" s="1" t="s">
        <v>16</v>
      </c>
      <c r="G110" s="1" t="s">
        <v>31</v>
      </c>
      <c r="H110" s="4" t="s">
        <v>32</v>
      </c>
      <c r="I110" s="2">
        <v>3.0</v>
      </c>
      <c r="J110" s="5" t="str">
        <f>IFERROR(__xludf.DUMMYFUNCTION("GOOGLETRANSLATE(A110)"),"Avito")</f>
        <v>Avito</v>
      </c>
      <c r="K110" s="6" t="str">
        <f>IFERROR(__xludf.DUMMYFUNCTION("GOOGLETRANSLATE(B110)"),"Avito")</f>
        <v>Avito</v>
      </c>
      <c r="L110" s="5" t="str">
        <f>IFERROR(__xludf.DUMMYFUNCTION("GOOGLETRANSLATE(C110)"),"Avito is a Russian Internet service for placing announcements about goods, real estate, vacancies and resumes in the labor market, as well as services from individuals and ...")</f>
        <v>Avito is a Russian Internet service for placing announcements about goods, real estate, vacancies and resumes in the labor market, as well as services from individuals and ...</v>
      </c>
      <c r="M110" s="5" t="str">
        <f>IFERROR(__xludf.DUMMYFUNCTION("GOOGLETRANSLATE(G110)"),"Wikipedia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11">
      <c r="A111" s="1" t="s">
        <v>395</v>
      </c>
      <c r="B111" s="1" t="s">
        <v>415</v>
      </c>
      <c r="C111" s="1" t="s">
        <v>416</v>
      </c>
      <c r="D111" s="1">
        <v>7.0</v>
      </c>
      <c r="E111" s="4" t="s">
        <v>417</v>
      </c>
      <c r="F111" s="1" t="s">
        <v>16</v>
      </c>
      <c r="G111" s="1" t="s">
        <v>97</v>
      </c>
      <c r="H111" s="4" t="s">
        <v>98</v>
      </c>
      <c r="I111" s="2">
        <v>3.0</v>
      </c>
      <c r="J111" s="5" t="str">
        <f>IFERROR(__xludf.DUMMYFUNCTION("GOOGLETRANSLATE(A111)"),"Avito")</f>
        <v>Avito</v>
      </c>
      <c r="K111" s="6" t="str">
        <f>IFERROR(__xludf.DUMMYFUNCTION("GOOGLETRANSLATE(B111)"),"Avito: Ads on the App Store")</f>
        <v>Avito: Ads on the App Store</v>
      </c>
      <c r="L111" s="5" t="str">
        <f>IFERROR(__xludf.DUMMYFUNCTION("GOOGLETRANSLATE(C111)"),"Buy profitably. There are cars, electronics, furniture, clothes and pets on Avito. With sellers you can agree on a discount, and new things are often ...")</f>
        <v>Buy profitably. There are cars, electronics, furniture, clothes and pets on Avito. With sellers you can agree on a discount, and new things are often ...</v>
      </c>
      <c r="M111" s="5" t="str">
        <f>IFERROR(__xludf.DUMMYFUNCTION("GOOGLETRANSLATE(G111)"),"App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112">
      <c r="A112" s="1" t="s">
        <v>395</v>
      </c>
      <c r="B112" s="1" t="s">
        <v>418</v>
      </c>
      <c r="C112" s="1" t="s">
        <v>419</v>
      </c>
      <c r="D112" s="1">
        <v>8.0</v>
      </c>
      <c r="E112" s="4" t="s">
        <v>420</v>
      </c>
      <c r="F112" s="1" t="s">
        <v>16</v>
      </c>
      <c r="G112" s="1" t="s">
        <v>421</v>
      </c>
      <c r="H112" s="1" t="s">
        <v>418</v>
      </c>
      <c r="I112" s="2">
        <v>1.0</v>
      </c>
      <c r="J112" s="5" t="str">
        <f>IFERROR(__xludf.DUMMYFUNCTION("GOOGLETRANSLATE(A112)"),"Avito")</f>
        <v>Avito</v>
      </c>
      <c r="K112" s="6" t="str">
        <f>IFERROR(__xludf.DUMMYFUNCTION("GOOGLETRANSLATE(B112)"),"avito.tech")</f>
        <v>avito.tech</v>
      </c>
      <c r="L112" s="5" t="str">
        <f>IFERROR(__xludf.DUMMYFUNCTION("GOOGLETRANSLATE(C112)"),"We tell. What engineers do in Avito, how they manage to work in pleasure and what is needed for this. We invite you to read. Without advertising.")</f>
        <v>We tell. What engineers do in Avito, how they manage to work in pleasure and what is needed for this. We invite you to read. Without advertising.</v>
      </c>
      <c r="M112" s="5" t="str">
        <f>IFERROR(__xludf.DUMMYFUNCTION("GOOGLETRANSLATE(G112)"),"Avito.Tech Mitabovypyopen Sourcevakania NasplayBook mithepovyeopen Sourcevakania nasplayBookmitatatyopyopen sourcanas ... Content for growth in the profession. .. Meetings for experienced and newcomers. Gunny vacancies Timlids. Honest. . Stories about the"&amp;" work of the Contributed Exception of the ExcavaVitotech - a team of engineers who daily improve Avito services and pump themselves. Mitaps Video Articles Open Source vacancies about us Content for growth in the profession. Generations for experienced and"&amp;" newcomers. Gunny. Vacancies from Timlids. Honestly scractions. We tell you what engineers do in Avito how they manage to work in pleasure and what is needed for this. We invite you to read. Without advertising. We share the useful Open Source on Hithabe "&amp;"to simplify the lives of other engineers. We develop and support dozens of repositories for example: we show action-packed videos about the people of technology and the backstage of IT corporations. It’s fun for us, but it’s better to verify your vacancie"&amp;"s for developers of analysts of QA engineers of Timlids and designers. Because we always need smart and capable guys. Android developer products of TimLEDS Development PAAS Developer GO Real Estate QA-engineer DBA DBA manager Nosql Services We invite you "&amp;"to events where we share the latest discoveries and news we communicate and make joint photos of Avitotech-we are 1000+ different services of 1300+ engineers in the dinner team • We have lunch together • We have lunch together • We have lunch together • H"&amp;"akatons • Hakatons • Hakatons • Hakatons • Hakatons • Hakatons • We hear each other • We hear each other • We hear each other • We hear each other • our gym • our gym • our gym • Chilim • Chilim • Chilim • Chilim • Chilim • Chilim • Chilim • Chilim • Chil"&amp;"im • Chilim • Chilim • Listen to techno • Listen to techno • Listen to techno • We listen to techno • We rest • We rest • We rest • We rest • We rest • We rest • We use cookies. If you agree with this, click OK. If you are against, close the site or turn "&amp;"off the cookie in the browser. OK Mitabovykvyeostati Open Source Vacancies about us © Avito - The website of the advertisements of Russia 2022. The company Avito Tek is designed to renew is modifying and correcting computer programs and databases. Partner"&amp;"s tech@avito.ru press pro@avito.ru")</f>
        <v>Avito.Tech Mitabovypyopen Sourcevakania NasplayBook mithepovyeopen Sourcevakania nasplayBookmitatatyopyopen sourcanas ... Content for growth in the profession. .. Meetings for experienced and newcomers. Gunny vacancies Timlids. Honest. . Stories about the work of the Contributed Exception of the ExcavaVitotech - a team of engineers who daily improve Avito services and pump themselves. Mitaps Video Articles Open Source vacancies about us Content for growth in the profession. Generations for experienced and newcomers. Gunny. Vacancies from Timlids. Honestly scractions. We tell you what engineers do in Avito how they manage to work in pleasure and what is needed for this. We invite you to read. Without advertising. We share the useful Open Source on Hithabe to simplify the lives of other engineers. We develop and support dozens of repositories for example: we show action-packed videos about the people of technology and the backstage of IT corporations. It’s fun for us, but it’s better to verify your vacancies for developers of analysts of QA engineers of Timlids and designers. Because we always need smart and capable guys. Android developer products of TimLEDS Development PAAS Developer GO Real Estate QA-engineer DBA DBA manager Nosql Services We invite you to events where we share the latest discoveries and news we communicate and make joint photos of Avitotech-we are 1000+ different services of 1300+ engineers in the dinner team • We have lunch together • We have lunch together • We have lunch together • Hakatons • Hakatons • Hakatons • Hakatons • Hakatons • Hakatons • We hear each other • We hear each other • We hear each other • We hear each other • our gym • our gym • our gym • Chilim • Chilim • Chilim • Chilim • Chilim • Chilim • Chilim • Chilim • Chilim • Chilim • Chilim • Listen to techno • Listen to techno • Listen to techno • We listen to techno • We rest • We rest • We rest • We rest • We rest • We rest • We use cookies. If you agree with this, click OK. If you are against, close the site or turn off the cookie in the browser. OK Mitabovykvyeostati Open Source Vacancies about us © Avito - The website of the advertisements of Russia 2022. The company Avito Tek is designed to renew is modifying and correcting computer programs and databases. Partners tech@avito.ru press pro@avito.ru</v>
      </c>
    </row>
    <row r="113">
      <c r="A113" s="1" t="s">
        <v>395</v>
      </c>
      <c r="B113" s="1" t="s">
        <v>422</v>
      </c>
      <c r="C113" s="1" t="s">
        <v>423</v>
      </c>
      <c r="D113" s="1">
        <v>9.0</v>
      </c>
      <c r="E113" s="4" t="s">
        <v>424</v>
      </c>
      <c r="F113" s="1" t="s">
        <v>16</v>
      </c>
      <c r="G113" s="1" t="s">
        <v>120</v>
      </c>
      <c r="H113" s="4" t="s">
        <v>121</v>
      </c>
      <c r="I113" s="2">
        <v>0.0</v>
      </c>
      <c r="J113" s="5" t="str">
        <f>IFERROR(__xludf.DUMMYFUNCTION("GOOGLETRANSLATE(A113)"),"Avito")</f>
        <v>Avito</v>
      </c>
      <c r="K113" s="6" t="str">
        <f>IFERROR(__xludf.DUMMYFUNCTION("GOOGLETRANSLATE(B113)"),"Avito: apartments, cars, work")</f>
        <v>Avito: apartments, cars, work</v>
      </c>
      <c r="L113" s="5" t="str">
        <f>IFERROR(__xludf.DUMMYFUNCTION("GOOGLETRANSLATE(C113)"),"There are many announcements for the sale of real estate, as well as rent - houses and apartments for a long time. Here you can find a room, ...")</f>
        <v>There are many announcements for the sale of real estate, as well as rent - houses and apartments for a long time. Here you can find a room, ...</v>
      </c>
      <c r="M113" s="5" t="str">
        <f>IFERROR(__xludf.DUMMYFUNCTION("GOOGLETRANSLATE(G113)"),"Android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14">
      <c r="A114" s="1" t="s">
        <v>395</v>
      </c>
      <c r="B114" s="1" t="s">
        <v>425</v>
      </c>
      <c r="C114" s="1" t="s">
        <v>426</v>
      </c>
      <c r="D114" s="1">
        <v>10.0</v>
      </c>
      <c r="E114" s="4" t="s">
        <v>427</v>
      </c>
      <c r="F114" s="1" t="s">
        <v>16</v>
      </c>
      <c r="G114" s="1" t="s">
        <v>428</v>
      </c>
      <c r="H114" s="4" t="s">
        <v>429</v>
      </c>
      <c r="I114" s="2">
        <v>3.0</v>
      </c>
      <c r="J114" s="5" t="str">
        <f>IFERROR(__xludf.DUMMYFUNCTION("GOOGLETRANSLATE(A114)"),"Avito")</f>
        <v>Avito</v>
      </c>
      <c r="K114" s="6" t="str">
        <f>IFERROR(__xludf.DUMMYFUNCTION("GOOGLETRANSLATE(B114)"),"Avito | Ok.ru")</f>
        <v>Avito | Ok.ru</v>
      </c>
      <c r="L114" s="5" t="str">
        <f>IFERROR(__xludf.DUMMYFUNCTION("GOOGLETRANSLATE(C114)"),"Avito group. On Avito, you can buy an apartment, a car - new and with mileage, electronics, home goods, furniture, clothes and much more.")</f>
        <v>Avito group. On Avito, you can buy an apartment, a car - new and with mileage, electronics, home goods, furniture, clothes and much more.</v>
      </c>
      <c r="M114" s="5" t="str">
        <f>IFERROR(__xludf.DUMMYFUNCTION("GOOGLETRANSLATE(G114)"),"Social network classmates. Communication with friends in approx. Your place of a meeting with classmates to a version for people with disabilities. Spend the search for oxervice vk.ruchkocyaledarzadarzadakavidovidovkivk post-a-reservoir-sort-tolevo-Kontak"&amp;"othels are using cookies to improve your service for you. You can accept them or set them up on your own. To gain more information more than more emotions and bright communication! Go to OK to meet your friends and find new to chat with loved ones and int"&amp;"erestingly spend time using our entertainment services. To fulfill the qi-codelephone or email address. It is possible to enter the postparols on QR-kodun? There is no profile in Odnoklakhnikiye, the profilesmical mobility of the business of the business "&amp;"of the business of the business of the development of the COOKIEVAKACASISENISTION of the company © 2006–2023 VK / LLC VKMI uses in detail technology.")</f>
        <v>Social network classmates. Communication with friends in approx. Your place of a meeting with classmates to a version for people with disabilities. Spend the search for oxervice vk.ruchkocyaledarzadarzadakavidovidovkivk post-a-reservoir-sort-tolevo-Kontakothels are using cookies to improve your service for you. You can accept them or set them up on your own. To gain more information more than more emotions and bright communication! Go to OK to meet your friends and find new to chat with loved ones and interestingly spend time using our entertainment services. To fulfill the qi-codelephone or email address. It is possible to enter the postparols on QR-kodun? There is no profile in Odnoklakhnikiye, the profilesmical mobility of the business of the business of the business of the business of the development of the COOKIEVAKACASISENISTION of the company © 2006–2023 VK / LLC VKMI uses in detail technology.</v>
      </c>
    </row>
    <row r="115">
      <c r="A115" s="1" t="s">
        <v>395</v>
      </c>
      <c r="B115" s="1" t="s">
        <v>430</v>
      </c>
      <c r="C115" s="1" t="s">
        <v>431</v>
      </c>
      <c r="D115" s="1">
        <v>11.0</v>
      </c>
      <c r="E115" s="4" t="s">
        <v>432</v>
      </c>
      <c r="F115" s="1" t="s">
        <v>16</v>
      </c>
      <c r="G115" s="1" t="s">
        <v>273</v>
      </c>
      <c r="H115" s="4" t="s">
        <v>274</v>
      </c>
      <c r="I115" s="2">
        <v>2.0</v>
      </c>
      <c r="J115" s="5" t="str">
        <f>IFERROR(__xludf.DUMMYFUNCTION("GOOGLETRANSLATE(A115)"),"Avito")</f>
        <v>Avito</v>
      </c>
      <c r="K115" s="6" t="str">
        <f>IFERROR(__xludf.DUMMYFUNCTION("GOOGLETRANSLATE(B115)"),"Avito (@avito) • Instagram Photos and Videos")</f>
        <v>Avito (@avito) • Instagram Photos and Videos</v>
      </c>
      <c r="L115" s="5" t="str">
        <f>IFERROR(__xludf.DUMMYFUNCTION("GOOGLETRANSLATE(C115)"),"23 Fevr. 2023. -")</f>
        <v>23 Fevr. 2023. -</v>
      </c>
      <c r="M115" s="5" t="str">
        <f>IFERROR(__xludf.DUMMYFUNCTION("GOOGLETRANSLATE(G115)"),"Update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16">
      <c r="A116" s="1" t="s">
        <v>395</v>
      </c>
      <c r="B116" s="1" t="s">
        <v>433</v>
      </c>
      <c r="C116" s="1" t="s">
        <v>434</v>
      </c>
      <c r="D116" s="1">
        <v>12.0</v>
      </c>
      <c r="E116" s="4" t="s">
        <v>435</v>
      </c>
      <c r="F116" s="1" t="s">
        <v>16</v>
      </c>
      <c r="I116" s="2">
        <v>5.0</v>
      </c>
      <c r="J116" s="5" t="str">
        <f>IFERROR(__xludf.DUMMYFUNCTION("GOOGLETRANSLATE(A116)"),"Avito")</f>
        <v>Avito</v>
      </c>
      <c r="K116" s="6" t="str">
        <f>IFERROR(__xludf.DUMMYFUNCTION("GOOGLETRANSLATE(B116)"),"Avito, Order issuing item, Ozerny, 6b, Biysk")</f>
        <v>Avito, Order issuing item, Ozerny, 6b, Biysk</v>
      </c>
      <c r="L116" s="5" t="str">
        <f>IFERROR(__xludf.DUMMYFUNCTION("GOOGLETRANSLATE(C116)"),"Avito, Order issuing item: addresses with entrances on the map, reviews, photos, phone numbers, working hours and how to get. Delivery.")</f>
        <v>Avito, Order issuing item: addresses with entrances on the map, reviews, photos, phone numbers, working hours and how to get. Delivery.</v>
      </c>
    </row>
    <row r="117">
      <c r="A117" s="1" t="s">
        <v>395</v>
      </c>
      <c r="B117" s="1" t="s">
        <v>436</v>
      </c>
      <c r="C117" s="1" t="s">
        <v>437</v>
      </c>
      <c r="D117" s="1">
        <v>13.0</v>
      </c>
      <c r="E117" s="4" t="s">
        <v>438</v>
      </c>
      <c r="F117" s="1" t="s">
        <v>16</v>
      </c>
      <c r="G117" s="1" t="s">
        <v>38</v>
      </c>
      <c r="H117" s="4" t="s">
        <v>39</v>
      </c>
      <c r="I117" s="2">
        <v>5.0</v>
      </c>
      <c r="J117" s="5" t="str">
        <f>IFERROR(__xludf.DUMMYFUNCTION("GOOGLETRANSLATE(A117)"),"Avito")</f>
        <v>Avito</v>
      </c>
      <c r="K117" s="6" t="str">
        <f>IFERROR(__xludf.DUMMYFUNCTION("GOOGLETRANSLATE(B117)"),"Get rich")</f>
        <v>Get rich</v>
      </c>
      <c r="L117" s="5" t="str">
        <f>IFERROR(__xludf.DUMMYFUNCTION("GOOGLETRANSLATE(C117)"),"Avito ... Avito is the most popular classifieds site in Russia and is the second biggest classifieds site in the world.")</f>
        <v>Avito ... Avito is the most popular classifieds site in Russia and is the second biggest classifieds site in the world.</v>
      </c>
      <c r="M117" s="5" t="str">
        <f>IFERROR(__xludf.DUMMYFUNCTION("GOOGLETRANSLATE(G117)"),"YouTubeAboutPressCopyrightContact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18">
      <c r="A118" s="1" t="s">
        <v>395</v>
      </c>
      <c r="B118" s="1" t="s">
        <v>439</v>
      </c>
      <c r="C118" s="1" t="s">
        <v>440</v>
      </c>
      <c r="D118" s="1">
        <v>14.0</v>
      </c>
      <c r="E118" s="4" t="s">
        <v>441</v>
      </c>
      <c r="F118" s="1" t="s">
        <v>16</v>
      </c>
      <c r="I118" s="2">
        <v>1.0</v>
      </c>
      <c r="J118" s="5" t="str">
        <f>IFERROR(__xludf.DUMMYFUNCTION("GOOGLETRANSLATE(A118)"),"Avito")</f>
        <v>Avito</v>
      </c>
      <c r="K118" s="6" t="str">
        <f>IFERROR(__xludf.DUMMYFUNCTION("GOOGLETRANSLATE(B118)"),"Avito Manifesto (2023)")</f>
        <v>Avito Manifesto (2023)</v>
      </c>
      <c r="L118" s="5" t="str">
        <f>IFERROR(__xludf.DUMMYFUNCTION("GOOGLETRANSLATE(C118)"),"How the leader Avito behaves · Helps the team to succeed, realizing that personal success depends on the success of the team · Trusts his colleagues, gives them his due and ...")</f>
        <v>How the leader Avito behaves · Helps the team to succeed, realizing that personal success depends on the success of the team · Trusts his colleagues, gives them his due and ...</v>
      </c>
    </row>
    <row r="119">
      <c r="A119" s="1" t="s">
        <v>395</v>
      </c>
      <c r="B119" s="1" t="s">
        <v>442</v>
      </c>
      <c r="D119" s="1">
        <v>15.0</v>
      </c>
      <c r="E119" s="4" t="s">
        <v>443</v>
      </c>
      <c r="F119" s="1" t="s">
        <v>16</v>
      </c>
      <c r="G119" s="1" t="s">
        <v>444</v>
      </c>
      <c r="H119" s="4" t="s">
        <v>445</v>
      </c>
      <c r="I119" s="2">
        <v>2.0</v>
      </c>
      <c r="J119" s="5" t="str">
        <f>IFERROR(__xludf.DUMMYFUNCTION("GOOGLETRANSLATE(A119)"),"Avito")</f>
        <v>Avito</v>
      </c>
      <c r="K119" s="6" t="str">
        <f>IFERROR(__xludf.DUMMYFUNCTION("GOOGLETRANSLATE(B119)"),"Avito - Avito")</f>
        <v>Avito - Avito</v>
      </c>
      <c r="M119" s="5" t="str">
        <f>IFERROR(__xludf.DUMMYFUNCTION("GOOGLETRANSLATE(G119)"),"JavaScript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120">
      <c r="A120" s="1" t="s">
        <v>395</v>
      </c>
      <c r="B120" s="1" t="s">
        <v>446</v>
      </c>
      <c r="D120" s="1">
        <v>16.0</v>
      </c>
      <c r="E120" s="4" t="s">
        <v>447</v>
      </c>
      <c r="F120" s="1" t="s">
        <v>16</v>
      </c>
      <c r="G120" s="1" t="s">
        <v>448</v>
      </c>
      <c r="H120" s="4" t="s">
        <v>449</v>
      </c>
      <c r="I120" s="2">
        <v>3.0</v>
      </c>
      <c r="J120" s="5" t="str">
        <f>IFERROR(__xludf.DUMMYFUNCTION("GOOGLETRANSLATE(A120)"),"Avito")</f>
        <v>Avito</v>
      </c>
      <c r="K120" s="6" t="str">
        <f>IFERROR(__xludf.DUMMYFUNCTION("GOOGLETRANSLATE(B120)"),"Avito's vacancies - work in Moscow, St.")</f>
        <v>Avito's vacancies - work in Moscow, St.</v>
      </c>
      <c r="M120" s="5" t="str">
        <f>IFERROR(__xludf.DUMMYFUNCTION("GOOGLETRANSLATE(G120)"),"Work in Moscow Search for personnel and publishing vacancies - HH.ru. Working with our site, you need to include JavaScript in your browser. Curi -mosquito -workers, ready -made resumes -wise advice, help, work to make a resumes -winging system finding an"&amp;" employee 65,757 425 haste1 4102 vacancies2 088 561 compliance with the phone so that employers can offer you work to confirm to confirm that you do not introduce the text from the picture: the other text of the text “continue” you confirm that you are fa"&amp;"miliarized with the “Agreement on the provision of assistance in employment (Offer)” Vacancies of the day of the day 7649 Vacanceism of the house83707 Vacancies 72000 to 89 000 000 ₽Rabotahr Moscow employee restaurant 50,000 to 70000 ₽ Dododo pizza (DPM N"&amp;"orth) Moskvalichny assistant psychologist 50,000 to 250,000 ₽ Guphanina Alina Borisovna Moskovaristat 74000 to 91000 ₽ Fleet Moscow Administrator in the hot yogi -2000 to 50,000 ₽Bikram .ru Yoga Moskvalichny driver 100,000 to 120,000 ₽ Hihitrova Anastasia"&amp;" Viktorovna Moskvannoye seller-cashier/Administrator 60,000 ₽ Bukhaev Yusup Sydemyeva Moskvypskor (guard) in the clinic 80,000 to 80,000 ₽ Krapetvei ₽ Defeditrum 87 000 to 121000 ₽rabotahr Moscow Moscow 60,000 to 140,000 ₽ Bukhaev Yusup Saidemeyeva Moscow"&amp;" -Semey driver to 1,20,000 to 140,000 ₽ INSITS Moskovo View all work in the Moscow Automobile Administrative Personnel Safe and Medium Management of the Raw Personnel Management Service -Schools Logiiiscence of entertainment of mass mediamarketing adverti"&amp;"sing PRMMedicin pharmaceuticals Education Production Service Service Service Production Service Maintenance Worker Personnel Trade Trade Clubs Fitness Salons Beauty Strategia Investment Consulting Storestroe Real Estate Sports Transportation Transportuisc"&amp;"ent Hotel Restaurant Management by personnel Training and Office of the Emergenary Gholoset in the rating 000 000 and more work in November with daily payments-welding November with a salary of 150 000 ₽ Vacancia November for managers with a salary of 150"&amp;" 000 ₽, not to spoil the impression of themselves with activity in social networks, to become an accountant from scratch ""R-Farm"": to live a full life and benefit people ""Pentorochka"": how to become the owner of a business and workshop for programmers"&amp;" for engineering for engineering for engineering for engineering The sales manager for directorship for administrator work for marketer work for design will be designed for lawyers in other cities in the Zagoryansk work in Moscow work in prompt work in lo"&amp;"ng -term work in driving work in shopatin work in Bobrov work in Mytishchkhnich work in the Khimki -work in Russia, most of the life of almost every of us. But nothing forever: it happens that one day you have to change the place of work and plunge with y"&amp;"our head in search of vacancies - I want to find a good alternative to the current position. Often when changing work, we think not only about changing the company but also about changing professional activities. And it is at these moments that the questi"&amp;"on arises: “How to find a good job in Moscow now? And most importantly, what should this work be? ”Showing it completely to solve such issues easily and quickly just go to hh.ru! On our website you can always find out the latest labor market news and also"&amp;" study a fresh review of salaries with which it is easy to evaluate what Positions should be aiming. If you have already determined the vacancies of which specialties you are interested in only you can create a resume and start searching for a dream work!"&amp;" It is most convenient to look for a job using our vacancies catalog: by clicking in the mouse, you will get a list of relevant and high -quality vacancies in the Moscow or other region of Russia. But this is not the only option for searching for work. On"&amp;" our site you can create an attractive resume and vacancies will begin to flock to you! And having combined both of these methods, you can get the fastest and most importantly effective way to search for work! Create a summary of the application vacancies"&amp;" answers to responses and access to a resume - always at your fingertips. Just enter the phone camera on the QR-CODDHUNTERO company of the company's vacancies for the site of the personal data of personal data-safety Headhunteretika and complianceheadHunt"&amp;"er Apartneadhunter of the provision of the service of the use of the site and articles of labor in the company of Russian serial workshops SE for applicants for reservations Service Prophorus. Processing Summies Summary for you to work for a production ca"&amp;"lendar expert recommendation with a young specialist for young specialists of the School School School Upon -residents of employees, consonant of the company, by professionals, near the metro notification in the Messengeryswitch to English © 2023 Hadhante"&amp;"r LLC, HH.ru information resource applies (information technologies for the provision of information on the systematization and analysis of information related to the preferences of users of the Internet. Russian Federation) Today on the site 1410102 vaca"&amp;"ncies 65757425 resume 2088561 Company and in a week 3611017 invitations subscribe to the Push notifications of HH.ru now subscribe now")</f>
        <v>Work in Moscow Search for personnel and publishing vacancies - HH.ru. Working with our site, you need to include JavaScript in your browser. Curi -mosquito -workers, ready -made resumes -wise advice, help, work to make a resumes -winging system finding an employee 65,757 425 haste1 4102 vacancies2 088 561 compliance with the phone so that employers can offer you work to confirm to confirm that you do not introduce the text from the picture: the other text of the text “continue” you confirm that you are familiarized with the “Agreement on the provision of assistance in employment (Offer)” Vacancies of the day of the day 7649 Vacanceism of the house83707 Vacancies 72000 to 89 000 000 ₽Rabotahr Moscow employee restaurant 50,000 to 70000 ₽ Dododo pizza (DPM North) Moskvalichny assistant psychologist 50,000 to 250,000 ₽ Guphanina Alina Borisovna Moskovaristat 74000 to 91000 ₽ Fleet Moscow Administrator in the hot yogi -2000 to 50,000 ₽Bikram .ru Yoga Moskvalichny driver 100,000 to 120,000 ₽ Hihitrova Anastasia Viktorovna Moskvannoye seller-cashier/Administrator 60,000 ₽ Bukhaev Yusup Sydemyeva Moskvypskor (guard) in the clinic 80,000 to 80,000 ₽ Krapetvei ₽ Defeditrum 87 000 to 121000 ₽rabotahr Moscow Moscow 60,000 to 140,000 ₽ Bukhaev Yusup Saidemeyeva Moscow -Semey driver to 1,20,000 to 140,000 ₽ INSITS Moskovo View all work in the Moscow Automobile Administrative Personnel Safe and Medium Management of the Raw Personnel Management Service -Schools Logiiiscence of entertainment of mass mediamarketing advertising PRMMedicin pharmaceuticals Education Production Service Service Service Production Service Maintenance Worker Personnel Trade Trade Clubs Fitness Salons Beauty Strategia Investment Consulting Storestroe Real Estate Sports Transportation Transportuiscent Hotel Restaurant Management by personnel Training and Office of the Emergenary Gholoset in the rating 000 000 and more work in November with daily payments-welding November with a salary of 150 000 ₽ Vacancia November for managers with a salary of 150 000 ₽, not to spoil the impression of themselves with activity in social networks, to become an accountant from scratch "R-Farm": to live a full life and benefit people "Pentorochka": how to become the owner of a business and workshop for programmers for engineering for engineering for engineering for engineering The sales manager for directorship for administrator work for marketer work for design will be designed for lawyers in other cities in the Zagoryansk work in Moscow work in prompt work in long -term work in driving work in shopatin work in Bobrov work in Mytishchkhnich work in the Khimki -work in Russia, most of the life of almost every of us. But nothing forever: it happens that one day you have to change the place of work and plunge with your head in search of vacancies - I want to find a good alternative to the current position. Often when changing work, we think not only about changing the company but also about changing professional activities. And it is at these moments that the question arises: “How to find a good job in Moscow now? And most importantly, what should this work be? ”Showing it completely to solve such issues easily and quickly just go to hh.ru! On our website you can always find out the latest labor market news and also study a fresh review of salaries with which it is easy to evaluate what Positions should be aiming. If you have already determined the vacancies of which specialties you are interested in only you can create a resume and start searching for a dream work! It is most convenient to look for a job using our vacancies catalog: by clicking in the mouse, you will get a list of relevant and high -quality vacancies in the Moscow or other region of Russia. But this is not the only option for searching for work. On our site you can create an attractive resume and vacancies will begin to flock to you! And having combined both of these methods, you can get the fastest and most importantly effective way to search for work! Create a summary of the application vacancies answers to responses and access to a resume - always at your fingertips. Just enter the phone camera on the QR-CODDHUNTERO company of the company's vacancies for the site of the personal data of personal data-safety Headhunteretika and complianceheadHunter Apartneadhunter of the provision of the service of the use of the site and articles of labor in the company of Russian serial workshops SE for applicants for reservations Service Prophorus. Processing Summies Summary for you to work for a production calendar expert recommendation with a young specialist for young specialists of the School School School Upon -residents of employees, consonant of the company, by professionals, near the metro notification in the Messengeryswitch to English © 2023 Hadhanter LLC, HH.ru information resource applies (information technologies for the provision of information on the systematization and analysis of information related to the preferences of users of the Internet. Russian Federation) Today on the site 1410102 vacancies 65757425 resume 2088561 Company and in a week 3611017 invitations subscribe to the Push notifications of HH.ru now subscribe now</v>
      </c>
    </row>
    <row r="121">
      <c r="A121" s="1" t="s">
        <v>395</v>
      </c>
      <c r="B121" s="1" t="s">
        <v>450</v>
      </c>
      <c r="C121" s="1" t="s">
        <v>451</v>
      </c>
      <c r="D121" s="1">
        <v>17.0</v>
      </c>
      <c r="E121" s="4" t="s">
        <v>452</v>
      </c>
      <c r="F121" s="1" t="s">
        <v>16</v>
      </c>
      <c r="G121" s="1" t="s">
        <v>336</v>
      </c>
      <c r="H121" s="4" t="s">
        <v>453</v>
      </c>
      <c r="I121" s="2">
        <v>4.0</v>
      </c>
      <c r="J121" s="5" t="str">
        <f>IFERROR(__xludf.DUMMYFUNCTION("GOOGLETRANSLATE(A121)"),"Avito")</f>
        <v>Avito</v>
      </c>
      <c r="K121" s="6" t="str">
        <f>IFERROR(__xludf.DUMMYFUNCTION("GOOGLETRANSLATE(B121)"),"Avito, Point of Issue, st. 9th Guards Division, 42, ...")</f>
        <v>Avito, Point of Issue, st. 9th Guards Division, 42, ...</v>
      </c>
      <c r="L121" s="5" t="str">
        <f>IFERROR(__xludf.DUMMYFUNCTION("GOOGLETRANSLATE(C121)"),"The issuance of ""Avito"" at the Moscow Region, Istra, street of the 9th Guards Division, 42, ☎️ +7 800 600 00 01. Read 11 reviews, watch 9 photos, ...")</f>
        <v>The issuance of "Avito" at the Moscow Region, Istra, street of the 9th Guards Division, 42, ☎️ +7 800 600 00 01. Read 11 reviews, watch 9 photos, ...</v>
      </c>
      <c r="M121" s="5" t="str">
        <f>IFERROR(__xludf.DUMMYFUNCTION("GOOGLETRANSLATE(G121)"),"Oh!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22">
      <c r="A122" s="1" t="s">
        <v>395</v>
      </c>
      <c r="B122" s="1" t="s">
        <v>454</v>
      </c>
      <c r="C122" s="1" t="s">
        <v>455</v>
      </c>
      <c r="D122" s="1">
        <v>18.0</v>
      </c>
      <c r="E122" s="4" t="s">
        <v>456</v>
      </c>
      <c r="F122" s="1" t="s">
        <v>16</v>
      </c>
      <c r="G122" s="1" t="s">
        <v>457</v>
      </c>
      <c r="H122" s="4" t="s">
        <v>458</v>
      </c>
      <c r="I122" s="2">
        <v>4.0</v>
      </c>
      <c r="J122" s="5" t="str">
        <f>IFERROR(__xludf.DUMMYFUNCTION("GOOGLETRANSLATE(A122)"),"Avito")</f>
        <v>Avito</v>
      </c>
      <c r="K122" s="6" t="str">
        <f>IFERROR(__xludf.DUMMYFUNCTION("GOOGLETRANSLATE(B122)"),"Contact @avito")</f>
        <v>Contact @avito</v>
      </c>
      <c r="L122" s="5" t="str">
        <f>IFERROR(__xludf.DUMMYFUNCTION("GOOGLETRANSLATE(C122)"),"We tell you how to sell and buy goods safely. We share tips on finding work and selection of services. Other channels: Avito for business @avito_b2b")</f>
        <v>We tell you how to sell and buy goods safely. We share tips on finding work and selection of services. Other channels: Avito for business @avito_b2b</v>
      </c>
      <c r="M122" s="5" t="str">
        <f>IFERROR(__xludf.DUMMYFUNCTION("GOOGLETRANSLATE(G122)"),"Telegram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Premi"&amp;"umOct 28Replies 2.0 Adjustable Link Previews Name Colors and MoreSep 22Stories in Channels View-Once Media and Morea new era of messagingTelegram for AndroidTelegram for iPhone / iPad  Telegram for Windows / Mac / LinuxBrowse more Telegram apps           "&amp;" Telegram for PC / Linux            Telegram for macOSRecent NewsGiveaways in Channels and Free PremiumChannel owners can now launch Giveaways to randomly distribute prizes among their followers. This is great if you want to promote your channel get new s"&amp;"ubscribers or reward existing…Nov 6 2023Replies 2.0 Adjustable Link Previews Name Colors and MoreToday's update lets you quote specific parts of messages when replying send your replies to other chats add quote formatting to any text…Oct 28 2023Why Telegr"&amp;"am?SimpleTelegram is so simple you already know how to use it.PrivateTelegram messages are heavily encrypted and can self-destruct.SyncedTelegram lets you access your chats from multiple devices.FastTelegram delivers messages faster than any other applica"&amp;"tion.PowerfulTelegram has no limits on the size of your media and chats.OpenTelegram has an open API and source code free for everyone.SecureTelegram keeps your messages safe from hacker attacks.SocialTelegram groups can hold up to 200000 members.Expressi"&amp;"veTelegram lets you completely customize your messenger.Telegram      Telegram is a cloud-based mobile and desktop messaging app with a focus on security and speed.    AboutFAQPrivacyPressMobile AppsiPhone/iPadAndroidMobile WebDesktop AppsPC/Mac/LinuxmacO"&amp;"SWeb-browserPlatformAPITranslationsInstant ViewAboutBlogAppsPlatformPress")</f>
        <v>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v>
      </c>
    </row>
    <row r="123">
      <c r="A123" s="1" t="s">
        <v>395</v>
      </c>
      <c r="B123" s="1" t="s">
        <v>459</v>
      </c>
      <c r="C123" s="1" t="s">
        <v>460</v>
      </c>
      <c r="D123" s="1">
        <v>4.0</v>
      </c>
      <c r="E123" s="4" t="s">
        <v>461</v>
      </c>
      <c r="F123" s="1" t="s">
        <v>43</v>
      </c>
      <c r="G123" s="1" t="s">
        <v>399</v>
      </c>
      <c r="H123" s="4" t="s">
        <v>400</v>
      </c>
      <c r="I123" s="2">
        <v>0.0</v>
      </c>
      <c r="J123" s="5" t="str">
        <f>IFERROR(__xludf.DUMMYFUNCTION("GOOGLETRANSLATE(A123)"),"Avito")</f>
        <v>Avito</v>
      </c>
      <c r="K123" s="6" t="str">
        <f>IFERROR(__xludf.DUMMYFUNCTION("GOOGLETRANSLATE(B123)"),"One service for different business tasks")</f>
        <v>One service for different business tasks</v>
      </c>
      <c r="L123" s="5" t="str">
        <f>IFERROR(__xludf.DUMMYFUNCTION("GOOGLETRANSLATE(C123)"),"On Avito you will find buyers, suppliers, employees and contractors. 49% of small and medium -sized businesses in Russia are already working with us. Join!")</f>
        <v>On Avito you will find buyers, suppliers, employees and contractors. 49% of small and medium -sized businesses in Russia are already working with us. Join!</v>
      </c>
      <c r="M123" s="5" t="str">
        <f>IFERROR(__xludf.DUMMYFUNCTION("GOOGLETRANSLATE(G123)"),"Avito: Real Estate Transport Work Service Services of Business Association Catalog Catalog and Registration to annoy the advent of categories of workshops of the house and dachas and accessories and accessories of all the regional-adults and equipment. Ar"&amp;"ykhobbia vacation of lifetime business businesses equipment for the service-nickname of homepage dachadroitivaries of children's lives of health, health-tasty-adherents-work-deeds, Office-General General Minute Business Equiples of the Service-Homes of Da"&amp;"chiRodi-Lifth Children Furniture game and prizes from Aviter's recommendation on the Avitoporay “Lizaalet” help from an avithic in a cages to the cage, we will get a florista prepare the house for Zimekuda to go to November 5W-40 4 l from 999 ₽ Braching t"&amp;"he hairy from Omod-verbal apartment to find housing. Eluccessing Student Training Institution for Student Machines for Haircutsiphone 15 on Avit -verbal housing for the driftal prize of Omodashkaf for the home we Anquarium for hockey services for evacuama"&amp;"l payments for the 1st day of Nike -heating aromatic renewal of machine -tree jetta for the release of silence in the apartment. Forestry from the branded -collector furnitel -correction of Breyirepeter mathematician machine -winners to the hostel to work"&amp;" and study: the trends are darkened The houses for the apartment for the autumn-lane for any tasks for Komtransanedorous new shinos rods for new building recommendations for Vaso-guard 1,500 ₽ River Station2-K. Apartment 698 m² 9/10 et. 4 900 000 ₽ Kaspiy"&amp;"skskskemic 1300 m²400 ₽ per month per m² Vladivostovok Pervomaisky District 500 m² in a section of 15 hundred ₽ per day-Kamchatka Luke is not indicated by the Leninskoye Poloprieclop. ₽ C VatSrasnoyarsk District Centrallinoleum1 000 ₽ PPROMMAMA ORDZHONICI"&amp;"DSEVSKYAMI POCO M5S 4/128 GB10 000 ₽ Marshal Koveshkinad 811 m² on the site 9 hundredth 500 000 ₽d. Small Elakadapodarny set1 350 ₽Abakanbugatti divo 8.0 AMT 2021 600 km1 120 000 000 $. Barvihalixiang L9 1.5 AT 2023 10 km7 500 000 ₽ Kashirskaya2-K. Apartm"&amp;"ent 40 m² 1/2 floor 2 800 000 ₽. Batyre-free destination 74 m²5 669 900 ₽habarovsk district Zheleznodorozhny ""Blue Tractor"". Give children emotions110 ₽ span Sverdlovskiyrenault Logan 1.4 mt 2006 300 000 km280 000 ₽ Costoma rn Central Complex Plants400 "&amp;"₽ KELLOVISTARY RN500 ₽ Irkutsk district Oktyabrsky Busmoshaka BM-160p to the central din 4605 m² on the site 85 hundred. 42 607 816 ₽Pos. The youth oven of building garbage with a cargo-shock 3 500 ₽angarsk rn Microdistrict Aeroflot200 ₽ Belyaevsingonium "&amp;"vendlandi250 ₽ River of the loader Leninsky Vacancy. Code: VA883ot 37 728 ₽ Krasnoyarsk district Oktyabrsky corpus3 000 ₽ Khovosibirsk SNT Buildmashevsky district Pervomaisky 90 m² on a plot 4 hundredth 200 000 ₽ Zlatomatoma of scrap metal. Disorder 1 ₽ B"&amp;"elibais (m/w) for work without experience (watch watch ) from 150 000 2. ₽ Novgorod rn Priokmr3-player Walkman Sony NWZ-B172F2 000 ₽ Novgorod Burnakovskaya Trinakovtoriystvotolimotocyls and motor vehicles and special equipment of the vehicle and accessory"&amp;"-designate vegetables and vidomotions for computeriga for computers Red prefixes and program -tobooking computers of photographs and electronic books of organization and consumables for accommodation of housing for a long time for long -term real estate c"&amp;"ategories ofhobbies and rest and travels of the bore -nigrics and magazine -collection -in -laws -in -law tools and fishing cards and vacation work and work as an employee of the house and dachiremont and the construction of the mixture and interior equip"&amp;"ment of the supply of a place of place to the kitchen business and equipment of the preparation business equipment for business services. For animal -sheet -shells, accessories and shoes for children and toy -toys and health and adolescence load the Avito"&amp;"va application immediately find out immediately If the message comes, a new offer appears in the chosen one or someone will buy your product with delivery. VOVTTTGAVITO-a website of the advertisements of Russia. © KEH EKOMMERTS LLC 2007–2023. Avito rules."&amp;" Data processing policy. Avito uses recommendation technologies. To disseminate the announcement of the help of the number of Identity advertising on the site of the company Courara -Avito journal blogging benefits")</f>
        <v>Avito: Real Estate Transport Work Service Services of Business Association Catalog Catalog and Registration to annoy the advent of categories of workshops of the house and dachas and accessories and accessories of all the regional-adults and equipment. Arykhobbia vacation of lifetime business businesses equipment for the service-nickname of homepage dachadroitivaries of children's lives of health, health-tasty-adherents-work-deeds, Office-General General Minute Business Equiples of the Service-Homes of DachiRodi-Lifth Children Furniture game and prizes from Aviter's recommendation on the Avitoporay “Lizaalet” help from an avithic in a cages to the cage, we will get a florista prepare the house for Zimekuda to go to November 5W-40 4 l from 999 ₽ Braching the hairy from Omod-verbal apartment to find housing. Eluccessing Student Training Institution for Student Machines for Haircutsiphone 15 on Avit -verbal housing for the driftal prize of Omodashkaf for the home we Anquarium for hockey services for evacuamal payments for the 1st day of Nike -heating aromatic renewal of machine -tree jetta for the release of silence in the apartment. Forestry from the branded -collector furnitel -correction of Breyirepeter mathematician machine -winners to the hostel to work and study: the trends are darkened The houses for the apartment for the autumn-lane for any tasks for Komtransanedorous new shinos rods for new building recommendations for Vaso-guard 1,500 ₽ River Station2-K. Apartment 698 m² 9/10 et. 4 900 000 ₽ Kaspiyskskskemic 1300 m²400 ₽ per month per m² Vladivostovok Pervomaisky District 500 m² in a section of 15 hundred ₽ per day-Kamchatka Luke is not indicated by the Leninskoye Poloprieclop. ₽ C VatSrasnoyarsk District Centrallinoleum1 000 ₽ PPROMMAMA ORDZHONICIDSEVSKYAMI POCO M5S 4/128 GB10 000 ₽ Marshal Koveshkinad 811 m² on the site 9 hundredth 500 000 ₽d. Small Elakadapodarny set1 350 ₽Abakanbugatti divo 8.0 AMT 2021 600 km1 120 000 000 $. Barvihalixiang L9 1.5 AT 2023 10 km7 500 000 ₽ Kashirskaya2-K. Apartment 40 m² 1/2 floor 2 800 000 ₽. Batyre-free destination 74 m²5 669 900 ₽habarovsk district Zheleznodorozhny "Blue Tractor". Give children emotions110 ₽ span Sverdlovskiyrenault Logan 1.4 mt 2006 300 000 km280 000 ₽ Costoma rn Central Complex Plants400 ₽ KELLOVISTARY RN500 ₽ Irkutsk district Oktyabrsky Busmoshaka BM-160p to the central din 4605 m² on the site 85 hundred. 42 607 816 ₽Pos. The youth oven of building garbage with a cargo-shock 3 500 ₽angarsk rn Microdistrict Aeroflot200 ₽ Belyaevsingonium vendlandi250 ₽ River of the loader Leninsky Vacancy. Code: VA883ot 37 728 ₽ Krasnoyarsk district Oktyabrsky corpus3 000 ₽ Khovosibirsk SNT Buildmashevsky district Pervomaisky 90 m² on a plot 4 hundredth 200 000 ₽ Zlatomatoma of scrap metal. Disorder 1 ₽ Belibais (m/w) for work without experience (watch watch ) from 150 000 2. ₽ Novgorod rn Priokmr3-player Walkman Sony NWZ-B172F2 000 ₽ Novgorod Burnakovskaya Trinakovtoriystvotolimotocyls and motor vehicles and special equipment of the vehicle and accessory-designate vegetables and vidomotions for computeriga for computers Red prefixes and program -tobooking computers of photographs and electronic books of organization and consumables for accommodation of housing for a long time for long -term real estate categories ofhobbies and rest and travels of the bore -nigrics and magazine -collection -in -laws -in -law tools and fishing cards and vacation work and work as an employee of the house and dachiremont and the construction of the mixture and interior equipment of the supply of a place of place to the kitchen business and equipment of the preparation business equipment for business services. For animal -sheet -shells, accessories and shoes for children and toy -toys and health and adolescence load the Avitova application immediately find out immediately If the message comes, a new offer appears in the chosen one or someone will buy your product with delivery. VOVTTTGAVITO-a website of the advertisements of Russia. © KEH EKOMMERTS LLC 2007–2023. Avito rules. Data processing policy. Avito uses recommendation technologies. To disseminate the announcement of the help of the number of Identity advertising on the site of the company Courara -Avito journal blogging benefits</v>
      </c>
    </row>
    <row r="124">
      <c r="A124" s="1" t="s">
        <v>395</v>
      </c>
      <c r="B124" s="1" t="s">
        <v>462</v>
      </c>
      <c r="C124" s="1" t="s">
        <v>407</v>
      </c>
      <c r="D124" s="1">
        <v>5.0</v>
      </c>
      <c r="E124" s="4" t="s">
        <v>408</v>
      </c>
      <c r="F124" s="1" t="s">
        <v>43</v>
      </c>
      <c r="G124" s="1" t="s">
        <v>120</v>
      </c>
      <c r="H124" s="4" t="s">
        <v>121</v>
      </c>
      <c r="I124" s="2">
        <v>0.0</v>
      </c>
      <c r="J124" s="5" t="str">
        <f>IFERROR(__xludf.DUMMYFUNCTION("GOOGLETRANSLATE(A124)"),"Avito")</f>
        <v>Avito</v>
      </c>
      <c r="K124" s="6" t="str">
        <f>IFERROR(__xludf.DUMMYFUNCTION("GOOGLETRANSLATE(B124)"),"Avito: apartments, cars, work - Apps on ...")</f>
        <v>Avito: apartments, cars, work - Apps on ...</v>
      </c>
      <c r="L124" s="5" t="str">
        <f>IFERROR(__xludf.DUMMYFUNCTION("GOOGLETRANSLATE(C124)"),"Avito is millions of ads throughout Russia. What to sell or do, for how much and to whom - users themselves decide. Buy profitably.")</f>
        <v>Avito is millions of ads throughout Russia. What to sell or do, for how much and to whom - users themselves decide. Buy profitably.</v>
      </c>
      <c r="M124" s="5" t="str">
        <f>IFERROR(__xludf.DUMMYFUNCTION("GOOGLETRANSLATE(G124)"),"Android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25">
      <c r="A125" s="1" t="s">
        <v>395</v>
      </c>
      <c r="B125" s="1" t="s">
        <v>463</v>
      </c>
      <c r="D125" s="1">
        <v>9.0</v>
      </c>
      <c r="E125" s="4" t="s">
        <v>464</v>
      </c>
      <c r="F125" s="1" t="s">
        <v>43</v>
      </c>
      <c r="G125" s="1" t="s">
        <v>465</v>
      </c>
      <c r="H125" s="4" t="s">
        <v>466</v>
      </c>
      <c r="I125" s="2">
        <v>1.0</v>
      </c>
      <c r="J125" s="5" t="str">
        <f>IFERROR(__xludf.DUMMYFUNCTION("GOOGLETRANSLATE(A125)"),"Avito")</f>
        <v>Avito</v>
      </c>
      <c r="K125" s="6" t="str">
        <f>IFERROR(__xludf.DUMMYFUNCTION("GOOGLETRANSLATE(B125)"),"Avito career - about the company")</f>
        <v>Avito career - about the company</v>
      </c>
      <c r="M125" s="5" t="str">
        <f>IFERROR(__xludf.DUMMYFUNCTION("GOOGLETRANSLATE(G125)"),"Become part of the Avitonation-Research team of the Avitonalist ANDISTICALISTICALICALICALICENTICAL Service Management Management Product Management Management Business Management M&amp;A M&amp;A Partnerships and Partnerships and GR teammates and GR teammate-free-"&amp;"service work of service. torture buyer -cmemification products of the technician Platformation and safety -based platformation and recommendations for the project monetization and ads swat installations of the value of career, a part of the team of vitrio"&amp;"s of technology, we help people and businesses simplifying the solution of any problems From everyday to the most important Vacancies, the vocancies of the Avito Avito №1 ads of ads in the world No. 6v list of the most expensive Internet companies in Russ"&amp;"ia according to the Forbes10 transactions are actively examined, five vertical commands of the business are earned every second, you can know them as categories for Avitovari-E-E-E-Business. Clushes of service in Avito - This is a daily challenge and cons"&amp;"tant development, we visit the conferences, we participate in hackathons, we carry out trainings and mitaps work with leading experts. Comfortable environment helps to solve complex and interesting tasks of adulthood BonusDv in Moscow in St. Petersburg Ka"&amp;"zan and Samarevoy offices in Moscow of St. Petersburg Kazan and Samarabiy Offices in Moscow of Petersburg Kazan and Samarevyaty offices in Moscow of St. Petersburg Kazan and Samarevyaty offices in Moscow of St. Petersburg Kazan and Samara DMS with dentist"&amp;"ry Gibs to the format and place of work of the passengraval in the office-bibliotekida to promote the ads for fitness courses at the expense of the company-inspecting environment, and therefore there is a positive pressure and the calls from the team And "&amp;"leaders, so only in such conditions, breakthroughs occur. Such pressure inspires and motivates people without bringing with themselves fear of possible failures. Working on strong goals, we completely give ourselves to work and after they achieve them, we"&amp;" celebrate victory together. Words do not disperse with the case, having agreed on something, we do everything to implement the decision. We behave in accordance with the principles that we declare an example to other employees. We remember that culture i"&amp;"s how we act and not what we say or write on the walls. We are conscious of many talented and enthusiastic people - we accept each other's identity only by the achieved results and the desire to develop. We are freely interesting and safe together. United"&amp;" by mutual confidence, we achieve synergia and show that in this case 1+1 is much more than 2. Communications are transparent, we honestly maintain constructiveness and mutual respect for the individual. Conflicts happening to us are conflicts of ideas an"&amp;"d not people. An open environment for the exchange of information is the key to trust. High involvement is several key things that affect our desire to be and work in Avito and we pay special attention to them:-You have interesting tasks.-next to you are "&amp;"people who can and want to learn something.-You take time Professional and personal development. - You feel like a part of the team and feel that they are waiting for you. - You see that your work changes the world for the better. Life in Avito, after off"&amp;"raising, in social networks, than living, we work and rest 414 vacancies to open vacancies in Telegram Office in Moscow ul. Lesnaya 7 Office in St. Petersburg Malokhtinsky Ave. 64 liters B office in Kazan st. Moscow health. 19/8 office in Samara st. Novo-"&amp;"Sadovaya d. 160d PP 2 developed about the value of the company are indicated on the basis of the Forbes rating. The monthly audience of Avito is 50 million users - according to Yandex.Radar for June 2020. 49% of businesses are already working with Avito-a"&amp;"ccording to the study of B2V Rust LLC, conducted in April-May 2020.")</f>
        <v>Become part of the Avitonation-Research team of the Avitonalist ANDISTICALISTICALICALICALICENTICAL Service Management Management Product Management Management Business Management M&amp;A M&amp;A Partnerships and Partnerships and GR teammates and GR teammate-free-service work of service. torture buyer -cmemification products of the technician Platformation and safety -based platformation and recommendations for the project monetization and ads swat installations of the value of career, a part of the team of vitrios of technology, we help people and businesses simplifying the solution of any problems From everyday to the most important Vacancies, the vocancies of the Avito Avito №1 ads of ads in the world No. 6v list of the most expensive Internet companies in Russia according to the Forbes10 transactions are actively examined, five vertical commands of the business are earned every second, you can know them as categories for Avitovari-E-E-E-Business. Clushes of service in Avito - This is a daily challenge and constant development, we visit the conferences, we participate in hackathons, we carry out trainings and mitaps work with leading experts. Comfortable environment helps to solve complex and interesting tasks of adulthood BonusDv in Moscow in St. Petersburg Kazan and Samarevoy offices in Moscow of St. Petersburg Kazan and Samarabiy Offices in Moscow of Petersburg Kazan and Samarevyaty offices in Moscow of St. Petersburg Kazan and Samarevyaty offices in Moscow of St. Petersburg Kazan and Samara DMS with dentistry Gibs to the format and place of work of the passengraval in the office-bibliotekida to promote the ads for fitness courses at the expense of the company-inspecting environment, and therefore there is a positive pressure and the calls from the team And leaders, so only in such conditions, breakthroughs occur. Such pressure inspires and motivates people without bringing with themselves fear of possible failures. Working on strong goals, we completely give ourselves to work and after they achieve them, we celebrate victory together. Words do not disperse with the case, having agreed on something, we do everything to implement the decision. We behave in accordance with the principles that we declare an example to other employees. We remember that culture is how we act and not what we say or write on the walls. We are conscious of many talented and enthusiastic people - we accept each other's identity only by the achieved results and the desire to develop. We are freely interesting and safe together. United by mutual confidence, we achieve synergia and show that in this case 1+1 is much more than 2. Communications are transparent, we honestly maintain constructiveness and mutual respect for the individual. Conflicts happening to us are conflicts of ideas and not people. An open environment for the exchange of information is the key to trust. High involvement is several key things that affect our desire to be and work in Avito and we pay special attention to them:-You have interesting tasks.-next to you are people who can and want to learn something.-You take time Professional and personal development. - You feel like a part of the team and feel that they are waiting for you. - You see that your work changes the world for the better. Life in Avito, after offraising, in social networks, than living, we work and rest 414 vacancies to open vacancies in Telegram Office in Moscow ul. Lesnaya 7 Office in St. Petersburg Malokhtinsky Ave. 64 liters B office in Kazan st. Moscow health. 19/8 office in Samara st. Novo-Sadovaya d. 160d PP 2 developed about the value of the company are indicated on the basis of the Forbes rating. The monthly audience of Avito is 50 million users - according to Yandex.Radar for June 2020. 49% of businesses are already working with Avito-according to the study of B2V Rust LLC, conducted in April-May 2020.</v>
      </c>
    </row>
    <row r="126">
      <c r="A126" s="1" t="s">
        <v>395</v>
      </c>
      <c r="B126" s="1" t="s">
        <v>467</v>
      </c>
      <c r="C126" s="1" t="s">
        <v>468</v>
      </c>
      <c r="D126" s="1">
        <v>11.0</v>
      </c>
      <c r="E126" s="4" t="s">
        <v>469</v>
      </c>
      <c r="F126" s="1" t="s">
        <v>43</v>
      </c>
      <c r="I126" s="2">
        <v>1.0</v>
      </c>
      <c r="J126" s="5" t="str">
        <f>IFERROR(__xludf.DUMMYFUNCTION("GOOGLETRANSLATE(A126)"),"Avito")</f>
        <v>Avito</v>
      </c>
      <c r="K126" s="6" t="str">
        <f>IFERROR(__xludf.DUMMYFUNCTION("GOOGLETRANSLATE(B126)"),"Avito - Crunchbase Company Profile &amp; Funding")</f>
        <v>Avito - Crunchbase Company Profile &amp; Funding</v>
      </c>
      <c r="L126" s="5" t="str">
        <f>IFERROR(__xludf.DUMMYFUNCTION("GOOGLETRANSLATE(C126)"),"Avito is a classified advertisements platform that allows users to buy and sell used cars, clothes, real estate, and other accessories.")</f>
        <v>Avito is a classified advertisements platform that allows users to buy and sell used cars, clothes, real estate, and other accessories.</v>
      </c>
      <c r="M126" s="5" t="str">
        <f>IFERROR(__xludf.DUMMYFUNCTION("GOOGLETRANSLATE(G126)"),"#VALUE!")</f>
        <v>#VALUE!</v>
      </c>
    </row>
    <row r="127">
      <c r="A127" s="1" t="s">
        <v>395</v>
      </c>
      <c r="B127" s="1" t="s">
        <v>470</v>
      </c>
      <c r="D127" s="1">
        <v>12.0</v>
      </c>
      <c r="E127" s="4" t="s">
        <v>471</v>
      </c>
      <c r="F127" s="1" t="s">
        <v>43</v>
      </c>
      <c r="G127" s="1" t="s">
        <v>302</v>
      </c>
      <c r="H127" s="4" t="s">
        <v>303</v>
      </c>
      <c r="I127" s="2">
        <v>0.0</v>
      </c>
      <c r="J127" s="5" t="str">
        <f>IFERROR(__xludf.DUMMYFUNCTION("GOOGLETRANSLATE(A127)"),"Avito")</f>
        <v>Avito</v>
      </c>
      <c r="K127" s="6" t="str">
        <f>IFERROR(__xludf.DUMMYFUNCTION("GOOGLETRANSLATE(B127)"),"Kings Avito. How to increase your income by selling things through ...")</f>
        <v>Kings Avito. How to increase your income by selling things through ...</v>
      </c>
      <c r="M127" s="5" t="str">
        <f>IFERROR(__xludf.DUMMYFUNCTION("GOOGLETRANSLATE(G127)"),"Google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28">
      <c r="A128" s="1" t="s">
        <v>395</v>
      </c>
      <c r="B128" s="1" t="s">
        <v>472</v>
      </c>
      <c r="D128" s="1">
        <v>14.0</v>
      </c>
      <c r="E128" s="4" t="s">
        <v>473</v>
      </c>
      <c r="F128" s="1" t="s">
        <v>43</v>
      </c>
      <c r="G128" s="1" t="s">
        <v>302</v>
      </c>
      <c r="H128" s="4" t="s">
        <v>303</v>
      </c>
      <c r="I128" s="2">
        <v>0.0</v>
      </c>
      <c r="J128" s="5" t="str">
        <f>IFERROR(__xludf.DUMMYFUNCTION("GOOGLETRANSLATE(A128)"),"Avito")</f>
        <v>Avito</v>
      </c>
      <c r="K128" s="6" t="str">
        <f>IFERROR(__xludf.DUMMYFUNCTION("GOOGLETRANSLATE(B128)"),"100 ways to increase site attendance")</f>
        <v>100 ways to increase site attendance</v>
      </c>
      <c r="M128" s="5" t="str">
        <f>IFERROR(__xludf.DUMMYFUNCTION("GOOGLETRANSLATE(G128)"),"Google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29">
      <c r="A129" s="1" t="s">
        <v>395</v>
      </c>
      <c r="B129" s="1" t="s">
        <v>474</v>
      </c>
      <c r="D129" s="1">
        <v>15.0</v>
      </c>
      <c r="E129" s="4" t="s">
        <v>475</v>
      </c>
      <c r="F129" s="1" t="s">
        <v>43</v>
      </c>
      <c r="G129" s="1" t="s">
        <v>273</v>
      </c>
      <c r="H129" s="4" t="s">
        <v>476</v>
      </c>
      <c r="I129" s="2">
        <v>3.0</v>
      </c>
      <c r="J129" s="5" t="str">
        <f>IFERROR(__xludf.DUMMYFUNCTION("GOOGLETRANSLATE(A129)"),"Avito")</f>
        <v>Avito</v>
      </c>
      <c r="K129" s="6" t="str">
        <f>IFERROR(__xludf.DUMMYFUNCTION("GOOGLETRANSLATE(B129)"),"Avito | VerIfied")</f>
        <v>Avito | VerIfied</v>
      </c>
      <c r="M129" s="5" t="str">
        <f>IFERROR(__xludf.DUMMYFUNCTION("GOOGLETRANSLATE(G129)"),"Update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30">
      <c r="A130" s="1" t="s">
        <v>395</v>
      </c>
      <c r="B130" s="1" t="s">
        <v>477</v>
      </c>
      <c r="D130" s="1">
        <v>16.0</v>
      </c>
      <c r="E130" s="4" t="s">
        <v>478</v>
      </c>
      <c r="F130" s="1" t="s">
        <v>43</v>
      </c>
      <c r="G130" s="1" t="s">
        <v>302</v>
      </c>
      <c r="H130" s="4" t="s">
        <v>303</v>
      </c>
      <c r="I130" s="2">
        <v>3.0</v>
      </c>
      <c r="J130" s="5" t="str">
        <f>IFERROR(__xludf.DUMMYFUNCTION("GOOGLETRANSLATE(A130)"),"Avito")</f>
        <v>Avito</v>
      </c>
      <c r="K130" s="6" t="str">
        <f>IFERROR(__xludf.DUMMYFUNCTION("GOOGLETRANSLATE(B130)"),"Hakni Barakholki for 150k per month - the result from Google Book")</f>
        <v>Hakni Barakholki for 150k per month - the result from Google Book</v>
      </c>
      <c r="M130" s="5" t="str">
        <f>IFERROR(__xludf.DUMMYFUNCTION("GOOGLETRANSLATE(G130)"),"Google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31">
      <c r="A131" s="1" t="s">
        <v>395</v>
      </c>
      <c r="B131" s="1" t="s">
        <v>479</v>
      </c>
      <c r="D131" s="1">
        <v>28.0</v>
      </c>
      <c r="E131" s="4" t="s">
        <v>480</v>
      </c>
      <c r="F131" s="1" t="s">
        <v>43</v>
      </c>
      <c r="G131" s="1" t="s">
        <v>120</v>
      </c>
      <c r="H131" s="4" t="s">
        <v>121</v>
      </c>
      <c r="I131" s="2">
        <v>0.0</v>
      </c>
      <c r="J131" s="5" t="str">
        <f>IFERROR(__xludf.DUMMYFUNCTION("GOOGLETRANSLATE(A131)"),"Avito")</f>
        <v>Avito</v>
      </c>
      <c r="K131" s="6" t="str">
        <f>IFERROR(__xludf.DUMMYFUNCTION("GOOGLETRANSLATE(B131)"),"Avito.ru: Applications for Android in ...")</f>
        <v>Avito.ru: Applications for Android in ...</v>
      </c>
      <c r="M131" s="5" t="str">
        <f>IFERROR(__xludf.DUMMYFUNCTION("GOOGLETRANSLATE(G131)"),"Android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32">
      <c r="A132" s="1" t="s">
        <v>395</v>
      </c>
      <c r="B132" s="1" t="s">
        <v>481</v>
      </c>
      <c r="D132" s="1">
        <v>33.0</v>
      </c>
      <c r="E132" s="4" t="s">
        <v>482</v>
      </c>
      <c r="F132" s="1" t="s">
        <v>43</v>
      </c>
      <c r="G132" s="1" t="s">
        <v>302</v>
      </c>
      <c r="H132" s="4" t="s">
        <v>303</v>
      </c>
      <c r="I132" s="2">
        <v>3.0</v>
      </c>
      <c r="J132" s="5" t="str">
        <f>IFERROR(__xludf.DUMMYFUNCTION("GOOGLETRANSLATE(A132)"),"Avito")</f>
        <v>Avito</v>
      </c>
      <c r="K132" s="6" t="str">
        <f>IFERROR(__xludf.DUMMYFUNCTION("GOOGLETRANSLATE(B132)"),"Kama Sutra for a tutor. 173 ways to find a student")</f>
        <v>Kama Sutra for a tutor. 173 ways to find a student</v>
      </c>
      <c r="M132" s="5" t="str">
        <f>IFERROR(__xludf.DUMMYFUNCTION("GOOGLETRANSLATE(G132)"),"Google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33">
      <c r="A133" s="1" t="s">
        <v>395</v>
      </c>
      <c r="B133" s="1" t="s">
        <v>477</v>
      </c>
      <c r="D133" s="1">
        <v>35.0</v>
      </c>
      <c r="E133" s="4" t="s">
        <v>483</v>
      </c>
      <c r="F133" s="1" t="s">
        <v>43</v>
      </c>
      <c r="G133" s="1" t="s">
        <v>302</v>
      </c>
      <c r="H133" s="4" t="s">
        <v>303</v>
      </c>
      <c r="I133" s="2">
        <v>3.0</v>
      </c>
      <c r="J133" s="5" t="str">
        <f>IFERROR(__xludf.DUMMYFUNCTION("GOOGLETRANSLATE(A133)"),"Avito")</f>
        <v>Avito</v>
      </c>
      <c r="K133" s="6" t="str">
        <f>IFERROR(__xludf.DUMMYFUNCTION("GOOGLETRANSLATE(B133)"),"Hakni Barakholki for 150k per month - the result from Google Book")</f>
        <v>Hakni Barakholki for 150k per month - the result from Google Book</v>
      </c>
      <c r="M133" s="5" t="str">
        <f>IFERROR(__xludf.DUMMYFUNCTION("GOOGLETRANSLATE(G133)"),"Google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134">
      <c r="A134" s="1" t="s">
        <v>484</v>
      </c>
      <c r="B134" s="1" t="s">
        <v>485</v>
      </c>
      <c r="D134" s="1">
        <v>1.0</v>
      </c>
      <c r="E134" s="4" t="s">
        <v>486</v>
      </c>
      <c r="F134" s="1" t="s">
        <v>16</v>
      </c>
      <c r="G134" s="1" t="s">
        <v>487</v>
      </c>
      <c r="H134" s="4" t="s">
        <v>488</v>
      </c>
      <c r="I134" s="2">
        <v>4.0</v>
      </c>
      <c r="J134" s="5" t="str">
        <f>IFERROR(__xludf.DUMMYFUNCTION("GOOGLETRANSLATE(A134)"),"vildberry")</f>
        <v>vildberry</v>
      </c>
      <c r="K134" s="6" t="str">
        <f>IFERROR(__xludf.DUMMYFUNCTION("GOOGLETRANSLATE(B134)"),"Wildberries-online store of fashionable clothes and shoes")</f>
        <v>Wildberries-online store of fashionable clothes and shoes</v>
      </c>
      <c r="M134" s="5" t="str">
        <f>IFERROR(__xludf.DUMMYFUNCTION("GOOGLETRANSLATE(G134)"),"In order")</f>
        <v>In order</v>
      </c>
    </row>
    <row r="135">
      <c r="A135" s="1" t="s">
        <v>484</v>
      </c>
      <c r="B135" s="1" t="s">
        <v>489</v>
      </c>
      <c r="D135" s="1">
        <v>2.0</v>
      </c>
      <c r="E135" s="4" t="s">
        <v>490</v>
      </c>
      <c r="F135" s="1" t="s">
        <v>16</v>
      </c>
      <c r="G135" s="1" t="s">
        <v>34</v>
      </c>
      <c r="H135" s="4" t="s">
        <v>35</v>
      </c>
      <c r="I135" s="2">
        <v>5.0</v>
      </c>
      <c r="J135" s="5" t="str">
        <f>IFERROR(__xludf.DUMMYFUNCTION("GOOGLETRANSLATE(A135)"),"vildberry")</f>
        <v>vildberry</v>
      </c>
      <c r="K135" s="6" t="str">
        <f>IFERROR(__xludf.DUMMYFUNCTION("GOOGLETRANSLATE(B135)"),"WILDBERRIES")</f>
        <v>WILDBERRIES</v>
      </c>
      <c r="M135" s="5" t="str">
        <f>IFERROR(__xludf.DUMMYFUNCTION("GOOGLETRANSLATE(G135)"),"VK.com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36">
      <c r="A136" s="1" t="s">
        <v>484</v>
      </c>
      <c r="B136" s="1" t="s">
        <v>491</v>
      </c>
      <c r="D136" s="1">
        <v>3.0</v>
      </c>
      <c r="E136" s="4" t="s">
        <v>492</v>
      </c>
      <c r="F136" s="1" t="s">
        <v>16</v>
      </c>
      <c r="G136" s="1" t="s">
        <v>120</v>
      </c>
      <c r="H136" s="4" t="s">
        <v>121</v>
      </c>
      <c r="I136" s="2">
        <v>4.0</v>
      </c>
      <c r="J136" s="5" t="str">
        <f>IFERROR(__xludf.DUMMYFUNCTION("GOOGLETRANSLATE(A136)"),"vildberry")</f>
        <v>vildberry</v>
      </c>
      <c r="K136" s="6" t="str">
        <f>IFERROR(__xludf.DUMMYFUNCTION("GOOGLETRANSLATE(B136)"),"Wildberries - Apps on Google Play")</f>
        <v>Wildberries - Apps on Google Play</v>
      </c>
      <c r="M136" s="5" t="str">
        <f>IFERROR(__xludf.DUMMYFUNCTION("GOOGLETRANSLATE(G136)"),"Android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37">
      <c r="A137" s="1" t="s">
        <v>484</v>
      </c>
      <c r="B137" s="1" t="s">
        <v>493</v>
      </c>
      <c r="D137" s="1">
        <v>4.0</v>
      </c>
      <c r="E137" s="4" t="s">
        <v>494</v>
      </c>
      <c r="F137" s="1" t="s">
        <v>16</v>
      </c>
      <c r="G137" s="1" t="s">
        <v>495</v>
      </c>
      <c r="H137" s="1" t="s">
        <v>496</v>
      </c>
      <c r="I137" s="2">
        <v>1.0</v>
      </c>
      <c r="J137" s="5" t="str">
        <f>IFERROR(__xludf.DUMMYFUNCTION("GOOGLETRANSLATE(A137)"),"vildberry")</f>
        <v>vildberry</v>
      </c>
      <c r="K137" s="6" t="str">
        <f>IFERROR(__xludf.DUMMYFUNCTION("GOOGLETRANSLATE(B137)"),"Wildberries-a fashionable online store of clothing, shoes and ...")</f>
        <v>Wildberries-a fashionable online store of clothing, shoes and ...</v>
      </c>
      <c r="M137" s="5" t="str">
        <f>IFERROR(__xludf.DUMMYFUNCTION("GOOGLETRANSLATE(G137)"),"Wildberries-a fashionable online store of shoes and accessories. Wildberries Wildberries-a fashionable online store of shoe and accessories is available in the following countries of Russia Belarus Kazakhstan Kazakhstanya Ekistan O'zbekiston Israel ישראל "&amp;"2004- © Wildberries. All rights reserved.")</f>
        <v>Wildberries-a fashionable online store of shoes and accessories. Wildberries Wildberries-a fashionable online store of shoe and accessories is available in the following countries of Russia Belarus Kazakhstan Kazakhstanya Ekistan O'zbekiston Israel ישראל 2004- © Wildberries. All rights reserved.</v>
      </c>
    </row>
    <row r="138">
      <c r="A138" s="1" t="s">
        <v>484</v>
      </c>
      <c r="B138" s="1" t="s">
        <v>497</v>
      </c>
      <c r="D138" s="1">
        <v>5.0</v>
      </c>
      <c r="E138" s="4" t="s">
        <v>498</v>
      </c>
      <c r="F138" s="1" t="s">
        <v>16</v>
      </c>
      <c r="G138" s="1" t="s">
        <v>31</v>
      </c>
      <c r="H138" s="4" t="s">
        <v>32</v>
      </c>
      <c r="I138" s="2">
        <v>1.0</v>
      </c>
      <c r="J138" s="5" t="str">
        <f>IFERROR(__xludf.DUMMYFUNCTION("GOOGLETRANSLATE(A138)"),"vildberry")</f>
        <v>vildberry</v>
      </c>
      <c r="K138" s="6" t="str">
        <f>IFERROR(__xludf.DUMMYFUNCTION("GOOGLETRANSLATE(B138)"),"Wildberries - Wikipedia")</f>
        <v>Wildberries - Wikipedia</v>
      </c>
      <c r="M138" s="5" t="str">
        <f>IFERROR(__xludf.DUMMYFUNCTION("GOOGLETRANSLATE(G138)"),"Wikipedia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39">
      <c r="A139" s="1" t="s">
        <v>484</v>
      </c>
      <c r="B139" s="1" t="s">
        <v>499</v>
      </c>
      <c r="D139" s="1">
        <v>6.0</v>
      </c>
      <c r="E139" s="4" t="s">
        <v>500</v>
      </c>
      <c r="F139" s="1" t="s">
        <v>16</v>
      </c>
      <c r="G139" s="1" t="s">
        <v>120</v>
      </c>
      <c r="H139" s="4" t="s">
        <v>121</v>
      </c>
      <c r="I139" s="2">
        <v>3.0</v>
      </c>
      <c r="J139" s="5" t="str">
        <f>IFERROR(__xludf.DUMMYFUNCTION("GOOGLETRANSLATE(A139)"),"vildberry")</f>
        <v>vildberry</v>
      </c>
      <c r="K139" s="6" t="str">
        <f>IFERROR(__xludf.DUMMYFUNCTION("GOOGLETRANSLATE(B139)"),"Wildberries - Google Play apps")</f>
        <v>Wildberries - Google Play apps</v>
      </c>
      <c r="M139" s="5" t="str">
        <f>IFERROR(__xludf.DUMMYFUNCTION("GOOGLETRANSLATE(G139)"),"Android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40">
      <c r="A140" s="1" t="s">
        <v>484</v>
      </c>
      <c r="B140" s="1" t="s">
        <v>501</v>
      </c>
      <c r="D140" s="1">
        <v>7.0</v>
      </c>
      <c r="E140" s="4" t="s">
        <v>502</v>
      </c>
      <c r="F140" s="1" t="s">
        <v>16</v>
      </c>
      <c r="G140" s="1" t="s">
        <v>97</v>
      </c>
      <c r="H140" s="4" t="s">
        <v>98</v>
      </c>
      <c r="I140" s="2">
        <v>3.0</v>
      </c>
      <c r="J140" s="5" t="str">
        <f>IFERROR(__xludf.DUMMYFUNCTION("GOOGLETRANSLATE(A140)"),"vildberry")</f>
        <v>vildberry</v>
      </c>
      <c r="K140" s="6" t="str">
        <f>IFERROR(__xludf.DUMMYFUNCTION("GOOGLETRANSLATE(B140)"),"Wildberries - App Store")</f>
        <v>Wildberries - App Store</v>
      </c>
      <c r="M140" s="5" t="str">
        <f>IFERROR(__xludf.DUMMYFUNCTION("GOOGLETRANSLATE(G140)"),"App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141">
      <c r="A141" s="1" t="s">
        <v>484</v>
      </c>
      <c r="B141" s="1" t="s">
        <v>503</v>
      </c>
      <c r="D141" s="1">
        <v>8.0</v>
      </c>
      <c r="E141" s="4" t="s">
        <v>504</v>
      </c>
      <c r="F141" s="1" t="s">
        <v>16</v>
      </c>
      <c r="G141" s="1" t="s">
        <v>273</v>
      </c>
      <c r="H141" s="4" t="s">
        <v>274</v>
      </c>
      <c r="I141" s="2">
        <v>3.0</v>
      </c>
      <c r="J141" s="5" t="str">
        <f>IFERROR(__xludf.DUMMYFUNCTION("GOOGLETRANSLATE(A141)"),"vildberry")</f>
        <v>vildberry</v>
      </c>
      <c r="K141" s="6" t="str">
        <f>IFERROR(__xludf.DUMMYFUNCTION("GOOGLETRANSLATE(B141)"),"WILDBERRIES OFFICIAL (@wildberriesru)")</f>
        <v>WILDBERRIES OFFICIAL (@wildberriesru)</v>
      </c>
      <c r="M141" s="5" t="str">
        <f>IFERROR(__xludf.DUMMYFUNCTION("GOOGLETRANSLATE(G141)"),"Update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42">
      <c r="A142" s="1" t="s">
        <v>484</v>
      </c>
      <c r="B142" s="1" t="s">
        <v>505</v>
      </c>
      <c r="D142" s="1">
        <v>9.0</v>
      </c>
      <c r="E142" s="4" t="s">
        <v>506</v>
      </c>
      <c r="F142" s="1" t="s">
        <v>16</v>
      </c>
      <c r="G142" s="1" t="s">
        <v>38</v>
      </c>
      <c r="H142" s="4" t="s">
        <v>39</v>
      </c>
      <c r="I142" s="2">
        <v>3.0</v>
      </c>
      <c r="J142" s="5" t="str">
        <f>IFERROR(__xludf.DUMMYFUNCTION("GOOGLETRANSLATE(A142)"),"vildberry")</f>
        <v>vildberry</v>
      </c>
      <c r="K142" s="6" t="str">
        <f>IFERROR(__xludf.DUMMYFUNCTION("GOOGLETRANSLATE(B142)"),"wildberries")</f>
        <v>wildberries</v>
      </c>
      <c r="M142" s="5" t="str">
        <f>IFERROR(__xludf.DUMMYFUNCTION("GOOGLETRANSLATE(G142)"),"YouTubeAboutPressCopyrightContact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43">
      <c r="A143" s="1" t="s">
        <v>484</v>
      </c>
      <c r="B143" s="1" t="s">
        <v>507</v>
      </c>
      <c r="D143" s="1">
        <v>10.0</v>
      </c>
      <c r="E143" s="4" t="s">
        <v>508</v>
      </c>
      <c r="F143" s="1" t="s">
        <v>16</v>
      </c>
      <c r="G143" s="1" t="s">
        <v>509</v>
      </c>
      <c r="H143" s="4" t="s">
        <v>510</v>
      </c>
      <c r="I143" s="2">
        <v>3.0</v>
      </c>
      <c r="J143" s="5" t="str">
        <f>IFERROR(__xludf.DUMMYFUNCTION("GOOGLETRANSLATE(A143)"),"vildberry")</f>
        <v>vildberry</v>
      </c>
      <c r="K143" s="6" t="str">
        <f>IFERROR(__xludf.DUMMYFUNCTION("GOOGLETRANSLATE(B143)"),"Wildberries-online store of fashionable clothes, shoes and ...")</f>
        <v>Wildberries-online store of fashionable clothes, shoes and ...</v>
      </c>
      <c r="M143" s="5" t="str">
        <f>IFERROR(__xludf.DUMMYFUNCTION("GOOGLETRANSLATE(G143)"),"Wildberries-online store of fashionable shoes and accessories:")</f>
        <v>Wildberries-online store of fashionable shoes and accessories:</v>
      </c>
    </row>
    <row r="144">
      <c r="A144" s="1" t="s">
        <v>484</v>
      </c>
      <c r="B144" s="1" t="s">
        <v>511</v>
      </c>
      <c r="D144" s="1">
        <v>11.0</v>
      </c>
      <c r="E144" s="4" t="s">
        <v>512</v>
      </c>
      <c r="F144" s="1" t="s">
        <v>16</v>
      </c>
      <c r="G144" s="1" t="s">
        <v>448</v>
      </c>
      <c r="H144" s="4" t="s">
        <v>449</v>
      </c>
      <c r="I144" s="2">
        <v>3.0</v>
      </c>
      <c r="J144" s="5" t="str">
        <f>IFERROR(__xludf.DUMMYFUNCTION("GOOGLETRANSLATE(A144)"),"vildberry")</f>
        <v>vildberry</v>
      </c>
      <c r="K144" s="6" t="str">
        <f>IFERROR(__xludf.DUMMYFUNCTION("GOOGLETRANSLATE(B144)"),"Wildberries vacancies - work in Moscow ...")</f>
        <v>Wildberries vacancies - work in Moscow ...</v>
      </c>
      <c r="M144" s="5" t="str">
        <f>IFERROR(__xludf.DUMMYFUNCTION("GOOGLETRANSLATE(G144)"),"Work in Moscow Search for personnel and publishing vacancies - HH.ru. Working with our site, you need to include JavaScript in your browser. Curi -mosquito -workers, ready -made resumes -wise advice, help, work to make a resumes -winging system finding an"&amp;" employee 65,757 425 haste1 4102 vacancies2 088 561 compliance with the phone so that employers can offer you work to confirm to confirm that you do not introduce the text from the picture: the other text of the text “continue” you confirm that you are fa"&amp;"miliarized with the “Agreement on the provision of assistance in employment (Offer)” Vacancies of the day of the day 7649 Vacanceism of the house83707 Vacancies 72000 to 89 000 000 ₽Rabotahr Moscow employee restaurant 50,000 to 70000 ₽ Dododo pizza (DPM N"&amp;"orth) Moskvalichny assistant psychologist 50,000 to 250,000 ₽ Guphanina Alina Borisovna Moskovaristat 74000 to 91000 ₽ Fleet Moscow Administrator in the hot yogi -2000 to 50,000 ₽Bikram .ru Yoga Moskvalichny driver 100,000 to 120,000 ₽ Hihitrova Anastasia"&amp;" Viktorovna Moskvannoye seller-cashier/Administrator 60,000 ₽ Bukhaev Yusup Sydemyeva Moskvypskor (guard) in the clinic 80,000 to 80,000 ₽ Krapetvei ₽ Defeditrum 87 000 to 121000 ₽rabotahr Moscow Moscow 60,000 to 140,000 ₽ Bukhaev Yusup Saidemeyeva Moscow"&amp;" -Semey driver to 1,20,000 to 140,000 ₽ INSITS Moskovo View all work in the Moscow Automobile Administrative Personnel Safe and Medium Management of the Raw Personnel Management Service -Schools Logiiiscence of entertainment of mass mediamarketing adverti"&amp;"sing PRMMedicin pharmaceuticals Education Production Service Service Service Production Service Maintenance Worker Personnel Trade Trade Clubs Fitness Salons Beauty Strategia Investment Consulting Storestroe Real Estate Sports Transportation Transportuisc"&amp;"ent Hotel Restaurant Management by personnel Training and Office of the Emergenary Gholoset in the rating 000 000 and more work in November with daily payments-welding November with a salary of 150 000 ₽ Vacancia November for managers with a salary of 150"&amp;" 000 ₽, not to spoil the impression of themselves with activity in social networks, to become an accountant from scratch ""R-Farm"": to live a full life and benefit people ""Pentorochka"": how to become the owner of a business and workshop for programmers"&amp;" for engineering for engineering for engineering for engineering The sales manager for directorship for administrator work for marketer work for design will be designed for lawyers in other cities in the Zagoryansk work in Moscow work in prompt work in lo"&amp;"ng -term work in driving work in shopatin work in Bobrov work in Mytishchkhnich work in the Khimki -work in Russia, most of the life of almost every of us. But nothing forever: it happens that one day you have to change the place of work and plunge with y"&amp;"our head in search of vacancies - I want to find a good alternative to the current position. Often when changing work, we think not only about changing the company but also about changing professional activities. And it is at these moments that the questi"&amp;"on arises: “How to find a good job in Moscow now? And most importantly, what should this work be? ”Showing it completely to solve such issues easily and quickly just go to hh.ru! On our website you can always find out the latest labor market news and also"&amp;" study a fresh review of salaries with which it is easy to evaluate what Positions should be aiming. If you have already determined the vacancies of which specialties you are interested in only you can create a resume and start searching for a dream work!"&amp;" It is most convenient to look for a job using our vacancies catalog: by clicking in the mouse, you will get a list of relevant and high -quality vacancies in the Moscow or other region of Russia. But this is not the only option for searching for work. On"&amp;" our site you can create an attractive resume and vacancies will begin to flock to you! And having combined both of these methods, you can get the fastest and most importantly effective way to search for work! Create a summary of the application vacancies"&amp;" answers to responses and access to a resume - always at your fingertips. Just enter the phone camera on the QR-CODDHUNTERO company of the company's vacancies for the site of the personal data of personal data-safety Headhunteretika and complianceheadHunt"&amp;"er Apartneadhunter of the provision of the service of the use of the site and articles of labor in the company of Russian serial workshops SE for applicants for reservations Service Prophorus. Processing Summies Summary for you to work for a production ca"&amp;"lendar expert recommendation with a young specialist for young specialists of the School School School Upon -residents of employees, consonant of the company, by professionals, near the metro notification in the Messengeryswitch to English © 2023 Hadhante"&amp;"r LLC, HH.ru information resource applies (information technologies for the provision of information on the systematization and analysis of information related to the preferences of users of the Internet. Russian Federation) Today on the site 1410102 vaca"&amp;"ncies 65757425 resume 2088561 Company and in a week 3611017 invitations subscribe to the Push notifications of HH.ru now subscribe now")</f>
        <v>Work in Moscow Search for personnel and publishing vacancies - HH.ru. Working with our site, you need to include JavaScript in your browser. Curi -mosquito -workers, ready -made resumes -wise advice, help, work to make a resumes -winging system finding an employee 65,757 425 haste1 4102 vacancies2 088 561 compliance with the phone so that employers can offer you work to confirm to confirm that you do not introduce the text from the picture: the other text of the text “continue” you confirm that you are familiarized with the “Agreement on the provision of assistance in employment (Offer)” Vacancies of the day of the day 7649 Vacanceism of the house83707 Vacancies 72000 to 89 000 000 ₽Rabotahr Moscow employee restaurant 50,000 to 70000 ₽ Dododo pizza (DPM North) Moskvalichny assistant psychologist 50,000 to 250,000 ₽ Guphanina Alina Borisovna Moskovaristat 74000 to 91000 ₽ Fleet Moscow Administrator in the hot yogi -2000 to 50,000 ₽Bikram .ru Yoga Moskvalichny driver 100,000 to 120,000 ₽ Hihitrova Anastasia Viktorovna Moskvannoye seller-cashier/Administrator 60,000 ₽ Bukhaev Yusup Sydemyeva Moskvypskor (guard) in the clinic 80,000 to 80,000 ₽ Krapetvei ₽ Defeditrum 87 000 to 121000 ₽rabotahr Moscow Moscow 60,000 to 140,000 ₽ Bukhaev Yusup Saidemeyeva Moscow -Semey driver to 1,20,000 to 140,000 ₽ INSITS Moskovo View all work in the Moscow Automobile Administrative Personnel Safe and Medium Management of the Raw Personnel Management Service -Schools Logiiiscence of entertainment of mass mediamarketing advertising PRMMedicin pharmaceuticals Education Production Service Service Service Production Service Maintenance Worker Personnel Trade Trade Clubs Fitness Salons Beauty Strategia Investment Consulting Storestroe Real Estate Sports Transportation Transportuiscent Hotel Restaurant Management by personnel Training and Office of the Emergenary Gholoset in the rating 000 000 and more work in November with daily payments-welding November with a salary of 150 000 ₽ Vacancia November for managers with a salary of 150 000 ₽, not to spoil the impression of themselves with activity in social networks, to become an accountant from scratch "R-Farm": to live a full life and benefit people "Pentorochka": how to become the owner of a business and workshop for programmers for engineering for engineering for engineering for engineering The sales manager for directorship for administrator work for marketer work for design will be designed for lawyers in other cities in the Zagoryansk work in Moscow work in prompt work in long -term work in driving work in shopatin work in Bobrov work in Mytishchkhnich work in the Khimki -work in Russia, most of the life of almost every of us. But nothing forever: it happens that one day you have to change the place of work and plunge with your head in search of vacancies - I want to find a good alternative to the current position. Often when changing work, we think not only about changing the company but also about changing professional activities. And it is at these moments that the question arises: “How to find a good job in Moscow now? And most importantly, what should this work be? ”Showing it completely to solve such issues easily and quickly just go to hh.ru! On our website you can always find out the latest labor market news and also study a fresh review of salaries with which it is easy to evaluate what Positions should be aiming. If you have already determined the vacancies of which specialties you are interested in only you can create a resume and start searching for a dream work! It is most convenient to look for a job using our vacancies catalog: by clicking in the mouse, you will get a list of relevant and high -quality vacancies in the Moscow or other region of Russia. But this is not the only option for searching for work. On our site you can create an attractive resume and vacancies will begin to flock to you! And having combined both of these methods, you can get the fastest and most importantly effective way to search for work! Create a summary of the application vacancies answers to responses and access to a resume - always at your fingertips. Just enter the phone camera on the QR-CODDHUNTERO company of the company's vacancies for the site of the personal data of personal data-safety Headhunteretika and complianceheadHunter Apartneadhunter of the provision of the service of the use of the site and articles of labor in the company of Russian serial workshops SE for applicants for reservations Service Prophorus. Processing Summies Summary for you to work for a production calendar expert recommendation with a young specialist for young specialists of the School School School Upon -residents of employees, consonant of the company, by professionals, near the metro notification in the Messengeryswitch to English © 2023 Hadhanter LLC, HH.ru information resource applies (information technologies for the provision of information on the systematization and analysis of information related to the preferences of users of the Internet. Russian Federation) Today on the site 1410102 vacancies 65757425 resume 2088561 Company and in a week 3611017 invitations subscribe to the Push notifications of HH.ru now subscribe now</v>
      </c>
    </row>
    <row r="145">
      <c r="A145" s="1" t="s">
        <v>484</v>
      </c>
      <c r="B145" s="1" t="s">
        <v>513</v>
      </c>
      <c r="D145" s="1">
        <v>12.0</v>
      </c>
      <c r="E145" s="4" t="s">
        <v>514</v>
      </c>
      <c r="F145" s="1" t="s">
        <v>16</v>
      </c>
      <c r="G145" s="1" t="s">
        <v>336</v>
      </c>
      <c r="H145" s="4" t="s">
        <v>515</v>
      </c>
      <c r="I145" s="2">
        <v>5.0</v>
      </c>
      <c r="J145" s="5" t="str">
        <f>IFERROR(__xludf.DUMMYFUNCTION("GOOGLETRANSLATE(A145)"),"vildberry")</f>
        <v>vildberry</v>
      </c>
      <c r="K145" s="6" t="str">
        <f>IFERROR(__xludf.DUMMYFUNCTION("GOOGLETRANSLATE(B145)"),"Reviews about the Wildberris store")</f>
        <v>Reviews about the Wildberris store</v>
      </c>
      <c r="M145" s="5" t="str">
        <f>IFERROR(__xludf.DUMMYFUNCTION("GOOGLETRANSLATE(G145)"),"Oh!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46">
      <c r="A146" s="1" t="s">
        <v>484</v>
      </c>
      <c r="B146" s="1" t="s">
        <v>516</v>
      </c>
      <c r="D146" s="1">
        <v>13.0</v>
      </c>
      <c r="E146" s="4" t="s">
        <v>517</v>
      </c>
      <c r="F146" s="1" t="s">
        <v>16</v>
      </c>
      <c r="G146" s="1" t="s">
        <v>273</v>
      </c>
      <c r="H146" s="4" t="s">
        <v>476</v>
      </c>
      <c r="I146" s="2">
        <v>0.0</v>
      </c>
      <c r="J146" s="5" t="str">
        <f>IFERROR(__xludf.DUMMYFUNCTION("GOOGLETRANSLATE(A146)"),"vildberry")</f>
        <v>vildberry</v>
      </c>
      <c r="K146" s="6" t="str">
        <f>IFERROR(__xludf.DUMMYFUNCTION("GOOGLETRANSLATE(B146)"),"✓ Wildberries")</f>
        <v>✓ Wildberries</v>
      </c>
      <c r="M146" s="5" t="str">
        <f>IFERROR(__xludf.DUMMYFUNCTION("GOOGLETRANSLATE(G146)"),"Update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47">
      <c r="A147" s="1" t="s">
        <v>484</v>
      </c>
      <c r="B147" s="1" t="s">
        <v>518</v>
      </c>
      <c r="D147" s="1">
        <v>14.0</v>
      </c>
      <c r="E147" s="4" t="s">
        <v>519</v>
      </c>
      <c r="F147" s="1" t="s">
        <v>16</v>
      </c>
      <c r="I147" s="2">
        <v>3.0</v>
      </c>
      <c r="J147" s="5" t="str">
        <f>IFERROR(__xludf.DUMMYFUNCTION("GOOGLETRANSLATE(A147)"),"vildberry")</f>
        <v>vildberry</v>
      </c>
      <c r="K147" s="6" t="str">
        <f>IFERROR(__xludf.DUMMYFUNCTION("GOOGLETRANSLATE(B147)"),"Wildberries - The latest news today")</f>
        <v>Wildberries - The latest news today</v>
      </c>
      <c r="M147" s="5" t="str">
        <f>IFERROR(__xludf.DUMMYFUNCTION("GOOGLETRANSLATE(G147)"),"#VALUE!")</f>
        <v>#VALUE!</v>
      </c>
    </row>
    <row r="148">
      <c r="A148" s="1" t="s">
        <v>484</v>
      </c>
      <c r="B148" s="1" t="s">
        <v>520</v>
      </c>
      <c r="D148" s="1">
        <v>15.0</v>
      </c>
      <c r="E148" s="4" t="s">
        <v>521</v>
      </c>
      <c r="F148" s="1" t="s">
        <v>16</v>
      </c>
      <c r="G148" s="1" t="s">
        <v>522</v>
      </c>
      <c r="H148" s="4" t="s">
        <v>523</v>
      </c>
      <c r="I148" s="2">
        <v>3.0</v>
      </c>
      <c r="J148" s="5" t="str">
        <f>IFERROR(__xludf.DUMMYFUNCTION("GOOGLETRANSLATE(A148)"),"vildberry")</f>
        <v>vildberry</v>
      </c>
      <c r="K148" s="6" t="str">
        <f>IFERROR(__xludf.DUMMYFUNCTION("GOOGLETRANSLATE(B148)"),"Wildberries: Stories from Life, Tips, News ...")</f>
        <v>Wildberries: Stories from Life, Tips, News ...</v>
      </c>
      <c r="M148" s="5" t="str">
        <f>IFERROR(__xludf.DUMMYFUNCTION("GOOGLETRANSLATE(G148)"),"������� � ����� ���������� � ����������� ����� | ���������������������������������������������������������������� ������?������������ �������������� �������										�������� ������� � ���������� � ��������� ������������� ����� � ��� �������� �� ���������"&amp;" ������������ ������.									������� �������� ���� ��� ���� ��������������������� ������������������������������������� ������������������������� ��� � Telegram��� ���������� �GoogleVK �������� ���� ������� ������������� ������� ������NebulaNinja70 �����"&amp;"�dyadka133767 ������DaSeryozno21 �������������� ���� ���						��������											������ ����� ������					�������� ������: ���������� ����� ����������� ��������� �� 7 ���� 🔥������������������ ������ ������������ �� ��������� � ���������� � ��������� �����"&amp;"� � ��� �������� �� ��������� ������������ ������.							������� ��� �����������! ���������� ��������� ����� 😊������� ������������������ �������������� ����������������������������������� ���������� �������������������������������������������� Aliexpress"&amp;"������ ������������ HoffAndroidiOS������� ��������������� ����� ���������� ����� ����� ������. ������������ �������� ��� ����� �� ����� ������� �� ��� ��� �� ������ ������� ��� ����� ������� � ������.Promo message�������� ����������4090													Knight"&amp;"OfSarcasm												7 ����� ���������� �� ���� ���� ��� ��� ������ ��������⁠⁠�������� ���������1 ������ ������ ����� �������� � ������� ����� �� ���� 448				������			7927													NebulaNinja												14 ����� ��������� ��� ���� � ���������� �������"&amp;"�⁠⁠�������� ���������1 �������� ���� ������ �������� ���� ������ ����������������� ����� 343				������			7635													bgafk												14 ����� ����������� ���⁠⁠�������� ���������1 �� ���� �������� �������� ������ 499				������			����������� ���������"&amp;"������													specials												�������� ������: ���������� ������ ���������� �����������⁠⁠���������� ��������� ������ � �������� � ������� ����� ��� ����� ����������� ����� ���� ���������� �������. ������ ��� ��� ��������� ����� ������� ������ ���"&amp;"����������� � ������������. �� � ���� ���� VK ID ����� ������� � ������� � ������� SMS � ���������� ����������� ����� Touch ID � Face ID.�� ���� �� �������� ���������� �� ������ � ������������ ���������� ��������� ��������� ������ � ���������� ����. �����"&amp;"� ��������� � ��� ������ ����� ��������VK ID � ������ ������� ��� ����� � ������� VK � ������ ��� ��������� (������� ������!). � ��� �� ����� ������ ���������������� � ������ ����� ������� � ���������� ��� ���� ������������ �������� � ������������� ������"&amp;" ��������. � ��� � VK ID ������� ���������� OnePass � ����� ������� ������������ ��������������. � ��� ����� ������� � �������� ����� ������������� ���� � ���� ���������� �������. ��� ������� ������� � ����������: ����� ������ ��� ��� ������ ������� �����"&amp;"��� ��� ������.�������� � ��������� OnePass ����� � ����������.������� ��� �� ����������������� ��������������� �������������� ������������ ��������� (������)7260													Ghost687												15 ����� ������������ � ������� ��� ����� ������� ����������"&amp;"⁠⁠���� ������ ������������ ����� ���������� ����� Robert B Weide ��������������� ����� 302				������			155Dr.Lemon ������� � �������: ������ ���� ����� � �� ����������������������� ��������� ��������� «��� �����»8 ����� ����� ����������			������ ������ - "&amp;"� ��� (����������)⁠⁠��������� ����� ����������:�� ������ ������� ����� � ������� �� ����������� ���� ������ ��� ������ ������ ����� ������� ������ � ������ ��� ��������� ����� � � ����� ���� ������� ��������� ����� ��� ��������. ������ ����� �� ��� ������"&amp;": ������� ������ � ������������ ����������� ��� ����� �������� � ������ �� ����� ����������� ��� ����� �������� � ��������.�� ������ ������ ����� ����� �������� ��������� �������� �������� ����� ������ ������� ""� ���"". ������ ��� ���� - ����� ����������"&amp;" �������� � ����� � ������ ��� ������ ������� ������ - ��� ���� ���. ������� ��� ������������ ������� ��� ���� ����� ��������� ��������� ����� ������� ���� ������� �������� � �������� ������� ������ �� ��� �����. ���� ���� � 2016 ���� ����� ������ �������"&amp;" ��� ��� � ���� �� ���� �������. � �� ���� ������ ����.����� ���� ����������� ���������� ����� MP3-���� ������ ������ ��� ������������� � �������� ���������� � ���� � ������.����� ����� ���� ����� �������� ���������?						���� ��������� - � �������� �����"&amp;"� - � ������� ���������� ������� - � ������������ �������: �������� ���������1 1  [���] ����� ���������� ����� �������� ��� �������� �������� ���������� ������ ������ ������� ��� ����� YouTube ���������� 0  ����������				������			3235													Moodvin	"&amp;"											1 ���� �������������� ����⁠⁠��������� ���� ������ ���� ���� �������� ����� ������������ ����� ������ ���� �������� ������ 148				������			2404													mytraveltrip												1 ���� �������� �� 1000 ����⁠⁠��� ������ ����� ��� ����� ��������"&amp;"���� ����� 361  ����������				������			4107													ElenaPripyat												1 ���� ������������ ��������� ���� ����� ��� ������� ���-�� �� �� �������⁠⁠������������ ����� ������ �� ���� ����� ������������� 194				������			����������� ���������������			"&amp;"										specials												�������������� �������� �� ��������� �������� ������ ��� ������⁠⁠��������� � �����-��� �������� ������ 💚 ����� �� ������������� � ���������������� ���������� � ����������� �� �������-������������! � ����� � ������� ������� �"&amp;"�������� � ������� ��������� �����������.����� ������ ������� ������ ��� ����� ������� �������� ������. ��������� ��� ���������� �� ���� �������� ������ �� ������ ����� � ����������� ������� � �������� �������!������ ��������� 😎�������  ��� ��� ���������"&amp;"������� ���������1 ��������� ���� �� �����8578													Mirajjanna												20 ����� �������������� ����������� ��� ��� �� �������⁠⁠#comment_288675408��� ���� ����� 😁 � ����������. ���� �� ��� ����������� ����� � ���������� ���� �� 👍�������� ������"&amp;"���7 ��������� ������� ��������� �������� �������� ���������� ����������� �� ������ 370  ����������				������			�������������� �� ���������� ��� ���� ����������������������� — � ������� ���� ������� ���� � ���� �����.����� �������� �������� ����� ��������"&amp;"������.					 �� ��������� ��� ������ ����������� ������ ��� ���������! ����� ������123456789101120304050100")</f>
        <v>������� � ����� ���������� � ����������� ����� | ���������������������������������������������������������������� ������?������������ �������������� �������										�������� ������� � ���������� � ��������� ������������� ����� � ��� �������� �� ��������� ������������ ������.									������� �������� ���� ��� ���� ��������������������� ������������������������������������� ������������������������� ��� � Telegram��� ���������� �GoogleVK �������� ���� ������� ������������� ������� ������NebulaNinja70 ������dyadka133767 ������DaSeryozno21 �������������� ���� ���						��������											������ ����� ������					�������� ������: ���������� ����� ����������� ��������� �� 7 ���� 🔥������������������ ������ ������������ �� ��������� � ���������� � ��������� ������ � ��� �������� �� ��������� ������������ ������.							������� ��� �����������! ���������� ��������� ����� 😊������� ������������������ �������������� ����������������������������������� ���������� �������������������������������������������� Aliexpress������ ������������ HoffAndroidiOS������� ��������������� ����� ���������� ����� ����� ������. ������������ �������� ��� ����� �� ����� ������� �� ��� ��� �� ������ ������� ��� ����� ������� � ������.Promo message�������� ����������4090													KnightOfSarcasm												7 ����� ���������� �� ���� ���� ��� ��� ������ ��������⁠⁠�������� ���������1 ������ ������ ����� �������� � ������� ����� �� ���� 448				������			7927													NebulaNinja												14 ����� ��������� ��� ���� � ���������� ��������⁠⁠�������� ���������1 �������� ���� ������ �������� ���� ������ ����������������� ����� 343				������			7635													bgafk												14 ����� ����������� ���⁠⁠�������� ���������1 �� ���� �������� �������� ������ 499				������			����������� ���������������													specials												�������� ������: ���������� ������ ���������� �����������⁠⁠���������� ��������� ������ � �������� � ������� ����� ��� ����� ����������� ����� ���� ���������� �������. ������ ��� ��� ��������� ����� ������� ������ �������������� � ������������. �� � ���� ���� VK ID ����� ������� � ������� � ������� SMS � ���������� ����������� ����� Touch ID � Face ID.�� ���� �� �������� ���������� �� ������ � ������������ ���������� ��������� ��������� ������ � ���������� ����. ������ ��������� � ��� ������ ����� ��������VK ID � ������ ������� ��� ����� � ������� VK � ������ ��� ��������� (������� ������!). � ��� �� ����� ������ ���������������� � ������ ����� ������� � ���������� ��� ���� ������������ �������� � ������������� ������ ��������. � ��� � VK ID ������� ���������� OnePass � ����� ������� ������������ ��������������. � ��� ����� ������� � �������� ����� ������������� ���� � ���� ���������� �������. ��� ������� ������� � ����������: ����� ������ ��� ��� ������ ������� �������� ��� ������.�������� � ��������� OnePass ����� � ����������.������� ��� �� ����������������� ��������������� �������������� ������������ ��������� (������)7260													Ghost687												15 ����� ������������ � ������� ��� ����� ������� ����������⁠⁠���� ������ ������������ ����� ���������� ����� Robert B Weide ��������������� ����� 302				������			155Dr.Lemon ������� � �������: ������ ���� ����� � �� ����������������������� ��������� ��������� «��� �����»8 ����� ����� ����������			������ ������ - � ��� (����������)⁠⁠��������� ����� ����������:�� ������ ������� ����� � ������� �� ����������� ���� ������ ��� ������ ������ ����� ������� ������ � ������ ��� ��������� ����� � � ����� ���� ������� ��������� ����� ��� ��������. ������ ����� �� ��� ������: ������� ������ � ������������ ����������� ��� ����� �������� � ������ �� ����� ����������� ��� ����� �������� � ��������.�� ������ ������ ����� ����� �������� ��������� �������� �������� ����� ������ ������� "� ���". ������ ��� ���� - ����� ���������� �������� � ����� � ������ ��� ������ ������� ������ - ��� ���� ���. ������� ��� ������������ ������� ��� ���� ����� ��������� ��������� ����� ������� ���� ������� �������� � �������� ������� ������ �� ��� �����. ���� ���� � 2016 ���� ����� ������ ������� ��� ��� � ���� �� ���� �������. � �� ���� ������ ����.����� ���� ����������� ���������� ����� MP3-���� ������ ������ ��� ������������� � �������� ���������� � ���� � ������.����� ����� ���� ����� �������� ���������?						���� ��������� - � �������� ������ - � ������� ���������� ������� - � ������������ �������: �������� ���������1 1  [���] ����� ���������� ����� �������� ��� �������� �������� ���������� ������ ������ ������� ��� ����� YouTube ���������� 0  ����������				������			3235													Moodvin												1 ���� �������������� ����⁠⁠��������� ���� ������ ���� ���� �������� ����� ������������ ����� ������ ���� �������� ������ 148				������			2404													mytraveltrip												1 ���� �������� �� 1000 ����⁠⁠��� ������ ����� ��� ����� ������������ ����� 361  ����������				������			4107													ElenaPripyat												1 ���� ������������ ��������� ���� ����� ��� ������� ���-�� �� �� �������⁠⁠������������ ����� ������ �� ���� ����� ������������� 194				������			����������� ���������������													specials												�������������� �������� �� ��������� �������� ������ ��� ������⁠⁠��������� � �����-��� �������� ������ 💚 ����� �� ������������� � ���������������� ���������� � ����������� �� �������-������������! � ����� � ������� ������� ��������� � ������� ��������� �����������.����� ������ ������� ������ ��� ����� ������� �������� ������. ��������� ��� ���������� �� ���� �������� ������ �� ������ ����� � ����������� ������� � �������� �������!������ ��������� 😎�������  ��� ��� ���������������� ���������1 ��������� ���� �� �����8578													Mirajjanna												20 ����� �������������� ����������� ��� ��� �� �������⁠⁠#comment_288675408��� ���� ����� 😁 � ����������. ���� �� ��� ����������� ����� � ���������� ���� �� 👍�������� ���������7 ��������� ������� ��������� �������� �������� ���������� ����������� �� ������ 370  ����������				������			�������������� �� ���������� ��� ���� ����������������������� — � ������� ���� ������� ���� � ���� �����.����� �������� �������� ����� ��������������.					 �� ��������� ��� ������ ����������� ������ ��� ���������! ����� ������123456789101120304050100</v>
      </c>
    </row>
    <row r="149">
      <c r="A149" s="1" t="s">
        <v>484</v>
      </c>
      <c r="B149" s="1" t="s">
        <v>524</v>
      </c>
      <c r="D149" s="1">
        <v>16.0</v>
      </c>
      <c r="E149" s="4" t="s">
        <v>525</v>
      </c>
      <c r="F149" s="1" t="s">
        <v>16</v>
      </c>
      <c r="I149" s="2">
        <v>1.0</v>
      </c>
      <c r="J149" s="5" t="str">
        <f>IFERROR(__xludf.DUMMYFUNCTION("GOOGLETRANSLATE(A149)"),"vildberry")</f>
        <v>vildberry</v>
      </c>
      <c r="K149" s="6" t="str">
        <f>IFERROR(__xludf.DUMMYFUNCTION("GOOGLETRANSLATE(B149)"),"Wildberries, online store in Vladivostok: branches")</f>
        <v>Wildberries, online store in Vladivostok: branches</v>
      </c>
      <c r="M149" s="5" t="str">
        <f>IFERROR(__xludf.DUMMYFUNCTION("GOOGLETRANSLATE(G149)"),"#VALUE!")</f>
        <v>#VALUE!</v>
      </c>
    </row>
    <row r="150">
      <c r="A150" s="1" t="s">
        <v>484</v>
      </c>
      <c r="B150" s="1" t="s">
        <v>526</v>
      </c>
      <c r="D150" s="1">
        <v>17.0</v>
      </c>
      <c r="E150" s="4" t="s">
        <v>527</v>
      </c>
      <c r="F150" s="1" t="s">
        <v>16</v>
      </c>
      <c r="G150" s="1" t="s">
        <v>528</v>
      </c>
      <c r="H150" s="4" t="s">
        <v>529</v>
      </c>
      <c r="I150" s="2">
        <v>3.0</v>
      </c>
      <c r="J150" s="5" t="str">
        <f>IFERROR(__xludf.DUMMYFUNCTION("GOOGLETRANSLATE(A150)"),"vildberry")</f>
        <v>vildberry</v>
      </c>
      <c r="K150" s="6" t="str">
        <f>IFERROR(__xludf.DUMMYFUNCTION("GOOGLETRANSLATE(B150)"),"Wildberries - trading network")</f>
        <v>Wildberries - trading network</v>
      </c>
      <c r="M150" s="5" t="str">
        <f>IFERROR(__xludf.DUMMYFUNCTION("GOOGLETRANSLATE(G150)"),"Retail.ru - Portal for retailers and suppliers of please Click her IF YOU ARDIRERected Within A Few Seconds. Custom user! We discovered that you use the adblock and block the advertising show on our site, we ask our content as our content is provided as o"&amp;"ur content is provided as our content is provided as our content is provided as our content is provided A free basis and our only income is advertising on the site. This is necessary for the further development of the project. Instructions to the disconne"&amp;"ction of the Adblock. Spasibo for understanding! Version of the site for the visually impaired cabinet (0). TETAIL.ru Events Business Center Teaching Book Book Advertising News Articles Cases Interview Video Products on Polls Polls Glossary Glossary Perso"&amp;"na Persona Automation on 1 Testamaaga-Automatization on 1C Themesyatail.ru and Supply Mikhail Goncharov “Teremok”: “I was sure that the business with pancakes will take place” about what the 25-year history of the network of the pancakes of development an"&amp;"d technologies began. Caces are less than loans and below interest payments: Il de Bota experience in using online -INNISSISSIONS CHOOSS CALES WHY WHY A company uses Adm for processing cash revenue. Caches of the Pyaterochka Wine regiment: how to create a"&amp;"n exclusive offer51% is the proportion of exclusive brands in the sales of Russian wine from retailer and will grow up ecotrandas of the eastern and southeastern Asian Roads. Ecodaccepts and projects as well as organic products of Asian retailers. Mikhail"&amp;" Goncharov “Teremok”: “I was sure that the business with pancakes would take place” less loans and below interest payments: the experience “il de Bota” in the use of online irrigation with the Monirion regiment “Pentaroque” regiment : How to create an exc"&amp;"lusive proposal of eastern and southeastern Asia, an interview with a Caisytovar interview with a shelter of the eastern and southeastern Asia, the reviews and projects as well as organic products of Asian retailers. Topics: Foreign experience in trading "&amp;"sustainable development marketing and trade economics on November 4939, 2023 Walgreens History: How did the pharmacy chain benefit from the dry law and suffered from pandemia? Why does one of the largest world retailers close shops? Topics: Foreign experi"&amp;"ence in trading large world retailers pharmacy retail. Optics Crisis. The Bifurcation Point Marketing and the trade economy November 14576, 2023 Confectionery: new trends and products in turbulent time-Russian people like to seize stress, but not all swee"&amp;"ts-novice will be successful. Topic: FMCG. Grocery retail. Alcohol marketing and trade economics on November 22373, 2023 Logists are preparing to increase sales in e-commerce experts give forecasts of demand and transportation prices on the eve of sales a"&amp;"nd holidays indicate trends. Topic: Logistics Logistics in Retail E-Commerce. Marketplaces Marketing and Economics of Trade Delivery of Products. Courier delivery on October 308930, 2023 Practical analytics - what should it be? The solution for the growth"&amp;" of trade and reduction of write -offs in HoReCa Retail distribution. Topic: Analytics Automation of Trade: On the cash desk scanners scales FMCG. Grocery retail. Alcohol restaurants fast food. Food Contracts. Network restaurants on October 248124, 2023 W"&amp;"hy didn’t the “Future Store” appear in retail? Where is the retail-revolution now and what will it bring to physical stores. Topic: FMCG. Grocery retail. Alcohol Automation of Trade: on the cash desk scanners scales are general-shaped e-commerce. Marketpl"&amp;"aces Marketing and Trade Economics October 211620, 2023 Infoline: “Coin” will help the “Ribbon” with a mini-formatamatamics transaction will change the position of the “tape” in the ranking of the largest FMCG networks and what will the retailer do next? "&amp;"Topic: FMCG. Grocery retail. Exploring alcohol and marketing ratings and trade economics on October 370418, 2023 STM or its own brand: how can a manufacturer maneurate the market? History of SDOBS Foods that creates desserts for retailers and successfully"&amp;" develops its brand. Topic: FMCG. Grocery retail. Alcohol has its own trademark. IPLS. Contract production of Mark. Brand brand management. Advertising. PR 342217 October 2023 Research: How do Russians get acquainted with new brands and decide on buying t"&amp;"hat stimulates to buy goods to an unfamiliar brand and what prevents? Topics: Research and ratings E-Commerce. Marketplaces of Mark. Brand brand management. Advertising. PR 294316 October 2023 How does the Luxury market change the approach to working with"&amp;" customers for the best offers and technological service instead of champagne and parties? Topics: Loyalty in Retail Marketing and Trade Economics October 30134, 2023 All articles → Mikhail Goncharov “Teremok”: “I was sure that the business with pancakes "&amp;"would take place” about what the 25-year history of the network of pancakes of development and technology began. Topic: restaurants of fast food. Food Contracts. Network restaurants Marketing and the Trade economy November 14888, 2023 Ilya Pudyda Floris: "&amp;"“Expanding distribution and working with marketplaces will allow us to become closer to the audience” about the promotion of tisans and herbal drinks output to the markets of China and the UAE of healthy lifestyle and online sales. Topic: FMCG. Grocery re"&amp;"tail. Alcohol Mark. The brand is its own trademark. IPLS. Contract production Marketing and E-Commerce Trade Economics. Marketplaces on November 22702, 2023 Yuri Semenov Dixy: “The most important task is to quickly and effectively update the network for b"&amp;"uyers” by the end of 2024, the retailer plans to make a brown of 40% of stores. Topic: FMCG. Grocery retail. Alcohol Creating the atmosphere of the Marketing store and the trade economy on November 41691, 2023 Tatyana Kornienko Staldogs: “We open three ex"&amp;"perimental points of sales of hot dogs in Georgia” about the development of healthy lifestyle and new projects abroad. Topic: fast food. Food Contracts. Network restaurants Marketing and Trade Economics October 371027, 2023 Ilya Dudkovsky Avito: “The spee"&amp;"d of equipment supply and saving when equipping stores has become more important than ever” why it becomes normal for business to sell complex equipment online and how traditional selection schemes have changed trading equipment. Topic: Trade equipment. F"&amp;"urniture for stores Trade refrigeration equipment Equipment for E-Commerce stores. Markets Marketing and Trade Economics October 20824, 2023 Julia Agaltsova “Health Technique”: “We strive to increase the share of premium goods in the assortment in some st"&amp;"ores, it reaches 28%” about the features of the business of orthopedic salons to teach consultants of the client path and the future of this niche. Topic: Crisis. Bifurcation Point of Mark. Brand Marketing and Fashion Trade Economics. Cloth. Shoes. Access"&amp;"ories Creating the atmosphere of the store on October 185923, 2023 Denis Shubenok “Ashmanov and partners”: “Marketplais is the Cherkizov market in the 90s. It is impossible to ignore but you can only bet on them-it’s dangerous ”about how buyers choose bra"&amp;"nds in return for those who have left why the Internet channel is important where to start promotion in it how to provide goods with reviews and not to drain budgets. Topic: E-commerce. Marketplaces Marketing and the Economics of Mark Trade. Brand brand m"&amp;"anagement. Advertising. PR October 893818, 2023 Mikhail Aleshin “Perekhanok”: “We plan to remove the human factor from routine processes as much as possible and make focus on robotization” about changes in supplies and new projects to increase efficiency."&amp;" Topic: FMCG. Grocery retail. Alcohol Logistics in Retail Logistics Automation of trade: according to the cash desk scanners Libra 417617 October 2023 Stanislav Bogdanov X5 Group: “We feel responsibility - our initiatives often affect the industry” about "&amp;"priorities in cooperation with authorities to support small businesses and local manufacturers. Subject: Quality Security State regulation of state regulation of general -industrial FMCG. Grocery retail. Alcohol on October 244917, 2023 Maria Podkopaeva X5"&amp;" Group: “Our goal is to bring the share of the processed packaging in STM to 60%” about cooperation with suppliers on environmentally friendly packaging of new ROP requirements and changes in sustainable development strategy. Topics: Sustainable developme"&amp;"nt of own trademark. IPLS. FMCG contract production. Grocery retail. Alcohol 1961116, 2023 All interviews → Viola plant: Life with the new owner of the manufacturer invests in the production and promotion of new brands and products. Topic: FMCG. Grocery r"&amp;"etail. Alcohol Mark. The brand marketing and the trade economy on November 6527, 2023 Mascotte opened in Moscow its first salon in the new concept -based creation of a stylish and bright space for prisoners of shopping. Topic: Fashion. Cloth. Shoes. Acces"&amp;"sories of the opening and closing of stores Creating an atmosphere of the store 314325 October 2023 Production of a natural cider: raw materials technology, the process that the safety of products at a large enterprise? Topic: Quality Security Gosregulati"&amp;"on of Mark. Brand 78020 October 2023 Adyghe cheese: where and how do they make real? The subtleties of production and sale of fresh soft cheese and who weaves Chevil-Koschka? Topic: FMCG. Grocery retail. Alcohol has its own trademark. IPLS. Contract produ"&amp;"ction quality security state regulation on October 29593, 2023 Berezka: “Sales have grown 4 times in 6 years” a network of 6 DIY stores in Tatarstan plans to quickly develop in small cities and open 5 more points in 2024. Topic: DIY. Household products. F"&amp;"urniture marketing and economics of trading loyalty in retail practice#expedition Retail 250920 September 2023 “Matur”: “We are striving to receive 85 thousand rubles of revenue from a square meter per month” The Bashkir network attracts customers with ho"&amp;"t bread with finished food and chak-chack. Topic: FMCG. Grocery retail. Alcohol Practice of Mark. Brand Marketing and Trade Economics Own brand. IPLS. Contract production September 30386, 2023 How to turn the production of weapons into a tourist facility:"&amp;" the experience of AIR from Zlatovostablagiad Tourism 10 times increased by the number of buyers of a company store. Topic: DIY. Household products. Furniture Mark. Brand Marketing and Economics of Trade Sales Management Brand Management. Advertising. PR "&amp;"256923 August 2023 Fish House: Travel to the Baltic Coast where and how are sea cabbage imitated caviar smoked fish and preserves from seafood for STM Pyaterochka? Topic: Own trademark. IPLS. FMCG contract production. Grocery retail. Alcohol Mark. The bra"&amp;"nd large world retailers on August 362810, 2023 flagship Gloria Jeans in modern Street-Rythilevs details of the concept of the store in Tverskaya in Moscow. Topic: Fashion. Cloth. Shoes. Accessories of the opening and closing of stores marketing and the e"&amp;"conomy of brand trade. Brand Merchendiding. Layout. Shoes 42734 August 2023 Where Pyatyrochka makes pickled cucumbers for STM? From Bachch to the shelf. Topic: Own trademark. IPLS. Contract production Own production. Ready food. FMCG kitchen factories. Gr"&amp;"ocery retail. Alcohol 52805 July 2023 All photo reports → Pyaterochka wine regiment: how to create an exclusive offer51% is the share of exclusive brands in the sales of Russian wine from the retailer and will grow. Topic: FMCG. Grocery retail. Alcohol ha"&amp;"s its own trademark. IPLS. Contract production marketing and an economy of brand trade. The brand 42310 November 2023 is less loans and the interest payments below: Il de BotE experience in using online irrigation with monitoring the reasons why the compa"&amp;"ny uses Adm for processing cash proceeds. Topics: Finance in retail Marketing and the Droggery trade economy. Cosmetics. Perfumeria Automation of Trade: on the cash desks of the scales on November 11487, 2023 Experience “Crossroads” in the development of "&amp;"the mobile application of the express delivery: TOP-5 insight and successful cases of development teams. Topic: E-commerce. FMCG markets. Grocery retail. Alcohol Automation of Trade: according to the cash desks scales Libra practice on November 14143, 202"&amp;"3 Why develop food sales in a beer store: the experience of “beer &amp; ko” Sneckes of deep fry and ready food allow you to generate traffic and attract new segments of customers. Topic: FMCG. Grocery retail. Alcohol Practice Marketing and Trade Economics Own"&amp;" Production. Ready food. Kitchen factories have its own brand. IPLS. Contract production on October 223830, 2023 Appendix for KCENTR.ru: moved from PWA and studio development to the cloud solution of the project plans for the development of application an"&amp;"d integration with the CRM system. Topic: E-commerce. Marketplairs Automation of Trade: on cash desks scanners scales marketing and economics of trade practice Electronics technique. The cell retail on October 175526, 2023, as a service partner, rebuilt a"&amp;"nd strengthened the technical support of the Tvyato - and Point network “CROC” serves about 700 users in the central office of the network and remotely processes up to 800 applications per month. Topic: Trade automation: on cash desks scanners Libra are h"&amp;"igh -grade fast food. Food Contracts. Network restaurants on October 203423, 2023 How to expand the Massporren funnel three times and maintain a conversion into a hiring - in two months: the Betaonline case in the submissivee 232% managed to increase the "&amp;"incoming stream of applicants in the midst of the season. Topic: Trade personnel Human Resources Management in Retail FMCG. Grocery retail. Alcohol Automation of trade: on the cash desk of scales Libra 193219 October 2023 Marking of water and sweet drinks"&amp;": how to save up to 2 billion rubles of the annual water producer of water. Topic: Marking goods Quality Security Gos regulation General -industrial FMCG. Grocery retail. Alcohol on October 190718, 2023 Online Automatization: as the Yakut Hormolzavod remo"&amp;"tely introduced 1C: ERP by 5% of the production cost of production costs-10% of the production of products increased by 15%. Topic: Automation for 1C Mark. Brand Marketing and Trade Economics Automation of Trade: On the Cashier Scanners Libra 187213 Octob"&amp;"er 2023 Uppetit experience: Ready food - what to prepare and sell the specialization of the specialization of the finished food store. Topic: Own production. Ready food. FMCG kitchen factories. Grocery retail. Alcohol Practice Marketing and the Franchisin"&amp;"g Trade Economics October 244511, 2023 All cases → Branded retail becomes hybridsposobes to expand the proposal and strengthen the attractiveness of the format. Topic: FMCG. Grocery retail. Alcohol Fashion. Cloth. Shoes. Accessories marketing and trade ec"&amp;"onomics on October 214231, 2023 How has the search demand for household appliances and electronics over 2 years have changed? Study of the search interest in BTIE in Russia. Topic: Electronics technique. Cell retail Marketing and the research economy and "&amp;"ratings on October 134623, 2023 Fruits and vegetables: how to earn and develop a category? Experience of the “Magnit” “Auchana” “Ski” “Red Yar” “Baton” and the manufacturer “My summer”. Topic: Categorical management Own brand. IPLS. Contract production Ow"&amp;"n production. Ready food. Kitchen factories on October 194313, 2023 German condoms Glt-Group: Focus for diversity European quality and wide line in the categories: Elite Premium and Middle-Low. Topic: FMCG. Grocery retail. Alcohol goods on the marketing s"&amp;"helf and the economy of brand trade. Brand 221028 September 2023 Business on marketplaces: new services from MTS Bank Analyst of procurement from China Fulfilment and Warehouse Management. Topics: Finance in Retail E-Commerce. Marketplaces Logistics in Re"&amp;"tail Logistics 201521 September 2023 What difficulties arise on the path of products from China and where to “lay straw” the nuances and difficulties of railway transport in 2023. Topics: Logistics Logistics in retail practice September 211120, 2023 Oat c"&amp;"ollection of KF ""Bread Spas"": from the idea to a bestsellarakak, the company studies consumer tastes and develops successful products. Topic: FMCG. Grocery retail. Alcohol Mark. Brand Marketing and Trade Economics Practice Loyalty in retail 240411 Septe"&amp;"mber 2023 The Yandex study: Fashion-buyer starts with a search on the Internet and loves a branding for omnichanality or how to win a client race. Topic: E-commerce. Fashion markets. Cloth. Shoes. Accessories on September 30911, 2023 The ice cream market "&amp;"in July 2023: Russian manufacturers dominant production: Sales dynamics Popular TOP Brand formats. Topics: Research and FMCG ratings. Grocery retail. Alcohol marketing and trade economics 533824 August 2023 How to create your own marketplace? It is benefi"&amp;"cial for the expert man and why prepare for? Topic: E-commerce. Marketplaces Marketing and Economics of Trading Self -Self -Slender August 413621 August 2023 All goods on the shelf → News -based news 11: 57 Warehouse in Moscow and the region may fall to t"&amp;"he record for 15 years 01% 275 10: 30 Russian -Russian people ignored the beginning of the November Sales 663 09: 30 numbers of the new creative director of Moschino David Renne 46 Earlier, 110.11 of the Russian Federation approved the rules for compensat"&amp;"ion by foreign holdings for Russian assets 1329 10.11 in the Russian Federation may allow the sale of unmarked caviar 817 10.11, IT specialists, the demand for technical support and information security 8419 10.11 Police will not be able to initiate admin"&amp;"istrative affairs 6902 10.11nikoliers: Unsatisfied demand for warehouses in St. Petersburg exceeds 500 thousand square meters. m 2539 10.11 -German OBI filed a lawsuit against the former Russian unit 1778 10.11NOVABEV Group: for 9 months of 2023, the comp"&amp;"any's revenue increased by 17% 1537 10.11 Seller Veypov proposed to fine parents for smoking children 1072 10.11ozon: Russians began to make major purchases for large purchases for Sales 911 10.11 Magnit will open a brewery in the super -starter in Moscow"&amp;" 1582 10.11 MTS Bank: Russians actively buy electronics and shoes during the sales period 1438 10.11v 2023. The consumption of domestic wines will grow to 90 million, 757 10.11 Producer Tchibo will change the name “ Tibio ”623 10.1111 The HP began to elim"&amp;"inate the Russian legal entity“ Eichpi Inc ”746 10.11“ Yandex Lavka ”plans to open Darkmalls 1738 09.11 Sades refused to satisfy the claim of the owner of the Samara shopping center against the Retail H&amp;M 1862 09/09/11 Fix PRICE approved the change Kazakh"&amp;"stan 944 everything News → Companies of the Companies of Yandex Markets Yandex Market Products from charitable foundations and their wards 196 Supplier Essen Production Agnchups and jams ""Maheev"" again became laureates of the Mark No. 1 in Russia-2023 3"&amp;"45 Supplier Trinity Events Group23 Summit of the REMODIC The Retail Business Russia industry was held on October 26-27 in New Moscow-to Imperial Park Hotel &amp; SPA 254 Supplier MVK-International Exhibition Company Exhibitions Parking Russia 2023 already the"&amp;" next week on November 14-16 in the ex-center. 281 Supplier 1SKOCHONGENT “DIFFORRATING Day” 454 Supplier LLC “SP Group” announced laureates of the XIV Prize “Quality of Service and Consumer Rights” 538 Supplier Altaseils23–24 in Moscow in the Central Hous"&amp;"e of Center will host a large business forum from niche experts-main 835 supplier Retail . Crownline conference on the topic ""Trade equipment in retail: how has the pool of suppliers have changed what solutions are the retail?"" 695 Supplier Tanuki “Tanu"&amp;"ki” launched the new astrological menu 721 supplier “Retail of those” megaphorum - the territory of cooperation between the exchange of views and ideas! The Victory Victory Tails Network is tested by industrial exoskeletons 898 Tails Network Corporation G"&amp;"rinn Dolkin - a friendly discount opened in Tula 6164 Supplier of the GRASSASSV Russian CASS monitoring in stores 5364 Supplier Grassgrass: Consumer selection 1105 All news of the companies → Calendar of events14 - November 16, 2023 Networks Procurement C"&amp;"enter ™ 14 - 16 - 16, 2023 32nd International Food Exhibition ""Pet ... get a free ticket on November 16, 2023"" Trade equipment in retail ""to receive a free ticket on November 21 - 22, 2023 Bee -Together. ru receive a free ticket on November 23 - 24, 20"&amp;"23 Sales Main - November 30 - 30, 2023 International Forum Universe Ecom Convention 2023 ... Get free ticket all events → We recommend visiting a Center 4213 Supplier Register in our catalog: Supplier of the Dixie Supplier 2595kak “promote” the regional n"&amp;"etwork of orthopedic salons: secrets from “health techniques” 2443 -visitor Burmatova - “my summer” on #Worldfoodmoscow 20232132 Video Ryabova Angela Director of the Magnita Discounters format Fedyakov Ivan Founder and head of the Infoline group of compan"&amp;"ies all persons → Books of Books was added to the basket Practice ... 1,200 rubles. Build sales in numbers: Planning ... 590 rubles. Buy arithmetic of the categorical manager ... 1,100 rubles. Buy food trade in ... 1,490 rubles. Buy a successful way to th"&amp;"e retail network. ..590 rub. Buy a workman’s workshop: like a sore ... 699 rub. Buy all books → Video on Retail.ru new concept “Dixie” 2590 How to “promote” the regional network of orthopedic salons: Secrets from “Health Technology” 2438 Tatyana Kornienko"&amp;" - ""Staldogs"" on #Worldfood Moscow 2023 2084 All videos → Seminars30.11 Category Management- The first course according to the International Standard Catman 2.04retail Business School30.11 Opress and Management STM 4retal Business School30.11 Empress co"&amp;"urse ""Construction"" Construction ""Construction"" Construction ""Construction"" Construction Effective promo ”(specialist tariff) 4retail Business Schoolves Seminars → Obsoscot now dictates the conditions in the equipment market - sellers or buyers? The"&amp;" sellers of the Kuppetelina I know did not think of research and surveys of the news agaric for a week1. Russian manufacturers of household appliances began to transfer contract production from Turkey to China 62815 2. The second Russian supported the bil"&amp;"l on the translation of all inscriptions and signs into Russian 47182 3. Ozon saw the threat of death of all business Models in the bill on the regulation of marketplaces 17697 4.Marks &amp; spencer increased net profit in the first half of the year by 75% 14"&amp;"753 5. The Russian Federations began to spend more borrowed money on the Gadgets 10131 top materials for the week1. Interview: Mikhail Goncharov “Teremok”: “I was I am sure that the business with pancakes will take place ”1485 2. Straight: the story of Wa"&amp;"lgreens: How did the pharmacy chain benefit from the dry law and suffered from pandemia? 1454 3. Case: Less loans and below interest payments: Il de Bote experience in using online tokassation C Moniron 1145 4. Recordication: Viola factory: Life with the "&amp;"new owner 650 5. Starts: ecotrandas of eastern and southeastern Asia 491 Read the News News Interview Cases Master classes Events Calendar Organizers of the Conference Exhibition Special Projects Transeminars Catalog of Educational Companies Teachers Vide"&amp;"o Books Top 10 Traffic without discounts? How to buy? Business Center for the business center Catalog of retail chains Catalog of suppliers Advertising for posting through banners Printed version Paid Content goods on the shelf personal cabinet purchases "&amp;"Subscription Reading Articles Interview Calers Calendar Organizers of the Conference Exhibition Special Projectives Teaching Teachers Catalogs of Video Books Books 10 traffic without discounts? How to buy? Business Center Business Center Business Center C"&amp;"atalog Catalog of Suppliers Advertising Advertising Application for Testy Banners Printed Version Paid Content Products on the Shelf Personal Account your purchases Subscribes Read Articles News Interview Calers Calendar Organizers Calendar Conference Spe"&amp;"cial Projectives Teaching Seminaries Catalog of Educational Compans Video Books of the novelty top 10 traffic without discounts? How to buy? Business Center Business Center Business Center Catalog Catalog of Suppliers Advertising Advertising Application f"&amp;"or Testy Banners Printing Version Paid Content Products to the Personal Account Personal Access Personal Subscribes to the retailer: Register the news of the trading network: Register the company's news: Register the news of the company Rorganizers of eve"&amp;"nts: register the organizer Metest the Part of the Retail.ru project! VKontaktelegramyoutubeubeubeubeum-graders. Podkastyandyandx podcastle podcastss subscription to the use of materials from the website Retail.ru include video materials and materials fro"&amp;"m online measures are allowed only if the hyperchi is allowed On the material page on retail.ru in the first paragraph of the published text. © 1999–2023RETAIL.ru DECHEMISTICTION PRODUCTION INTRODUCTION OF THE Industry of retail industry The first! Choose"&amp;" that you are interested in and leave emails subscriptions daily newsstands of the Materials of the month of the month of the month and the event-a-term mailing houses for teaching smell *Subscribe to the button you give consent to the processing of your "&amp;"personal data. Using materials from the site Tail.ru Including video materials and materials from online events is allowed only if there is a hyperlink on the material page on retail.ru in the first paragraph of the published text. Want to receive the new"&amp;"s of the retail industry? Choose that you are interested in leaving your email daily newsstands of the month of the month of the month of the month and the event-a-term mailing houses for training in the button, you consent to the processing of personnel "&amp;"datapublic-4028F2D809A09A040040052MI We use cookie files to make the use of our site more convenient. If you continue to use the site, we will assume that it suits you")</f>
        <v>Retail.ru - Portal for retailers and suppliers of please Click her IF YOU ARDIRERected Within A Few Seconds. Custom user! We discovered that you use the adblock and block the advertising show on our site, we ask our content as our content is provided as our content is provided as our content is provided as our content is provided as our content is provided A free basis and our only income is advertising on the site. This is necessary for the further development of the project. Instructions to the disconnection of the Adblock. Spasibo for understanding! Version of the site for the visually impaired cabinet (0). TETAIL.ru Events Business Center Teaching Book Book Advertising News Articles Cases Interview Video Products on Polls Polls Glossary Glossary Persona Persona Automation on 1 Testamaaga-Automatization on 1C Themesyatail.ru and Supply Mikhail Goncharov “Teremok”: “I was sure that the business with pancakes will take place” about what the 25-year history of the network of the pancakes of development and technologies began. Caces are less than loans and below interest payments: Il de Bota experience in using online -INNISSISSIONS CHOOSS CALES WHY WHY A company uses Adm for processing cash revenue. Caches of the Pyaterochka Wine regiment: how to create an exclusive offer51% is the proportion of exclusive brands in the sales of Russian wine from retailer and will grow up ecotrandas of the eastern and southeastern Asian Roads. Ecodaccepts and projects as well as organic products of Asian retailers. Mikhail Goncharov “Teremok”: “I was sure that the business with pancakes would take place” less loans and below interest payments: the experience “il de Bota” in the use of online irrigation with the Monirion regiment “Pentaroque” regiment : How to create an exclusive proposal of eastern and southeastern Asia, an interview with a Caisytovar interview with a shelter of the eastern and southeastern Asia, the reviews and projects as well as organic products of Asian retailers. Topics: Foreign experience in trading sustainable development marketing and trade economics on November 4939, 2023 Walgreens History: How did the pharmacy chain benefit from the dry law and suffered from pandemia? Why does one of the largest world retailers close shops? Topics: Foreign experience in trading large world retailers pharmacy retail. Optics Crisis. The Bifurcation Point Marketing and the trade economy November 14576, 2023 Confectionery: new trends and products in turbulent time-Russian people like to seize stress, but not all sweets-novice will be successful. Topic: FMCG. Grocery retail. Alcohol marketing and trade economics on November 22373, 2023 Logists are preparing to increase sales in e-commerce experts give forecasts of demand and transportation prices on the eve of sales and holidays indicate trends. Topic: Logistics Logistics in Retail E-Commerce. Marketplaces Marketing and Economics of Trade Delivery of Products. Courier delivery on October 308930, 2023 Practical analytics - what should it be? The solution for the growth of trade and reduction of write -offs in HoReCa Retail distribution. Topic: Analytics Automation of Trade: On the cash desk scanners scales FMCG. Grocery retail. Alcohol restaurants fast food. Food Contracts. Network restaurants on October 248124, 2023 Why didn’t the “Future Store” appear in retail? Where is the retail-revolution now and what will it bring to physical stores. Topic: FMCG. Grocery retail. Alcohol Automation of Trade: on the cash desk scanners scales are general-shaped e-commerce. Marketplaces Marketing and Trade Economics October 211620, 2023 Infoline: “Coin” will help the “Ribbon” with a mini-formatamatamics transaction will change the position of the “tape” in the ranking of the largest FMCG networks and what will the retailer do next? Topic: FMCG. Grocery retail. Exploring alcohol and marketing ratings and trade economics on October 370418, 2023 STM or its own brand: how can a manufacturer maneurate the market? History of SDOBS Foods that creates desserts for retailers and successfully develops its brand. Topic: FMCG. Grocery retail. Alcohol has its own trademark. IPLS. Contract production of Mark. Brand brand management. Advertising. PR 342217 October 2023 Research: How do Russians get acquainted with new brands and decide on buying that stimulates to buy goods to an unfamiliar brand and what prevents? Topics: Research and ratings E-Commerce. Marketplaces of Mark. Brand brand management. Advertising. PR 294316 October 2023 How does the Luxury market change the approach to working with customers for the best offers and technological service instead of champagne and parties? Topics: Loyalty in Retail Marketing and Trade Economics October 30134, 2023 All articles → Mikhail Goncharov “Teremok”: “I was sure that the business with pancakes would take place” about what the 25-year history of the network of pancakes of development and technology began. Topic: restaurants of fast food. Food Contracts. Network restaurants Marketing and the Trade economy November 14888, 2023 Ilya Pudyda Floris: “Expanding distribution and working with marketplaces will allow us to become closer to the audience” about the promotion of tisans and herbal drinks output to the markets of China and the UAE of healthy lifestyle and online sales. Topic: FMCG. Grocery retail. Alcohol Mark. The brand is its own trademark. IPLS. Contract production Marketing and E-Commerce Trade Economics. Marketplaces on November 22702, 2023 Yuri Semenov Dixy: “The most important task is to quickly and effectively update the network for buyers” by the end of 2024, the retailer plans to make a brown of 40% of stores. Topic: FMCG. Grocery retail. Alcohol Creating the atmosphere of the Marketing store and the trade economy on November 41691, 2023 Tatyana Kornienko Staldogs: “We open three experimental points of sales of hot dogs in Georgia” about the development of healthy lifestyle and new projects abroad. Topic: fast food. Food Contracts. Network restaurants Marketing and Trade Economics October 371027, 2023 Ilya Dudkovsky Avito: “The speed of equipment supply and saving when equipping stores has become more important than ever” why it becomes normal for business to sell complex equipment online and how traditional selection schemes have changed trading equipment. Topic: Trade equipment. Furniture for stores Trade refrigeration equipment Equipment for E-Commerce stores. Markets Marketing and Trade Economics October 20824, 2023 Julia Agaltsova “Health Technique”: “We strive to increase the share of premium goods in the assortment in some stores, it reaches 28%” about the features of the business of orthopedic salons to teach consultants of the client path and the future of this niche. Topic: Crisis. Bifurcation Point of Mark. Brand Marketing and Fashion Trade Economics. Cloth. Shoes. Accessories Creating the atmosphere of the store on October 185923, 2023 Denis Shubenok “Ashmanov and partners”: “Marketplais is the Cherkizov market in the 90s. It is impossible to ignore but you can only bet on them-it’s dangerous ”about how buyers choose brands in return for those who have left why the Internet channel is important where to start promotion in it how to provide goods with reviews and not to drain budgets. Topic: E-commerce. Marketplaces Marketing and the Economics of Mark Trade. Brand brand management. Advertising. PR October 893818, 2023 Mikhail Aleshin “Perekhanok”: “We plan to remove the human factor from routine processes as much as possible and make focus on robotization” about changes in supplies and new projects to increase efficiency. Topic: FMCG. Grocery retail. Alcohol Logistics in Retail Logistics Automation of trade: according to the cash desk scanners Libra 417617 October 2023 Stanislav Bogdanov X5 Group: “We feel responsibility - our initiatives often affect the industry” about priorities in cooperation with authorities to support small businesses and local manufacturers. Subject: Quality Security State regulation of state regulation of general -industrial FMCG. Grocery retail. Alcohol on October 244917, 2023 Maria Podkopaeva X5 Group: “Our goal is to bring the share of the processed packaging in STM to 60%” about cooperation with suppliers on environmentally friendly packaging of new ROP requirements and changes in sustainable development strategy. Topics: Sustainable development of own trademark. IPLS. FMCG contract production. Grocery retail. Alcohol 1961116, 2023 All interviews → Viola plant: Life with the new owner of the manufacturer invests in the production and promotion of new brands and products. Topic: FMCG. Grocery retail. Alcohol Mark. The brand marketing and the trade economy on November 6527, 2023 Mascotte opened in Moscow its first salon in the new concept -based creation of a stylish and bright space for prisoners of shopping. Topic: Fashion. Cloth. Shoes. Accessories of the opening and closing of stores Creating an atmosphere of the store 314325 October 2023 Production of a natural cider: raw materials technology, the process that the safety of products at a large enterprise? Topic: Quality Security Gosregulation of Mark. Brand 78020 October 2023 Adyghe cheese: where and how do they make real? The subtleties of production and sale of fresh soft cheese and who weaves Chevil-Koschka? Topic: FMCG. Grocery retail. Alcohol has its own trademark. IPLS. Contract production quality security state regulation on October 29593, 2023 Berezka: “Sales have grown 4 times in 6 years” a network of 6 DIY stores in Tatarstan plans to quickly develop in small cities and open 5 more points in 2024. Topic: DIY. Household products. Furniture marketing and economics of trading loyalty in retail practice#expedition Retail 250920 September 2023 “Matur”: “We are striving to receive 85 thousand rubles of revenue from a square meter per month” The Bashkir network attracts customers with hot bread with finished food and chak-chack. Topic: FMCG. Grocery retail. Alcohol Practice of Mark. Brand Marketing and Trade Economics Own brand. IPLS. Contract production September 30386, 2023 How to turn the production of weapons into a tourist facility: the experience of AIR from Zlatovostablagiad Tourism 10 times increased by the number of buyers of a company store. Topic: DIY. Household products. Furniture Mark. Brand Marketing and Economics of Trade Sales Management Brand Management. Advertising. PR 256923 August 2023 Fish House: Travel to the Baltic Coast where and how are sea cabbage imitated caviar smoked fish and preserves from seafood for STM Pyaterochka? Topic: Own trademark. IPLS. FMCG contract production. Grocery retail. Alcohol Mark. The brand large world retailers on August 362810, 2023 flagship Gloria Jeans in modern Street-Rythilevs details of the concept of the store in Tverskaya in Moscow. Topic: Fashion. Cloth. Shoes. Accessories of the opening and closing of stores marketing and the economy of brand trade. Brand Merchendiding. Layout. Shoes 42734 August 2023 Where Pyatyrochka makes pickled cucumbers for STM? From Bachch to the shelf. Topic: Own trademark. IPLS. Contract production Own production. Ready food. FMCG kitchen factories. Grocery retail. Alcohol 52805 July 2023 All photo reports → Pyaterochka wine regiment: how to create an exclusive offer51% is the share of exclusive brands in the sales of Russian wine from the retailer and will grow. Topic: FMCG. Grocery retail. Alcohol has its own trademark. IPLS. Contract production marketing and an economy of brand trade. The brand 42310 November 2023 is less loans and the interest payments below: Il de BotE experience in using online irrigation with monitoring the reasons why the company uses Adm for processing cash proceeds. Topics: Finance in retail Marketing and the Droggery trade economy. Cosmetics. Perfumeria Automation of Trade: on the cash desks of the scales on November 11487, 2023 Experience “Crossroads” in the development of the mobile application of the express delivery: TOP-5 insight and successful cases of development teams. Topic: E-commerce. FMCG markets. Grocery retail. Alcohol Automation of Trade: according to the cash desks scales Libra practice on November 14143, 2023 Why develop food sales in a beer store: the experience of “beer &amp; ko” Sneckes of deep fry and ready food allow you to generate traffic and attract new segments of customers. Topic: FMCG. Grocery retail. Alcohol Practice Marketing and Trade Economics Own Production. Ready food. Kitchen factories have its own brand. IPLS. Contract production on October 223830, 2023 Appendix for KCENTR.ru: moved from PWA and studio development to the cloud solution of the project plans for the development of application and integration with the CRM system. Topic: E-commerce. Marketplairs Automation of Trade: on cash desks scanners scales marketing and economics of trade practice Electronics technique. The cell retail on October 175526, 2023, as a service partner, rebuilt and strengthened the technical support of the Tvyato - and Point network “CROC” serves about 700 users in the central office of the network and remotely processes up to 800 applications per month. Topic: Trade automation: on cash desks scanners Libra are high -grade fast food. Food Contracts. Network restaurants on October 203423, 2023 How to expand the Massporren funnel three times and maintain a conversion into a hiring - in two months: the Betaonline case in the submissivee 232% managed to increase the incoming stream of applicants in the midst of the season. Topic: Trade personnel Human Resources Management in Retail FMCG. Grocery retail. Alcohol Automation of trade: on the cash desk of scales Libra 193219 October 2023 Marking of water and sweet drinks: how to save up to 2 billion rubles of the annual water producer of water. Topic: Marking goods Quality Security Gos regulation General -industrial FMCG. Grocery retail. Alcohol on October 190718, 2023 Online Automatization: as the Yakut Hormolzavod remotely introduced 1C: ERP by 5% of the production cost of production costs-10% of the production of products increased by 15%. Topic: Automation for 1C Mark. Brand Marketing and Trade Economics Automation of Trade: On the Cashier Scanners Libra 187213 October 2023 Uppetit experience: Ready food - what to prepare and sell the specialization of the specialization of the finished food store. Topic: Own production. Ready food. FMCG kitchen factories. Grocery retail. Alcohol Practice Marketing and the Franchising Trade Economics October 244511, 2023 All cases → Branded retail becomes hybridsposobes to expand the proposal and strengthen the attractiveness of the format. Topic: FMCG. Grocery retail. Alcohol Fashion. Cloth. Shoes. Accessories marketing and trade economics on October 214231, 2023 How has the search demand for household appliances and electronics over 2 years have changed? Study of the search interest in BTIE in Russia. Topic: Electronics technique. Cell retail Marketing and the research economy and ratings on October 134623, 2023 Fruits and vegetables: how to earn and develop a category? Experience of the “Magnit” “Auchana” “Ski” “Red Yar” “Baton” and the manufacturer “My summer”. Topic: Categorical management Own brand. IPLS. Contract production Own production. Ready food. Kitchen factories on October 194313, 2023 German condoms Glt-Group: Focus for diversity European quality and wide line in the categories: Elite Premium and Middle-Low. Topic: FMCG. Grocery retail. Alcohol goods on the marketing shelf and the economy of brand trade. Brand 221028 September 2023 Business on marketplaces: new services from MTS Bank Analyst of procurement from China Fulfilment and Warehouse Management. Topics: Finance in Retail E-Commerce. Marketplaces Logistics in Retail Logistics 201521 September 2023 What difficulties arise on the path of products from China and where to “lay straw” the nuances and difficulties of railway transport in 2023. Topics: Logistics Logistics in retail practice September 211120, 2023 Oat collection of KF "Bread Spas": from the idea to a bestsellarakak, the company studies consumer tastes and develops successful products. Topic: FMCG. Grocery retail. Alcohol Mark. Brand Marketing and Trade Economics Practice Loyalty in retail 240411 September 2023 The Yandex study: Fashion-buyer starts with a search on the Internet and loves a branding for omnichanality or how to win a client race. Topic: E-commerce. Fashion markets. Cloth. Shoes. Accessories on September 30911, 2023 The ice cream market in July 2023: Russian manufacturers dominant production: Sales dynamics Popular TOP Brand formats. Topics: Research and FMCG ratings. Grocery retail. Alcohol marketing and trade economics 533824 August 2023 How to create your own marketplace? It is beneficial for the expert man and why prepare for? Topic: E-commerce. Marketplaces Marketing and Economics of Trading Self -Self -Slender August 413621 August 2023 All goods on the shelf → News -based news 11: 57 Warehouse in Moscow and the region may fall to the record for 15 years 01% 275 10: 30 Russian -Russian people ignored the beginning of the November Sales 663 09: 30 numbers of the new creative director of Moschino David Renne 46 Earlier, 110.11 of the Russian Federation approved the rules for compensation by foreign holdings for Russian assets 1329 10.11 in the Russian Federation may allow the sale of unmarked caviar 817 10.11, IT specialists, the demand for technical support and information security 8419 10.11 Police will not be able to initiate administrative affairs 6902 10.11nikoliers: Unsatisfied demand for warehouses in St. Petersburg exceeds 500 thousand square meters. m 2539 10.11 -German OBI filed a lawsuit against the former Russian unit 1778 10.11NOVABEV Group: for 9 months of 2023, the company's revenue increased by 17% 1537 10.11 Seller Veypov proposed to fine parents for smoking children 1072 10.11ozon: Russians began to make major purchases for large purchases for Sales 911 10.11 Magnit will open a brewery in the super -starter in Moscow 1582 10.11 MTS Bank: Russians actively buy electronics and shoes during the sales period 1438 10.11v 2023. The consumption of domestic wines will grow to 90 million, 757 10.11 Producer Tchibo will change the name “ Tibio ”623 10.1111 The HP began to eliminate the Russian legal entity“ Eichpi Inc ”746 10.11“ Yandex Lavka ”plans to open Darkmalls 1738 09.11 Sades refused to satisfy the claim of the owner of the Samara shopping center against the Retail H&amp;M 1862 09/09/11 Fix PRICE approved the change Kazakhstan 944 everything News → Companies of the Companies of Yandex Markets Yandex Market Products from charitable foundations and their wards 196 Supplier Essen Production Agnchups and jams "Maheev" again became laureates of the Mark No. 1 in Russia-2023 345 Supplier Trinity Events Group23 Summit of the REMODIC The Retail Business Russia industry was held on October 26-27 in New Moscow-to Imperial Park Hotel &amp; SPA 254 Supplier MVK-International Exhibition Company Exhibitions Parking Russia 2023 already the next week on November 14-16 in the ex-center. 281 Supplier 1SKOCHONGENT “DIFFORRATING Day” 454 Supplier LLC “SP Group” announced laureates of the XIV Prize “Quality of Service and Consumer Rights” 538 Supplier Altaseils23–24 in Moscow in the Central House of Center will host a large business forum from niche experts-main 835 supplier Retail . Crownline conference on the topic "Trade equipment in retail: how has the pool of suppliers have changed what solutions are the retail?" 695 Supplier Tanuki “Tanuki” launched the new astrological menu 721 supplier “Retail of those” megaphorum - the territory of cooperation between the exchange of views and ideas! The Victory Victory Tails Network is tested by industrial exoskeletons 898 Tails Network Corporation Grinn Dolkin - a friendly discount opened in Tula 6164 Supplier of the GRASSASSV Russian CASS monitoring in stores 5364 Supplier Grassgrass: Consumer selection 1105 All news of the companies → Calendar of events14 - November 16, 2023 Networks Procurement Center ™ 14 - 16 - 16, 2023 32nd International Food Exhibition "Pet ... get a free ticket on November 16, 2023" Trade equipment in retail "to receive a free ticket on November 21 - 22, 2023 Bee -Together. ru receive a free ticket on November 23 - 24, 2023 Sales Main - November 30 - 30, 2023 International Forum Universe Ecom Convention 2023 ... Get free ticket all events → We recommend visiting a Center 4213 Supplier Register in our catalog: Supplier of the Dixie Supplier 2595kak “promote” the regional network of orthopedic salons: secrets from “health techniques” 2443 -visitor Burmatova - “my summer” on #Worldfoodmoscow 20232132 Video Ryabova Angela Director of the Magnita Discounters format Fedyakov Ivan Founder and head of the Infoline group of companies all persons → Books of Books was added to the basket Practice ... 1,200 rubles. Build sales in numbers: Planning ... 590 rubles. Buy arithmetic of the categorical manager ... 1,100 rubles. Buy food trade in ... 1,490 rubles. Buy a successful way to the retail network. ..590 rub. Buy a workman’s workshop: like a sore ... 699 rub. Buy all books → Video on Retail.ru new concept “Dixie” 2590 How to “promote” the regional network of orthopedic salons: Secrets from “Health Technology” 2438 Tatyana Kornienko - "Staldogs" on #Worldfood Moscow 2023 2084 All videos → Seminars30.11 Category Management- The first course according to the International Standard Catman 2.04retail Business School30.11 Opress and Management STM 4retal Business School30.11 Empress course "Construction" Construction "Construction" Construction "Construction" Construction Effective promo ”(specialist tariff) 4retail Business Schoolves Seminars → Obsoscot now dictates the conditions in the equipment market - sellers or buyers? The sellers of the Kuppetelina I know did not think of research and surveys of the news agaric for a week1. Russian manufacturers of household appliances began to transfer contract production from Turkey to China 62815 2. The second Russian supported the bill on the translation of all inscriptions and signs into Russian 47182 3. Ozon saw the threat of death of all business Models in the bill on the regulation of marketplaces 17697 4.Marks &amp; spencer increased net profit in the first half of the year by 75% 14753 5. The Russian Federations began to spend more borrowed money on the Gadgets 10131 top materials for the week1. Interview: Mikhail Goncharov “Teremok”: “I was I am sure that the business with pancakes will take place ”1485 2. Straight: the story of Walgreens: How did the pharmacy chain benefit from the dry law and suffered from pandemia? 1454 3. Case: Less loans and below interest payments: Il de Bote experience in using online tokassation C Moniron 1145 4. Recordication: Viola factory: Life with the new owner 650 5. Starts: ecotrandas of eastern and southeastern Asia 491 Read the News News Interview Cases Master classes Events Calendar Organizers of the Conference Exhibition Special Projects Transeminars Catalog of Educational Companies Teachers Video Books Top 10 Traffic without discounts? How to buy? Business Center for the business center Catalog of retail chains Catalog of suppliers Advertising for posting through banners Printed version Paid Content goods on the shelf personal cabinet purchases Subscription Reading Articles Interview Calers Calendar Organizers of the Conference Exhibition Special Projectives Teaching Teachers Catalogs of Video Books Books 10 traffic without discounts? How to buy? Business Center Business Center Business Center Catalog Catalog of Suppliers Advertising Advertising Application for Testy Banners Printed Version Paid Content Products on the Shelf Personal Account your purchases Subscribes Read Articles News Interview Calers Calendar Organizers Calendar Conference Special Projectives Teaching Seminaries Catalog of Educational Compans Video Books of the novelty top 10 traffic without discounts? How to buy? Business Center Business Center Business Center Catalog Catalog of Suppliers Advertising Advertising Application for Testy Banners Printing Version Paid Content Products to the Personal Account Personal Access Personal Subscribes to the retailer: Register the news of the trading network: Register the company's news: Register the news of the company Rorganizers of events: register the organizer Metest the Part of the Retail.ru project! VKontaktelegramyoutubeubeubeubeum-graders. Podkastyandyandx podcastle podcastss subscription to the use of materials from the website Retail.ru include video materials and materials from online measures are allowed only if the hyperchi is allowed On the material page on retail.ru in the first paragraph of the published text. © 1999–2023RETAIL.ru DECHEMISTICTION PRODUCTION INTRODUCTION OF THE Industry of retail industry The first! Choose that you are interested in and leave emails subscriptions daily newsstands of the Materials of the month of the month of the month and the event-a-term mailing houses for teaching smell *Subscribe to the button you give consent to the processing of your personal data. Using materials from the site Tail.ru Including video materials and materials from online events is allowed only if there is a hyperlink on the material page on retail.ru in the first paragraph of the published text. Want to receive the news of the retail industry? Choose that you are interested in leaving your email daily newsstands of the month of the month of the month of the month and the event-a-term mailing houses for training in the button, you consent to the processing of personnel datapublic-4028F2D809A09A040040052MI We use cookie files to make the use of our site more convenient. If you continue to use the site, we will assume that it suits you</v>
      </c>
    </row>
    <row r="151">
      <c r="A151" s="1" t="s">
        <v>484</v>
      </c>
      <c r="B151" s="1" t="s">
        <v>530</v>
      </c>
      <c r="D151" s="1">
        <v>18.0</v>
      </c>
      <c r="E151" s="4" t="s">
        <v>531</v>
      </c>
      <c r="F151" s="1" t="s">
        <v>16</v>
      </c>
      <c r="I151" s="2">
        <v>1.0</v>
      </c>
      <c r="J151" s="5" t="str">
        <f>IFERROR(__xludf.DUMMYFUNCTION("GOOGLETRANSLATE(A151)"),"vildberry")</f>
        <v>vildberry</v>
      </c>
      <c r="K151" s="6" t="str">
        <f>IFERROR(__xludf.DUMMYFUNCTION("GOOGLETRANSLATE(B151)"),"Wildberries, the issuance of goods in Nizhny Novgorod")</f>
        <v>Wildberries, the issuance of goods in Nizhny Novgorod</v>
      </c>
      <c r="M151" s="5" t="str">
        <f>IFERROR(__xludf.DUMMYFUNCTION("GOOGLETRANSLATE(G151)"),"#VALUE!")</f>
        <v>#VALUE!</v>
      </c>
    </row>
    <row r="152">
      <c r="A152" s="1" t="s">
        <v>484</v>
      </c>
      <c r="B152" s="1" t="s">
        <v>516</v>
      </c>
      <c r="D152" s="1">
        <v>10.0</v>
      </c>
      <c r="E152" s="4" t="s">
        <v>532</v>
      </c>
      <c r="F152" s="1" t="s">
        <v>43</v>
      </c>
      <c r="G152" s="1" t="s">
        <v>273</v>
      </c>
      <c r="H152" s="4" t="s">
        <v>476</v>
      </c>
      <c r="I152" s="2">
        <v>0.0</v>
      </c>
      <c r="J152" s="5" t="str">
        <f>IFERROR(__xludf.DUMMYFUNCTION("GOOGLETRANSLATE(A152)"),"vildberry")</f>
        <v>vildberry</v>
      </c>
      <c r="K152" s="6" t="str">
        <f>IFERROR(__xludf.DUMMYFUNCTION("GOOGLETRANSLATE(B152)"),"✓ Wildberries")</f>
        <v>✓ Wildberries</v>
      </c>
      <c r="M152" s="5" t="str">
        <f>IFERROR(__xludf.DUMMYFUNCTION("GOOGLETRANSLATE(G152)"),"Update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53">
      <c r="A153" s="1" t="s">
        <v>484</v>
      </c>
      <c r="B153" s="1" t="s">
        <v>533</v>
      </c>
      <c r="D153" s="1">
        <v>14.0</v>
      </c>
      <c r="E153" s="4" t="s">
        <v>534</v>
      </c>
      <c r="F153" s="1" t="s">
        <v>43</v>
      </c>
      <c r="G153" s="1" t="s">
        <v>457</v>
      </c>
      <c r="H153" s="4" t="s">
        <v>458</v>
      </c>
      <c r="I153" s="2">
        <v>4.0</v>
      </c>
      <c r="J153" s="5" t="str">
        <f>IFERROR(__xludf.DUMMYFUNCTION("GOOGLETRANSLATE(A153)"),"vildberry")</f>
        <v>vildberry</v>
      </c>
      <c r="K153" s="6" t="str">
        <f>IFERROR(__xludf.DUMMYFUNCTION("GOOGLETRANSLATE(B153)"),"Contact @wildberriesru_official")</f>
        <v>Contact @wildberriesru_official</v>
      </c>
      <c r="M153" s="5" t="str">
        <f>IFERROR(__xludf.DUMMYFUNCTION("GOOGLETRANSLATE(G153)"),"Telegram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Premi"&amp;"umOct 28Replies 2.0 Adjustable Link Previews Name Colors and MoreSep 22Stories in Channels View-Once Media and Morea new era of messagingTelegram for AndroidTelegram for iPhone / iPad  Telegram for Windows / Mac / LinuxBrowse more Telegram apps           "&amp;" Telegram for PC / Linux            Telegram for macOSRecent NewsGiveaways in Channels and Free PremiumChannel owners can now launch Giveaways to randomly distribute prizes among their followers. This is great if you want to promote your channel get new s"&amp;"ubscribers or reward existing…Nov 6 2023Replies 2.0 Adjustable Link Previews Name Colors and MoreToday's update lets you quote specific parts of messages when replying send your replies to other chats add quote formatting to any text…Oct 28 2023Why Telegr"&amp;"am?SimpleTelegram is so simple you already know how to use it.PrivateTelegram messages are heavily encrypted and can self-destruct.SyncedTelegram lets you access your chats from multiple devices.FastTelegram delivers messages faster than any other applica"&amp;"tion.PowerfulTelegram has no limits on the size of your media and chats.OpenTelegram has an open API and source code free for everyone.SecureTelegram keeps your messages safe from hacker attacks.SocialTelegram groups can hold up to 200000 members.Expressi"&amp;"veTelegram lets you completely customize your messenger.Telegram      Telegram is a cloud-based mobile and desktop messaging app with a focus on security and speed.    AboutFAQPrivacyPressMobile AppsiPhone/iPadAndroidMobile WebDesktop AppsPC/Mac/LinuxmacO"&amp;"SWeb-browserPlatformAPITranslationsInstant ViewAboutBlogAppsPlatformPress")</f>
        <v>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v>
      </c>
    </row>
    <row r="154">
      <c r="A154" s="1" t="s">
        <v>484</v>
      </c>
      <c r="B154" s="1" t="s">
        <v>535</v>
      </c>
      <c r="D154" s="1">
        <v>15.0</v>
      </c>
      <c r="E154" s="4" t="s">
        <v>536</v>
      </c>
      <c r="F154" s="1" t="s">
        <v>43</v>
      </c>
      <c r="G154" s="1" t="s">
        <v>537</v>
      </c>
      <c r="H154" s="4" t="s">
        <v>538</v>
      </c>
      <c r="I154" s="2">
        <v>5.0</v>
      </c>
      <c r="J154" s="5" t="str">
        <f>IFERROR(__xludf.DUMMYFUNCTION("GOOGLETRANSLATE(A154)"),"vildberry")</f>
        <v>vildberry</v>
      </c>
      <c r="K154" s="6" t="str">
        <f>IFERROR(__xludf.DUMMYFUNCTION("GOOGLETRANSLATE(B154)"),"Vsemrabota.ru: Work search throughout Russia, new ...")</f>
        <v>Vsemrabota.ru: Work search throughout Russia, new ...</v>
      </c>
      <c r="M154" s="5" t="str">
        <f>IFERROR(__xludf.DUMMYFUNCTION("GOOGLETRANSLATE(G154)"),"Search for work throughout Russia new vacancies and a large resume base | Vsemrabota.ru Dberries is a daily challeng and continuous wildberries development. Interesting tasks work you are waiting for you With leading experts, constant advanced training, t"&amp;"he ability to use modern technologies and benefit millions of people. Fronten Developers JSRACTANGALARBACKEND Developers of the Data ScienceFace Recognition Searchrechers. Vision Databases of DatabasepostgreSQLTARANTOOLCLISSQLITEREDSDEVOPS Developersgitla"&amp;"bk8s (Kubernetes) Unix/Linuxredis development of mobile applications SSWift-ooskotlin-android2004-2023 © Wildberries.ru All The rights are protected")</f>
        <v>Search for work throughout Russia new vacancies and a large resume base | Vsemrabota.ru Dberries is a daily challeng and continuous wildberries development. Interesting tasks work you are waiting for you With leading experts, constant advanced training, the ability to use modern technologies and benefit millions of people. Fronten Developers JSRACTANGALARBACKEND Developers of the Data ScienceFace Recognition Searchrechers. Vision Databases of DatabasepostgreSQLTARANTOOLCLISSQLITEREDSDEVOPS Developersgitlabk8s (Kubernetes) Unix/Linuxredis development of mobile applications SSWift-ooskotlin-android2004-2023 © Wildberries.ru All The rights are protected</v>
      </c>
    </row>
    <row r="155">
      <c r="A155" s="1" t="s">
        <v>484</v>
      </c>
      <c r="B155" s="1" t="s">
        <v>539</v>
      </c>
      <c r="D155" s="1">
        <v>16.0</v>
      </c>
      <c r="E155" s="4" t="s">
        <v>540</v>
      </c>
      <c r="F155" s="1" t="s">
        <v>43</v>
      </c>
      <c r="G155" s="1" t="s">
        <v>541</v>
      </c>
      <c r="H155" s="4" t="s">
        <v>542</v>
      </c>
      <c r="I155" s="2">
        <v>1.0</v>
      </c>
      <c r="J155" s="5" t="str">
        <f>IFERROR(__xludf.DUMMYFUNCTION("GOOGLETRANSLATE(A155)"),"vildberry")</f>
        <v>vildberry</v>
      </c>
      <c r="K155" s="6" t="str">
        <f>IFERROR(__xludf.DUMMYFUNCTION("GOOGLETRANSLATE(B155)"),"Wildberries.ru - online store of fashionable clothes and shoes")</f>
        <v>Wildberries.ru - online store of fashionable clothes and shoes</v>
      </c>
      <c r="M155" s="5" t="str">
        <f>IFERROR(__xludf.DUMMYFUNCTION("GOOGLETRANSLATE(G155)"),"  IRECOMMMEND.RU | Review the recall of beauty and healthy is a chronicled-hungry-nuclear-nickelitarous-eating-eater-mowing review of 6 hours 24 hours-day / D.E. dreadlocks / Safe dreadlocks12.11.202301: 061 +12 photos realized that without dreadlocks I n"&amp;"o longer perceive myself, hello! I dreamed about dreadlocks for a long time, but forever there was no money for this hairstyle. And then I went to work, money appeared, but in my pedagogical world there was no place for such a self -expression. Last year,"&amp;" on vacation, she decided on Afrokoschiki. The House of Strakhs VDNH Moscowkitt154573012.202300: 302 +12 Photo House of Fear New An attraction at VDNH will tell you what is inside and share impressions. Hello readers of my review and lovers of unusual imp"&amp;"ressions. Finally, I visited a new attraction at VDNH called ""House of Fear."" He attracted my attention for a long time in 2023 so that at the moment it is a novelty. KDV Fun Ban Cake Cute LI12.11.202303: 071 +18 Photos are the most popular and famous "&amp;"🎂 in our city! With huge pieces of bananas inside 🍌🍰 I’ll tell you how the taste of the Fun Ban cake has changed brighter in six months and how many times the price has grown in a year ... I buy this cake already 4 or 5 times from June 2022 and now I d"&amp;"ecided: why not write review? The network in which it is sold, known throughout Russia, photos and my impressions may come in handy. So I’ll tell you what I think about the KDV biscuit cake (KDV) Fun Ban. Express Contractor Gliss Kur Oil Nutritive Omega-9"&amp;"+ hair maruls in need of nutritiondelovaja11.11.202323: 58+ 1 photo, it is better to spend 300 rubles 1 time for this air conditioner than to spend more than 1000 for several worthless sprays from other markets. I already had sprays -Contributions from gl"&amp;"eam gleam and this is the best that I tried for hair from this segment. I was convinced more than once on experience. Schwarzkopf for a long time for a long time known to me, a manufacturer of care products for hair from youth from youth is exactly famili"&amp;"ar with him, and this is exactly 20 years. Lalique L'amor Lalique Irina78711.202323: 071 +3 photos luxurious innocent and attractive so that I end 4 backlogs of my sun! I have a large collection of aromas but this I repeat this fourth time. Oda Femininity"&amp;" Tender assertiveness innocent seduction on the verge of a slap in the face for a careless look. The aroma is beautiful, it will like it if you like train and powder aromas. A solution for intravenous and intramuscular administration of Solopharm Ketorola"&amp;"c-Solofarm 30 mg/million is useful11.11.202323: 282 +15 photos will relieve pain with endometriosis and not only accurately everyone! Here you will learn about my experience of using this drug. All my life I had very painful menstruation. On a 10-point sc"&amp;"ale, all 9 points. Sometimes the condition reached the fact that I almost cut down from the intensity of pain. The tonic The Saem Calamansi Pore Freshner Yulchenka M12.11.202303: 07 +6 The photo lightly healed the healing - which he did not do! And in the"&amp;"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Пл"&amp;"аток Palantini Артикул 10992476Степанида112.11.202301:08 2 +10 фото Очень I plan to give a gentle and affectionate handkerchief a man to blame a man. I did not acquire a beautiful dress of fuchsia for myself. And I had already visited it at one event and "&amp;"painted it. But a month later I will speak in a duet with a bard and already made up that I would show up in my pink outfit again The duet involves a similarity in stage costumes. Chocolatean St. Petersburgdinka_sale11.11.202323: 421 +11 photos of a large"&amp;" selection of interesting dishes. Good day to everyone who looked at everyone. I just love chocolate, although the prices there are not the most democratic. But still my loved ones are there. True, from time to time they disappear from the menu. Jennifer "&amp;"Lopez Live Luxeevgeny 5335312.11.202301: 14za bottle 5 for the aroma for solid two -time perfume was not particularly needed. My gaze caught on the bottle. Beautiful bright chic. And I ordered the aroma. Perfume in the tester version without a box. The ar"&amp;"oma was not really impressed. A cheap unpleasant sharp. Such aromas were popular in 90. Evalar cellulose microcrystalline MCC Ankir-Bvita8512.11.202302: 481 The principle of action is easy to lose weight: the tablet swells in the stomach and does not eat "&amp;"much. That's why you are very not bad. For everyone, I remembered another drug that I tried for weight loss: Pullose MCC Evalar in tablets. Well, that I haven’t tried for this business now, now I wouldn’t do that. Previously, they found out in the pharmac"&amp;"y how trite does not sound. And immediately without leaving the counter ... Palette of eyelid shadows Maqpro Cream Shadows Primaire 10 colors Fard Cremejusthelly12.11.202301: 20+30 photos Play the artist? An indispensable product for those who want divers"&amp;"ity in the Fard Creme makeup attracted me with the opportunity to use them as substrates for color matte shades of creating their colors - endless creativity. Palette of shadows in this color layout is the most universal palette Fard Creme and the manufac"&amp;"turer has a lot of them. Show also a response tuning jubanutkablondi111.202321: 158 +8 photos I am glad that I made powdery lips - very natural and convenient. It’s a pity that my main problem still did not solve Hello everyone! Nature did not endow me wi"&amp;"th beautiful lips and at the beginning of this year I finally made the desired procedure for increasing. My next step was powdery spraying and this procedure was more likely than a whim ... Failure departure (manicure) at home from Paris 11.10.11.202323: "&amp;"491 +8 photos of a salon manicure of the house. How to make the nails to yourself so that they do not differ from the work of the master? I welcome everyone! I wanted to share my story about how to make nails on your own no worse than in the cabin. There "&amp;"are a lot of reasons to start doing manicure for himself: someone wants to save time or money, someone does not trust the masters worries for sterility and so on and so on. ATLASTRide boots warm grandmothers with heart_sia11.11.202318: 391 +7 Photo girls "&amp;"""Goodbye youth"" grandmothers or just felt boots. I bought it for work, but I am ready to go at home, a handful gift for the New Year 🌟 Devichniki Hello to find high -quality warm and cool outward shoes for me is hard for me. I am ready for hours to loo"&amp;"k for her on the Internet until I find what I really like. I love not quite the same as everyone sometimes prefer some zest in shoes. Brect systems / braces / orthodontic scobytanyushka_11.11.202316: 4822 +9 photo installation of h4 braces at 38 years old"&amp;". Will there be a result and is it worth installing? (The review will be supplemented with the beginning of treatment 04/04/2023 GMOi teeth were bored from childhood. Large jaws were bored with childhood. There were attempts to fix with plates but did not"&amp;" ask. Different reasons and fears did not allow me to do their teeth earlier. Chizhik chain of stores 111.11.202306: 375: 375 +26 photos were there 3 times, but the goods have already appeared that I will buy hello to this store every trip! Recently, a ne"&amp;"w Chizhik supermarket has been opened in the area. This store refers to the type of Lighthouse of the Boar of Dobrozo. This is not is that my favorite stores but once a month I like to wander there. I always find something necessary and useful at pleasant"&amp;" prices. Coloring hair in the AIRTOUCHOKOKEANA Z11.11.202317: 274 +11 photos and this is AIRTOUCH? My experience of fashionable coloring, the process is worn out as it is worn Hi. Today I will share my opinion with you whether it is worth making the fashi"&amp;"onable coloring technique of eirtach. I have a negative experience of hair dyeing in the cabin so I most often color myself. Operation for peritotonyus 300911.11.202309: 3821 peritonitis Resuscitation consequences good afternoon! More recently .. with sha"&amp;"king hands, I searched and read any information and reviews about people who had undergone an operation to remove appendix and peritonitis and today I want to leave my feedback! Smart Column Yandex Station Minikristinatret10.11.202323: 321 +13 photos - an"&amp;"d do you like to read fairy tales? Once Alice asked. After dad just read his son a fairy tale. Does the column eavesdrop on? My opinion. Hi all. We bought a column of Alice after the birth of a son. I noticed that the baby falls asleep well under the whit"&amp;"e noise. And I did not want to lose my phone for the time of his sleep. And since relatives gave money. I wanted to buy something necessary. And all sorts of obligatory things have long been bought. Biorevitalization of the area of ​​the face and neck inj"&amp;"ectionkakady11.11.202308: 3911 +3 photos The most useless waste of money in my life. The procedure after which it got worse How many have been living for 27 years so much and a neighboring with circles under the eyes: very thin skin and nasolacence were i"&amp;"nherited by inheritance. From 13 years I have been trying to fight this: cream masks of masks but genetics can not be deceived. Syndrome (2023 Film) Sveta Chereshkina 11/11/202313: 34 2 +10 photos Syndrome - a specific film. Many will not like it, but you"&amp;" need to watch. Do not read reviews and reviews of the film ""Syndrome"". You will definitely encounter a spoiler one way or another. It is best to watch the movie Syndrome as a completely unprepared viewer. What is the film Syndrome about? Description of"&amp;" KinoPoisk General Information: We are all different people unfortunately imperfect. Modi gift store chain stores 1111.11.202319: 322 +33 photos Five for the best calculation for the New Year receives Modi! I'll show you what to buy for a gift! The New Ye"&amp;"ar mood begins in November. Many stores are already trying on New Year's jewelry, unfortunately, so so. I have a foreboding that this year I will be surprised by those from whom you do not expect. Miracles of decoration. AppStartolea_9511.11.202322: 093 +"&amp;"9 photo Earnings on the Internet. I take out more per day than I earn for 500+ reviews on the Airek. When are the tasks and you can get more? Good afternoon. The AppStart application is not the first application for downloading applications where I earn m"&amp;"y “penny”. Now all the money earned on the Internet, including this site of reviews and this application that brings me at least not big but I put it off here. Show another review of the reviewcrass Minskyulia130712.11.202306: 281 +11 photos 🍕🍔 Bolshoy "&amp;"selection of dishes stylish design and successful location. Fudmall ""Concors"" is a great place where you can eat deliciously to wait for your train to have a good time with friends or just relax after the shopping last month I visited the beautiful Mins"&amp;"k. The city is amazing beautiful and modern. It's nice to watch how it becomes better every year. In particular, new institutions are opening here. So on the top floor of the Galileo shopping center there is a huge Fudmall Concors. Means of the D/Treatmen"&amp;"t of a cold and influenza CJSC CJSC Mrn MrppferonSherstobitovasvetlana12.11.202306: 27+3 photos with our allergicians, hello hello! When an ARVI occurs in mom and child, you buy all the improvised means. Yes, and this constant advertising on TV. Eh it wou"&amp;"ld be better to use old and proven recipes for grandmothers. Our deplorable experience of use. Soft toy Trudi seal art. 11776609Marylovely0512.11.202306: 26+6 photos of a charming seal that has been with me for many years. I saw this toy in the store at t"&amp;"he age of 16 and I fell in love with it very much and later they gave me money for it that I was very happy. Since then, this teddy seal is with me in life. Groats are semolina ""Tender"" Veronika koljuchka12.11.202306: 25+2 photo ordinary semolina clean."&amp;" Soft welcome to everyone in a new review! Today I have semolina. I am not a consumer of this cereal. Yes, I cook but do not eat practically. But mom loves so that there is always at home. Another purchase is a semolina ""tender"" from the brand passim. V"&amp;"ariety m, that is, it is soft - from soft varieties of wheat. Pepper seasoning steak grill and barbecue12.11.202306: 24+6 photos Fragrant but unsaturated seasoning. And the mill that misses whole spices without grinding. Hi all! Where to buy I bought this"&amp;" seasoning in a regular supermarket. Something like 180-150 rubles is very inexpensive. Appearance of a glass bottle in the form of a sand clock. The label indicates all the information about the seasoning - the composition of the manufacturer. Canned oli"&amp;"ves Maestro de Olivadina69anid 11.202305: 39 giant olives with a giant bone bought to try such olives in Magnet when the price has decreased greatly because the expiration date was suitable. Really large juicy good olives with a large bone. It would be be"&amp;"tter if the same fillings were laid when they make stuffed olives))) Well, in general, the product is quite tasty. Filodendron Birkin Natalia 020712.11.202305: 28+1 photo I share experience for a beautiful and non -whimsical plant. I will never part with "&amp;"him. Hi all!! Filodendron Birkin is such an interesting and beautiful indoor plant with white striped patterns on dark green wax leaves that really look spectacular. I’ll tell you how to care for it, this plant is growing for two years. The northern islan"&amp;"ds of the Neva Delta on the ship ""Koryushka"" St. Petersburgirin Fadeenkova 11/12/202305: 17 1 +36 photos rolled on a comfortable boat along the Neva. Observing the sunset 😌 Hello dear friends! Today I have a review on the tour ""Northern Islands of the"&amp;" Neva Delts on the ship"" Kuryushka ""in St. Petersburg. On the day when we walked on the statement of the island and then doused in the Koryushka restaurant - closer in the evening we went to ride the ship with an excursion. Hormonal drugs Akrikhin Comfo"&amp;"derm knyura_xitrova12.11.202305: 15 times I have come across atopic dermatitis, it knows how important it is to choose my remedy. Comfordems exactly it. Hello girls! 3 months I used a corticosteroid from time to time and here is my verdict: Comfoderm K fo"&amp;"r the atopic baby what I need. It is only when the child has an exacerbation. The Tornado ""Storm"" Energy drink Weeldees12.11.202305: 09, which is classic -biased in front of us, the most classic taste is the legendary combination of chimose and sugar - "&amp;"Tornado Storm Energetic is the same budgetary drink that all loves more like ""Lemonada"" and not as a tonic effect of the effect from it you will not wait - only the sugar content in ... is not a wooferzisse12.11.202305: 091 +3 photo country of badly - a"&amp;" fairy tale or a terrible dream? The tale of a boy who did not want to help her grandmother. Is there an instructive moment? Hello everyone! I reviewed the old Soviet cartoons some repeatedly and some discovered for myself for the first time. And I rememb"&amp;"ered another cartoon about the bad thing that I definitely looked and decided to find him on YouTube. Nipple-dummy Dr. Brown's Silicone Night Advantage Tatyana_0412.11.202305: 00+3 photos luminous in the darkness of the nipple ... 🌌hm let's try! All pros"&amp;" and cons. Where and for how much to buy? My eldest child sucked the nipples for long only 2-3 months after birth. When he began to spit out the very first nipple, Then I took the nipple of another company with the other form again spat out. The non -ster"&amp;"oidal anti -inflammatory agent of Medorb CJSC IbuprofenPro100MASHA12.11.202304: 45+1 photo from pain helped weakly and in the stomach caused severity and then became normal. The most strange ibuprofen that I have met. The headache is never by the way, but"&amp;" on the day when I had to buy this packaging of Ibuprofen, it was just at the wrong time. On the way to another city, to see a doctor on the bus, my head was hellishly. The Karamazov brothers (2008 film) lu.n.12.11.202304: 33+35 photos ""Brothers Karamazo"&amp;"v""-the surprisingly good film of 2009 I got to watch some adaptation of Dostoevsky but the ""brothers Karamazov"" Soviet production did not want to watch it firstly I, I I saw many times and secondly, and the main thing was never lying to this film, alth"&amp;"ough the actors were wonderful and it seemed in the text, but there was always a feeling ... Evening dress Lord Bear Black Mini Corset Article WB 176480930930NEGATIVE CARROT12.11.202304: 131 +13 photos of vintage - bandage The dress is a corset. Almost th"&amp;"e perfect little black crime ❤ Hello dear readers everyone) once again acted like a real girl and spent money on a dress. I didn’t have to look particularly - I didn’t have to - soon the new year is I need a reason?) I can say a clash with a dress by acci"&amp;"dent - I chose another dress and here ... Hair balm Royal Samples Cosmetics Nourishing balm with keratin and valuable oils to restore for recovery Dry damaged and brittle hair Evgushka211012.11.202304: 00 1st -hearted balm. My love of good time of day. No"&amp;"t so long ago I purchased hair balm from the Royal Samples brand after experience decided to write a review. Acquaintance with the brand. Honestly, this brand never knew. And did not pay attention to him. After I found information about him. House of Ada "&amp;"LLC: Karmayklov mansion (2023 Film) Voina12.11.202303: 59+7 photos “Karmayklov mansion”: Hello night in the house! About the film the plot in the center of the plot is a group of friends who decided to spend the night in an old mansion where ghosts live i"&amp;"n rumors. However, they soon understand that rumors do not lie and they have to face real evil. Fight/Heat (1995 Film) Konstt7812.11.202303: 57+3 photos Classic police action. He who did not look he lost a lot. This is a militant already 1995. The old anc"&amp;"ient bearded but so cool. At first glance, a movie about bandits and cops but in fact is not - it is about people. Some of them are bad (robbing banks kill their fellow citizens) other good (catch bad ones). Abrek (TV series 2023) Kitt154573012.11.202303:"&amp;" 55+12 photo series ""Abrek"" 2023-dog battles Hunting for young girls-many cruel scenes. My impressions of this series. Hello readers of my review. Recently, a rather unusual series called ""Abrek"" has only five episodes in it. And a completely unusual "&amp;"plot is heavy and psychological terms, and besides, there are many frankly cruel moments in it. After reading the official description, I became interested. Axon Tambovst.d12.11.202303: 10+6 photos how I was disappointed in this construction store ... Hel"&amp;"lo everyone! Since the start of repairs in my mother’s apartment, we began to be purchased in Axon. Then bonuses seductive then delivery is free to our remote microdistrict. And in principle, everything in this store arranged for me, although small (unple"&amp;"asant) incidents sometimes happened. Payment for the authors as soon as possible the issues of support for the support of the rule of law enforcement on monetization to the representatives of branding are allowed only with the written permission of the Si"&amp;"te Administration. For the issues of the site, write to info@irecommed.ru. Policy of the confidentiality directory on the site in the VKOL version of the mobile version")</f>
        <v>  IRECOMMMEND.RU | Review the recall of beauty and healthy is a chronicled-hungry-nuclear-nickelitarous-eating-eater-mowing review of 6 hours 24 hours-day / D.E. dreadlocks / Safe dreadlocks12.11.202301: 061 +12 photos realized that without dreadlocks I no longer perceive myself, hello! I dreamed about dreadlocks for a long time, but forever there was no money for this hairstyle. And then I went to work, money appeared, but in my pedagogical world there was no place for such a self -expression. Last year, on vacation, she decided on Afrokoschiki. The House of Strakhs VDNH Moscowkitt154573012.202300: 302 +12 Photo House of Fear New An attraction at VDNH will tell you what is inside and share impressions. Hello readers of my review and lovers of unusual impressions. Finally, I visited a new attraction at VDNH called "House of Fear." He attracted my attention for a long time in 2023 so that at the moment it is a novelty. KDV Fun Ban Cake Cute LI12.11.202303: 071 +18 Photos are the most popular and famous 🎂 in our city! With huge pieces of bananas inside 🍌🍰 I’ll tell you how the taste of the Fun Ban cake has changed brighter in six months and how many times the price has grown in a year ... I buy this cake already 4 or 5 times from June 2022 and now I decided: why not write review? The network in which it is sold, known throughout Russia, photos and my impressions may come in handy. So I’ll tell you what I think about the KDV biscuit cake (KDV) Fun Ban. Express Contractor Gliss Kur Oil Nutritive Omega-9+ hair maruls in need of nutritiondelovaja11.11.202323: 58+ 1 photo, it is better to spend 300 rubles 1 time for this air conditioner than to spend more than 1000 for several worthless sprays from other markets. I already had sprays -Contributions from gleam gleam and this is the best that I tried for hair from this segment. I was convinced more than once on experience. Schwarzkopf for a long time for a long time known to me, a manufacturer of care products for hair from youth from youth is exactly familiar with him, and this is exactly 20 years. Lalique L'amor Lalique Irina78711.202323: 071 +3 photos luxurious innocent and attractive so that I end 4 backlogs of my sun! I have a large collection of aromas but this I repeat this fourth time. Oda Femininity Tender assertiveness innocent seduction on the verge of a slap in the face for a careless look. The aroma is beautiful, it will like it if you like train and powder aromas. A solution for intravenous and intramuscular administration of Solopharm Ketorolac-Solofarm 30 mg/million is useful11.11.202323: 282 +15 photos will relieve pain with endometriosis and not only accurately everyone! Here you will learn about my experience of using this drug. All my life I had very painful menstruation. On a 10-point scale, all 9 points. Sometimes the condition reached the fact that I almost cut down from the intensity of pain. The tonic The Saem Calamansi Pore Freshner Yulchenka M12.11.202303: 07 +6 The photo lightly healed the healing - which he did not do! And in the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Платок Palantini Артикул 10992476Степанида112.11.202301:08 2 +10 фото Очень I plan to give a gentle and affectionate handkerchief a man to blame a man. I did not acquire a beautiful dress of fuchsia for myself. And I had already visited it at one event and painted it. But a month later I will speak in a duet with a bard and already made up that I would show up in my pink outfit again The duet involves a similarity in stage costumes. Chocolatean St. Petersburgdinka_sale11.11.202323: 421 +11 photos of a large selection of interesting dishes. Good day to everyone who looked at everyone. I just love chocolate, although the prices there are not the most democratic. But still my loved ones are there. True, from time to time they disappear from the menu. Jennifer Lopez Live Luxeevgeny 5335312.11.202301: 14za bottle 5 for the aroma for solid two -time perfume was not particularly needed. My gaze caught on the bottle. Beautiful bright chic. And I ordered the aroma. Perfume in the tester version without a box. The aroma was not really impressed. A cheap unpleasant sharp. Such aromas were popular in 90. Evalar cellulose microcrystalline MCC Ankir-Bvita8512.11.202302: 481 The principle of action is easy to lose weight: the tablet swells in the stomach and does not eat much. That's why you are very not bad. For everyone, I remembered another drug that I tried for weight loss: Pullose MCC Evalar in tablets. Well, that I haven’t tried for this business now, now I wouldn’t do that. Previously, they found out in the pharmacy how trite does not sound. And immediately without leaving the counter ... Palette of eyelid shadows Maqpro Cream Shadows Primaire 10 colors Fard Cremejusthelly12.11.202301: 20+30 photos Play the artist? An indispensable product for those who want diversity in the Fard Creme makeup attracted me with the opportunity to use them as substrates for color matte shades of creating their colors - endless creativity. Palette of shadows in this color layout is the most universal palette Fard Creme and the manufacturer has a lot of them. Show also a response tuning jubanutkablondi111.202321: 158 +8 photos I am glad that I made powdery lips - very natural and convenient. It’s a pity that my main problem still did not solve Hello everyone! Nature did not endow me with beautiful lips and at the beginning of this year I finally made the desired procedure for increasing. My next step was powdery spraying and this procedure was more likely than a whim ... Failure departure (manicure) at home from Paris 11.10.11.202323: 491 +8 photos of a salon manicure of the house. How to make the nails to yourself so that they do not differ from the work of the master? I welcome everyone! I wanted to share my story about how to make nails on your own no worse than in the cabin. There are a lot of reasons to start doing manicure for himself: someone wants to save time or money, someone does not trust the masters worries for sterility and so on and so on. ATLASTRide boots warm grandmothers with heart_sia11.11.202318: 391 +7 Photo girls "Goodbye youth" grandmothers or just felt boots. I bought it for work, but I am ready to go at home, a handful gift for the New Year 🌟 Devichniki Hello to find high -quality warm and cool outward shoes for me is hard for me. I am ready for hours to look for her on the Internet until I find what I really like. I love not quite the same as everyone sometimes prefer some zest in shoes. Brect systems / braces / orthodontic scobytanyushka_11.11.202316: 4822 +9 photo installation of h4 braces at 38 years old. Will there be a result and is it worth installing? (The review will be supplemented with the beginning of treatment 04/04/2023 GMOi teeth were bored from childhood. Large jaws were bored with childhood. There were attempts to fix with plates but did not ask. Different reasons and fears did not allow me to do their teeth earlier. Chizhik chain of stores 111.11.202306: 375: 375 +26 photos were there 3 times, but the goods have already appeared that I will buy hello to this store every trip! Recently, a new Chizhik supermarket has been opened in the area. This store refers to the type of Lighthouse of the Boar of Dobrozo. This is not is that my favorite stores but once a month I like to wander there. I always find something necessary and useful at pleasant prices. Coloring hair in the AIRTOUCHOKOKEANA Z11.11.202317: 274 +11 photos and this is AIRTOUCH? My experience of fashionable coloring, the process is worn out as it is worn Hi. Today I will share my opinion with you whether it is worth making the fashionable coloring technique of eirtach. I have a negative experience of hair dyeing in the cabin so I most often color myself. Operation for peritotonyus 300911.11.202309: 3821 peritonitis Resuscitation consequences good afternoon! More recently .. with shaking hands, I searched and read any information and reviews about people who had undergone an operation to remove appendix and peritonitis and today I want to leave my feedback! Smart Column Yandex Station Minikristinatret10.11.202323: 321 +13 photos - and do you like to read fairy tales? Once Alice asked. After dad just read his son a fairy tale. Does the column eavesdrop on? My opinion. Hi all. We bought a column of Alice after the birth of a son. I noticed that the baby falls asleep well under the white noise. And I did not want to lose my phone for the time of his sleep. And since relatives gave money. I wanted to buy something necessary. And all sorts of obligatory things have long been bought. Biorevitalization of the area of ​​the face and neck injectionkakady11.11.202308: 3911 +3 photos The most useless waste of money in my life. The procedure after which it got worse How many have been living for 27 years so much and a neighboring with circles under the eyes: very thin skin and nasolacence were inherited by inheritance. From 13 years I have been trying to fight this: cream masks of masks but genetics can not be deceived. Syndrome (2023 Film) Sveta Chereshkina 11/11/202313: 34 2 +10 photos Syndrome - a specific film. Many will not like it, but you need to watch. Do not read reviews and reviews of the film "Syndrome". You will definitely encounter a spoiler one way or another. It is best to watch the movie Syndrome as a completely unprepared viewer. What is the film Syndrome about? Description of KinoPoisk General Information: We are all different people unfortunately imperfect. Modi gift store chain stores 1111.11.202319: 322 +33 photos Five for the best calculation for the New Year receives Modi! I'll show you what to buy for a gift! The New Year mood begins in November. Many stores are already trying on New Year's jewelry, unfortunately, so so. I have a foreboding that this year I will be surprised by those from whom you do not expect. Miracles of decoration. AppStartolea_9511.11.202322: 093 +9 photo Earnings on the Internet. I take out more per day than I earn for 500+ reviews on the Airek. When are the tasks and you can get more? Good afternoon. The AppStart application is not the first application for downloading applications where I earn my “penny”. Now all the money earned on the Internet, including this site of reviews and this application that brings me at least not big but I put it off here. Show another review of the reviewcrass Minskyulia130712.11.202306: 281 +11 photos 🍕🍔 Bolshoy selection of dishes stylish design and successful location. Fudmall "Concors" is a great place where you can eat deliciously to wait for your train to have a good time with friends or just relax after the shopping last month I visited the beautiful Minsk. The city is amazing beautiful and modern. It's nice to watch how it becomes better every year. In particular, new institutions are opening here. So on the top floor of the Galileo shopping center there is a huge Fudmall Concors. Means of the D/Treatment of a cold and influenza CJSC CJSC Mrn MrppferonSherstobitovasvetlana12.11.202306: 27+3 photos with our allergicians, hello hello! When an ARVI occurs in mom and child, you buy all the improvised means. Yes, and this constant advertising on TV. Eh it would be better to use old and proven recipes for grandmothers. Our deplorable experience of use. Soft toy Trudi seal art. 11776609Marylovely0512.11.202306: 26+6 photos of a charming seal that has been with me for many years. I saw this toy in the store at the age of 16 and I fell in love with it very much and later they gave me money for it that I was very happy. Since then, this teddy seal is with me in life. Groats are semolina "Tender" Veronika koljuchka12.11.202306: 25+2 photo ordinary semolina clean. Soft welcome to everyone in a new review! Today I have semolina. I am not a consumer of this cereal. Yes, I cook but do not eat practically. But mom loves so that there is always at home. Another purchase is a semolina "tender" from the brand passim. Variety m, that is, it is soft - from soft varieties of wheat. Pepper seasoning steak grill and barbecue12.11.202306: 24+6 photos Fragrant but unsaturated seasoning. And the mill that misses whole spices without grinding. Hi all! Where to buy I bought this seasoning in a regular supermarket. Something like 180-150 rubles is very inexpensive. Appearance of a glass bottle in the form of a sand clock. The label indicates all the information about the seasoning - the composition of the manufacturer. Canned olives Maestro de Olivadina69anid 11.202305: 39 giant olives with a giant bone bought to try such olives in Magnet when the price has decreased greatly because the expiration date was suitable. Really large juicy good olives with a large bone. It would be better if the same fillings were laid when they make stuffed olives))) Well, in general, the product is quite tasty. Filodendron Birkin Natalia 020712.11.202305: 28+1 photo I share experience for a beautiful and non -whimsical plant. I will never part with him. Hi all!! Filodendron Birkin is such an interesting and beautiful indoor plant with white striped patterns on dark green wax leaves that really look spectacular. I’ll tell you how to care for it, this plant is growing for two years. The northern islands of the Neva Delta on the ship "Koryushka" St. Petersburgirin Fadeenkova 11/12/202305: 17 1 +36 photos rolled on a comfortable boat along the Neva. Observing the sunset 😌 Hello dear friends! Today I have a review on the tour "Northern Islands of the Neva Delts on the ship" Kuryushka "in St. Petersburg. On the day when we walked on the statement of the island and then doused in the Koryushka restaurant - closer in the evening we went to ride the ship with an excursion. Hormonal drugs Akrikhin Comfoderm knyura_xitrova12.11.202305: 15 times I have come across atopic dermatitis, it knows how important it is to choose my remedy. Comfordems exactly it. Hello girls! 3 months I used a corticosteroid from time to time and here is my verdict: Comfoderm K for the atopic baby what I need. It is only when the child has an exacerbation. The Tornado "Storm" Energy drink Weeldees12.11.202305: 09, which is classic -biased in front of us, the most classic taste is the legendary combination of chimose and sugar - Tornado Storm Energetic is the same budgetary drink that all loves more like "Lemonada" and not as a tonic effect of the effect from it you will not wait - only the sugar content in ... is not a wooferzisse12.11.202305: 091 +3 photo country of badly - a fairy tale or a terrible dream? The tale of a boy who did not want to help her grandmother. Is there an instructive moment? Hello everyone! I reviewed the old Soviet cartoons some repeatedly and some discovered for myself for the first time. And I remembered another cartoon about the bad thing that I definitely looked and decided to find him on YouTube. Nipple-dummy Dr. Brown's Silicone Night Advantage Tatyana_0412.11.202305: 00+3 photos luminous in the darkness of the nipple ... 🌌hm let's try! All pros and cons. Where and for how much to buy? My eldest child sucked the nipples for long only 2-3 months after birth. When he began to spit out the very first nipple, Then I took the nipple of another company with the other form again spat out. The non -steroidal anti -inflammatory agent of Medorb CJSC IbuprofenPro100MASHA12.11.202304: 45+1 photo from pain helped weakly and in the stomach caused severity and then became normal. The most strange ibuprofen that I have met. The headache is never by the way, but on the day when I had to buy this packaging of Ibuprofen, it was just at the wrong time. On the way to another city, to see a doctor on the bus, my head was hellishly. The Karamazov brothers (2008 film) lu.n.12.11.202304: 33+35 photos "Brothers Karamazov"-the surprisingly good film of 2009 I got to watch some adaptation of Dostoevsky but the "brothers Karamazov" Soviet production did not want to watch it firstly I, I I saw many times and secondly, and the main thing was never lying to this film, although the actors were wonderful and it seemed in the text, but there was always a feeling ... Evening dress Lord Bear Black Mini Corset Article WB 176480930930NEGATIVE CARROT12.11.202304: 131 +13 photos of vintage - bandage The dress is a corset. Almost the perfect little black crime ❤ Hello dear readers everyone) once again acted like a real girl and spent money on a dress. I didn’t have to look particularly - I didn’t have to - soon the new year is I need a reason?) I can say a clash with a dress by accident - I chose another dress and here ... Hair balm Royal Samples Cosmetics Nourishing balm with keratin and valuable oils to restore for recovery Dry damaged and brittle hair Evgushka211012.11.202304: 00 1st -hearted balm. My love of good time of day. Not so long ago I purchased hair balm from the Royal Samples brand after experience decided to write a review. Acquaintance with the brand. Honestly, this brand never knew. And did not pay attention to him. After I found information about him. House of Ada LLC: Karmayklov mansion (2023 Film) Voina12.11.202303: 59+7 photos “Karmayklov mansion”: Hello night in the house! About the film the plot in the center of the plot is a group of friends who decided to spend the night in an old mansion where ghosts live in rumors. However, they soon understand that rumors do not lie and they have to face real evil. Fight/Heat (1995 Film) Konstt7812.11.202303: 57+3 photos Classic police action. He who did not look he lost a lot. This is a militant already 1995. The old ancient bearded but so cool. At first glance, a movie about bandits and cops but in fact is not - it is about people. Some of them are bad (robbing banks kill their fellow citizens) other good (catch bad ones). Abrek (TV series 2023) Kitt154573012.11.202303: 55+12 photo series "Abrek" 2023-dog battles Hunting for young girls-many cruel scenes. My impressions of this series. Hello readers of my review. Recently, a rather unusual series called "Abrek" has only five episodes in it. And a completely unusual plot is heavy and psychological terms, and besides, there are many frankly cruel moments in it. After reading the official description, I became interested. Axon Tambovst.d12.11.202303: 10+6 photos how I was disappointed in this construction store ... Hello everyone! Since the start of repairs in my mother’s apartment, we began to be purchased in Axon. Then bonuses seductive then delivery is free to our remote microdistrict. And in principle, everything in this store arranged for me, although small (unpleasant) incidents sometimes happened. Payment for the authors as soon as possible the issues of support for the support of the rule of law enforcement on monetization to the representatives of branding are allowed only with the written permission of the Site Administration. For the issues of the site, write to info@irecommed.ru. Policy of the confidentiality directory on the site in the VKOL version of the mobile version</v>
      </c>
    </row>
    <row r="156">
      <c r="A156" s="1" t="s">
        <v>484</v>
      </c>
      <c r="B156" s="1" t="s">
        <v>543</v>
      </c>
      <c r="D156" s="1">
        <v>18.0</v>
      </c>
      <c r="E156" s="4" t="s">
        <v>544</v>
      </c>
      <c r="F156" s="1" t="s">
        <v>43</v>
      </c>
      <c r="G156" s="1" t="s">
        <v>135</v>
      </c>
      <c r="H156" s="4" t="s">
        <v>136</v>
      </c>
      <c r="I156" s="2">
        <v>4.0</v>
      </c>
      <c r="J156" s="5" t="str">
        <f>IFERROR(__xludf.DUMMYFUNCTION("GOOGLETRANSLATE(A156)"),"vildberry")</f>
        <v>vildberry</v>
      </c>
      <c r="K156" s="6" t="str">
        <f>IFERROR(__xludf.DUMMYFUNCTION("GOOGLETRANSLATE(B156)"),"Wildberries")</f>
        <v>Wildberries</v>
      </c>
      <c r="M156" s="5" t="str">
        <f>IFERROR(__xludf.DUMMYFUNCTION("GOOGLETRANSLATE(G156)"),"Forbes.ru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157">
      <c r="A157" s="1" t="s">
        <v>545</v>
      </c>
      <c r="B157" s="1" t="s">
        <v>485</v>
      </c>
      <c r="D157" s="1">
        <v>1.0</v>
      </c>
      <c r="E157" s="4" t="s">
        <v>486</v>
      </c>
      <c r="F157" s="1" t="s">
        <v>16</v>
      </c>
      <c r="G157" s="1" t="s">
        <v>487</v>
      </c>
      <c r="H157" s="4" t="s">
        <v>488</v>
      </c>
      <c r="I157" s="2">
        <v>1.0</v>
      </c>
      <c r="J157" s="5" t="str">
        <f>IFERROR(__xludf.DUMMYFUNCTION("GOOGLETRANSLATE(A157)"),"Walberis")</f>
        <v>Walberis</v>
      </c>
      <c r="K157" s="6" t="str">
        <f>IFERROR(__xludf.DUMMYFUNCTION("GOOGLETRANSLATE(B157)"),"Wildberries-online store of fashionable clothes and shoes")</f>
        <v>Wildberries-online store of fashionable clothes and shoes</v>
      </c>
      <c r="M157" s="5" t="str">
        <f>IFERROR(__xludf.DUMMYFUNCTION("GOOGLETRANSLATE(G157)"),"In order")</f>
        <v>In order</v>
      </c>
    </row>
    <row r="158">
      <c r="A158" s="1" t="s">
        <v>545</v>
      </c>
      <c r="B158" s="1" t="s">
        <v>493</v>
      </c>
      <c r="D158" s="1">
        <v>2.0</v>
      </c>
      <c r="E158" s="4" t="s">
        <v>494</v>
      </c>
      <c r="F158" s="1" t="s">
        <v>16</v>
      </c>
      <c r="G158" s="1" t="s">
        <v>495</v>
      </c>
      <c r="H158" s="1" t="s">
        <v>496</v>
      </c>
      <c r="I158" s="2">
        <v>1.0</v>
      </c>
      <c r="J158" s="5" t="str">
        <f>IFERROR(__xludf.DUMMYFUNCTION("GOOGLETRANSLATE(A158)"),"Walberis")</f>
        <v>Walberis</v>
      </c>
      <c r="K158" s="6" t="str">
        <f>IFERROR(__xludf.DUMMYFUNCTION("GOOGLETRANSLATE(B158)"),"Wildberries-a fashionable online store of clothing, shoes and ...")</f>
        <v>Wildberries-a fashionable online store of clothing, shoes and ...</v>
      </c>
      <c r="M158" s="5" t="str">
        <f>IFERROR(__xludf.DUMMYFUNCTION("GOOGLETRANSLATE(G158)"),"Wildberries-a fashionable online store of shoes and accessories. Wildberries Wildberries-a fashionable online store of shoe and accessories is available in the following countries of Russia Belarus Kazakhstan Kazakhstanya Ekistan O'zbekiston Israel ישראל "&amp;"2004- © Wildberries. All rights reserved.")</f>
        <v>Wildberries-a fashionable online store of shoes and accessories. Wildberries Wildberries-a fashionable online store of shoe and accessories is available in the following countries of Russia Belarus Kazakhstan Kazakhstanya Ekistan O'zbekiston Israel ישראל 2004- © Wildberries. All rights reserved.</v>
      </c>
    </row>
    <row r="159">
      <c r="A159" s="1" t="s">
        <v>545</v>
      </c>
      <c r="B159" s="1" t="s">
        <v>499</v>
      </c>
      <c r="D159" s="1">
        <v>3.0</v>
      </c>
      <c r="E159" s="4" t="s">
        <v>500</v>
      </c>
      <c r="F159" s="1" t="s">
        <v>16</v>
      </c>
      <c r="G159" s="1" t="s">
        <v>120</v>
      </c>
      <c r="H159" s="4" t="s">
        <v>121</v>
      </c>
      <c r="I159" s="2">
        <v>0.0</v>
      </c>
      <c r="J159" s="5" t="str">
        <f>IFERROR(__xludf.DUMMYFUNCTION("GOOGLETRANSLATE(A159)"),"Walberis")</f>
        <v>Walberis</v>
      </c>
      <c r="K159" s="6" t="str">
        <f>IFERROR(__xludf.DUMMYFUNCTION("GOOGLETRANSLATE(B159)"),"Wildberries - Google Play apps")</f>
        <v>Wildberries - Google Play apps</v>
      </c>
      <c r="M159" s="5" t="str">
        <f>IFERROR(__xludf.DUMMYFUNCTION("GOOGLETRANSLATE(G159)"),"Android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60">
      <c r="A160" s="1" t="s">
        <v>545</v>
      </c>
      <c r="B160" s="1" t="s">
        <v>497</v>
      </c>
      <c r="D160" s="1">
        <v>4.0</v>
      </c>
      <c r="E160" s="4" t="s">
        <v>498</v>
      </c>
      <c r="F160" s="1" t="s">
        <v>16</v>
      </c>
      <c r="G160" s="1" t="s">
        <v>31</v>
      </c>
      <c r="H160" s="4" t="s">
        <v>32</v>
      </c>
      <c r="I160" s="2">
        <v>3.0</v>
      </c>
      <c r="J160" s="5" t="str">
        <f>IFERROR(__xludf.DUMMYFUNCTION("GOOGLETRANSLATE(A160)"),"Walberis")</f>
        <v>Walberis</v>
      </c>
      <c r="K160" s="6" t="str">
        <f>IFERROR(__xludf.DUMMYFUNCTION("GOOGLETRANSLATE(B160)"),"Wildberries - Wikipedia")</f>
        <v>Wildberries - Wikipedia</v>
      </c>
      <c r="M160" s="5" t="str">
        <f>IFERROR(__xludf.DUMMYFUNCTION("GOOGLETRANSLATE(G160)"),"Wikipedia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61">
      <c r="A161" s="1" t="s">
        <v>545</v>
      </c>
      <c r="B161" s="1" t="s">
        <v>489</v>
      </c>
      <c r="D161" s="1">
        <v>5.0</v>
      </c>
      <c r="E161" s="4" t="s">
        <v>490</v>
      </c>
      <c r="F161" s="1" t="s">
        <v>16</v>
      </c>
      <c r="G161" s="1" t="s">
        <v>34</v>
      </c>
      <c r="H161" s="4" t="s">
        <v>35</v>
      </c>
      <c r="I161" s="2">
        <v>4.0</v>
      </c>
      <c r="J161" s="5" t="str">
        <f>IFERROR(__xludf.DUMMYFUNCTION("GOOGLETRANSLATE(A161)"),"Walberis")</f>
        <v>Walberis</v>
      </c>
      <c r="K161" s="6" t="str">
        <f>IFERROR(__xludf.DUMMYFUNCTION("GOOGLETRANSLATE(B161)"),"WILDBERRIES")</f>
        <v>WILDBERRIES</v>
      </c>
      <c r="M161" s="5" t="str">
        <f>IFERROR(__xludf.DUMMYFUNCTION("GOOGLETRANSLATE(G161)"),"VK.com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62">
      <c r="A162" s="1" t="s">
        <v>545</v>
      </c>
      <c r="B162" s="1" t="s">
        <v>546</v>
      </c>
      <c r="D162" s="1">
        <v>6.0</v>
      </c>
      <c r="E162" s="4" t="s">
        <v>547</v>
      </c>
      <c r="F162" s="1" t="s">
        <v>16</v>
      </c>
      <c r="G162" s="1" t="s">
        <v>34</v>
      </c>
      <c r="H162" s="4" t="s">
        <v>35</v>
      </c>
      <c r="I162" s="2">
        <v>4.0</v>
      </c>
      <c r="J162" s="5" t="str">
        <f>IFERROR(__xludf.DUMMYFUNCTION("GOOGLETRANSLATE(A162)"),"Walberis")</f>
        <v>Walberis</v>
      </c>
      <c r="K162" s="6" t="str">
        <f>IFERROR(__xludf.DUMMYFUNCTION("GOOGLETRANSLATE(B162)"),"The best on Wildberries | Valberis")</f>
        <v>The best on Wildberries | Valberis</v>
      </c>
      <c r="M162" s="5" t="str">
        <f>IFERROR(__xludf.DUMMYFUNCTION("GOOGLETRANSLATE(G162)"),"VK.com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63">
      <c r="A163" s="1" t="s">
        <v>545</v>
      </c>
      <c r="B163" s="1" t="s">
        <v>548</v>
      </c>
      <c r="C163" s="1" t="s">
        <v>549</v>
      </c>
      <c r="D163" s="1">
        <v>7.0</v>
      </c>
      <c r="E163" s="4" t="s">
        <v>550</v>
      </c>
      <c r="F163" s="1" t="s">
        <v>16</v>
      </c>
      <c r="G163" s="1" t="s">
        <v>336</v>
      </c>
      <c r="H163" s="4" t="s">
        <v>453</v>
      </c>
      <c r="I163" s="2">
        <v>4.0</v>
      </c>
      <c r="J163" s="5" t="str">
        <f>IFERROR(__xludf.DUMMYFUNCTION("GOOGLETRANSLATE(A163)"),"Walberis")</f>
        <v>Walberis</v>
      </c>
      <c r="K163" s="6" t="str">
        <f>IFERROR(__xludf.DUMMYFUNCTION("GOOGLETRANSLATE(B163)"),"Valberis in Samara on the map next to me")</f>
        <v>Valberis in Samara on the map next to me</v>
      </c>
      <c r="L163" s="5" t="str">
        <f>IFERROR(__xludf.DUMMYFUNCTION("GOOGLETRANSLATE(C163)"),"Valberis in Samara, Yandex maps: phones, hours of work, photos, entrances, reviews, how to go by transport or go on foot.")</f>
        <v>Valberis in Samara, Yandex maps: phones, hours of work, photos, entrances, reviews, how to go by transport or go on foot.</v>
      </c>
      <c r="M163" s="5" t="str">
        <f>IFERROR(__xludf.DUMMYFUNCTION("GOOGLETRANSLATE(G163)"),"Oh!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64">
      <c r="A164" s="1" t="s">
        <v>545</v>
      </c>
      <c r="B164" s="1" t="s">
        <v>551</v>
      </c>
      <c r="C164" s="1" t="s">
        <v>552</v>
      </c>
      <c r="D164" s="1">
        <v>8.0</v>
      </c>
      <c r="E164" s="4" t="s">
        <v>553</v>
      </c>
      <c r="F164" s="1" t="s">
        <v>16</v>
      </c>
      <c r="I164" s="2">
        <v>1.0</v>
      </c>
      <c r="J164" s="5" t="str">
        <f>IFERROR(__xludf.DUMMYFUNCTION("GOOGLETRANSLATE(A164)"),"Walberis")</f>
        <v>Walberis</v>
      </c>
      <c r="K164" s="6" t="str">
        <f>IFERROR(__xludf.DUMMYFUNCTION("GOOGLETRANSLATE(B164)"),"Valberis online store - buy in ...")</f>
        <v>Valberis online store - buy in ...</v>
      </c>
      <c r="L164" s="5" t="str">
        <f>IFERROR(__xludf.DUMMYFUNCTION("GOOGLETRANSLATE(C164)"),"Valberis online store in the OZON online store at low prices! Large selection, discounts and promotions! Install and fast delivery!")</f>
        <v>Valberis online store in the OZON online store at low prices! Large selection, discounts and promotions! Install and fast delivery!</v>
      </c>
      <c r="M164" s="5" t="str">
        <f>IFERROR(__xludf.DUMMYFUNCTION("GOOGLETRANSLATE(G164)"),"#VALUE!")</f>
        <v>#VALUE!</v>
      </c>
    </row>
    <row r="165">
      <c r="A165" s="1" t="s">
        <v>545</v>
      </c>
      <c r="B165" s="1" t="s">
        <v>507</v>
      </c>
      <c r="D165" s="1">
        <v>9.0</v>
      </c>
      <c r="E165" s="4" t="s">
        <v>508</v>
      </c>
      <c r="F165" s="1" t="s">
        <v>16</v>
      </c>
      <c r="G165" s="1" t="s">
        <v>509</v>
      </c>
      <c r="H165" s="4" t="s">
        <v>510</v>
      </c>
      <c r="I165" s="2">
        <v>1.0</v>
      </c>
      <c r="J165" s="5" t="str">
        <f>IFERROR(__xludf.DUMMYFUNCTION("GOOGLETRANSLATE(A165)"),"Walberis")</f>
        <v>Walberis</v>
      </c>
      <c r="K165" s="6" t="str">
        <f>IFERROR(__xludf.DUMMYFUNCTION("GOOGLETRANSLATE(B165)"),"Wildberries-online store of fashionable clothes, shoes and ...")</f>
        <v>Wildberries-online store of fashionable clothes, shoes and ...</v>
      </c>
      <c r="M165" s="5" t="str">
        <f>IFERROR(__xludf.DUMMYFUNCTION("GOOGLETRANSLATE(G165)"),"Wildberries-online store of fashionable shoes and accessories:")</f>
        <v>Wildberries-online store of fashionable shoes and accessories:</v>
      </c>
    </row>
    <row r="166">
      <c r="A166" s="1" t="s">
        <v>545</v>
      </c>
      <c r="B166" s="1" t="s">
        <v>554</v>
      </c>
      <c r="C166" s="1" t="s">
        <v>555</v>
      </c>
      <c r="D166" s="1">
        <v>10.0</v>
      </c>
      <c r="E166" s="4" t="s">
        <v>556</v>
      </c>
      <c r="F166" s="1" t="s">
        <v>16</v>
      </c>
      <c r="G166" s="1" t="s">
        <v>336</v>
      </c>
      <c r="H166" s="4" t="s">
        <v>515</v>
      </c>
      <c r="I166" s="2">
        <v>4.0</v>
      </c>
      <c r="J166" s="5" t="str">
        <f>IFERROR(__xludf.DUMMYFUNCTION("GOOGLETRANSLATE(A166)"),"Walberis")</f>
        <v>Walberis</v>
      </c>
      <c r="K166" s="6" t="str">
        <f>IFERROR(__xludf.DUMMYFUNCTION("GOOGLETRANSLATE(B166)"),"Valberis online store Site - Buy on low ...")</f>
        <v>Valberis online store Site - Buy on low ...</v>
      </c>
      <c r="L166" s="5" t="str">
        <f>IFERROR(__xludf.DUMMYFUNCTION("GOOGLETRANSLATE(C166)"),"Buy Valburis online store Site - 2 offers - low prices, fast delivery from 1-2 hours, possibility of payment in installments for some of the goods, ...")</f>
        <v>Buy Valburis online store Site - 2 offers - low prices, fast delivery from 1-2 hours, possibility of payment in installments for some of the goods, ...</v>
      </c>
      <c r="M166" s="5" t="str">
        <f>IFERROR(__xludf.DUMMYFUNCTION("GOOGLETRANSLATE(G166)"),"Oh!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67">
      <c r="A167" s="1" t="s">
        <v>545</v>
      </c>
      <c r="B167" s="1" t="s">
        <v>503</v>
      </c>
      <c r="D167" s="1">
        <v>11.0</v>
      </c>
      <c r="E167" s="4" t="s">
        <v>504</v>
      </c>
      <c r="F167" s="1" t="s">
        <v>16</v>
      </c>
      <c r="G167" s="1" t="s">
        <v>273</v>
      </c>
      <c r="H167" s="4" t="s">
        <v>274</v>
      </c>
      <c r="I167" s="2">
        <v>3.0</v>
      </c>
      <c r="J167" s="5" t="str">
        <f>IFERROR(__xludf.DUMMYFUNCTION("GOOGLETRANSLATE(A167)"),"Walberis")</f>
        <v>Walberis</v>
      </c>
      <c r="K167" s="6" t="str">
        <f>IFERROR(__xludf.DUMMYFUNCTION("GOOGLETRANSLATE(B167)"),"WILDBERRIES OFFICIAL (@wildberriesru)")</f>
        <v>WILDBERRIES OFFICIAL (@wildberriesru)</v>
      </c>
      <c r="M167" s="5" t="str">
        <f>IFERROR(__xludf.DUMMYFUNCTION("GOOGLETRANSLATE(G167)"),"Update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68">
      <c r="A168" s="1" t="s">
        <v>545</v>
      </c>
      <c r="B168" s="1" t="s">
        <v>557</v>
      </c>
      <c r="C168" s="1" t="s">
        <v>558</v>
      </c>
      <c r="D168" s="1">
        <v>12.0</v>
      </c>
      <c r="E168" s="4" t="s">
        <v>559</v>
      </c>
      <c r="F168" s="1" t="s">
        <v>16</v>
      </c>
      <c r="I168" s="2">
        <v>1.0</v>
      </c>
      <c r="J168" s="5" t="str">
        <f>IFERROR(__xludf.DUMMYFUNCTION("GOOGLETRANSLATE(A168)"),"Walberis")</f>
        <v>Walberis</v>
      </c>
      <c r="K168" s="6" t="str">
        <f>IFERROR(__xludf.DUMMYFUNCTION("GOOGLETRANSLATE(B168)"),"Valberis in Krasnoyarsk on the map")</f>
        <v>Valberis in Krasnoyarsk on the map</v>
      </c>
      <c r="L168" s="5" t="str">
        <f>IFERROR(__xludf.DUMMYFUNCTION("GOOGLETRANSLATE(C168)"),"Valberis: Addresses on the map, ☎ phones, sites, hours of work, ☆ reviews, photos, ⚑ Search for travel by city transport and cars.")</f>
        <v>Valberis: Addresses on the map, ☎ phones, sites, hours of work, ☆ reviews, photos, ⚑ Search for travel by city transport and cars.</v>
      </c>
      <c r="M168" s="5" t="str">
        <f>IFERROR(__xludf.DUMMYFUNCTION("GOOGLETRANSLATE(G168)"),"#VALUE!")</f>
        <v>#VALUE!</v>
      </c>
    </row>
    <row r="169">
      <c r="A169" s="1" t="s">
        <v>545</v>
      </c>
      <c r="B169" s="1" t="s">
        <v>518</v>
      </c>
      <c r="D169" s="1">
        <v>13.0</v>
      </c>
      <c r="E169" s="4" t="s">
        <v>519</v>
      </c>
      <c r="F169" s="1" t="s">
        <v>16</v>
      </c>
      <c r="I169" s="2">
        <v>3.0</v>
      </c>
      <c r="J169" s="5" t="str">
        <f>IFERROR(__xludf.DUMMYFUNCTION("GOOGLETRANSLATE(A169)"),"Walberis")</f>
        <v>Walberis</v>
      </c>
      <c r="K169" s="6" t="str">
        <f>IFERROR(__xludf.DUMMYFUNCTION("GOOGLETRANSLATE(B169)"),"Wildberries - The latest news today")</f>
        <v>Wildberries - The latest news today</v>
      </c>
      <c r="M169" s="5" t="str">
        <f>IFERROR(__xludf.DUMMYFUNCTION("GOOGLETRANSLATE(G169)"),"#VALUE!")</f>
        <v>#VALUE!</v>
      </c>
    </row>
    <row r="170">
      <c r="A170" s="1" t="s">
        <v>545</v>
      </c>
      <c r="B170" s="1" t="s">
        <v>560</v>
      </c>
      <c r="D170" s="1">
        <v>14.0</v>
      </c>
      <c r="E170" s="4" t="s">
        <v>561</v>
      </c>
      <c r="F170" s="1" t="s">
        <v>16</v>
      </c>
      <c r="I170" s="2">
        <v>3.0</v>
      </c>
      <c r="J170" s="5" t="str">
        <f>IFERROR(__xludf.DUMMYFUNCTION("GOOGLETRANSLATE(A170)"),"Walberis")</f>
        <v>Walberis</v>
      </c>
      <c r="K170" s="6" t="str">
        <f>IFERROR(__xludf.DUMMYFUNCTION("GOOGLETRANSLATE(B170)"),"Wildberries - the latest news today on ...")</f>
        <v>Wildberries - the latest news today on ...</v>
      </c>
      <c r="M170" s="5" t="str">
        <f>IFERROR(__xludf.DUMMYFUNCTION("GOOGLETRANSLATE(G170)"),"#VALUE!")</f>
        <v>#VALUE!</v>
      </c>
    </row>
    <row r="171">
      <c r="A171" s="1" t="s">
        <v>545</v>
      </c>
      <c r="B171" s="1" t="s">
        <v>562</v>
      </c>
      <c r="C171" s="1" t="s">
        <v>153</v>
      </c>
      <c r="D171" s="1">
        <v>15.0</v>
      </c>
      <c r="E171" s="4" t="s">
        <v>563</v>
      </c>
      <c r="F171" s="1" t="s">
        <v>16</v>
      </c>
      <c r="G171" s="1" t="s">
        <v>564</v>
      </c>
      <c r="H171" s="4" t="s">
        <v>565</v>
      </c>
      <c r="I171" s="2">
        <v>4.0</v>
      </c>
      <c r="J171" s="5" t="str">
        <f>IFERROR(__xludf.DUMMYFUNCTION("GOOGLETRANSLATE(A171)"),"Walberis")</f>
        <v>Walberis</v>
      </c>
      <c r="K171" s="6" t="str">
        <f>IFERROR(__xludf.DUMMYFUNCTION("GOOGLETRANSLATE(B171)"),"Download Wildberries 5.3.6001 for Android - Trashbox")</f>
        <v>Download Wildberries 5.3.6001 for Android - Trashbox</v>
      </c>
      <c r="L171" s="5" t="str">
        <f>IFERROR(__xludf.DUMMYFUNCTION("GOOGLETRANSLATE(C171)"),"3 days ago -")</f>
        <v>3 days ago -</v>
      </c>
      <c r="M171" s="5" t="str">
        <f>IFERROR(__xludf.DUMMYFUNCTION("GOOGLETRANSLATE(G171)"),"Treshbox.rudl of full -fledged use of the site please include support for JavaScript -resistant to a programmimrammiyphorumvidezal Slavkak to become an author? How to place the application? Menuades that brighten up your autumn: from a fashionable smartph"&amp;"one to a clock with two displays Smart Air purification and ceramics from the clown intel will respond to Russian science in The court for the deliberate sale of processors with vulnerability. The problem is a very large-scale-factle against the EU: the c"&amp;"ompany appeals the requirement to open the App Store and Imessaget powerful in the Windows-NOTBUKS market: Intel Core i9-14900HX tests appeared. He lost the Apple M3Apple is preparing to allow the installation of applications bypassing the App Store: they"&amp;" found a hint of it in the iOS 17.2.2 -set police officers: the car received a special coloring and video surveillance of the Troubles told about the class system: there will be five of them but one is available only on pre -ordering newsstanding : half a"&amp;" century between pirates and blogramistory7 vs 127 Nm versus 12: what is Pixel technological processMartphones say: what was surprised by each gadgeist of the Series Impenced for OLED and LCD? Microled what is there in IT: Aurora Steam Deck OLED and the f"&amp;"uture gadget from Humanel. Russia created the first domestic charging station for electric vehicles and Openai introduced new AI products not ashamed to give the girl to the wife and not only: a review of the stylish Xiaomi Civi 3 Chinese giant decided to"&amp;" create the perfect smartphone for the female half of humanity. And there were very good 5 functions that I would like to improve in the Android Auto-informational and entertainment system of Google can be much better. It is only necessary to make a littl"&amp;"e effort the Call of Duty Review: Modern Warfare 3. When I stretched DLC to a whole game and want 70 dollars a storyline that can be passed over the evening with beautiful graphics and stupid Stals AAA-release films of the week: Bald Nicholas Caeji Finche"&amp;"r’s masterpiece and intriguing science fiction collection of the best films and TV shows that can already be seen on the network in excellent quality and with voice acting Steam Deck Oled: it became better (almost the same price) Valve calls the new varia"&amp;"nt of the first generation of Steam Deck and practice in practice It really is what smartphone to buy in November 2023: the rating of the best models on any budget of all price categories there are also frankly unsuccessful phones with high price tags and"&amp;" the best options why overpay when there are enough smartphones and up to 20,000 rubles? Here are the top 5 of the best in now the 5 best representatives of this price segment who certainly will not disappoint the best series of November after purchase: i"&amp;"nteractive Silent Hill unexpected Godzilla New Scott Pilgrims of this month awaits many unusual new products including the series in which the fate of the heroes will depend on the viewers. Smart glasses of projecting a large screen: what they can and are"&amp;" needed in 2023 this is the second generation in which they worked on the comfort of wearing - and it turned out. But the changes are not so much powerfully convenient, but eagerly: the journalists impressed and disappointed the IMAC on the M3MONOBLOK rec"&amp;"eived a steep update by moving to the M3 chip. For some reason, the rest of the moments left unnecessarily surprised, but for 15,000 rubles I found 5 good smartphones. Here they are honestly about the pluses/minus, we are the 5 best representatives of thi"&amp;"s price segment that will definitely not disappoint after the purchase if you did not like MacBook, then now you will change your opinion. The MacBook Pro review on the M3 MAX is the highest performance combined with compactness by lightweight and autonom"&amp;"y - others can’t now boast of such a folding smartphone their level has grown. The Honor Magic V2 review is announced by the 2023th year of folding smartphones. Right now, they are becoming convenient and truly massive materials that are still being discu"&amp;"ssed today3xiaomi announced to whom it will be allowed to unlock the bootloader in Hyperos. The conditions are strict for the 1st PC in November 2023: the best game assemblies from 54,000 rubles3realme 11 Pro+: when ready to compete with the tops2, Infini"&amp;"x Smart 8 - an incredibly cheap smartphone with a large battery2, you did not like MacBook now you will change your opinion. A review of the MacBook Pro on the M3 Max2, overpay when there are enough smartphones and up to 20,000 rubles? Here are the top 5s"&amp;" of the best on the days of the Day of the Day of the Day of 3D MastermmMMMMMM 2Panda game: a house in the town of Gorodel Money programs of the daytapkmagic fx-special effects and filter-proofessional high-speed phrasal verbalo-glorys of the Glorodarodno"&amp;"tyan content of the site of the site. To the Menian holders and DMCAPALATION OF Privacy Engine Version 13.0.3 © 2006-2023 A. Bobylevversion for PC")</f>
        <v>Treshbox.rudl of full -fledged use of the site please include support for JavaScript -resistant to a programmimrammiyphorumvidezal Slavkak to become an author? How to place the application? Menuades that brighten up your autumn: from a fashionable smartphone to a clock with two displays Smart Air purification and ceramics from the clown intel will respond to Russian science in The court for the deliberate sale of processors with vulnerability. The problem is a very large-scale-factle against the EU: the company appeals the requirement to open the App Store and Imessaget powerful in the Windows-NOTBUKS market: Intel Core i9-14900HX tests appeared. He lost the Apple M3Apple is preparing to allow the installation of applications bypassing the App Store: they found a hint of it in the iOS 17.2.2 -set police officers: the car received a special coloring and video surveillance of the Troubles told about the class system: there will be five of them but one is available only on pre -ordering newsstanding : half a century between pirates and blogramistory7 vs 127 Nm versus 12: what is Pixel technological processMartphones say: what was surprised by each gadgeist of the Series Impenced for OLED and LCD? Microled what is there in IT: Aurora Steam Deck OLED and the future gadget from Humanel. Russia created the first domestic charging station for electric vehicles and Openai introduced new AI products not ashamed to give the girl to the wife and not only: a review of the stylish Xiaomi Civi 3 Chinese giant decided to create the perfect smartphone for the female half of humanity. And there were very good 5 functions that I would like to improve in the Android Auto-informational and entertainment system of Google can be much better. It is only necessary to make a little effort the Call of Duty Review: Modern Warfare 3. When I stretched DLC to a whole game and want 70 dollars a storyline that can be passed over the evening with beautiful graphics and stupid Stals AAA-release films of the week: Bald Nicholas Caeji Fincher’s masterpiece and intriguing science fiction collection of the best films and TV shows that can already be seen on the network in excellent quality and with voice acting Steam Deck Oled: it became better (almost the same price) Valve calls the new variant of the first generation of Steam Deck and practice in practice It really is what smartphone to buy in November 2023: the rating of the best models on any budget of all price categories there are also frankly unsuccessful phones with high price tags and the best options why overpay when there are enough smartphones and up to 20,000 rubles? Here are the top 5 of the best in now the 5 best representatives of this price segment who certainly will not disappoint the best series of November after purchase: interactive Silent Hill unexpected Godzilla New Scott Pilgrims of this month awaits many unusual new products including the series in which the fate of the heroes will depend on the viewers. Smart glasses of projecting a large screen: what they can and are needed in 2023 this is the second generation in which they worked on the comfort of wearing - and it turned out. But the changes are not so much powerfully convenient, but eagerly: the journalists impressed and disappointed the IMAC on the M3MONOBLOK received a steep update by moving to the M3 chip. For some reason, the rest of the moments left unnecessarily surprised, but for 15,000 rubles I found 5 good smartphones. Here they are honestly about the pluses/minus, we are the 5 best representatives of this price segment that will definitely not disappoint after the purchase if you did not like MacBook, then now you will change your opinion. The MacBook Pro review on the M3 MAX is the highest performance combined with compactness by lightweight and autonomy - others can’t now boast of such a folding smartphone their level has grown. The Honor Magic V2 review is announced by the 2023th year of folding smartphones. Right now, they are becoming convenient and truly massive materials that are still being discussed today3xiaomi announced to whom it will be allowed to unlock the bootloader in Hyperos. The conditions are strict for the 1st PC in November 2023: the best game assemblies from 54,000 rubles3realme 11 Pro+: when ready to compete with the tops2, Infinix Smart 8 - an incredibly cheap smartphone with a large battery2, you did not like MacBook now you will change your opinion. A review of the MacBook Pro on the M3 Max2, overpay when there are enough smartphones and up to 20,000 rubles? Here are the top 5s of the best on the days of the Day of the Day of the Day of 3D MastermmMMMMMM 2Panda game: a house in the town of Gorodel Money programs of the daytapkmagic fx-special effects and filter-proofessional high-speed phrasal verbalo-glorys of the Glorodarodnotyan content of the site of the site. To the Menian holders and DMCAPALATION OF Privacy Engine Version 13.0.3 © 2006-2023 A. Bobylevversion for PC</v>
      </c>
    </row>
    <row r="172">
      <c r="A172" s="1" t="s">
        <v>545</v>
      </c>
      <c r="B172" s="1" t="s">
        <v>566</v>
      </c>
      <c r="C172" s="1" t="s">
        <v>567</v>
      </c>
      <c r="D172" s="1">
        <v>16.0</v>
      </c>
      <c r="E172" s="4" t="s">
        <v>568</v>
      </c>
      <c r="F172" s="1" t="s">
        <v>16</v>
      </c>
      <c r="G172" s="1" t="s">
        <v>541</v>
      </c>
      <c r="H172" s="4" t="s">
        <v>542</v>
      </c>
      <c r="I172" s="2">
        <v>2.0</v>
      </c>
      <c r="J172" s="5" t="str">
        <f>IFERROR(__xludf.DUMMYFUNCTION("GOOGLETRANSLATE(A172)"),"Walberis")</f>
        <v>Walberis</v>
      </c>
      <c r="K172" s="6" t="str">
        <f>IFERROR(__xludf.DUMMYFUNCTION("GOOGLETRANSLATE(B172)"),"Valburys-no. - Wildberries.ru")</f>
        <v>Valburys-no. - Wildberries.ru</v>
      </c>
      <c r="L172" s="5" t="str">
        <f>IFERROR(__xludf.DUMMYFUNCTION("GOOGLETRANSLATE(C172)"),"8 Sept. 2023. -")</f>
        <v>8 Sept. 2023. -</v>
      </c>
      <c r="M172" s="5" t="str">
        <f>IFERROR(__xludf.DUMMYFUNCTION("GOOGLETRANSLATE(G172)"),"  IRECOMMMEND.RU | Review the recall of beauty and healthy is a chronicled-hungry-nuclear-nickelitarous-eating-eater-mowing review of 6 hours 24 hours-day / D.E. dreadlocks / Safe dreadlocks12.11.202301: 061 +12 photos realized that without dreadlocks I n"&amp;"o longer perceive myself, hello! I dreamed about dreadlocks for a long time, but forever there was no money for this hairstyle. And then I went to work, money appeared, but in my pedagogical world there was no place for such a self -expression. Last year,"&amp;" on vacation, she decided on Afrokoschiki. The House of Strakhs VDNH Moscowkitt154573012.202300: 302 +12 Photo House of Fear New An attraction at VDNH will tell you what is inside and share impressions. Hello readers of my review and lovers of unusual imp"&amp;"ressions. Finally, I visited a new attraction at VDNH called ""House of Fear."" He attracted my attention for a long time in 2023 so that at the moment it is a novelty. KDV Fun Ban Cake Cute LI12.11.202303: 071 +18 Photos are the most popular and famous "&amp;"🎂 in our city! With huge pieces of bananas inside 🍌🍰 I’ll tell you how the taste of the Fun Ban cake has changed brighter in six months and how many times the price has grown in a year ... I buy this cake already 4 or 5 times from June 2022 and now I d"&amp;"ecided: why not write review? The network in which it is sold, known throughout Russia, photos and my impressions may come in handy. So I’ll tell you what I think about the KDV biscuit cake (KDV) Fun Ban. Express Contractor Gliss Kur Oil Nutritive Omega-9"&amp;"+ hair maruls in need of nutritiondelovaja11.11.202323: 58+ 1 photo, it is better to spend 300 rubles 1 time for this air conditioner than to spend more than 1000 for several worthless sprays from other markets. I already had sprays -Contributions from gl"&amp;"eam gleam and this is the best that I tried for hair from this segment. I was convinced more than once on experience. Schwarzkopf for a long time for a long time known to me, a manufacturer of care products for hair from youth from youth is exactly famili"&amp;"ar with him, and this is exactly 20 years. Lalique L'amor Lalique Irina78711.202323: 071 +3 photos luxurious innocent and attractive so that I end 4 backlogs of my sun! I have a large collection of aromas but this I repeat this fourth time. Oda Femininity"&amp;" Tender assertiveness innocent seduction on the verge of a slap in the face for a careless look. The aroma is beautiful, it will like it if you like train and powder aromas. A solution for intravenous and intramuscular administration of Solopharm Ketorola"&amp;"c-Solofarm 30 mg/million is useful11.11.202323: 282 +15 photos will relieve pain with endometriosis and not only accurately everyone! Here you will learn about my experience of using this drug. All my life I had very painful menstruation. On a 10-point sc"&amp;"ale, all 9 points. Sometimes the condition reached the fact that I almost cut down from the intensity of pain. The tonic The Saem Calamansi Pore Freshner Yulchenka M12.11.202303: 07 +6 The photo lightly healed the healing - which he did not do! And in the"&amp;"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Пл"&amp;"аток Palantini Артикул 10992476Степанида112.11.202301:08 2 +10 фото Очень I plan to give a gentle and affectionate handkerchief a man to blame a man. I did not acquire a beautiful dress of fuchsia for myself. And I had already visited it at one event and "&amp;"painted it. But a month later I will speak in a duet with a bard and already made up that I would show up in my pink outfit again The duet involves a similarity in stage costumes. Chocolatean St. Petersburgdinka_sale11.11.202323: 421 +11 photos of a large"&amp;" selection of interesting dishes. Good day to everyone who looked at everyone. I just love chocolate, although the prices there are not the most democratic. But still my loved ones are there. True, from time to time they disappear from the menu. Jennifer "&amp;"Lopez Live Luxeevgeny 5335312.11.202301: 14za bottle 5 for the aroma for solid two -time perfume was not particularly needed. My gaze caught on the bottle. Beautiful bright chic. And I ordered the aroma. Perfume in the tester version without a box. The ar"&amp;"oma was not really impressed. A cheap unpleasant sharp. Such aromas were popular in 90. Evalar cellulose microcrystalline MCC Ankir-Bvita8512.11.202302: 481 The principle of action is easy to lose weight: the tablet swells in the stomach and does not eat "&amp;"much. That's why you are very not bad. For everyone, I remembered another drug that I tried for weight loss: Pullose MCC Evalar in tablets. Well, that I haven’t tried for this business now, now I wouldn’t do that. Previously, they found out in the pharmac"&amp;"y how trite does not sound. And immediately without leaving the counter ... Palette of eyelid shadows Maqpro Cream Shadows Primaire 10 colors Fard Cremejusthelly12.11.202301: 20+30 photos Play the artist? An indispensable product for those who want divers"&amp;"ity in the Fard Creme makeup attracted me with the opportunity to use them as substrates for color matte shades of creating their colors - endless creativity. Palette of shadows in this color layout is the most universal palette Fard Creme and the manufac"&amp;"turer has a lot of them. Show also a response tuning jubanutkablondi111.202321: 158 +8 photos I am glad that I made powdery lips - very natural and convenient. It’s a pity that my main problem still did not solve Hello everyone! Nature did not endow me wi"&amp;"th beautiful lips and at the beginning of this year I finally made the desired procedure for increasing. My next step was powdery spraying and this procedure was more likely than a whim ... Failure departure (manicure) at home from Paris 11.10.11.202323: "&amp;"491 +8 photos of a salon manicure of the house. How to make the nails to yourself so that they do not differ from the work of the master? I welcome everyone! I wanted to share my story about how to make nails on your own no worse than in the cabin. There "&amp;"are a lot of reasons to start doing manicure for himself: someone wants to save time or money, someone does not trust the masters worries for sterility and so on and so on. ATLASTRide boots warm grandmothers with heart_sia11.11.202318: 391 +7 Photo girls "&amp;"""Goodbye youth"" grandmothers or just felt boots. I bought it for work, but I am ready to go at home, a handful gift for the New Year 🌟 Devichniki Hello to find high -quality warm and cool outward shoes for me is hard for me. I am ready for hours to loo"&amp;"k for her on the Internet until I find what I really like. I love not quite the same as everyone sometimes prefer some zest in shoes. Brect systems / braces / orthodontic scobytanyushka_11.11.202316: 4822 +9 photo installation of h4 braces at 38 years old"&amp;". Will there be a result and is it worth installing? (The review will be supplemented with the beginning of treatment 04/04/2023 GMOi teeth were bored from childhood. Large jaws were bored with childhood. There were attempts to fix with plates but did not"&amp;" ask. Different reasons and fears did not allow me to do their teeth earlier. Chizhik chain of stores 111.11.202306: 375: 375 +26 photos were there 3 times, but the goods have already appeared that I will buy hello to this store every trip! Recently, a ne"&amp;"w Chizhik supermarket has been opened in the area. This store refers to the type of Lighthouse of the Boar of Dobrozo. This is not is that my favorite stores but once a month I like to wander there. I always find something necessary and useful at pleasant"&amp;" prices. Coloring hair in the AIRTOUCHOKOKEANA Z11.11.202317: 274 +11 photos and this is AIRTOUCH? My experience of fashionable coloring, the process is worn out as it is worn Hi. Today I will share my opinion with you whether it is worth making the fashi"&amp;"onable coloring technique of eirtach. I have a negative experience of hair dyeing in the cabin so I most often color myself. Operation for peritotonyus 300911.11.202309: 3821 peritonitis Resuscitation consequences good afternoon! More recently .. with sha"&amp;"king hands, I searched and read any information and reviews about people who had undergone an operation to remove appendix and peritonitis and today I want to leave my feedback! Smart Column Yandex Station Minikristinatret10.11.202323: 321 +13 photos - an"&amp;"d do you like to read fairy tales? Once Alice asked. After dad just read his son a fairy tale. Does the column eavesdrop on? My opinion. Hi all. We bought a column of Alice after the birth of a son. I noticed that the baby falls asleep well under the whit"&amp;"e noise. And I did not want to lose my phone for the time of his sleep. And since relatives gave money. I wanted to buy something necessary. And all sorts of obligatory things have long been bought. Biorevitalization of the area of ​​the face and neck inj"&amp;"ectionkakady11.11.202308: 3911 +3 photos The most useless waste of money in my life. The procedure after which it got worse How many have been living for 27 years so much and a neighboring with circles under the eyes: very thin skin and nasolacence were i"&amp;"nherited by inheritance. From 13 years I have been trying to fight this: cream masks of masks but genetics can not be deceived. Syndrome (2023 Film) Sveta Chereshkina 11/11/202313: 34 2 +10 photos Syndrome - a specific film. Many will not like it, but you"&amp;" need to watch. Do not read reviews and reviews of the film ""Syndrome"". You will definitely encounter a spoiler one way or another. It is best to watch the movie Syndrome as a completely unprepared viewer. What is the film Syndrome about? Description of"&amp;" KinoPoisk General Information: We are all different people unfortunately imperfect. Modi gift store chain stores 1111.11.202319: 322 +33 photos Five for the best calculation for the New Year receives Modi! I'll show you what to buy for a gift! The New Ye"&amp;"ar mood begins in November. Many stores are already trying on New Year's jewelry, unfortunately, so so. I have a foreboding that this year I will be surprised by those from whom you do not expect. Miracles of decoration. AppStartolea_9511.11.202322: 093 +"&amp;"9 photo Earnings on the Internet. I take out more per day than I earn for 500+ reviews on the Airek. When are the tasks and you can get more? Good afternoon. The AppStart application is not the first application for downloading applications where I earn m"&amp;"y “penny”. Now all the money earned on the Internet, including this site of reviews and this application that brings me at least not big but I put it off here. Show another review of the reviewcrass Minskyulia130712.11.202306: 281 +11 photos 🍕🍔 Bolshoy "&amp;"selection of dishes stylish design and successful location. Fudmall ""Concors"" is a great place where you can eat deliciously to wait for your train to have a good time with friends or just relax after the shopping last month I visited the beautiful Mins"&amp;"k. The city is amazing beautiful and modern. It's nice to watch how it becomes better every year. In particular, new institutions are opening here. So on the top floor of the Galileo shopping center there is a huge Fudmall Concors. Means of the D/Treatmen"&amp;"t of a cold and influenza CJSC CJSC Mrn MrppferonSherstobitovasvetlana12.11.202306: 27+3 photos with our allergicians, hello hello! When an ARVI occurs in mom and child, you buy all the improvised means. Yes, and this constant advertising on TV. Eh it wou"&amp;"ld be better to use old and proven recipes for grandmothers. Our deplorable experience of use. Soft toy Trudi seal art. 11776609Marylovely0512.11.202306: 26+6 photos of a charming seal that has been with me for many years. I saw this toy in the store at t"&amp;"he age of 16 and I fell in love with it very much and later they gave me money for it that I was very happy. Since then, this teddy seal is with me in life. Groats are semolina ""Tender"" Veronika koljuchka12.11.202306: 25+2 photo ordinary semolina clean."&amp;" Soft welcome to everyone in a new review! Today I have semolina. I am not a consumer of this cereal. Yes, I cook but do not eat practically. But mom loves so that there is always at home. Another purchase is a semolina ""tender"" from the brand passim. V"&amp;"ariety m, that is, it is soft - from soft varieties of wheat. Pepper seasoning steak grill and barbecue12.11.202306: 24+6 photos Fragrant but unsaturated seasoning. And the mill that misses whole spices without grinding. Hi all! Where to buy I bought this"&amp;" seasoning in a regular supermarket. Something like 180-150 rubles is very inexpensive. Appearance of a glass bottle in the form of a sand clock. The label indicates all the information about the seasoning - the composition of the manufacturer. Canned oli"&amp;"ves Maestro de Olivadina69anid 11.202305: 39 giant olives with a giant bone bought to try such olives in Magnet when the price has decreased greatly because the expiration date was suitable. Really large juicy good olives with a large bone. It would be be"&amp;"tter if the same fillings were laid when they make stuffed olives))) Well, in general, the product is quite tasty. Filodendron Birkin Natalia 020712.11.202305: 28+1 photo I share experience for a beautiful and non -whimsical plant. I will never part with "&amp;"him. Hi all!! Filodendron Birkin is such an interesting and beautiful indoor plant with white striped patterns on dark green wax leaves that really look spectacular. I’ll tell you how to care for it, this plant is growing for two years. The northern islan"&amp;"ds of the Neva Delta on the ship ""Koryushka"" St. Petersburgirin Fadeenkova 11/12/202305: 17 1 +36 photos rolled on a comfortable boat along the Neva. Observing the sunset 😌 Hello dear friends! Today I have a review on the tour ""Northern Islands of the"&amp;" Neva Delts on the ship"" Kuryushka ""in St. Petersburg. On the day when we walked on the statement of the island and then doused in the Koryushka restaurant - closer in the evening we went to ride the ship with an excursion. Hormonal drugs Akrikhin Comfo"&amp;"derm knyura_xitrova12.11.202305: 15 times I have come across atopic dermatitis, it knows how important it is to choose my remedy. Comfordems exactly it. Hello girls! 3 months I used a corticosteroid from time to time and here is my verdict: Comfoderm K fo"&amp;"r the atopic baby what I need. It is only when the child has an exacerbation. The Tornado ""Storm"" Energy drink Weeldees12.11.202305: 09, which is classic -biased in front of us, the most classic taste is the legendary combination of chimose and sugar - "&amp;"Tornado Storm Energetic is the same budgetary drink that all loves more like ""Lemonada"" and not as a tonic effect of the effect from it you will not wait - only the sugar content in ... is not a wooferzisse12.11.202305: 091 +3 photo country of badly - a"&amp;" fairy tale or a terrible dream? The tale of a boy who did not want to help her grandmother. Is there an instructive moment? Hello everyone! I reviewed the old Soviet cartoons some repeatedly and some discovered for myself for the first time. And I rememb"&amp;"ered another cartoon about the bad thing that I definitely looked and decided to find him on YouTube. Nipple-dummy Dr. Brown's Silicone Night Advantage Tatyana_0412.11.202305: 00+3 photos luminous in the darkness of the nipple ... 🌌hm let's try! All pros"&amp;" and cons. Where and for how much to buy? My eldest child sucked the nipples for long only 2-3 months after birth. When he began to spit out the very first nipple, Then I took the nipple of another company with the other form again spat out. The non -ster"&amp;"oidal anti -inflammatory agent of Medorb CJSC IbuprofenPro100MASHA12.11.202304: 45+1 photo from pain helped weakly and in the stomach caused severity and then became normal. The most strange ibuprofen that I have met. The headache is never by the way, but"&amp;" on the day when I had to buy this packaging of Ibuprofen, it was just at the wrong time. On the way to another city, to see a doctor on the bus, my head was hellishly. The Karamazov brothers (2008 film) lu.n.12.11.202304: 33+35 photos ""Brothers Karamazo"&amp;"v""-the surprisingly good film of 2009 I got to watch some adaptation of Dostoevsky but the ""brothers Karamazov"" Soviet production did not want to watch it firstly I, I I saw many times and secondly, and the main thing was never lying to this film, alth"&amp;"ough the actors were wonderful and it seemed in the text, but there was always a feeling ... Evening dress Lord Bear Black Mini Corset Article WB 176480930930NEGATIVE CARROT12.11.202304: 131 +13 photos of vintage - bandage The dress is a corset. Almost th"&amp;"e perfect little black crime ❤ Hello dear readers everyone) once again acted like a real girl and spent money on a dress. I didn’t have to look particularly - I didn’t have to - soon the new year is I need a reason?) I can say a clash with a dress by acci"&amp;"dent - I chose another dress and here ... Hair balm Royal Samples Cosmetics Nourishing balm with keratin and valuable oils to restore for recovery Dry damaged and brittle hair Evgushka211012.11.202304: 00 1st -hearted balm. My love of good time of day. No"&amp;"t so long ago I purchased hair balm from the Royal Samples brand after experience decided to write a review. Acquaintance with the brand. Honestly, this brand never knew. And did not pay attention to him. After I found information about him. House of Ada "&amp;"LLC: Karmayklov mansion (2023 Film) Voina12.11.202303: 59+7 photos “Karmayklov mansion”: Hello night in the house! About the film the plot in the center of the plot is a group of friends who decided to spend the night in an old mansion where ghosts live i"&amp;"n rumors. However, they soon understand that rumors do not lie and they have to face real evil. Fight/Heat (1995 Film) Konstt7812.11.202303: 57+3 photos Classic police action. He who did not look he lost a lot. This is a militant already 1995. The old anc"&amp;"ient bearded but so cool. At first glance, a movie about bandits and cops but in fact is not - it is about people. Some of them are bad (robbing banks kill their fellow citizens) other good (catch bad ones). Abrek (TV series 2023) Kitt154573012.11.202303:"&amp;" 55+12 photo series ""Abrek"" 2023-dog battles Hunting for young girls-many cruel scenes. My impressions of this series. Hello readers of my review. Recently, a rather unusual series called ""Abrek"" has only five episodes in it. And a completely unusual "&amp;"plot is heavy and psychological terms, and besides, there are many frankly cruel moments in it. After reading the official description, I became interested. Axon Tambovst.d12.11.202303: 10+6 photos how I was disappointed in this construction store ... Hel"&amp;"lo everyone! Since the start of repairs in my mother’s apartment, we began to be purchased in Axon. Then bonuses seductive then delivery is free to our remote microdistrict. And in principle, everything in this store arranged for me, although small (unple"&amp;"asant) incidents sometimes happened. Payment for the authors as soon as possible the issues of support for the support of the rule of law enforcement on monetization to the representatives of branding are allowed only with the written permission of the Si"&amp;"te Administration. For the issues of the site, write to info@irecommed.ru. Policy of the confidentiality directory on the site in the VKOL version of the mobile version")</f>
        <v>  IRECOMMMEND.RU | Review the recall of beauty and healthy is a chronicled-hungry-nuclear-nickelitarous-eating-eater-mowing review of 6 hours 24 hours-day / D.E. dreadlocks / Safe dreadlocks12.11.202301: 061 +12 photos realized that without dreadlocks I no longer perceive myself, hello! I dreamed about dreadlocks for a long time, but forever there was no money for this hairstyle. And then I went to work, money appeared, but in my pedagogical world there was no place for such a self -expression. Last year, on vacation, she decided on Afrokoschiki. The House of Strakhs VDNH Moscowkitt154573012.202300: 302 +12 Photo House of Fear New An attraction at VDNH will tell you what is inside and share impressions. Hello readers of my review and lovers of unusual impressions. Finally, I visited a new attraction at VDNH called "House of Fear." He attracted my attention for a long time in 2023 so that at the moment it is a novelty. KDV Fun Ban Cake Cute LI12.11.202303: 071 +18 Photos are the most popular and famous 🎂 in our city! With huge pieces of bananas inside 🍌🍰 I’ll tell you how the taste of the Fun Ban cake has changed brighter in six months and how many times the price has grown in a year ... I buy this cake already 4 or 5 times from June 2022 and now I decided: why not write review? The network in which it is sold, known throughout Russia, photos and my impressions may come in handy. So I’ll tell you what I think about the KDV biscuit cake (KDV) Fun Ban. Express Contractor Gliss Kur Oil Nutritive Omega-9+ hair maruls in need of nutritiondelovaja11.11.202323: 58+ 1 photo, it is better to spend 300 rubles 1 time for this air conditioner than to spend more than 1000 for several worthless sprays from other markets. I already had sprays -Contributions from gleam gleam and this is the best that I tried for hair from this segment. I was convinced more than once on experience. Schwarzkopf for a long time for a long time known to me, a manufacturer of care products for hair from youth from youth is exactly familiar with him, and this is exactly 20 years. Lalique L'amor Lalique Irina78711.202323: 071 +3 photos luxurious innocent and attractive so that I end 4 backlogs of my sun! I have a large collection of aromas but this I repeat this fourth time. Oda Femininity Tender assertiveness innocent seduction on the verge of a slap in the face for a careless look. The aroma is beautiful, it will like it if you like train and powder aromas. A solution for intravenous and intramuscular administration of Solopharm Ketorolac-Solofarm 30 mg/million is useful11.11.202323: 282 +15 photos will relieve pain with endometriosis and not only accurately everyone! Here you will learn about my experience of using this drug. All my life I had very painful menstruation. On a 10-point scale, all 9 points. Sometimes the condition reached the fact that I almost cut down from the intensity of pain. The tonic The Saem Calamansi Pore Freshner Yulchenka M12.11.202303: 07 +6 The photo lightly healed the healing - which he did not do! And in the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Платок Palantini Артикул 10992476Степанида112.11.202301:08 2 +10 фото Очень I plan to give a gentle and affectionate handkerchief a man to blame a man. I did not acquire a beautiful dress of fuchsia for myself. And I had already visited it at one event and painted it. But a month later I will speak in a duet with a bard and already made up that I would show up in my pink outfit again The duet involves a similarity in stage costumes. Chocolatean St. Petersburgdinka_sale11.11.202323: 421 +11 photos of a large selection of interesting dishes. Good day to everyone who looked at everyone. I just love chocolate, although the prices there are not the most democratic. But still my loved ones are there. True, from time to time they disappear from the menu. Jennifer Lopez Live Luxeevgeny 5335312.11.202301: 14za bottle 5 for the aroma for solid two -time perfume was not particularly needed. My gaze caught on the bottle. Beautiful bright chic. And I ordered the aroma. Perfume in the tester version without a box. The aroma was not really impressed. A cheap unpleasant sharp. Such aromas were popular in 90. Evalar cellulose microcrystalline MCC Ankir-Bvita8512.11.202302: 481 The principle of action is easy to lose weight: the tablet swells in the stomach and does not eat much. That's why you are very not bad. For everyone, I remembered another drug that I tried for weight loss: Pullose MCC Evalar in tablets. Well, that I haven’t tried for this business now, now I wouldn’t do that. Previously, they found out in the pharmacy how trite does not sound. And immediately without leaving the counter ... Palette of eyelid shadows Maqpro Cream Shadows Primaire 10 colors Fard Cremejusthelly12.11.202301: 20+30 photos Play the artist? An indispensable product for those who want diversity in the Fard Creme makeup attracted me with the opportunity to use them as substrates for color matte shades of creating their colors - endless creativity. Palette of shadows in this color layout is the most universal palette Fard Creme and the manufacturer has a lot of them. Show also a response tuning jubanutkablondi111.202321: 158 +8 photos I am glad that I made powdery lips - very natural and convenient. It’s a pity that my main problem still did not solve Hello everyone! Nature did not endow me with beautiful lips and at the beginning of this year I finally made the desired procedure for increasing. My next step was powdery spraying and this procedure was more likely than a whim ... Failure departure (manicure) at home from Paris 11.10.11.202323: 491 +8 photos of a salon manicure of the house. How to make the nails to yourself so that they do not differ from the work of the master? I welcome everyone! I wanted to share my story about how to make nails on your own no worse than in the cabin. There are a lot of reasons to start doing manicure for himself: someone wants to save time or money, someone does not trust the masters worries for sterility and so on and so on. ATLASTRide boots warm grandmothers with heart_sia11.11.202318: 391 +7 Photo girls "Goodbye youth" grandmothers or just felt boots. I bought it for work, but I am ready to go at home, a handful gift for the New Year 🌟 Devichniki Hello to find high -quality warm and cool outward shoes for me is hard for me. I am ready for hours to look for her on the Internet until I find what I really like. I love not quite the same as everyone sometimes prefer some zest in shoes. Brect systems / braces / orthodontic scobytanyushka_11.11.202316: 4822 +9 photo installation of h4 braces at 38 years old. Will there be a result and is it worth installing? (The review will be supplemented with the beginning of treatment 04/04/2023 GMOi teeth were bored from childhood. Large jaws were bored with childhood. There were attempts to fix with plates but did not ask. Different reasons and fears did not allow me to do their teeth earlier. Chizhik chain of stores 111.11.202306: 375: 375 +26 photos were there 3 times, but the goods have already appeared that I will buy hello to this store every trip! Recently, a new Chizhik supermarket has been opened in the area. This store refers to the type of Lighthouse of the Boar of Dobrozo. This is not is that my favorite stores but once a month I like to wander there. I always find something necessary and useful at pleasant prices. Coloring hair in the AIRTOUCHOKOKEANA Z11.11.202317: 274 +11 photos and this is AIRTOUCH? My experience of fashionable coloring, the process is worn out as it is worn Hi. Today I will share my opinion with you whether it is worth making the fashionable coloring technique of eirtach. I have a negative experience of hair dyeing in the cabin so I most often color myself. Operation for peritotonyus 300911.11.202309: 3821 peritonitis Resuscitation consequences good afternoon! More recently .. with shaking hands, I searched and read any information and reviews about people who had undergone an operation to remove appendix and peritonitis and today I want to leave my feedback! Smart Column Yandex Station Minikristinatret10.11.202323: 321 +13 photos - and do you like to read fairy tales? Once Alice asked. After dad just read his son a fairy tale. Does the column eavesdrop on? My opinion. Hi all. We bought a column of Alice after the birth of a son. I noticed that the baby falls asleep well under the white noise. And I did not want to lose my phone for the time of his sleep. And since relatives gave money. I wanted to buy something necessary. And all sorts of obligatory things have long been bought. Biorevitalization of the area of ​​the face and neck injectionkakady11.11.202308: 3911 +3 photos The most useless waste of money in my life. The procedure after which it got worse How many have been living for 27 years so much and a neighboring with circles under the eyes: very thin skin and nasolacence were inherited by inheritance. From 13 years I have been trying to fight this: cream masks of masks but genetics can not be deceived. Syndrome (2023 Film) Sveta Chereshkina 11/11/202313: 34 2 +10 photos Syndrome - a specific film. Many will not like it, but you need to watch. Do not read reviews and reviews of the film "Syndrome". You will definitely encounter a spoiler one way or another. It is best to watch the movie Syndrome as a completely unprepared viewer. What is the film Syndrome about? Description of KinoPoisk General Information: We are all different people unfortunately imperfect. Modi gift store chain stores 1111.11.202319: 322 +33 photos Five for the best calculation for the New Year receives Modi! I'll show you what to buy for a gift! The New Year mood begins in November. Many stores are already trying on New Year's jewelry, unfortunately, so so. I have a foreboding that this year I will be surprised by those from whom you do not expect. Miracles of decoration. AppStartolea_9511.11.202322: 093 +9 photo Earnings on the Internet. I take out more per day than I earn for 500+ reviews on the Airek. When are the tasks and you can get more? Good afternoon. The AppStart application is not the first application for downloading applications where I earn my “penny”. Now all the money earned on the Internet, including this site of reviews and this application that brings me at least not big but I put it off here. Show another review of the reviewcrass Minskyulia130712.11.202306: 281 +11 photos 🍕🍔 Bolshoy selection of dishes stylish design and successful location. Fudmall "Concors" is a great place where you can eat deliciously to wait for your train to have a good time with friends or just relax after the shopping last month I visited the beautiful Minsk. The city is amazing beautiful and modern. It's nice to watch how it becomes better every year. In particular, new institutions are opening here. So on the top floor of the Galileo shopping center there is a huge Fudmall Concors. Means of the D/Treatment of a cold and influenza CJSC CJSC Mrn MrppferonSherstobitovasvetlana12.11.202306: 27+3 photos with our allergicians, hello hello! When an ARVI occurs in mom and child, you buy all the improvised means. Yes, and this constant advertising on TV. Eh it would be better to use old and proven recipes for grandmothers. Our deplorable experience of use. Soft toy Trudi seal art. 11776609Marylovely0512.11.202306: 26+6 photos of a charming seal that has been with me for many years. I saw this toy in the store at the age of 16 and I fell in love with it very much and later they gave me money for it that I was very happy. Since then, this teddy seal is with me in life. Groats are semolina "Tender" Veronika koljuchka12.11.202306: 25+2 photo ordinary semolina clean. Soft welcome to everyone in a new review! Today I have semolina. I am not a consumer of this cereal. Yes, I cook but do not eat practically. But mom loves so that there is always at home. Another purchase is a semolina "tender" from the brand passim. Variety m, that is, it is soft - from soft varieties of wheat. Pepper seasoning steak grill and barbecue12.11.202306: 24+6 photos Fragrant but unsaturated seasoning. And the mill that misses whole spices without grinding. Hi all! Where to buy I bought this seasoning in a regular supermarket. Something like 180-150 rubles is very inexpensive. Appearance of a glass bottle in the form of a sand clock. The label indicates all the information about the seasoning - the composition of the manufacturer. Canned olives Maestro de Olivadina69anid 11.202305: 39 giant olives with a giant bone bought to try such olives in Magnet when the price has decreased greatly because the expiration date was suitable. Really large juicy good olives with a large bone. It would be better if the same fillings were laid when they make stuffed olives))) Well, in general, the product is quite tasty. Filodendron Birkin Natalia 020712.11.202305: 28+1 photo I share experience for a beautiful and non -whimsical plant. I will never part with him. Hi all!! Filodendron Birkin is such an interesting and beautiful indoor plant with white striped patterns on dark green wax leaves that really look spectacular. I’ll tell you how to care for it, this plant is growing for two years. The northern islands of the Neva Delta on the ship "Koryushka" St. Petersburgirin Fadeenkova 11/12/202305: 17 1 +36 photos rolled on a comfortable boat along the Neva. Observing the sunset 😌 Hello dear friends! Today I have a review on the tour "Northern Islands of the Neva Delts on the ship" Kuryushka "in St. Petersburg. On the day when we walked on the statement of the island and then doused in the Koryushka restaurant - closer in the evening we went to ride the ship with an excursion. Hormonal drugs Akrikhin Comfoderm knyura_xitrova12.11.202305: 15 times I have come across atopic dermatitis, it knows how important it is to choose my remedy. Comfordems exactly it. Hello girls! 3 months I used a corticosteroid from time to time and here is my verdict: Comfoderm K for the atopic baby what I need. It is only when the child has an exacerbation. The Tornado "Storm" Energy drink Weeldees12.11.202305: 09, which is classic -biased in front of us, the most classic taste is the legendary combination of chimose and sugar - Tornado Storm Energetic is the same budgetary drink that all loves more like "Lemonada" and not as a tonic effect of the effect from it you will not wait - only the sugar content in ... is not a wooferzisse12.11.202305: 091 +3 photo country of badly - a fairy tale or a terrible dream? The tale of a boy who did not want to help her grandmother. Is there an instructive moment? Hello everyone! I reviewed the old Soviet cartoons some repeatedly and some discovered for myself for the first time. And I remembered another cartoon about the bad thing that I definitely looked and decided to find him on YouTube. Nipple-dummy Dr. Brown's Silicone Night Advantage Tatyana_0412.11.202305: 00+3 photos luminous in the darkness of the nipple ... 🌌hm let's try! All pros and cons. Where and for how much to buy? My eldest child sucked the nipples for long only 2-3 months after birth. When he began to spit out the very first nipple, Then I took the nipple of another company with the other form again spat out. The non -steroidal anti -inflammatory agent of Medorb CJSC IbuprofenPro100MASHA12.11.202304: 45+1 photo from pain helped weakly and in the stomach caused severity and then became normal. The most strange ibuprofen that I have met. The headache is never by the way, but on the day when I had to buy this packaging of Ibuprofen, it was just at the wrong time. On the way to another city, to see a doctor on the bus, my head was hellishly. The Karamazov brothers (2008 film) lu.n.12.11.202304: 33+35 photos "Brothers Karamazov"-the surprisingly good film of 2009 I got to watch some adaptation of Dostoevsky but the "brothers Karamazov" Soviet production did not want to watch it firstly I, I I saw many times and secondly, and the main thing was never lying to this film, although the actors were wonderful and it seemed in the text, but there was always a feeling ... Evening dress Lord Bear Black Mini Corset Article WB 176480930930NEGATIVE CARROT12.11.202304: 131 +13 photos of vintage - bandage The dress is a corset. Almost the perfect little black crime ❤ Hello dear readers everyone) once again acted like a real girl and spent money on a dress. I didn’t have to look particularly - I didn’t have to - soon the new year is I need a reason?) I can say a clash with a dress by accident - I chose another dress and here ... Hair balm Royal Samples Cosmetics Nourishing balm with keratin and valuable oils to restore for recovery Dry damaged and brittle hair Evgushka211012.11.202304: 00 1st -hearted balm. My love of good time of day. Not so long ago I purchased hair balm from the Royal Samples brand after experience decided to write a review. Acquaintance with the brand. Honestly, this brand never knew. And did not pay attention to him. After I found information about him. House of Ada LLC: Karmayklov mansion (2023 Film) Voina12.11.202303: 59+7 photos “Karmayklov mansion”: Hello night in the house! About the film the plot in the center of the plot is a group of friends who decided to spend the night in an old mansion where ghosts live in rumors. However, they soon understand that rumors do not lie and they have to face real evil. Fight/Heat (1995 Film) Konstt7812.11.202303: 57+3 photos Classic police action. He who did not look he lost a lot. This is a militant already 1995. The old ancient bearded but so cool. At first glance, a movie about bandits and cops but in fact is not - it is about people. Some of them are bad (robbing banks kill their fellow citizens) other good (catch bad ones). Abrek (TV series 2023) Kitt154573012.11.202303: 55+12 photo series "Abrek" 2023-dog battles Hunting for young girls-many cruel scenes. My impressions of this series. Hello readers of my review. Recently, a rather unusual series called "Abrek" has only five episodes in it. And a completely unusual plot is heavy and psychological terms, and besides, there are many frankly cruel moments in it. After reading the official description, I became interested. Axon Tambovst.d12.11.202303: 10+6 photos how I was disappointed in this construction store ... Hello everyone! Since the start of repairs in my mother’s apartment, we began to be purchased in Axon. Then bonuses seductive then delivery is free to our remote microdistrict. And in principle, everything in this store arranged for me, although small (unpleasant) incidents sometimes happened. Payment for the authors as soon as possible the issues of support for the support of the rule of law enforcement on monetization to the representatives of branding are allowed only with the written permission of the Site Administration. For the issues of the site, write to info@irecommed.ru. Policy of the confidentiality directory on the site in the VKOL version of the mobile version</v>
      </c>
    </row>
    <row r="173">
      <c r="A173" s="1" t="s">
        <v>545</v>
      </c>
      <c r="B173" s="1" t="s">
        <v>501</v>
      </c>
      <c r="D173" s="1">
        <v>17.0</v>
      </c>
      <c r="E173" s="4" t="s">
        <v>502</v>
      </c>
      <c r="F173" s="1" t="s">
        <v>16</v>
      </c>
      <c r="G173" s="1" t="s">
        <v>97</v>
      </c>
      <c r="H173" s="4" t="s">
        <v>98</v>
      </c>
      <c r="I173" s="2">
        <v>1.0</v>
      </c>
      <c r="J173" s="5" t="str">
        <f>IFERROR(__xludf.DUMMYFUNCTION("GOOGLETRANSLATE(A173)"),"Walberis")</f>
        <v>Walberis</v>
      </c>
      <c r="K173" s="6" t="str">
        <f>IFERROR(__xludf.DUMMYFUNCTION("GOOGLETRANSLATE(B173)"),"Wildberries - App Store")</f>
        <v>Wildberries - App Store</v>
      </c>
      <c r="M173" s="5" t="str">
        <f>IFERROR(__xludf.DUMMYFUNCTION("GOOGLETRANSLATE(G173)"),"App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174">
      <c r="A174" s="1" t="s">
        <v>545</v>
      </c>
      <c r="B174" s="1" t="s">
        <v>569</v>
      </c>
      <c r="D174" s="1">
        <v>7.0</v>
      </c>
      <c r="E174" s="4" t="s">
        <v>570</v>
      </c>
      <c r="F174" s="1" t="s">
        <v>43</v>
      </c>
      <c r="G174" s="1" t="s">
        <v>120</v>
      </c>
      <c r="H174" s="4" t="s">
        <v>121</v>
      </c>
      <c r="I174" s="2">
        <v>0.0</v>
      </c>
      <c r="J174" s="5" t="str">
        <f>IFERROR(__xludf.DUMMYFUNCTION("GOOGLETRANSLATE(A174)"),"Walberis")</f>
        <v>Walberis</v>
      </c>
      <c r="K174" s="6" t="str">
        <f>IFERROR(__xludf.DUMMYFUNCTION("GOOGLETRANSLATE(B174)"),"WB Job - Google Play Applications")</f>
        <v>WB Job - Google Play Applications</v>
      </c>
      <c r="M174" s="5" t="str">
        <f>IFERROR(__xludf.DUMMYFUNCTION("GOOGLETRANSLATE(G174)"),"Android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75">
      <c r="A175" s="1" t="s">
        <v>545</v>
      </c>
      <c r="B175" s="1" t="s">
        <v>545</v>
      </c>
      <c r="C175" s="1" t="s">
        <v>571</v>
      </c>
      <c r="D175" s="1">
        <v>11.0</v>
      </c>
      <c r="E175" s="4" t="s">
        <v>572</v>
      </c>
      <c r="F175" s="1" t="s">
        <v>43</v>
      </c>
      <c r="G175" s="1" t="s">
        <v>573</v>
      </c>
      <c r="H175" s="4" t="s">
        <v>574</v>
      </c>
      <c r="I175" s="2">
        <v>5.0</v>
      </c>
      <c r="J175" s="5" t="str">
        <f>IFERROR(__xludf.DUMMYFUNCTION("GOOGLETRANSLATE(A175)"),"Walberis")</f>
        <v>Walberis</v>
      </c>
      <c r="K175" s="6" t="str">
        <f>IFERROR(__xludf.DUMMYFUNCTION("GOOGLETRANSLATE(B175)"),"Walberis")</f>
        <v>Walberis</v>
      </c>
      <c r="L175" s="5" t="str">
        <f>IFERROR(__xludf.DUMMYFUNCTION("GOOGLETRANSLATE(C175)"),"Valberis | 646.5m see. Watch the new videos in Tiktok (Tiktok) on the topic #Valberis.")</f>
        <v>Valberis | 646.5m see. Watch the new videos in Tiktok (Tiktok) on the topic #Valberis.</v>
      </c>
      <c r="M175" s="5" t="str">
        <f>IFERROR(__xludf.DUMMYFUNCTION("GOOGLETRANSLATE(G175)"),"Skip to content feedTikTokUpload Log inFor YouFollowingExploreLIVELog in to follow creators like videos and view comments.Log inCreate effectsAboutNewsroomContactCareersTikTok for GoodAdvertiseDevelopersTransparencyTikTok RewardsTikTok EmbedsHelpSafetyTer"&amp;"msPrivacyCreator PortalCommunity GuidelinesSee more© 2023 TikTok")</f>
        <v>Skip to content feedTikTokUpload Log inFor YouFollowingExploreLIVELog in to follow creators like videos and view comments.Log inCreate effectsAboutNewsroomContactCareersTikTok for GoodAdvertiseDevelopersTransparencyTikTok RewardsTikTok EmbedsHelpSafetyTermsPrivacyCreator PortalCommunity GuidelinesSee more© 2023 TikTok</v>
      </c>
    </row>
    <row r="176">
      <c r="A176" s="1" t="s">
        <v>545</v>
      </c>
      <c r="B176" s="4" t="s">
        <v>575</v>
      </c>
      <c r="D176" s="1">
        <v>12.0</v>
      </c>
      <c r="E176" s="4" t="s">
        <v>576</v>
      </c>
      <c r="F176" s="1" t="s">
        <v>43</v>
      </c>
      <c r="I176" s="2">
        <v>1.0</v>
      </c>
      <c r="J176" s="5" t="str">
        <f>IFERROR(__xludf.DUMMYFUNCTION("GOOGLETRANSLATE(A176)"),"Walberis")</f>
        <v>Walberis</v>
      </c>
      <c r="K176" s="7" t="str">
        <f>IFERROR(__xludf.DUMMYFUNCTION("GOOGLETRANSLATE(B176)"),"valberis.ru")</f>
        <v>valberis.ru</v>
      </c>
      <c r="M176" s="5" t="str">
        <f>IFERROR(__xludf.DUMMYFUNCTION("GOOGLETRANSLATE(G176)"),"#VALUE!")</f>
        <v>#VALUE!</v>
      </c>
    </row>
    <row r="177">
      <c r="A177" s="1" t="s">
        <v>545</v>
      </c>
      <c r="B177" s="1" t="s">
        <v>577</v>
      </c>
      <c r="D177" s="1">
        <v>13.0</v>
      </c>
      <c r="E177" s="4" t="s">
        <v>578</v>
      </c>
      <c r="F177" s="1" t="s">
        <v>43</v>
      </c>
      <c r="G177" s="1" t="s">
        <v>273</v>
      </c>
      <c r="H177" s="4" t="s">
        <v>579</v>
      </c>
      <c r="I177" s="2">
        <v>3.0</v>
      </c>
      <c r="J177" s="5" t="str">
        <f>IFERROR(__xludf.DUMMYFUNCTION("GOOGLETRANSLATE(A177)"),"Walberis")</f>
        <v>Walberis</v>
      </c>
      <c r="K177" s="6" t="str">
        <f>IFERROR(__xludf.DUMMYFUNCTION("GOOGLETRANSLATE(B177)"),"Walberis")</f>
        <v>Walberis</v>
      </c>
      <c r="M177" s="5" t="str">
        <f>IFERROR(__xludf.DUMMYFUNCTION("GOOGLETRANSLATE(G177)"),"Update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178">
      <c r="A178" s="1" t="s">
        <v>545</v>
      </c>
      <c r="B178" s="1" t="s">
        <v>505</v>
      </c>
      <c r="D178" s="1">
        <v>14.0</v>
      </c>
      <c r="E178" s="4" t="s">
        <v>506</v>
      </c>
      <c r="F178" s="1" t="s">
        <v>43</v>
      </c>
      <c r="G178" s="1" t="s">
        <v>38</v>
      </c>
      <c r="H178" s="4" t="s">
        <v>39</v>
      </c>
      <c r="I178" s="2">
        <v>3.0</v>
      </c>
      <c r="J178" s="5" t="str">
        <f>IFERROR(__xludf.DUMMYFUNCTION("GOOGLETRANSLATE(A178)"),"Walberis")</f>
        <v>Walberis</v>
      </c>
      <c r="K178" s="6" t="str">
        <f>IFERROR(__xludf.DUMMYFUNCTION("GOOGLETRANSLATE(B178)"),"wildberries")</f>
        <v>wildberries</v>
      </c>
      <c r="M178" s="5" t="str">
        <f>IFERROR(__xludf.DUMMYFUNCTION("GOOGLETRANSLATE(G178)"),"YouTubeAboutPressCopyrightContact usCreatorsAdvertiseDevelopersTermsPrivacyPolicy &amp; SafetyHow YouTube worksTest new featuresNFL Sunday Ticket© 2023 Google LLC")</f>
        <v>YouTubeAboutPressCopyrightContact usCreatorsAdvertiseDevelopersTermsPrivacyPolicy &amp; SafetyHow YouTube worksTest new featuresNFL Sunday Ticket© 2023 Google LLC</v>
      </c>
    </row>
    <row r="179">
      <c r="A179" s="1" t="s">
        <v>545</v>
      </c>
      <c r="B179" s="1" t="s">
        <v>580</v>
      </c>
      <c r="C179" s="1" t="s">
        <v>558</v>
      </c>
      <c r="D179" s="1">
        <v>15.0</v>
      </c>
      <c r="E179" s="4" t="s">
        <v>581</v>
      </c>
      <c r="F179" s="1" t="s">
        <v>43</v>
      </c>
      <c r="I179" s="2">
        <v>1.0</v>
      </c>
      <c r="J179" s="5" t="str">
        <f>IFERROR(__xludf.DUMMYFUNCTION("GOOGLETRANSLATE(A179)"),"Walberis")</f>
        <v>Walberis</v>
      </c>
      <c r="K179" s="6" t="str">
        <f>IFERROR(__xludf.DUMMYFUNCTION("GOOGLETRANSLATE(B179)"),"Valberis, Road District, Yakutsk on the map")</f>
        <v>Valberis, Road District, Yakutsk on the map</v>
      </c>
      <c r="L179" s="5" t="str">
        <f>IFERROR(__xludf.DUMMYFUNCTION("GOOGLETRANSLATE(C179)"),"Valberis: Addresses on the map, ☎ phones, sites, hours of work, ☆ reviews, photos, ⚑ Search for travel by city transport and cars.")</f>
        <v>Valberis: Addresses on the map, ☎ phones, sites, hours of work, ☆ reviews, photos, ⚑ Search for travel by city transport and cars.</v>
      </c>
      <c r="M179" s="5" t="str">
        <f>IFERROR(__xludf.DUMMYFUNCTION("GOOGLETRANSLATE(G179)"),"#VALUE!")</f>
        <v>#VALUE!</v>
      </c>
    </row>
    <row r="180">
      <c r="A180" s="1" t="s">
        <v>545</v>
      </c>
      <c r="B180" s="1" t="s">
        <v>582</v>
      </c>
      <c r="C180" s="1" t="s">
        <v>583</v>
      </c>
      <c r="D180" s="1">
        <v>16.0</v>
      </c>
      <c r="E180" s="4" t="s">
        <v>584</v>
      </c>
      <c r="F180" s="1" t="s">
        <v>43</v>
      </c>
      <c r="G180" s="1" t="s">
        <v>336</v>
      </c>
      <c r="H180" s="4" t="s">
        <v>515</v>
      </c>
      <c r="I180" s="2">
        <v>1.0</v>
      </c>
      <c r="J180" s="5" t="str">
        <f>IFERROR(__xludf.DUMMYFUNCTION("GOOGLETRANSLATE(A180)"),"Walberis")</f>
        <v>Walberis</v>
      </c>
      <c r="K180" s="6" t="str">
        <f>IFERROR(__xludf.DUMMYFUNCTION("GOOGLETRANSLATE(B180)"),"Valberis online store buy a refrigerator")</f>
        <v>Valberis online store buy a refrigerator</v>
      </c>
      <c r="L180" s="5" t="str">
        <f>IFERROR(__xludf.DUMMYFUNCTION("GOOGLETRANSLATE(C180)"),"Buy Valberis online store buy a refrigerator - 717 offers - low prices, fast delivery from 1-2 hours, the possibility of payment in installments for the part ...")</f>
        <v>Buy Valberis online store buy a refrigerator - 717 offers - low prices, fast delivery from 1-2 hours, the possibility of payment in installments for the part ...</v>
      </c>
      <c r="M180" s="5" t="str">
        <f>IFERROR(__xludf.DUMMYFUNCTION("GOOGLETRANSLATE(G180)"),"Oh!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181">
      <c r="A181" s="1" t="s">
        <v>545</v>
      </c>
      <c r="B181" s="1" t="s">
        <v>585</v>
      </c>
      <c r="C181" s="1" t="s">
        <v>586</v>
      </c>
      <c r="D181" s="1">
        <v>28.0</v>
      </c>
      <c r="E181" s="4" t="s">
        <v>587</v>
      </c>
      <c r="F181" s="1" t="s">
        <v>43</v>
      </c>
      <c r="G181" s="1" t="s">
        <v>588</v>
      </c>
      <c r="H181" s="4" t="s">
        <v>589</v>
      </c>
      <c r="I181" s="2">
        <v>3.0</v>
      </c>
      <c r="J181" s="5" t="str">
        <f>IFERROR(__xludf.DUMMYFUNCTION("GOOGLETRANSLATE(A181)"),"Walberis")</f>
        <v>Walberis</v>
      </c>
      <c r="K181" s="6" t="str">
        <f>IFERROR(__xludf.DUMMYFUNCTION("GOOGLETRANSLATE(B181)"),"Ideas on the topic ""Valberis"" (900+) in 2023")</f>
        <v>Ideas on the topic "Valberis" (900+) in 2023</v>
      </c>
      <c r="L181" s="5" t="str">
        <f>IFERROR(__xludf.DUMMYFUNCTION("GOOGLETRANSLATE(C181)"),"06.04.2023 - View the Valberis board Alexei in Pinterest. See more ideas on the themes of ""Infographics Design, Infographics, Design.""")</f>
        <v>06.04.2023 - View the Valberis board Alexei in Pinterest. See more ideas on the themes of "Infographics Design, Infographics, Design."</v>
      </c>
      <c r="M181" s="5" t="str">
        <f>IFERROR(__xludf.DUMMYFUNCTION("GOOGLETRANSLATE(G181)"),"Pinterest – ПинтерестOh no! Pinterest doesn't work unless you turn on JavaScript.")</f>
        <v>Pinterest – ПинтерестOh no! Pinterest doesn't work unless you turn on JavaScript.</v>
      </c>
    </row>
    <row r="182">
      <c r="A182" s="1" t="s">
        <v>590</v>
      </c>
      <c r="B182" s="1" t="s">
        <v>591</v>
      </c>
      <c r="C182" s="1" t="s">
        <v>592</v>
      </c>
      <c r="D182" s="1">
        <v>1.0</v>
      </c>
      <c r="E182" s="4" t="s">
        <v>593</v>
      </c>
      <c r="F182" s="1" t="s">
        <v>16</v>
      </c>
      <c r="G182" s="1" t="s">
        <v>34</v>
      </c>
      <c r="H182" s="4" t="s">
        <v>594</v>
      </c>
      <c r="I182" s="2">
        <v>1.0</v>
      </c>
      <c r="J182" s="5" t="str">
        <f>IFERROR(__xludf.DUMMYFUNCTION("GOOGLETRANSLATE(A182)"),"VC")</f>
        <v>VC</v>
      </c>
      <c r="K182" s="6" t="str">
        <f>IFERROR(__xludf.DUMMYFUNCTION("GOOGLETRANSLATE(B182)"),"VKontakte | Welcome")</f>
        <v>VKontakte | Welcome</v>
      </c>
      <c r="L182" s="5" t="str">
        <f>IFERROR(__xludf.DUMMYFUNCTION("GOOGLETRANSLATE(C182)"),"We want friends, classmates, classmates, neighbors and colleagues to always remain in contact ... enter by phone or mail · register.")</f>
        <v>We want friends, classmates, classmates, neighbors and colleagues to always remain in contact ... enter by phone or mail · register.</v>
      </c>
      <c r="M182" s="5" t="str">
        <f>IFERROR(__xludf.DUMMYFUNCTION("GOOGLETRANSLATE(G182)"),"VK.com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183">
      <c r="A183" s="1" t="s">
        <v>590</v>
      </c>
      <c r="B183" s="1" t="s">
        <v>595</v>
      </c>
      <c r="D183" s="1">
        <v>2.0</v>
      </c>
      <c r="E183" s="4" t="s">
        <v>596</v>
      </c>
      <c r="F183" s="1" t="s">
        <v>16</v>
      </c>
      <c r="G183" s="1" t="s">
        <v>120</v>
      </c>
      <c r="H183" s="4" t="s">
        <v>121</v>
      </c>
      <c r="I183" s="2">
        <v>0.0</v>
      </c>
      <c r="J183" s="5" t="str">
        <f>IFERROR(__xludf.DUMMYFUNCTION("GOOGLETRANSLATE(A183)"),"VC")</f>
        <v>VC</v>
      </c>
      <c r="K183" s="6" t="str">
        <f>IFERROR(__xludf.DUMMYFUNCTION("GOOGLETRANSLATE(B183)"),"VKontakte: music, video, chat")</f>
        <v>VKontakte: music, video, chat</v>
      </c>
      <c r="M183" s="5" t="str">
        <f>IFERROR(__xludf.DUMMYFUNCTION("GOOGLETRANSLATE(G183)"),"Android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84">
      <c r="A184" s="1" t="s">
        <v>590</v>
      </c>
      <c r="B184" s="1" t="s">
        <v>597</v>
      </c>
      <c r="C184" s="1" t="s">
        <v>598</v>
      </c>
      <c r="D184" s="1">
        <v>3.0</v>
      </c>
      <c r="E184" s="4" t="s">
        <v>599</v>
      </c>
      <c r="F184" s="1" t="s">
        <v>16</v>
      </c>
      <c r="G184" s="1" t="s">
        <v>31</v>
      </c>
      <c r="H184" s="4" t="s">
        <v>32</v>
      </c>
      <c r="I184" s="2">
        <v>4.0</v>
      </c>
      <c r="J184" s="5" t="str">
        <f>IFERROR(__xludf.DUMMYFUNCTION("GOOGLETRANSLATE(A184)"),"VC")</f>
        <v>VC</v>
      </c>
      <c r="K184" s="6" t="str">
        <f>IFERROR(__xludf.DUMMYFUNCTION("GOOGLETRANSLATE(B184)"),"In contact with")</f>
        <v>In contact with</v>
      </c>
      <c r="L184" s="5" t="str">
        <f>IFERROR(__xludf.DUMMYFUNCTION("GOOGLETRANSLATE(C184)"),"“Vkontakte” (international name-VK) is a Russian social network with headquarters in St. Petersburg. The site is available in 82 languages; Especially popular ...")</f>
        <v>“Vkontakte” (international name-VK) is a Russian social network with headquarters in St. Petersburg. The site is available in 82 languages; Especially popular ...</v>
      </c>
      <c r="M184" s="5" t="str">
        <f>IFERROR(__xludf.DUMMYFUNCTION("GOOGLETRANSLATE(G184)"),"Wikipedia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85">
      <c r="A185" s="1" t="s">
        <v>590</v>
      </c>
      <c r="B185" s="1" t="s">
        <v>600</v>
      </c>
      <c r="D185" s="1">
        <v>4.0</v>
      </c>
      <c r="E185" s="4" t="s">
        <v>601</v>
      </c>
      <c r="F185" s="1" t="s">
        <v>16</v>
      </c>
      <c r="G185" s="1" t="s">
        <v>120</v>
      </c>
      <c r="H185" s="4" t="s">
        <v>121</v>
      </c>
      <c r="I185" s="2">
        <v>0.0</v>
      </c>
      <c r="J185" s="5" t="str">
        <f>IFERROR(__xludf.DUMMYFUNCTION("GOOGLETRANSLATE(A185)"),"VC")</f>
        <v>VC</v>
      </c>
      <c r="K185" s="6" t="str">
        <f>IFERROR(__xludf.DUMMYFUNCTION("GOOGLETRANSLATE(B185)"),"Vk.com: Android applications in Google Play")</f>
        <v>Vk.com: Android applications in Google Play</v>
      </c>
      <c r="M185" s="5" t="str">
        <f>IFERROR(__xludf.DUMMYFUNCTION("GOOGLETRANSLATE(G185)"),"Android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186">
      <c r="A186" s="1" t="s">
        <v>590</v>
      </c>
      <c r="B186" s="1" t="s">
        <v>602</v>
      </c>
      <c r="D186" s="1">
        <v>5.0</v>
      </c>
      <c r="E186" s="4" t="s">
        <v>603</v>
      </c>
      <c r="F186" s="1" t="s">
        <v>16</v>
      </c>
      <c r="G186" s="1" t="s">
        <v>97</v>
      </c>
      <c r="H186" s="4" t="s">
        <v>98</v>
      </c>
      <c r="I186" s="2">
        <v>0.0</v>
      </c>
      <c r="J186" s="5" t="str">
        <f>IFERROR(__xludf.DUMMYFUNCTION("GOOGLETRANSLATE(A186)"),"VC")</f>
        <v>VC</v>
      </c>
      <c r="K186" s="6" t="str">
        <f>IFERROR(__xludf.DUMMYFUNCTION("GOOGLETRANSLATE(B186)"),"VKontakte: messages, video chat - App Store")</f>
        <v>VKontakte: messages, video chat - App Store</v>
      </c>
      <c r="M186" s="5" t="str">
        <f>IFERROR(__xludf.DUMMYFUNCTION("GOOGLETRANSLATE(G186)"),"App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187">
      <c r="A187" s="1" t="s">
        <v>590</v>
      </c>
      <c r="B187" s="1" t="s">
        <v>604</v>
      </c>
      <c r="C187" s="1" t="s">
        <v>605</v>
      </c>
      <c r="D187" s="1">
        <v>6.0</v>
      </c>
      <c r="E187" s="4" t="s">
        <v>606</v>
      </c>
      <c r="F187" s="1" t="s">
        <v>16</v>
      </c>
      <c r="G187" s="1" t="s">
        <v>604</v>
      </c>
      <c r="H187" s="4" t="s">
        <v>607</v>
      </c>
      <c r="I187" s="2">
        <v>1.0</v>
      </c>
      <c r="J187" s="5" t="str">
        <f>IFERROR(__xludf.DUMMYFUNCTION("GOOGLETRANSLATE(A187)"),"VC")</f>
        <v>VC</v>
      </c>
      <c r="K187" s="6" t="str">
        <f>IFERROR(__xludf.DUMMYFUNCTION("GOOGLETRANSLATE(B187)"),"VK messenger")</f>
        <v>VK messenger</v>
      </c>
      <c r="L187" s="5" t="str">
        <f>IFERROR(__xludf.DUMMYFUNCTION("GOOGLETRANSLATE(C187)"),"VK messenger. Use VK ID to start communication. To come in. Enter the sphere.")</f>
        <v>VK messenger. Use VK ID to start communication. To come in. Enter the sphere.</v>
      </c>
      <c r="M187" s="5" t="str">
        <f>IFERROR(__xludf.DUMMYFUNCTION("GOOGLETRANSLATE(G187)"),"VK messenger")</f>
        <v>VK messenger</v>
      </c>
    </row>
    <row r="188">
      <c r="A188" s="1" t="s">
        <v>590</v>
      </c>
      <c r="B188" s="1" t="s">
        <v>608</v>
      </c>
      <c r="C188" s="1" t="s">
        <v>609</v>
      </c>
      <c r="D188" s="1">
        <v>7.0</v>
      </c>
      <c r="E188" s="4" t="s">
        <v>610</v>
      </c>
      <c r="F188" s="1" t="s">
        <v>16</v>
      </c>
      <c r="G188" s="1" t="s">
        <v>31</v>
      </c>
      <c r="H188" s="4" t="s">
        <v>32</v>
      </c>
      <c r="I188" s="2">
        <v>1.0</v>
      </c>
      <c r="J188" s="5" t="str">
        <f>IFERROR(__xludf.DUMMYFUNCTION("GOOGLETRANSLATE(A188)"),"VC")</f>
        <v>VC</v>
      </c>
      <c r="K188" s="6" t="str">
        <f>IFERROR(__xludf.DUMMYFUNCTION("GOOGLETRANSLATE(B188)"),"VK (meanings)")</f>
        <v>VK (meanings)</v>
      </c>
      <c r="L188" s="5" t="str">
        <f>IFERROR(__xludf.DUMMYFUNCTION("GOOGLETRANSLATE(C188)"),"VK is the international name for the Russian social network VKontakte. VK - Russian Technological Corporation, until October 12, 2021 - Mail.Ru Group.")</f>
        <v>VK is the international name for the Russian social network VKontakte. VK - Russian Technological Corporation, until October 12, 2021 - Mail.Ru Group.</v>
      </c>
      <c r="M188" s="5" t="str">
        <f>IFERROR(__xludf.DUMMYFUNCTION("GOOGLETRANSLATE(G188)"),"Wikipedia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189">
      <c r="A189" s="1" t="s">
        <v>590</v>
      </c>
      <c r="B189" s="1" t="s">
        <v>611</v>
      </c>
      <c r="C189" s="1" t="s">
        <v>612</v>
      </c>
      <c r="D189" s="1">
        <v>8.0</v>
      </c>
      <c r="E189" s="4" t="s">
        <v>613</v>
      </c>
      <c r="F189" s="1" t="s">
        <v>16</v>
      </c>
      <c r="G189" s="1" t="s">
        <v>614</v>
      </c>
      <c r="H189" s="4" t="s">
        <v>615</v>
      </c>
      <c r="I189" s="2">
        <v>2.0</v>
      </c>
      <c r="J189" s="5" t="str">
        <f>IFERROR(__xludf.DUMMYFUNCTION("GOOGLETRANSLATE(A189)"),"VC")</f>
        <v>VC</v>
      </c>
      <c r="K189" s="6" t="str">
        <f>IFERROR(__xludf.DUMMYFUNCTION("GOOGLETRANSLATE(B189)"),"Buy VK shares (VKCO) 📈: cost today, forecast ...")</f>
        <v>Buy VK shares (VKCO) 📈: cost today, forecast ...</v>
      </c>
      <c r="L189" s="5" t="str">
        <f>IFERROR(__xludf.DUMMYFUNCTION("GOOGLETRANSLATE(C189)"),"VK shares (VKCO) for today. The price of the purchase and sale of securities (VKCO) to individuals online. VK quotes on the graphs, their dynamics, ...")</f>
        <v>VK shares (VKCO) for today. The price of the purchase and sale of securities (VKCO) to individuals online. VK quotes on the graphs, their dynamics, ...</v>
      </c>
      <c r="M189" s="5" t="str">
        <f>IFERROR(__xludf.DUMMYFUNCTION("GOOGLETRANSLATE(G189)"),"Tinkoff - credit and debit cards loans for business and individuals for the correct operation of the bank’s services, it is necessary to enable support to JavaScript persons for life to miss the cardcredit cards of the Card Card Card Signature Procedure O"&amp;"rphanage Simcoelectronic Simcatararifferavity Iat the money to any purpose on the collateral of real estate machine Real Estate Refine the credit under the key to the key to the auto -tank -raising accountant to investing score -core -scatalog Market teac"&amp;"hing for investors in terms of Terminaline Cooppyl Culpcrapel Pauls of therass Rousscadolicadolmark is to install insurance cascaps of the Keep -coat -alerture producers for the Roads of the Products of the Khvakinotyatryasalons of the Beauty Bliblogdliyb"&amp;"ildliybildliybildiytatelnatorskii/D Tylets for Travelers of the Stuffing Part Kavtovtsymokhoplivoykhovykhovo-Sobeskoye under DTKART for automotivelistovatokreditovanovanimi business BUSINESS BUSINESS BUSINESSE for the Small Business Account IPROMENTARY AN"&amp;"DPORT OF LLCTIRARIBYBUSTALUTALITARY OF CARTALUTALITARY BUSTSITS AND OVERNAITION OF BUSINESS PROGRASTION OF SUPPLISTION OF THE CROP For OOO, turn-the-road crediterderdraftate-reception lines of the payment of the Paying Acquiringinternet-AC Payments on Qro"&amp;"nline Casserosrossymochdolyamitinkoff Paybonuses for BUSINESS BUSINESS PARTERICIAL STORMARICARTSISTRICARTYSELLERSELLERALLERALLERARETER OF SAITS-ZAKUPEKIKELECTRONAL signature of counterparties for a large business accounting-card of cardiacs according to 1"&amp;"15-fostering reinforcements and Ecommercezerzelznitsa-Credituitual Project vehicle payments for self-employees with self-employees of individuals payments of taxi parking of a pawnshopposure of Mfogogoskupkupkipper account of the payroll ecviringinterinet"&amp;"-ACCOVIRINGPOS-TRADING PAYOFF PAYFF PAYABLIA Resolve Koruskoff will be responding to a partner density and overnights for business verification of counterparty premium-dimensor-premium to miss the card-to-the-service investment for life for life, the help"&amp;" of the help of the investment on taxprivate services for life consumption for Private Talksheposhepo Leznoecurs Valyutbankomata Tinkoffinkoff Pay Payage Continuations Tinkofoff is correctly entrusted by the current situations for product workings for Tin"&amp;"koff work to ITBUSTRISS AND Processing with client -Tink -dealerships of the Options of the Ovoltable Verozhot. What is the newcomer all the construction of customers Cabinetinernet-Bankinvestincoff Mobilltinkoff businessform to Tinkoff with a profitabili"&amp;"ty of up to 15% of the per annum of the annual sub-terminal card recommended by your friends of the ruble up to 30% to 5% per annum of the annual translations without commissioning cardcredit cards of the Credit of the Credit. the attachment of the recomm"&amp;"ended product card with free maintenance of Tinkoff Platinum until November 30 and do not pay for Serving the CartoTinkoff investment of the investment tariffs and the convenient attach to the investor card Tinkoff-patch for free: the telephone secretary "&amp;"Oleg 600 minutes 20 GB vocabulary, start a contribution with replenishment and partial withdrawal. Each month, receive interest on a card or deposit insemination of an inspections with an online calculator and discounts (KBM) for trouble-free, the cost of"&amp;" the products is trusted by more than 38 million customers of the Bank of the Year Bank Bank. Rutinkoff was recognized as the best in the following categories: “Care of Client ""Digital Bank of the Year"" ""Investment Company of the Year"" ""Investment Pr"&amp;"oduct of the Year"" ""Folk rating of insurance companies"" Details and Currency Curries between their accounts Payment for services and the removal of cash services Tinkoff examination of cash with Tinkoff ATss without a commission. И без карты если у вас"&amp;"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кэшб"&amp;"экаПопробоватьМобильное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Decem"&amp;"ber 31 and participate in the rally in details of deposits in rubles up to 141% how to get the maximum headquarters of cashback of the day, Tinkyfr »IPhone and returned to 100% expenditure1 000 000 ₽ for a trip to the trip, form a tourist insurance in Tin"&amp;"koff and participate in the drawing of priestly articles and news - on the blog Tinkoff work and developing your or other city, to take a vacancies, the formation of educational courses and paid development programs for the development F magazine Secret U"&amp;"nions of how to conduct business in Russia to be more fully fulfilled by the filling of full-wrapping in all products on all products in the product in the product of Tinkoff products Restaurants Services and Brands based on real reviews of retrieval holi"&amp;"days in 2023 year-Great Line for providing vacation for participants in their families: 8,800 555-89-77 more in more and more Correct. SK answers to questions of the Po-UskiSkakak write to the chatenstac to download the appendix to enter the personal tran"&amp;"smission of the transmission of the transfer of the transfer to write off the certificate or extract8 800 333-33-33-33 days of calls on the Russian-loop card-densium cards-refuketing, the Automobile Credit of the Authority of the Pro Tinkoff Private -Over"&amp;"puts of Opeling Oo -Sochasco on subscription to the border of Russia -Keep -Classure Predructions Apri -Bi -Vevybiytytytychitotnaturezh/D ticketsTinkoff Software, speech -making, business -consumer counter -regional Skupkupkupkuphkuphightihgaliyabovnia -C"&amp;"artadesityrassprochochkrochkroke of counterparties for businesscaedal-building products of food and orienteatrateatrateratechystavsalones of Beautiful-fuel-Avtopoiliblogloglogloglogs collection collection Pulcollectic collection Juniorfino T-monopolis Tin"&amp;"koffcoforo Tinkoff Gorodbol Shoy Business accountservices for paymentcore ecrings-editions-eedgosykupovusiness-regulations-regions-tinkoff datatinkoff Idtinkoff Casseter-Acquirital cassation, re-investment grab dulls for card-free-grade solutions for QR-c"&amp;"odes-inspection transpondumure KOFF PAIT COMPORTANT TINKOFF IDDENTIONS with Tinkoff Id Paypery Card-Cardioblog Polar-West Carrier-Brinder accounting auspremacy of the vocal-vileagstiligo-pupil of therapils Strategramminolcademia of investment-cardsimtarif"&amp;"ymarifystyumenos. Number-painting Number-sabotage number of Olegtktktkom Zhelnizhnizhnizhnizhchikatimi or refusal money-wrapping in the ITS Entamio Bankenovostiglobrabotatchki replenishment of the Bank of the Currency Counsers of the Contact Serving of th"&amp;"e Investors Centers Center of Corporate Information Information on interest rates under bank deposit agreements from the physical personnel of information by a professional participant in the market, the securities of a large online bank in the world Chan"&amp;"ging the conditions of products and services of the bankcartics of the Remote service of the remote service for the Distilled Democularation of compliance of working conditions by state regulatory requirements of labor protection of Tinkoff Bank JSC Infor"&amp;"mation on the duration of operating rooms of the Haval Automobile Automobile Automobile Automobile Automobile Automobile Automobile Automobile Automobile Automobile Automobile Automobile Automobile Autonom Credit card "" Based on the results of the online"&amp;" voting of the ""Compare"" service of the Service, INNITY.RU in 2023. Among 3 credit organizations in parameters: a) a large grace period for users of card b) Operational service and communication with a client B) Convenient receipt of the card. Tinkoff B"&amp;"ank uses Cookie files to personalize services and improving the convenience of using a website. ""Cookie"" are small files containing information about previous visits to the website. If you do not want to use the Cookie files change the browser settings."&amp;" © 2006–2023 Tinkoff Bank JSC Official Universal License Central Bank of the Russian Federation No. 2673english")</f>
        <v>Tinkoff - credit and debit cards loans for business and individuals for the correct operation of the bank’s services, it is necessary to enable support to JavaScript persons for life to miss the cardcredit cards of the Card Card Card Signature Procedure Orphanage Simcoelectronic Simcatararifferavity Iat the money to any purpose on the collateral of real estate machine Real Estate Refine the credit under the key to the key to the auto -tank -raising accountant to investing score -core -scatalog Market teaching for investors in terms of Terminaline Cooppyl Culpcrapel Pauls of therass Rousscadolicadolmark is to install insurance cascaps of the Keep -coat -alerture producers for the Roads of the Products of the Khvakinotyatryasalons of the Beauty Bliblogdliybildliybildliybildiytatelnatorskii/D Tylets for Travelers of the Stuffing Part Kavtovtsymokhoplivoykhovykhovo-Sobeskoye under DTKART for automotivelistovatokreditovanovanimi business BUSINESS BUSINESS BUSINESSE for the Small Business Account IPROMENTARY ANDPORT OF LLCTIRARIBYBUSTALUTALITARY OF CARTALUTALITARY BUSTSITS AND OVERNAITION OF BUSINESS PROGRASTION OF SUPPLISTION OF THE CROP For OOO, turn-the-road crediterderdraftate-reception lines of the payment of the Paying Acquiringinternet-AC Payments on Qronline Casserosrossymochdolyamitinkoff Paybonuses for BUSINESS BUSINESS PARTERICIAL STORMARICARTSISTRICARTYSELLERSELLERALLERALLERARETER OF SAITS-ZAKUPEKIKELECTRONAL signature of counterparties for a large business accounting-card of cardiacs according to 115-fostering reinforcements and Ecommercezerzelznitsa-Credituitual Project vehicle payments for self-employees with self-employees of individuals payments of taxi parking of a pawnshopposure of Mfogogoskupkupkipper account of the payroll ecviringinterinet-ACCOVIRINGPOS-TRADING PAYOFF PAYFF PAYABLIA Resolve Koruskoff will be responding to a partner density and overnights for business verification of counterparty premium-dimensor-premium to miss the card-to-the-service investment for life for life, the help of the help of the investment on taxprivate services for life consumption for Private Talksheposhepo Leznoecurs Valyutbankomata Tinkoffinkoff Pay Payage Continuations Tinkofoff is correctly entrusted by the current situations for product workings for Tinkoff work to ITBUSTRISS AND Processing with client -Tink -dealerships of the Options of the Ovoltable Verozhot. What is the newcomer all the construction of customers Cabinetinernet-Bankinvestincoff Mobilltinkoff businessform to Tinkoff with a profitability of up to 15% of the per annum of the annual sub-terminal card recommended by your friends of the ruble up to 30% to 5% per annum of the annual translations without commissioning cardcredit cards of the Credit of the Credit. the attachment of the recommended product card with free maintenance of Tinkoff Platinum until November 30 and do not pay for Serving the CartoTinkoff investment of the investment tariffs and the convenient attach to the investor card Tinkoff-patch for free: the telephone secretary Oleg 600 minutes 20 GB vocabulary, start a contribution with replenishment and partial withdrawal. Each month, receive interest on a card or deposit insemination of an inspections with an online calculator and discounts (KBM) for trouble-free, the cost of the products is trusted by more than 38 million customers of the Bank of the Year Bank Bank. Rutinkoff was recognized as the best in the following categories: “Care of Client "Digital Bank of the Year" "Investment Company of the Year" "Investment Product of the Year" "Folk rating of insurance companies" Details and Currency Curries between their accounts Payment for services and the removal of cash services Tinkoff examination of cash with Tinkoff ATss without a commission. И без карты если у вас смартфонНайти банкомат Переводы и пополненияС карты на карту или на счет ТинькоффПополнить или перевестиПриведи другаДо 5000 ₽ за рекомендации друзьямПодробнееTinkoff Pay — оплата в несколько касанийВсе как вы привыкли: легко надежно и с сохранением кэшбэкаПопробоватьМобильное приложение ТинькоффПроверяйте баланс оплачивайте услуги получайте помощь в Chat 24/7 -actually now distribute up to 3,000 000 ₽ to repay a mortgage -form -form with a mortgage insurance in Tinkoff with a discount of 10% until December 31 and participate in the rally in details of deposits in rubles up to 141% how to get the maximum headquarters of cashback of the day, Tinkyfr »IPhone and returned to 100% expenditure1 000 000 ₽ for a trip to the trip, form a tourist insurance in Tinkoff and participate in the drawing of priestly articles and news - on the blog Tinkoff work and developing your or other city, to take a vacancies, the formation of educational courses and paid development programs for the development F magazine Secret Unions of how to conduct business in Russia to be more fully fulfilled by the filling of full-wrapping in all products on all products in the product in the product of Tinkoff products Restaurants Services and Brands based on real reviews of retrieval holidays in 2023 year-Great Line for providing vacation for participants in their families: 8,800 555-89-77 more in more and more Correct. SK answers to questions of the Po-UskiSkakak write to the chatenstac to download the appendix to enter the personal transmission of the transmission of the transfer of the transfer to write off the certificate or extract8 800 333-33-33-33 days of calls on the Russian-loop card-densium cards-refuketing, the Automobile Credit of the Authority of the Pro Tinkoff Private -Overputs of Opeling Oo -Sochasco on subscription to the border of Russia -Keep -Classure Predructions Apri -Bi -Vevybiytytytychitotnaturezh/D ticketsTinkoff Software, speech -making, business -consumer counter -regional Skupkupkupkuphkuphightihgaliyabovnia -Cartadesityrassprochochkrochkroke of counterparties for businesscaedal-building products of food and orienteatrateatrateratechystavsalones of Beautiful-fuel-Avtopoiliblogloglogloglogs collection collection Pulcollectic collection Juniorfino T-monopolis Tinkoffcoforo Tinkoff Gorodbol Shoy Business accountservices for paymentcore ecrings-editions-eedgosykupovusiness-regulations-regions-tinkoff datatinkoff Idtinkoff Casseter-Acquirital cassation, re-investment grab dulls for card-free-grade solutions for QR-codes-inspection transpondumure KOFF PAIT COMPORTANT TINKOFF IDDENTIONS with Tinkoff Id Paypery Card-Cardioblog Polar-West Carrier-Brinder accounting auspremacy of the vocal-vileagstiligo-pupil of therapils Strategramminolcademia of investment-cardsimtarifymarifystyumenos. Number-painting Number-sabotage number of Olegtktktkom Zhelnizhnizhnizhnizhchikatimi or refusal money-wrapping in the ITS Entamio Bankenovostiglobrabotatchki replenishment of the Bank of the Currency Counsers of the Contact Serving of the Investors Centers Center of Corporate Information Information on interest rates under bank deposit agreements from the physical personnel of information by a professional participant in the market, the securities of a large online bank in the world Changing the conditions of products and services of the bankcartics of the Remote service of the remote service for the Distilled Democularation of compliance of working conditions by state regulatory requirements of labor protection of Tinkoff Bank JSC Information on the duration of operating rooms of the Haval Automobile Automobile Automobile Automobile Automobile Automobile Automobile Automobile Automobile Automobile Automobile Automobile Automobile Autonom Credit card " Based on the results of the online voting of the "Compare" service of the Service, INNITY.RU in 2023. Among 3 credit organizations in parameters: a) a large grace period for users of card b) Operational service and communication with a client B) Convenient receipt of the card. Tinkoff Bank uses Cookie files to personalize services and improving the convenience of using a website. "Cookie" are small files containing information about previous visits to the website. If you do not want to use the Cookie files change the browser settings. © 2006–2023 Tinkoff Bank JSC Official Universal License Central Bank of the Russian Federation No. 2673english</v>
      </c>
    </row>
    <row r="190">
      <c r="A190" s="1" t="s">
        <v>590</v>
      </c>
      <c r="B190" s="1" t="s">
        <v>616</v>
      </c>
      <c r="D190" s="1">
        <v>9.0</v>
      </c>
      <c r="E190" s="4" t="s">
        <v>617</v>
      </c>
      <c r="F190" s="1" t="s">
        <v>16</v>
      </c>
      <c r="G190" s="1" t="s">
        <v>618</v>
      </c>
      <c r="H190" s="4" t="s">
        <v>619</v>
      </c>
      <c r="I190" s="2">
        <v>2.0</v>
      </c>
      <c r="J190" s="5" t="str">
        <f>IFERROR(__xludf.DUMMYFUNCTION("GOOGLETRANSLATE(A190)"),"VC")</f>
        <v>VC</v>
      </c>
      <c r="K190" s="6" t="str">
        <f>IFERROR(__xludf.DUMMYFUNCTION("GOOGLETRANSLATE(B190)"),"VK Post - Mail.ru")</f>
        <v>VK Post - Mail.ru</v>
      </c>
      <c r="L190" s="5" t="str">
        <f>IFERROR(__xludf.DUMMYFUNCTION("GOOGLETRANSLATE(C190)"),"#VALUE!")</f>
        <v>#VALUE!</v>
      </c>
      <c r="M190" s="5" t="str">
        <f>IFERROR(__xludf.DUMMYFUNCTION("GOOGLETRANSLATE(G190)"),"Reducation")</f>
        <v>Reducation</v>
      </c>
    </row>
    <row r="191">
      <c r="A191" s="1" t="s">
        <v>590</v>
      </c>
      <c r="B191" s="4" t="s">
        <v>620</v>
      </c>
      <c r="D191" s="1">
        <v>10.0</v>
      </c>
      <c r="E191" s="4" t="s">
        <v>621</v>
      </c>
      <c r="F191" s="1" t="s">
        <v>16</v>
      </c>
      <c r="I191" s="2">
        <v>3.0</v>
      </c>
      <c r="J191" s="5" t="str">
        <f>IFERROR(__xludf.DUMMYFUNCTION("GOOGLETRANSLATE(A191)"),"VC")</f>
        <v>VC</v>
      </c>
      <c r="K191" s="7" t="str">
        <f>IFERROR(__xludf.DUMMYFUNCTION("GOOGLETRANSLATE(B191)"),"www.m.vk.ru/")</f>
        <v>www.m.vk.ru/</v>
      </c>
      <c r="L191" s="5" t="str">
        <f>IFERROR(__xludf.DUMMYFUNCTION("GOOGLETRANSLATE(C191)"),"#VALUE!")</f>
        <v>#VALUE!</v>
      </c>
      <c r="M191" s="5" t="str">
        <f>IFERROR(__xludf.DUMMYFUNCTION("GOOGLETRANSLATE(G191)"),"#VALUE!")</f>
        <v>#VALUE!</v>
      </c>
    </row>
    <row r="192">
      <c r="A192" s="1" t="s">
        <v>590</v>
      </c>
      <c r="B192" s="1" t="s">
        <v>622</v>
      </c>
      <c r="C192" s="1" t="s">
        <v>623</v>
      </c>
      <c r="D192" s="1">
        <v>11.0</v>
      </c>
      <c r="E192" s="4" t="s">
        <v>624</v>
      </c>
      <c r="F192" s="1" t="s">
        <v>16</v>
      </c>
      <c r="G192" s="1" t="s">
        <v>625</v>
      </c>
      <c r="H192" s="4" t="s">
        <v>626</v>
      </c>
      <c r="I192" s="2">
        <v>5.0</v>
      </c>
      <c r="J192" s="5" t="str">
        <f>IFERROR(__xludf.DUMMYFUNCTION("GOOGLETRANSLATE(A192)"),"VC")</f>
        <v>VC</v>
      </c>
      <c r="K192" s="6" t="str">
        <f>IFERROR(__xludf.DUMMYFUNCTION("GOOGLETRANSLATE(B192)"),"The switches of the button VK-30")</f>
        <v>The switches of the button VK-30</v>
      </c>
      <c r="L192" s="5" t="str">
        <f>IFERROR(__xludf.DUMMYFUNCTION("GOOGLETRANSLATE(C192)"),"The switches of the button Dekraft series VK-30 are designed to switch electrical circuits and indicate the condition of electrical circuits.")</f>
        <v>The switches of the button Dekraft series VK-30 are designed to switch electrical circuits and indicate the condition of electrical circuits.</v>
      </c>
      <c r="M192" s="5" t="str">
        <f>IFERROR(__xludf.DUMMYFUNCTION("GOOGLETRANSLATE(G192)"),"DEKRAFT low -voltage equipment continuing to view the website www.dek.ru, I agree using the COOKIE file owner in accordance with the “Policy on COOKIE files”, including the transfer of data specified in the policy of third parties - the Internet statistic"&amp;"s services. : 8 (800) 200 64 46 Moscow: +7 (495) 777 99 88o DekRaftaccatual Generation of compensation of reactive power controls KR-101 KS-101COMNISTORS KM-102-Sarcinus condenser KS-102-controllers of the KR-102ANTRARO REC Nange throttle DR-101 DR-102 ST"&amp;"RETENTEDSTENCE Lighting Lighting Light Lighting Lighting Lighting Modular Equipus Automatic Switches VA-105 10 CAUTOMATIC SHOUNTERS VA-105 DC 6ka / 10 CA-105 VA-105 DC UZDP-103Automatic Overpasses without thermal protection of the VA-103M 6 CaAARUTOME the"&amp;" switches of the VA-103 New 1P+N 4.5 series Caautomatic switches VA-103 6 CAUTOMATIC switches of the VA-103 NEW 6 Cadifentry machines DIF-103 1-phase 4.5 CADIPENITIONALARIC Automobiles DIF-103 1- 3-phase 6-different current of the series 03 NEW Dif-103.5 "&amp;"KAAURAUTO Matical switches wa- 101 4.5 CACSESSES for VA-101 VA-103M DIF-101 DIF-101S DIF-103 4.5ka NEW-Automatic switches VA-201 10 CARAITION OF ORTENTIONS OP-101 MODULE CONSTANCE MK-103Sinal lamps LS-10DLOSTRY MODULE RM-102 From the arc breakdown of UZDP"&amp;"-103 switches-units of the series VN-105 TREAR-DOINTIONAL SPIRITIVERS-SECOMENTERS of the VR-103 Differential current switches UZO-03 6-cadifentent automatic machines selective DIF-10 S 1- 3-phase 6-power machines DIF-10 1-3-phase 4.5KA Differential automa"&amp;"tic machines DIF-102 1-phase 4.5 cadifentential modules DM-103 for automatic switches VA-103 DOSCOMENTERS STU-103 BOODS-SECOMENTERS VEC-102 Prime Ministers cylindrical PC-102 100 Cassyl and switching equipment of the A-Autocratic circuit in the Corps of t"&amp;"he VA-330A NEWAC Reserve ABR-701 switches -Sectors of the VR-101 Sunsyl circuit breakers VA-300lautomatic input of the ABR-300-Contactors of the KM-102Automatic STRICTOR OF STARTICAL STRICTORS of the VA-430Automatic Switches in the Case of the VA-330Eutom"&amp;"atic Switches in the VA-300 Newwriter. 2 NEW series of the series PM-102-air automatic circuit breakers of the VA-750-air automatic circuit breakers of the VA-730 NEW-automatic switches in the casting housing of the VA-300 1P/2RPRECTIONS Frequency PC-510 "&amp;"(DEKV060) Electric Interior Contesters 2.0 Prime Ministers-Dressers-Disarmers of the PVR-102-Democratic District November-switches -Sectors of the PVR-101-Automatic circuit breakers VA-730 SHOULD circuit breakers VA-330 ASIL automatic circuit breakers VA-"&amp;"300COTTORS KM-103 Processing Service PN-101 U control and signaling relay Actual RK-102-Minor Electric Superior Relia and Accessories Rycorpus modular plastic series of Shchrn- P and Shchrv-pancake shields Distributive hinged/ built-in (Shirn/ SHRV) Distr"&amp;"ibution shields (SCE) shields with mounting panel (SCMP) shields switching hinges (ShchrnM) shields Sasive accounting hinged/ built-in (Shchrun Shkriv). Distribution devices collected (KVRA) of the introductory and distribution houses of all-free (KVRU CS"&amp;") Corps Modular Plastic (Boxes) SchRN-P series for automatic circuit breakers and grilles of SV-301 Corpus Modular Schrn-P Schrw-Micorpus. -Astral devices collected-divided devices (KVRU SP New) Capabilities Distribution Floor Basalt series (SRN Basalt) H"&amp;"eaters resistive NR-301 Systems for control of microclimate SKM-301 Contain switches of the KV-302 kV-303EELLECTRICAL Domestic dimensional measurement equipment TOP TOP-0 66 TShP-066analogical measuring devices am Incuphrous measuring instruments of AM VM"&amp;" MTSTOSKARARYARARARANTIAD BUY BUY TUSCISTACTACES OF COMPECTACTION OF COMMUNITION OF RASTENTS Power STRUCTIONARYMODULEMODULARICAL AND TEMATION OF ELECTRICAL ELECTRICS AND ASSESSENCES OF ACCOMMALITIONARY OFFICIAL OFFICIAL OFFICIAL OFFICE OFFICIAL OFFICE DEC"&amp;"IPTIONS OF COMPLEMITION OF RAC-10 CPL-10 Ractive Power KS-10 Rocket power controllers KS-10 1 Contactors KM-102-SAR Kosinus capacitors KS-102 Reactive power regulators KR-102 Anti-Rossel throttle DR-101 DR-102 Lighting equipment Industrial Light Light Lig"&amp;"hts Office Lighting Lighting Modular Equipment Modular Equiples VA-105 10A VA-105 DC 6ka / 10a Accessories for VA-10 VA-10 DC 103 Automatic Switches without thermal protection of the VA-103M 6ka series automatic circuit breakers of the VA-103 New 1P+N 4.5"&amp;"a automatic circuit breakers VA-103 6ka automatic circuit breakers of the VA-103 New 6ka differential machines DIF-10 1-phase 4.5KA differential machines DIF-103 1 -3-phase 6KA Differential current switches of the UZO-03 NEW 6ka series DEF-103 NEW 4.5ka a"&amp;"utomatic circuit breakers VA-101 4.5a accessories for VA-101 VA-103M DIF-10 DIF-10IS DIF-102 Dif-10 -103 4.5ka new circuit breakers VA-201 10ka restraints of overvoltage OP-101 Modular contributions MK-103 signal lamps LS-101 Roset Modular RM-102 Protecti"&amp;"ve Defense Devices UZDP-103 SECOMENTERS DEMIRENTERS TREATIONAL SPECIALS Series VR-103 Differential current switches RCD-03 6ka differential machines selective DIF-101 s 1- 3-phase 6ka differential machines DIF-101 1- 3-phase 4.5ka differential machines DI"&amp;"F-102 1-phase 4.5ka Differential modules DM- 103 For VA-103 automatic circuit breakers, SMOs-103 Subjects Subracters VN-102 Cylindrical PC-102 100ka Power and Communication Equipment automatic circuit breakers in the VA-330A NEW series Automatic input of "&amp;"the ABR-701 OBR-701 Detachments. -101 power automatic circuit breakers VA-300L Automatic input of the ABR-300 Contactors KM-102 Contactors of the KM-102 Automatic Contrifers of the VA-430 engine VA-430 automatic circuit breakers in the VA-330E series of t"&amp;"he VA-300 NEW relay. 102 NEW starters of the PM-102 series Air circuit breakers of the VA-750 series Air circuit breakers of the VA-730 NEW series automatic circuit breakers in the line of the VA-300 1P/2P case PC-510 frequency (DEKV060) Electric Industri"&amp;"al Electric Driving Confronters. -Disrosters of the PVR-102 series Frowsers-switches-unimportants of the PVR-10-101 series automatic circuit breakers VA-730 power circuit breakers VA-330 A power circuit breakers VA-300 Contactors KM-103 Frusters Knife con"&amp;"trol and signaling relay Active pr- 102 Control and measuring relay RK-101 Industrial connectors of the houses of electrical panels and accessories of the case modular plastic series Shrn-P and Shchrev-P Brot housing Distribution/ Building (SHRN/ SKRV) Sh"&amp;"ields Distribution Board (SCE) panels (SCM) shields (SCMP) shields Distributive hinged with mounting panel (Shchrnm) shields Distributive camshafts / embedded (Schrun Schriv) of the Building and Distributive Devices Corps Relotious (KVRA) of the Enthusias"&amp;"mary Devices CENTRAL (KVRU CS) Modular plastic (Boxes) Short-P series for Automatic switches control of microclimate SKM-301 KV-302 KV-302 KV-303 Electrical Speaking Accessories Meter-Believers Measuring Equipment Transformers TOP TOP-066 TShP-066 Analog "&amp;"measuring instruments AM VM digital devices AM VM MT Equipment Advantages Advantages Advantages Advantages Advantages are a huge assortment of 100%safety of products Certificates of compliance with GOST R Work in all regions of the Russian Federation News"&amp;" Read all news -day holidays in China from 02.02.2024 to 02/16/2024 Dear partners! We inform you that in connection with the New Year holidays in China from 02.02.2024 to 1 ... 11/03/2023 DECRAFT modular equipment DEKRAFT-switches-divisors of the VU-105 s"&amp;"eries Dear partners! The dekraft brand expands the assortment of the final distribution equipment ... 06.09.2023 DECRAFT modular equipment-three-position switches-divisors of the VR-103 Dear partners! The dekraft brand expands the assortment of the final "&amp;"distribution equipment ... 07.20.2023 Brushas Modular Equipment DEKRAFT 2023 Edition 5 Dear partners! We notify you of updating the brochure of the modular equipment DEKRAFT 2023. This is 5 of ... 05/29/2023 Automatic switches of the VA-103 VA-105 series:"&amp;" the EAEU Certificate GOST TS 004/2011 according to the standard GOST IEC 60947-2 (IEC 60947-2 )  Dear partners! We inform you about the successful testing of testing and obtaining the EAEU certificate ... 02.28.2023 Louge of accessories to the KM-102 Con"&amp;"tactors KM-102 Dear colleagues are pleased to report the expansion of the KM-102 Contactors assortment devices with DVs ... 02/27/2023 Copyright © 20000023. DEKRAFT all rights are protected. Creation of electronic catalogs - art project all Russia: 8 (800"&amp;") 200 64 46 Moscow: +7 (495) 777 99 88")</f>
        <v>DEKRAFT low -voltage equipment continuing to view the website www.dek.ru, I agree using the COOKIE file owner in accordance with the “Policy on COOKIE files”, including the transfer of data specified in the policy of third parties - the Internet statistics services. : 8 (800) 200 64 46 Moscow: +7 (495) 777 99 88o DekRaftaccatual Generation of compensation of reactive power controls KR-101 KS-101COMNISTORS KM-102-Sarcinus condenser KS-102-controllers of the KR-102ANTRARO REC Nange throttle DR-101 DR-102 STRETENTEDSTENCE Lighting Lighting Light Lighting Lighting Lighting Modular Equipus Automatic Switches VA-105 10 CAUTOMATIC SHOUNTERS VA-105 DC 6ka / 10 CA-105 VA-105 DC UZDP-103Automatic Overpasses without thermal protection of the VA-103M 6 CaAARUTOME the switches of the VA-103 New 1P+N 4.5 series Caautomatic switches VA-103 6 CAUTOMATIC switches of the VA-103 NEW 6 Cadifentry machines DIF-103 1-phase 4.5 CADIPENITIONALARIC Automobiles DIF-103 1- 3-phase 6-different current of the series 03 NEW Dif-103.5 KAAURAUTO Matical switches wa- 101 4.5 CACSESSES for VA-101 VA-103M DIF-101 DIF-101S DIF-103 4.5ka NEW-Automatic switches VA-201 10 CARAITION OF ORTENTIONS OP-101 MODULE CONSTANCE MK-103Sinal lamps LS-10DLOSTRY MODULE RM-102 From the arc breakdown of UZDP-103 switches-units of the series VN-105 TREAR-DOINTIONAL SPIRITIVERS-SECOMENTERS of the VR-103 Differential current switches UZO-03 6-cadifentent automatic machines selective DIF-10 S 1- 3-phase 6-power machines DIF-10 1-3-phase 4.5KA Differential automatic machines DIF-102 1-phase 4.5 cadifentential modules DM-103 for automatic switches VA-103 DOSCOMENTERS STU-103 BOODS-SECOMENTERS VEC-102 Prime Ministers cylindrical PC-102 100 Cassyl and switching equipment of the A-Autocratic circuit in the Corps of the VA-330A NEWAC Reserve ABR-701 switches -Sectors of the VR-101 Sunsyl circuit breakers VA-300lautomatic input of the ABR-300-Contactors of the KM-102Automatic STRICTOR OF STARTICAL STRICTORS of the VA-430Automatic Switches in the Case of the VA-330Eutomatic Switches in the VA-300 Newwriter. 2 NEW series of the series PM-102-air automatic circuit breakers of the VA-750-air automatic circuit breakers of the VA-730 NEW-automatic switches in the casting housing of the VA-300 1P/2RPRECTIONS Frequency PC-510 (DEKV060) Electric Interior Contesters 2.0 Prime Ministers-Dressers-Disarmers of the PVR-102-Democratic District November-switches -Sectors of the PVR-101-Automatic circuit breakers VA-730 SHOULD circuit breakers VA-330 ASIL automatic circuit breakers VA-300COTTORS KM-103 Processing Service PN-101 U control and signaling relay Actual RK-102-Minor Electric Superior Relia and Accessories Rycorpus modular plastic series of Shchrn- P and Shchrv-pancake shields Distributive hinged/ built-in (Shirn/ SHRV) Distribution shields (SCE) shields with mounting panel (SCMP) shields switching hinges (ShchrnM) shields Sasive accounting hinged/ built-in (Shchrun Shkriv). Distribution devices collected (KVRA) of the introductory and distribution houses of all-free (KVRU CS) Corps Modular Plastic (Boxes) SchRN-P series for automatic circuit breakers and grilles of SV-301 Corpus Modular Schrn-P Schrw-Micorpus. -Astral devices collected-divided devices (KVRU SP New) Capabilities Distribution Floor Basalt series (SRN Basalt) Heaters resistive NR-301 Systems for control of microclimate SKM-301 Contain switches of the KV-302 kV-303EELLECTRICAL Domestic dimensional measurement equipment TOP TOP-0 66 TShP-066analogical measuring devices am Incuphrous measuring instruments of AM VM MTSTOSKARARYARARARANTIAD BUY BUY TUSCISTACTACES OF COMPECTACTION OF COMMUNITION OF RASTENTS Power STRUCTIONARYMODULEMODULARICAL AND TEMATION OF ELECTRICAL ELECTRICS AND ASSESSENCES OF ACCOMMALITIONARY OFFICIAL OFFICIAL OFFICIAL OFFICE OFFICIAL OFFICE DECIPTIONS OF COMPLEMITION OF RAC-10 CPL-10 Ractive Power KS-10 Rocket power controllers KS-10 1 Contactors KM-102-SAR Kosinus capacitors KS-102 Reactive power regulators KR-102 Anti-Rossel throttle DR-101 DR-102 Lighting equipment Industrial Light Light Lights Office Lighting Lighting Modular Equipment Modular Equiples VA-105 10A VA-105 DC 6ka / 10a Accessories for VA-10 VA-10 DC 103 Automatic Switches without thermal protection of the VA-103M 6ka series automatic circuit breakers of the VA-103 New 1P+N 4.5a automatic circuit breakers VA-103 6ka automatic circuit breakers of the VA-103 New 6ka differential machines DIF-10 1-phase 4.5KA differential machines DIF-103 1 -3-phase 6KA Differential current switches of the UZO-03 NEW 6ka series DEF-103 NEW 4.5ka automatic circuit breakers VA-101 4.5a accessories for VA-101 VA-103M DIF-10 DIF-10IS DIF-102 Dif-10 -103 4.5ka new circuit breakers VA-201 10ka restraints of overvoltage OP-101 Modular contributions MK-103 signal lamps LS-101 Roset Modular RM-102 Protective Defense Devices UZDP-103 SECOMENTERS DEMIRENTERS TREATIONAL SPECIALS Series VR-103 Differential current switches RCD-03 6ka differential machines selective DIF-101 s 1- 3-phase 6ka differential machines DIF-101 1- 3-phase 4.5ka differential machines DIF-102 1-phase 4.5ka Differential modules DM- 103 For VA-103 automatic circuit breakers, SMOs-103 Subjects Subracters VN-102 Cylindrical PC-102 100ka Power and Communication Equipment automatic circuit breakers in the VA-330A NEW series Automatic input of the ABR-701 OBR-701 Detachments. -101 power automatic circuit breakers VA-300L Automatic input of the ABR-300 Contactors KM-102 Contactors of the KM-102 Automatic Contrifers of the VA-430 engine VA-430 automatic circuit breakers in the VA-330E series of the VA-300 NEW relay. 102 NEW starters of the PM-102 series Air circuit breakers of the VA-750 series Air circuit breakers of the VA-730 NEW series automatic circuit breakers in the line of the VA-300 1P/2P case PC-510 frequency (DEKV060) Electric Industrial Electric Driving Confronters. -Disrosters of the PVR-102 series Frowsers-switches-unimportants of the PVR-10-101 series automatic circuit breakers VA-730 power circuit breakers VA-330 A power circuit breakers VA-300 Contactors KM-103 Frusters Knife control and signaling relay Active pr- 102 Control and measuring relay RK-101 Industrial connectors of the houses of electrical panels and accessories of the case modular plastic series Shrn-P and Shchrev-P Brot housing Distribution/ Building (SHRN/ SKRV) Shields Distribution Board (SCE) panels (SCM) shields (SCMP) shields Distributive hinged with mounting panel (Shchrnm) shields Distributive camshafts / embedded (Schrun Schriv) of the Building and Distributive Devices Corps Relotious (KVRA) of the Enthusiasmary Devices CENTRAL (KVRU CS) Modular plastic (Boxes) Short-P series for Automatic switches control of microclimate SKM-301 KV-302 KV-302 KV-303 Electrical Speaking Accessories Meter-Believers Measuring Equipment Transformers TOP TOP-066 TShP-066 Analog measuring instruments AM VM digital devices AM VM MT Equipment Advantages Advantages Advantages Advantages Advantages are a huge assortment of 100%safety of products Certificates of compliance with GOST R Work in all regions of the Russian Federation News Read all news -day holidays in China from 02.02.2024 to 02/16/2024 Dear partners! We inform you that in connection with the New Year holidays in China from 02.02.2024 to 1 ... 11/03/2023 DECRAFT modular equipment DEKRAFT-switches-divisors of the VU-105 series Dear partners! The dekraft brand expands the assortment of the final distribution equipment ... 06.09.2023 DECRAFT modular equipment-three-position switches-divisors of the VR-103 Dear partners! The dekraft brand expands the assortment of the final distribution equipment ... 07.20.2023 Brushas Modular Equipment DEKRAFT 2023 Edition 5 Dear partners! We notify you of updating the brochure of the modular equipment DEKRAFT 2023. This is 5 of ... 05/29/2023 Automatic switches of the VA-103 VA-105 series: the EAEU Certificate GOST TS 004/2011 according to the standard GOST IEC 60947-2 (IEC 60947-2 )  Dear partners! We inform you about the successful testing of testing and obtaining the EAEU certificate ... 02.28.2023 Louge of accessories to the KM-102 Contactors KM-102 Dear colleagues are pleased to report the expansion of the KM-102 Contactors assortment devices with DVs ... 02/27/2023 Copyright © 20000023. DEKRAFT all rights are protected. Creation of electronic catalogs - art project all Russia: 8 (800) 200 64 46 Moscow: +7 (495) 777 99 88</v>
      </c>
    </row>
    <row r="193">
      <c r="A193" s="1" t="s">
        <v>590</v>
      </c>
      <c r="B193" s="1" t="s">
        <v>627</v>
      </c>
      <c r="C193" s="1" t="s">
        <v>628</v>
      </c>
      <c r="D193" s="1">
        <v>12.0</v>
      </c>
      <c r="E193" s="4" t="s">
        <v>629</v>
      </c>
      <c r="F193" s="1" t="s">
        <v>16</v>
      </c>
      <c r="G193" s="1" t="s">
        <v>630</v>
      </c>
      <c r="H193" s="4" t="s">
        <v>631</v>
      </c>
      <c r="I193" s="2">
        <v>2.0</v>
      </c>
      <c r="J193" s="5" t="str">
        <f>IFERROR(__xludf.DUMMYFUNCTION("GOOGLETRANSLATE(A193)"),"VC")</f>
        <v>VC</v>
      </c>
      <c r="K193" s="6" t="str">
        <f>IFERROR(__xludf.DUMMYFUNCTION("GOOGLETRANSLATE(B193)"),"VK Combo Submission")</f>
        <v>VK Combo Submission</v>
      </c>
      <c r="L193" s="5" t="str">
        <f>IFERROR(__xludf.DUMMYFUNCTION("GOOGLETRANSLATE(C193)"),"VK Combo is a discount subscription and special offers in popular services. Music, online cinema, cloud storage, discounts on education and books and ...")</f>
        <v>VK Combo is a discount subscription and special offers in popular services. Music, online cinema, cloud storage, discounts on education and books and ...</v>
      </c>
      <c r="M193" s="5" t="str">
        <f>IFERROR(__xludf.DUMMYFUNCTION("GOOGLETRANSLATE(G193)"),"Subscription VK Combo introduce promo code VK Music VK COMBO is more unavailable for buying your subscription will continue to work as usual you can manage it in your personal account: to use all discounts to change the method of payment for the end of th"&amp;"e end remains questions? Yes, a couple of questions are there how to subscribe? VK Combo subscription is not available for purchase, but you can issue a VK music subscription by clicking on the link. What is VK Combo? VK Combo is a subscription that allow"&amp;"s you to listen to VK music without advertising and also receive discounts on goods and services of partners: the education of the game in the cloud and much more .vk Combo costs 149 rubles a month. Subscription is extended automatically? Yes, you do not "&amp;"have to do it manually. Every month on the day of payment, we write off the money from the attached card. If we do not work the first time in the mail and try again - a minute before the end of the subscription and within the next seven days. It is that p"&amp;"ayment still does not pass. For example, when the card is blocked or there is no money on it. At this moment, we will report on the problem - and you can extend the VK Combo subscription. VK Combo acts throughout the Russian Federation? You can arrange VK"&amp;" Combo from anywhere in the country. But pay attention to that some services included in the subscription do not work in all cities of Russia. Can you transfer promotional codes received in VK Combo to friends? You can activate the promotional code only o"&amp;"nce. If you can’t use it (for example, you already use the service and the promotion is only for new users) then you can share it with friends. Can you change the payment card? You can change the card in your personal account. Go to the section “Subscript"&amp;"ions and payments” click on the “•••” button next to the heading “My card” → Change the subscription. If you bought a subscription through the VKontakte mobile application, you can manage it in the phone’s settings: • on Android: Google Play → “Menu” → “S"&amp;"ubscriptions” → VK; • on iOS: “Apple ID account account” → “Subscriptions” → VK. What to do if you can’t pay for a musical subscription or VK Combo? To pay for the VK Combo subscription: Practice on the website vkcombo.ru. Roll your profile → Go to the su"&amp;"bscription and payments tab → Bind the bank card. The payment will be written off automatically when the paid period is completed. To pay for the music subscription: follow the link. Take a bank card. The subscription will be valid until the end of the pa"&amp;"id deadline and the next time the money will be written off from the card. For iOS devices to avoid double write-offs in the future, we recommend untie the card in the App Store for the VK Combo. To do this, open the iPhone settings → Apple ID account (yo"&amp;"ur name and surname) → Subscriptions → VK Combo/Music without restrictions → cancel the subscription. How to cancel the automatic extension of the subscription? Go to the VK Combo account and open the “Subscriptions and Payments” section. Click the “•••” "&amp;"button and then select “Cover the subscription.” If you bought a subscription through the VKontakte mobile application can be canceled in the phone settings: • on Android: Google Play → “Menu” → “Subscriptions” → VK; • by iOS: “Apple ID account” → “Subscr"&amp;"iptions” → VK. If you bought a subscription in the mini-up of vk Combo can only be canceled. More about the abolition of the subscription: https://vk.com/faq19805 Whether a discount will work if personal cabinets will work VK Combo and Service (e.g. liter"&amp;"s) are tied to different numbers? Yes, if it is a promotional cod. Odnako, most discounts are tied to the phone number that you indicated when registering in VK Combo. Therefore, in order to use bonuses, log in to the service under the same accounting dat"&amp;"a as in a subscription.")</f>
        <v>Subscription VK Combo introduce promo code VK Music VK COMBO is more unavailable for buying your subscription will continue to work as usual you can manage it in your personal account: to use all discounts to change the method of payment for the end of the end remains questions? Yes, a couple of questions are there how to subscribe? VK Combo subscription is not available for purchase, but you can issue a VK music subscription by clicking on the link. What is VK Combo? VK Combo is a subscription that allows you to listen to VK music without advertising and also receive discounts on goods and services of partners: the education of the game in the cloud and much more .vk Combo costs 149 rubles a month. Subscription is extended automatically? Yes, you do not have to do it manually. Every month on the day of payment, we write off the money from the attached card. If we do not work the first time in the mail and try again - a minute before the end of the subscription and within the next seven days. It is that payment still does not pass. For example, when the card is blocked or there is no money on it. At this moment, we will report on the problem - and you can extend the VK Combo subscription. VK Combo acts throughout the Russian Federation? You can arrange VK Combo from anywhere in the country. But pay attention to that some services included in the subscription do not work in all cities of Russia. Can you transfer promotional codes received in VK Combo to friends? You can activate the promotional code only once. If you can’t use it (for example, you already use the service and the promotion is only for new users) then you can share it with friends. Can you change the payment card? You can change the card in your personal account. Go to the section “Subscriptions and payments” click on the “•••” button next to the heading “My card” → Change the subscription. If you bought a subscription through the VKontakte mobile application, you can manage it in the phone’s settings: • on Android: Google Play → “Menu” → “Subscriptions” → VK; • on iOS: “Apple ID account account” → “Subscriptions” → VK. What to do if you can’t pay for a musical subscription or VK Combo? To pay for the VK Combo subscription: Practice on the website vkcombo.ru. Roll your profile → Go to the subscription and payments tab → Bind the bank card. The payment will be written off automatically when the paid period is completed. To pay for the music subscription: follow the link. Take a bank card. The subscription will be valid until the end of the paid deadline and the next time the money will be written off from the card. For iOS devices to avoid double write-offs in the future, we recommend untie the card in the App Store for the VK Combo. To do this, open the iPhone settings → Apple ID account (your name and surname) → Subscriptions → VK Combo/Music without restrictions → cancel the subscription. How to cancel the automatic extension of the subscription? Go to the VK Combo account and open the “Subscriptions and Payments” section. Click the “•••” button and then select “Cover the subscription.” If you bought a subscription through the VKontakte mobile application can be canceled in the phone settings: • on Android: Google Play → “Menu” → “Subscriptions” → VK; • by iOS: “Apple ID account” → “Subscriptions” → VK. If you bought a subscription in the mini-up of vk Combo can only be canceled. More about the abolition of the subscription: https://vk.com/faq19805 Whether a discount will work if personal cabinets will work VK Combo and Service (e.g. liters) are tied to different numbers? Yes, if it is a promotional cod. Odnako, most discounts are tied to the phone number that you indicated when registering in VK Combo. Therefore, in order to use bonuses, log in to the service under the same accounting data as in a subscription.</v>
      </c>
    </row>
    <row r="194">
      <c r="A194" s="1" t="s">
        <v>590</v>
      </c>
      <c r="B194" s="1" t="s">
        <v>632</v>
      </c>
      <c r="D194" s="1">
        <v>13.0</v>
      </c>
      <c r="E194" s="4" t="s">
        <v>633</v>
      </c>
      <c r="F194" s="1" t="s">
        <v>16</v>
      </c>
      <c r="G194" s="1" t="s">
        <v>634</v>
      </c>
      <c r="H194" s="1" t="s">
        <v>635</v>
      </c>
      <c r="I194" s="2">
        <v>1.0</v>
      </c>
      <c r="J194" s="5" t="str">
        <f>IFERROR(__xludf.DUMMYFUNCTION("GOOGLETRANSLATE(A194)"),"VC")</f>
        <v>VC</v>
      </c>
      <c r="K194" s="6" t="str">
        <f>IFERROR(__xludf.DUMMYFUNCTION("GOOGLETRANSLATE(B194)"),"Career - VK / Company")</f>
        <v>Career - VK / Company</v>
      </c>
      <c r="M194" s="5" t="str">
        <f>IFERROR(__xludf.DUMMYFUNCTION("GOOGLETRANSLATE(G194)"),"Career of the company of the company's work of the work of the Commercial Commission of the Office in Moscow Projectingkaniykandidatatams work in Vkkommandamdamytykhotykhiye recommend friendly work all cities of removalnnovy Novgorodsankancamincamincamine"&amp;"rskadalenovs. Kazantomskoschiminskpoisk VKAYSISIST VK in the ranking of the best employers of Russia more relevant vacancies in 200+ projects select the right direction and join us with us to develop technologies for millions of development -develop -deve"&amp;"lopingbackendFrontenTendmobilebiqamachine LearningData Science Imgra development more vacancies -infrastructure administrations of thesredevopssapsapsapsist integration and development more vacancies analytics analytics are more vacancies -based more vaca"&amp;"ncies for Project control product. Kansiynformation security more than the vacanciesback Office Department of the Department of the Department of Personnel Department of the Department of Department Department of the Department of the Office develops the "&amp;"ecosystem, which includes more than 200 projects from different directions, connecting the vk Team -use of people through our projects to watch videos what is important for us? One VK team unites professionals who are working on hundreds of projects in va"&amp;"rious fields. We exchange ideas and experience we value a variety of opinions and approaches. The combination of technologies and examinations of different teams helps us create more advanced products and services. Development of any achievement is an occ"&amp;"asion to set new goals. We do not stop there and are always looking for an opportunity for new discoveries. Each employee has the opportunity to develop and gain new knowledge and skills to grow vertically and become part of the new projects within the VK"&amp;". Technologies for millions, we create technologies services and products that improve the quality of life of millions of users and make innovation available to everyone. We share experience and best practices with the market and influence the development"&amp;" of the entire industry. It is important for us to develop and improve our services by making them convenient and safe for all users. We support experiments and recognize errors: their solution allows you to make services more reliable and the experience "&amp;"of the team is invaluable. One VK team unites professionals who are working on hundreds of projects in various fields. We exchange ideas and experience we value a variety of opinions and approaches. The combination of technologies and examinations of diff"&amp;"erent teams helps us create more advanced products and services. Development of any achievement is an occasion to set new goals. We do not stop there and are always looking for an opportunity for new discoveries. Each employee has the opportunity to devel"&amp;"op and gain new knowledge and skills to grow vertically and become part of the new projects within the VK. Technologies for millions, we create technologies services and products that improve the quality of life of millions of users and make innovation av"&amp;"ailable to everyone. We share experience and best practices with the market and influence the development of the entire industry. It is important for us to develop and improve our services by making them convenient and safe for all users. We support exper"&amp;"iments and recognize errors: their solution allows you to make services more reliable and the experience of the team is invaluable. Commanding the VK whole team! VK is more than 200 projects and products that millions of people use daily. We invite you to"&amp;" create breakthrough and useful services together. Now, part of VK can become part of the already formed teams. If you have people with whom you can turn the mountains we have something to offer you. Opportunities for the commanding and vanchphpHp develop"&amp;"er MyTracker PHPGO Developer IAM User Flow Vk Cloud Gojava Developer (API Development Group) Odnokkendet / QA Automation Engineer on Android Autoqa Automat. Ion -Career ML INTACE VKontakte for the business Pythonmachine LearningbigDatahadooplinuxnlinalist"&amp;" in the operating direction of advertising technologies VK SQLsistema (VK Messenger) VKLSYSTEM ANALYSTARCHTARCHTER of solutions VK Tech Linuxarchitecture, more vacancies to become part of the team? 1 Open Choose one or more vacancies and respond! Fill out"&amp;" all the fields of the questionnaire and do not forget to attach the resume links to GitHub or Portfolio. The 2nd interview as a rule is 3-4 personal or online meetings with experts-it depends on the position of the position. 3 The solution we will take a"&amp;" small pause to make a decision and prepare a proposal for work. 4 Open after a proposal for work, we will return with the details about the process of registration and clarify What equipment you are used to working on. On the first working day, we tell t"&amp;"he office of the office and the introduction of the team how to become part of the team? Response1 Choose one or more vacancies and respond! Fill out all the fields of the questionnaire and do not forget to attach the resume links to GitHub or Portfolio. "&amp;"Interview2, as a rule, 3-4 personal or online meetings with experts are waiting for you-it depends on the level of position. Nutrition3 We will take a small pause to make a decision and prepare a proposal for work. Offfer4 after a proposal for work, we wi"&amp;"ll return with the details of the design and clarify the details and clarify What equipment are you used to working on. Blogchabkak to publish the application in the Rustore and connect monetization: step-by-step haidhabarposhagi guide: how do we make our"&amp;" own translator-habristers for Mlops: we choose between Vendorian and Open Source-reservoirs to combine devices with different transmission protocols for one IoT-flame Habrsemsk forecasts : What awaits the Date-Engineering in 2023 City October 27 October "&amp;"October October Benes Completed on October 05 October Tech Talks · Ai Research Completed September 22 of the Streetball with CTO | VK X South Hub completed on September 12 Apple Event | VK X Coffee &amp; Code is completed to watch all the event of a suitable "&amp;"vacancy? Leave your contacts and resume - we will contact you only for you an perfect vacancy. It is necessary for filling in emails that email address address is the email of the Analycedata-AnalyticsFronTendfull-Stackhelpdeskine LEARNINGMOBILEQASREADENT"&amp;"ER DEPARETERIARYARENTERIARYADOMENTERS Safety Department. Technical specialties KRSETENENSISISISISISISISTEMENCENCEMENCED Administrative Integration and Development of IT development IT Project Management Personnel Administration to the product management m"&amp;"anagement department Department department Department of ll-Stackhelpdeskmachine LearningMobileqasrem Adquair Department of the Department of Information Information Security Department of the Department of Product Analytics and Technical Specialties Crse"&amp;"te Administration Estemes Analystantine administrative -system integration and development of IT development to the product management IT PRODUCTION Personal Management to the product management project management department Department of Department Depar"&amp;"tment, to fill in your social network Github, drag out of my resume from the files from the files of myself, I agree with the policy of confidentiality policies I agree And I give consent to the processing of personal data. I want to receive notifications"&amp;" by mail of fresh vacancies. Send the resumes to the response we will contact as soon as thejection vacancy appears for you. Send another resume © 2023 VK")</f>
        <v>Career of the company of the company's work of the work of the Commercial Commission of the Office in Moscow Projectingkaniykandidatatams work in Vkkommandamdamytykhotykhiye recommend friendly work all cities of removalnnovy Novgorodsankancamincamincaminerskadalenovs. Kazantomskoschiminskpoisk VKAYSISIST VK in the ranking of the best employers of Russia more relevant vacancies in 200+ projects select the right direction and join us with us to develop technologies for millions of development -develop -developingbackendFrontenTendmobilebiqamachine LearningData Science Imgra development more vacancies -infrastructure administrations of thesredevopssapsapsapsist integration and development more vacancies analytics analytics are more vacancies -based more vacancies for Project control product. Kansiynformation security more than the vacanciesback Office Department of the Department of the Department of Personnel Department of the Department of Department Department of the Department of the Office develops the ecosystem, which includes more than 200 projects from different directions, connecting the vk Team -use of people through our projects to watch videos what is important for us? One VK team unites professionals who are working on hundreds of projects in various fields. We exchange ideas and experience we value a variety of opinions and approaches. The combination of technologies and examinations of different teams helps us create more advanced products and services. Development of any achievement is an occasion to set new goals. We do not stop there and are always looking for an opportunity for new discoveries. Each employee has the opportunity to develop and gain new knowledge and skills to grow vertically and become part of the new projects within the VK. Technologies for millions, we create technologies services and products that improve the quality of life of millions of users and make innovation available to everyone. We share experience and best practices with the market and influence the development of the entire industry. It is important for us to develop and improve our services by making them convenient and safe for all users. We support experiments and recognize errors: their solution allows you to make services more reliable and the experience of the team is invaluable. One VK team unites professionals who are working on hundreds of projects in various fields. We exchange ideas and experience we value a variety of opinions and approaches. The combination of technologies and examinations of different teams helps us create more advanced products and services. Development of any achievement is an occasion to set new goals. We do not stop there and are always looking for an opportunity for new discoveries. Each employee has the opportunity to develop and gain new knowledge and skills to grow vertically and become part of the new projects within the VK. Technologies for millions, we create technologies services and products that improve the quality of life of millions of users and make innovation available to everyone. We share experience and best practices with the market and influence the development of the entire industry. It is important for us to develop and improve our services by making them convenient and safe for all users. We support experiments and recognize errors: their solution allows you to make services more reliable and the experience of the team is invaluable. Commanding the VK whole team! VK is more than 200 projects and products that millions of people use daily. We invite you to create breakthrough and useful services together. Now, part of VK can become part of the already formed teams. If you have people with whom you can turn the mountains we have something to offer you. Opportunities for the commanding and vanchphpHp developer MyTracker PHPGO Developer IAM User Flow Vk Cloud Gojava Developer (API Development Group) Odnokkendet / QA Automation Engineer on Android Autoqa Automat. Ion -Career ML INTACE VKontakte for the business Pythonmachine LearningbigDatahadooplinuxnlinalist in the operating direction of advertising technologies VK SQLsistema (VK Messenger) VKLSYSTEM ANALYSTARCHTARCHTER of solutions VK Tech Linuxarchitecture, more vacancies to become part of the team? 1 Open Choose one or more vacancies and respond! Fill out all the fields of the questionnaire and do not forget to attach the resume links to GitHub or Portfolio. The 2nd interview as a rule is 3-4 personal or online meetings with experts-it depends on the position of the position. 3 The solution we will take a small pause to make a decision and prepare a proposal for work. 4 Open after a proposal for work, we will return with the details about the process of registration and clarify What equipment you are used to working on. On the first working day, we tell the office of the office and the introduction of the team how to become part of the team? Response1 Choose one or more vacancies and respond! Fill out all the fields of the questionnaire and do not forget to attach the resume links to GitHub or Portfolio. Interview2, as a rule, 3-4 personal or online meetings with experts are waiting for you-it depends on the level of position. Nutrition3 We will take a small pause to make a decision and prepare a proposal for work. Offfer4 after a proposal for work, we will return with the details of the design and clarify the details and clarify What equipment are you used to working on. Blogchabkak to publish the application in the Rustore and connect monetization: step-by-step haidhabarposhagi guide: how do we make our own translator-habristers for Mlops: we choose between Vendorian and Open Source-reservoirs to combine devices with different transmission protocols for one IoT-flame Habrsemsk forecasts : What awaits the Date-Engineering in 2023 City October 27 October October October Benes Completed on October 05 October Tech Talks · Ai Research Completed September 22 of the Streetball with CTO | VK X South Hub completed on September 12 Apple Event | VK X Coffee &amp; Code is completed to watch all the event of a suitable vacancy? Leave your contacts and resume - we will contact you only for you an perfect vacancy. It is necessary for filling in emails that email address address is the email of the Analycedata-AnalyticsFronTendfull-Stackhelpdeskine LEARNINGMOBILEQASREADENTER DEPARETERIARYARENTERIARYADOMENTERS Safety Department. Technical specialties KRSETENENSISISISISISISISTEMENCENCEMENCED Administrative Integration and Development of IT development IT Project Management Personnel Administration to the product management management department Department department Department of ll-Stackhelpdeskmachine LearningMobileqasrem Adquair Department of the Department of Information Information Security Department of the Department of Product Analytics and Technical Specialties Crsete Administration Estemes Analystantine administrative -system integration and development of IT development to the product management IT PRODUCTION Personal Management to the product management project management department Department of Department Department, to fill in your social network Github, drag out of my resume from the files from the files of myself, I agree with the policy of confidentiality policies I agree And I give consent to the processing of personal data. I want to receive notifications by mail of fresh vacancies. Send the resumes to the response we will contact as soon as thejection vacancy appears for you. Send another resume © 2023 VK</v>
      </c>
    </row>
    <row r="195">
      <c r="A195" s="1" t="s">
        <v>590</v>
      </c>
      <c r="B195" s="1" t="s">
        <v>636</v>
      </c>
      <c r="C195" s="1" t="s">
        <v>637</v>
      </c>
      <c r="D195" s="1">
        <v>14.0</v>
      </c>
      <c r="E195" s="4" t="s">
        <v>638</v>
      </c>
      <c r="F195" s="1" t="s">
        <v>16</v>
      </c>
      <c r="G195" s="1" t="s">
        <v>444</v>
      </c>
      <c r="H195" s="4" t="s">
        <v>445</v>
      </c>
      <c r="I195" s="2">
        <v>2.0</v>
      </c>
      <c r="J195" s="5" t="str">
        <f>IFERROR(__xludf.DUMMYFUNCTION("GOOGLETRANSLATE(A195)"),"VC")</f>
        <v>VC</v>
      </c>
      <c r="K195" s="6" t="str">
        <f>IFERROR(__xludf.DUMMYFUNCTION("GOOGLETRANSLATE(B195)"),"Vkontakte (@vkontakte) / x")</f>
        <v>Vkontakte (@vkontakte) / x</v>
      </c>
      <c r="L195" s="5" t="str">
        <f>IFERROR(__xludf.DUMMYFUNCTION("GOOGLETRANSLATE(C195)"),"In VK music there was a belt of updates (it is already working in a desktop and in VKontakte mobile applications and VK Music). It shows what kind of music they add to themselves ...")</f>
        <v>In VK music there was a belt of updates (it is already working in a desktop and in VKontakte mobile applications and VK Music). It shows what kind of music they add to themselves ...</v>
      </c>
      <c r="M195" s="5" t="str">
        <f>IFERROR(__xludf.DUMMYFUNCTION("GOOGLETRANSLATE(G195)"),"JavaScript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196">
      <c r="A196" s="1" t="s">
        <v>590</v>
      </c>
      <c r="B196" s="1" t="s">
        <v>639</v>
      </c>
      <c r="C196" s="1" t="s">
        <v>640</v>
      </c>
      <c r="D196" s="1">
        <v>15.0</v>
      </c>
      <c r="E196" s="4" t="s">
        <v>641</v>
      </c>
      <c r="F196" s="1" t="s">
        <v>16</v>
      </c>
      <c r="G196" s="1" t="s">
        <v>642</v>
      </c>
      <c r="H196" s="4" t="s">
        <v>643</v>
      </c>
      <c r="I196" s="2">
        <v>3.0</v>
      </c>
      <c r="J196" s="5" t="str">
        <f>IFERROR(__xludf.DUMMYFUNCTION("GOOGLETRANSLATE(A196)"),"VC")</f>
        <v>VC</v>
      </c>
      <c r="K196" s="6" t="str">
        <f>IFERROR(__xludf.DUMMYFUNCTION("GOOGLETRANSLATE(B196)"),"VK Cloud | IT Platform of Business Class from VK")</f>
        <v>VK Cloud | IT Platform of Business Class from VK</v>
      </c>
      <c r="L196" s="5" t="str">
        <f>IFERROR(__xludf.DUMMYFUNCTION("GOOGLETRANSLATE(C196)"),"The platform of the cloud services of a business class from VK for companies that choose to build IT solutions in the cloud.")</f>
        <v>The platform of the cloud services of a business class from VK for companies that choose to build IT solutions in the cloud.</v>
      </c>
      <c r="M196" s="5" t="str">
        <f>IFERROR(__xludf.DUMMYFUNCTION("GOOGLETRANSLATE(G196)"),"VK Cloud | IT Platform of the Business Class from the VK Product Product CCECTION CONCLUSTION PLASS PLASS PLASTING INSTALLY ABOUT Platformeric characteristics of platforms of the Platter-Treaty Conference Clusion Platformation Storage, Starting developmen"&amp;"t to the promotion of the CLUD NATIVE TUTUTION TUTUTIRICAL COMPLE TiTiyanashi online and offline terms of homelessness are successful by our clients release publications in the media about the Work of Work on VK Cloud Contact Contact the Cloud-Passing Doc"&amp;"ation Cloud Make a data analytics transparent and accessible to all business units to read the Keyskoyskak, we increased the speed of processing of queries using the cloud Arenadata DB Read Caseblogir Success Successor Consultation Platformation Informati"&amp;"on about platformers of platformation confirmation of the safety safety of the Platformation Platformation Platformation. Starting development of development before promotion of the Cloud National Diybest-pay Tutetoriac Popane of the Company General Infor"&amp;"mation about the company Mamarmits of online and offline -the event of the stature of storage is successful by our clients release publications in the media about the vkankania in vk cloud Contribution with the namublogamation of PartnerismVK Cloud Platfo"&amp;"rm with a wide set of cloud services for effective development and work with data for companies of any scale-resistance to the reservation of the refusal of Cloud-n Ative architecture that will allow your project to grow faster. Enforce with a reliable pa"&amp;"rtner who will ensure an individual approach and full implementation. Building expert technical support in real time and training commands for new approaches. Resistance the costs of time and resources by using a set of finished solutions tested on thousa"&amp;"nds of project servers in the cloud for the high accessibility of digital services for details of servers in the local Public and Private DNS VPN networks and load distribution and traffic filtering more object storage limited storage and transmission of "&amp;"the data array by S3 API. Processing thousands of queries per second in detail Kubernetes -scale and acceleration of applications delivery from Kubernetes as a service certified CNCF more data into the clouds of work and high accessibility of managed DBMS"&amp;"s. Fast launch of the finished service. In more details of the processing data and large data analysis with cloud infrastructure based on the Apache Hadoop Spark Clickhouse, more details of the cloud in the cloud and training of neural networks with NVIDI"&amp;"A® TESLA for the full cycle of ml development and joint work Data-commander-in-coves toll processing of data creation scalable solutions for the collection of processing and analytics of streaming data that are presented by the vision-final CV models for "&amp;"the analysis of photos and video recognition of texts and types of documents inquisitive technologies-recognition and synthesis of speech. Clearly decoding natural sound unified by APITITIONAL PROCESSION AND ADMISE-NESEROVOROVARISTION DELISHING AND WORK W"&amp;"ITH THE Applications and Service more than BK CLOUDALLY VK Cloud-resistant Architecture with reservation. Productive scaling of infrastructure-defined storage of data on the CE of CE PHATTICTION of cloud servers in accordance with the 152-fueling of your "&amp;"team and Expert support for the Social -ocal recovery of 9995%with financial guarantees24 / 7vash “IT-service of one window” Tsodytier III FZ-152 Location in the RFIAS / PAASPRESS PROPECTIONAL TECHNOLOGICAL WITH ANSWER INTRODUCTION OF THE CLUDSCROLL-CHIMB"&amp;"OMABOM IDDOSNADICROUS SERVICE to protect infrastructure and applications from all threats. Read more Load Balanging Sulfuries of failure tolerance through the distribution of traffic to virtual machines. Read moreManaged Servicesodinisting of cloud system"&amp;"s on the VK Cloud side. Monitoring and elimination of incidents. Read more DRASS-AREVENARY Restoration of IT infrastructure. Verid options for placement of Public services VK with flexible settings and convenient scales of the PRIVATITISSIONS and the func"&amp;"tionality of the private perimeter-ON PREMISES-Nastal, consulting a consultation of virtual engineering databases storage and other cloud services VK Clouds trust their business. Cloud technologies and services that help companies solve the most important"&amp;" tasks. Watch all the Ceyss of the Cloud Service Market. Technologies Analyst Case Methods and Much otherwise othernovember 29 2021 / News VK Cloud! More July 30 2021 / Development of the project in Kubernetes for 60 minutes in more detail NOTEMBER 29 202"&amp;"1 / News of Voice Assistant Marusya became accessible to the cloud of VK Cloud more than 3500 developers 300 Repositories of the open code20000 companies use technologies and digital solutions VK3500 developers of 300 repositories of open code20,000 compa"&amp;"nies use VK3500 developers of 300 Open Coda Outdoor Code of 20000 companies use technologies and digital solutions vkproductscloud storagecloud ContainersCloud Databascloud Bigud Big Data Oblako 152-FZVS Service Platformanic characteristics of the Platfor"&amp;"mation Service Services Service Portal Portal Portal Images of the United Medistersinologii Development-Commerce formation of the company-Bulgloglist of successes of the Success-Klazicatactical Information Classes Closure. Nus program technical support wi"&amp;"ll be communication Users of the Documentation Carding of the site © VK Cloud 2023. All rights are protected. Politics of privacy")</f>
        <v>VK Cloud | IT Platform of the Business Class from the VK Product Product CCECTION CONCLUSTION PLASS PLASS PLASTING INSTALLY ABOUT Platformeric characteristics of platforms of the Platter-Treaty Conference Clusion Platformation Storage, Starting development to the promotion of the CLUD NATIVE TUTUTION TUTUTIRICAL COMPLE TiTiyanashi online and offline terms of homelessness are successful by our clients release publications in the media about the Work of Work on VK Cloud Contact Contact the Cloud-Passing Docation Cloud Make a data analytics transparent and accessible to all business units to read the Keyskoyskak, we increased the speed of processing of queries using the cloud Arenadata DB Read Caseblogir Success Successor Consultation Platformation Information about platformers of platformation confirmation of the safety safety of the Platformation Platformation Platformation. Starting development of development before promotion of the Cloud National Diybest-pay Tutetoriac Popane of the Company General Information about the company Mamarmits of online and offline -the event of the stature of storage is successful by our clients release publications in the media about the vkankania in vk cloud Contribution with the namublogamation of PartnerismVK Cloud Platform with a wide set of cloud services for effective development and work with data for companies of any scale-resistance to the reservation of the refusal of Cloud-n Ative architecture that will allow your project to grow faster. Enforce with a reliable partner who will ensure an individual approach and full implementation. Building expert technical support in real time and training commands for new approaches. Resistance the costs of time and resources by using a set of finished solutions tested on thousands of project servers in the cloud for the high accessibility of digital services for details of servers in the local Public and Private DNS VPN networks and load distribution and traffic filtering more object storage limited storage and transmission of the data array by S3 API. Processing thousands of queries per second in detail Kubernetes -scale and acceleration of applications delivery from Kubernetes as a service certified CNCF more data into the clouds of work and high accessibility of managed DBMSs. Fast launch of the finished service. In more details of the processing data and large data analysis with cloud infrastructure based on the Apache Hadoop Spark Clickhouse, more details of the cloud in the cloud and training of neural networks with NVIDIA® TESLA for the full cycle of ml development and joint work Data-commander-in-coves toll processing of data creation scalable solutions for the collection of processing and analytics of streaming data that are presented by the vision-final CV models for the analysis of photos and video recognition of texts and types of documents inquisitive technologies-recognition and synthesis of speech. Clearly decoding natural sound unified by APITITIONAL PROCESSION AND ADMISE-NESEROVOROVARISTION DELISHING AND WORK WITH THE Applications and Service more than BK CLOUDALLY VK Cloud-resistant Architecture with reservation. Productive scaling of infrastructure-defined storage of data on the CE of CE PHATTICTION of cloud servers in accordance with the 152-fueling of your team and Expert support for the Social -ocal recovery of 9995%with financial guarantees24 / 7vash “IT-service of one window” Tsodytier III FZ-152 Location in the RFIAS / PAASPRESS PROPECTIONAL TECHNOLOGICAL WITH ANSWER INTRODUCTION OF THE CLUDSCROLL-CHIMBOMABOM IDDOSNADICROUS SERVICE to protect infrastructure and applications from all threats. Read more Load Balanging Sulfuries of failure tolerance through the distribution of traffic to virtual machines. Read moreManaged Servicesodinisting of cloud systems on the VK Cloud side. Monitoring and elimination of incidents. Read more DRASS-AREVENARY Restoration of IT infrastructure. Verid options for placement of Public services VK with flexible settings and convenient scales of the PRIVATITISSIONS and the functionality of the private perimeter-ON PREMISES-Nastal, consulting a consultation of virtual engineering databases storage and other cloud services VK Clouds trust their business. Cloud technologies and services that help companies solve the most important tasks. Watch all the Ceyss of the Cloud Service Market. Technologies Analyst Case Methods and Much otherwise othernovember 29 2021 / News VK Cloud! More July 30 2021 / Development of the project in Kubernetes for 60 minutes in more detail NOTEMBER 29 2021 / News of Voice Assistant Marusya became accessible to the cloud of VK Cloud more than 3500 developers 300 Repositories of the open code20000 companies use technologies and digital solutions VK3500 developers of 300 repositories of open code20,000 companies use VK3500 developers of 300 Open Coda Outdoor Code of 20000 companies use technologies and digital solutions vkproductscloud storagecloud ContainersCloud Databascloud Bigud Big Data Oblako 152-FZVS Service Platformanic characteristics of the Platformation Service Services Service Portal Portal Portal Images of the United Medistersinologii Development-Commerce formation of the company-Bulgloglist of successes of the Success-Klazicatactical Information Classes Closure. Nus program technical support will be communication Users of the Documentation Carding of the site © VK Cloud 2023. All rights are protected. Politics of privacy</v>
      </c>
    </row>
    <row r="197">
      <c r="A197" s="1" t="s">
        <v>590</v>
      </c>
      <c r="B197" s="1" t="s">
        <v>644</v>
      </c>
      <c r="D197" s="1">
        <v>16.0</v>
      </c>
      <c r="E197" s="4" t="s">
        <v>645</v>
      </c>
      <c r="F197" s="1" t="s">
        <v>16</v>
      </c>
      <c r="I197" s="2">
        <v>2.0</v>
      </c>
      <c r="J197" s="5" t="str">
        <f>IFERROR(__xludf.DUMMYFUNCTION("GOOGLETRANSLATE(A197)"),"VC")</f>
        <v>VC</v>
      </c>
      <c r="K197" s="6" t="str">
        <f>IFERROR(__xludf.DUMMYFUNCTION("GOOGLETRANSLATE(B197)"),"VK (earlier VK): Promotion price today, quotation schedule ...")</f>
        <v>VK (earlier VK): Promotion price today, quotation schedule ...</v>
      </c>
      <c r="M197" s="5" t="str">
        <f>IFERROR(__xludf.DUMMYFUNCTION("GOOGLETRANSLATE(G197)"),"#VALUE!")</f>
        <v>#VALUE!</v>
      </c>
    </row>
    <row r="198">
      <c r="A198" s="1" t="s">
        <v>590</v>
      </c>
      <c r="B198" s="1" t="s">
        <v>646</v>
      </c>
      <c r="C198" s="1" t="s">
        <v>647</v>
      </c>
      <c r="D198" s="1">
        <v>17.0</v>
      </c>
      <c r="E198" s="4" t="s">
        <v>648</v>
      </c>
      <c r="F198" s="1" t="s">
        <v>16</v>
      </c>
      <c r="G198" s="1" t="s">
        <v>649</v>
      </c>
      <c r="H198" s="4" t="s">
        <v>650</v>
      </c>
      <c r="I198" s="2">
        <v>2.0</v>
      </c>
      <c r="J198" s="5" t="str">
        <f>IFERROR(__xludf.DUMMYFUNCTION("GOOGLETRANSLATE(A198)"),"VC")</f>
        <v>VC</v>
      </c>
      <c r="K198" s="6" t="str">
        <f>IFERROR(__xludf.DUMMYFUNCTION("GOOGLETRANSLATE(B198)"),"Cloud gaming | VK Play")</f>
        <v>Cloud gaming | VK Play</v>
      </c>
      <c r="L198" s="5" t="str">
        <f>IFERROR(__xludf.DUMMYFUNCTION("GOOGLETRANSLATE(C198)"),"Play any PC, MacOS and Android device in the top games at maximum settings with VK Play Cloud. Large launches, virtual computer are available ...")</f>
        <v>Play any PC, MacOS and Android device in the top games at maximum settings with VK Play Cloud. Large launches, virtual computer are available ...</v>
      </c>
      <c r="M198" s="5" t="str">
        <f>IFERROR(__xludf.DUMMYFUNCTION("GOOGLETRANSLATE(G198)"),"Cloud gaming | VK Playyou Need to Enable Javascript to Run this App.")</f>
        <v>Cloud gaming | VK Playyou Need to Enable Javascript to Run this App.</v>
      </c>
    </row>
    <row r="199">
      <c r="A199" s="1" t="s">
        <v>590</v>
      </c>
      <c r="B199" s="1" t="s">
        <v>651</v>
      </c>
      <c r="C199" s="1" t="s">
        <v>153</v>
      </c>
      <c r="D199" s="1">
        <v>24.0</v>
      </c>
      <c r="E199" s="4" t="s">
        <v>652</v>
      </c>
      <c r="F199" s="1" t="s">
        <v>16</v>
      </c>
      <c r="I199" s="2">
        <v>1.0</v>
      </c>
      <c r="J199" s="5" t="str">
        <f>IFERROR(__xludf.DUMMYFUNCTION("GOOGLETRANSLATE(A199)"),"VC")</f>
        <v>VC</v>
      </c>
      <c r="K199" s="6" t="str">
        <f>IFERROR(__xludf.DUMMYFUNCTION("GOOGLETRANSLATE(B199)"),"Report of VK for the III quarter. Revenue is growing again")</f>
        <v>Report of VK for the III quarter. Revenue is growing again</v>
      </c>
      <c r="L199" s="5" t="str">
        <f>IFERROR(__xludf.DUMMYFUNCTION("GOOGLETRANSLATE(C199)"),"3 days ago -")</f>
        <v>3 days ago -</v>
      </c>
      <c r="M199" s="5" t="str">
        <f>IFERROR(__xludf.DUMMYFUNCTION("GOOGLETRANSLATE(G199)"),"#VALUE!")</f>
        <v>#VALUE!</v>
      </c>
    </row>
    <row r="200">
      <c r="A200" s="1" t="s">
        <v>590</v>
      </c>
      <c r="B200" s="1" t="s">
        <v>653</v>
      </c>
      <c r="C200" s="1" t="s">
        <v>654</v>
      </c>
      <c r="D200" s="1">
        <v>27.0</v>
      </c>
      <c r="E200" s="4" t="s">
        <v>655</v>
      </c>
      <c r="F200" s="1" t="s">
        <v>16</v>
      </c>
      <c r="G200" s="1" t="s">
        <v>656</v>
      </c>
      <c r="H200" s="4" t="s">
        <v>657</v>
      </c>
      <c r="I200" s="2">
        <v>1.0</v>
      </c>
      <c r="J200" s="5" t="str">
        <f>IFERROR(__xludf.DUMMYFUNCTION("GOOGLETRANSLATE(A200)"),"VC")</f>
        <v>VC</v>
      </c>
      <c r="K200" s="6" t="str">
        <f>IFERROR(__xludf.DUMMYFUNCTION("GOOGLETRANSLATE(B200)"),"Vk me")</f>
        <v>Vk me</v>
      </c>
      <c r="L200" s="5" t="str">
        <f>IFERROR(__xludf.DUMMYFUNCTION("GOOGLETRANSLATE(C200)"),"Be in touch with friends from VK and a telephone book; Call without restrictions with audio and video; Read the decoding of voice and video messages ...")</f>
        <v>Be in touch with friends from VK and a telephone book; Call without restrictions with audio and video; Read the decoding of voice and video messages ...</v>
      </c>
      <c r="M200" s="5" t="str">
        <f>IFERROR(__xludf.DUMMYFUNCTION("GOOGLETRANSLATE(G200)"),"The Official VK�Messenger        Web version    Quick and�Easy Messaging          Stay in touch with your VK�friends and�people from�your�phone�s contacts                  Call with no�limits on�audio or�video                  Read transcriptions of�voice"&amp;" and�video messages                  Share music photos videos files geotags and�even money                  Select colorful chat themes to�fit the�mood        Available onAndroidDownload in Google�PlayDownload in RuStoreDownload in AppGalleryiOSDownload "&amp;"in App StoreWindows betaDownload EXEMacOS betaDownload DMG      © 2023 VK Social Network Team���������� VK ����������Scan the QR code�to�install the app on�your phone")</f>
        <v>The Official VK�Messenger        Web version    Quick and�Easy Messaging          Stay in touch with your VK�friends and�people from�your�phone�s contacts                  Call with no�limits on�audio or�video                  Read transcriptions of�voice and�video messages                  Share music photos videos files geotags and�even money                  Select colorful chat themes to�fit the�mood        Available onAndroidDownload in Google�PlayDownload in RuStoreDownload in AppGalleryiOSDownload in App StoreWindows betaDownload EXEMacOS betaDownload DMG      © 2023 VK Social Network Team���������� VK ����������Scan the QR code�to�install the app on�your phone</v>
      </c>
    </row>
    <row r="201">
      <c r="A201" s="1" t="s">
        <v>590</v>
      </c>
      <c r="B201" s="1" t="s">
        <v>658</v>
      </c>
      <c r="C201" s="1" t="s">
        <v>659</v>
      </c>
      <c r="D201" s="1">
        <v>33.0</v>
      </c>
      <c r="E201" s="4" t="s">
        <v>660</v>
      </c>
      <c r="F201" s="1" t="s">
        <v>16</v>
      </c>
      <c r="G201" s="1" t="s">
        <v>661</v>
      </c>
      <c r="H201" s="4" t="s">
        <v>662</v>
      </c>
      <c r="I201" s="2">
        <v>5.0</v>
      </c>
      <c r="J201" s="5" t="str">
        <f>IFERROR(__xludf.DUMMYFUNCTION("GOOGLETRANSLATE(A201)"),"VC")</f>
        <v>VC</v>
      </c>
      <c r="K201" s="6" t="str">
        <f>IFERROR(__xludf.DUMMYFUNCTION("GOOGLETRANSLATE(B201)"),"«Lokomotiv")</f>
        <v>«Lokomotiv</v>
      </c>
      <c r="L201" s="5" t="str">
        <f>IFERROR(__xludf.DUMMYFUNCTION("GOOGLETRANSLATE(C201)"),"... TO BUY A TICKET. © VK Lokomotiv-Novosibirsk, 2008-2023. All rights reserved. Copying materials is allowed only with a link to the source.")</f>
        <v>... TO BUY A TICKET. © VK Lokomotiv-Novosibirsk, 2008-2023. All rights reserved. Copying materials is allowed only with a link to the source.</v>
      </c>
      <c r="M201" s="5" t="str">
        <f>IFERROR(__xludf.DUMMYFUNCTION("GOOGLETRANSLATE(G201)"),"Lokomotiv JavaScript Is Not Supported in the Your Browser or Are Disabled! Check settingsjavascript is not supported by your browser or disconnected! Check the settings of browser-Kupaylettelnovnovnovanovosovosovosovosovskostyskoye Presso Clubberao Clubbe"&amp;"rakhoba-Kovrovodstvo, administration of the administration of the Armen-shallow-shallow-male commander-in-arms of the Russian championship of the strongest cooker of the centuries Oloko-Twokontactypot-lane exiletic attributicatipdiopodies November 09: 00v"&amp;" Chita will start the third preliminary stage of Lokovoli-2023 Read more November 112: 00v Chita the third preliminary stage “Lokovoli-2023” starts Read more November 21:30 “Lokomotiv” enters the semifinals of the Russian Cup more in more detail November "&amp;"10: 00 Controls for the sale of tickets for all matches in November November 11:30 “Lokomotiv” goes to the semifinals of the Russian Cup November November 09: 00v Chita Starting the third preliminary stage “Lokovoles-2023” Read more November 21:30 “Lokomo"&amp;"tiv” enters the semifinals of the Russian Cup more in more detail November 10: 00 The sale of tickets for all matches in November November 10: 00 Prevent tickets for all matches in November November 09: 00V Chita Starts “Lokovoles-2023” more. November 21:"&amp;"30 “Lokomotiv” goes to the semifinals of the Russian Cup in more detail November 10: 00 Continuing the sale of tickets for all matches in November in the nationwide of the mattress of Novosibirsk31 (27:25 25:22 19:25 25:21) Belogorye Belgorod Cup of Russi"&amp;"a. Quaternary Date of the match 11/11/2023. 19: 00 Statistics of the conduct of the Khovosibirsk, the next match will begin after 3 days 8 hours14 minutes of the headset of Novosibirskshakhter Soligorsk Championship of Russia. Super League. Fifth tour Dat"&amp;"e of match 11/15/2023. 19: 00 Buying a ticket of conducting a conduct of the Khumsybirskaledar playersoperligamomolozhnaya ligavis of the game3: 0 Moscow Super League November 8, 202323: 00 Veeper 3: 1 Novosibirskkubka Russia November 1111119: 00 Strong-v"&amp;"iew-:-Novosibirskshchacchiyskiyskiy Russian Super League November 202319: November 202319: November 202319: November 202319: November 202319 00--:-Non-Siberian championary of Russia Super League November 118, 202318: 30--: -the Newsibirskshchiypionate of "&amp;"Russia Super League on November22, 2023------------- Russia Super League November 29, 202319: 00--:-Non Urengoy Cherdi Russian Super League December 19, 2023------- Russia Super League December 1923---------------- Russia---- Russia- -:-The Newsibirsk Sup"&amp;"reme Council of Super League December 20, 2023------------: Krasnoyarsk championary of Russia Super League December28, 2023---------------------- Russia Superliga January5 January 2024-------- Russia Super League January 8, 2024-------- Russia Super Leagu"&amp;"e13 January 2024 Revostivse News of News on November 12: 00v Chita will start the third preliminary stage of Lokovoli-2023 details of Russia on November 11 21:30 Lokomotiv enters the semifinals of the Russian Cup of Russia on November 10:00 Lokomotiv-“Bel"&amp;"ogorye”: Previous to the second match 1 /4 Cup of Russia in more detail on November 10: 00 Controls, selling tickets for all matches in November in November 9 November 09: 00s Birthday Sergey Ivanovich! More thanpari Super League on November 8: 55 Zhelevo"&amp;"zhniysk workers endure in the Moscow Supervisor November 7, 16:00 Dynamo - Lokomotiv: Lokomotiv: Lokomotiv: Lokomotiv: Lokomotiv Prevertering to the fourth round of the PARI super -legged Russians of Russia on November 5 23:30 “Lokomotiv” won a volitional"&amp;" victory in a tile -relaxation on November 4, 15:00 “Belogorye” - “Lokomotiv”: the preview of the first match of the 1/4 Cup of Russia more in more detail the press of the press November 10: 00 Kubok of Russia. “Lokomotiv” will accept “Belogorye” “Zenit” "&amp;"St. Petersburg-“torch” and other matches 1/4 final sports on November 12: 00 Grebennikov made Ace Semyshev gave a passage to his foot and “torch” seized leadership. Results of the 4th round super-league show November 14: 00kh leaders. In the Russian champ"&amp;"ionship there were no teams left without lost points-expression on November9 13:00 Dynamo crushed Lokomotiv on the presentation. In the volleyball super -League, an unexpected leader in November 9 13:00 ""The presentation was the decisive factor of victor"&amp;"y."" Bryansky and Pankov - about the match with Lokomotiv Sports on November 16: 00 Best in personal statistics in the first games 1/4 finalivfv 7 on November 09: 00 Sapozhkov realized 71% of attacks but Modena lost Monza (0: 3) Sports BO6 November 12: 00"&amp;" Sudyes gave heat in the Russian Cup: they resumed the completed game and taught Christenson to the racket of the Construction Camport on November 10: 00 Cub of Russia. “Zenit” in the St. Petersburg Break defeated “torch” and other matches 1/4 final sport"&amp;"s on November 16: 00 Mary Volar in retail are 7,900 and 9900 rubles on November 11: 00 Cup of Russia. Zenit Kazan defeated the Yenisei and other matches 1/4 final sports on November 20: 00 Signature of the Agreement between the VFV and the Administration "&amp;"of the Tomsk Region, October 21 23:00 Lokomotiv-Zenit Kazan. 2 Tour PARI Super League 202421 October 21: 00 Expanding the Museum of Club History on October 21, 22: 00 aid Tour of the Youth League 2024. The final gaming day17 October 23: 55th Tour of the Y"&amp;"outh League 2024. The first game day October 18, 18:00 Lokomotiv held a traditional meeting with the leadership24 September 20: 00th Brothers of the Volleyball Association of the Siberian Federal District on September 24 23: 55 finals of four on the locom"&amp;"otive arena - Matches for medals September 23 23: 55 Firal Four for the locomotive Arena - Day First22 September 23: 00 Dynamo - “Coerter” - “Dynamo” and the third day November 17: 00gosok and updated club bus October 23: 55 Option of the Museum of the Hi"&amp;"story of VK Lokomotiv - Forward to the victories on October 22: 00match Day | Lokomotiv - Zenit Kazan | The first home match of the Russian Championship on October14: 00 Medical - Lokomotiv in the season 2023/2412 October 21: 00 PRODUCTION PROSOMENT ACTIO"&amp;"N - Real locomotive October 12: 00 Martin Atanasov - A meeting at the airport October 23: 55 first medals of the season - bronze in Kaliningrad | Highlights - Lokomotiv vs Zenit2 September 14: 00 Sedding of the volleyball association of the Siberian Feder"&amp;"al District September 23: 55 Four Four Four Cup in Novosibirsk | Review of matches Tournament Superligamollage Ligasezon 2023/2024 Seson 2022/2023 Season 2021/2022 Season 2020/2021 Season 2019/2020s season 2018/2019 Cossack Russian Cupcubss of the Central"&amp;" Complex of the Russian Comericompion, Russian -Inger -Ingrailipodiglipo -Gyrelipot 40912: 72 Zenit431910: 33-river 43199: 34 Dinomas43199: 35 Belogorye431910: 46 Dinagome-La43199: 57 Zenit-Kasan43199: 58 Kuzbass4222810: 79enisyssia42269: 910 Shahter42257"&amp;": 911GAZPROM-yUGRA41345: 912 Neftyanik 41345: 1013Uural41336: 914ASK41334: 915ova401: 1216YURARA-SIDELOR40401: 12 Novosibirsk region Lokomotiv ""Lokomotiv-Angara"" CEVFIVBBOCHOBOCHOCHOK 24 Sub.fm Gropradio54TK ""Rail Continent"" Subscribe to the Tmber-Com"&amp;"merculum-Movisibirsklocomotive and Schorrukomotvnikhovstvosty administration of the median-nobility of the puffeline-chapelichelereaniyagogotype fanseleshchikhtykafanati attributes Hand accustomed links 8 (383) 271 89 91 Buy a ticket © VK Lokomotiv-Novosi"&amp;"birsk 2008-2023VS. The rights are protected. Copying materials is allowed only with a link to the source.")</f>
        <v>Lokomotiv JavaScript Is Not Supported in the Your Browser or Are Disabled! Check settingsjavascript is not supported by your browser or disconnected! Check the settings of browser-Kupaylettelnovnovnovanovosovosovosovosovskostyskoye Presso Clubberao Clubberakhoba-Kovrovodstvo, administration of the administration of the Armen-shallow-shallow-male commander-in-arms of the Russian championship of the strongest cooker of the centuries Oloko-Twokontactypot-lane exiletic attributicatipdiopodies November 09: 00v Chita will start the third preliminary stage of Lokovoli-2023 Read more November 112: 00v Chita the third preliminary stage “Lokovoli-2023” starts Read more November 21:30 “Lokomotiv” enters the semifinals of the Russian Cup more in more detail November 10: 00 Controls for the sale of tickets for all matches in November November 11:30 “Lokomotiv” goes to the semifinals of the Russian Cup November November 09: 00v Chita Starting the third preliminary stage “Lokovoles-2023” Read more November 21:30 “Lokomotiv” enters the semifinals of the Russian Cup more in more detail November 10: 00 The sale of tickets for all matches in November November 10: 00 Prevent tickets for all matches in November November 09: 00V Chita Starts “Lokovoles-2023” more. November 21:30 “Lokomotiv” goes to the semifinals of the Russian Cup in more detail November 10: 00 Continuing the sale of tickets for all matches in November in the nationwide of the mattress of Novosibirsk31 (27:25 25:22 19:25 25:21) Belogorye Belgorod Cup of Russia. Quaternary Date of the match 11/11/2023. 19: 00 Statistics of the conduct of the Khovosibirsk, the next match will begin after 3 days 8 hours14 minutes of the headset of Novosibirskshakhter Soligorsk Championship of Russia. Super League. Fifth tour Date of match 11/15/2023. 19: 00 Buying a ticket of conducting a conduct of the Khumsybirskaledar playersoperligamomolozhnaya ligavis of the game3: 0 Moscow Super League November 8, 202323: 00 Veeper 3: 1 Novosibirskkubka Russia November 1111119: 00 Strong-view-:-Novosibirskshchacchiyskiyskiy Russian Super League November 202319: November 202319: November 202319: November 202319: November 202319 00--:-Non-Siberian championary of Russia Super League November 118, 202318: 30--: -the Newsibirskshchiypionate of Russia Super League on November22, 2023------------- Russia Super League November 29, 202319: 00--:-Non Urengoy Cherdi Russian Super League December 19, 2023------- Russia Super League December 1923---------------- Russia---- Russia- -:-The Newsibirsk Supreme Council of Super League December 20, 2023------------: Krasnoyarsk championary of Russia Super League December28, 2023---------------------- Russia Superliga January5 January 2024-------- Russia Super League January 8, 2024-------- Russia Super League13 January 2024 Revostivse News of News on November 12: 00v Chita will start the third preliminary stage of Lokovoli-2023 details of Russia on November 11 21:30 Lokomotiv enters the semifinals of the Russian Cup of Russia on November 10:00 Lokomotiv-“Belogorye”: Previous to the second match 1 /4 Cup of Russia in more detail on November 10: 00 Controls, selling tickets for all matches in November in November 9 November 09: 00s Birthday Sergey Ivanovich! More thanpari Super League on November 8: 55 Zhelevozhniysk workers endure in the Moscow Supervisor November 7, 16:00 Dynamo - Lokomotiv: Lokomotiv: Lokomotiv: Lokomotiv: Lokomotiv Prevertering to the fourth round of the PARI super -legged Russians of Russia on November 5 23:30 “Lokomotiv” won a volitional victory in a tile -relaxation on November 4, 15:00 “Belogorye” - “Lokomotiv”: the preview of the first match of the 1/4 Cup of Russia more in more detail the press of the press November 10: 00 Kubok of Russia. “Lokomotiv” will accept “Belogorye” “Zenit” St. Petersburg-“torch” and other matches 1/4 final sports on November 12: 00 Grebennikov made Ace Semyshev gave a passage to his foot and “torch” seized leadership. Results of the 4th round super-league show November 14: 00kh leaders. In the Russian championship there were no teams left without lost points-expression on November9 13:00 Dynamo crushed Lokomotiv on the presentation. In the volleyball super -League, an unexpected leader in November 9 13:00 "The presentation was the decisive factor of victory." Bryansky and Pankov - about the match with Lokomotiv Sports on November 16: 00 Best in personal statistics in the first games 1/4 finalivfv 7 on November 09: 00 Sapozhkov realized 71% of attacks but Modena lost Monza (0: 3) Sports BO6 November 12: 00 Sudyes gave heat in the Russian Cup: they resumed the completed game and taught Christenson to the racket of the Construction Camport on November 10: 00 Cub of Russia. “Zenit” in the St. Petersburg Break defeated “torch” and other matches 1/4 final sports on November 16: 00 Mary Volar in retail are 7,900 and 9900 rubles on November 11: 00 Cup of Russia. Zenit Kazan defeated the Yenisei and other matches 1/4 final sports on November 20: 00 Signature of the Agreement between the VFV and the Administration of the Tomsk Region, October 21 23:00 Lokomotiv-Zenit Kazan. 2 Tour PARI Super League 202421 October 21: 00 Expanding the Museum of Club History on October 21, 22: 00 aid Tour of the Youth League 2024. The final gaming day17 October 23: 55th Tour of the Youth League 2024. The first game day October 18, 18:00 Lokomotiv held a traditional meeting with the leadership24 September 20: 00th Brothers of the Volleyball Association of the Siberian Federal District on September 24 23: 55 finals of four on the locomotive arena - Matches for medals September 23 23: 55 Firal Four for the locomotive Arena - Day First22 September 23: 00 Dynamo - “Coerter” - “Dynamo” and the third day November 17: 00gosok and updated club bus October 23: 55 Option of the Museum of the History of VK Lokomotiv - Forward to the victories on October 22: 00match Day | Lokomotiv - Zenit Kazan | The first home match of the Russian Championship on October14: 00 Medical - Lokomotiv in the season 2023/2412 October 21: 00 PRODUCTION PROSOMENT ACTION - Real locomotive October 12: 00 Martin Atanasov - A meeting at the airport October 23: 55 first medals of the season - bronze in Kaliningrad | Highlights - Lokomotiv vs Zenit2 September 14: 00 Sedding of the volleyball association of the Siberian Federal District September 23: 55 Four Four Four Cup in Novosibirsk | Review of matches Tournament Superligamollage Ligasezon 2023/2024 Seson 2022/2023 Season 2021/2022 Season 2020/2021 Season 2019/2020s season 2018/2019 Cossack Russian Cupcubss of the Central Complex of the Russian Comericompion, Russian -Inger -Ingrailipodiglipo -Gyrelipot 40912: 72 Zenit431910: 33-river 43199: 34 Dinomas43199: 35 Belogorye431910: 46 Dinagome-La43199: 57 Zenit-Kasan43199: 58 Kuzbass4222810: 79enisyssia42269: 910 Shahter42257: 911GAZPROM-yUGRA41345: 912 Neftyanik 41345: 1013Uural41336: 914ASK41334: 915ova401: 1216YURARA-SIDELOR40401: 12 Novosibirsk region Lokomotiv "Lokomotiv-Angara" CEVFIVBBOCHOBOCHOCHOK 24 Sub.fm Gropradio54TK "Rail Continent" Subscribe to the Tmber-Commerculum-Movisibirsklocomotive and Schorrukomotvnikhovstvosty administration of the median-nobility of the puffeline-chapelichelereaniyagogotype fanseleshchikhtykafanati attributes Hand accustomed links 8 (383) 271 89 91 Buy a ticket © VK Lokomotiv-Novosibirsk 2008-2023VS. The rights are protected. Copying materials is allowed only with a link to the source.</v>
      </c>
    </row>
    <row r="202">
      <c r="A202" s="1" t="s">
        <v>590</v>
      </c>
      <c r="B202" s="1" t="s">
        <v>663</v>
      </c>
      <c r="C202" s="1" t="s">
        <v>664</v>
      </c>
      <c r="D202" s="1">
        <v>35.0</v>
      </c>
      <c r="E202" s="4" t="s">
        <v>665</v>
      </c>
      <c r="F202" s="1" t="s">
        <v>16</v>
      </c>
      <c r="I202" s="2">
        <v>2.0</v>
      </c>
      <c r="J202" s="5" t="str">
        <f>IFERROR(__xludf.DUMMYFUNCTION("GOOGLETRANSLATE(A202)"),"VC")</f>
        <v>VC</v>
      </c>
      <c r="K202" s="6" t="str">
        <f>IFERROR(__xludf.DUMMYFUNCTION("GOOGLETRANSLATE(B202)"),"Promotions of the ICPAO ""VK""")</f>
        <v>Promotions of the ICPAO "VK"</v>
      </c>
      <c r="L202" s="5" t="str">
        <f>IFERROR(__xludf.DUMMYFUNCTION("GOOGLETRANSLATE(C202)"),"The cost of shares of the ICPAO ""VK"" (VKCO: MOOEX) on the Moscow Exchange, quotation graphics, real -time prices online.")</f>
        <v>The cost of shares of the ICPAO "VK" (VKCO: MOOEX) on the Moscow Exchange, quotation graphics, real -time prices online.</v>
      </c>
      <c r="M202" s="5" t="str">
        <f>IFERROR(__xludf.DUMMYFUNCTION("GOOGLETRANSLATE(G202)"),"#VALUE!")</f>
        <v>#VALUE!</v>
      </c>
    </row>
    <row r="203">
      <c r="A203" s="1" t="s">
        <v>590</v>
      </c>
      <c r="B203" s="1" t="s">
        <v>666</v>
      </c>
      <c r="C203" s="1" t="s">
        <v>667</v>
      </c>
      <c r="D203" s="1">
        <v>2.0</v>
      </c>
      <c r="E203" s="4" t="s">
        <v>668</v>
      </c>
      <c r="F203" s="1" t="s">
        <v>43</v>
      </c>
      <c r="G203" s="1" t="s">
        <v>120</v>
      </c>
      <c r="H203" s="4" t="s">
        <v>121</v>
      </c>
      <c r="I203" s="2">
        <v>0.0</v>
      </c>
      <c r="J203" s="5" t="str">
        <f>IFERROR(__xludf.DUMMYFUNCTION("GOOGLETRANSLATE(A203)"),"VC")</f>
        <v>VC</v>
      </c>
      <c r="K203" s="6" t="str">
        <f>IFERROR(__xludf.DUMMYFUNCTION("GOOGLETRANSLATE(B203)"),"VK: music, video, messenger - Apps on Google Play")</f>
        <v>VK: music, video, messenger - Apps on Google Play</v>
      </c>
      <c r="L203" s="5" t="str">
        <f>IFERROR(__xludf.DUMMYFUNCTION("GOOGLETRANSLATE(C203)"),"VK is an indispensable navigation tool. Its accurate real-time directions, comprehensive map data, and local business information make it a go-to for millions.")</f>
        <v>VK is an indispensable navigation tool. Its accurate real-time directions, comprehensive map data, and local business information make it a go-to for millions.</v>
      </c>
      <c r="M203" s="5" t="str">
        <f>IFERROR(__xludf.DUMMYFUNCTION("GOOGLETRANSLATE(G203)"),"Android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04">
      <c r="A204" s="1" t="s">
        <v>590</v>
      </c>
      <c r="B204" s="1" t="s">
        <v>669</v>
      </c>
      <c r="D204" s="1">
        <v>4.0</v>
      </c>
      <c r="E204" s="4" t="s">
        <v>670</v>
      </c>
      <c r="F204" s="1" t="s">
        <v>43</v>
      </c>
      <c r="G204" s="1" t="s">
        <v>97</v>
      </c>
      <c r="H204" s="4" t="s">
        <v>98</v>
      </c>
      <c r="I204" s="2">
        <v>0.0</v>
      </c>
      <c r="J204" s="5" t="str">
        <f>IFERROR(__xludf.DUMMYFUNCTION("GOOGLETRANSLATE(A204)"),"VC")</f>
        <v>VC</v>
      </c>
      <c r="K204" s="6" t="str">
        <f>IFERROR(__xludf.DUMMYFUNCTION("GOOGLETRANSLATE(B204)"),"VK: social network, messenger on the App Store")</f>
        <v>VK: social network, messenger on the App Store</v>
      </c>
      <c r="M204" s="5" t="str">
        <f>IFERROR(__xludf.DUMMYFUNCTION("GOOGLETRANSLATE(G204)"),"App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05">
      <c r="A205" s="1" t="s">
        <v>590</v>
      </c>
      <c r="B205" s="1" t="s">
        <v>671</v>
      </c>
      <c r="C205" s="1" t="s">
        <v>672</v>
      </c>
      <c r="D205" s="1">
        <v>6.0</v>
      </c>
      <c r="E205" s="4" t="s">
        <v>673</v>
      </c>
      <c r="F205" s="1" t="s">
        <v>43</v>
      </c>
      <c r="G205" s="1" t="s">
        <v>27</v>
      </c>
      <c r="H205" s="4" t="s">
        <v>28</v>
      </c>
      <c r="I205" s="2">
        <v>1.0</v>
      </c>
      <c r="J205" s="5" t="str">
        <f>IFERROR(__xludf.DUMMYFUNCTION("GOOGLETRANSLATE(A205)"),"VC")</f>
        <v>VC</v>
      </c>
      <c r="K205" s="6" t="str">
        <f>IFERROR(__xludf.DUMMYFUNCTION("GOOGLETRANSLATE(B205)"),"VK (service)")</f>
        <v>VK (service)</v>
      </c>
      <c r="L205" s="5" t="str">
        <f>IFERROR(__xludf.DUMMYFUNCTION("GOOGLETRANSLATE(C205)"),"VK is a Russian online social media and social networking service based in Saint Petersburg. VK is available in multiple languages but it is predominantly ...")</f>
        <v>VK is a Russian online social media and social networking service based in Saint Petersburg. VK is available in multiple languages but it is predominantly ...</v>
      </c>
      <c r="M205" s="5" t="str">
        <f>IFERROR(__xludf.DUMMYFUNCTION("GOOGLETRANSLATE(G205)"),"Wikipedia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206">
      <c r="A206" s="1" t="s">
        <v>590</v>
      </c>
      <c r="B206" s="4" t="s">
        <v>674</v>
      </c>
      <c r="D206" s="1">
        <v>7.0</v>
      </c>
      <c r="E206" s="4" t="s">
        <v>674</v>
      </c>
      <c r="F206" s="1" t="s">
        <v>43</v>
      </c>
      <c r="G206" s="1" t="s">
        <v>34</v>
      </c>
      <c r="H206" s="4" t="s">
        <v>675</v>
      </c>
      <c r="I206" s="2">
        <v>1.0</v>
      </c>
      <c r="J206" s="5" t="str">
        <f>IFERROR(__xludf.DUMMYFUNCTION("GOOGLETRANSLATE(A206)"),"VC")</f>
        <v>VC</v>
      </c>
      <c r="K206" s="7" t="str">
        <f>IFERROR(__xludf.DUMMYFUNCTION("GOOGLETRANSLATE(B206)"),"https://m.vk.ru/")</f>
        <v>https://m.vk.ru/</v>
      </c>
      <c r="M206" s="5" t="str">
        <f>IFERROR(__xludf.DUMMYFUNCTION("GOOGLETRANSLATE(G206)"),"VK.com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207">
      <c r="A207" s="1" t="s">
        <v>590</v>
      </c>
      <c r="B207" s="1" t="s">
        <v>676</v>
      </c>
      <c r="D207" s="1">
        <v>9.0</v>
      </c>
      <c r="E207" s="4" t="s">
        <v>677</v>
      </c>
      <c r="F207" s="1" t="s">
        <v>43</v>
      </c>
      <c r="G207" s="1" t="s">
        <v>302</v>
      </c>
      <c r="H207" s="4" t="s">
        <v>303</v>
      </c>
      <c r="I207" s="2">
        <v>3.0</v>
      </c>
      <c r="J207" s="5" t="str">
        <f>IFERROR(__xludf.DUMMYFUNCTION("GOOGLETRANSLATE(A207)"),"VC")</f>
        <v>VC</v>
      </c>
      <c r="K207" s="6" t="str">
        <f>IFERROR(__xludf.DUMMYFUNCTION("GOOGLETRANSLATE(B207)"),"My group of VK. Book nineteenth - result from Google Book")</f>
        <v>My group of VK. Book nineteenth - result from Google Book</v>
      </c>
      <c r="M207" s="5" t="str">
        <f>IFERROR(__xludf.DUMMYFUNCTION("GOOGLETRANSLATE(G207)"),"Google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08">
      <c r="A208" s="1" t="s">
        <v>590</v>
      </c>
      <c r="B208" s="1" t="s">
        <v>678</v>
      </c>
      <c r="D208" s="1">
        <v>11.0</v>
      </c>
      <c r="E208" s="4" t="s">
        <v>679</v>
      </c>
      <c r="F208" s="1" t="s">
        <v>43</v>
      </c>
      <c r="G208" s="1" t="s">
        <v>680</v>
      </c>
      <c r="H208" s="4" t="s">
        <v>681</v>
      </c>
      <c r="I208" s="2">
        <v>2.0</v>
      </c>
      <c r="J208" s="5" t="str">
        <f>IFERROR(__xludf.DUMMYFUNCTION("GOOGLETRANSLATE(A208)"),"VC")</f>
        <v>VC</v>
      </c>
      <c r="K208" s="6" t="str">
        <f>IFERROR(__xludf.DUMMYFUNCTION("GOOGLETRANSLATE(B208)"),"Figma (@vk) | Figma Community")</f>
        <v>Figma (@vk) | Figma Community</v>
      </c>
      <c r="M208" s="5" t="str">
        <f>IFERROR(__xludf.DUMMYFUNCTION("GOOGLETRANSLATE(G208)"),"Figma: The Collaborative Interface Design ToolSkip to main contentProductsFigmaAn all-in-one design platformDesignPrototypingDesign systemsDevelopmentDownloadsFigJamAn online whiteboard for teamsOnline whiteboardingStrategic planningTeam meetingsDiagrammi"&amp;"ngEnterpriseOverviewContact salesPricingResourcesBlogTemplatesCustomersPartnersPlugins and widgetsBest practicesResource libraryReports &amp; InsightsWebinarsHelp centerCommunityCommunity resourcesFree expertly crafted files you can duplicate remix and useEve"&amp;"nts and livestreamsEducation programUser groupsCommunity creatorsContact salesLog inGet started for freeGet started for freeGet started for freeProductsFigmaDesignPrototypingDesign systemsDevelopmentDownloadsFigJamOnline whiteboardingStrategic planningTea"&amp;"m meetingsDiagrammingEnterpriseOverviewContact salesPricingResourcesBlogTemplatesCustomersPartnersPlugins and widgetsBest practicesResource libraryReports &amp; InsightsWebinarsHelp centerCommunityCommunity resourcesEvents and livestreamsEducation programUser"&amp;" groupsCommunity creatorsContact salesLog inGet started for freeHow you design  align  and build  matters. Do it together with Figma.Get startedTrusted by teams atDesignCo-create in one spaceWork together in real time and empower designers to create in ne"&amp;"w ways. Keep workflows efficient with tools that give every team visibility throughout the process.Explore designPrototypeMake designs feel realCreate realistic prototypes that allow for quick iteration on flows and states. Test the full interactive exper"&amp;"ience to get better feedback sooner.Explore prototypingDev ModeNewBring design and dev closerIntroducing Dev Mode a new space in Figma for developers. Bring clarity to designs and give developers the tools they need to translate them into code.Explore Dev"&amp;" ModeDesign systemsScale design and developmentSave time and keep things consistent with reusable assets in shared libraries. Standardize components and variables so that there’s more time for exploration and less time doing busy work.Explore design syste"&amp;"msFigJamAlign your teamFigJam is an online whiteboard where everyone who builds products can collaborate. Use it to bring your team together in new ways from kickoffs and stand ups to rituals and retros.Explore FigJamTwitterYouTubeInstagramFacebookUse Cas"&amp;"esUI designUX designWireframingDiagrammingBrainstormingOnline whiteboardTeam collaborationAgile workflowsStrategic planningMind mappingConcept mappingTemplatesRemote designAgenciesFigma for educationExploreDesign featuresPrototyping featuresDesign systems"&amp;" featuresDevelopment FeaturesCollaboration featuresDesign processFigJamWhat's newReleasesPricingEnterpriseOrganizationProfessionalCustomersSecurityIntegrationsContactResourcesBlogBest practicesColor wheelSupportDevelopersResource libraryReports &amp; Insights"&amp;"WebinarsDownloadsCareersOur storyAffiliate programPartnersPrivacyModern Slavery StatementStatusCompareSketchAdobe XDInvision StudioFramerDesign on WindowsMiroEnglish")</f>
        <v>Figma: The Collaborative Interface Design ToolSkip to main contentProductsFigmaAn all-in-one design platformDesignPrototypingDesign systemsDevelopmentDownloadsFigJamAn online whiteboard for teamsOnline whiteboardingStrategic planningTeam meetingsDiagrammingEnterpriseOverviewContact salesPricingResourcesBlogTemplatesCustomersPartnersPlugins and widgetsBest practicesResource libraryReports &amp; InsightsWebinarsHelp centerCommunityCommunity resourcesFree expertly crafted files you can duplicate remix and useEvents and livestreamsEducation programUser groupsCommunity creatorsContact salesLog inGet started for freeGet started for freeGet started for freeProductsFigmaDesignPrototypingDesign systemsDevelopmentDownloadsFigJamOnline whiteboardingStrategic planningTeam meetingsDiagrammingEnterpriseOverviewContact salesPricingResourcesBlogTemplatesCustomersPartnersPlugins and widgetsBest practicesResource libraryReports &amp; InsightsWebinarsHelp centerCommunityCommunity resourcesEvents and livestreamsEducation programUser groupsCommunity creatorsContact salesLog inGet started for freeHow you design  align  and build  matters. Do it together with Figma.Get startedTrusted by teams atDesignCo-create in one spaceWork together in real time and empower designers to create in new ways. Keep workflows efficient with tools that give every team visibility throughout the process.Explore designPrototypeMake designs feel realCreate realistic prototypes that allow for quick iteration on flows and states. Test the full interactive experience to get better feedback sooner.Explore prototypingDev ModeNewBring design and dev closerIntroducing Dev Mode a new space in Figma for developers. Bring clarity to designs and give developers the tools they need to translate them into code.Explore Dev ModeDesign systemsScale design and developmentSave time and keep things consistent with reusable assets in shared libraries. Standardize components and variables so that there’s more time for exploration and less time doing busy work.Explore design systemsFigJamAlign your teamFigJam is an online whiteboard where everyone who builds products can collaborate. Use it to bring your team together in new ways from kickoffs and stand ups to rituals and retros.Explore FigJamTwitterYouTubeInstagramFacebookUse CasesUI designUX designWireframingDiagrammingBrainstormingOnline whiteboardTeam collaborationAgile workflowsStrategic planningMind mappingConcept mappingTemplatesRemote designAgenciesFigma for educationExploreDesign featuresPrototyping featuresDesign systems featuresDevelopment FeaturesCollaboration featuresDesign processFigJamWhat's newReleasesPricingEnterpriseOrganizationProfessionalCustomersSecurityIntegrationsContactResourcesBlogBest practicesColor wheelSupportDevelopersResource libraryReports &amp; InsightsWebinarsDownloadsCareersOur storyAffiliate programPartnersPrivacyModern Slavery StatementStatusCompareSketchAdobe XDInvision StudioFramerDesign on WindowsMiroEnglish</v>
      </c>
    </row>
    <row r="209">
      <c r="A209" s="1" t="s">
        <v>590</v>
      </c>
      <c r="B209" s="1" t="s">
        <v>682</v>
      </c>
      <c r="C209" s="1" t="s">
        <v>683</v>
      </c>
      <c r="D209" s="1">
        <v>12.0</v>
      </c>
      <c r="E209" s="4" t="s">
        <v>684</v>
      </c>
      <c r="F209" s="1" t="s">
        <v>43</v>
      </c>
      <c r="G209" s="1" t="s">
        <v>634</v>
      </c>
      <c r="H209" s="1" t="s">
        <v>635</v>
      </c>
      <c r="I209" s="2">
        <v>1.0</v>
      </c>
      <c r="J209" s="5" t="str">
        <f>IFERROR(__xludf.DUMMYFUNCTION("GOOGLETRANSLATE(A209)"),"VC")</f>
        <v>VC</v>
      </c>
      <c r="K209" s="6" t="str">
        <f>IFERROR(__xludf.DUMMYFUNCTION("GOOGLETRANSLATE(B209)"),"Vacancies")</f>
        <v>Vacancies</v>
      </c>
      <c r="L209" s="5" t="str">
        <f>IFERROR(__xludf.DUMMYFUNCTION("GOOGLETRANSLATE(C209)"),"Human Resources Manager for Compensation and Benefits · TeamLeAd Head (Teamlead) in advertising support VK · Development Manager ...")</f>
        <v>Human Resources Manager for Compensation and Benefits · TeamLeAd Head (Teamlead) in advertising support VK · Development Manager ...</v>
      </c>
      <c r="M209" s="5" t="str">
        <f>IFERROR(__xludf.DUMMYFUNCTION("GOOGLETRANSLATE(G209)"),"Career of the company of the company's work of the work of the Commercial Commission of the Office in Moscow Projectingkaniykandidatatams work in Vkkommandamdamytykhotykhiye recommend friendly work all cities of removalnnovy Novgorodsankancamincamincamine"&amp;"rskadalenovs. Kazantomskoschiminskpoisk VKAYSISIST VK in the ranking of the best employers of Russia more relevant vacancies in 200+ projects select the right direction and join us with us to develop technologies for millions of development -develop -deve"&amp;"lopingbackendFrontenTendmobilebiqamachine LearningData Science Imgra development more vacancies -infrastructure administrations of thesredevopssapsapsapsist integration and development more vacancies analytics analytics are more vacancies -based more vaca"&amp;"ncies for Project control product. Kansiynformation security more than the vacanciesback Office Department of the Department of the Department of Personnel Department of the Department of Department Department of the Department of the Office develops the "&amp;"ecosystem, which includes more than 200 projects from different directions, connecting the vk Team -use of people through our projects to watch videos what is important for us? One VK team unites professionals who are working on hundreds of projects in va"&amp;"rious fields. We exchange ideas and experience we value a variety of opinions and approaches. The combination of technologies and examinations of different teams helps us create more advanced products and services. Development of any achievement is an occ"&amp;"asion to set new goals. We do not stop there and are always looking for an opportunity for new discoveries. Each employee has the opportunity to develop and gain new knowledge and skills to grow vertically and become part of the new projects within the VK"&amp;". Technologies for millions, we create technologies services and products that improve the quality of life of millions of users and make innovation available to everyone. We share experience and best practices with the market and influence the development"&amp;" of the entire industry. It is important for us to develop and improve our services by making them convenient and safe for all users. We support experiments and recognize errors: their solution allows you to make services more reliable and the experience "&amp;"of the team is invaluable. One VK team unites professionals who are working on hundreds of projects in various fields. We exchange ideas and experience we value a variety of opinions and approaches. The combination of technologies and examinations of diff"&amp;"erent teams helps us create more advanced products and services. Development of any achievement is an occasion to set new goals. We do not stop there and are always looking for an opportunity for new discoveries. Each employee has the opportunity to devel"&amp;"op and gain new knowledge and skills to grow vertically and become part of the new projects within the VK. Technologies for millions, we create technologies services and products that improve the quality of life of millions of users and make innovation av"&amp;"ailable to everyone. We share experience and best practices with the market and influence the development of the entire industry. It is important for us to develop and improve our services by making them convenient and safe for all users. We support exper"&amp;"iments and recognize errors: their solution allows you to make services more reliable and the experience of the team is invaluable. Commanding the VK whole team! VK is more than 200 projects and products that millions of people use daily. We invite you to"&amp;" create breakthrough and useful services together. Now, part of VK can become part of the already formed teams. If you have people with whom you can turn the mountains we have something to offer you. Opportunities for the commanding and vanchphpHp develop"&amp;"er MyTracker PHPGO Developer IAM User Flow Vk Cloud Gojava Developer (API Development Group) Odnokkendet / QA Automation Engineer on Android Autoqa Automat. Ion -Career ML INTACE VKontakte for the business Pythonmachine LearningbigDatahadooplinuxnlinalist"&amp;" in the operating direction of advertising technologies VK SQLsistema (VK Messenger) VKLSYSTEM ANALYSTARCHTARCHTER of solutions VK Tech Linuxarchitecture, more vacancies to become part of the team? 1 Open Choose one or more vacancies and respond! Fill out"&amp;" all the fields of the questionnaire and do not forget to attach the resume links to GitHub or Portfolio. The 2nd interview as a rule is 3-4 personal or online meetings with experts-it depends on the position of the position. 3 The solution we will take a"&amp;" small pause to make a decision and prepare a proposal for work. 4 Open after a proposal for work, we will return with the details about the process of registration and clarify What equipment you are used to working on. On the first working day, we tell t"&amp;"he office of the office and the introduction of the team how to become part of the team? Response1 Choose one or more vacancies and respond! Fill out all the fields of the questionnaire and do not forget to attach the resume links to GitHub or Portfolio. "&amp;"Interview2, as a rule, 3-4 personal or online meetings with experts are waiting for you-it depends on the level of position. Nutrition3 We will take a small pause to make a decision and prepare a proposal for work. Offfer4 after a proposal for work, we wi"&amp;"ll return with the details of the design and clarify the details and clarify What equipment are you used to working on. Blogchabkak to publish the application in the Rustore and connect monetization: step-by-step haidhabarposhagi guide: how do we make our"&amp;" own translator-habristers for Mlops: we choose between Vendorian and Open Source-reservoirs to combine devices with different transmission protocols for one IoT-flame Habrsemsk forecasts : What awaits the Date-Engineering in 2023 City October 27 October "&amp;"October October Benes Completed on October 05 October Tech Talks · Ai Research Completed September 22 of the Streetball with CTO | VK X South Hub completed on September 12 Apple Event | VK X Coffee &amp; Code is completed to watch all the event of a suitable "&amp;"vacancy? Leave your contacts and resume - we will contact you only for you an perfect vacancy. It is necessary for filling in emails that email address address is the email of the Analycedata-AnalyticsFronTendfull-Stackhelpdeskine LEARNINGMOBILEQASREADENT"&amp;"ER DEPARETERIARYARENTERIARYADOMENTERS Safety Department. Technical specialties KRSETENENSISISISISISISISTEMENCENCEMENCED Administrative Integration and Development of IT development IT Project Management Personnel Administration to the product management m"&amp;"anagement department Department department Department of ll-Stackhelpdeskmachine LearningMobileqasrem Adquair Department of the Department of Information Information Security Department of the Department of Product Analytics and Technical Specialties Crse"&amp;"te Administration Estemes Analystantine administrative -system integration and development of IT development to the product management IT PRODUCTION Personal Management to the product management project management department Department of Department Depar"&amp;"tment, to fill in your social network Github, drag out of my resume from the files from the files of myself, I agree with the policy of confidentiality policies I agree And I give consent to the processing of personal data. I want to receive notifications"&amp;" by mail of fresh vacancies. Send the resumes to the response we will contact as soon as thejection vacancy appears for you. Send another resume © 2023 VK")</f>
        <v>Career of the company of the company's work of the work of the Commercial Commission of the Office in Moscow Projectingkaniykandidatatams work in Vkkommandamdamytykhotykhiye recommend friendly work all cities of removalnnovy Novgorodsankancamincamincaminerskadalenovs. Kazantomskoschiminskpoisk VKAYSISIST VK in the ranking of the best employers of Russia more relevant vacancies in 200+ projects select the right direction and join us with us to develop technologies for millions of development -develop -developingbackendFrontenTendmobilebiqamachine LearningData Science Imgra development more vacancies -infrastructure administrations of thesredevopssapsapsapsist integration and development more vacancies analytics analytics are more vacancies -based more vacancies for Project control product. Kansiynformation security more than the vacanciesback Office Department of the Department of the Department of Personnel Department of the Department of Department Department of the Department of the Office develops the ecosystem, which includes more than 200 projects from different directions, connecting the vk Team -use of people through our projects to watch videos what is important for us? One VK team unites professionals who are working on hundreds of projects in various fields. We exchange ideas and experience we value a variety of opinions and approaches. The combination of technologies and examinations of different teams helps us create more advanced products and services. Development of any achievement is an occasion to set new goals. We do not stop there and are always looking for an opportunity for new discoveries. Each employee has the opportunity to develop and gain new knowledge and skills to grow vertically and become part of the new projects within the VK. Technologies for millions, we create technologies services and products that improve the quality of life of millions of users and make innovation available to everyone. We share experience and best practices with the market and influence the development of the entire industry. It is important for us to develop and improve our services by making them convenient and safe for all users. We support experiments and recognize errors: their solution allows you to make services more reliable and the experience of the team is invaluable. One VK team unites professionals who are working on hundreds of projects in various fields. We exchange ideas and experience we value a variety of opinions and approaches. The combination of technologies and examinations of different teams helps us create more advanced products and services. Development of any achievement is an occasion to set new goals. We do not stop there and are always looking for an opportunity for new discoveries. Each employee has the opportunity to develop and gain new knowledge and skills to grow vertically and become part of the new projects within the VK. Technologies for millions, we create technologies services and products that improve the quality of life of millions of users and make innovation available to everyone. We share experience and best practices with the market and influence the development of the entire industry. It is important for us to develop and improve our services by making them convenient and safe for all users. We support experiments and recognize errors: their solution allows you to make services more reliable and the experience of the team is invaluable. Commanding the VK whole team! VK is more than 200 projects and products that millions of people use daily. We invite you to create breakthrough and useful services together. Now, part of VK can become part of the already formed teams. If you have people with whom you can turn the mountains we have something to offer you. Opportunities for the commanding and vanchphpHp developer MyTracker PHPGO Developer IAM User Flow Vk Cloud Gojava Developer (API Development Group) Odnokkendet / QA Automation Engineer on Android Autoqa Automat. Ion -Career ML INTACE VKontakte for the business Pythonmachine LearningbigDatahadooplinuxnlinalist in the operating direction of advertising technologies VK SQLsistema (VK Messenger) VKLSYSTEM ANALYSTARCHTARCHTER of solutions VK Tech Linuxarchitecture, more vacancies to become part of the team? 1 Open Choose one or more vacancies and respond! Fill out all the fields of the questionnaire and do not forget to attach the resume links to GitHub or Portfolio. The 2nd interview as a rule is 3-4 personal or online meetings with experts-it depends on the position of the position. 3 The solution we will take a small pause to make a decision and prepare a proposal for work. 4 Open after a proposal for work, we will return with the details about the process of registration and clarify What equipment you are used to working on. On the first working day, we tell the office of the office and the introduction of the team how to become part of the team? Response1 Choose one or more vacancies and respond! Fill out all the fields of the questionnaire and do not forget to attach the resume links to GitHub or Portfolio. Interview2, as a rule, 3-4 personal or online meetings with experts are waiting for you-it depends on the level of position. Nutrition3 We will take a small pause to make a decision and prepare a proposal for work. Offfer4 after a proposal for work, we will return with the details of the design and clarify the details and clarify What equipment are you used to working on. Blogchabkak to publish the application in the Rustore and connect monetization: step-by-step haidhabarposhagi guide: how do we make our own translator-habristers for Mlops: we choose between Vendorian and Open Source-reservoirs to combine devices with different transmission protocols for one IoT-flame Habrsemsk forecasts : What awaits the Date-Engineering in 2023 City October 27 October October October Benes Completed on October 05 October Tech Talks · Ai Research Completed September 22 of the Streetball with CTO | VK X South Hub completed on September 12 Apple Event | VK X Coffee &amp; Code is completed to watch all the event of a suitable vacancy? Leave your contacts and resume - we will contact you only for you an perfect vacancy. It is necessary for filling in emails that email address address is the email of the Analycedata-AnalyticsFronTendfull-Stackhelpdeskine LEARNINGMOBILEQASREADENTER DEPARETERIARYARENTERIARYADOMENTERS Safety Department. Technical specialties KRSETENENSISISISISISISISTEMENCENCEMENCED Administrative Integration and Development of IT development IT Project Management Personnel Administration to the product management management department Department department Department of ll-Stackhelpdeskmachine LearningMobileqasrem Adquair Department of the Department of Information Information Security Department of the Department of Product Analytics and Technical Specialties Crsete Administration Estemes Analystantine administrative -system integration and development of IT development to the product management IT PRODUCTION Personal Management to the product management project management department Department of Department Department, to fill in your social network Github, drag out of my resume from the files from the files of myself, I agree with the policy of confidentiality policies I agree And I give consent to the processing of personal data. I want to receive notifications by mail of fresh vacancies. Send the resumes to the response we will contact as soon as thejection vacancy appears for you. Send another resume © 2023 VK</v>
      </c>
    </row>
    <row r="210">
      <c r="A210" s="1" t="s">
        <v>590</v>
      </c>
      <c r="B210" s="1" t="s">
        <v>685</v>
      </c>
      <c r="D210" s="1">
        <v>13.0</v>
      </c>
      <c r="E210" s="4" t="s">
        <v>686</v>
      </c>
      <c r="F210" s="1" t="s">
        <v>43</v>
      </c>
      <c r="G210" s="1" t="s">
        <v>302</v>
      </c>
      <c r="H210" s="4" t="s">
        <v>303</v>
      </c>
      <c r="I210" s="2">
        <v>3.0</v>
      </c>
      <c r="J210" s="5" t="str">
        <f>IFERROR(__xludf.DUMMYFUNCTION("GOOGLETRANSLATE(A210)"),"VC")</f>
        <v>VC</v>
      </c>
      <c r="K210" s="6" t="str">
        <f>IFERROR(__xludf.DUMMYFUNCTION("GOOGLETRANSLATE(B210)"),"My group of VK. Speech and signatures to posts. The book is third")</f>
        <v>My group of VK. Speech and signatures to posts. The book is third</v>
      </c>
      <c r="M210" s="5" t="str">
        <f>IFERROR(__xludf.DUMMYFUNCTION("GOOGLETRANSLATE(G210)"),"Google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1">
      <c r="A211" s="1" t="s">
        <v>590</v>
      </c>
      <c r="B211" s="4" t="s">
        <v>687</v>
      </c>
      <c r="D211" s="1">
        <v>16.0</v>
      </c>
      <c r="E211" s="4" t="s">
        <v>688</v>
      </c>
      <c r="F211" s="1" t="s">
        <v>43</v>
      </c>
      <c r="G211" s="1" t="s">
        <v>689</v>
      </c>
      <c r="H211" s="4" t="s">
        <v>690</v>
      </c>
      <c r="I211" s="2">
        <v>2.0</v>
      </c>
      <c r="J211" s="5" t="str">
        <f>IFERROR(__xludf.DUMMYFUNCTION("GOOGLETRANSLATE(A211)"),"VC")</f>
        <v>VC</v>
      </c>
      <c r="K211" s="7" t="str">
        <f>IFERROR(__xludf.DUMMYFUNCTION("GOOGLETRANSLATE(B211)"),"VK.cc")</f>
        <v>VK.cc</v>
      </c>
      <c r="M211" s="5" t="str">
        <f>IFERROR(__xludf.DUMMYFUNCTION("GOOGLETRANSLATE(G211)"),"Sign in | VK               Install the VK mobile app              Stay in touch on the go with VK mobile.    Forgot password?First time here?Sign up for VKSign up for VKSign in with GoogleРусскийall languages »Desktop versionRecommendation technologies us"&amp;"ed")</f>
        <v>Sign in | VK               Install the VK mobile app              Stay in touch on the go with VK mobile.    Forgot password?First time here?Sign up for VKSign up for VKSign in with GoogleРусскийall languages »Desktop versionRecommendation technologies used</v>
      </c>
    </row>
    <row r="212">
      <c r="A212" s="1" t="s">
        <v>590</v>
      </c>
      <c r="B212" s="1" t="s">
        <v>691</v>
      </c>
      <c r="C212" s="1" t="s">
        <v>80</v>
      </c>
      <c r="D212" s="1">
        <v>17.0</v>
      </c>
      <c r="E212" s="4" t="s">
        <v>692</v>
      </c>
      <c r="F212" s="1" t="s">
        <v>43</v>
      </c>
      <c r="I212" s="2">
        <v>1.0</v>
      </c>
      <c r="J212" s="5" t="str">
        <f>IFERROR(__xludf.DUMMYFUNCTION("GOOGLETRANSLATE(A212)"),"VC")</f>
        <v>VC</v>
      </c>
      <c r="K212" s="6" t="str">
        <f>IFERROR(__xludf.DUMMYFUNCTION("GOOGLETRANSLATE(B212)"),"The revenue of VK for the third quarter showed a strong growth. ...")</f>
        <v>The revenue of VK for the third quarter showed a strong growth. ...</v>
      </c>
      <c r="L212" s="5" t="str">
        <f>IFERROR(__xludf.DUMMYFUNCTION("GOOGLETRANSLATE(C212)"),"19 hours ago -")</f>
        <v>19 hours ago -</v>
      </c>
      <c r="M212" s="5" t="str">
        <f>IFERROR(__xludf.DUMMYFUNCTION("GOOGLETRANSLATE(G212)"),"#VALUE!")</f>
        <v>#VALUE!</v>
      </c>
    </row>
    <row r="213">
      <c r="A213" s="1" t="s">
        <v>590</v>
      </c>
      <c r="B213" s="1" t="s">
        <v>693</v>
      </c>
      <c r="D213" s="1">
        <v>18.0</v>
      </c>
      <c r="E213" s="4" t="s">
        <v>694</v>
      </c>
      <c r="F213" s="1" t="s">
        <v>43</v>
      </c>
      <c r="G213" s="1" t="s">
        <v>695</v>
      </c>
      <c r="H213" s="4" t="s">
        <v>696</v>
      </c>
      <c r="I213" s="2">
        <v>5.0</v>
      </c>
      <c r="J213" s="5" t="str">
        <f>IFERROR(__xludf.DUMMYFUNCTION("GOOGLETRANSLATE(A213)"),"VC")</f>
        <v>VC</v>
      </c>
      <c r="K213" s="6" t="str">
        <f>IFERROR(__xludf.DUMMYFUNCTION("GOOGLETRANSLATE(B213)"),"VC")</f>
        <v>VC</v>
      </c>
      <c r="M213" s="5" t="str">
        <f>IFERROR(__xludf.DUMMYFUNCTION("GOOGLETRANSLATE(G213)"),"Wikoslovaryvikylovikar: the title page of viklivarvary to navigate to the search for the Russian viklovardobrot to the Russian vikvar - the multifunctional multilingual dictionary and the thesis in the discussion and replenishment of which everyone can pa"&amp;"rticipate. The word word was opened on May 1, 2004 and now it contains 1,314,06 articles on the words of word -of -word units. Nitsa and phrases of more than 600 languages ​​of the world. You can supplement and improve the already begun articles create ne"&amp;"w ones and also leave requests for the creation of new articles and to add values ​​already begun. If you are not a registered participant, then use an incubator to create articles. At the same time, it is recommended to use the rules for the design of ar"&amp;"ticles and the Vikiwaran reference section as an help. It is also possible to discuss the issues that arise in the partitions of the Page Pages of the discussion also have each article of the category, etc. On vikasososostleki -ketilexographic concept, th"&amp;"e structure of viklovary -based contractions of the design of the articles of literature, the creation of the articles of the articles in the vikwar -participants of the vijacan November 2023: for a month in Russian Skom Wikhoslovare created about 14,300 "&amp;"articles. September 2023: About 12,000 articles were created in the Russian Viklivar. August 2023: about 11,800 articles were created in the Russian Vikylovar. July 2023: about 9400 articles 2023 were created in the Russian Viklivar. : Over a month, about"&amp;" 8,000 articles 1 was created in the Russian Viklivar: the number of articles on the meter on the title page of the viklivar was about 1274 thousand male 2023: about 9300 articles were created in the Russian Viklivar. April 2023: about a month in the Russ"&amp;"ian viklovar created 9500 articles. Spring News Articles · In Russian in the Russian Language of CapteGoria -Sumantic Categories: Abstract relations between the Office of the Economic Affairs of the Evaluations of the Human Light -Human -Loan Grammarmatic"&amp;" Categories: Parts of Subscribing Greetings of the Message of Personnel -Summaries of the Democraticism of the Domestic Grammariystrymic nitramatic categories: described language -described language Logizma-Modkadkadkadkanovybreviator-dumper-and-mammorphh"&amp;"ms and others. Parts of the Slovisure of the Language of Languages ​​by the origin of the category in alphabetical storage of the vaults: Slavic language of the language of the language of the language of the language of the language of the language of th"&amp;"e language of the language Language-guaranic dictionary of the Russian Language of the Russian Language of the Rozausurus more frequent words of various linguists of the dictionary of the vocabulary of the pollutant friends of translator-red-painted word-"&amp;"speaking thematic tables: Abvgdeshezhziyklmnoprstufkhshshchshshchshshchshshchshshchshshchshchyabhazian English Arab-Armenia Armenian Armenia The Bulgarian Bigrethengers Greek Greek Georgian Data of the Data of the Data -Greek Igruck -Iskiylansian Iska -Li"&amp;"ngaisa -Lingaic -Lingaisky Koreki Koreansky Latin Litino Lithuanian Macedonian German -Service -Roseta Palipol Portuguese -Sulfyskoyan Tatar -Tutar -Tutar -Tutar -Firefire -February -Firefire -Februarys Khoratsa -Firefront The EXCHOSSKY ESTRUSPENTO -ESTAR"&amp;"OSKOYSKYASTOSKY YASKOSKYASHSKAYSKY YAVOSHKOVSKYASHICHSKOVSISTOSKY Articles here are written exclusively in Russian. Other languages ​​can be found in the appropriate language sections of Wiktionary: English | Bulgarian | Hungarian | Galician | Greek | Heb"&amp;"rew | Spanish | Italian | Chinese | Korean | Kurdish | Latin | Malagasky | Macedonian | German | Dutch | Polish | Portuguese | Romanian | Turkish | Ukrainian | Finnish | French | Swedish | Esperanto | Japanese spokes for all language sections (English) | "&amp;"General page of the Wiktionary Graduate Projects of the Foundation Vikimediavikipediac-language encyclopediavicemaging Media-fi-ovyloviki-oreginal text-okycitanium-okollectic collection okitatvykino-hungeries and guidelines of vicamine these knowledge of "&amp;"the knowledge of the Vikihi -Medistancubator Vikimedian Language section of the source - https://ru.wiktionary.org/w/index.php?title= Vypysyglivar: the post -staff_oldid=13217579 The system of consumption to compose the accounting recordings Immedic -base"&amp;"d Russian viewing of the CodaStoriyatoriyop -oscillation -based pages of an index -pages of the Estate page of the errors of the errors of the Ethnicity Events, There are a pages of the pages of the page on the page of the abbreviated URL-address of the w"&amp;"ikidan-prize/exported to make a bookstick as a PDFVRESIT for printing other projects vi-wound-free-mass-vikimedia Outreachy, vicotexts. Kidanneevikifunikhonceniimanikihimanovykinovicopediavikipyvikyvikyvyvikovikovikovikovikoviki -vertic is other languages"&amp;" ​​ال eyympة azərbaycancatalà ꮳꮃꭹ češtinadeutschελληνικάenglisheleestieuskara Galego हिन्दी Magyar հ Bahasa Indonesiaidoitaliano 日本語 jawa ಕನ್ನಡ 한국어 kurdîlimburgslietuviųmalagasy മലയാളം nederlandsnorskocitan ଓଡ଼ିଆ polskiSrom] I / SRPKHRVATSKISKI / srpskisv"&amp;"enska தமிழ் ไทย ไทย türkçejokoʻzbekcha / ўzbekchatiếng việt 中文 This page was last edited on November 10, 2023 at 10: 24. The text is available under the Creative Commons Attributation-Scharealike license in separate cases Additional conditions may apply. "&amp;"For more details, see the conditions of use. Politician of confidentiality of vikoslovaryaotokaz from liability of the behavior of development of the development of a cummant version")</f>
        <v>Wikoslovaryvikylovikar: the title page of viklivarvary to navigate to the search for the Russian viklovardobrot to the Russian vikvar - the multifunctional multilingual dictionary and the thesis in the discussion and replenishment of which everyone can participate. The word word was opened on May 1, 2004 and now it contains 1,314,06 articles on the words of word -of -word units. Nitsa and phrases of more than 600 languages ​​of the world. You can supplement and improve the already begun articles create new ones and also leave requests for the creation of new articles and to add values ​​already begun. If you are not a registered participant, then use an incubator to create articles. At the same time, it is recommended to use the rules for the design of articles and the Vikiwaran reference section as an help. It is also possible to discuss the issues that arise in the partitions of the Page Pages of the discussion also have each article of the category, etc. On vikasososostleki -ketilexographic concept, the structure of viklovary -based contractions of the design of the articles of literature, the creation of the articles of the articles in the vikwar -participants of the vijacan November 2023: for a month in Russian Skom Wikhoslovare created about 14,300 articles. September 2023: About 12,000 articles were created in the Russian Viklivar. August 2023: about 11,800 articles were created in the Russian Vikylovar. July 2023: about 9400 articles 2023 were created in the Russian Viklivar. : Over a month, about 8,000 articles 1 was created in the Russian Viklivar: the number of articles on the meter on the title page of the viklivar was about 1274 thousand male 2023: about 9300 articles were created in the Russian Viklivar. April 2023: about a month in the Russian viklovar created 9500 articles. Spring News Articles · In Russian in the Russian Language of CapteGoria -Sumantic Categories: Abstract relations between the Office of the Economic Affairs of the Evaluations of the Human Light -Human -Loan Grammarmatic Categories: Parts of Subscribing Greetings of the Message of Personnel -Summaries of the Democraticism of the Domestic Grammariystrymic nitramatic categories: described language -described language Logizma-Modkadkadkadkanovybreviator-dumper-and-mammorphhms and others. Parts of the Slovisure of the Language of Languages ​​by the origin of the category in alphabetical storage of the vaults: Slavic language of the language of the language of the language of the language of the language of the language of the language of the language Language-guaranic dictionary of the Russian Language of the Russian Language of the Rozausurus more frequent words of various linguists of the dictionary of the vocabulary of the pollutant friends of translator-red-painted word-speaking thematic tables: Abvgdeshezhziyklmnoprstufkhshshchshshchshshchshshchshshchshshchshchyabhazian English Arab-Armenia Armenian Armenia The Bulgarian Bigrethengers Greek Greek Georgian Data of the Data of the Data -Greek Igruck -Iskiylansian Iska -Lingaisa -Lingaic -Lingaisky Koreki Koreansky Latin Litino Lithuanian Macedonian German -Service -Roseta Palipol Portuguese -Sulfyskoyan Tatar -Tutar -Tutar -Tutar -Firefire -February -Firefire -Februarys Khoratsa -Firefront The EXCHOSSKY ESTRUSPENTO -ESTAROSKOYSKYASTOSKY YASKOSKYASHSKAYSKY YAVOSHKOVSKYASHICHSKOVSISTOSKY Articles here are written exclusively in Russian. Other languages ​​can be found in the appropriate language sections of Wiktionary: English | Bulgarian | Hungarian | Galician | Greek | Hebrew | Spanish | Italian | Chinese | Korean | Kurdish | Latin | Malagasky | Macedonian | German | Dutch | Polish | Portuguese | Romanian | Turkish | Ukrainian | Finnish | French | Swedish | Esperanto | Japanese spokes for all language sections (English) | General page of the Wiktionary Graduate Projects of the Foundation Vikimediavikipediac-language encyclopediavicemaging Media-fi-ovyloviki-oreginal text-okycitanium-okollectic collection okitatvykino-hungeries and guidelines of vicamine these knowledge of the knowledge of the Vikihi -Medistancubator Vikimedian Language section of the source - https://ru.wiktionary.org/w/index.php?title= Vypysyglivar: the post -staff_oldid=13217579 The system of consumption to compose the accounting recordings Immedic -based Russian viewing of the CodaStoriyatoriyop -oscillation -based pages of an index -pages of the Estate page of the errors of the errors of the Ethnicity Events, There are a pages of the pages of the page on the page of the abbreviated URL-address of the wikidan-prize/exported to make a bookstick as a PDFVRESIT for printing other projects vi-wound-free-mass-vikimedia Outreachy, vicotexts. Kidanneevikifunikhonceniimanikihimanovykinovicopediavikipyvikyvikyvyvikovikovikovikovikoviki -vertic is other languages ​​ال eyympة azərbaycancatalà ꮳꮃꭹ češtinadeutschελληνικάenglisheleestieuskara Galego हिन्दी Magyar հ Bahasa Indonesiaidoitaliano 日本語 jawa ಕನ್ನಡ 한국어 kurdîlimburgslietuviųmalagasy മലയാളം nederlandsnorskocitan ଓଡ଼ିଆ polskiSrom] I / SRPKHRVATSKISKI / srpskisvenska தமிழ் ไทย ไทย türkçejokoʻzbekcha / ўzbekchatiếng việt 中文 This page was last edited on November 10, 2023 at 10: 24. The text is available under the Creative Commons Attributation-Scharealike license in separate cases Additional conditions may apply. For more details, see the conditions of use. Politician of confidentiality of vikoslovaryaotokaz from liability of the behavior of development of the development of a cummant version</v>
      </c>
    </row>
    <row r="214">
      <c r="A214" s="1" t="s">
        <v>590</v>
      </c>
      <c r="B214" s="1" t="s">
        <v>697</v>
      </c>
      <c r="D214" s="1">
        <v>24.0</v>
      </c>
      <c r="E214" s="4" t="s">
        <v>698</v>
      </c>
      <c r="F214" s="1" t="s">
        <v>43</v>
      </c>
      <c r="G214" s="1" t="s">
        <v>302</v>
      </c>
      <c r="H214" s="4" t="s">
        <v>303</v>
      </c>
      <c r="I214" s="2">
        <v>3.0</v>
      </c>
      <c r="J214" s="5" t="str">
        <f>IFERROR(__xludf.DUMMYFUNCTION("GOOGLETRANSLATE(A214)"),"VC")</f>
        <v>VC</v>
      </c>
      <c r="K214" s="6" t="str">
        <f>IFERROR(__xludf.DUMMYFUNCTION("GOOGLETRANSLATE(B214)"),"My group of VK. The book is twenty -fifth")</f>
        <v>My group of VK. The book is twenty -fifth</v>
      </c>
      <c r="M214" s="5" t="str">
        <f>IFERROR(__xludf.DUMMYFUNCTION("GOOGLETRANSLATE(G214)"),"Google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5">
      <c r="A215" s="1" t="s">
        <v>590</v>
      </c>
      <c r="B215" s="1" t="s">
        <v>699</v>
      </c>
      <c r="D215" s="1">
        <v>25.0</v>
      </c>
      <c r="E215" s="4" t="s">
        <v>700</v>
      </c>
      <c r="F215" s="1" t="s">
        <v>43</v>
      </c>
      <c r="G215" s="1" t="s">
        <v>302</v>
      </c>
      <c r="H215" s="4" t="s">
        <v>303</v>
      </c>
      <c r="I215" s="2">
        <v>3.0</v>
      </c>
      <c r="J215" s="5" t="str">
        <f>IFERROR(__xludf.DUMMYFUNCTION("GOOGLETRANSLATE(A215)"),"VC")</f>
        <v>VC</v>
      </c>
      <c r="K215" s="6" t="str">
        <f>IFERROR(__xludf.DUMMYFUNCTION("GOOGLETRANSLATE(B215)"),"My group of VK. Book twentieth - result from Google Book")</f>
        <v>My group of VK. Book twentieth - result from Google Book</v>
      </c>
      <c r="M215" s="5" t="str">
        <f>IFERROR(__xludf.DUMMYFUNCTION("GOOGLETRANSLATE(G215)"),"Google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6">
      <c r="A216" s="1" t="s">
        <v>590</v>
      </c>
      <c r="B216" s="1" t="s">
        <v>676</v>
      </c>
      <c r="D216" s="1">
        <v>26.0</v>
      </c>
      <c r="E216" s="4" t="s">
        <v>701</v>
      </c>
      <c r="F216" s="1" t="s">
        <v>43</v>
      </c>
      <c r="G216" s="1" t="s">
        <v>302</v>
      </c>
      <c r="H216" s="4" t="s">
        <v>303</v>
      </c>
      <c r="I216" s="2">
        <v>3.0</v>
      </c>
      <c r="J216" s="5" t="str">
        <f>IFERROR(__xludf.DUMMYFUNCTION("GOOGLETRANSLATE(A216)"),"VC")</f>
        <v>VC</v>
      </c>
      <c r="K216" s="6" t="str">
        <f>IFERROR(__xludf.DUMMYFUNCTION("GOOGLETRANSLATE(B216)"),"My group of VK. Book nineteenth - result from Google Book")</f>
        <v>My group of VK. Book nineteenth - result from Google Book</v>
      </c>
      <c r="M216" s="5" t="str">
        <f>IFERROR(__xludf.DUMMYFUNCTION("GOOGLETRANSLATE(G216)"),"Google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7">
      <c r="A217" s="1" t="s">
        <v>590</v>
      </c>
      <c r="B217" s="1" t="s">
        <v>702</v>
      </c>
      <c r="D217" s="1">
        <v>27.0</v>
      </c>
      <c r="E217" s="4" t="s">
        <v>703</v>
      </c>
      <c r="F217" s="1" t="s">
        <v>43</v>
      </c>
      <c r="G217" s="1" t="s">
        <v>302</v>
      </c>
      <c r="H217" s="4" t="s">
        <v>303</v>
      </c>
      <c r="I217" s="2">
        <v>3.0</v>
      </c>
      <c r="J217" s="5" t="str">
        <f>IFERROR(__xludf.DUMMYFUNCTION("GOOGLETRANSLATE(A217)"),"VC")</f>
        <v>VC</v>
      </c>
      <c r="K217" s="6" t="str">
        <f>IFERROR(__xludf.DUMMYFUNCTION("GOOGLETRANSLATE(B217)"),"My group of VK. Speech and signatures to posts. The book is seventeenth")</f>
        <v>My group of VK. Speech and signatures to posts. The book is seventeenth</v>
      </c>
      <c r="M217" s="5" t="str">
        <f>IFERROR(__xludf.DUMMYFUNCTION("GOOGLETRANSLATE(G217)"),"Google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18">
      <c r="A218" s="1" t="s">
        <v>590</v>
      </c>
      <c r="B218" s="1" t="s">
        <v>704</v>
      </c>
      <c r="C218" s="1" t="s">
        <v>705</v>
      </c>
      <c r="D218" s="1">
        <v>28.0</v>
      </c>
      <c r="E218" s="4" t="s">
        <v>706</v>
      </c>
      <c r="F218" s="1" t="s">
        <v>43</v>
      </c>
      <c r="G218" s="1" t="s">
        <v>31</v>
      </c>
      <c r="H218" s="4" t="s">
        <v>32</v>
      </c>
      <c r="I218" s="2">
        <v>4.0</v>
      </c>
      <c r="J218" s="5" t="str">
        <f>IFERROR(__xludf.DUMMYFUNCTION("GOOGLETRANSLATE(A218)"),"VC")</f>
        <v>VC</v>
      </c>
      <c r="K218" s="6" t="str">
        <f>IFERROR(__xludf.DUMMYFUNCTION("GOOGLETRANSLATE(B218)"),"VK (company)")</f>
        <v>VK (company)</v>
      </c>
      <c r="L218" s="5" t="str">
        <f>IFERROR(__xludf.DUMMYFUNCTION("GOOGLETRANSLATE(C218)"),"VK (“VE-kA”; until October 12, 2021-Mail.Ru Group, until 2010-Digital Sky Technologies)-Russian Investment Technological Corporation, ...")</f>
        <v>VK (“VE-kA”; until October 12, 2021-Mail.Ru Group, until 2010-Digital Sky Technologies)-Russian Investment Technological Corporation, ...</v>
      </c>
      <c r="M218" s="5" t="str">
        <f>IFERROR(__xludf.DUMMYFUNCTION("GOOGLETRANSLATE(G218)"),"Wikipedia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219">
      <c r="A219" s="1" t="s">
        <v>590</v>
      </c>
      <c r="B219" s="1" t="s">
        <v>707</v>
      </c>
      <c r="C219" s="1" t="s">
        <v>708</v>
      </c>
      <c r="D219" s="1">
        <v>32.0</v>
      </c>
      <c r="E219" s="4" t="s">
        <v>709</v>
      </c>
      <c r="F219" s="1" t="s">
        <v>43</v>
      </c>
      <c r="G219" s="1" t="s">
        <v>710</v>
      </c>
      <c r="H219" s="1" t="s">
        <v>711</v>
      </c>
      <c r="I219" s="2">
        <v>1.0</v>
      </c>
      <c r="J219" s="5" t="str">
        <f>IFERROR(__xludf.DUMMYFUNCTION("GOOGLETRANSLATE(A219)"),"VC")</f>
        <v>VC</v>
      </c>
      <c r="K219" s="6" t="str">
        <f>IFERROR(__xludf.DUMMYFUNCTION("GOOGLETRANSLATE(B219)"),"VK Education")</f>
        <v>VK Education</v>
      </c>
      <c r="L219" s="5" t="str">
        <f>IFERROR(__xludf.DUMMYFUNCTION("GOOGLETRANSLATE(C219)"),"VK is more than 200 projects and services used by millions. You can join the team that creates them. Meet our office and ...")</f>
        <v>VK is more than 200 projects and services used by millions. You can join the team that creates them. Meet our office and ...</v>
      </c>
      <c r="M219" s="5" t="str">
        <f>IFERROR(__xludf.DUMMYFUNCTION("GOOGLETRANSLATE(G219)"),"VK EDUCATIONAL MOSTENTENTENTENTENTENTAMSISTOMANOVOSTOVTAVTICKS / Registration of future achievements of future accomplishments of the PROSOSSISTRY PROTECTIONS IN IT and Digital select one of the many free educational Its and digital projects. PROTENTIONAL"&amp;"LY AND ACCELLED KNOWLL ACTIVE ACTIVE OF THE PARTS OF THAT K Education of a large selection of programs of programs from dating it -Sphere to work in the VK team on real projects. We offer free programs and courses for a wide set of IT and digital-disposal"&amp;". Actual knowledge of experts of the VKV with teachers and mentors we create a comfortable environment for gaining useful knowledge and pumping in demand. Planned planned knowledge will be easy to use in practice- you can build A successful career in VK a"&amp;"nd industry. The meeting of the knowledge of talents - this is more than 200 projects and service -core use millions. You can join the team that creates them. Get to know our office and visit a virtual excursion. At the excursion and event of the event on"&amp;" November 10, 17:11, the open Olympiad of schoolchildren will go to the university without examination on November 2 21:11 Ambassador Meters VK in the academic year 2023/2024 Residents will participate in enlightenment events and youth forums Games devote"&amp;"d to IT and Digital, helping students and schoolchildren find their place in the world of technology. November.1 November 18:11 MSCO -covered registration at the Technocouple Olympics on sports programming on October 27 18:10 Massstarted the annual open O"&amp;"lympiad for the Cognitive Technologies Molveical October 18:10 The annual open Olympiad for programming “Cognitive Technologies” News News November 17:11 MSCPPOBITIONS Open Olympiad of schoolchildren will go to a university without an examination on Novem"&amp;"ber 2 21:11 Ambassadors VK Meters in the academic year 2023/2024 Brothers will participate in educational events and youth forums dedicated to lectures and games dedicated IT and Digital helping students and schoolchildren find their place in the world of"&amp;" technology. November.1 November 18:11 MSCOPLE CLASED Registration at the Technocouple Olympics for sports programming October 27 18:10 Moskstvstvo annual open Olympiad for programming “Cognitive Technologies” News November 17:11 Open -Master Schoolchildr"&amp;"en Olympiads will go to the university without exams news and events are questions old? Just write to us - let's answer in the near future. Get a questionnaire to register for the program? For registration for the selection, you need: 1. Fill out the appl"&amp;"icant’s questionnaire by indicating the current mail address and phone number as well as a university group and the course on which you study (to start the recruitment in January) or to which you are moving to (for applicants in August) .2. Choose a progr"&amp;"am or course in your personal account. 3. Follow the news of the program-we will publish them on the portal and in the VKontakte group as well as send you to the mail. What if you do not come to online testing? First, make sure that you check that mail th"&amp;"at was indicated during the registration of the program. Then check the “spam” folder - the letter could get there. A lift can also be found in your personal account on the project portal - it will be in the block with the program for which the applicatio"&amp;"n is submitted. If technical questions will arise in support: info@education.vk.company. Here you will find answers to the most common questions. If there is no question in the list, write to us! The main shutters of the Steaden and Kontaktyo Events VK ED"&amp;"UCATIONAL EPITIONS ASSECTION OF THE COMPLEDITION OF THE COMPLAY OF THE COMPLETIAL INFORMATIONS ON THE COUNDARY FORMERITISTIONS INSTROMENT TO YOURSELFT ACCOUNTING PROGRAMS OF VKOSTUSTIONS OF VKOSTSENT OF THE PRODUCTS OF ACBASSADICS OF ACTARSADINGS AND VACA"&amp;"NCESS NACEVK EducationVK for teachers © 2006-2023 version of the portal 1.4.13 Politics Confidentiality of thePlair agreement")</f>
        <v>VK EDUCATIONAL MOSTENTENTENTENTENTENTAMSISTOMANOVOSTOVTAVTICKS / Registration of future achievements of future accomplishments of the PROSOSSISTRY PROTECTIONS IN IT and Digital select one of the many free educational Its and digital projects. PROTENTIONALLY AND ACCELLED KNOWLL ACTIVE ACTIVE OF THE PARTS OF THAT K Education of a large selection of programs of programs from dating it -Sphere to work in the VK team on real projects. We offer free programs and courses for a wide set of IT and digital-disposal. Actual knowledge of experts of the VKV with teachers and mentors we create a comfortable environment for gaining useful knowledge and pumping in demand. Planned planned knowledge will be easy to use in practice- you can build A successful career in VK and industry. The meeting of the knowledge of talents - this is more than 200 projects and service -core use millions. You can join the team that creates them. Get to know our office and visit a virtual excursion. At the excursion and event of the event on November 10, 17:11, the open Olympiad of schoolchildren will go to the university without examination on November 2 21:11 Ambassador Meters VK in the academic year 2023/2024 Residents will participate in enlightenment events and youth forums Games devoted to IT and Digital, helping students and schoolchildren find their place in the world of technology. November.1 November 18:11 MSCO -covered registration at the Technocouple Olympics on sports programming on October 27 18:10 Massstarted the annual open Olympiad for the Cognitive Technologies Molveical October 18:10 The annual open Olympiad for programming “Cognitive Technologies” News News November 17:11 MSCPPOBITIONS Open Olympiad of schoolchildren will go to a university without an examination on November 2 21:11 Ambassadors VK Meters in the academic year 2023/2024 Brothers will participate in educational events and youth forums dedicated to lectures and games dedicated IT and Digital helping students and schoolchildren find their place in the world of technology. November.1 November 18:11 MSCOPLE CLASED Registration at the Technocouple Olympics for sports programming October 27 18:10 Moskstvstvo annual open Olympiad for programming “Cognitive Technologies” News November 17:11 Open -Master Schoolchildren Olympiads will go to the university without exams news and events are questions old? Just write to us - let's answer in the near future. Get a questionnaire to register for the program? For registration for the selection, you need: 1. Fill out the applicant’s questionnaire by indicating the current mail address and phone number as well as a university group and the course on which you study (to start the recruitment in January) or to which you are moving to (for applicants in August) .2. Choose a program or course in your personal account. 3. Follow the news of the program-we will publish them on the portal and in the VKontakte group as well as send you to the mail. What if you do not come to online testing? First, make sure that you check that mail that was indicated during the registration of the program. Then check the “spam” folder - the letter could get there. A lift can also be found in your personal account on the project portal - it will be in the block with the program for which the application is submitted. If technical questions will arise in support: info@education.vk.company. Here you will find answers to the most common questions. If there is no question in the list, write to us! The main shutters of the Steaden and Kontaktyo Events VK EDUCATIONAL EPITIONS ASSECTION OF THE COMPLEDITION OF THE COMPLAY OF THE COMPLETIAL INFORMATIONS ON THE COUNDARY FORMERITISTIONS INSTROMENT TO YOURSELFT ACCOUNTING PROGRAMS OF VKOSTUSTIONS OF VKOSTSENT OF THE PRODUCTS OF ACBASSADICS OF ACTARSADINGS AND VACANCESS NACEVK EducationVK for teachers © 2006-2023 version of the portal 1.4.13 Politics Confidentiality of thePlair agreement</v>
      </c>
    </row>
    <row r="220">
      <c r="A220" s="1" t="s">
        <v>712</v>
      </c>
      <c r="B220" s="1" t="s">
        <v>591</v>
      </c>
      <c r="C220" s="1" t="s">
        <v>713</v>
      </c>
      <c r="D220" s="1">
        <v>1.0</v>
      </c>
      <c r="E220" s="4" t="s">
        <v>593</v>
      </c>
      <c r="F220" s="1" t="s">
        <v>16</v>
      </c>
      <c r="G220" s="1" t="s">
        <v>34</v>
      </c>
      <c r="H220" s="4" t="s">
        <v>594</v>
      </c>
      <c r="I220" s="2">
        <v>3.0</v>
      </c>
      <c r="J220" s="5" t="str">
        <f>IFERROR(__xludf.DUMMYFUNCTION("GOOGLETRANSLATE(A220)"),"in contact with")</f>
        <v>in contact with</v>
      </c>
      <c r="K220" s="6" t="str">
        <f>IFERROR(__xludf.DUMMYFUNCTION("GOOGLETRANSLATE(B220)"),"VKontakte | Welcome")</f>
        <v>VKontakte | Welcome</v>
      </c>
      <c r="L220" s="5" t="str">
        <f>IFERROR(__xludf.DUMMYFUNCTION("GOOGLETRANSLATE(C220)"),"VKontakte is a universal remedy for communicating and searching for friends and classmates who use tens of millions of people daily.")</f>
        <v>VKontakte is a universal remedy for communicating and searching for friends and classmates who use tens of millions of people daily.</v>
      </c>
      <c r="M220" s="5" t="str">
        <f>IFERROR(__xludf.DUMMYFUNCTION("GOOGLETRANSLATE(G220)"),"VK.com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221">
      <c r="A221" s="1" t="s">
        <v>712</v>
      </c>
      <c r="B221" s="1" t="s">
        <v>595</v>
      </c>
      <c r="C221" s="1" t="s">
        <v>714</v>
      </c>
      <c r="D221" s="1">
        <v>2.0</v>
      </c>
      <c r="E221" s="4" t="s">
        <v>596</v>
      </c>
      <c r="F221" s="1" t="s">
        <v>16</v>
      </c>
      <c r="G221" s="1" t="s">
        <v>120</v>
      </c>
      <c r="H221" s="4" t="s">
        <v>121</v>
      </c>
      <c r="I221" s="2">
        <v>0.0</v>
      </c>
      <c r="J221" s="5" t="str">
        <f>IFERROR(__xludf.DUMMYFUNCTION("GOOGLETRANSLATE(A221)"),"in contact with")</f>
        <v>in contact with</v>
      </c>
      <c r="K221" s="6" t="str">
        <f>IFERROR(__xludf.DUMMYFUNCTION("GOOGLETRANSLATE(B221)"),"VKontakte: music, video, chat")</f>
        <v>VKontakte: music, video, chat</v>
      </c>
      <c r="L221" s="5" t="str">
        <f>IFERROR(__xludf.DUMMYFUNCTION("GOOGLETRANSLATE(C221)"),"VKontakte is communication, free calls, messenger and chat, music and video, games and mini-applications for any tasks, tens of millions of people and limitless ...")</f>
        <v>VKontakte is communication, free calls, messenger and chat, music and video, games and mini-applications for any tasks, tens of millions of people and limitless ...</v>
      </c>
      <c r="M221" s="5" t="str">
        <f>IFERROR(__xludf.DUMMYFUNCTION("GOOGLETRANSLATE(G221)"),"Android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22">
      <c r="A222" s="1" t="s">
        <v>712</v>
      </c>
      <c r="B222" s="1" t="s">
        <v>597</v>
      </c>
      <c r="C222" s="1" t="s">
        <v>598</v>
      </c>
      <c r="D222" s="1">
        <v>3.0</v>
      </c>
      <c r="E222" s="4" t="s">
        <v>599</v>
      </c>
      <c r="F222" s="1" t="s">
        <v>16</v>
      </c>
      <c r="G222" s="1" t="s">
        <v>31</v>
      </c>
      <c r="H222" s="4" t="s">
        <v>32</v>
      </c>
      <c r="I222" s="2">
        <v>1.0</v>
      </c>
      <c r="J222" s="5" t="str">
        <f>IFERROR(__xludf.DUMMYFUNCTION("GOOGLETRANSLATE(A222)"),"in contact with")</f>
        <v>in contact with</v>
      </c>
      <c r="K222" s="6" t="str">
        <f>IFERROR(__xludf.DUMMYFUNCTION("GOOGLETRANSLATE(B222)"),"In contact with")</f>
        <v>In contact with</v>
      </c>
      <c r="L222" s="5" t="str">
        <f>IFERROR(__xludf.DUMMYFUNCTION("GOOGLETRANSLATE(C222)"),"“Vkontakte” (international name-VK) is a Russian social network with headquarters in St. Petersburg. The site is available in 82 languages; Especially popular ...")</f>
        <v>“Vkontakte” (international name-VK) is a Russian social network with headquarters in St. Petersburg. The site is available in 82 languages; Especially popular ...</v>
      </c>
      <c r="M222" s="5" t="str">
        <f>IFERROR(__xludf.DUMMYFUNCTION("GOOGLETRANSLATE(G222)"),"Wikipedia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223">
      <c r="A223" s="1" t="s">
        <v>712</v>
      </c>
      <c r="B223" s="1" t="s">
        <v>602</v>
      </c>
      <c r="C223" s="1" t="s">
        <v>715</v>
      </c>
      <c r="D223" s="1">
        <v>4.0</v>
      </c>
      <c r="E223" s="4" t="s">
        <v>603</v>
      </c>
      <c r="F223" s="1" t="s">
        <v>16</v>
      </c>
      <c r="G223" s="1" t="s">
        <v>97</v>
      </c>
      <c r="H223" s="4" t="s">
        <v>98</v>
      </c>
      <c r="I223" s="2">
        <v>0.0</v>
      </c>
      <c r="J223" s="5" t="str">
        <f>IFERROR(__xludf.DUMMYFUNCTION("GOOGLETRANSLATE(A223)"),"in contact with")</f>
        <v>in contact with</v>
      </c>
      <c r="K223" s="6" t="str">
        <f>IFERROR(__xludf.DUMMYFUNCTION("GOOGLETRANSLATE(B223)"),"VKontakte: messages, video chat - App Store")</f>
        <v>VKontakte: messages, video chat - App Store</v>
      </c>
      <c r="L223" s="5" t="str">
        <f>IFERROR(__xludf.DUMMYFUNCTION("GOOGLETRANSLATE(C223)"),"VKontakte is communication, free calls, music and video, games and mini-applications for any tasks, tens of millions of people and unlimited possibilities for ...")</f>
        <v>VKontakte is communication, free calls, music and video, games and mini-applications for any tasks, tens of millions of people and unlimited possibilities for ...</v>
      </c>
      <c r="M223" s="5" t="str">
        <f>IFERROR(__xludf.DUMMYFUNCTION("GOOGLETRANSLATE(G223)"),"App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24">
      <c r="A224" s="1" t="s">
        <v>712</v>
      </c>
      <c r="B224" s="1" t="s">
        <v>716</v>
      </c>
      <c r="D224" s="1">
        <v>5.0</v>
      </c>
      <c r="E224" s="4" t="s">
        <v>717</v>
      </c>
      <c r="F224" s="1" t="s">
        <v>16</v>
      </c>
      <c r="I224" s="2">
        <v>2.0</v>
      </c>
      <c r="J224" s="5" t="str">
        <f>IFERROR(__xludf.DUMMYFUNCTION("GOOGLETRANSLATE(A224)"),"in contact with")</f>
        <v>in contact with</v>
      </c>
      <c r="K224" s="6" t="str">
        <f>IFERROR(__xludf.DUMMYFUNCTION("GOOGLETRANSLATE(B224)"),"VK")</f>
        <v>VK</v>
      </c>
      <c r="M224" s="5" t="str">
        <f>IFERROR(__xludf.DUMMYFUNCTION("GOOGLETRANSLATE(G224)"),"#VALUE!")</f>
        <v>#VALUE!</v>
      </c>
    </row>
    <row r="225">
      <c r="A225" s="1" t="s">
        <v>712</v>
      </c>
      <c r="B225" s="1" t="s">
        <v>636</v>
      </c>
      <c r="C225" s="1" t="s">
        <v>718</v>
      </c>
      <c r="D225" s="1">
        <v>6.0</v>
      </c>
      <c r="E225" s="4" t="s">
        <v>638</v>
      </c>
      <c r="F225" s="1" t="s">
        <v>16</v>
      </c>
      <c r="G225" s="1" t="s">
        <v>444</v>
      </c>
      <c r="H225" s="4" t="s">
        <v>445</v>
      </c>
      <c r="I225" s="2">
        <v>3.0</v>
      </c>
      <c r="J225" s="5" t="str">
        <f>IFERROR(__xludf.DUMMYFUNCTION("GOOGLETRANSLATE(A225)"),"in contact with")</f>
        <v>in contact with</v>
      </c>
      <c r="K225" s="6" t="str">
        <f>IFERROR(__xludf.DUMMYFUNCTION("GOOGLETRANSLATE(B225)"),"Vkontakte (@vkontakte) / x")</f>
        <v>Vkontakte (@vkontakte) / x</v>
      </c>
      <c r="L225" s="5" t="str">
        <f>IFERROR(__xludf.DUMMYFUNCTION("GOOGLETRANSLATE(C225)"),"VKontakte messages in foreign languages ​​can now be immediately translated inside the chat. To do this, in VKontakte or VK applications, you need to keep the right ...")</f>
        <v>VKontakte messages in foreign languages ​​can now be immediately translated inside the chat. To do this, in VKontakte or VK applications, you need to keep the right ...</v>
      </c>
      <c r="M225" s="5" t="str">
        <f>IFERROR(__xludf.DUMMYFUNCTION("GOOGLETRANSLATE(G225)"),"JavaScript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226">
      <c r="A226" s="1" t="s">
        <v>712</v>
      </c>
      <c r="B226" s="1" t="s">
        <v>719</v>
      </c>
      <c r="D226" s="1">
        <v>7.0</v>
      </c>
      <c r="E226" s="4" t="s">
        <v>655</v>
      </c>
      <c r="F226" s="1" t="s">
        <v>16</v>
      </c>
      <c r="G226" s="1" t="s">
        <v>656</v>
      </c>
      <c r="H226" s="4" t="s">
        <v>657</v>
      </c>
      <c r="I226" s="2">
        <v>1.0</v>
      </c>
      <c r="J226" s="5" t="str">
        <f>IFERROR(__xludf.DUMMYFUNCTION("GOOGLETRANSLATE(A226)"),"in contact with")</f>
        <v>in contact with</v>
      </c>
      <c r="K226" s="6" t="str">
        <f>IFERROR(__xludf.DUMMYFUNCTION("GOOGLETRANSLATE(B226)"),"Messenger from VKontakte")</f>
        <v>Messenger from VKontakte</v>
      </c>
      <c r="M226" s="5" t="str">
        <f>IFERROR(__xludf.DUMMYFUNCTION("GOOGLETRANSLATE(G226)"),"The Official VK�Messenger        Web version    Quick and�Easy Messaging          Stay in touch with your VK�friends and�people from�your�phone�s contacts                  Call with no�limits on�audio or�video                  Read transcriptions of�voice"&amp;" and�video messages                  Share music photos videos files geotags and�even money                  Select colorful chat themes to�fit the�mood        Available onAndroidDownload in Google�PlayDownload in RuStoreDownload in AppGalleryiOSDownload "&amp;"in App StoreWindows betaDownload EXEMacOS betaDownload DMG      © 2023 VK Social Network Team���������� VK ����������Scan the QR code�to�install the app on�your phone")</f>
        <v>The Official VK�Messenger        Web version    Quick and�Easy Messaging          Stay in touch with your VK�friends and�people from�your�phone�s contacts                  Call with no�limits on�audio or�video                  Read transcriptions of�voice and�video messages                  Share music photos videos files geotags and�even money                  Select colorful chat themes to�fit the�mood        Available onAndroidDownload in Google�PlayDownload in RuStoreDownload in AppGalleryiOSDownload in App StoreWindows betaDownload EXEMacOS betaDownload DMG      © 2023 VK Social Network Team���������� VK ����������Scan the QR code�to�install the app on�your phone</v>
      </c>
    </row>
    <row r="227">
      <c r="A227" s="1" t="s">
        <v>712</v>
      </c>
      <c r="B227" s="1" t="s">
        <v>720</v>
      </c>
      <c r="C227" s="1" t="s">
        <v>721</v>
      </c>
      <c r="D227" s="1">
        <v>8.0</v>
      </c>
      <c r="E227" s="4" t="s">
        <v>722</v>
      </c>
      <c r="F227" s="1" t="s">
        <v>16</v>
      </c>
      <c r="I227" s="2">
        <v>4.0</v>
      </c>
      <c r="J227" s="5" t="str">
        <f>IFERROR(__xludf.DUMMYFUNCTION("GOOGLETRANSLATE(A227)"),"in contact with")</f>
        <v>in contact with</v>
      </c>
      <c r="K227" s="6" t="str">
        <f>IFERROR(__xludf.DUMMYFUNCTION("GOOGLETRANSLATE(B227)"),"VKontakte - latest news today")</f>
        <v>VKontakte - latest news today</v>
      </c>
      <c r="L227" s="5" t="str">
        <f>IFERROR(__xludf.DUMMYFUNCTION("GOOGLETRANSLATE(C227)"),"In contact with. Read the latest news on the topic in the news feed on the RIA Novosti website. Fand Fest VKontakte 10, 11 and 12 will collect guests on Moscow ...")</f>
        <v>In contact with. Read the latest news on the topic in the news feed on the RIA Novosti website. Fand Fest VKontakte 10, 11 and 12 will collect guests on Moscow ...</v>
      </c>
      <c r="M227" s="5" t="str">
        <f>IFERROR(__xludf.DUMMYFUNCTION("GOOGLETRANSLATE(G227)"),"#VALUE!")</f>
        <v>#VALUE!</v>
      </c>
    </row>
    <row r="228">
      <c r="A228" s="1" t="s">
        <v>712</v>
      </c>
      <c r="B228" s="1" t="s">
        <v>723</v>
      </c>
      <c r="C228" s="1" t="s">
        <v>724</v>
      </c>
      <c r="D228" s="1">
        <v>9.0</v>
      </c>
      <c r="E228" s="4" t="s">
        <v>725</v>
      </c>
      <c r="F228" s="1" t="s">
        <v>16</v>
      </c>
      <c r="G228" s="1" t="s">
        <v>726</v>
      </c>
      <c r="H228" s="4" t="s">
        <v>727</v>
      </c>
      <c r="I228" s="2">
        <v>2.0</v>
      </c>
      <c r="J228" s="5" t="str">
        <f>IFERROR(__xludf.DUMMYFUNCTION("GOOGLETRANSLATE(A228)"),"in contact with")</f>
        <v>in contact with</v>
      </c>
      <c r="K228" s="6" t="str">
        <f>IFERROR(__xludf.DUMMYFUNCTION("GOOGLETRANSLATE(B228)"),"VKontakte company. Contacts, description and reviews")</f>
        <v>VKontakte company. Contacts, description and reviews</v>
      </c>
      <c r="L228" s="5" t="str">
        <f>IFERROR(__xludf.DUMMYFUNCTION("GOOGLETRANSLATE(C228)"),"VKontakte is a popular social network in Russia. More than 100 million people who exchange 15 billion messages and ...")</f>
        <v>VKontakte is a popular social network in Russia. More than 100 million people who exchange 15 billion messages and ...</v>
      </c>
      <c r="M228" s="5" t="str">
        <f>IFERROR(__xludf.DUMMYFUNCTION("GOOGLETRANSLATE(G228)"),"Companies of St. Petersburg. Businessmen of the St. Petersburg Policy Sunday November 12, 2023 $ € Subscribing on social networks: Search on the website of the heading finance and legal political science construction systems of the operation of the work o"&amp;"f the year of the year of the year-Knovostovostelovikhovaya news of the special project DP.ru is; St. Petersburg and Moscow 7099 Person1483333333 compounds218 Press Dosiere Press-Docial Recordic company of companies of a nurse-cheat-hazhacgoda01vitabank 3"&amp;"52 02 Russian museumanilova Alla Yuryevna 237 03fitness House 126 04 ROSTELEKOMOSEEVSKY Mikhail Eduardovich 111 05online store ""Utkonos"" 107 06 Group of companies ""Finams"" 100 07er-Telecom Holdingkuyaev 99 08 Ozon (ozone) 94 Show the assessment of Per"&amp;"son -cheatics Yevgeny Vladimirovich STRICK 349 02 -02 -Dmitry Vladimirovich 349 02 129 03-rhumin Andrey Valerievich Russian Networks 127 04 Luzhkov Yuri Mikhailovich 117 05Mamishev Vagif ImamovicavtoArmature 98 06 City Mimchenko Gennady Nikolaevichkhokkey"&amp;" Club ""SKA"" 92 07 Vyacheslavovich-Bank 79 08 Patrushev Andrei Nikolayevich 74 show all exclusive information about percliances about percliance Petersburg and Moscow. Watch all the specializations of the car (381) Associations of the Unions of the Party"&amp;" Funds (448) Banks and Finance (422) Business Safety (178) Business for Business (B2B) (674) Geodesy and Cartography (40) Urban Economy (136) Hotels and Hotels (125 ) The group of companies (39) Publishing house and printing (187) Computers and according "&amp;"to (640) Culture and art (356) Light industry (148) Forestry (168) Medicine and pharmaceuticals (469) Metal processing (188) Science and Education (649) Real Estate (488) Defense production (1) Public organizations (96) authorities (487) Food industry (32"&amp;"5) Advertising and PR (444) Recruiting (115) Restaurant Business (459) Communication of the Internet (195) Agriculture (93) Media (105) The glass industry (19) insurance (93) Construction and repair (2544) Fuel and energy complex (ФЗ) (315) Trade and serv"&amp;"ices (3124) Transport services (731) Tourism. Rest. Sports. Who ""in"" Business Petersburg ""is a catalog of reference and contact information of companies and persons of St. Petersburg of the Leningrad Region and Moscow. It describes the details of biogr"&amp;"aphies of representatives of business and social structures information about state institutions and public organizations. If you are our subscriber, then you can join us by sending an application through the site or by mail holiswho@dp.ru. Placement of i"&amp;"nformation about companies and persons on the information and reference portal “Who is who” is available only to the subscribers of “Business Petersburg”. Attention! Your information will be published if the presented information is relevant and will also"&amp;" comply with the format and the rules for posting information. Elena Voronkoordinator of the project “Who is someone” on issues of posting and changing information on the site you can contact the project coordinator at Whoiswho@dp.ru. All the company Pers"&amp;"onvsa Personvsa Plastress-Dosielly Placement of Information Yandex.Dzen Telegram Rubricantinations and legal-owned-building reports TERPROPECT of the year of year of the subscribers -spectacular expert Club ""DP"" Base Real Estate Dpriting Billionar Regio"&amp;"n is some kind of somewear. RFWELCOMEZONEO ""DP Business Press"" about the fraud of subscription in the publication address 197022 Sankan-Petersburg st. Instrumental d. 8 pom. 74. Show on the map phone (812) 328-28-28 E-mail Gazeta@dp.ru © 1993-2023 All r"&amp;"ights are protected by DP Business Press JSC is registered by the Federal Service for Supervision of Information Technologies and Mass Communications (Roskomnadzor (Roskomnadzor ) the number of the certificate of EL No. FS 77 - 65426 dated 04/18/2016. Fun"&amp;"ctions with financial support from the Ministry of Digital Development of Communications and Mass Communications of the Russian Federation. The in agents were recognized in the Russian Federation: LLC “Television Channel Rain” Analytical Center of Yuri Le"&amp;"vada, but “Fund for Combating Corruption” (recognized as an extremist organization), but the “Fund for the Protection of the Rights of Citizens” (recognized as an extremist organization) OD “Navalny headquarters” (recognized It is forbidden to extremist) "&amp;"this resource may contain materials 18+ Policy of the confidentiality of the use of information material -guard labor vehicle × if you are already registered: forgot the password? Or enter the account on social networks - this is the fastest! There is no "&amp;"account yet? Register for loading ..... Please Enable JavaScript to Continue Using this Application.")</f>
        <v>Companies of St. Petersburg. Businessmen of the St. Petersburg Policy Sunday November 12, 2023 $ € Subscribing on social networks: Search on the website of the heading finance and legal political science construction systems of the operation of the work of the year of the year of the year-Knovostovostelovikhovaya news of the special project DP.ru is; St. Petersburg and Moscow 7099 Person1483333333 compounds218 Press Dosiere Press-Docial Recordic company of companies of a nurse-cheat-hazhacgoda01vitabank 352 02 Russian museumanilova Alla Yuryevna 237 03fitness House 126 04 ROSTELEKOMOSEEVSKY Mikhail Eduardovich 111 05online store "Utkonos" 107 06 Group of companies "Finams" 100 07er-Telecom Holdingkuyaev 99 08 Ozon (ozone) 94 Show the assessment of Person -cheatics Yevgeny Vladimirovich STRICK 349 02 -02 -Dmitry Vladimirovich 349 02 129 03-rhumin Andrey Valerievich Russian Networks 127 04 Luzhkov Yuri Mikhailovich 117 05Mamishev Vagif ImamovicavtoArmature 98 06 City Mimchenko Gennady Nikolaevichkhokkey Club "SKA" 92 07 Vyacheslavovich-Bank 79 08 Patrushev Andrei Nikolayevich 74 show all exclusive information about percliances about percliance Petersburg and Moscow. Watch all the specializations of the car (381) Associations of the Unions of the Party Funds (448) Banks and Finance (422) Business Safety (178) Business for Business (B2B) (674) Geodesy and Cartography (40) Urban Economy (136) Hotels and Hotels (125 ) The group of companies (39) Publishing house and printing (187) Computers and according to (640) Culture and art (356) Light industry (148) Forestry (168) Medicine and pharmaceuticals (469) Metal processing (188) Science and Education (649) Real Estate (488) Defense production (1) Public organizations (96) authorities (487) Food industry (325) Advertising and PR (444) Recruiting (115) Restaurant Business (459) Communication of the Internet (195) Agriculture (93) Media (105) The glass industry (19) insurance (93) Construction and repair (2544) Fuel and energy complex (ФЗ) (315) Trade and services (3124) Transport services (731) Tourism. Rest. Sports. Who "in" Business Petersburg "is a catalog of reference and contact information of companies and persons of St. Petersburg of the Leningrad Region and Moscow. It describes the details of biographies of representatives of business and social structures information about state institutions and public organizations. If you are our subscriber, then you can join us by sending an application through the site or by mail holiswho@dp.ru. Placement of information about companies and persons on the information and reference portal “Who is who” is available only to the subscribers of “Business Petersburg”. Attention! Your information will be published if the presented information is relevant and will also comply with the format and the rules for posting information. Elena Voronkoordinator of the project “Who is someone” on issues of posting and changing information on the site you can contact the project coordinator at Whoiswho@dp.ru. All the company Personvsa Personvsa Plastress-Dosielly Placement of Information Yandex.Dzen Telegram Rubricantinations and legal-owned-building reports TERPROPECT of the year of year of the subscribers -spectacular expert Club "DP" Base Real Estate Dpriting Billionar Region is some kind of somewear. RFWELCOMEZONEO "DP Business Press" about the fraud of subscription in the publication address 197022 Sankan-Petersburg st. Instrumental d. 8 pom. 74. Show on the map phone (812) 328-28-28 E-mail Gazeta@dp.ru © 1993-2023 All rights are protected by DP Business Press JSC is registered by the Federal Service for Supervision of Information Technologies and Mass Communications (Roskomnadzor (Roskomnadzor ) the number of the certificate of EL No. FS 77 - 65426 dated 04/18/2016. Functions with financial support from the Ministry of Digital Development of Communications and Mass Communications of the Russian Federation. The in agents were recognized in the Russian Federation: LLC “Television Channel Rain” Analytical Center of Yuri Levada, but “Fund for Combating Corruption” (recognized as an extremist organization), but the “Fund for the Protection of the Rights of Citizens” (recognized as an extremist organization) OD “Navalny headquarters” (recognized It is forbidden to extremist) this resource may contain materials 18+ Policy of the confidentiality of the use of information material -guard labor vehicle × if you are already registered: forgot the password? Or enter the account on social networks - this is the fastest! There is no account yet? Register for loading ..... Please Enable JavaScript to Continue Using this Application.</v>
      </c>
    </row>
    <row r="229">
      <c r="A229" s="1" t="s">
        <v>712</v>
      </c>
      <c r="B229" s="1" t="s">
        <v>728</v>
      </c>
      <c r="C229" s="1" t="s">
        <v>729</v>
      </c>
      <c r="D229" s="1">
        <v>10.0</v>
      </c>
      <c r="E229" s="4" t="s">
        <v>730</v>
      </c>
      <c r="F229" s="1" t="s">
        <v>16</v>
      </c>
      <c r="G229" s="1" t="s">
        <v>731</v>
      </c>
      <c r="H229" s="1" t="s">
        <v>732</v>
      </c>
      <c r="I229" s="2">
        <v>2.0</v>
      </c>
      <c r="J229" s="5" t="str">
        <f>IFERROR(__xludf.DUMMYFUNCTION("GOOGLETRANSLATE(A229)"),"in contact with")</f>
        <v>in contact with</v>
      </c>
      <c r="K229" s="6" t="str">
        <f>IFERROR(__xludf.DUMMYFUNCTION("GOOGLETRANSLATE(B229)"),"VK / Home")</f>
        <v>VK / Home</v>
      </c>
      <c r="L229" s="5" t="str">
        <f>IFERROR(__xludf.DUMMYFUNCTION("GOOGLETRANSLATE(C229)"),"Favorite services in classmates and VKontakte. Play, find the right one, meet you, follow your health and solve many other problems right on the social network ...")</f>
        <v>Favorite services in classmates and VKontakte. Play, find the right one, meet you, follow your health and solve many other problems right on the social network ...</v>
      </c>
      <c r="M229" s="5" t="str">
        <f>IFERROR(__xludf.DUMMYFUNCTION("GOOGLETRANSLATE(G229)"),"VK / Home of the company of the company what is vkorbedaktaktyktydl business alarerecarler -avakariravakancaricarrevakancar of the Pressepress and release of the press service vkinvestorinestor-westering news and events reports and materials-corporate con"&amp;"trols of bloga-calendarcontacts Cyal liability of the reporting of the Blogs of Blogs - the place to meet people and companies to unite around that it is really important to connect the services so that it is even more convenient for you to use loving ser"&amp;"vices by them In classmates and in vkontakteg, find the right thing, get to know your health and solve many other tasks directly on the social network - you will not need to download a separate application. All thanks to thousands of mini-applications on "&amp;"the VK Mini Apps platform. New skill or a new profession in the profession master new specialties and skills with Skillbox Geekbrains and other educational projects. Contact from bloggers of authors and branding and entertaining videos-all these are smart"&amp;" algorithms of platforms Zen is selected in accordance with your interests. Measures with entertainment with entertainment songs and new releases in VK music ribbons with the trends of Chellenge and Show are in VK clips of the game Streaming and ESISTORS "&amp;"- in VK Play. The most popular Russian applications are in one place of the markets of social networks and Much more - access to all the popular domestic services in Rustore in the country. All the most important services for everyday affairs are collecte"&amp;"d for productivity - from mail to the calendar. And to cope with the tasks will help the voice assistant Marusya. For business-casualtics and entertainment of the productivity of the attachment of the attachments of the mixture-freeware and the formation "&amp;"of the formation and data releases on November10, 2023rustore will collect mobile developers on the Rustore Mobile Conf10 2023-sore. VK: 57% of users plan to buy household appliances and electronics offline on November10, 2023VK for the fifth time, spends"&amp;" Day of the fight against cyberbulling on November 9, 2023, the results of VK for the third quarter and nine months of 2023, 2023, 2023 there will be able to show the advertisement of tracks and playlists to the audience of other executors using VK advert"&amp;"isements on November5 2023VK in honor of the opening of the Russian exhibition-forum to watch all the press release of what is what is what is what is Vkuccontacttroktyktydl of businessary-careeravicarre-strokesPress and release-conflicts press services f"&amp;"or vkinvestors. News and events reports and materials of the corporate action and dividend blogacalemic contacts for investors SESGOBOCEL BLOGOS")</f>
        <v>VK / Home of the company of the company what is vkorbedaktaktyktydl business alarerecarler -avakariravakancaricarrevakancar of the Pressepress and release of the press service vkinvestorinestor-westering news and events reports and materials-corporate controls of bloga-calendarcontacts Cyal liability of the reporting of the Blogs of Blogs - the place to meet people and companies to unite around that it is really important to connect the services so that it is even more convenient for you to use loving services by them In classmates and in vkontakteg, find the right thing, get to know your health and solve many other tasks directly on the social network - you will not need to download a separate application. All thanks to thousands of mini-applications on the VK Mini Apps platform. New skill or a new profession in the profession master new specialties and skills with Skillbox Geekbrains and other educational projects. Contact from bloggers of authors and branding and entertaining videos-all these are smart algorithms of platforms Zen is selected in accordance with your interests. Measures with entertainment with entertainment songs and new releases in VK music ribbons with the trends of Chellenge and Show are in VK clips of the game Streaming and ESISTORS - in VK Play. The most popular Russian applications are in one place of the markets of social networks and Much more - access to all the popular domestic services in Rustore in the country. All the most important services for everyday affairs are collected for productivity - from mail to the calendar. And to cope with the tasks will help the voice assistant Marusya. For business-casualtics and entertainment of the productivity of the attachment of the attachments of the mixture-freeware and the formation of the formation and data releases on November10, 2023rustore will collect mobile developers on the Rustore Mobile Conf10 2023-sore. VK: 57% of users plan to buy household appliances and electronics offline on November10, 2023VK for the fifth time, spends Day of the fight against cyberbulling on November 9, 2023, the results of VK for the third quarter and nine months of 2023, 2023, 2023 there will be able to show the advertisement of tracks and playlists to the audience of other executors using VK advertisements on November5 2023VK in honor of the opening of the Russian exhibition-forum to watch all the press release of what is what is what is what is Vkuccontacttroktyktydl of businessary-careeravicarre-strokesPress and release-conflicts press services for vkinvestors. News and events reports and materials of the corporate action and dividend blogacalemic contacts for investors SESGOBOCEL BLOGOS</v>
      </c>
    </row>
    <row r="230">
      <c r="A230" s="1" t="s">
        <v>712</v>
      </c>
      <c r="B230" s="1" t="s">
        <v>733</v>
      </c>
      <c r="D230" s="1">
        <v>11.0</v>
      </c>
      <c r="E230" s="4" t="s">
        <v>734</v>
      </c>
      <c r="F230" s="1" t="s">
        <v>16</v>
      </c>
      <c r="G230" s="1" t="s">
        <v>228</v>
      </c>
      <c r="H230" s="4" t="s">
        <v>229</v>
      </c>
      <c r="I230" s="2">
        <v>0.0</v>
      </c>
      <c r="J230" s="5" t="str">
        <f>IFERROR(__xludf.DUMMYFUNCTION("GOOGLETRANSLATE(A230)"),"in contact with")</f>
        <v>in contact with</v>
      </c>
      <c r="K230" s="6" t="str">
        <f>IFERROR(__xludf.DUMMYFUNCTION("GOOGLETRANSLATE(B230)"),"VKontakte group - teacher's working tool")</f>
        <v>VKontakte group - teacher's working tool</v>
      </c>
      <c r="M230" s="5" t="str">
        <f>IFERROR(__xludf.DUMMYFUNCTION("GOOGLETRANSLATE(G230)"),"Google �����������������������PlayYouTube����������������������������������������� ����������������������Blogger����������������������� �������� »Account Options��������������� ������� ���������� � ������� �������������������� ��������������� ������������"&amp;"������������� ��������������������")</f>
        <v>Google �����������������������PlayYouTube����������������������������������������� ����������������������Blogger����������������������� �������� »Account Options��������������� ������� ���������� � ������� �������������������� ��������������� ������������������������� ��������������������</v>
      </c>
    </row>
    <row r="231">
      <c r="A231" s="1" t="s">
        <v>712</v>
      </c>
      <c r="B231" s="4" t="s">
        <v>620</v>
      </c>
      <c r="D231" s="1">
        <v>12.0</v>
      </c>
      <c r="E231" s="4" t="s">
        <v>621</v>
      </c>
      <c r="F231" s="1" t="s">
        <v>16</v>
      </c>
      <c r="I231" s="2">
        <v>1.0</v>
      </c>
      <c r="J231" s="5" t="str">
        <f>IFERROR(__xludf.DUMMYFUNCTION("GOOGLETRANSLATE(A231)"),"in contact with")</f>
        <v>in contact with</v>
      </c>
      <c r="K231" s="7" t="str">
        <f>IFERROR(__xludf.DUMMYFUNCTION("GOOGLETRANSLATE(B231)"),"www.m.vk.ru/")</f>
        <v>www.m.vk.ru/</v>
      </c>
      <c r="M231" s="5" t="str">
        <f>IFERROR(__xludf.DUMMYFUNCTION("GOOGLETRANSLATE(G231)"),"#VALUE!")</f>
        <v>#VALUE!</v>
      </c>
    </row>
    <row r="232">
      <c r="A232" s="1" t="s">
        <v>712</v>
      </c>
      <c r="B232" s="1" t="s">
        <v>735</v>
      </c>
      <c r="C232" s="1" t="s">
        <v>736</v>
      </c>
      <c r="D232" s="1">
        <v>13.0</v>
      </c>
      <c r="E232" s="4" t="s">
        <v>737</v>
      </c>
      <c r="F232" s="1" t="s">
        <v>16</v>
      </c>
      <c r="G232" s="1" t="s">
        <v>738</v>
      </c>
      <c r="H232" s="4" t="s">
        <v>739</v>
      </c>
      <c r="I232" s="2">
        <v>3.0</v>
      </c>
      <c r="J232" s="5" t="str">
        <f>IFERROR(__xludf.DUMMYFUNCTION("GOOGLETRANSLATE(A232)"),"in contact with")</f>
        <v>in contact with</v>
      </c>
      <c r="K232" s="6" t="str">
        <f>IFERROR(__xludf.DUMMYFUNCTION("GOOGLETRANSLATE(B232)"),"VKontakte - News and Articles")</f>
        <v>VKontakte - News and Articles</v>
      </c>
      <c r="L232" s="5" t="str">
        <f>IFERROR(__xludf.DUMMYFUNCTION("GOOGLETRANSLATE(C232)"),"VKontakte is a social network belonging to Mail.Ru Group. According to Similarweb, VKontakte is the first most popular site in Russia and Ukraine, ...")</f>
        <v>VKontakte is a social network belonging to Mail.Ru Group. According to Similarweb, VKontakte is the first most popular site in Russia and Ukraine, ...</v>
      </c>
      <c r="M232" s="5" t="str">
        <f>IFERROR(__xludf.DUMMYFUNCTION("GOOGLETRANSLATE(G232)"),"Rb.ru - new business and career technologies in the digital economy rb.ru Events Chance Data Courses Close -to -Rabricow -Stewshobeshobeshobeshobravsnicanschanschanscmentsesrb.ru Coordinaries Complete the Material Controlram Vacation Medical Contactwitter"&amp;" -graders BERDZNENVSHNOSTYSTYSTYTEDSTOKOKARER FINTECH Maps Search Gamburger News-Business Technologies Podkodkadkarier Carter Finder Search Reducing the Budget of the Russian Federation Renaits Renaits for renting warehouses of the Party Initiatives for B"&amp;"usiness: The main thing on November 11 is to follow the News-Apartners relevant for entrepreneurs, what will be fintech in the world and Russia: trends and forecasts in 2022, the volume of the world fintech-market amounted to $ 13384 billion Rb.ru Founder"&amp;"s' Mondays invites the event to a meeting on November 13 ( IT) AL has started accepting applications on RB Digital Awards 2024 You can submit an application until December 1, 2023 News All News November 09:29 “Yandex Lavka” will open Darkmalls in Moscow a"&amp;"nd St. Petersburg on November 11, 19:59 Applications Verification for the goal of combating VPN To harm business - “Kommersant” November 11, 17:51 Generation Z considers the “equipment” of the digital avatar more important than the real image - 56% on Nov"&amp;"ember 11, 15:30, income of concerts and show organizers in 2023 will be 38% lower than 2019 - about 365 billion rubles November 11 14:53 Xiaomi submitted applications for the registration of trademarks for the new Hyperos operating system on November 11 1"&amp;"3:23 A quarter of students use ChatGPT to increase the uniqueness of their texts-the study of the possibility on November 12, 2023 Ecological Prizes of the Moscow government on November 12, 2023 Student agricultural Accelerator on November 14 2023 Selecti"&amp;"on of breakthrough IT solutions for business all opportunities to read more Julia Obrovets real estate expert and investment maternity capital as an investment. How to make money work for you? Maria Kovaleva Head of the Yandex Production Laboratory of Edu"&amp;"cational Technologies as companies to train IT employees to the right Graid Anton Makarov Founder Divan.ru Trends in the development of the furniture market in 2023-2024 Ekaterina Makhova lawyer of the Moscow Bar Aprilines “Princesses and Partners” how to"&amp;" share an individual entrepreneur at Divorce business all materials of history What will be the next generation of design managers Mentor conductor or intermediary? Columns are looking for shots: two options for companies that cannot find “Top” in the mar"&amp;"ket how to solve the issue of lack of high -level specialists in Longrids to “move to another country is not Rocket Science”. How Russian Founders build a marketplace for relocation, the story of the startup Migrun, how to start selling in China: the top "&amp;"of trading platforms in China is high demand for the Rosya products of history of 5 trends in Fudtech on which investors from coffee drinks are relying to convenient food stories after death: how they earn money Brand brand brand brands are dead-long live"&amp;" the brand of history Chinese bloggers use digital clones to produce “not real person”, the possibilities of November 12, 2023 Environmental awards of the Moscow government on November 12, 2023 Student agricultural aperture on November 14, 2023 Selection "&amp;"of breakthrough IT solutions For business, all the possibilities of technology are all materials of the history of Neuralink Mask is ready to implant chips for people - despite the scandals around its experiments with monkeys according to many of them, th"&amp;"is glove all allows you to feel the touch in VR it costs less Humane: What is known about the characteristics and capabilities of the gadget, it is conceived as a smartphone without a screen of a column game of digitalization: is it worth it to start busi"&amp;"ness and whether it is possible to stop the figure never sleeping history. The Swedish startup is developing roads that charge electric cars during the movement of the power of France and Sweden already interested The project of history how Copilot works-"&amp;"the assistant with generative AI on Windows 11 writes the code and the texts launches programs and not only the history of the agency from different countries introduce the AI ​​in predicting the technology weather, it works faster but less predictable to"&amp;" find the password from Wi-Firalostarter of Natives of Apple. The AI ​​PIN gadget with II-Presentation Commitoriyakim will be the next generation of design managerovnovostorsmisz Four venture funds launched a joint program for startups at the early stage "&amp;"of historiacak to find a virus on the phone and delete it: tips for users of Android careers all the materials of history what to do if you are the main pessimist in the team and how Avoid the reputation of the eternal skeptics of the column how to become"&amp;" a leader: a memo for beginner leaders why it is important to love your work and what is the thinking of a multiplier of the column as twice two: how to quickly master the profession of an online course developer, one of the industrial marketer profession"&amp;"s-what kind of profession is this profession Hyde in the demanded profession of history 3 signs that you got into a toxic team a positive attitude - not always a good sign of the history of performance paradox: what if the team processes but does not fulf"&amp;"ill the plan we go out into the study zone of surfing tattoo tattoo and leave to care for the pet: The most unusual working bonuses so employers designate their priorities and quirks subscribe to the newsletter, subscribe to the newsletter Rusbase subscri"&amp;"be to the “Subscribe” button you consent to the processing of your personal data. See other mailings in the section on other types of mailings can be found out in the subscription section Subscribe to the newsletter subscription to the newsletter of Rusba"&amp;"se Subscribe, see other mailings in the section on other types of mailings, you can find out in the section RB.ru subscription about the company Advertising Tags to write all materials Services Chance Marketplace Data Courses Pipeline Social Telegram VKon"&amp;"takte Twitter Twitter Viber Zen Tiktok RBTOKARA LLC © 2012-2023 Khosting and technical support systems of Privacy Politicophary Password E-Mail PAROLLAGRASTITION IS A PIT? Registration for Rusbaseyamyapamiliae-mailparol, clicking on the ""Register"" butto"&amp;"n I agree with the terms of the user agreement if you forgot the password we will send it to you by e-mail your email")</f>
        <v>Rb.ru - new business and career technologies in the digital economy rb.ru Events Chance Data Courses Close -to -Rabricow -Stewshobeshobeshobeshobravsnicanschanschanscmentsesrb.ru Coordinaries Complete the Material Controlram Vacation Medical Contactwitter -graders BERDZNENVSHNOSTYSTYSTYTEDSTOKOKARER FINTECH Maps Search Gamburger News-Business Technologies Podkodkadkarier Carter Finder Search Reducing the Budget of the Russian Federation Renaits Renaits for renting warehouses of the Party Initiatives for Business: The main thing on November 11 is to follow the News-Apartners relevant for entrepreneurs, what will be fintech in the world and Russia: trends and forecasts in 2022, the volume of the world fintech-market amounted to $ 13384 billion Rb.ru Founders' Mondays invites the event to a meeting on November 13 ( IT) AL has started accepting applications on RB Digital Awards 2024 You can submit an application until December 1, 2023 News All News November 09:29 “Yandex Lavka” will open Darkmalls in Moscow and St. Petersburg on November 11, 19:59 Applications Verification for the goal of combating VPN To harm business - “Kommersant” November 11, 17:51 Generation Z considers the “equipment” of the digital avatar more important than the real image - 56% on November 11, 15:30, income of concerts and show organizers in 2023 will be 38% lower than 2019 - about 365 billion rubles November 11 14:53 Xiaomi submitted applications for the registration of trademarks for the new Hyperos operating system on November 11 13:23 A quarter of students use ChatGPT to increase the uniqueness of their texts-the study of the possibility on November 12, 2023 Ecological Prizes of the Moscow government on November 12, 2023 Student agricultural Accelerator on November 14 2023 Selection of breakthrough IT solutions for business all opportunities to read more Julia Obrovets real estate expert and investment maternity capital as an investment. How to make money work for you? Maria Kovaleva Head of the Yandex Production Laboratory of Educational Technologies as companies to train IT employees to the right Graid Anton Makarov Founder Divan.ru Trends in the development of the furniture market in 2023-2024 Ekaterina Makhova lawyer of the Moscow Bar Aprilines “Princesses and Partners” how to share an individual entrepreneur at Divorce business all materials of history What will be the next generation of design managers Mentor conductor or intermediary? Columns are looking for shots: two options for companies that cannot find “Top” in the market how to solve the issue of lack of high -level specialists in Longrids to “move to another country is not Rocket Science”. How Russian Founders build a marketplace for relocation, the story of the startup Migrun, how to start selling in China: the top of trading platforms in China is high demand for the Rosya products of history of 5 trends in Fudtech on which investors from coffee drinks are relying to convenient food stories after death: how they earn money Brand brand brand brands are dead-long live the brand of history Chinese bloggers use digital clones to produce “not real person”, the possibilities of November 12, 2023 Environmental awards of the Moscow government on November 12, 2023 Student agricultural aperture on November 14, 2023 Selection of breakthrough IT solutions For business, all the possibilities of technology are all materials of the history of Neuralink Mask is ready to implant chips for people - despite the scandals around its experiments with monkeys according to many of them, this glove all allows you to feel the touch in VR it costs less Humane: What is known about the characteristics and capabilities of the gadget, it is conceived as a smartphone without a screen of a column game of digitalization: is it worth it to start business and whether it is possible to stop the figure never sleeping history. The Swedish startup is developing roads that charge electric cars during the movement of the power of France and Sweden already interested The project of history how Copilot works-the assistant with generative AI on Windows 11 writes the code and the texts launches programs and not only the history of the agency from different countries introduce the AI ​​in predicting the technology weather, it works faster but less predictable to find the password from Wi-Firalostarter of Natives of Apple. The AI ​​PIN gadget with II-Presentation Commitoriyakim will be the next generation of design managerovnovostorsmisz Four venture funds launched a joint program for startups at the early stage of historiacak to find a virus on the phone and delete it: tips for users of Android careers all the materials of history what to do if you are the main pessimist in the team and how Avoid the reputation of the eternal skeptics of the column how to become a leader: a memo for beginner leaders why it is important to love your work and what is the thinking of a multiplier of the column as twice two: how to quickly master the profession of an online course developer, one of the industrial marketer professions-what kind of profession is this profession Hyde in the demanded profession of history 3 signs that you got into a toxic team a positive attitude - not always a good sign of the history of performance paradox: what if the team processes but does not fulfill the plan we go out into the study zone of surfing tattoo tattoo and leave to care for the pet: The most unusual working bonuses so employers designate their priorities and quirks subscribe to the newsletter, subscribe to the newsletter Rusbase subscribe to the “Subscribe” button you consent to the processing of your personal data. See other mailings in the section on other types of mailings can be found out in the subscription section Subscribe to the newsletter subscription to the newsletter of Rusbase Subscribe, see other mailings in the section on other types of mailings, you can find out in the section RB.ru subscription about the company Advertising Tags to write all materials Services Chance Marketplace Data Courses Pipeline Social Telegram VKontakte Twitter Twitter Viber Zen Tiktok RBTOKARA LLC © 2012-2023 Khosting and technical support systems of Privacy Politicophary Password E-Mail PAROLLAGRASTITION IS A PIT? Registration for Rusbaseyamyapamiliae-mailparol, clicking on the "Register" button I agree with the terms of the user agreement if you forgot the password we will send it to you by e-mail your email</v>
      </c>
    </row>
    <row r="233">
      <c r="A233" s="1" t="s">
        <v>712</v>
      </c>
      <c r="B233" s="1" t="s">
        <v>740</v>
      </c>
      <c r="D233" s="1">
        <v>14.0</v>
      </c>
      <c r="E233" s="4" t="s">
        <v>741</v>
      </c>
      <c r="F233" s="1" t="s">
        <v>16</v>
      </c>
      <c r="G233" s="1" t="s">
        <v>228</v>
      </c>
      <c r="H233" s="4" t="s">
        <v>229</v>
      </c>
      <c r="I233" s="2">
        <v>1.0</v>
      </c>
      <c r="J233" s="5" t="str">
        <f>IFERROR(__xludf.DUMMYFUNCTION("GOOGLETRANSLATE(A233)"),"in contact with")</f>
        <v>in contact with</v>
      </c>
      <c r="K233" s="6" t="str">
        <f>IFERROR(__xludf.DUMMYFUNCTION("GOOGLETRANSLATE(B233)"),"How to hack vkontakte pages? - The result from Google Books")</f>
        <v>How to hack vkontakte pages? - The result from Google Books</v>
      </c>
      <c r="M233" s="5" t="str">
        <f>IFERROR(__xludf.DUMMYFUNCTION("GOOGLETRANSLATE(G233)"),"Google �����������������������PlayYouTube����������������������������������������� ����������������������Blogger����������������������� �������� »Account Options��������������� ������� ���������� � ������� �������������������� ��������������� ������������"&amp;"������������� ��������������������")</f>
        <v>Google �����������������������PlayYouTube����������������������������������������� ����������������������Blogger����������������������� �������� »Account Options��������������� ������� ���������� � ������� �������������������� ��������������� ������������������������� ��������������������</v>
      </c>
    </row>
    <row r="234">
      <c r="A234" s="1" t="s">
        <v>712</v>
      </c>
      <c r="B234" s="1" t="s">
        <v>742</v>
      </c>
      <c r="D234" s="1">
        <v>15.0</v>
      </c>
      <c r="E234" s="4" t="s">
        <v>743</v>
      </c>
      <c r="F234" s="1" t="s">
        <v>16</v>
      </c>
      <c r="G234" s="1" t="s">
        <v>228</v>
      </c>
      <c r="H234" s="4" t="s">
        <v>229</v>
      </c>
      <c r="I234" s="2">
        <v>1.0</v>
      </c>
      <c r="J234" s="5" t="str">
        <f>IFERROR(__xludf.DUMMYFUNCTION("GOOGLETRANSLATE(A234)"),"in contact with")</f>
        <v>in contact with</v>
      </c>
      <c r="K234" s="6" t="str">
        <f>IFERROR(__xludf.DUMMYFUNCTION("GOOGLETRANSLATE(B234)"),"Women's business VKontakte without a million in your pocket")</f>
        <v>Women's business VKontakte without a million in your pocket</v>
      </c>
      <c r="M234" s="5" t="str">
        <f>IFERROR(__xludf.DUMMYFUNCTION("GOOGLETRANSLATE(G234)"),"Google �����������������������PlayYouTube����������������������������������������� ����������������������Blogger����������������������� �������� »Account Options��������������� ������� ���������� � ������� �������������������� ��������������� ������������"&amp;"������������� ��������������������")</f>
        <v>Google �����������������������PlayYouTube����������������������������������������� ����������������������Blogger����������������������� �������� »Account Options��������������� ������� ���������� � ������� �������������������� ��������������� ������������������������� ��������������������</v>
      </c>
    </row>
    <row r="235">
      <c r="A235" s="1" t="s">
        <v>712</v>
      </c>
      <c r="B235" s="1" t="s">
        <v>744</v>
      </c>
      <c r="C235" s="1" t="s">
        <v>745</v>
      </c>
      <c r="D235" s="1">
        <v>16.0</v>
      </c>
      <c r="E235" s="4" t="s">
        <v>746</v>
      </c>
      <c r="F235" s="1" t="s">
        <v>16</v>
      </c>
      <c r="G235" s="1" t="s">
        <v>747</v>
      </c>
      <c r="H235" s="4" t="s">
        <v>748</v>
      </c>
      <c r="I235" s="2">
        <v>5.0</v>
      </c>
      <c r="J235" s="5" t="str">
        <f>IFERROR(__xludf.DUMMYFUNCTION("GOOGLETRANSLATE(A235)"),"in contact with")</f>
        <v>in contact with</v>
      </c>
      <c r="K235" s="6" t="str">
        <f>IFERROR(__xludf.DUMMYFUNCTION("GOOGLETRANSLATE(B235)"),"Urgently in public! 5 communities on proper nutrition in")</f>
        <v>Urgently in public! 5 communities on proper nutrition in</v>
      </c>
      <c r="L235" s="5" t="str">
        <f>IFERROR(__xludf.DUMMYFUNCTION("GOOGLETRANSLATE(C235)"),"2 days ago -")</f>
        <v>2 days ago -</v>
      </c>
      <c r="M235" s="5" t="str">
        <f>IFERROR(__xludf.DUMMYFUNCTION("GOOGLETRANSLATE(G235)"),"News of advertising and marketing | Adindex.ru-Osciller cabinet-based publishing an interviewsproektyammy! Substantisharsov-Novosti-Remoittings NewDigitalremadiamadiadihnology CaptegoriaOh and Indoorbtl / event Services / BTLDIDIZHIL Services / Digital Se"&amp;"rvicemedia / Mediaadtech / Martechkhodroygoykatalogyxadysadindy -calendar of the events of the events Mapsadindex City Confereseadindex Award Branddigital Brand Daywolf DEX contacts+7 495 789-47-49+7 909 622-90-02info@adindex.ru on social networks: News N"&amp;"ews News We Express the Main News for November 10 20:18 | Apple's trend for discrimination for discrimination of advertising in WhatsApp and the date of “disclosure of potential” of AI from marketers - news review in foreign media 18:42 | The trends have "&amp;"said #non -kyberbulling and shot a social thriller with Christina Asmus 16:51 | Social projects non-fiction of books about the game industry grew by 20% 15:22 | Read trends 60% of Russians surveyed plan to buy household appliances and electronics in offli"&amp;"ne 12:18 | Studies by the Drozdov from ""In the world of animals"" made ""in the world of"" dentists """" for ""tasty - and points"" 11:10 | CreativeVadim Sokolovsky was appointed General Director of Amedia Production 09:21 | The personnelactivity of buye"&amp;"rs at sales decreased by 4-7% 08:16 | Trends of the Card to Adventure Tourism in Russia grew by 30% 07:50 | Video conferencing services trends in Russia can grow to $ 40 million 07:46 | The trends of news of the focus of attention We say the main news for"&amp;" November 10, VK said #Netkiberbulling Vadim Sokolovsky was appointed general director of AMedia Production, customer activity at the sale of Apple’s penalty for discrimination for the WhatsApp advertisement and the date of “Disclosure of Potential” and m"&amp;"arketer from the marketer to Plik! 5 communities on proper nutrition in VKontakte Alina Chereshneva VK: “Client happiness needs to be digitized in any case,” the news of the Megafon partners is resurrected the cost of traffic in online stores of Kutserin "&amp;"Kutsyna, the director of the digital platforms “Everest” spoke about the research of advertising campaigns on November10 The Socialist agency will hold the online forces of the focusing focus that they choose and with whom they compare: what can be found "&amp;"out about competitors from social media, marketing director of Brand Analytics Valentina Zykova about competitive analysis of the social networks of blogs and outlets on the example of domestic cosmetics brands as a company perceives the use of AI in busi"&amp;"ness and everyday life How widely the AI ​​penetrated our lives and work how to apply neural networks in business and what people are afraid of using such technologies for ratings ratings ratings Adindex# -Rating1mpstats No. 103232AdMitad №1CPA/Partnershi"&amp;"ps 20233POLAD VIDEO podcasts of interviews and sales: why there are conflicts And how to solve them interviews in fashion: how are the changes in this area affect the ADSUP Mirkeisycase and the MAXIM taxi service: how to attract unique users from the Asia"&amp;" -like Nectarin and Miratorg: how to get 48 million impressions for 2 months of the Case of the Logic agency: How to reduce the cost of Lida more than two times the Rosst Case: how to increase the share of the male audience by more than 60%CAS STS and Dom"&amp;"klik: how to find the key to the efficiency of the BYYD and Cherkizovo efficiency and Cherkizovo. : how to increase the recognition of the brand by 60% using the Rewarded Video Adskeis “Trajectory” and the Kit Soler agency: how to reduce the SDR in three "&amp;"months by increasing sales by 15% AGM case: how long -term interests from the site metric can help in targeted advertising Case “Samokat” and Adventum: how to increase the revenue from users 25 times in the publication of publication of publication in a p"&amp;"ublic with the help of notifications! 5 of communities on proper nutrition on VKontakte together with VKontakte, we present a new selection of publics: this time Adindex identified the most popular communities about the proper nutrition of marketings that"&amp;" they choose and with whom they compare: what can be found out about competitors from social impedia to find out what consumers value In the products of competitors, why they choose or shut off, it is not necessary to carry out expensive research to use i"&amp;"ndustrial espionage and competitive intelligence. Users ... COMPARY OF HOUSE SOCIENTS The Society perceives the application of AI in business and everyday life how widely AI penetrated our lives and work how to apply neural networks in business and what p"&amp;"eople are afraid of using such technologies. This is not only stated in the first two parts of the icontext study ... Technologies “Neuroset and a person work in tandem”: how Fix Price uses neural networks to work with the content of images for packaging "&amp;"the personalization of letters and the creation of distributions - what tasks can solve the neural networks in retail The Fix Price Communications Director ... of the UAE conjunctural facilities: where and why go to Russian advertisers, the United Arab Em"&amp;"irates have been experiencing an influx of Russian citizens, including entrepreneurs, told the column. And they are facing the question of promotion in new markets. About which channels should be used ... Agencylidia Pozdnyakov Adwile: “That Message with "&amp;"whom the brand goes to the consumer is important” Despite the law on the labeling of advertising, the native handling of creativity in the form of recommendations does not lose its relevance. About what is native TGB (textual and graphic blocks.-Approx. E"&amp;"d.) From what amount ... canal in the public! 4 Communities on VKontakte facts, together with VKontakte, present a new selection of publics: this time Adindex identified the most popular communities about the facts of the day Cultural Exchange psychology "&amp;"for the PRA: 5 books that will improve your communications skills to the PR manager who does not know how to make contacts in The work is not easy. Someone has done this without problems since childhood and someone has to work on themselves. Together with"&amp;" the book service “Liters” ... Adindex twalin Chereshnev VK: “Client happiness needs to be digitized in any case” more than half of consumers are going to buy New Year's gifts for seasonal sales of the Efimov Omd Resolution: “Now the time is more importan"&amp;"t when the branding” Afisha09/11matemarketing14 /11th marketer conference22/11china Business forum23/11 “Sales Main” 30/11tinkoff Ecommerce 202330/11th of corporate education-202330/11ADIDEX Awards01/12russian Creative Award Propro a megamarket project an"&amp;"d Adindex about gifts and care. Play the game share your stories with market colleagues and receive gifts from an updated marketplace. How to protect the media project together with Yandex Advertising, together with the Yandex Advertising team, we have cr"&amp;"eated an interactive guide for protecting the media project: in it you will face the insidious issues of three experts about budget covers and efficiency with our hero. ... Go Up 2023: “On the threshold of an advertisement Singolarity ”Adindex output conf"&amp;"erence on how the advertising market changes and what future the future awaits us all. Adindex City 2023. The entire conference content was talked about on Adindex City Conference. Records of presentation sections of interviews with speakers and other use"&amp;"ful content. Ratingswalls Ratingspieces of Adindex Ratings #parting 11mpstats No. 1statomatization of sales on marketplaces 20232admitad №1cpa/Partnerships 20233BUZZOLA No. 1933BUZOLA VIDEO 2023ADINDECHNOLOGY MAP 2023ADVERADERTSING MAP 202 3Digital MAP 20"&amp;"22/2023TECHNOLOGY MAP 2022ADVERTISING MAP 202221TECHNOLOGY MAP 2021ADVERDERTISING MAP 2020TECHNOLOGY MAP 2020 © Adindex. RU 2023 Conditions for the publication of the Federal Service for Supervision of the Communications of Information Technologies and Ma"&amp;"ss Communications (Roskomnadzor) of March 07, 2017. EL No. FS 77 - 68950 Founder: LLC ""A.A.I."" Editor: Eshnazarova Tatyana Azamatovna all information about the license of a group of confidentiality -usualPlassic agreement on the processing of personal d"&amp;"ata mockery for the processing of personal data on the Adindex.ru website applies recommendation technologies (information technologies for providing information on the systematization and analysis of information related to the preferences of users of the"&amp;" Internet of those located on the territory of the Russian Federation). Detailed information of the Menu -designer for the project on the site of the Partnies -Kutalognovoshtynashi products of products of the foods Print EditionDionadindex MarketAdindex M"&amp;"apsmys on communication contacttorsTelegram -classmate ! Podkastyafisharss-Novosti-Radostytigitalrekhotiamediamadiachnologycategoryohoh and indoorbtl/EventiChasyxyadic-calendar of the events of the events Mapsadindex City Conference 2020201920 7adindex Aw"&amp;"ards20222022021202019 Brand 202220220212020202018Digital Brand DAY20232022202120-22020/Adindex contacts")</f>
        <v>News of advertising and marketing | Adindex.ru-Osciller cabinet-based publishing an interviewsproektyammy! Substantisharsov-Novosti-Remoittings NewDigitalremadiamadiadihnology CaptegoriaOh and Indoorbtl / event Services / BTLDIDIZHIL Services / Digital Servicemedia / Mediaadtech / Martechkhodroygoykatalogyxadysadindy -calendar of the events of the events Mapsadindex City Confereseadindex Award Branddigital Brand Daywolf DEX contacts+7 495 789-47-49+7 909 622-90-02info@adindex.ru on social networks: News News News We Express the Main News for November 10 20:18 | Apple's trend for discrimination for discrimination of advertising in WhatsApp and the date of “disclosure of potential” of AI from marketers - news review in foreign media 18:42 | The trends have said #non -kyberbulling and shot a social thriller with Christina Asmus 16:51 | Social projects non-fiction of books about the game industry grew by 20% 15:22 | Read trends 60% of Russians surveyed plan to buy household appliances and electronics in offline 12:18 | Studies by the Drozdov from "In the world of animals" made "in the world of" dentists "" for "tasty - and points" 11:10 | CreativeVadim Sokolovsky was appointed General Director of Amedia Production 09:21 | The personnelactivity of buyers at sales decreased by 4-7% 08:16 | Trends of the Card to Adventure Tourism in Russia grew by 30% 07:50 | Video conferencing services trends in Russia can grow to $ 40 million 07:46 | The trends of news of the focus of attention We say the main news for November 10, VK said #Netkiberbulling Vadim Sokolovsky was appointed general director of AMedia Production, customer activity at the sale of Apple’s penalty for discrimination for the WhatsApp advertisement and the date of “Disclosure of Potential” and marketer from the marketer to Plik! 5 communities on proper nutrition in VKontakte Alina Chereshneva VK: “Client happiness needs to be digitized in any case,” the news of the Megafon partners is resurrected the cost of traffic in online stores of Kutserin Kutsyna, the director of the digital platforms “Everest” spoke about the research of advertising campaigns on November10 The Socialist agency will hold the online forces of the focusing focus that they choose and with whom they compare: what can be found out about competitors from social media, marketing director of Brand Analytics Valentina Zykova about competitive analysis of the social networks of blogs and outlets on the example of domestic cosmetics brands as a company perceives the use of AI in business and everyday life How widely the AI ​​penetrated our lives and work how to apply neural networks in business and what people are afraid of using such technologies for ratings ratings ratings Adindex# -Rating1mpstats No. 103232AdMitad №1CPA/Partnerships 20233POLAD VIDEO podcasts of interviews and sales: why there are conflicts And how to solve them interviews in fashion: how are the changes in this area affect the ADSUP Mirkeisycase and the MAXIM taxi service: how to attract unique users from the Asia -like Nectarin and Miratorg: how to get 48 million impressions for 2 months of the Case of the Logic agency: How to reduce the cost of Lida more than two times the Rosst Case: how to increase the share of the male audience by more than 60%CAS STS and Domklik: how to find the key to the efficiency of the BYYD and Cherkizovo efficiency and Cherkizovo. : how to increase the recognition of the brand by 60% using the Rewarded Video Adskeis “Trajectory” and the Kit Soler agency: how to reduce the SDR in three months by increasing sales by 15% AGM case: how long -term interests from the site metric can help in targeted advertising Case “Samokat” and Adventum: how to increase the revenue from users 25 times in the publication of publication of publication in a public with the help of notifications! 5 of communities on proper nutrition on VKontakte together with VKontakte, we present a new selection of publics: this time Adindex identified the most popular communities about the proper nutrition of marketings that they choose and with whom they compare: what can be found out about competitors from social impedia to find out what consumers value In the products of competitors, why they choose or shut off, it is not necessary to carry out expensive research to use industrial espionage and competitive intelligence. Users ... COMPARY OF HOUSE SOCIENTS The Society perceives the application of AI in business and everyday life how widely AI penetrated our lives and work how to apply neural networks in business and what people are afraid of using such technologies. This is not only stated in the first two parts of the icontext study ... Technologies “Neuroset and a person work in tandem”: how Fix Price uses neural networks to work with the content of images for packaging the personalization of letters and the creation of distributions - what tasks can solve the neural networks in retail The Fix Price Communications Director ... of the UAE conjunctural facilities: where and why go to Russian advertisers, the United Arab Emirates have been experiencing an influx of Russian citizens, including entrepreneurs, told the column. And they are facing the question of promotion in new markets. About which channels should be used ... Agencylidia Pozdnyakov Adwile: “That Message with whom the brand goes to the consumer is important” Despite the law on the labeling of advertising, the native handling of creativity in the form of recommendations does not lose its relevance. About what is native TGB (textual and graphic blocks.-Approx. Ed.) From what amount ... canal in the public! 4 Communities on VKontakte facts, together with VKontakte, present a new selection of publics: this time Adindex identified the most popular communities about the facts of the day Cultural Exchange psychology for the PRA: 5 books that will improve your communications skills to the PR manager who does not know how to make contacts in The work is not easy. Someone has done this without problems since childhood and someone has to work on themselves. Together with the book service “Liters” ... Adindex twalin Chereshnev VK: “Client happiness needs to be digitized in any case” more than half of consumers are going to buy New Year's gifts for seasonal sales of the Efimov Omd Resolution: “Now the time is more important when the branding” Afisha09/11matemarketing14 /11th marketer conference22/11china Business forum23/11 “Sales Main” 30/11tinkoff Ecommerce 202330/11th of corporate education-202330/11ADIDEX Awards01/12russian Creative Award Propro a megamarket project and Adindex about gifts and care. Play the game share your stories with market colleagues and receive gifts from an updated marketplace. How to protect the media project together with Yandex Advertising, together with the Yandex Advertising team, we have created an interactive guide for protecting the media project: in it you will face the insidious issues of three experts about budget covers and efficiency with our hero. ... Go Up 2023: “On the threshold of an advertisement Singolarity ”Adindex output conference on how the advertising market changes and what future the future awaits us all. Adindex City 2023. The entire conference content was talked about on Adindex City Conference. Records of presentation sections of interviews with speakers and other useful content. Ratingswalls Ratingspieces of Adindex Ratings #parting 11mpstats No. 1statomatization of sales on marketplaces 20232admitad №1cpa/Partnerships 20233BUZZOLA No. 1933BUZOLA VIDEO 2023ADINDECHNOLOGY MAP 2023ADVERADERTSING MAP 202 3Digital MAP 2022/2023TECHNOLOGY MAP 2022ADVERTISING MAP 202221TECHNOLOGY MAP 2021ADVERDERTISING MAP 2020TECHNOLOGY MAP 2020 © Adindex. RU 2023 Conditions for the publication of the Federal Service for Supervision of the Communications of Information Technologies and Mass Communications (Roskomnadzor) of March 07, 2017. EL No. FS 77 - 68950 Founder: LLC "A.A.I." Editor: Eshnazarova Tatyana Azamatovna all information about the license of a group of confidentiality -usualPlassic agreement on the processing of personal data mockery for the processing of personal data on the Adindex.ru website applies recommendation technologies (information technologies for providing information on the systematization and analysis of information related to the preferences of users of the Internet of those located on the territory of the Russian Federation). Detailed information of the Menu -designer for the project on the site of the Partnies -Kutalognovoshtynashi products of products of the foods Print EditionDionadindex MarketAdindex Mapsmys on communication contacttorsTelegram -classmate ! Podkastyafisharss-Novosti-Radostytigitalrekhotiamediamadiachnologycategoryohoh and indoorbtl/EventiChasyxyadic-calendar of the events of the events Mapsadindex City Conference 2020201920 7adindex Awards20222022021202019 Brand 202220220212020202018Digital Brand DAY20232022202120-22020/Adindex contacts</v>
      </c>
    </row>
    <row r="236">
      <c r="A236" s="1" t="s">
        <v>712</v>
      </c>
      <c r="B236" s="1" t="s">
        <v>597</v>
      </c>
      <c r="C236" s="1" t="s">
        <v>749</v>
      </c>
      <c r="D236" s="1">
        <v>17.0</v>
      </c>
      <c r="E236" s="4" t="s">
        <v>750</v>
      </c>
      <c r="F236" s="1" t="s">
        <v>16</v>
      </c>
      <c r="G236" s="1" t="s">
        <v>751</v>
      </c>
      <c r="H236" s="4" t="s">
        <v>752</v>
      </c>
      <c r="I236" s="2">
        <v>3.0</v>
      </c>
      <c r="J236" s="5" t="str">
        <f>IFERROR(__xludf.DUMMYFUNCTION("GOOGLETRANSLATE(A236)"),"in contact with")</f>
        <v>in contact with</v>
      </c>
      <c r="K236" s="6" t="str">
        <f>IFERROR(__xludf.DUMMYFUNCTION("GOOGLETRANSLATE(B236)"),"In contact with")</f>
        <v>In contact with</v>
      </c>
      <c r="L236" s="5" t="str">
        <f>IFERROR(__xludf.DUMMYFUNCTION("GOOGLETRANSLATE(C236)"),"Description: VKontakte unites millions of people, allowing you to communicate and exchange news from anywhere in the world. You can send messages, share ...")</f>
        <v>Description: VKontakte unites millions of people, allowing you to communicate and exchange news from anywhere in the world. You can send messages, share ...</v>
      </c>
      <c r="M236" s="5" t="str">
        <f>IFERROR(__xludf.DUMMYFUNCTION("GOOGLETRANSLATE(G236)"),"4PDA����������������������� ������ ��������������������������� ������ ������������������������ ������ ������������DevDB������� ����������� � ��������������� ������ ������������������� �������������� ������ ��������������-������������� ������ �������������"&amp;"���������������������� ��������� ���������������������������� ��������� ����������������� ������������ ��������� ������������������������������ ��������� ���������������������������� ��������� ������������������������� ��������� ��������������������������"&amp;"������������������ ������ ��������������������������� ������ ������������������������ ������ ������������DevDB������� ����������� � ��������������� ������ ������������������� �������������� ������ ��������������-������������� ������ ����������������������"&amp;"������������� ��������� ���������������������������� ��������� ����������������� ������������ ��������� ������������������������������ ��������� ���������������������������� ��������� ������������������������� ��������� ���������������������    ���2011.11"&amp;".23News��������� ���� ������-������: ��� HUAWEI MateBook D16 �������� � ������?����������� ����������� �� �� �������� ���������� ����� ��� ������������. � ��������� �� ����� �� �������� ����������� ����� � ��������� � ����� ���������. � HUAWEI MateBook D1"&amp;"6 ���� ��� ����������� ��� ���������� ������ ����� �� �������. ������������ ��� ��������� ��� ������ � �������� ������������ ������������� �������� ����������. # HUAWEI HUAWEI MateBook D16�����2711.11.23������ �������� ������� ������� ����������� �� �����"&amp;"����� �� ����� ���������� �������������� �� ������ ��������� ���� �� ���������� �� ����������� ���� ��������� ������������� ���������� � ����. ������� ������ ����� ����� � 200 ������� ����������� ������� ���������� ���������� ������������� ������ ��������"&amp;"� ����� �������� ������������ ����������� �� ���������. �����&lt;div&gt;&lt;/div&gt;&lt;div&gt;&lt;/div&gt;&lt;div&gt;&lt;/div&gt;&lt;a href='/2023/11/12/5941970/' target='_blank'&gt;&lt;img src='https://4pda.to/s/as6yz0trtkPQebz1ermz2EylMGHkIz0lgV7WHDqKU6O5VrENk8Tc05ciIvOk.jpg'  title=''  /&gt;&lt;/a&gt;&lt;di"&amp;"v &gt;&lt;img src='https://4pda.to/s/as6yvl4DoepPz1rrtZNkaja13rwHs.gif'     /&gt;&lt;/div&gt;&lt;div&gt;&lt;/div&gt;&lt;div&gt;&lt;/div&gt;1611.11.23������ �����Xbox �������� ����� 20 ��� ��������� �� ������� � � ��� ���� ������ ��� � 2022-�Microsoft ���������� �������� � ���������� � ������� "&amp;"�������� �� �������� Xbox. � �������� ���������� ���������� ����� ���������� ������� �������� �� ����������. # Microsoft�����2911.11.23������ ���������� ��������� ��������������� ��� ���������������� Blind Spot Gear �� ������ ������� LumiCard � ����� ����"&amp;"��� ���������� �� �������� � ������ ���������. ���������� �������� � ���������� �������� ������������ ������� � 500 ����� �������� ������� ��� �������� ���� � ������ �������.  �����6511.11.23������ ������� ������� � ���� ��������� ������� ����� � ��������"&amp;"��� LTA Research ������������� ����������� Google ������� ������ ��������� � ������ ���������� ��������� ��������� Pathfinder 1 � ������ �������� � ���� ������������ ��������. � ����� �������� ��������� 1245 ����� � ��� ����������� ��� Boeing-737. ����� �"&amp;"����811.11.23News����� ILIFE T10S: ��� �� � ���� ����� � �� ����� � �� ����������� �� ������� ����������� ����������� �������-��������� �� � ����� ��������� ������ � ������������� ���������� �������. ��� ������ ������������ ������������ ��� ���� ������� �"&amp;"�������������� ������� �������. ��� � ���������� ILIFE T10S. # ����� ILIFE ILIFE T10S�����1111.11.23������ ���������� ������� ���������� ������� ��������� �������� �� ������������������� �� ������������� ������������ ������������ � ������������ ������� ��"&amp;"����� �������� ��� ��������� ������������ ������� ��������� ������������. ��� �������� ���������� ������� �������� � ���������� �������� �������������� ���� �� ������� ���� ����� �������� �� ����. �����&lt;div&gt;&lt;/div&gt;&lt;div&gt;&lt;/div&gt;&lt;div&gt;&lt;/div&gt;&lt;a href='/2023/11/12"&amp;"/8196196/' target='_blank'&gt;&lt;img src='https://4pda.to/s/as6yz2pQlot8w5b66uz0WbaVlcz2gBfXZYRHamFXO0knf7BPCQ8hdpD1t3K.jpg'  title=''  /&gt;&lt;/a&gt;&lt;div &gt;&lt;img src='https://4pda.to/s/as6yu42hlyXjD7kQLqbvVMOGid.gif'     /&gt;&lt;/div&gt;&lt;div&gt;&lt;/div&gt;&lt;div&gt;&lt;/div&gt;1511.11.23������ �"&amp;"����������� OTEC ������� ������� ������������ ������������������ ������� Global OTEC ������ � ���� ����� ��������� ���������� �������������� �������� ������� ������ ��� ��������� ��������� ����������. ��� � 2026 ���� ����������� ���������� ��������� �����"&amp;"���� 15 ��� � ������������������ ���-���� � ��������. �����1011.11.23������ ���������� Baldur�s Gate III �������� ���-������� ��� ��������� ���� Paramore [�����]�� ����� ����������� Baldur�s Gate III ������ ����� ������������� � ������ ����������� ����� �"&amp;"������ � ����������� �������. � ���� �� ���������� ��� ������� ��������� � ������� ��������� ��� ������������� �����������. �����1211.11.23������ ����������� �������� ��������� �������� ��������������� �������������� ���������� ����������� � ����������� �"&amp;"��������� ������� ����� � ������� ����� �������� ����������� ������ ��������� �������� MACS0416 ������� ��������� � ���������� ������� ���� ������� ���������. ��� �������� ��������������� ������ ��-�� ���� ��� ��� ��������� � ����������� ���������� ������"&amp;"��� ���������� �����. �����3111.11.23������ �������Ulefone Power Armor 18T Ultra � ������������ � ������������ � ��� �� 9600 ������������� �������� � ��� �� ������ ������� ������� ��� ����������� �� � ������ ���������� ����� ��� ������������ ������ �� ���"&amp;"������ � �������� �������������� ������������. �������� Ulefone ������� ����������� ����� ��� ��������������� ������� ����� Power Armor � �� ���������������� ������� � ������������ ���������������� ����������������. �� 17 ������ �� ����� ���������� �� ���"&amp;"�������� ����. # Ulefone Ulefone Power Armor 18T Ultra�����3011.11.23������ ���������� ���������� Samson ������� �������������� � ���� [�����]�������� �������� ���������� Samson Switchblade �������� ���� ������ ����� � ������������� ��������� �����-������"&amp;" � �����-����. �� ����� �� ������ 150 ������ ������� ������ �������� �������� ����� 6 ����� ����� ���� ������ �����������. �����3311.11.23������ ����������� ���������� �� ����� ������� ���� ����� ��������� ������������� ������� �� ������� ������� Decluttr"&amp;" ������� ������������ ���������� �� ������ ������������ ������� ������������ ���������� �� �������� (NEISS). ���������� ���������� ��� ���������� ������ ��������� � �������������� ������� ���� �������� ������ � ��������� ������ ���������� ����� �� ����� �"&amp;"������ ���������. �����1311.11.23����� ���������KUMI KU6 Meta: ������ �� ���� ������ ������ � NFC ����� ��� �� 2000 ���������������������� �� ������� ������� �������� KUMI ������� ������� � ���������� ���������� �� AliExpress. �� ����� ��������� ���� ����"&amp;"� ���������� ����� ���� KU6 Meta ����������� �������� �� ������ ��������� ������� ����������� ���������� ���������� � ��� � ��� ���� ���������� ������ NFC.  # KUMI KUMI KU6 Meta�����2811.11.23����� ��������������������� OnePlus Watch 2: ��������� ����� ��"&amp;"���� � ������ �������������� �������� OnLeaks ����������� ������ ����������� ������� ��������� ����� ����� �� OnePlus. ��� ������� ����������� ������ ����������� ����� ����������� ��������� �� Qualcomm � ��� �������������� ����� ������������ �������.  # O"&amp;"nePlus OnePlus Watch 2�����1611.11.23������ ����������� �� ��: ���������� ������ �� ���� ������ ������ ����� ������� ��� ���� ��������� ����� ������ �������� ��� ������ ������ ������� ����� ���� � ���������� � �������� �� ����������� �� ��������� Warhamme"&amp;"r 40000. ���� ������ ������������ � ����� ��� ����� ����� ������ ��������� �� � �������� �� ����������� ������. �����2911.11.23����� ���������Dreame L20 Ultra: ������ ��� ������� �� ���� ����� ���������� ��������� ��� ����� ��� ���������� �������-��������"&amp;"� � ������ ��� ����� ������ �� ���������� ��������� ��� ����������� ��� ���������� ������. �� ������������� �� ����� �� ����� � ��������� ����������� ���-�� �����. �������� Dreame L20 Ultra ����� ����� ������� ����� �� ����� ����������� � ����� ��������� "&amp;"�� �����. � ��� ���������������� ��� ��� ������ �����.  # Dreame�����2511.11.23����� ��������������� �� 40% �� Infinix: ��������� �������� � �������� �� �������� ������������� Infinix ������ �������������� � ���������� ���������� ����������� ������� � ���"&amp;"����� ��� �� ����� ��� ���������� ���������. �� ������� �� 40% �������� ����� ���������� ��������� �� ���� �� 7990 ������ �������� � ��������� 8000 ������ � ������������ �������� ����� ��� �� ������ ������. # Infinix�����3211.11.23������ ��Porsche �������"&amp;"� ����� ��������� ���������� ������������������� ����������������� ���������� ������ � ����� ����������� ������� Panamera ������������� � ��������������� �� �������� ��������� ���������� Porsche Driver Experience. �����������  ������ �������� � ����� ����"&amp;"���� �������� ����������� ����������� ��������� ���������� � �������� ���������. # Porshe�����2411.11.23����� ���������Kingroon KLP1 � ������������ 3D-������ �� ��������� ���������� ������� 3D-�������� ������ �������� �� � ���������� ��� �����������������"&amp;"�� � �������� ����������. �������� � ������� ������ �������� ����� ������� ���� ��������� ������ �� ������ ������ ����� ��� ������ �������� ��� ���� ������������ �������� ������� ������ ��� ������ ������. � ��� �� ������ ��� ������������� � ������� �����."&amp;" �� ����� ������� ��� 3D-�������� � ���������� � ��� ��� �������� ���������. ����� ������ � ������ Kingroon KLP1 �������������� �� ���������� AliExpress �� ��������� ����.  # Kingroon�����2211.11.23������ ��Microsoft ��������� ����� ����������� ����������"&amp;"�� ChatGPT��� ����� ������� � �������� ���� ������� �� ��� ��������� �������� �� ����� �� ������������? ��� ���������� Microsoft ��������� ����� ����������� ������������ ���������� ���-��� ChatGPT � ���������� �������� ��� ��������� ���������������� �����"&amp;"��. # Microsoft OpenAI ChatGPT OpenAI����� ����������6330.10.23������ ��������Samsung ����������� ������-������� ����������� Z Flip5�� ������ 20-����� ��������� ����������� Samsung E700 �������� ��������� ����������� ������ ��������� ��������� Z Flip5 � �"&amp;"��������� Retro. ������� �������� � ������������ ��������� ������ ������������� � ������� ��������� ����������� ������� �� ����������� ������. �����1511.11.23������ ���� Rimac Nevera ���������� ����������� ������ ��������������������� �������� Rimac Never"&amp;"� � ��������� ��� �������� ������� ������ � �� ���� ��� �� �������� �������� ������ �����. ������ ��� ���������� �� ����� ATP � �������� ���������� ��� ������ ����� ���� ��� �� ������������� �� ���� ���� ��������� ����� 23 ����������. �����5811.11.23�����"&amp;"� �������-�������� ����� ��������� ������������ ����������������� ����� �� ������������ �������� Dictador ������� �� ����� ������ ������������ ��������� ������������ ������ ������������ �������� Hanson Robotics. ���������� ��� � �������� ���� ����������� "&amp;"������������ ����� ������. �����1211.11.23������ ���������� Starfield ������� ����� ����� �������� �� ����� Bethesda �������������������� ������� ����� Starfield ������ ��� �������� ����������� ������� ������ � �������� ���������� Bethesda ���������� �� �"&amp;"��� ����. � ��� �� �������� �������� ����� ������������ Deus Ex � ���� ��-�������� �����. �����4111.11.23����� �������������� �� ����: Blackview Tab 18 � ������� ������� �������� �� ��������� ����� ����� ���������� ��� ������� �� AliExpress �������� Black"&amp;"view ���������� ����� ���������� ��������� Tab 18 �� ��������� ����. � ���� ������� ����� ������ �������� ����� ������ ����� ����������� ��������� ��-������ � ��������� ���� � ��� ��� �����? �����2511.11.23������ ���������� ������ ������ � ������������ ��"&amp;"������� ������������������� ����������� ��������� (ESA) ����������� ������ ����������� ���������� � ������� ������������ ��������� ��������. �� ��� ����������� ��������� ������ ���������� ��������� IC 342 ������������ ��������� NGC 6822 ������� �������� �"&amp;"�������� NGC 6397 � ���������� ������� ������. �����5611.11.23������ ������ ����� �������� � �������������� ��������� ��������� ������� � ������������ Airloom Energy �� ��������� �������� � ���������� ���������������� ������ ���� ������� ����� ����� �����"&amp;"�� ��������� ��������� �������. � ����� ���������� � ���� ����� ������ Breakthrough Energy Ventures ��� ����������� �� �������� ������� 4 �������� �������� ���. �����3311.11.23NewsWhatsApp ��������� ������������� �� ������ �������� Rockstar ������� ������"&amp;"� GTA VI. ������� �� ���������������� ������ ������� ��������� ���� ����. � ���� �������: Xiaomi 14 Pro iPhone 15 Pro Max � Galaxy S23 Ultra � ���������� �������� ������� WhatsApp � ����� �������� GTA VI. # weekly�����3711.11.23������ ��� ����� ����� ����"&amp;"����� 44-������� �������� ������������������� ������� Lyte Aviation ������� � ����� �������� 44-�������� �������������� �������� � ������������ ������� � ��������. ���� ��������� ��������� � ������������ ��������� � 300 ��/� � ���������� ������ ����� 1000"&amp;" ���������� ��� ���������� ��������� Rotodyne 1950-� �����. ����� ����������18230.10.23�������� ������������-��������� Microsoft ��������� � �������� �������� ������� Windows Phone����� �� ������ Microsoft � �������� �������� ���������� �� Windows �������"&amp;"��� ������� ������ � ������ ������������ ������������� Windows PhoneExperience. � ����� ����� � ������� X �� ������� ��������� �������� ����������� ������� ��������� ��������� � ��������� ��. �����1011.11.23������ ���������� ������ � ��� Microsoft �������"&amp;"��� �������� Game Pass � ������������� ��� ����� ����� �������� � ��������� Microsoft ������ � 2024 ���� ���� �� ������� ����������� � ���������� ������ � Xbox Game Pass Ultimate. �� ����� ������� ����������� � ��� � ���������� ���� �������� �������� ����"&amp;"� �� �������. �����5711.11.23������ ��� Tesla Cybertruck �������� ������������ ���������� ����� [����]�� ��������� ������ �� ���������������� ������ �������� Cybertruck  ����� ��� ����������� ������� ����������� Tesla ��� ������� �� ����� �������������� �"&amp;"����� � ����� ������ ����� � �����-������. ��� ������ ����� ������� ����� �� ��������� ���������� � ������ �����.  # Tesla Cybertruck�����2511.11.23������ ��NASA ������������ � ������ �������������� ����� �������������������� NASA ������������ ��� � �����"&amp;"����������� ���������� �������� ���� ������ ���� ����� ����������� �� ����������� �������� �������. ����� ������� ������ ���������� � ���������� ���� �������� ������ ����������� � ����� ��������� �����. # NASA�����4210.11.23����� ���������Oukitel OT5: ���"&amp;"�� 12 ������ ��������� Helio G99 �� 32 �� ��� � ����� ���������������� �� ������� ������ � ���������� �� ���� �������� ���� ������� ��� ��������� ����� ��� ������ � ��������� � ������ �����. � ��� ������ ��� ������ ����� ������ ������ �����. � ������ �� �"&amp;"��� Oukitel ��������� ������� OT5 � 12-�������� ��������. ������� � ���� ����������� ������������ ����� ������ � ����� �����������.  # Oukitel Oukitel OT5����� ����������242.11.23�������� ���������������� ��������� Redmi ������� ������� ������� HyperOS���"&amp;"������ ���������� ��������������� Redmi �� ������������� ����� ������������ ������� HyperOS. � ������ ������ ���������� ������� ������� ����� �� ����� ����� ��������� ������� ��� �������������� �����. �����21810.11.23����� ��������������: ��� ��� ��������"&amp;"�� �� ������� ��������� ���������?�� ��������� ��������� ��� �������� ��������� ������������ �� ����������������� �������� � ����������� ��������� ��������� ���������. ���������� ��� ������ ������� � ��� ����� � ������������ ���������. �� ��� ��� ��� ����"&amp;"���� ������� ������� � ���� ����� ��� ������ ��������������� ������������� �� �� �������. ���-�� �������� �� �������� �������������� ���������� �� ������������� �������. ������ ������� ��� ������������ ��������� ��� ��� ������� � �������������. ��� ������"&amp;"� �������� �������� �������� ����. ������������ � ���������� � ������������ ��� ����� ��� ���������� �� ������� ��������� ���������? # �����������3110.11.23��������� ���������� ���������. ��������� ������ ��������� DLSS � FSR � Starfield [�����]����� ����"&amp;" Starfield �������-�� ������� � ���� ��������� DLSS 3.5 � � ��� ��������� ������ ����� ���������� � �� ��������� � FSR. ���� ������� �������� NVIDIA �������� ������� �����. �����2010.11.23������ ��������������� #3176: ��������� ����������� Samsung Polesta"&amp;"r Phone � vivo Y79+� ���� ������� ��������: Samsung �������� ��� ������� ������������; Polestar Phone ����� �� ����� �� ������; � ���� ���������� ���������������� �������� vivo Y79+. # Samsung vivo ������� Polestar�����6810.11.23����� ���������Sony PlaySt"&amp;"ation Portal �������� �� Steam Deck [�����]�� ��������� ���� �� ������������ ������ ������ � ���� ������ ���������� ������ ����� � ����������� � ������� ������ ������������ ���������� �� Sony � PlayStation Portal. ��������� �� �������� �������� ������ � �"&amp;"������ ������������ Dualsense �� PlayStation 5 � Steam Deck �� �������� Valve. # Sony Sony PlayStation Portal�����1310.11.23����� �������������� ����-�� �� AyaNeo �������� Nintendo NES � ������ Apple Mac��������� ��������� ������������� ����������� ������"&amp;"��� AyaNeo �������� ����������� ����� ����� ������������ ������������. � ����� ���� ������ ���� ����� ������� ���� �� �� ������ ������� ���� ��� ����������� ������� ������������ Apple � Nintendo.  # AyaNeo�����6110.11.23����� ������������������ � ������ �"&amp;"�������� ����� ������ ����������������� ����� ����� ���������� �� ����������� ����� ������������� ����� ����� �������������� ���������� ��� ������ ���������� �������� ��� ����������. ����� ������� ������ ��������� � ������� ����� ������� �������� �� �����"&amp;"���. # �������� ����������956.11.23��������� ��������Bethesda �������� ������� �� ������� Starfield �� ���� ��������� �������Starfield ����� ��������� �������������� ��� ��������� ��������: ������ ��������� ������ ������� � ���� �� ��� �� � ����� � ������"&amp;"� ����� �������� ������� � �������������� � ������������� ��� �����-���� ������ ����. ������� �� ��� ����� ������ �������� �� ������� ������� �������. �����810.11.23�������� �������EGS ������� ����� Golden Light ��������� � ������������ � Epic Games ���� "&amp;"������������ ������ �� ������ ������� �������� �� ���������� ������������ �� �������� ������� ���������� ��� ����� ���� �������� �������. �� ���� ������ � ������� ������������� Epic Games Store ������ �������� ����� ��������� ��������� �����-������. �����"&amp;"1710.11.23����� ���������������� � �������: ������� ���������� ����������� Ugreen ��������� � ������� ������� ������������� ����������� Ugreen ������� � ����� ������� � ������� ���������� ���������� �� AliExpress. �� ��������� ����� ����� ����� ��������� "&amp;"������� ��������� ���������. �������� ����������� � ���������� ���������� ������� ���������� ������������ ����������� � ���������� � ������������ �������������. # Ugreen�����4610.11.23����� ���������Apple Samsung � Google ������������ ��� �������� �������"&amp;" ��������� ����� ���������������� ��������������� �������� ���� ������������ ����� ������� ����� ����� ������� ������� � �����. ��� Apple Google � Samsung ��������� � ��������������� ����� ������ � ����� ������� Allegion Assa Abloy Qualcomm � NXP ��������"&amp;" � �������� ��������� ��������� ��� �����-������ � �������� ������ Aliro. # Apple Samsung Google�����4210.11.23����� ���������Google ���������� ������� ��� ������������� Android-����������Google �������� �� ���������� � �������� ��� ������������� ��������"&amp;" ����������� ���� ���������� � ��������� �������� Google Play. ������ �������� ������������ ��������� ��������������� �� �������� � ������������ �������� ��� Android. # Google Google Play�����1810.11.23�������� �������������: ��������� Mass Effect ������ "&amp;"�� ������ 2029 ����������� BioWare ������ ���������� ������� ������� ��������� ����� ����������� ����� Mass Effect. ������ ��������� �������� ��� ������ ������ ��� � ��������� ���� �� ��� �� �� ���. �����2010.11.23������� �������������� ����� ��� � ������"&amp;"��� �������� OnePlus Pad Go?������ ������� �� OnePlus �������� � ����� ���������� �����������. ������ ���������� 90-�������� ������� � ����� �����������. ��� ���� ���� ������� ����� �� ��������� � ������������ Pad. �������� ������ ������ �� ��������. # On"&amp;"ePlus OnePlus Pad Go�����4210.11.23����� ����������������� ��������� ������ ������� ������ ��� ������ ����� ���������������� ��� � ��������� ��������� ����� ������ ����������� �� �����-����� � eSIM ������������ ��� �� ����� ��� � �� ���������. �������� ��"&amp;"������ ������ ����� ��� ������ ��������� ����������� ����������� ��� ���������� ���������. # �����������4010.11.23����� �������������� �������� Digma �� ��������� � ��������� ������������� Digma ������������ �� ���������� ����� ����� ������ ������ �������"&amp;"�� ������������ ���������: BT-15 BT-16 BT-17 � BT-18. ��� ������������ ����������� ��� �� Bluetooth ��� � � ������� ������ ��� ��������� �� ������������ � ������� ����������� ���������. # Digma�����1410.11.23�������� ������������� ������������. ������ ���"&amp;"�� Arcane ����� ���� �������� [�����]Riot Games ��� �������� ��� ����� ��� ��������� ��������� League of Legends � ������� ����-����� �������� � ����������� ������ ������ ����� �������� ��������� ������������� ���� ����������� Arcane ������� �������-�� ��"&amp;"����� ���� �������� ������� ������. �����2410.11.23����� ���������FOSSiBOT F101 Pro: ��� ������ �������� ����������� � NFC���������� ������������ ����� FOSSiBOT ����������� ����� ��������� �������� F101 Pro. ����� ��� ���������� � ���������� ������������ "&amp;"����������� ������� ������� ��� ������ � ��������� ������������� ������ �������. � ��� ��� ��� ���� ����� 10 000 ������. # FOSSiBOT FOSSiBOT F101 Pro�����5710.11.23������ ��������Xiaomi Pad 7 Pro ������� ��������� Snapdragon 8 Gen 2�������� Digital Chat S"&amp;"tation ������� ����� ������������� ��� �� ����������� ������������ �������� Xiaomi Pad 7 Pro � ����� ������� ������ ����������� ��� �������� ���� � Snapdragon 8 Gen 2. ������ MySmartPrice �������� ������ ����������� �� ����� ����������. # Xiaomi Xiaomi Pa"&amp;"d 7 Pro�����4110.11.23����� �������������������� ����� Qualcomm ����������� ��� � �� ����������������������� � ������ ���� ���������� ����������� ����� Snapdragon Satellite �� Qualcomm ������ ���� ���������� �� ������ �������� 2023-�� �� ����������� �� Sn"&amp;"apdragon 8 Gen 2. ��� �������� � ����� � ��� ����� ���������� �� ���� Snadragon 8 Gen 3 � � ����������� ����� ������ �� ������. ������ ����� �������� ������� ����� �������.  # Qualcomm�����13910.11.23�������� ���������� �������� ������ ������ �������� ���"&amp;"������� ����������� ������ ��������� TelecomDaily�������� �� ���� �������� ���������� ��������� � ������ ������� ���������������� ��� �� 20% � �������� �� ���� ���������� ���������� ���������. �����2510.11.23�������� ���������Philips ��������� 48-��������"&amp;" ������� ������� � Windows Hello�������� Philips ��������� ����������� ��������� ����� ������� 49B2U5900CH. ������� �������� �������� � ������������ ��������� ����� � ����� ���� ����� ����������� ������� �����������. # Philips�����2110.11.23�������� �����"&amp;"��������������� Chery Luxeed S7 � ������������� ����� �������-������ �� ��������� HUAWEI����������������� Chery�������� ���� ������ ������������ Luxeed S7. ������� �������� � ���������������� ������������� ����� ���������� ����� ������� ����� �������� ���"&amp;"������ �� �� �� HUAWEI. # Chery Chery Luxeed S7�����1310.11.23�������� ��������������� OPPO Reno11 �������� �� ������� � ����������� ����OPPO ��������� ��������� ��������� ���������� Reno �������� ������ OPPO Reno11 � ����� �� Pro-������. � ���������� ���"&amp;"���� ������� ����� �������� ������������ ������ � ������������� ������ ����������� ����������������� ����� �� ������ ��������. # OPPO OPPO Reno11�����810.11.23�������� �������� ������ ����. Sony �������� ��� ����� �������� ���-��������� ��������� ��������"&amp;"��� ������� �������� ��������� ������� ���� ������ ����� �������� ��������� ����-������� ���� �� ������. Sony ������ �� ���������� � ������� � ������������ ���������� ����� �������� ������ ������� �������� ������ �� ��� ���� ������ ��������. �����3310.11."&amp;"23������ ��������Infinix Smart 8 � ������� 90 �� � ������������� ���������� ������� � $102�������� Infinix ����������� ��������� �������� Smart 8. ��� ������������� ����� ���������� ������������� ����� � ������ ��������� ������������ � ������������ ������"&amp;"������ ���������� ����������� ������ � ��������� �������� �������. # Infinix Infinix Smart 8�����3510.11.23������ �������Teclast T40HD: ����� ������ 2K-������� � ���������� �� �������� ����������������� ����� ������������ Android-�������� � ������� ������"&amp;"� � ������� ����������� ������� ������������ � ���������� ������ ��������. ��� ���� �������� ���������� �� ����������� ����� �������: �� 17 ������ Teclast T40HD � ������������ ������� ������ � ������������� �� 7200 ��� ����� ���������� �� ����������� ����"&amp;". # Teclast�����1510.11.23�������� �������� ���������� �����. Call of Duty: Modern Warfare III ���������� ��� DLC�������� Call of Duty ����� ��������� �������� ������ ������ Call of Duty: Modern Warfare III ����� ��� ������� �������� � ���� �� ������ ����"&amp;"� ��� �� ��� �� ��������� ������ �������� �� ���������� � ������� ��������. ��� ������� ������� ������ �� Bloomberg � ����������� ��������� ������ ������� �� ������� ����������� ������� ��������. �����4610.11.23������ ��������Soundcore�Space One � �������"&amp;"� � ANC � 55 ������ ������������. ������� ����� � ������?�������� Anker ����������� �� ���������� ����� ��������� ������������ �������� Soundcore Space One. �� ������� ����������� � �������� �������������� � �� ��������������� ��� ������������ ���������� "&amp;"���� ������� ���������� �����. ����� ���� ������� �������� ��������� ������ LDAC � ����� ������������ ������������ ������������� � ��������� � �������� ������� �������. # Anker Anker Soundcore Space One�����1234567� ��������������� �������������������� ��"&amp;"������������ ��������������� �� ��������������� ������������������������ ���������� ���������������� Cooperation information in EnglishDevDB������� ��������� ���������DevFAQ���� ������ �� ��������� ��������������� �� ����� ������/�������� � ������ �� ����"&amp;"� ����� �������� ����������� � ������� ������� Ctrl+Enter � �������� ��� �� ���� ���������� (������������ � ������������ �� ������������).© 2005-2023 «4PDA».4PDA® - ������������������ �������� ����.������� �������������� ��������������� �� ���������������")</f>
        <v>4PDA����������������������� ������ ��������������������������� ������ ������������������������ ������ ������������DevDB������� ����������� � ��������������� ������ ������������������� �������������� ������ ��������������-������������� ������ ����������������������������������� ��������� ���������������������������� ��������� ����������������� ������������ ��������� ������������������������������ ��������� ���������������������������� ��������� ������������������������� ��������� �������������������������������������������� ������ ��������������������������� ������ ������������������������ ������ ������������DevDB������� ����������� � ��������������� ������ ������������������� �������������� ������ ��������������-������������� ������ ����������������������������������� ��������� ���������������������������� ��������� ����������������� ������������ ��������� ������������������������������ ��������� ���������������������������� ��������� ������������������������� ��������� ���������������������    ���2011.11.23News��������� ���� ������-������: ��� HUAWEI MateBook D16 �������� � ������?����������� ����������� �� �� �������� ���������� ����� ��� ������������. � ��������� �� ����� �� �������� ����������� ����� � ��������� � ����� ���������. � HUAWEI MateBook D16 ���� ��� ����������� ��� ���������� ������ ����� �� �������. ������������ ��� ��������� ��� ������ � �������� ������������ ������������� �������� ����������. # HUAWEI HUAWEI MateBook D16�����2711.11.23������ �������� ������� ������� ����������� �� ���������� �� ����� ���������� �������������� �� ������ ��������� ���� �� ���������� �� ����������� ���� ��������� ������������� ���������� � ����. ������� ������ ����� ����� � 200 ������� ����������� ������� ���������� ���������� ������������� ������ ��������� ����� �������� ������������ ����������� �� ���������. �����&lt;div&gt;&lt;/div&gt;&lt;div&gt;&lt;/div&gt;&lt;div&gt;&lt;/div&gt;&lt;a href='/2023/11/12/5941970/' target='_blank'&gt;&lt;img src='https://4pda.to/s/as6yz0trtkPQebz1ermz2EylMGHkIz0lgV7WHDqKU6O5VrENk8Tc05ciIvOk.jpg'  title=''  /&gt;&lt;/a&gt;&lt;div &gt;&lt;img src='https://4pda.to/s/as6yvl4DoepPz1rrtZNkaja13rwHs.gif'     /&gt;&lt;/div&gt;&lt;div&gt;&lt;/div&gt;&lt;div&gt;&lt;/div&gt;1611.11.23������ �����Xbox �������� ����� 20 ��� ��������� �� ������� � � ��� ���� ������ ��� � 2022-�Microsoft ���������� �������� � ���������� � ������� �������� �� �������� Xbox. � �������� ���������� ���������� ����� ���������� ������� �������� �� ����������. # Microsoft�����2911.11.23������ ���������� ��������� ��������������� ��� ���������������� Blind Spot Gear �� ������ ������� LumiCard � ����� ������� ���������� �� �������� � ������ ���������. ���������� �������� � ���������� �������� ������������ ������� � 500 ����� �������� ������� ��� �������� ���� � ������ �������.  �����6511.11.23������ ������� ������� � ���� ��������� ������� ����� � ����������� LTA Research ������������� ����������� Google ������� ������ ��������� � ������ ���������� ��������� ��������� Pathfinder 1 � ������ �������� � ���� ������������ ��������. � ����� �������� ��������� 1245 ����� � ��� ����������� ��� Boeing-737. ����� �����811.11.23News����� ILIFE T10S: ��� �� � ���� ����� � �� ����� � �� ����������� �� ������� ����������� ����������� �������-��������� �� � ����� ��������� ������ � ������������� ���������� �������. ��� ������ ������������ ������������ ��� ���� ������� ��������������� ������� �������. ��� � ���������� ILIFE T10S. # ����� ILIFE ILIFE T10S�����1111.11.23������ ���������� ������� ���������� ������� ��������� �������� �� ������������������� �� ������������� ������������ ������������ � ������������ ������� ������� �������� ��� ��������� ������������ ������� ��������� ������������. ��� �������� ���������� ������� �������� � ���������� �������� �������������� ���� �� ������� ���� ����� �������� �� ����. �����&lt;div&gt;&lt;/div&gt;&lt;div&gt;&lt;/div&gt;&lt;div&gt;&lt;/div&gt;&lt;a href='/2023/11/12/8196196/' target='_blank'&gt;&lt;img src='https://4pda.to/s/as6yz2pQlot8w5b66uz0WbaVlcz2gBfXZYRHamFXO0knf7BPCQ8hdpD1t3K.jpg'  title=''  /&gt;&lt;/a&gt;&lt;div &gt;&lt;img src='https://4pda.to/s/as6yu42hlyXjD7kQLqbvVMOGid.gif'     /&gt;&lt;/div&gt;&lt;div&gt;&lt;/div&gt;&lt;div&gt;&lt;/div&gt;1511.11.23������ ������������ OTEC ������� ������� ������������ ������������������ ������� Global OTEC ������ � ���� ����� ��������� ���������� �������������� �������� ������� ������ ��� ��������� ��������� ����������. ��� � 2026 ���� ����������� ���������� ��������� ��������� 15 ��� � ������������������ ���-���� � ��������. �����1011.11.23������ ���������� Baldur�s Gate III �������� ���-������� ��� ��������� ���� Paramore [�����]�� ����� ����������� Baldur�s Gate III ������ ����� ������������� � ������ ����������� ����� ������� � ����������� �������. � ���� �� ���������� ��� ������� ��������� � ������� ��������� ��� ������������� �����������. �����1211.11.23������ ����������� �������� ��������� �������� ��������������� �������������� ���������� ����������� � ����������� ���������� ������� ����� � ������� ����� �������� ����������� ������ ��������� �������� MACS0416 ������� ��������� � ���������� ������� ���� ������� ���������. ��� �������� ��������������� ������ ��-�� ���� ��� ��� ��������� � ����������� ���������� ��������� ���������� �����. �����3111.11.23������ �������Ulefone Power Armor 18T Ultra � ������������ � ������������ � ��� �� 9600 ������������� �������� � ��� �� ������ ������� ������� ��� ����������� �� � ������ ���������� ����� ��� ������������ ������ �� ��������� � �������� �������������� ������������. �������� Ulefone ������� ����������� ����� ��� ��������������� ������� ����� Power Armor � �� ���������������� ������� � ������������ ���������������� ����������������. �� 17 ������ �� ����� ���������� �� ����������� ����. # Ulefone Ulefone Power Armor 18T Ultra�����3011.11.23������ ���������� ���������� Samson ������� �������������� � ���� [�����]�������� �������� ���������� Samson Switchblade �������� ���� ������ ����� � ������������� ��������� �����-������ � �����-����. �� ����� �� ������ 150 ������ ������� ������ �������� �������� ����� 6 ����� ����� ���� ������ �����������. �����3311.11.23������ ����������� ���������� �� ����� ������� ���� ����� ��������� ������������� ������� �� ������� ������� Decluttr ������� ������������ ���������� �� ������ ������������ ������� ������������ ���������� �� �������� (NEISS). ���������� ���������� ��� ���������� ������ ��������� � �������������� ������� ���� �������� ������ � ��������� ������ ���������� ����� �� ����� ������� ���������. �����1311.11.23����� ���������KUMI KU6 Meta: ������ �� ���� ������ ������ � NFC ����� ��� �� 2000 ���������������������� �� ������� ������� �������� KUMI ������� ������� � ���������� ���������� �� AliExpress. �� ����� ��������� ���� ����� ���������� ����� ���� KU6 Meta ����������� �������� �� ������ ��������� ������� ����������� ���������� ���������� � ��� � ��� ���� ���������� ������ NFC.  # KUMI KUMI KU6 Meta�����2811.11.23����� ��������������������� OnePlus Watch 2: ��������� ����� ������ � ������ �������������� �������� OnLeaks ����������� ������ ����������� ������� ��������� ����� ����� �� OnePlus. ��� ������� ����������� ������ ����������� ����� ����������� ��������� �� Qualcomm � ��� �������������� ����� ������������ �������.  # OnePlus OnePlus Watch 2�����1611.11.23������ ����������� �� ��: ���������� ������ �� ���� ������ ������ ����� ������� ��� ���� ��������� ����� ������ �������� ��� ������ ������ ������� ����� ���� � ���������� � �������� �� ����������� �� ��������� Warhammer 40000. ���� ������ ������������ � ����� ��� ����� ����� ������ ��������� �� � �������� �� ����������� ������. �����2911.11.23����� ���������Dreame L20 Ultra: ������ ��� ������� �� ���� ����� ���������� ��������� ��� ����� ��� ���������� �������-��������� � ������ ��� ����� ������ �� ���������� ��������� ��� ����������� ��� ���������� ������. �� ������������� �� ����� �� ����� � ��������� ����������� ���-�� �����. �������� Dreame L20 Ultra ����� ����� ������� ����� �� ����� ����������� � ����� ��������� �� �����. � ��� ���������������� ��� ��� ������ �����.  # Dreame�����2511.11.23����� ��������������� �� 40% �� Infinix: ��������� �������� � �������� �� �������� ������������� Infinix ������ �������������� � ���������� ���������� ����������� ������� � �������� ��� �� ����� ��� ���������� ���������. �� ������� �� 40% �������� ����� ���������� ��������� �� ���� �� 7990 ������ �������� � ��������� 8000 ������ � ������������ �������� ����� ��� �� ������ ������. # Infinix�����3211.11.23������ ��Porsche �������� ����� ��������� ���������� ������������������� ����������������� ���������� ������ � ����� ����������� ������� Panamera ������������� � ��������������� �� �������� ��������� ���������� Porsche Driver Experience. �����������  ������ �������� � ����� �������� �������� ����������� ����������� ��������� ���������� � �������� ���������. # Porshe�����2411.11.23����� ���������Kingroon KLP1 � ������������ 3D-������ �� ��������� ���������� ������� 3D-�������� ������ �������� �� � ���������� ��� ������������������� � �������� ����������. �������� � ������� ������ �������� ����� ������� ���� ��������� ������ �� ������ ������ ����� ��� ������ �������� ��� ���� ������������ �������� ������� ������ ��� ������ ������. � ��� �� ������ ��� ������������� � ������� �����. �� ����� ������� ��� 3D-�������� � ���������� � ��� ��� �������� ���������. ����� ������ � ������ Kingroon KLP1 �������������� �� ���������� AliExpress �� ��������� ����.  # Kingroon�����2211.11.23������ ��Microsoft ��������� ����� ����������� ������������ ChatGPT��� ����� ������� � �������� ���� ������� �� ��� ��������� �������� �� ����� �� ������������? ��� ���������� Microsoft ��������� ����� ����������� ������������ ���������� ���-��� ChatGPT � ���������� �������� ��� ��������� ���������������� �������. # Microsoft OpenAI ChatGPT OpenAI����� ����������6330.10.23������ ��������Samsung ����������� ������-������� ����������� Z Flip5�� ������ 20-����� ��������� ����������� Samsung E700 �������� ��������� ����������� ������ ��������� ��������� Z Flip5 � ���������� Retro. ������� �������� � ������������ ��������� ������ ������������� � ������� ��������� ����������� ������� �� ����������� ������. �����1511.11.23������ ���� Rimac Nevera ���������� ����������� ������ ��������������������� �������� Rimac Never� � ��������� ��� �������� ������� ������ � �� ���� ��� �� �������� �������� ������ �����. ������ ��� ���������� �� ����� ATP � �������� ���������� ��� ������ ����� ���� ��� �� ������������� �� ���� ���� ��������� ����� 23 ����������. �����5811.11.23������ �������-�������� ����� ��������� ������������ ����������������� ����� �� ������������ �������� Dictador ������� �� ����� ������ ������������ ��������� ������������ ������ ������������ �������� Hanson Robotics. ���������� ��� � �������� ���� ����������� ������������ ����� ������. �����1211.11.23������ ���������� Starfield ������� ����� ����� �������� �� ����� Bethesda �������������������� ������� ����� Starfield ������ ��� �������� ����������� ������� ������ � �������� ���������� Bethesda ���������� �� ���� ����. � ��� �� �������� �������� ����� ������������ Deus Ex � ���� ��-�������� �����. �����4111.11.23����� �������������� �� ����: Blackview Tab 18 � ������� ������� �������� �� ��������� ����� ����� ���������� ��� ������� �� AliExpress �������� Blackview ���������� ����� ���������� ��������� Tab 18 �� ��������� ����. � ���� ������� ����� ������ �������� ����� ������ ����� ����������� ��������� ��-������ � ��������� ���� � ��� ��� �����? �����2511.11.23������ ���������� ������ ������ � ������������ ��������� ������������������� ����������� ��������� (ESA) ����������� ������ ����������� ���������� � ������� ������������ ��������� ��������. �� ��� ����������� ��������� ������ ���������� ��������� IC 342 ������������ ��������� NGC 6822 ������� �������� ��������� NGC 6397 � ���������� ������� ������. �����5611.11.23������ ������ ����� �������� � �������������� ��������� ��������� ������� � ������������ Airloom Energy �� ��������� �������� � ���������� ���������������� ������ ���� ������� ����� ����� ������� ��������� ��������� �������. � ����� ���������� � ���� ����� ������ Breakthrough Energy Ventures ��� ����������� �� �������� ������� 4 �������� �������� ���. �����3311.11.23NewsWhatsApp ��������� ������������� �� ������ �������� Rockstar ������� ������� GTA VI. ������� �� ���������������� ������ ������� ��������� ���� ����. � ���� �������: Xiaomi 14 Pro iPhone 15 Pro Max � Galaxy S23 Ultra � ���������� �������� ������� WhatsApp � ����� �������� GTA VI. # weekly�����3711.11.23������ ��� ����� ����� ��������� 44-������� �������� ������������������� ������� Lyte Aviation ������� � ����� �������� 44-�������� �������������� �������� � ������������ ������� � ��������. ���� ��������� ��������� � ������������ ��������� � 300 ��/� � ���������� ������ ����� 1000 ���������� ��� ���������� ��������� Rotodyne 1950-� �����. ����� ����������18230.10.23�������� ������������-��������� Microsoft ��������� � �������� �������� ������� Windows Phone����� �� ������ Microsoft � �������� �������� ���������� �� Windows ���������� ������� ������ � ������ ������������ ������������� Windows PhoneExperience. � ����� ����� � ������� X �� ������� ��������� �������� ����������� ������� ��������� ��������� � ��������� ��. �����1011.11.23������ ���������� ������ � ��� Microsoft ���������� �������� Game Pass � ������������� ��� ����� ����� �������� � ��������� Microsoft ������ � 2024 ���� ���� �� ������� ����������� � ���������� ������ � Xbox Game Pass Ultimate. �� ����� ������� ����������� � ��� � ���������� ���� �������� �������� ����� �� �������. �����5711.11.23������ ��� Tesla Cybertruck �������� ������������ ���������� ����� [����]�� ��������� ������ �� ���������������� ������ �������� Cybertruck  ����� ��� ����������� ������� ����������� Tesla ��� ������� �� ����� �������������� ������ � ����� ������ ����� � �����-������. ��� ������ ����� ������� ����� �� ��������� ���������� � ������ �����.  # Tesla Cybertruck�����2511.11.23������ ��NASA ������������ � ������ �������������� ����� �������������������� NASA ������������ ��� � ���������������� ���������� �������� ���� ������ ���� ����� ����������� �� ����������� �������� �������. ����� ������� ������ ���������� � ���������� ���� �������� ������ ����������� � ����� ��������� �����. # NASA�����4210.11.23����� ���������Oukitel OT5: ����� 12 ������ ��������� Helio G99 �� 32 �� ��� � ����� ���������������� �� ������� ������ � ���������� �� ���� �������� ���� ������� ��� ��������� ����� ��� ������ � ��������� � ������ �����. � ��� ������ ��� ������ ����� ������ ������ �����. � ������ �� ���� Oukitel ��������� ������� OT5 � 12-�������� ��������. ������� � ���� ����������� ������������ ����� ������ � ����� �����������.  # Oukitel Oukitel OT5����� ����������242.11.23�������� ���������������� ��������� Redmi ������� ������� ������� HyperOS��������� ���������� ��������������� Redmi �� ������������� ����� ������������ ������� HyperOS. � ������ ������ ���������� ������� ������� ����� �� ����� ����� ��������� ������� ��� �������������� �����. �����21810.11.23����� ��������������: ��� ��� ���������� �� ������� ��������� ���������?�� ��������� ��������� ��� �������� ��������� ������������ �� ����������������� �������� � ����������� ��������� ��������� ���������. ���������� ��� ������ ������� � ��� ����� � ������������ ���������. �� ��� ��� ��� �������� ������� ������� � ���� ����� ��� ������ ��������������� ������������� �� �� �������. ���-�� �������� �� �������� �������������� ���������� �� ������������� �������. ������ ������� ��� ������������ ��������� ��� ��� ������� � �������������. ��� ������� �������� �������� �������� ����. ������������ � ���������� � ������������ ��� ����� ��� ���������� �� ������� ��������� ���������? # �����������3110.11.23��������� ���������� ���������. ��������� ������ ��������� DLSS � FSR � Starfield [�����]����� ���� Starfield �������-�� ������� � ���� ��������� DLSS 3.5 � � ��� ��������� ������ ����� ���������� � �� ��������� � FSR. ���� ������� �������� NVIDIA �������� ������� �����. �����2010.11.23������ ��������������� #3176: ��������� ����������� Samsung Polestar Phone � vivo Y79+� ���� ������� ��������: Samsung �������� ��� ������� ������������; Polestar Phone ����� �� ����� �� ������; � ���� ���������� ���������������� �������� vivo Y79+. # Samsung vivo ������� Polestar�����6810.11.23����� ���������Sony PlayStation Portal �������� �� Steam Deck [�����]�� ��������� ���� �� ������������ ������ ������ � ���� ������ ���������� ������ ����� � ����������� � ������� ������ ������������ ���������� �� Sony � PlayStation Portal. ��������� �� �������� �������� ������ � ������� ������������ Dualsense �� PlayStation 5 � Steam Deck �� �������� Valve. # Sony Sony PlayStation Portal�����1310.11.23����� �������������� ����-�� �� AyaNeo �������� Nintendo NES � ������ Apple Mac��������� ��������� ������������� ����������� ��������� AyaNeo �������� ����������� ����� ����� ������������ ������������. � ����� ���� ������ ���� ����� ������� ���� �� �� ������ ������� ���� ��� ����������� ������� ������������ Apple � Nintendo.  # AyaNeo�����6110.11.23����� ������������������ � ������ ��������� ����� ������ ����������������� ����� ����� ���������� �� ����������� ����� ������������� ����� ����� �������������� ���������� ��� ������ ���������� �������� ��� ����������. ����� ������� ������ ��������� � ������� ����� ������� �������� �� ��������. # �������� ����������956.11.23��������� ��������Bethesda �������� ������� �� ������� Starfield �� ���� ��������� �������Starfield ����� ��������� �������������� ��� ��������� ��������: ������ ��������� ������ ������� � ���� �� ��� �� � ����� � ������� ����� �������� ������� � �������������� � ������������� ��� �����-���� ������ ����. ������� �� ��� ����� ������ �������� �� ������� ������� �������. �����810.11.23�������� �������EGS ������� ����� Golden Light ��������� � ������������ � Epic Games ���� ������������ ������ �� ������ ������� �������� �� ���������� ������������ �� �������� ������� ���������� ��� ����� ���� �������� �������. �� ���� ������ � ������� ������������� Epic Games Store ������ �������� ����� ��������� ��������� �����-������. �����1710.11.23����� ���������������� � �������: ������� ���������� ����������� Ugreen ��������� � ������� ������� ������������� ����������� Ugreen ������� � ����� ������� � ������� ���������� ���������� �� AliExpress. �� ��������� ����� ����� ����� ��������� ������� ��������� ���������. �������� ����������� � ���������� ���������� ������� ���������� ������������ ����������� � ���������� � ������������ �������������. # Ugreen�����4610.11.23����� ���������Apple Samsung � Google ������������ ��� �������� ������� ��������� ����� ���������������� ��������������� �������� ���� ������������ ����� ������� ����� ����� ������� ������� � �����. ��� Apple Google � Samsung ��������� � ��������������� ����� ������ � ����� ������� Allegion Assa Abloy Qualcomm � NXP �������� � �������� ��������� ��������� ��� �����-������ � �������� ������ Aliro. # Apple Samsung Google�����4210.11.23����� ���������Google ���������� ������� ��� ������������� Android-����������Google �������� �� ���������� � �������� ��� ������������� �������� ����������� ���� ���������� � ��������� �������� Google Play. ������ �������� ������������ ��������� ��������������� �� �������� � ������������ �������� ��� Android. # Google Google Play�����1810.11.23�������� �������������: ��������� Mass Effect ������ �� ������ 2029 ����������� BioWare ������ ���������� ������� ������� ��������� ����� ����������� ����� Mass Effect. ������ ��������� �������� ��� ������ ������ ��� � ��������� ���� �� ��� �� �� ���. �����2010.11.23������� �������������� ����� ��� � ��������� �������� OnePlus Pad Go?������ ������� �� OnePlus �������� � ����� ���������� �����������. ������ ���������� 90-�������� ������� � ����� �����������. ��� ���� ���� ������� ����� �� ��������� � ������������ Pad. �������� ������ ������ �� ��������. # OnePlus OnePlus Pad Go�����4210.11.23����� ����������������� ��������� ������ ������� ������ ��� ������ ����� ���������������� ��� � ��������� ��������� ����� ������ ����������� �� �����-����� � eSIM ������������ ��� �� ����� ��� � �� ���������. �������� �������� ������ ����� ��� ������ ��������� ����������� ����������� ��� ���������� ���������. # �����������4010.11.23����� �������������� �������� Digma �� ��������� � ��������� ������������� Digma ������������ �� ���������� ����� ����� ������ ������ ��������� ������������ ���������: BT-15 BT-16 BT-17 � BT-18. ��� ������������ ����������� ��� �� Bluetooth ��� � � ������� ������ ��� ��������� �� ������������ � ������� ����������� ���������. # Digma�����1410.11.23�������� ������������� ������������. ������ ����� Arcane ����� ���� �������� [�����]Riot Games ��� �������� ��� ����� ��� ��������� ��������� League of Legends � ������� ����-����� �������� � ����������� ������ ������ ����� �������� ��������� ������������� ���� ����������� Arcane ������� �������-�� ������� ���� �������� ������� ������. �����2410.11.23����� ���������FOSSiBOT F101 Pro: ��� ������ �������� ����������� � NFC���������� ������������ ����� FOSSiBOT ����������� ����� ��������� �������� F101 Pro. ����� ��� ���������� � ���������� ������������ ����������� ������� ������� ��� ������ � ��������� ������������� ������ �������. � ��� ��� ��� ���� ����� 10 000 ������. # FOSSiBOT FOSSiBOT F101 Pro�����5710.11.23������ ��������Xiaomi Pad 7 Pro ������� ��������� Snapdragon 8 Gen 2�������� Digital Chat Station ������� ����� ������������� ��� �� ����������� ������������ �������� Xiaomi Pad 7 Pro � ����� ������� ������ ����������� ��� �������� ���� � Snapdragon 8 Gen 2. ������ MySmartPrice �������� ������ ����������� �� ����� ����������. # Xiaomi Xiaomi Pad 7 Pro�����4110.11.23����� �������������������� ����� Qualcomm ����������� ��� � �� ����������������������� � ������ ���� ���������� ����������� ����� Snapdragon Satellite �� Qualcomm ������ ���� ���������� �� ������ �������� 2023-�� �� ����������� �� Snapdragon 8 Gen 2. ��� �������� � ����� � ��� ����� ���������� �� ���� Snadragon 8 Gen 3 � � ����������� ����� ������ �� ������. ������ ����� �������� ������� ����� �������.  # Qualcomm�����13910.11.23�������� ���������� �������� ������ ������ �������� ���������� ����������� ������ ��������� TelecomDaily�������� �� ���� �������� ���������� ��������� � ������ ������� ���������������� ��� �� 20% � �������� �� ���� ���������� ���������� ���������. �����2510.11.23�������� ���������Philips ��������� 48-�������� ������� ������� � Windows Hello�������� Philips ��������� ����������� ��������� ����� ������� 49B2U5900CH. ������� �������� �������� � ������������ ��������� ����� � ����� ���� ����� ����������� ������� �����������. # Philips�����2110.11.23�������� �������������������� Chery Luxeed S7 � ������������� ����� �������-������ �� ��������� HUAWEI����������������� Chery�������� ���� ������ ������������ Luxeed S7. ������� �������� � ���������������� ������������� ����� ���������� ����� ������� ����� �������� ��������� �� �� �� HUAWEI. # Chery Chery Luxeed S7�����1310.11.23�������� ��������������� OPPO Reno11 �������� �� ������� � ����������� ����OPPO ��������� ��������� ��������� ���������� Reno �������� ������ OPPO Reno11 � ����� �� Pro-������. � ���������� ������� ������� ����� �������� ������������ ������ � ������������� ������ ����������� ����������������� ����� �� ������ ��������. # OPPO OPPO Reno11�����810.11.23�������� �������� ������ ����. Sony �������� ��� ����� �������� ���-��������� ��������� ����������� ������� �������� ��������� ������� ���� ������ ����� �������� ��������� ����-������� ���� �� ������. Sony ������ �� ���������� � ������� � ������������ ���������� ����� �������� ������ ������� �������� ������ �� ��� ���� ������ ��������. �����3310.11.23������ ��������Infinix Smart 8 � ������� 90 �� � ������������� ���������� ������� � $102�������� Infinix ����������� ��������� �������� Smart 8. ��� ������������� ����� ���������� ������������� ����� � ������ ��������� ������������ � ������������ ������������ ���������� ����������� ������ � ��������� �������� �������. # Infinix Infinix Smart 8�����3510.11.23������ �������Teclast T40HD: ����� ������ 2K-������� � ���������� �� �������� ����������������� ����� ������������ Android-�������� � ������� ������� � ������� ����������� ������� ������������ � ���������� ������ ��������. ��� ���� �������� ���������� �� ����������� ����� �������: �� 17 ������ Teclast T40HD � ������������ ������� ������ � ������������� �� 7200 ��� ����� ���������� �� ����������� ����. # Teclast�����1510.11.23�������� �������� ���������� �����. Call of Duty: Modern Warfare III ���������� ��� DLC�������� Call of Duty ����� ��������� �������� ������ ������ Call of Duty: Modern Warfare III ����� ��� ������� �������� � ���� �� ������ ����� ��� �� ��� �� ��������� ������ �������� �� ���������� � ������� ��������. ��� ������� ������� ������ �� Bloomberg � ����������� ��������� ������ ������� �� ������� ����������� ������� ��������. �����4610.11.23������ ��������Soundcore�Space One � �������� � ANC � 55 ������ ������������. ������� ����� � ������?�������� Anker ����������� �� ���������� ����� ��������� ������������ �������� Soundcore Space One. �� ������� ����������� � �������� �������������� � �� ��������������� ��� ������������ ���������� ���� ������� ���������� �����. ����� ���� ������� �������� ��������� ������ LDAC � ����� ������������ ������������ ������������� � ��������� � �������� ������� �������. # Anker Anker Soundcore Space One�����1234567� ��������������� �������������������� �������������� ��������������� �� ��������������� ������������������������ ���������� ���������������� Cooperation information in EnglishDevDB������� ��������� ���������DevFAQ���� ������ �� ��������� ��������������� �� ����� ������/�������� � ������ �� ����� ����� �������� ����������� � ������� ������� Ctrl+Enter � �������� ��� �� ���� ���������� (������������ � ������������ �� ������������).© 2005-2023 «4PDA».4PDA® - ������������������ �������� ����.������� �������������� ��������������� �� ���������������</v>
      </c>
    </row>
    <row r="237">
      <c r="A237" s="1" t="s">
        <v>712</v>
      </c>
      <c r="B237" s="1" t="s">
        <v>753</v>
      </c>
      <c r="D237" s="1">
        <v>2.0</v>
      </c>
      <c r="E237" s="4" t="s">
        <v>754</v>
      </c>
      <c r="F237" s="1" t="s">
        <v>43</v>
      </c>
      <c r="G237" s="1" t="s">
        <v>302</v>
      </c>
      <c r="H237" s="4" t="s">
        <v>303</v>
      </c>
      <c r="I237" s="2">
        <v>3.0</v>
      </c>
      <c r="J237" s="5" t="str">
        <f>IFERROR(__xludf.DUMMYFUNCTION("GOOGLETRANSLATE(A237)"),"in contact with")</f>
        <v>in contact with</v>
      </c>
      <c r="K237" s="6" t="str">
        <f>IFERROR(__xludf.DUMMYFUNCTION("GOOGLETRANSLATE(B237)"),"Business promotion in VKontakte. Systems approach")</f>
        <v>Business promotion in VKontakte. Systems approach</v>
      </c>
      <c r="M237" s="5" t="str">
        <f>IFERROR(__xludf.DUMMYFUNCTION("GOOGLETRANSLATE(G237)"),"Google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38">
      <c r="A238" s="1" t="s">
        <v>712</v>
      </c>
      <c r="B238" s="1" t="s">
        <v>755</v>
      </c>
      <c r="D238" s="1">
        <v>3.0</v>
      </c>
      <c r="E238" s="4" t="s">
        <v>756</v>
      </c>
      <c r="F238" s="1" t="s">
        <v>43</v>
      </c>
      <c r="G238" s="1" t="s">
        <v>302</v>
      </c>
      <c r="H238" s="4" t="s">
        <v>303</v>
      </c>
      <c r="I238" s="2">
        <v>1.0</v>
      </c>
      <c r="J238" s="5" t="str">
        <f>IFERROR(__xludf.DUMMYFUNCTION("GOOGLETRANSLATE(A238)"),"in contact with")</f>
        <v>in contact with</v>
      </c>
      <c r="K238" s="6" t="str">
        <f>IFERROR(__xludf.DUMMYFUNCTION("GOOGLETRANSLATE(B238)"),"Social networks: VKontakte, Facebook and others ...")</f>
        <v>Social networks: VKontakte, Facebook and others ...</v>
      </c>
      <c r="M238" s="5" t="str">
        <f>IFERROR(__xludf.DUMMYFUNCTION("GOOGLETRANSLATE(G238)"),"Google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39">
      <c r="A239" s="1" t="s">
        <v>712</v>
      </c>
      <c r="B239" s="1" t="s">
        <v>733</v>
      </c>
      <c r="D239" s="1">
        <v>4.0</v>
      </c>
      <c r="E239" s="4" t="s">
        <v>757</v>
      </c>
      <c r="F239" s="1" t="s">
        <v>43</v>
      </c>
      <c r="G239" s="1" t="s">
        <v>302</v>
      </c>
      <c r="H239" s="4" t="s">
        <v>303</v>
      </c>
      <c r="I239" s="2">
        <v>0.0</v>
      </c>
      <c r="J239" s="5" t="str">
        <f>IFERROR(__xludf.DUMMYFUNCTION("GOOGLETRANSLATE(A239)"),"in contact with")</f>
        <v>in contact with</v>
      </c>
      <c r="K239" s="6" t="str">
        <f>IFERROR(__xludf.DUMMYFUNCTION("GOOGLETRANSLATE(B239)"),"VKontakte group - teacher's working tool")</f>
        <v>VKontakte group - teacher's working tool</v>
      </c>
      <c r="M239" s="5" t="str">
        <f>IFERROR(__xludf.DUMMYFUNCTION("GOOGLETRANSLATE(G239)"),"Google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0">
      <c r="A240" s="1" t="s">
        <v>712</v>
      </c>
      <c r="B240" s="1" t="s">
        <v>758</v>
      </c>
      <c r="D240" s="1">
        <v>5.0</v>
      </c>
      <c r="E240" s="4" t="s">
        <v>759</v>
      </c>
      <c r="F240" s="1" t="s">
        <v>43</v>
      </c>
      <c r="G240" s="1" t="s">
        <v>302</v>
      </c>
      <c r="H240" s="4" t="s">
        <v>303</v>
      </c>
      <c r="I240" s="2">
        <v>1.0</v>
      </c>
      <c r="J240" s="5" t="str">
        <f>IFERROR(__xludf.DUMMYFUNCTION("GOOGLETRANSLATE(A240)"),"in contact with")</f>
        <v>in contact with</v>
      </c>
      <c r="K240" s="6" t="str">
        <f>IFERROR(__xludf.DUMMYFUNCTION("GOOGLETRANSLATE(B240)"),"Durov code. The real story of VKontakte and its creator")</f>
        <v>Durov code. The real story of VKontakte and its creator</v>
      </c>
      <c r="M240" s="5" t="str">
        <f>IFERROR(__xludf.DUMMYFUNCTION("GOOGLETRANSLATE(G240)"),"Google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1">
      <c r="A241" s="1" t="s">
        <v>712</v>
      </c>
      <c r="B241" s="1" t="s">
        <v>760</v>
      </c>
      <c r="D241" s="1">
        <v>6.0</v>
      </c>
      <c r="E241" s="4" t="s">
        <v>761</v>
      </c>
      <c r="F241" s="1" t="s">
        <v>43</v>
      </c>
      <c r="G241" s="1" t="s">
        <v>302</v>
      </c>
      <c r="H241" s="4" t="s">
        <v>303</v>
      </c>
      <c r="I241" s="2">
        <v>1.0</v>
      </c>
      <c r="J241" s="5" t="str">
        <f>IFERROR(__xludf.DUMMYFUNCTION("GOOGLETRANSLATE(A241)"),"in contact with")</f>
        <v>in contact with</v>
      </c>
      <c r="K241" s="6" t="str">
        <f>IFERROR(__xludf.DUMMYFUNCTION("GOOGLETRANSLATE(B241)"),"Promotion in telegram, VKontakte and not only. 27 ...")</f>
        <v>Promotion in telegram, VKontakte and not only. 27 ...</v>
      </c>
      <c r="M241" s="5" t="str">
        <f>IFERROR(__xludf.DUMMYFUNCTION("GOOGLETRANSLATE(G241)"),"Google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2">
      <c r="A242" s="1" t="s">
        <v>712</v>
      </c>
      <c r="B242" s="1" t="s">
        <v>666</v>
      </c>
      <c r="C242" s="1" t="s">
        <v>762</v>
      </c>
      <c r="D242" s="1">
        <v>9.0</v>
      </c>
      <c r="E242" s="4" t="s">
        <v>668</v>
      </c>
      <c r="F242" s="1" t="s">
        <v>43</v>
      </c>
      <c r="G242" s="1" t="s">
        <v>120</v>
      </c>
      <c r="H242" s="4" t="s">
        <v>121</v>
      </c>
      <c r="I242" s="2">
        <v>0.0</v>
      </c>
      <c r="J242" s="5" t="str">
        <f>IFERROR(__xludf.DUMMYFUNCTION("GOOGLETRANSLATE(A242)"),"in contact with")</f>
        <v>in contact with</v>
      </c>
      <c r="K242" s="6" t="str">
        <f>IFERROR(__xludf.DUMMYFUNCTION("GOOGLETRANSLATE(B242)"),"VK: music, video, messenger - Apps on Google Play")</f>
        <v>VK: music, video, messenger - Apps on Google Play</v>
      </c>
      <c r="L242" s="5" t="str">
        <f>IFERROR(__xludf.DUMMYFUNCTION("GOOGLETRANSLATE(C242)"),"VKontakte unites tens of millions of people by offering unlimited features for communication, entertainment, business and sharing news from anywhere around ...")</f>
        <v>VKontakte unites tens of millions of people by offering unlimited features for communication, entertainment, business and sharing news from anywhere around ...</v>
      </c>
      <c r="M242" s="5" t="str">
        <f>IFERROR(__xludf.DUMMYFUNCTION("GOOGLETRANSLATE(G242)"),"Android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43">
      <c r="A243" s="1" t="s">
        <v>712</v>
      </c>
      <c r="B243" s="1" t="s">
        <v>669</v>
      </c>
      <c r="C243" s="1" t="s">
        <v>763</v>
      </c>
      <c r="D243" s="1">
        <v>10.0</v>
      </c>
      <c r="E243" s="4" t="s">
        <v>670</v>
      </c>
      <c r="F243" s="1" t="s">
        <v>43</v>
      </c>
      <c r="G243" s="1" t="s">
        <v>97</v>
      </c>
      <c r="H243" s="4" t="s">
        <v>98</v>
      </c>
      <c r="I243" s="2">
        <v>0.0</v>
      </c>
      <c r="J243" s="5" t="str">
        <f>IFERROR(__xludf.DUMMYFUNCTION("GOOGLETRANSLATE(A243)"),"in contact with")</f>
        <v>in contact with</v>
      </c>
      <c r="K243" s="6" t="str">
        <f>IFERROR(__xludf.DUMMYFUNCTION("GOOGLETRANSLATE(B243)"),"VK: social network, messenger on the App Store")</f>
        <v>VK: social network, messenger on the App Store</v>
      </c>
      <c r="L243" s="5" t="str">
        <f>IFERROR(__xludf.DUMMYFUNCTION("GOOGLETRANSLATE(C243)"),"VKontakte unites tens of millions of people by offering unlimited features for communication, dating, entertainment, business and sharing news from anywhere ...")</f>
        <v>VKontakte unites tens of millions of people by offering unlimited features for communication, dating, entertainment, business and sharing news from anywhere ...</v>
      </c>
      <c r="M243" s="5" t="str">
        <f>IFERROR(__xludf.DUMMYFUNCTION("GOOGLETRANSLATE(G243)"),"App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44">
      <c r="A244" s="1" t="s">
        <v>712</v>
      </c>
      <c r="B244" s="1" t="s">
        <v>671</v>
      </c>
      <c r="C244" s="1" t="s">
        <v>764</v>
      </c>
      <c r="D244" s="1">
        <v>13.0</v>
      </c>
      <c r="E244" s="4" t="s">
        <v>673</v>
      </c>
      <c r="F244" s="1" t="s">
        <v>43</v>
      </c>
      <c r="G244" s="1" t="s">
        <v>27</v>
      </c>
      <c r="H244" s="4" t="s">
        <v>28</v>
      </c>
      <c r="I244" s="2">
        <v>1.0</v>
      </c>
      <c r="J244" s="5" t="str">
        <f>IFERROR(__xludf.DUMMYFUNCTION("GOOGLETRANSLATE(A244)"),"in contact with")</f>
        <v>in contact with</v>
      </c>
      <c r="K244" s="6" t="str">
        <f>IFERROR(__xludf.DUMMYFUNCTION("GOOGLETRANSLATE(B244)"),"VK (service)")</f>
        <v>VK (service)</v>
      </c>
      <c r="L244" s="5" t="str">
        <f>IFERROR(__xludf.DUMMYFUNCTION("GOOGLETRANSLATE(C244)"),"VK (short for its original name VKontakte; Russian: ВКонтакте, meaning InContact) is a Russian online social media and social networking service based in Saint ...")</f>
        <v>VK (short for its original name VKontakte; Russian: ВКонтакте, meaning InContact) is a Russian online social media and social networking service based in Saint ...</v>
      </c>
      <c r="M244" s="5" t="str">
        <f>IFERROR(__xludf.DUMMYFUNCTION("GOOGLETRANSLATE(G244)"),"Wikipedia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245">
      <c r="A245" s="1" t="s">
        <v>712</v>
      </c>
      <c r="B245" s="1" t="s">
        <v>597</v>
      </c>
      <c r="C245" s="1" t="s">
        <v>765</v>
      </c>
      <c r="D245" s="1">
        <v>14.0</v>
      </c>
      <c r="E245" s="4" t="s">
        <v>766</v>
      </c>
      <c r="F245" s="1" t="s">
        <v>43</v>
      </c>
      <c r="G245" s="1" t="s">
        <v>273</v>
      </c>
      <c r="H245" s="4" t="s">
        <v>476</v>
      </c>
      <c r="I245" s="2">
        <v>2.0</v>
      </c>
      <c r="J245" s="5" t="str">
        <f>IFERROR(__xludf.DUMMYFUNCTION("GOOGLETRANSLATE(A245)"),"in contact with")</f>
        <v>in contact with</v>
      </c>
      <c r="K245" s="6" t="str">
        <f>IFERROR(__xludf.DUMMYFUNCTION("GOOGLETRANSLATE(B245)"),"In contact with")</f>
        <v>In contact with</v>
      </c>
      <c r="L245" s="5" t="str">
        <f>IFERROR(__xludf.DUMMYFUNCTION("GOOGLETRANSLATE(C245)"),"VKontakte is the most popular social network in Russia and the CIS countries. We provide an unlimited content of content of any formats and an open platform for ...")</f>
        <v>VKontakte is the most popular social network in Russia and the CIS countries. We provide an unlimited content of content of any formats and an open platform for ...</v>
      </c>
      <c r="M245" s="5" t="str">
        <f>IFERROR(__xludf.DUMMYFUNCTION("GOOGLETRANSLATE(G245)"),"Update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246">
      <c r="A246" s="1" t="s">
        <v>712</v>
      </c>
      <c r="B246" s="1" t="s">
        <v>767</v>
      </c>
      <c r="C246" s="1" t="s">
        <v>768</v>
      </c>
      <c r="D246" s="1">
        <v>17.0</v>
      </c>
      <c r="E246" s="4" t="s">
        <v>769</v>
      </c>
      <c r="F246" s="1" t="s">
        <v>43</v>
      </c>
      <c r="I246" s="2">
        <v>2.0</v>
      </c>
      <c r="J246" s="5" t="str">
        <f>IFERROR(__xludf.DUMMYFUNCTION("GOOGLETRANSLATE(A246)"),"in contact with")</f>
        <v>in contact with</v>
      </c>
      <c r="K246" s="6" t="str">
        <f>IFERROR(__xludf.DUMMYFUNCTION("GOOGLETRANSLATE(B246)"),"VK - Crunchbase Company Profile &amp; Funding")</f>
        <v>VK - Crunchbase Company Profile &amp; Funding</v>
      </c>
      <c r="L246" s="5" t="str">
        <f>IFERROR(__xludf.DUMMYFUNCTION("GOOGLETRANSLATE(C246)"),"VK, formerly known as Vkontakte.ru, originated in Russia in 2006 and now dominates the post-soviet social networking space.")</f>
        <v>VK, formerly known as Vkontakte.ru, originated in Russia in 2006 and now dominates the post-soviet social networking space.</v>
      </c>
      <c r="M246" s="5" t="str">
        <f>IFERROR(__xludf.DUMMYFUNCTION("GOOGLETRANSLATE(G246)"),"#VALUE!")</f>
        <v>#VALUE!</v>
      </c>
    </row>
    <row r="247">
      <c r="A247" s="1" t="s">
        <v>712</v>
      </c>
      <c r="B247" s="1" t="s">
        <v>770</v>
      </c>
      <c r="D247" s="1">
        <v>20.0</v>
      </c>
      <c r="E247" s="4" t="s">
        <v>771</v>
      </c>
      <c r="F247" s="1" t="s">
        <v>43</v>
      </c>
      <c r="G247" s="1" t="s">
        <v>302</v>
      </c>
      <c r="H247" s="4" t="s">
        <v>303</v>
      </c>
      <c r="I247" s="2">
        <v>3.0</v>
      </c>
      <c r="J247" s="5" t="str">
        <f>IFERROR(__xludf.DUMMYFUNCTION("GOOGLETRANSLATE(A247)"),"in contact with")</f>
        <v>in contact with</v>
      </c>
      <c r="K247" s="6" t="str">
        <f>IFERROR(__xludf.DUMMYFUNCTION("GOOGLETRANSLATE(B247)"),"Your business in VKontakte. How to involve 100 customers per day")</f>
        <v>Your business in VKontakte. How to involve 100 customers per day</v>
      </c>
      <c r="M247" s="5" t="str">
        <f>IFERROR(__xludf.DUMMYFUNCTION("GOOGLETRANSLATE(G247)"),"Google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8">
      <c r="A248" s="1" t="s">
        <v>712</v>
      </c>
      <c r="B248" s="1" t="s">
        <v>755</v>
      </c>
      <c r="D248" s="1">
        <v>21.0</v>
      </c>
      <c r="E248" s="4" t="s">
        <v>772</v>
      </c>
      <c r="F248" s="1" t="s">
        <v>43</v>
      </c>
      <c r="G248" s="1" t="s">
        <v>302</v>
      </c>
      <c r="H248" s="4" t="s">
        <v>303</v>
      </c>
      <c r="I248" s="2">
        <v>3.0</v>
      </c>
      <c r="J248" s="5" t="str">
        <f>IFERROR(__xludf.DUMMYFUNCTION("GOOGLETRANSLATE(A248)"),"in contact with")</f>
        <v>in contact with</v>
      </c>
      <c r="K248" s="6" t="str">
        <f>IFERROR(__xludf.DUMMYFUNCTION("GOOGLETRANSLATE(B248)"),"Social networks: VKontakte, Facebook and others ...")</f>
        <v>Social networks: VKontakte, Facebook and others ...</v>
      </c>
      <c r="M248" s="5" t="str">
        <f>IFERROR(__xludf.DUMMYFUNCTION("GOOGLETRANSLATE(G248)"),"Google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49">
      <c r="A249" s="1" t="s">
        <v>712</v>
      </c>
      <c r="B249" s="1" t="s">
        <v>773</v>
      </c>
      <c r="D249" s="1">
        <v>22.0</v>
      </c>
      <c r="E249" s="4" t="s">
        <v>774</v>
      </c>
      <c r="F249" s="1" t="s">
        <v>43</v>
      </c>
      <c r="G249" s="1" t="s">
        <v>302</v>
      </c>
      <c r="H249" s="4" t="s">
        <v>303</v>
      </c>
      <c r="I249" s="2">
        <v>3.0</v>
      </c>
      <c r="J249" s="5" t="str">
        <f>IFERROR(__xludf.DUMMYFUNCTION("GOOGLETRANSLATE(A249)"),"in contact with")</f>
        <v>in contact with</v>
      </c>
      <c r="K249" s="6" t="str">
        <f>IFERROR(__xludf.DUMMYFUNCTION("GOOGLETRANSLATE(B249)"),"13 secrets of high coverage of VKontakte - the result from Google Books")</f>
        <v>13 secrets of high coverage of VKontakte - the result from Google Books</v>
      </c>
      <c r="M249" s="5" t="str">
        <f>IFERROR(__xludf.DUMMYFUNCTION("GOOGLETRANSLATE(G249)"),"Google BooksSearchImagesMapsPlayYouTubeNewsGmailDriveMoreCalendarTranslateMobileBooksShoppingBloggerFinancePhotosDocsEven more »Account OptionsSign inBooksSearch the world's most comprehensive index of full-text books.My libraryPublishersAboutPrivacyTerms"&amp;"Help")</f>
        <v>Google BooksSearchImagesMapsPlayYouTubeNewsGmailDriveMoreCalendarTranslateMobileBooksShoppingBloggerFinancePhotosDocsEven more »Account OptionsSign inBooksSearch the world's most comprehensive index of full-text books.My libraryPublishersAboutPrivacyTermsHelp</v>
      </c>
    </row>
    <row r="250">
      <c r="A250" s="1" t="s">
        <v>712</v>
      </c>
      <c r="B250" s="1" t="s">
        <v>775</v>
      </c>
      <c r="C250" s="1" t="s">
        <v>153</v>
      </c>
      <c r="D250" s="1">
        <v>35.0</v>
      </c>
      <c r="E250" s="4" t="s">
        <v>776</v>
      </c>
      <c r="F250" s="1" t="s">
        <v>43</v>
      </c>
      <c r="G250" s="1" t="s">
        <v>777</v>
      </c>
      <c r="H250" s="4" t="s">
        <v>778</v>
      </c>
      <c r="I250" s="2">
        <v>5.0</v>
      </c>
      <c r="J250" s="5" t="str">
        <f>IFERROR(__xludf.DUMMYFUNCTION("GOOGLETRANSLATE(A250)"),"in contact with")</f>
        <v>in contact with</v>
      </c>
      <c r="K250" s="6" t="str">
        <f>IFERROR(__xludf.DUMMYFUNCTION("GOOGLETRANSLATE(B250)"),"VKontakte does not work - November 8, 2023")</f>
        <v>VKontakte does not work - November 8, 2023</v>
      </c>
      <c r="L250" s="5" t="str">
        <f>IFERROR(__xludf.DUMMYFUNCTION("GOOGLETRANSLATE(C250)"),"3 days ago -")</f>
        <v>3 days ago -</v>
      </c>
      <c r="M250" s="5" t="str">
        <f>IFERROR(__xludf.DUMMYFUNCTION("GOOGLETRANSLATE(G250)"),"Novosibirsk news - main news today | NGS - news Novosibirsk Real estate work video TsGDE to meet Novye Knight Telegramvs News ""In two years it will shoot."" Auroist - about the new rules for the parallel import of a car, a known developer dictates a new "&amp;"format of quality of life - what awaits the buyers of apartments ""Perhaps change in prices in the direction of increase."" Why is there such an expensive gasoline in Russia and whether it will become cheaper “here is a lake and no one yells at night”: in"&amp;" a very calm area they started construction and reduced the prices for housing of Dudia* check for discrediting the army of the Russian Federation: the news for the 11th of November 11 to buy a two -story townhouse in The green zone at a price is cheaper "&amp;"than an ordinary apartment was simply not explained how to walk on two legs. How the “four-bearer” family from Turkey nature or the benefit of civilization lives: residents of the new complex near the lake do not have to choose “I called you slaves and sl"&amp;"aves”: Alla Pugacheva turned to the Hamitheloma of the Data Centers and the service provider signed an agreement on cooperation of wealth and love ! What to meet the new 2024 year-the advice of an astrologer and the Numerologist-business community ""Equiu"&amp;"m"" invites Siberian entrepreneurs to visit ""it turns out to be killed and there will be nothing for you"": as a tormentor of Vera Pekhteleva, he scored her to death and then his dreams of dreams in a cottage with his own Plot: eco -nickel on the bosom o"&amp;"f nature opens the doors to Novosibirski “rushes with drift”: under Novosibirsk torn VAZ scared the local residents of DJ and gifts: a cozy restaurant in the center invites to celebrate the New Year “Codes and these cards I did not say”: the young mother "&amp;"lost 70 thousand Faced with particularly sophisticated scammers at the left bank: a unique complex of apartments will decorate the Marxa Square, with the right -bank part of the southern transit - for the Left -Bank project they allocated half a billion r"&amp;"eception for 1 ruble: the Novosibirsk clinic reduced the price of surgery for those who needed operations of the Ryazan region. 19 wagons went off the rails: a photo from the scene of the incident in which you can buy a number: how to get a passive income"&amp;" without immersion in a hotel business business (we will tell you that it talks about you about you space and time: status LCD and a picturesque square for Royal Park ""Bigl did not run: the dog escaped from the owners and rushes around Novosibirsk for 9 "&amp;"days-no one can catch the school workers in Tatarsk for negligence-in the institution the 11-year-old girl"" We-participants of the big experiment ""was beaten: why do neighbors in high-rise buildings ride at night at night Paul balls? In Novosibirsk, the"&amp;"y made a parody of the film “Furious: Hobbs and Show”: Video from the contesting Siberian was forbidden to ride on the purchased Lexus RX - the former owner came across drunk behind the rudders to excite: a difficult test for knowledge of slang - 12 quest"&amp;"ions that are surprised by the grass : look at eight abandoned villages of Russia in which life stopped by a football player from Novosibirsk came to the “Dom-2” to a spectacular blondincase of 15 thousand took the “box”: the story of the rescue service m"&amp;"anager who was put for drugs of two Siberians found on the basis of recreation in Altai: men died in Zarrysama drowned in borrowings. We are studying the statements of the State Duma deputy who advocates the purity of the Russian language Mamarfushenka Du"&amp;"shenka! How to replace the hat to save the hairstyle and how to stylishly wrap himself in the scarf wintering of the fallen. The mass fight near the bar in the center of Novosibirsk got into the video-the police began to check “I began to shurate in every"&amp;" way”: the passenger quarreled with the driver of the minibus-he forbade him to speak by telephone from Krasnokamensk-to Cannes. How Victoria Bonya escaped from a village with convicts gave birth to a billionaire and made her face for 20 million to prepar"&amp;"e for -27 degrees: how temperature changes in Novosibirsk will affect the future crop -urgent Meriva of the Ob River found the body of a man in fishing clothes “eats only through a tube” : In Tatarsk, the schoolgirl hit the head on the head-the details of"&amp;" the incident-1996 incidented-Siberian: we look at unique photos and remember the youth-how they met Yeltsin and built the Mikhailovskaya embankment, they want to demolish the 59-year building-what could appear on its location: ugly signs were closed by N"&amp;"ovosibirsk There is a design code in the city, but it doesn’t work as not to cry and not to clock ”: why pensioners are going to trade rubbish in the cold and what they buy at the Novosibirsk“ flea ”traders with perennial experience shared that they inter"&amp;"fere with old things 43 minutes2 20525 The main video in the country City Crime Business urgently Live covered Novosibirsk in mid-November-Bastrykin demanded a report on an attack by a teenager on a 11-year-old girl at school-the world was beaten up to th"&amp;"e hospital: he ran from Dagestan to Sevastopol “thought it could not be worse to be worse "": Siberian was mistakenly sold an apartment to close loans - the buyer has dozens of such transactions of 50% on the foundation when ordering a house from a profil"&amp;"ed shirt in the Narymsky Square: drivers turned the park into a huge parking lot - the apogee of autohamism"" Gas streamed over the whole street "": in Novosibirsk: in Novosibirsk Strange smoke was going on a gas station from the bus - could it be Metango"&amp;"rod to bring as a gift from Novosibirsk? Souvenirs that you can even eat on October 242121 610 Novosibirsk noticed teenagers who cling to trains11 hours2 75118 announcements “We don’t earn on the Socialist”: the developer told why it builds kindergartens "&amp;"of the school and outpatient clinics on November8, 6 930 industries “began to scream something in Berdsk with waste Waters-a passerby saved it12 hours5 14629 Prossevoli bastard driver UAZ: there were terrible shots from a frontal accident at the northern "&amp;"detour13 hours10 50835 Cultules of middle-aged men want to talk: the cult performance of Muscovites will show in the huge arena November310 766 Loose at the edges: a 7-year-old girl fell to the open hatch in Novosibi in Novosibi RSCK14 hours6 60144v Black"&amp;" Friday can save a million on buying an apartment. In which new buildings there is a discount on November 910 34319 Poll have already changed rubber by car? Voting on October 24187 Formation “This is a lot of crying”: the former basketball player became a"&amp;" coach for children with features on November15 68415 Hand -free buildings for new buildings is still lower than for the secondary: what options to buy housing have the Novosibirsk people November15 682 Protection “already eats” The rescuers thanked the h"&amp;"ead - how he feels15 hours7 84852 -Social -subject of Morozov: in Novosibirsk they noticed the November rainbow16 hours6 10919Avto ""It will shoot after two years."" Auroist - about the new rules of parallel imports of cars 43 minutes1 2759economics ""It "&amp;"is possible to change prices in the direction of increase."" Why in Russia such an expensive gasoline and whether it will become cheaper 1 hour 1 18829 page and Miruria Dudia* are checked for discrediting the army of the Russian Federation: News for Novem"&amp;"ber 110, 657172VS News News")</f>
        <v>Novosibirsk news - main news today | NGS - news Novosibirsk Real estate work video TsGDE to meet Novye Knight Telegramvs News "In two years it will shoot." Auroist - about the new rules for the parallel import of a car, a known developer dictates a new format of quality of life - what awaits the buyers of apartments "Perhaps change in prices in the direction of increase." Why is there such an expensive gasoline in Russia and whether it will become cheaper “here is a lake and no one yells at night”: in a very calm area they started construction and reduced the prices for housing of Dudia* check for discrediting the army of the Russian Federation: the news for the 11th of November 11 to buy a two -story townhouse in The green zone at a price is cheaper than an ordinary apartment was simply not explained how to walk on two legs. How the “four-bearer” family from Turkey nature or the benefit of civilization lives: residents of the new complex near the lake do not have to choose “I called you slaves and slaves”: Alla Pugacheva turned to the Hamitheloma of the Data Centers and the service provider signed an agreement on cooperation of wealth and love ! What to meet the new 2024 year-the advice of an astrologer and the Numerologist-business community "Equium" invites Siberian entrepreneurs to visit "it turns out to be killed and there will be nothing for you": as a tormentor of Vera Pekhteleva, he scored her to death and then his dreams of dreams in a cottage with his own Plot: eco -nickel on the bosom of nature opens the doors to Novosibirski “rushes with drift”: under Novosibirsk torn VAZ scared the local residents of DJ and gifts: a cozy restaurant in the center invites to celebrate the New Year “Codes and these cards I did not say”: the young mother lost 70 thousand Faced with particularly sophisticated scammers at the left bank: a unique complex of apartments will decorate the Marxa Square, with the right -bank part of the southern transit - for the Left -Bank project they allocated half a billion reception for 1 ruble: the Novosibirsk clinic reduced the price of surgery for those who needed operations of the Ryazan region. 19 wagons went off the rails: a photo from the scene of the incident in which you can buy a number: how to get a passive income without immersion in a hotel business business (we will tell you that it talks about you about you space and time: status LCD and a picturesque square for Royal Park "Bigl did not run: the dog escaped from the owners and rushes around Novosibirsk for 9 days-no one can catch the school workers in Tatarsk for negligence-in the institution the 11-year-old girl" We-participants of the big experiment "was beaten: why do neighbors in high-rise buildings ride at night at night Paul balls? In Novosibirsk, they made a parody of the film “Furious: Hobbs and Show”: Video from the contesting Siberian was forbidden to ride on the purchased Lexus RX - the former owner came across drunk behind the rudders to excite: a difficult test for knowledge of slang - 12 questions that are surprised by the grass : look at eight abandoned villages of Russia in which life stopped by a football player from Novosibirsk came to the “Dom-2” to a spectacular blondincase of 15 thousand took the “box”: the story of the rescue service manager who was put for drugs of two Siberians found on the basis of recreation in Altai: men died in Zarrysama drowned in borrowings. We are studying the statements of the State Duma deputy who advocates the purity of the Russian language Mamarfushenka Dushenka! How to replace the hat to save the hairstyle and how to stylishly wrap himself in the scarf wintering of the fallen. The mass fight near the bar in the center of Novosibirsk got into the video-the police began to check “I began to shurate in every way”: the passenger quarreled with the driver of the minibus-he forbade him to speak by telephone from Krasnokamensk-to Cannes. How Victoria Bonya escaped from a village with convicts gave birth to a billionaire and made her face for 20 million to prepare for -27 degrees: how temperature changes in Novosibirsk will affect the future crop -urgent Meriva of the Ob River found the body of a man in fishing clothes “eats only through a tube” : In Tatarsk, the schoolgirl hit the head on the head-the details of the incident-1996 incidented-Siberian: we look at unique photos and remember the youth-how they met Yeltsin and built the Mikhailovskaya embankment, they want to demolish the 59-year building-what could appear on its location: ugly signs were closed by Novosibirsk There is a design code in the city, but it doesn’t work as not to cry and not to clock ”: why pensioners are going to trade rubbish in the cold and what they buy at the Novosibirsk“ flea ”traders with perennial experience shared that they interfere with old things 43 minutes2 20525 The main video in the country City Crime Business urgently Live covered Novosibirsk in mid-November-Bastrykin demanded a report on an attack by a teenager on a 11-year-old girl at school-the world was beaten up to the hospital: he ran from Dagestan to Sevastopol “thought it could not be worse to be worse ": Siberian was mistakenly sold an apartment to close loans - the buyer has dozens of such transactions of 50% on the foundation when ordering a house from a profiled shirt in the Narymsky Square: drivers turned the park into a huge parking lot - the apogee of autohamism" Gas streamed over the whole street ": in Novosibirsk: in Novosibirsk Strange smoke was going on a gas station from the bus - could it be Metangorod to bring as a gift from Novosibirsk? Souvenirs that you can even eat on October 242121 610 Novosibirsk noticed teenagers who cling to trains11 hours2 75118 announcements “We don’t earn on the Socialist”: the developer told why it builds kindergartens of the school and outpatient clinics on November8, 6 930 industries “began to scream something in Berdsk with waste Waters-a passerby saved it12 hours5 14629 Prossevoli bastard driver UAZ: there were terrible shots from a frontal accident at the northern detour13 hours10 50835 Cultules of middle-aged men want to talk: the cult performance of Muscovites will show in the huge arena November310 766 Loose at the edges: a 7-year-old girl fell to the open hatch in Novosibi in Novosibi RSCK14 hours6 60144v Black Friday can save a million on buying an apartment. In which new buildings there is a discount on November 910 34319 Poll have already changed rubber by car? Voting on October 24187 Formation “This is a lot of crying”: the former basketball player became a coach for children with features on November15 68415 Hand -free buildings for new buildings is still lower than for the secondary: what options to buy housing have the Novosibirsk people November15 682 Protection “already eats” The rescuers thanked the head - how he feels15 hours7 84852 -Social -subject of Morozov: in Novosibirsk they noticed the November rainbow16 hours6 10919Avto "It will shoot after two years." Auroist - about the new rules of parallel imports of cars 43 minutes1 2759economics "It is possible to change prices in the direction of increase." Why in Russia such an expensive gasoline and whether it will become cheaper 1 hour 1 18829 page and Miruria Dudia* are checked for discrediting the army of the Russian Federation: News for November 110, 657172VS News News</v>
      </c>
    </row>
    <row r="251">
      <c r="A251" s="1" t="s">
        <v>779</v>
      </c>
      <c r="B251" s="1" t="s">
        <v>780</v>
      </c>
      <c r="C251" s="1" t="s">
        <v>781</v>
      </c>
      <c r="D251" s="1">
        <v>1.0</v>
      </c>
      <c r="E251" s="4" t="s">
        <v>782</v>
      </c>
      <c r="F251" s="1" t="s">
        <v>16</v>
      </c>
      <c r="I251" s="2">
        <v>1.0</v>
      </c>
      <c r="J251" s="5" t="str">
        <f>IFERROR(__xludf.DUMMYFUNCTION("GOOGLETRANSLATE(A251)"),"Gdz")</f>
        <v>Gdz</v>
      </c>
      <c r="K251" s="6" t="str">
        <f>IFERROR(__xludf.DUMMYFUNCTION("GOOGLETRANSLATE(B251)"),"GDZ: Ready -made homework for grade 1-11 - gdz.ru")</f>
        <v>GDZ: Ready -made homework for grade 1-11 - gdz.ru</v>
      </c>
      <c r="L251" s="5" t="str">
        <f>IFERROR(__xludf.DUMMYFUNCTION("GOOGLETRANSLATE(C251)"),"GDZ will be an excellent motivation for students to study. They will help to learn how to analyze their own activities and think logically. Which will significantly increase ...")</f>
        <v>GDZ will be an excellent motivation for students to study. They will help to learn how to analyze their own activities and think logically. Which will significantly increase ...</v>
      </c>
      <c r="M251" s="5" t="str">
        <f>IFERROR(__xludf.DUMMYFUNCTION("GOOGLETRANSLATE(G251)"),"#VALUE!")</f>
        <v>#VALUE!</v>
      </c>
    </row>
    <row r="252">
      <c r="A252" s="1" t="s">
        <v>779</v>
      </c>
      <c r="B252" s="1" t="s">
        <v>783</v>
      </c>
      <c r="C252" s="1" t="s">
        <v>784</v>
      </c>
      <c r="D252" s="1">
        <v>2.0</v>
      </c>
      <c r="E252" s="4" t="s">
        <v>785</v>
      </c>
      <c r="F252" s="1" t="s">
        <v>16</v>
      </c>
      <c r="G252" s="1" t="s">
        <v>786</v>
      </c>
      <c r="H252" s="4" t="s">
        <v>787</v>
      </c>
      <c r="I252" s="2">
        <v>1.0</v>
      </c>
      <c r="J252" s="5" t="str">
        <f>IFERROR(__xludf.DUMMYFUNCTION("GOOGLETRANSLATE(A252)"),"Gdz")</f>
        <v>Gdz</v>
      </c>
      <c r="K252" s="6" t="str">
        <f>IFERROR(__xludf.DUMMYFUNCTION("GOOGLETRANSLATE(B252)"),"GDZ - finished homework | Answers without errors")</f>
        <v>GDZ - finished homework | Answers without errors</v>
      </c>
      <c r="L252" s="5" t="str">
        <f>IFERROR(__xludf.DUMMYFUNCTION("GOOGLETRANSLATE(C252)"),"High -quality GDZ and solutions in the subjects of the school curriculum. The answers contain step -by -step actions, the translation of the text to new textbooks and notebooks.")</f>
        <v>High -quality GDZ and solutions in the subjects of the school curriculum. The answers contain step -by -step actions, the translation of the text to new textbooks and notebooks.</v>
      </c>
      <c r="M252" s="5" t="str">
        <f>IFERROR(__xludf.DUMMYFUNCTION("GOOGLETRANSLATE(G252)"),"GDZ - finished homework | Answers without errors.fm gdzlassy -prizes -replacement aircraft12345678910111algebra Geometry Mathematics Russian Language Belorussian Language Language Physics Physics Chemistry Biology Informatics Ukrainian Language Language L"&amp;"anguage Literature Literature Geography Drawing Astronomy Human and World Honey. Preparation of nature studies of the basis of health music iso -social studies Ecology Ecology Technology Natural Science Spanish art Chinese language Kubanovy Kubanovka Kaza"&amp;"kh language the world of nature and man Physical education in every student in life are moments when he could not understand in the lesson what the teacher explains to him. And I really do not want to lag behind peers. Usually, at such moments, GDZ can he"&amp;"lp with which you can successfully master a new topic and spend less time on homework. After all, all the well -known textbooks and workbooks for the school curriculum are collected here who do not need additional clarification. And now you do not need to"&amp;" purchase residents, and this is a budget saving. Such a textbook is divided into topics that are fully consistent with the curriculum. Also, the State Duma contains several options for solving problems contain answers to all questions as well as a video "&amp;"solution. This is very convenient to figure out the material incomprehensible to you with specific examples. Usually, parents watch the residents in order to control how their children do homework. And the students, in turn, or simply write off the finish"&amp;"ed task. And there is nothing shameful in this, because the materials every year are more and more difficult and difficult, but there is not enough time. Indeed, in addition to the educational process, there are other hobbies and concerns. The dedicated t"&amp;"echnique is actively used by some tutors who try to explain the subject with certain difficulties to their students. This approach has already gained certain confidence in itself because of its effectiveness and simplicity. Many parents who were concerned"&amp;" about the educational successes of their children and their future, especially if the student plans to enter the secondary school after grade 9 or a higher educational institution after grade 11, will also begin to use it. OGE GVE) exam and final exams a"&amp;"t school. Popular GDZ Algebra 7th grade authors: Yu.N. Makarychev N.G. Mindyuk Algebra Grade 8 Authors: Yu.N. Makarychev N.G. Mindyuk Algebra 9th grade basic level authors: Yu.N. Makarychev N.G. Mindyuk Geometry 7-9 Grade Authors: L.S. Atanasyan V.F. Butu"&amp;"zov mathematics Grade 6 authors: N.Ya. Vilenkin V.I. Zhokhov Mathematics Grade 5 Authors: N.Ya. Vilenkin V.I. Zhokhov Russian language grade 6 authors: M.T. Baranov T.A. Ladyzhenskaya Russian language grade 7 authors: M.T. Baranov T.A. Ladyzhenskaya drawi"&amp;"ng grade 9 Workbook Author: V.N. Vinogradov © 2023 ""GDZ.FM"" [email protected]")</f>
        <v>GDZ - finished homework | Answers without errors.fm gdzlassy -prizes -replacement aircraft12345678910111algebra Geometry Mathematics Russian Language Belorussian Language Language Physics Physics Chemistry Biology Informatics Ukrainian Language Language Language Literature Literature Geography Drawing Astronomy Human and World Honey. Preparation of nature studies of the basis of health music iso -social studies Ecology Ecology Technology Natural Science Spanish art Chinese language Kubanovy Kubanovka Kazakh language the world of nature and man Physical education in every student in life are moments when he could not understand in the lesson what the teacher explains to him. And I really do not want to lag behind peers. Usually, at such moments, GDZ can help with which you can successfully master a new topic and spend less time on homework. After all, all the well -known textbooks and workbooks for the school curriculum are collected here who do not need additional clarification. And now you do not need to purchase residents, and this is a budget saving. Such a textbook is divided into topics that are fully consistent with the curriculum. Also, the State Duma contains several options for solving problems contain answers to all questions as well as a video solution. This is very convenient to figure out the material incomprehensible to you with specific examples. Usually, parents watch the residents in order to control how their children do homework. And the students, in turn, or simply write off the finished task. And there is nothing shameful in this, because the materials every year are more and more difficult and difficult, but there is not enough time. Indeed, in addition to the educational process, there are other hobbies and concerns. The dedicated technique is actively used by some tutors who try to explain the subject with certain difficulties to their students. This approach has already gained certain confidence in itself because of its effectiveness and simplicity. Many parents who were concerned about the educational successes of their children and their future, especially if the student plans to enter the secondary school after grade 9 or a higher educational institution after grade 11, will also begin to use it. OGE GVE) exam and final exams at school. Popular GDZ Algebra 7th grade authors: Yu.N. Makarychev N.G. Mindyuk Algebra Grade 8 Authors: Yu.N. Makarychev N.G. Mindyuk Algebra 9th grade basic level authors: Yu.N. Makarychev N.G. Mindyuk Geometry 7-9 Grade Authors: L.S. Atanasyan V.F. Butuzov mathematics Grade 6 authors: N.Ya. Vilenkin V.I. Zhokhov Mathematics Grade 5 Authors: N.Ya. Vilenkin V.I. Zhokhov Russian language grade 6 authors: M.T. Baranov T.A. Ladyzhenskaya Russian language grade 7 authors: M.T. Baranov T.A. Ladyzhenskaya drawing grade 9 Workbook Author: V.N. Vinogradov © 2023 "GDZ.FM" [email protected]</v>
      </c>
    </row>
    <row r="253">
      <c r="A253" s="1" t="s">
        <v>779</v>
      </c>
      <c r="B253" s="1" t="s">
        <v>788</v>
      </c>
      <c r="C253" s="1" t="s">
        <v>789</v>
      </c>
      <c r="D253" s="1">
        <v>3.0</v>
      </c>
      <c r="E253" s="4" t="s">
        <v>790</v>
      </c>
      <c r="F253" s="1" t="s">
        <v>16</v>
      </c>
      <c r="G253" s="1" t="s">
        <v>791</v>
      </c>
      <c r="H253" s="4" t="s">
        <v>792</v>
      </c>
      <c r="I253" s="2">
        <v>1.0</v>
      </c>
      <c r="J253" s="5" t="str">
        <f>IFERROR(__xludf.DUMMYFUNCTION("GOOGLETRANSLATE(A253)"),"Gdz")</f>
        <v>Gdz</v>
      </c>
      <c r="K253" s="6" t="str">
        <f>IFERROR(__xludf.DUMMYFUNCTION("GOOGLETRANSLATE(B253)"),"GDZ - ready -made homework and residents")</f>
        <v>GDZ - ready -made homework and residents</v>
      </c>
      <c r="L253" s="5" t="str">
        <f>IFERROR(__xludf.DUMMYFUNCTION("GOOGLETRANSLATE(C253)"),"GDZ (finished homework) for grades 1-11, online Reshebniks in all school subjects, answers to working and laboratory notebooks.")</f>
        <v>GDZ (finished homework) for grades 1-11, online Reshebniks in all school subjects, answers to working and laboratory notebooks.</v>
      </c>
      <c r="M253" s="5" t="str">
        <f>IFERROR(__xludf.DUMMYFUNCTION("GOOGLETRANSLATE(G253)"),"GDZ - ready -made homework and Reshebniks Reshebniks GDZ1 Grade Mathematics Russian Language Language Language German Language Language Literature Man and World Environmental Studies Fundamentals of Health Music. Music World of Nature and Human Physical C"&amp;"ulture 2 Grade Language Language Belorussian Belorian Language Language Ukrainian Language Language French German Language Literature Man and World Conducting Fundamentals of Health Music Arts Surrounding the World Spanish language Kazakh language world o"&amp;"f nature and man grade 3 Mathematics Russian Language Belorian language English language informatics Ukrainian language German language literature human and world music surrounding the world Technology Spanish language Kazakh language Kazakh World of Natu"&amp;"re and Human 4 Grade Mathematics Russian Language Belorussian language English language informatics Ukrainian language French language literature human language and world basics of health. Music art surrounding world technology Spanish language of the wor"&amp;"ld of nature and man grade 5 mathematics Russian Belorian English physics physics physics physics Physics Informatics Ukrainian language French language German language History Geography Man and World Obzh Natural Studies Music Student Technology Spanish "&amp;"Language Art Chinese Language Kubanovka Kazakh language Grade 6 Mathematics Russian Language Language Language Language Physics Physics Language Language Language Girderi Language History History Literacies Geography Oblast Environmental Studies Natural S"&amp;"cience Music social studies Ecology Technology Spanish language art Chinese language Kubanovka Kazakh language Kazakh language grade 7 algebra geometry Mathematics Russian language Belarusian language physics physics chemistry biology Ukrainian language F"&amp;"rench language history Literature Drawing music vital language technology Spanish art Chinese language grade 8 algebra geometry Mathematics Russian language Belarusian language physics physics chemistry Biology Informatics Ukrainian language French langua"&amp;"ge History Literature Geography Drawing Social Studies Ecology Technology Spanish language art Kubanovka Kazakh language Algebra Geometry Mathematics Russian Belorian Beli Physics Biological Informatics Ukrainian Language French German language History Li"&amp;"terature Geography Drawing Social Studies Technology Spanish language art Kubanovka Kazakh language grade 10 Algebra Geometry Mathematics Russian Language Belorussian Language Belorian Chemistry Biology Informatics Ukrainian Language Language German Langu"&amp;"age Literature Literature Geography Medication. Preparation of OBZH Social Studies Spanish language Kubanovka Kazakh language grade 11 algebra geometry Mathematics Russian language Belarusian language physics physics Chemistry Biology Informatics Ukrainia"&amp;"n language French language history Literature geography Astronomy honey. Preparation of OBZH Social Studies Spanish Kazakh language of a video solution from scratch virtual hosting from 1575 rubles/month. GDZ for the 1-11 classes of objects of classes1234"&amp;"567891011algebra1234567891011111111111123456789111matomatics1234567891011 Russian language123456789111234567891111 English English English English English English English 8910111physics1234567891011HIMIMA1234567891011112345678910111informatics123456789111"&amp;"111111111111112345678910111111111111111frazus language1234567891011111111111111111011111111111111111111111111111111111111111 History12345678910111112345678910111112345678911011111111111Astronomy12345678910111111111111111111111111111111101011MED. Training1"&amp;"234567891011 8910111ECOLOGY12345678910111111112345678910111111111123456789101111 -test language1234567891111111111111111111111kitsky language12345678911kubanovania12345678910101010101010101010101010101010101010101010101010101010AR Kazakh language123456789"&amp;"1011 MIRETURY AND HOME123456789101111PHIZUSTURT1234567891011 What should I choose an online solution? If you are looking for quality material, capable of helping in solving exercises from a school textbook, then you opened a suitable training portal - meg"&amp;"aresheba. Here, qualitatively disassembled tasks from all books of a comprehensive school are given to your attention. Whether the Russian language or literature mathematics or its sections of Algebra with geometry chemistry physics History of English and"&amp;" German - the correct answers to all tasks are presented on the website with the GDZ. The electronic resource works around the clock and is available from any device: the computer of the tablet phone. Each collection with ready -made answers on megaresheb"&amp;"e has been developed in detail by specialists working in the education system and help to better delve into the educational process. The authors provide all the right decisions in a very understandable and rather brief form than third -party projects (hel"&amp;"ping with GDZ Skolololo or dugs). The information on the site is fully complies with the requirements of the Federal State Educational Standard and is relevant for the new 2020. The online sentence is an excellent reference and preparatory material that s"&amp;"tudents will be able to use throughout the training at school and not only. All the pluses of the GDZ for schoolchildren and their parents are the task of collections-not just give the opportunity to write off the “home” but increase their own performance"&amp;" and effectiveness. Our Reshebniks surpass all competitors (GDZ Lol Soldor Megabotan Help or Euroki) according to many criteria and have a number of practical functions: they allow any student to deal with incomprehensible topics and consider the rules fo"&amp;"r fulfilling each example; Also, students can easily use such publications for self -testing solved homework; The largest base of residents for different countries (Russia Belarus Kazakhstan Kyrgyzstan and others); contains a course of video plays; annual"&amp;" renewal of GDZ; several types of solutions; Suitable for teachers to draw up a plan of classes and control sections; They will be useful to parents to check the ""home"" of the child; Easy search for the right textbook on a special indicator or auxiliary"&amp;" navigation. All exercises each task or translation in all benefits have their own serial numbers that correspond to those in the original edition. Therefore, the use of such manuals does not imply any difficulties with the search for the required number."&amp;" Each author in his publication tells how to correctly use his book. And they all converge in one opinion: do not mechanically write off ready -made information from GDZOTPUTIN. Before use, you first need to try to solve the whole task yourself. And use t"&amp;"he Reshebnik only in case of difficulties or for independent preparation for the following topics and paragraphs of the notebook. Of course, such literature develops the student’s analytical ability by a child’s constant analysis of his own activity searc"&amp;"h for errors on guitar and their corrections. Also, children become more independent and not dependent on their parents in the curriculum. Recommendations for schoolchildren study - this is the most wonderful time at this moment you are most developing, y"&amp;"ou comprehend new sciences and various facts. Set a goal - to become who you want to be and move towards it. Pay more attention to objects related to your dream. If you are a technician, teach mathematical disciplines if a philosopher is humanitarian. The"&amp;" main thing is not to be thoughtlessly attributing to work, and on the contrary, carefully understand the new material to learn the rules not to forget about exceptions to shed all exercises and view the video lessons. Popular textbooks of Algebra Grade 7"&amp;" authors: Yu.N. Makarychev N.G. Mindyuk K.I. Neshkov S.B. Suvorova Physics: Education 2015-2023 Algebra Grade 8 Authors: Yu.N. Makarychev N.G. Mindyuk K.I. Neshkov S.B. Suvorova Physics: Education 2015-2023 Algebra Grade 9 Basic level authors: Yu.N. Makar"&amp;"ychev N.G. Mindyuk K.I. Neshkov S.B. Suvorova Physics: Enlightenment 2015-2023 Geometry 7 -9 class Authors: L.S. Atanasyan V.F. Butuzov S.B. Kadomsev E.G. Poznyak I.I. Yudinizdaty: Education 2016-2023 Mathematics Grade 6 Authors: N.Ya. Vilenkin V.I. Zhokh"&amp;"ov A.S. Chesnokov S.I. Schwarzburgdership: Mnemosina 2015-2017 Mathematics Grade 5 Authors: N.Ya. Vilenkin V.I. Zhokhov A.S. Chesnokov S.I. Schwarzburdzdzda: Mnemosina Mathematics Grade 4 Authors: M.I. Moro M.A. Bantova G.V. Beltyukovyzda: Enlightenment 2"&amp;"015-2023 Type: School of Russia Part 12 Russian Language Grade 5 Authors: M.T. Baranov T.A. Ladyzhenskaya L.A. Trostentsova L.T. Grigoryan I.I. Kulibaba N.V. Ladyzhenskaya Poster: Education 2016-2023 Type: Part 12 Russian language Grade 6 Authors: M.T. Ba"&amp;"ranov T.A. Ladyzhenskaya L.A. Trost Vostentzzda: Education 2015-2023 Type: Part 12 Mathematics Grade 6 Basic level Authors: A.G. Merzlyak V.B. Polonsky M.S. Yakizazzdaniye: Ventana-Graf Enlightenment 2016-2023 Type: Algorithm for the success of Algebra Gr"&amp;"ade 7 Basic level authors: A. G. Merzlyak V. B. Polonsky M. S. Yakirizdaty: Ventana-Grav 2016-2023 Social studies 5th grade Author: Bogolyubov L. N. Razznitaniy: Enlightenment © 2023 “Megaresheba.ru” [Email Protected] Virtual hosting from 1575 rubles/mont"&amp;"h.")</f>
        <v>GDZ - ready -made homework and Reshebniks Reshebniks GDZ1 Grade Mathematics Russian Language Language Language German Language Language Literature Man and World Environmental Studies Fundamentals of Health Music. Music World of Nature and Human Physical Culture 2 Grade Language Language Belorussian Belorian Language Language Ukrainian Language Language French German Language Literature Man and World Conducting Fundamentals of Health Music Arts Surrounding the World Spanish language Kazakh language world of nature and man grade 3 Mathematics Russian Language Belorian language English language informatics Ukrainian language German language literature human and world music surrounding the world Technology Spanish language Kazakh language Kazakh World of Nature and Human 4 Grade Mathematics Russian Language Belorussian language English language informatics Ukrainian language French language literature human language and world basics of health. Music art surrounding world technology Spanish language of the world of nature and man grade 5 mathematics Russian Belorian English physics physics physics physics Physics Informatics Ukrainian language French language German language History Geography Man and World Obzh Natural Studies Music Student Technology Spanish Language Art Chinese Language Kubanovka Kazakh language Grade 6 Mathematics Russian Language Language Language Language Physics Physics Language Language Language Girderi Language History History Literacies Geography Oblast Environmental Studies Natural Science Music social studies Ecology Technology Spanish language art Chinese language Kubanovka Kazakh language Kazakh language grade 7 algebra geometry Mathematics Russian language Belarusian language physics physics chemistry biology Ukrainian language French language history Literature Drawing music vital language technology Spanish art Chinese language grade 8 algebra geometry Mathematics Russian language Belarusian language physics physics chemistry Biology Informatics Ukrainian language French language History Literature Geography Drawing Social Studies Ecology Technology Spanish language art Kubanovka Kazakh language Algebra Geometry Mathematics Russian Belorian Beli Physics Biological Informatics Ukrainian Language French German language History Literature Geography Drawing Social Studies Technology Spanish language art Kubanovka Kazakh language grade 10 Algebra Geometry Mathematics Russian Language Belorussian Language Belorian Chemistry Biology Informatics Ukrainian Language Language German Language Literature Literature Geography Medication. Preparation of OBZH Social Studies Spanish language Kubanovka Kazakh language grade 11 algebra geometry Mathematics Russian language Belarusian language physics physics Chemistry Biology Informatics Ukrainian language French language history Literature geography Astronomy honey. Preparation of OBZH Social Studies Spanish Kazakh language of a video solution from scratch virtual hosting from 1575 rubles/month. GDZ for the 1-11 classes of objects of classes1234567891011algebra1234567891011111111111123456789111matomatics1234567891011 Russian language123456789111234567891111 English English English English English English English 8910111physics1234567891011HIMIMA1234567891011112345678910111informatics123456789111111111111111112345678910111111111111111frazus language1234567891011111111111111111011111111111111111111111111111111111111111 History12345678910111112345678910111112345678911011111111111Astronomy12345678910111111111111111111111111111111101011MED. Training1234567891011 8910111ECOLOGY12345678910111111112345678910111111111123456789101111 -test language1234567891111111111111111111111kitsky language12345678911kubanovania12345678910101010101010101010101010101010101010101010101010101010AR Kazakh language1234567891011 MIRETURY AND HOME123456789101111PHIZUSTURT1234567891011 What should I choose an online solution? If you are looking for quality material, capable of helping in solving exercises from a school textbook, then you opened a suitable training portal - megaresheba. Here, qualitatively disassembled tasks from all books of a comprehensive school are given to your attention. Whether the Russian language or literature mathematics or its sections of Algebra with geometry chemistry physics History of English and German - the correct answers to all tasks are presented on the website with the GDZ. The electronic resource works around the clock and is available from any device: the computer of the tablet phone. Each collection with ready -made answers on megareshebe has been developed in detail by specialists working in the education system and help to better delve into the educational process. The authors provide all the right decisions in a very understandable and rather brief form than third -party projects (helping with GDZ Skolololo or dugs). The information on the site is fully complies with the requirements of the Federal State Educational Standard and is relevant for the new 2020. The online sentence is an excellent reference and preparatory material that students will be able to use throughout the training at school and not only. All the pluses of the GDZ for schoolchildren and their parents are the task of collections-not just give the opportunity to write off the “home” but increase their own performance and effectiveness. Our Reshebniks surpass all competitors (GDZ Lol Soldor Megabotan Help or Euroki) according to many criteria and have a number of practical functions: they allow any student to deal with incomprehensible topics and consider the rules for fulfilling each example; Also, students can easily use such publications for self -testing solved homework; The largest base of residents for different countries (Russia Belarus Kazakhstan Kyrgyzstan and others); contains a course of video plays; annual renewal of GDZ; several types of solutions; Suitable for teachers to draw up a plan of classes and control sections; They will be useful to parents to check the "home" of the child; Easy search for the right textbook on a special indicator or auxiliary navigation. All exercises each task or translation in all benefits have their own serial numbers that correspond to those in the original edition. Therefore, the use of such manuals does not imply any difficulties with the search for the required number. Each author in his publication tells how to correctly use his book. And they all converge in one opinion: do not mechanically write off ready -made information from GDZOTPUTIN. Before use, you first need to try to solve the whole task yourself. And use the Reshebnik only in case of difficulties or for independent preparation for the following topics and paragraphs of the notebook. Of course, such literature develops the student’s analytical ability by a child’s constant analysis of his own activity search for errors on guitar and their corrections. Also, children become more independent and not dependent on their parents in the curriculum. Recommendations for schoolchildren study - this is the most wonderful time at this moment you are most developing, you comprehend new sciences and various facts. Set a goal - to become who you want to be and move towards it. Pay more attention to objects related to your dream. If you are a technician, teach mathematical disciplines if a philosopher is humanitarian. The main thing is not to be thoughtlessly attributing to work, and on the contrary, carefully understand the new material to learn the rules not to forget about exceptions to shed all exercises and view the video lessons. Popular textbooks of Algebra Grade 7 authors: Yu.N. Makarychev N.G. Mindyuk K.I. Neshkov S.B. Suvorova Physics: Education 2015-2023 Algebra Grade 8 Authors: Yu.N. Makarychev N.G. Mindyuk K.I. Neshkov S.B. Suvorova Physics: Education 2015-2023 Algebra Grade 9 Basic level authors: Yu.N. Makarychev N.G. Mindyuk K.I. Neshkov S.B. Suvorova Physics: Enlightenment 2015-2023 Geometry 7 -9 class Authors: L.S. Atanasyan V.F. Butuzov S.B. Kadomsev E.G. Poznyak I.I. Yudinizdaty: Education 2016-2023 Mathematics Grade 6 Authors: N.Ya. Vilenkin V.I. Zhokhov A.S. Chesnokov S.I. Schwarzburgdership: Mnemosina 2015-2017 Mathematics Grade 5 Authors: N.Ya. Vilenkin V.I. Zhokhov A.S. Chesnokov S.I. Schwarzburdzdzda: Mnemosina Mathematics Grade 4 Authors: M.I. Moro M.A. Bantova G.V. Beltyukovyzda: Enlightenment 2015-2023 Type: School of Russia Part 12 Russian Language Grade 5 Authors: M.T. Baranov T.A. Ladyzhenskaya L.A. Trostentsova L.T. Grigoryan I.I. Kulibaba N.V. Ladyzhenskaya Poster: Education 2016-2023 Type: Part 12 Russian language Grade 6 Authors: M.T. Baranov T.A. Ladyzhenskaya L.A. Trost Vostentzzda: Education 2015-2023 Type: Part 12 Mathematics Grade 6 Basic level Authors: A.G. Merzlyak V.B. Polonsky M.S. Yakizazzdaniye: Ventana-Graf Enlightenment 2016-2023 Type: Algorithm for the success of Algebra Grade 7 Basic level authors: A. G. Merzlyak V. B. Polonsky M. S. Yakirizdaty: Ventana-Grav 2016-2023 Social studies 5th grade Author: Bogolyubov L. N. Razznitaniy: Enlightenment © 2023 “Megaresheba.ru” [Email Protected] Virtual hosting from 1575 rubles/month.</v>
      </c>
    </row>
    <row r="254">
      <c r="A254" s="1" t="s">
        <v>779</v>
      </c>
      <c r="B254" s="1" t="s">
        <v>793</v>
      </c>
      <c r="C254" s="1" t="s">
        <v>794</v>
      </c>
      <c r="D254" s="1">
        <v>4.0</v>
      </c>
      <c r="E254" s="4" t="s">
        <v>795</v>
      </c>
      <c r="F254" s="1" t="s">
        <v>16</v>
      </c>
      <c r="I254" s="2">
        <v>1.0</v>
      </c>
      <c r="J254" s="5" t="str">
        <f>IFERROR(__xludf.DUMMYFUNCTION("GOOGLETRANSLATE(A254)"),"Gdz")</f>
        <v>Gdz</v>
      </c>
      <c r="K254" s="6" t="str">
        <f>IFERROR(__xludf.DUMMYFUNCTION("GOOGLETRANSLATE(B254)"),"Reshebniks GDZ online for free")</f>
        <v>Reshebniks GDZ online for free</v>
      </c>
      <c r="L254" s="5" t="str">
        <f>IFERROR(__xludf.DUMMYFUNCTION("GOOGLETRANSLATE(C254)"),"Author's residents, GDZ are intended for use by students and teachers as an additional manual to study the subject. All material ...")</f>
        <v>Author's residents, GDZ are intended for use by students and teachers as an additional manual to study the subject. All material ...</v>
      </c>
      <c r="M254" s="5" t="str">
        <f>IFERROR(__xludf.DUMMYFUNCTION("GOOGLETRANSLATE(G254)"),"#VALUE!")</f>
        <v>#VALUE!</v>
      </c>
    </row>
    <row r="255">
      <c r="A255" s="1" t="s">
        <v>779</v>
      </c>
      <c r="B255" s="1" t="s">
        <v>796</v>
      </c>
      <c r="C255" s="1" t="s">
        <v>797</v>
      </c>
      <c r="D255" s="1">
        <v>5.0</v>
      </c>
      <c r="E255" s="4" t="s">
        <v>798</v>
      </c>
      <c r="F255" s="1" t="s">
        <v>16</v>
      </c>
      <c r="G255" s="1" t="s">
        <v>799</v>
      </c>
      <c r="H255" s="1" t="s">
        <v>800</v>
      </c>
      <c r="I255" s="2">
        <v>1.0</v>
      </c>
      <c r="J255" s="5" t="str">
        <f>IFERROR(__xludf.DUMMYFUNCTION("GOOGLETRANSLATE(A255)"),"Gdz")</f>
        <v>Gdz</v>
      </c>
      <c r="K255" s="6" t="str">
        <f>IFERROR(__xludf.DUMMYFUNCTION("GOOGLETRANSLATE(B255)"),"GDZ RF - ready homework")</f>
        <v>GDZ RF - ready homework</v>
      </c>
      <c r="L255" s="5" t="str">
        <f>IFERROR(__xludf.DUMMYFUNCTION("GOOGLETRANSLATE(C255)"),"GDZ of the Russian Federation - we have selected ready -made solutions to homework. You will find answers to questions, a brief and complete solution of problems, translations of texts from English, ...")</f>
        <v>GDZ of the Russian Federation - we have selected ready -made solutions to homework. You will find answers to questions, a brief and complete solution of problems, translations of texts from English, ...</v>
      </c>
      <c r="M255" s="5" t="str">
        <f>IFERROR(__xludf.DUMMYFUNCTION("GOOGLETRANSLATE(G255)"),"GDZ of the Russian Federation - ready -made homework Relations of the solution of solutions 1 class Mathematics English language Russian language German language Informatics Fundamentals of Health Music Arts Surdoning World and World Technology World of N"&amp;"ature and Human Physical Culture 2 Class Mathematics English language Russian Language Belorian language French Informatics Fundamentals of Health Music Arts Surviving World Man and World Technology Spanish language Kazakh language world of nature and man"&amp;" grade 3 Mathematics English language Russian language Belarusian Language Language Language Language Language Language Language Music Music Literature The World and World Technology Spanish Kazakh language world of nature and man Grade 4 mathematics Engl"&amp;"ish language Russian language Belarusian language Ukrainian language Formatics Fundamentally Health Music. Literature The world surrounding world and world Technology Spanish language Kazakh language world of nature and man grade 5 mathematics English Rus"&amp;"sian physics physics physics German Language Belorussian language Ukrainian language Biology History History Informatics GEDERSTY MUSSIALS LITYTURITARY Human Science Human Science Human Science Human Science Human Science and World Technology Spanish Lang"&amp;"uage Art Chinese Language Kubanovka Kazakh language Grade 6 Mathematics English Language Language Physics Physics Belorian Language Biology Biology History Informatics OBZh Geography Fundamentally Health Music Literature Literature Ecology Technology Natu"&amp;"ral Science Spanish Art The Art Chinese Language Cubances Kazakh language Grade 7 Mathematics English language Algebra Geometry Physics Chemistry Chemistry Belorussian Language Language Biology History History History Literature Literature Literature SCHO"&amp;"ODICATION DEATHING Ecology Ecology Technology Technology Spanish Art Chinese language Kubanovyka Kazakh language Grade 8 Mathematics Russian language Algebra Geometry Physics Chemistry German Language Belorussian language Ukrainian language Biology Histor"&amp;"y History History Literature Literature Drawing Ecology Technology Spanish Art Clobes 9th grade Mathematics English language Algebra geometry Physics Chemistry German Belorussian language Ukrainian language Biology History History Informatics Basics Funda"&amp;"mentals Health Literature SCHOOKING DECHISHING ISSACK ISSAND CUBANCHIARY COMPLANUSED CLAMICASH LANGUAGE DIARDICTIC LANGUAGY LANGUARY Russian LAVICISH GEOMICIAL LANGUAGED BELIUSSICAL LANGUARY LANGUARY BELISH Biology Biology History Informatics OBZh Geograp"&amp;"hy Literature Social Studies honey. Preparation of the Spanish language Kubanovsty Kazakh language 11th grade Mathematics English language Russian language algebra Geometry Physics Chemistry German Belorussian language Ukrainian Language Biology History H"&amp;"istory Informatics Obzh Geography Literature Social Studies Honey. Preparation of Astronomy Spanish language Kazakh language to establish an application create a site from scratch GDZ RF - ready homework Reshebniks Popular GDZ Russian language Grade 6 aut"&amp;"hors: M.T. Baranov T.A. Ladyzhenskaya Russian language grade 5 authors: M.T. Baranov T.A. Ladyzhenskaya Russian language grade 6 authors: M.M. Razumovskaya S.I. Lvova Russian language grade 6 practice authors: G.K. Lidman-Orlova S.N. Pimenova Russian lang"&amp;"uage grade 4 authors: V.P. Kanakina V.G. Goretsky mathematics Grade 6 authors: N.Ya. Vilenkin V.I. Zhokhov Mathematics Grade 4 Authors: M.I. Moro M.A. Banitova Mathematics Grade 5 basic level authors: A.G. Merzlyak V.B. Polonsky mathematics 6th grade basi"&amp;"c level authors: A.G. Merzlyak V.B. Polonsky English language grade 4 collection of exercises Spotlight authors: Bykova N.I. Pospelova M.D. The world around 3 class workbook Author: A.A. Pleshakov Mathematics Grade 4 Authors: Bashmakov M.I. Nefyodova M.G."&amp;" There is a myth about humanities and techies. Some - they write poetry and do not mind reading the classical literature others - do not depart from the computer and love exclusively accurate sciences. But this is too categorical opinion. Due to such gros"&amp;"s separation, students consider themselves incapable of science in advance. Mastery depends on the desire to understand certain things. Patience and a little effort! There is no division into groups capable and no. There is a red diploma that proves that "&amp;"to get it can be able to understand various topics. To become a professional and reach the goal, it is necessary to regularly devote time to independent classes. Of course, this is difficult to do this, therefore, there are virtual consultants. Currently,"&amp;" there is a tendency to increase the amount of material in basic school subjects. However, the clock on the study of many disciplines is reduced. This significantly affects the academic performance of schoolchildren, because they simply do not have enough"&amp;" time to learn all the new material. And to help students cope with the increased load, the authors of the textbooks prepare collections with ready -made homework. What are online regionalists on our website GDZ.rfjeza Parents and teachers often think tha"&amp;"t this is just a good method to write off answers, but in fact it is not. The use of such manuals carries a lot of positive points. Online GDZ will help: tighten assessments thereby increasing the level of performance; qualitatively prepare for verificati"&amp;"on control independent final work as well as various tests of dictations to exposures of works and even the exam and the OGE; quickly cope with homework; disassemble missing topics; Work on mistakes and eradicate their appearance. Why should you seek help"&amp;" from educational and methodological complexes through the GDZV school period often many difficulties, among which there is, for example, it is difficult for them to learn the whole theory to be prepared for a control dictation to testing the presentation"&amp;" as well as incorrectly completed work to deterioration of relations from The teacher and mothers and dad can be upset because of doubles and triples, and as a result, the desire and motivation to try to study. Boys and girls this year is not easy. Despit"&amp;"e the fact that the material from the elementary school course, many still manage to drag three and deuces home. This happens for several reasons: children can get sick of colds and therefore pass part of the lessons; Almost every child has two or three m"&amp;"andatory mugs or sections that take away forces and time; Some guys have their own pace of assimilation of new information and so far do not keep up with others; Boys and girls do not always understand what the teacher explains due to the carelessness of "&amp;"the fatigue of the desire to eat, etc.; Some students are not interested in lessons in previous classes and now reluctantly go to school. To solve the above problems, qualified methodologists advise students to start a reliable auxiliary resource that wil"&amp;"l always tell you not only the correct answer, but also the way to solve any task. Import the pluses of such resources is also that there are clues and useful comments to absolutely all mandatory subjects. The student will find detailed explanations of va"&amp;"rious mathematical theories and detailed solutions of the problems. Also here are the analysis of exercises in Russian and analyzes of works and stories in literature. In addition, a virtual consultant trains in natural sciences like chemistry of biology "&amp;"to natural science to a person and peace and so on. It is also important to note that online GDZs are created for students of any stage of training. The baby who recently went to school can also contact him and only gets used to the situation. Also, it wi"&amp;"ll be useful to go to the service of the middle level to repeat the passed or look a little forward and of course the collection will be necessary for a high school student who needs to prepare for the OGE or the exam. © 2023 GDZ.rf Feedback: admin@gdz")</f>
        <v>GDZ of the Russian Federation - ready -made homework Relations of the solution of solutions 1 class Mathematics English language Russian language German language Informatics Fundamentals of Health Music Arts Surdoning World and World Technology World of Nature and Human Physical Culture 2 Class Mathematics English language Russian Language Belorian language French Informatics Fundamentals of Health Music Arts Surviving World Man and World Technology Spanish language Kazakh language world of nature and man grade 3 Mathematics English language Russian language Belarusian Language Language Language Language Language Language Language Music Music Literature The World and World Technology Spanish Kazakh language world of nature and man Grade 4 mathematics English language Russian language Belarusian language Ukrainian language Formatics Fundamentally Health Music. Literature The world surrounding world and world Technology Spanish language Kazakh language world of nature and man grade 5 mathematics English Russian physics physics physics German Language Belorussian language Ukrainian language Biology History History Informatics GEDERSTY MUSSIALS LITYTURITARY Human Science Human Science Human Science Human Science Human Science and World Technology Spanish Language Art Chinese Language Kubanovka Kazakh language Grade 6 Mathematics English Language Language Physics Physics Belorian Language Biology Biology History Informatics OBZh Geography Fundamentally Health Music Literature Literature Ecology Technology Natural Science Spanish Art The Art Chinese Language Cubances Kazakh language Grade 7 Mathematics English language Algebra Geometry Physics Chemistry Chemistry Belorussian Language Language Biology History History History Literature Literature Literature SCHOODICATION DEATHING Ecology Ecology Technology Technology Spanish Art Chinese language Kubanovyka Kazakh language Grade 8 Mathematics Russian language Algebra Geometry Physics Chemistry German Language Belorussian language Ukrainian language Biology History History History Literature Literature Drawing Ecology Technology Spanish Art Clobes 9th grade Mathematics English language Algebra geometry Physics Chemistry German Belorussian language Ukrainian language Biology History History Informatics Basics Fundamentals Health Literature SCHOOKING DECHISHING ISSACK ISSAND CUBANCHIARY COMPLANUSED CLAMICASH LANGUAGE DIARDICTIC LANGUAGY LANGUARY Russian LAVICISH GEOMICIAL LANGUAGED BELIUSSICAL LANGUARY LANGUARY BELISH Biology Biology History Informatics OBZh Geography Literature Social Studies honey. Preparation of the Spanish language Kubanovsty Kazakh language 11th grade Mathematics English language Russian language algebra Geometry Physics Chemistry German Belorussian language Ukrainian Language Biology History History Informatics Obzh Geography Literature Social Studies Honey. Preparation of Astronomy Spanish language Kazakh language to establish an application create a site from scratch GDZ RF - ready homework Reshebniks Popular GDZ Russian language Grade 6 authors: M.T. Baranov T.A. Ladyzhenskaya Russian language grade 5 authors: M.T. Baranov T.A. Ladyzhenskaya Russian language grade 6 authors: M.M. Razumovskaya S.I. Lvova Russian language grade 6 practice authors: G.K. Lidman-Orlova S.N. Pimenova Russian language grade 4 authors: V.P. Kanakina V.G. Goretsky mathematics Grade 6 authors: N.Ya. Vilenkin V.I. Zhokhov Mathematics Grade 4 Authors: M.I. Moro M.A. Banitova Mathematics Grade 5 basic level authors: A.G. Merzlyak V.B. Polonsky mathematics 6th grade basic level authors: A.G. Merzlyak V.B. Polonsky English language grade 4 collection of exercises Spotlight authors: Bykova N.I. Pospelova M.D. The world around 3 class workbook Author: A.A. Pleshakov Mathematics Grade 4 Authors: Bashmakov M.I. Nefyodova M.G. There is a myth about humanities and techies. Some - they write poetry and do not mind reading the classical literature others - do not depart from the computer and love exclusively accurate sciences. But this is too categorical opinion. Due to such gross separation, students consider themselves incapable of science in advance. Mastery depends on the desire to understand certain things. Patience and a little effort! There is no division into groups capable and no. There is a red diploma that proves that to get it can be able to understand various topics. To become a professional and reach the goal, it is necessary to regularly devote time to independent classes. Of course, this is difficult to do this, therefore, there are virtual consultants. Currently, there is a tendency to increase the amount of material in basic school subjects. However, the clock on the study of many disciplines is reduced. This significantly affects the academic performance of schoolchildren, because they simply do not have enough time to learn all the new material. And to help students cope with the increased load, the authors of the textbooks prepare collections with ready -made homework. What are online regionalists on our website GDZ.rfjeza Parents and teachers often think that this is just a good method to write off answers, but in fact it is not. The use of such manuals carries a lot of positive points. Online GDZ will help: tighten assessments thereby increasing the level of performance; qualitatively prepare for verification control independent final work as well as various tests of dictations to exposures of works and even the exam and the OGE; quickly cope with homework; disassemble missing topics; Work on mistakes and eradicate their appearance. Why should you seek help from educational and methodological complexes through the GDZV school period often many difficulties, among which there is, for example, it is difficult for them to learn the whole theory to be prepared for a control dictation to testing the presentation as well as incorrectly completed work to deterioration of relations from The teacher and mothers and dad can be upset because of doubles and triples, and as a result, the desire and motivation to try to study. Boys and girls this year is not easy. Despite the fact that the material from the elementary school course, many still manage to drag three and deuces home. This happens for several reasons: children can get sick of colds and therefore pass part of the lessons; Almost every child has two or three mandatory mugs or sections that take away forces and time; Some guys have their own pace of assimilation of new information and so far do not keep up with others; Boys and girls do not always understand what the teacher explains due to the carelessness of the fatigue of the desire to eat, etc.; Some students are not interested in lessons in previous classes and now reluctantly go to school. To solve the above problems, qualified methodologists advise students to start a reliable auxiliary resource that will always tell you not only the correct answer, but also the way to solve any task. Import the pluses of such resources is also that there are clues and useful comments to absolutely all mandatory subjects. The student will find detailed explanations of various mathematical theories and detailed solutions of the problems. Also here are the analysis of exercises in Russian and analyzes of works and stories in literature. In addition, a virtual consultant trains in natural sciences like chemistry of biology to natural science to a person and peace and so on. It is also important to note that online GDZs are created for students of any stage of training. The baby who recently went to school can also contact him and only gets used to the situation. Also, it will be useful to go to the service of the middle level to repeat the passed or look a little forward and of course the collection will be necessary for a high school student who needs to prepare for the OGE or the exam. © 2023 GDZ.rf Feedback: admin@gdz</v>
      </c>
    </row>
    <row r="256">
      <c r="A256" s="1" t="s">
        <v>779</v>
      </c>
      <c r="B256" s="1" t="s">
        <v>801</v>
      </c>
      <c r="C256" s="1" t="s">
        <v>802</v>
      </c>
      <c r="D256" s="1">
        <v>6.0</v>
      </c>
      <c r="E256" s="4" t="s">
        <v>803</v>
      </c>
      <c r="F256" s="1" t="s">
        <v>16</v>
      </c>
      <c r="I256" s="2">
        <v>1.0</v>
      </c>
      <c r="J256" s="5" t="str">
        <f>IFERROR(__xludf.DUMMYFUNCTION("GOOGLETRANSLATE(A256)"),"Gdz")</f>
        <v>Gdz</v>
      </c>
      <c r="K256" s="6" t="str">
        <f>IFERROR(__xludf.DUMMYFUNCTION("GOOGLETRANSLATE(B256)"),"GDZ: Homework is excellent - pomogalka.me")</f>
        <v>GDZ: Homework is excellent - pomogalka.me</v>
      </c>
      <c r="L256" s="5" t="str">
        <f>IFERROR(__xludf.DUMMYFUNCTION("GOOGLETRANSLATE(C256)"),"Ready -made homework is an opportunity to prepare qualitatively in different subjects without paying money to tutors. Sometimes adults do not understand that ...")</f>
        <v>Ready -made homework is an opportunity to prepare qualitatively in different subjects without paying money to tutors. Sometimes adults do not understand that ...</v>
      </c>
      <c r="M256" s="5" t="str">
        <f>IFERROR(__xludf.DUMMYFUNCTION("GOOGLETRANSLATE(G256)"),"#VALUE!")</f>
        <v>#VALUE!</v>
      </c>
    </row>
    <row r="257">
      <c r="A257" s="1" t="s">
        <v>779</v>
      </c>
      <c r="B257" s="1" t="s">
        <v>804</v>
      </c>
      <c r="C257" s="1" t="s">
        <v>805</v>
      </c>
      <c r="D257" s="1">
        <v>7.0</v>
      </c>
      <c r="E257" s="4" t="s">
        <v>806</v>
      </c>
      <c r="F257" s="1" t="s">
        <v>16</v>
      </c>
      <c r="G257" s="1" t="s">
        <v>807</v>
      </c>
      <c r="H257" s="4" t="s">
        <v>808</v>
      </c>
      <c r="I257" s="2">
        <v>1.0</v>
      </c>
      <c r="J257" s="5" t="str">
        <f>IFERROR(__xludf.DUMMYFUNCTION("GOOGLETRANSLATE(A257)"),"Gdz")</f>
        <v>Gdz</v>
      </c>
      <c r="K257" s="6" t="str">
        <f>IFERROR(__xludf.DUMMYFUNCTION("GOOGLETRANSLATE(B257)"),"GDZ without errors, Reshebnik for school textbooks 1-11 ...")</f>
        <v>GDZ without errors, Reshebnik for school textbooks 1-11 ...</v>
      </c>
      <c r="L257" s="5" t="str">
        <f>IFERROR(__xludf.DUMMYFUNCTION("GOOGLETRANSLATE(C257)"),"GDZ without errors for students of grades 1–11 in mathematics, Russian, English, algebra, geometry and physics. Detailed and step -by -step solutions from teachers ...")</f>
        <v>GDZ without errors for students of grades 1–11 in mathematics, Russian, English, algebra, geometry and physics. Detailed and step -by -step solutions from teachers ...</v>
      </c>
      <c r="M257" s="5" t="str">
        <f>IFERROR(__xludf.DUMMYFUNCTION("GOOGLETRANSLATE(G257)"),"GDZ - ready -made homework of grade 1-11 - Skysmart solutions")</f>
        <v>GDZ - ready -made homework of grade 1-11 - Skysmart solutions</v>
      </c>
    </row>
    <row r="258">
      <c r="A258" s="1" t="s">
        <v>779</v>
      </c>
      <c r="B258" s="1" t="s">
        <v>809</v>
      </c>
      <c r="C258" s="1" t="s">
        <v>810</v>
      </c>
      <c r="D258" s="1">
        <v>8.0</v>
      </c>
      <c r="E258" s="4" t="s">
        <v>811</v>
      </c>
      <c r="F258" s="1" t="s">
        <v>16</v>
      </c>
      <c r="G258" s="1" t="s">
        <v>812</v>
      </c>
      <c r="H258" s="4" t="s">
        <v>813</v>
      </c>
      <c r="I258" s="2">
        <v>1.0</v>
      </c>
      <c r="J258" s="5" t="str">
        <f>IFERROR(__xludf.DUMMYFUNCTION("GOOGLETRANSLATE(A258)"),"Gdz")</f>
        <v>Gdz</v>
      </c>
      <c r="K258" s="6" t="str">
        <f>IFERROR(__xludf.DUMMYFUNCTION("GOOGLETRANSLATE(B258)"),"OK GDZ - photo Search for Reshebniks. Thousands of collections in ...")</f>
        <v>OK GDZ - photo Search for Reshebniks. Thousands of collections in ...</v>
      </c>
      <c r="L258" s="5" t="str">
        <f>IFERROR(__xludf.DUMMYFUNCTION("GOOGLETRANSLATE(C258)"),"At their core, ready -made homework are competently, in accordance with the requirements of education standards, decorated solutions for all ...")</f>
        <v>At their core, ready -made homework are competently, in accordance with the requirements of education standards, decorated solutions for all ...</v>
      </c>
      <c r="M258" s="5" t="str">
        <f>IFERROR(__xludf.DUMMYFUNCTION("GOOGLETRANSLATE(G258)"),"OK GDZ - photo Search for Reshebniks. Thousands of collections in the frame from you. Novoekon inspectors of the lesson -table of the tasks of the dictatorial -ponds of the process of classblog11lgebrahbraiybiraliytriography of the Geography of the Grace "&amp;"-by -Russian class 19th -biobiology geography of the Brandiyskiybiology Geography of anometeria -formatoriystoriystoriystermathematemathematics of the Russian grade 7 classalgebraitraibiology geometry -formatriymmetoriystoriystoriystoriystermathematemathe"&amp;"matics of grade and Literature of the Russian Classes 4 Class Hangliocr. Mirin -formatimathematemathematemathematemathemathemathemical class 3nggliocr. Mirin -formatimathematemathemathemathemathemical class2 Class Hangliocr. Mirliteramathematemathemathema"&amp;"themathemathemical -Russian dictations of the analysis of the poems of the course of the course of the tutorials of the lessons of the assignment of the GDZ - thousands of the top solutions at the ends of your finger, even those who recently were skeptica"&amp;"l of the State Duma, find them convenient and useful in their practice. The minimum of time is spent on finding the right answer. An opportunity to use the solver at any time of the day is far from all the advantages and advantages that these materials di"&amp;"stinguish. Increase your own performance to find out something new by taking a set Textbook-recipient from a different from the school curriculum in the subject-each user finds his own method and principle of applying these sources. What is favorably dist"&amp;"inguished by the online reference book? In essence, ready-made homework represent competently in In accordance with the requirements of the standards of education, executed solutions for all tasks by exercises and issues presented in the training manual t"&amp;"o which they are intended. In the finished answers of Euroki presented on the website. Org: all possible options for solving the task are considered if they are supposed in it; there are visual tools - graphs of the pattern of scheme so that the user as a"&amp;"ccurately understood the meaning of the presented solution; detailed comments are given - to understand the logic of the essence of the algorithm of finding The right decision to each task of the collection. A wide selection of residents in all subjects o"&amp;"f the school curriculum, namely in algebra mathematics, is presented. Russian as well as English biology of the history of geography, etc., resource is constantly updated to organize the most complete and high -quality work of interested users with it, co"&amp;"ntains the most relevant information. The advantage of the application of the GDZ in the educational process of the main goals of which is the online collections of ready -made answers: Organization of self -testing development skills of effective and eff"&amp;"ective independent work; the ability to understand how complex tasks are solved what is especially important for those for schoolchildren who, for one reason or another, missed the occupation block or are on remote family/home forms of training; assistanc"&amp;"e to parents of schoolchildren - using these data, they will be able to quickly and efficiently and efficiently Check the knowledge of your child in any discipline; this is a convenient tool for teachers and tutors for the competent organization of the sy"&amp;"stematization of their work - to plan to control the quality of students' knowledge. The collector of ready -made solutions is an excellent motivator that allows you to balance the intensive work and the necessary full rest and subsequently strive To keep"&amp;" the result obtained. A quality tool for self -training and development of self -control skills - using a reserve, you can engage in regularly and systematically mastering the material of school disciplines for various teaching materials and programs. Or "&amp;"- use it only when serious difficulties arise in the development of the material. So you can not only improve estimates by receiving a higher score, but also to acquire valuable and useful skills in analyzing your own self -training errors. Having spent a"&amp;" minimum of time, each user will be able to count on a high result! Classes: grade 2 grade4 grade5 grade6 grade7 Class8 Class9 Class10 Class11 Classes: Algebrai Englishbiology/OKR. Mirgegeography of the heinometriometry of anestorialiteraemathemathematima"&amp;"timatimatimatimatimatimatimatiyphyphysica -chimsimimi with study: dictations of the analysis of the analysis of the poem, autocratic list inspectors Task Task Company: On the soil advertising on the website © 2021 Copyright. All rights reserved. Copyright"&amp;" holder SIA Ksenokss. Address: 1069 Kurzemes Prospekt 106/45 Riga Latvia.: +371 29-851-888 E-mail: [Email Protected]")</f>
        <v>OK GDZ - photo Search for Reshebniks. Thousands of collections in the frame from you. Novoekon inspectors of the lesson -table of the tasks of the dictatorial -ponds of the process of classblog11lgebrahbraiybiraliytriography of the Geography of the Grace -by -Russian class 19th -biobiology geography of the Brandiyskiybiology Geography of anometeria -formatoriystoriystoriystermathematemathematics of the Russian grade 7 classalgebraitraibiology geometry -formatriymmetoriystoriystoriystoriystermathematemathematics of grade and Literature of the Russian Classes 4 Class Hangliocr. Mirin -formatimathematemathematemathematemathemathemathemical class 3nggliocr. Mirin -formatimathematemathemathemathemathemical class2 Class Hangliocr. Mirliteramathematemathemathemathemathemathemical -Russian dictations of the analysis of the poems of the course of the course of the tutorials of the lessons of the assignment of the GDZ - thousands of the top solutions at the ends of your finger, even those who recently were skeptical of the State Duma, find them convenient and useful in their practice. The minimum of time is spent on finding the right answer. An opportunity to use the solver at any time of the day is far from all the advantages and advantages that these materials distinguish. Increase your own performance to find out something new by taking a set Textbook-recipient from a different from the school curriculum in the subject-each user finds his own method and principle of applying these sources. What is favorably distinguished by the online reference book? In essence, ready-made homework represent competently in In accordance with the requirements of the standards of education, executed solutions for all tasks by exercises and issues presented in the training manual to which they are intended. In the finished answers of Euroki presented on the website. Org: all possible options for solving the task are considered if they are supposed in it; there are visual tools - graphs of the pattern of scheme so that the user as accurately understood the meaning of the presented solution; detailed comments are given - to understand the logic of the essence of the algorithm of finding The right decision to each task of the collection. A wide selection of residents in all subjects of the school curriculum, namely in algebra mathematics, is presented. Russian as well as English biology of the history of geography, etc., resource is constantly updated to organize the most complete and high -quality work of interested users with it, contains the most relevant information. The advantage of the application of the GDZ in the educational process of the main goals of which is the online collections of ready -made answers: Organization of self -testing development skills of effective and effective independent work; the ability to understand how complex tasks are solved what is especially important for those for schoolchildren who, for one reason or another, missed the occupation block or are on remote family/home forms of training; assistance to parents of schoolchildren - using these data, they will be able to quickly and efficiently and efficiently Check the knowledge of your child in any discipline; this is a convenient tool for teachers and tutors for the competent organization of the systematization of their work - to plan to control the quality of students' knowledge. The collector of ready -made solutions is an excellent motivator that allows you to balance the intensive work and the necessary full rest and subsequently strive To keep the result obtained. A quality tool for self -training and development of self -control skills - using a reserve, you can engage in regularly and systematically mastering the material of school disciplines for various teaching materials and programs. Or - use it only when serious difficulties arise in the development of the material. So you can not only improve estimates by receiving a higher score, but also to acquire valuable and useful skills in analyzing your own self -training errors. Having spent a minimum of time, each user will be able to count on a high result! Classes: grade 2 grade4 grade5 grade6 grade7 Class8 Class9 Class10 Class11 Classes: Algebrai Englishbiology/OKR. Mirgegeography of the heinometriometry of anestorialiteraemathemathematimatimatimatimatimatimatimatimatiyphyphysica -chimsimimi with study: dictations of the analysis of the analysis of the poem, autocratic list inspectors Task Task Company: On the soil advertising on the website © 2021 Copyright. All rights reserved. Copyright holder SIA Ksenokss. Address: 1069 Kurzemes Prospekt 106/45 Riga Latvia.: +371 29-851-888 E-mail: [Email Protected]</v>
      </c>
    </row>
    <row r="259">
      <c r="A259" s="1" t="s">
        <v>779</v>
      </c>
      <c r="B259" s="1" t="s">
        <v>814</v>
      </c>
      <c r="C259" s="1" t="s">
        <v>815</v>
      </c>
      <c r="D259" s="1">
        <v>9.0</v>
      </c>
      <c r="E259" s="4" t="s">
        <v>816</v>
      </c>
      <c r="F259" s="1" t="s">
        <v>16</v>
      </c>
      <c r="G259" s="1" t="s">
        <v>120</v>
      </c>
      <c r="H259" s="4" t="s">
        <v>121</v>
      </c>
      <c r="I259" s="2">
        <v>0.0</v>
      </c>
      <c r="J259" s="5" t="str">
        <f>IFERROR(__xludf.DUMMYFUNCTION("GOOGLETRANSLATE(A259)"),"Gdz")</f>
        <v>Gdz</v>
      </c>
      <c r="K259" s="6" t="str">
        <f>IFERROR(__xludf.DUMMYFUNCTION("GOOGLETRANSLATE(B259)"),"My Reshebnik - Applications in Google Play - GDZ")</f>
        <v>My Reshebnik - Applications in Google Play - GDZ</v>
      </c>
      <c r="L259" s="5" t="str">
        <f>IFERROR(__xludf.DUMMYFUNCTION("GOOGLETRANSLATE(C259)"),"Appendix ""GDZ: My Reshebnik"" provides the opportunity for users to quickly find their textbook and check the correct answers to any school materials ...")</f>
        <v>Appendix "GDZ: My Reshebnik" provides the opportunity for users to quickly find their textbook and check the correct answers to any school materials ...</v>
      </c>
      <c r="M259" s="5" t="str">
        <f>IFERROR(__xludf.DUMMYFUNCTION("GOOGLETRANSLATE(G259)"),"Android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60">
      <c r="A260" s="1" t="s">
        <v>779</v>
      </c>
      <c r="B260" s="1" t="s">
        <v>817</v>
      </c>
      <c r="C260" s="1" t="s">
        <v>818</v>
      </c>
      <c r="D260" s="1">
        <v>10.0</v>
      </c>
      <c r="E260" s="4" t="s">
        <v>819</v>
      </c>
      <c r="F260" s="1" t="s">
        <v>16</v>
      </c>
      <c r="G260" s="1" t="s">
        <v>820</v>
      </c>
      <c r="H260" s="1" t="s">
        <v>821</v>
      </c>
      <c r="I260" s="2">
        <v>1.0</v>
      </c>
      <c r="J260" s="5" t="str">
        <f>IFERROR(__xludf.DUMMYFUNCTION("GOOGLETRANSLATE(A260)"),"Gdz")</f>
        <v>Gdz</v>
      </c>
      <c r="K260" s="6" t="str">
        <f>IFERROR(__xludf.DUMMYFUNCTION("GOOGLETRANSLATE(B260)"),"Gdz.ltd: Ready homework for free!")</f>
        <v>Gdz.ltd: Ready homework for free!</v>
      </c>
      <c r="L260" s="5" t="str">
        <f>IFERROR(__xludf.DUMMYFUNCTION("GOOGLETRANSLATE(C260)"),"A great site with GDZ (ready -made homework), on which you will find solutions to all school textbooks for free.")</f>
        <v>A great site with GDZ (ready -made homework), on which you will find solutions to all school textbooks for free.</v>
      </c>
      <c r="M260" s="5" t="str">
        <f>IFERROR(__xludf.DUMMYFUNCTION("GOOGLETRANSLATE(G260)"),"Gdz.ltd: Ready homework for free! Gdz.ltdggdzgdzgdzgdzgdemetzksys123456789101112345678910111 English123456789101111123456789101111234567891011111111111informatics12345 6789101111111234567891011111111111234567891011MATEMATICA1234567891011111111123456789112"&amp;"345678911111111111111russian language123456789101010101010101010101010101010101010101010101010101010101010AR Zika12345678910111HIMIA1234567891011NALY BOOKS BARASHKOVASKORYS of exercises (to the textbook Vereshchagina 2018) English language ""Exam"" Barash"&amp;"kova -Belief (to the textbook Vereshchagina) English ""Examination"" Baranov -Evancesema Evances (deep -deep level) Class 2 ""Enlightenment"" Bara Nova The Kopylova Evansuchebnik (in -depth level) English class2 “Enlightenment” “Enlightenment” Afanasyev M"&amp;"ikheeva Baranov Chupranaccontrol work of English 2 Grade “Drof” Afanasyev Mikheeva Working Class2 “Drof” why GDZs have such popularity. The orderly parent considers his child the most beautiful and smartest. Therefore, when their offspring go to school, t"&amp;"hey believe that everything will go smoothly there. However, children rarely respond to expectations very early showing their individuality. Extremely quickly, schoolchildren are divided into humanities and lovers of exact sciences. Therefore, there are a"&amp;"lways objects with which students have problems. Difficulties are not necessarily serious, but one way or another cannot be avoided. And if parents still manage to smooth out roughnesses with home tasks until the fifth grade, then it is more difficult to "&amp;"do later. And sometimes a lack of knowledge among students begins to be felt before because sometimes dads and mothers do not have enough time to check their children. Most often, this leads to a decrease in performance and as a result a tutor is hired. O"&amp;"f course, no one denies the benefits of these classes, but it is impossible not to admit that sometimes this is very significantly in case of pockets, especially when the student has problems with several disciplines. The most optimal in such cases can be"&amp;" considered residents that can now be found in any subject and class. Many people think that this, on the contrary, will harm the child if he only learns to write off. But a lot in this case depends on parents. If you explain to your child how to handle s"&amp;"imilar manuals, then they will only strengthen knowledge and increase academic performance. GDZ - solves or exacerbates the problem. At the beginning of the educational process, when schoolchildren are still too impulsive, psychologists still do not recom"&amp;"mend giving residents for independent work. But they will provide excellent assistance to parents who can devote time to checking d/s because she will no longer take so much time. At the same time, dads and mothers will get acquainted with the modern pres"&amp;"entation of material in schools and will be able to help their child correct the mistakes that he made. In the older grades, you can teach the child to independently use collections to show the correct principle of working with them. This will develop res"&amp;"ponsibility in the child perseverance thoroughness. In addition, most schoolchildren will relate to this as the manifestation of confidence from adults, therefore, they will not want to lose it and is unlikely to abuse the write -off. Whether it is worth "&amp;"trusting the GDZ. All the Reshebniks are written exclusively by people who have a teaching education. And not only purely theoretical but also practical. The authors know how to present material to the students to remember and learn it. It is also importa"&amp;"nt that all the manuals are written strictly in accordance with the textbooks that are used in the school curriculum. Thus, the students even engaged in the write -off of the material repeat the previously studied in the classroom that it cannot but postp"&amp;"one the memory since the correlation of theory and practice is in front of his eyes. What are we ready to offer. What kind of textbook children are almost impossible, but on our website Gdz.ltd we tried to provide all the residents that you may need from "&amp;"grades 1 to 11. Here you can find collections of various authors and without any problems. Since your children a long and difficult path awaits your children, then you should not complicate it if you have a real opportunity to help the child with confiden"&amp;"ce and well study. Indeed, it is thanks to the support of loved ones that the children begin to make more efforts to prove that the faith in them is justified. Men1 grade2 grade 3 class5 grade 5 class7 class9 class10 class11 Class-POLUCAL BOOKS BUTUZOBUBN"&amp;"ICHEMETRIARY 7-9 Enlightenment Botuzovyan Butuzovoivnikgeometry10-11 Grade Vilenokin Vilenokin "" Schwarzburduchabnikmatmatika 6 Mnemosina Vilenkin Zhokhov Chesnokovchochematics Grade 5 Mnemosin GDZ.LTD 2023, Contact all questions by mail: [Email Protecte"&amp;"d]")</f>
        <v>Gdz.ltd: Ready homework for free! Gdz.ltdggdzgdzgdzgdzgdemetzksys123456789101112345678910111 English123456789101111123456789101111234567891011111111111informatics12345 6789101111111234567891011111111111234567891011MATEMATICA1234567891011111111123456789112345678911111111111111russian language123456789101010101010101010101010101010101010101010101010101010101010AR Zika12345678910111HIMIA1234567891011NALY BOOKS BARASHKOVASKORYS of exercises (to the textbook Vereshchagina 2018) English language "Exam" Barashkova -Belief (to the textbook Vereshchagina) English "Examination" Baranov -Evancesema Evances (deep -deep level) Class 2 "Enlightenment" Bara Nova The Kopylova Evansuchebnik (in -depth level) English class2 “Enlightenment” “Enlightenment” Afanasyev Mikheeva Baranov Chupranaccontrol work of English 2 Grade “Drof” Afanasyev Mikheeva Working Class2 “Drof” why GDZs have such popularity. The orderly parent considers his child the most beautiful and smartest. Therefore, when their offspring go to school, they believe that everything will go smoothly there. However, children rarely respond to expectations very early showing their individuality. Extremely quickly, schoolchildren are divided into humanities and lovers of exact sciences. Therefore, there are always objects with which students have problems. Difficulties are not necessarily serious, but one way or another cannot be avoided. And if parents still manage to smooth out roughnesses with home tasks until the fifth grade, then it is more difficult to do later. And sometimes a lack of knowledge among students begins to be felt before because sometimes dads and mothers do not have enough time to check their children. Most often, this leads to a decrease in performance and as a result a tutor is hired. Of course, no one denies the benefits of these classes, but it is impossible not to admit that sometimes this is very significantly in case of pockets, especially when the student has problems with several disciplines. The most optimal in such cases can be considered residents that can now be found in any subject and class. Many people think that this, on the contrary, will harm the child if he only learns to write off. But a lot in this case depends on parents. If you explain to your child how to handle similar manuals, then they will only strengthen knowledge and increase academic performance. GDZ - solves or exacerbates the problem. At the beginning of the educational process, when schoolchildren are still too impulsive, psychologists still do not recommend giving residents for independent work. But they will provide excellent assistance to parents who can devote time to checking d/s because she will no longer take so much time. At the same time, dads and mothers will get acquainted with the modern presentation of material in schools and will be able to help their child correct the mistakes that he made. In the older grades, you can teach the child to independently use collections to show the correct principle of working with them. This will develop responsibility in the child perseverance thoroughness. In addition, most schoolchildren will relate to this as the manifestation of confidence from adults, therefore, they will not want to lose it and is unlikely to abuse the write -off. Whether it is worth trusting the GDZ. All the Reshebniks are written exclusively by people who have a teaching education. And not only purely theoretical but also practical. The authors know how to present material to the students to remember and learn it. It is also important that all the manuals are written strictly in accordance with the textbooks that are used in the school curriculum. Thus, the students even engaged in the write -off of the material repeat the previously studied in the classroom that it cannot but postpone the memory since the correlation of theory and practice is in front of his eyes. What are we ready to offer. What kind of textbook children are almost impossible, but on our website Gdz.ltd we tried to provide all the residents that you may need from grades 1 to 11. Here you can find collections of various authors and without any problems. Since your children a long and difficult path awaits your children, then you should not complicate it if you have a real opportunity to help the child with confidence and well study. Indeed, it is thanks to the support of loved ones that the children begin to make more efforts to prove that the faith in them is justified. Men1 grade2 grade 3 class5 grade 5 class7 class9 class10 class11 Class-POLUCAL BOOKS BUTUZOBUBNICHEMETRIARY 7-9 Enlightenment Botuzovyan Butuzovoivnikgeometry10-11 Grade Vilenokin Vilenokin " Schwarzburduchabnikmatmatika 6 Mnemosina Vilenkin Zhokhov Chesnokovchochematics Grade 5 Mnemosin GDZ.LTD 2023, Contact all questions by mail: [Email Protected]</v>
      </c>
    </row>
    <row r="261">
      <c r="A261" s="1" t="s">
        <v>779</v>
      </c>
      <c r="B261" s="1" t="s">
        <v>822</v>
      </c>
      <c r="C261" s="1" t="s">
        <v>823</v>
      </c>
      <c r="D261" s="1">
        <v>11.0</v>
      </c>
      <c r="E261" s="4" t="s">
        <v>824</v>
      </c>
      <c r="F261" s="1" t="s">
        <v>16</v>
      </c>
      <c r="G261" s="1" t="s">
        <v>120</v>
      </c>
      <c r="H261" s="4" t="s">
        <v>121</v>
      </c>
      <c r="I261" s="2">
        <v>1.0</v>
      </c>
      <c r="J261" s="5" t="str">
        <f>IFERROR(__xludf.DUMMYFUNCTION("GOOGLETRANSLATE(A261)"),"Gdz")</f>
        <v>Gdz</v>
      </c>
      <c r="K261" s="6" t="str">
        <f>IFERROR(__xludf.DUMMYFUNCTION("GOOGLETRANSLATE(B261)"),"SKYSMART Solutions: GDZ on Izi")</f>
        <v>SKYSMART Solutions: GDZ on Izi</v>
      </c>
      <c r="L261" s="5" t="str">
        <f>IFERROR(__xludf.DUMMYFUNCTION("GOOGLETRANSLATE(C261)"),"Description. Arrow_forward. SKYSMART Solutions are a GDZ application for a school with which you can get GDZ from a photo in mathematics, English and GDZ by ...")</f>
        <v>Description. Arrow_forward. SKYSMART Solutions are a GDZ application for a school with which you can get GDZ from a photo in mathematics, English and GDZ by ...</v>
      </c>
      <c r="M261" s="5" t="str">
        <f>IFERROR(__xludf.DUMMYFUNCTION("GOOGLETRANSLATE(G261)"),"Android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62">
      <c r="A262" s="1" t="s">
        <v>779</v>
      </c>
      <c r="B262" s="1" t="s">
        <v>825</v>
      </c>
      <c r="C262" s="1" t="s">
        <v>826</v>
      </c>
      <c r="D262" s="1">
        <v>12.0</v>
      </c>
      <c r="E262" s="4" t="s">
        <v>827</v>
      </c>
      <c r="F262" s="1" t="s">
        <v>16</v>
      </c>
      <c r="G262" s="1" t="s">
        <v>34</v>
      </c>
      <c r="H262" s="4" t="s">
        <v>35</v>
      </c>
      <c r="I262" s="2">
        <v>2.0</v>
      </c>
      <c r="J262" s="5" t="str">
        <f>IFERROR(__xludf.DUMMYFUNCTION("GOOGLETRANSLATE(A262)"),"Gdz")</f>
        <v>Gdz</v>
      </c>
      <c r="K262" s="6" t="str">
        <f>IFERROR(__xludf.DUMMYFUNCTION("GOOGLETRANSLATE(B262)"),"Gdz.ru - Reshebnik")</f>
        <v>Gdz.ru - Reshebnik</v>
      </c>
      <c r="L262" s="5" t="str">
        <f>IFERROR(__xludf.DUMMYFUNCTION("GOOGLETRANSLATE(C262)"),"GDZ (finished homework), Reshebniks in the main school subjects for grades 1-4 and 5-11: GDZ in mathematics, algebra, geometry, Russian language, ...")</f>
        <v>GDZ (finished homework), Reshebniks in the main school subjects for grades 1-4 and 5-11: GDZ in mathematics, algebra, geometry, Russian language, ...</v>
      </c>
      <c r="M262" s="5" t="str">
        <f>IFERROR(__xludf.DUMMYFUNCTION("GOOGLETRANSLATE(G262)"),"VK.com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263">
      <c r="A263" s="1" t="s">
        <v>779</v>
      </c>
      <c r="B263" s="1" t="s">
        <v>828</v>
      </c>
      <c r="D263" s="1">
        <v>13.0</v>
      </c>
      <c r="E263" s="4" t="s">
        <v>829</v>
      </c>
      <c r="F263" s="1" t="s">
        <v>16</v>
      </c>
      <c r="G263" s="1" t="s">
        <v>830</v>
      </c>
      <c r="H263" s="1" t="s">
        <v>831</v>
      </c>
      <c r="I263" s="2">
        <v>1.0</v>
      </c>
      <c r="J263" s="5" t="str">
        <f>IFERROR(__xludf.DUMMYFUNCTION("GOOGLETRANSLATE(A263)"),"Gdz")</f>
        <v>Gdz</v>
      </c>
      <c r="K263" s="6" t="str">
        <f>IFERROR(__xludf.DUMMYFUNCTION("GOOGLETRANSLATE(B263)"),"GDZ - ready -made homework and residents")</f>
        <v>GDZ - ready -made homework and residents</v>
      </c>
      <c r="M263" s="5" t="str">
        <f>IFERROR(__xludf.DUMMYFUNCTION("GOOGLETRANSLATE(G263)"),"ГДЗ - готовые домашния задания и решебники  GDZ.PUB МенюНайтиГДЗ (готовые домашние задания)ПредметыКлассы1234567891011Алгебра1234567891011Английский язык1234567891011Биология1234567891011География1234567891011Геометрия1234567891011Информатика1234567891011"&amp;"История1234567891011Литература1234567891011Математика1234567891011Немецкий язык1234567891011Окружающий мир1234567891011Русский язык1234567891011Физика1234567891011Химия1234567891011Популярные книгиНемецкий язык 4 классУчебникБим Рыжова1 2«Просвещение»Лите"&amp;"ратура 1 классУчебникКацПланета знаний«Дрофа»Математика 3 классУчебникМоро Бантова БельтюковаШкола России«Просвещение»Биология 11 классУчебникБалан Верес ""Professions"" History of the 8th class of class 8 Mitrofanov Podfanov ""Drof"" English language 10 "&amp;"class Kazyrbaevawarem ""title"" Literature 6 class Ustinova Shamchikov1 2-algorithm ""Ventana-Graf"" algebrain 7 class Balass ""GDZ-good assistant Textbook from the first grade students It is necessary to absorb a large amount of information. Over time, t"&amp;"he training program will only become more complicated. Because of this, the attitude to study should be serious in nature not only in children, but also in their parents from whom for the most part and a direct example is taken. Considering the complexity"&amp;" of the general course of the teacher will not always be able to analyze in detail with the students all the subtleties of the subjects. That is why it is so important to be careful about all the words of the teacher and delve into the essence of discipli"&amp;"ne and not leave any spaces. In addition, it is necessary to instill in the children the habit of repeating the material completed at home in order to better learn it. In full naturally, not all of students will turn out from the first second and even thi"&amp;"rd time. Therefore, sometimes they will need help and support from adults. Since not all mothers and dads boast of deep knowledge in all subjects, they can come to the rescue of the revenue and more adult students who will help to understand their tasks. "&amp;"What is the help of GDZ? Since parents do not always have the opportunity to hire a tutor and many simply They do not believe in the effectiveness of these classes or a good way out of the situation can be the use of residents. Thanks to the logical struc"&amp;"ture and thorough solutions, the guys have the opportunity to track the whole principle of performing a particular exercise to identify what exactly they have errors and successfully cope with their correction. Moms and dads can, without spending unnecess"&amp;"ary time, qualitatively check their children and indicate the correct ways of deciding, thereby taking a direct part in the learning process. The main thing is that the students do not forget that these manuals cannot replace the direct mental in any case"&amp;" The process A is intended only for auxiliary assistance in case of difficulties. Therefore, the usual write -off can only worsen academic performance, while a thorough study of tasks will help not only receive good estimates, but also increase the genera"&amp;"l baggage of knowledge. Is it necessary to trust the GDZ? This is a very logical question given that the disinformation that is loved so much on the Internet. Therefore, do not forget that printed publications are written by professors who have more than "&amp;"one year of teaching behind their backs. In addition, these experts know all the nuances of those objects that are disassembled on the pages of the GDZ. The tasks and solutions presented on the site are completely identical to the original manuals. What i"&amp;"s our participation? The difficulties in studying are inevitable since every year new nuances arise in the learning program that cause many questions among students. On our website gdz.pub, soliders include all the necessary explanations and additions tha"&amp;"t will help the children to deal with any difficulties. © 2019-2023 “GDZ.PUB” [Email Protected] Close Processing Classes1234567891012345678910111ARITA 234567891011112345678910111112345678910111111123456789101111informatics123456789101111111123456789111111"&amp;"11123456789101MATEMATEMATICA11234567891 011 -German language1234567891011 Crowning MIR1234567891011ARUSH LANGUAGE123456789101IPHISICA1234567891011HIMIMA123456789101111")</f>
        <v>ГДЗ - готовые домашния задания и решебники  GDZ.PUB МенюНайтиГДЗ (готовые домашние задания)ПредметыКлассы1234567891011Алгебра1234567891011Английский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язык1234567891011Окружающий мир1234567891011Русский язык1234567891011Физика1234567891011Химия1234567891011Популярные книгиНемецкий язык 4 классУчебникБим Рыжова1 2«Просвещение»Литература 1 классУчебникКацПланета знаний«Дрофа»Математика 3 классУчебникМоро Бантова БельтюковаШкола России«Просвещение»Биология 11 классУчебникБалан Верес "Professions" History of the 8th class of class 8 Mitrofanov Podfanov "Drof" English language 10 class Kazyrbaevawarem "title" Literature 6 class Ustinova Shamchikov1 2-algorithm "Ventana-Graf" algebrain 7 class Balass "GDZ-good assistant Textbook from the first grade students It is necessary to absorb a large amount of information. Over time, the training program will only become more complicated. Because of this, the attitude to study should be serious in nature not only in children, but also in their parents from whom for the most part and a direct example is taken. Considering the complexity of the general course of the teacher will not always be able to analyze in detail with the students all the subtleties of the subjects. That is why it is so important to be careful about all the words of the teacher and delve into the essence of discipline and not leave any spaces. In addition, it is necessary to instill in the children the habit of repeating the material completed at home in order to better learn it. In full naturally, not all of students will turn out from the first second and even third time. Therefore, sometimes they will need help and support from adults. Since not all mothers and dads boast of deep knowledge in all subjects, they can come to the rescue of the revenue and more adult students who will help to understand their tasks. What is the help of GDZ? Since parents do not always have the opportunity to hire a tutor and many simply They do not believe in the effectiveness of these classes or a good way out of the situation can be the use of residents. Thanks to the logical structure and thorough solutions, the guys have the opportunity to track the whole principle of performing a particular exercise to identify what exactly they have errors and successfully cope with their correction. Moms and dads can, without spending unnecessary time, qualitatively check their children and indicate the correct ways of deciding, thereby taking a direct part in the learning process. The main thing is that the students do not forget that these manuals cannot replace the direct mental in any case The process A is intended only for auxiliary assistance in case of difficulties. Therefore, the usual write -off can only worsen academic performance, while a thorough study of tasks will help not only receive good estimates, but also increase the general baggage of knowledge. Is it necessary to trust the GDZ? This is a very logical question given that the disinformation that is loved so much on the Internet. Therefore, do not forget that printed publications are written by professors who have more than one year of teaching behind their backs. In addition, these experts know all the nuances of those objects that are disassembled on the pages of the GDZ. The tasks and solutions presented on the site are completely identical to the original manuals. What is our participation? The difficulties in studying are inevitable since every year new nuances arise in the learning program that cause many questions among students. On our website gdz.pub, soliders include all the necessary explanations and additions that will help the children to deal with any difficulties. © 2019-2023 “GDZ.PUB” [Email Protected] Close Processing Classes1234567891012345678910111ARITA 234567891011112345678910111112345678910111111123456789101111informatics12345678910111111112345678911111111123456789101MATEMATEMATICA11234567891 011 -German language1234567891011 Crowning MIR1234567891011ARUSH LANGUAGE123456789101IPHISICA1234567891011HIMIMA123456789101111</v>
      </c>
    </row>
    <row r="264">
      <c r="A264" s="1" t="s">
        <v>779</v>
      </c>
      <c r="B264" s="1" t="s">
        <v>832</v>
      </c>
      <c r="D264" s="1">
        <v>14.0</v>
      </c>
      <c r="E264" s="4" t="s">
        <v>833</v>
      </c>
      <c r="F264" s="1" t="s">
        <v>16</v>
      </c>
      <c r="G264" s="1" t="s">
        <v>834</v>
      </c>
      <c r="H264" s="4" t="s">
        <v>835</v>
      </c>
      <c r="I264" s="2">
        <v>1.0</v>
      </c>
      <c r="J264" s="5" t="str">
        <f>IFERROR(__xludf.DUMMYFUNCTION("GOOGLETRANSLATE(A264)"),"Gdz")</f>
        <v>Gdz</v>
      </c>
      <c r="K264" s="6" t="str">
        <f>IFERROR(__xludf.DUMMYFUNCTION("GOOGLETRANSLATE(B264)"),"GDZ for grade 1-11 - Reshebnik.com")</f>
        <v>GDZ for grade 1-11 - Reshebnik.com</v>
      </c>
      <c r="M264" s="5" t="str">
        <f>IFERROR(__xludf.DUMMYFUNCTION("GOOGLETRANSLATE(G264)"),"GDZ for grade 1-11 - Reshebnik. Klasses. Classes1234567891011VSE OF THE SEMPLEMATMATEMATEMATICARICARY LANGUAGEGEGEGEGEGEGEMETRIOMETRIOMICHIMICHICHICARY LAVICOUSH LAVICOUSH LAVICOSIC LANGUICASIC LANGUICASIC LAVISUSICA -FORMAROURAROLOGYARISEDSISEDARISAROURA"&amp;"RY ONE HEALTHOUSOSE OF HEALTHMARIOSED MAREMISELITERS INFORMATIONS. The preparation of the world man and the mirastronomy of an ecology technology test of the Spanish language of the Kubanovykazakh language of nature and a person of the video, at some poin"&amp;"t, every schoolboy feels that in his life the time has come for homework and lessons begins to take more and more time than usual than usual. Some of the students continue to persistently learn to receive good grades in subjects. The rest stop worrying ab"&amp;"out their knowledge turn away from studying, sliding down in the ladder with respect to academic performance and behavior. The main and primary task of our resource is to help students of all categories and ages in simplifying and accelerating the prepara"&amp;"tion of homework. Using the GDZ textbook on the chosen subject and having familiarized himself with the answer of any schoolboy, he is able to figure it out independently with the solution method for which he will subsequently receive a high appraisal. Wh"&amp;"en the student does not have obvious abilities for independent comparison of solutions to problems, then any adult is able to help. It will not be difficult for any mothers and dads to help their child using the Reshebs of the modern type that are written"&amp;" in quite affordable language. That is why parents can become active participants in the process of studying their children. And to schoolchildren with these reliable and convenient assistants, as duging will become easier to study. Why is it worth choosi"&amp;"ng exactly our online recruits? The GDZ has not been developed at all like cheat sheets for thoughtless write -off as many think. Experienced and professional methodologists created such a resource as an additional manual for an original printed school te"&amp;"xtbook. With its help, the student will be able to not only independently fix the material covered, but also qualitatively prepare for all types of tests, namely: by the control testing independent testing, the presentation of a vocabulary dictation and e"&amp;"ven to the main and single state exams. How to use auxiliary manuals, it is important to learn that it is simply not recommended to write off the finished keys to your notebook because it will be a bear service and such a student will never increase his t"&amp;"rue level of knowledge. You need to do all the tasks yourself and then the resulting result with the answer presented on the Reshebnik.com website. Such a virtual consultant will be able to perfectly prepare the student with any initial level of knowledge"&amp;" and training. The main advantages of using the online collection: a schoolboy can understand the topic independently without resorting to the help of adults and tutors; Having made a task, the student must cheer up with the Reshebnik and check how much h"&amp;"e learned the program; Using the electronic version, you can access a book from anywhere in the world; In the case of an incorrect response, GDZ will help you find a mistake and tell you how to correct. The explanations on what subjects are there on our w"&amp;"ebsite a solid of a com an important advantage of this portal is that there are clues and useful comments to absolutely all compulsory disciplines. The student will find detailed explanations of various mathematical theories and detailed solutions of the "&amp;"problems. Also here are the analysis of exercises in Russian and analyzes of works and stories in literature. In addition, a virtual consultant trains in natural sciences like chemistry of biology to the surrounding world. It is also important to note tha"&amp;"t online GDZs are created for students of any level of education. The baby who recently went to school can also contact him and only gets used to the situation. Also, it will be useful to go to the service of the middle level to repeat the traveled or loo"&amp;"k a little forward and of course the collection will be necessary for a high school student who is preparing with might and main for the OGE or the exam. Although the manual was created exclusively for students to use it and teachers in order to diversify"&amp;" their lessons. Many teachers use online GDZ to draw up a plan and consolidate their knowledge. Now let's list the other advantages of such an online assistant: you can view the data without even having a computer - just go from a phone or tablet and find"&amp;" out the answers to the tasks of interest; The service presents a video with explanations sorted into categories - this allows you to easily find the necessary answers and cope with the task; You no longer need to wait for the parents to return from work "&amp;"or the teacher will finally be freed in order to explain to you the principle of solving the next example; It will help to catch up (if for some reason the student missed the lesson, then you can close the gaps in your memory yourself and it is not necess"&amp;"ary to go to an expensive tutor or sign up for paid courses); It works online around the clock without any interruptions only you need to connect to the Internet. So do not lose time and rather start to deal with this unique educational and methodological"&amp;" complex. Then five and four will not make themselves wait and the academic performance will increase immediately! Any of the Reshak residents presented on our Internet resource is a real find for schoolchildren of different categories. Since all these de"&amp;"cisions are compiled with approval and, in accordance with certain requirements of the Ministry of Education and Science of the Russian Federation, they contain the correct results and confirmed information. We have everything you need to complete any hom"&amp;"ework. Come in will not regret it! © Reshebnik.com 2023 [Email Protected]")</f>
        <v>GDZ for grade 1-11 - Reshebnik. Klasses. Classes1234567891011VSE OF THE SEMPLEMATMATEMATEMATICARICARY LANGUAGEGEGEGEGEGEGEMETRIOMETRIOMICHIMICHICHICARY LAVICOUSH LAVICOUSH LAVICOSIC LANGUICASIC LANGUICASIC LAVISUSICA -FORMAROURAROLOGYARISEDSISEDARISAROURARY ONE HEALTHOUSOSE OF HEALTHMARIOSED MAREMISELITERS INFORMATIONS. The preparation of the world man and the mirastronomy of an ecology technology test of the Spanish language of the Kubanovykazakh language of nature and a person of the video, at some point, every schoolboy feels that in his life the time has come for homework and lessons begins to take more and more time than usual than usual. Some of the students continue to persistently learn to receive good grades in subjects. The rest stop worrying about their knowledge turn away from studying, sliding down in the ladder with respect to academic performance and behavior. The main and primary task of our resource is to help students of all categories and ages in simplifying and accelerating the preparation of homework. Using the GDZ textbook on the chosen subject and having familiarized himself with the answer of any schoolboy, he is able to figure it out independently with the solution method for which he will subsequently receive a high appraisal. When the student does not have obvious abilities for independent comparison of solutions to problems, then any adult is able to help. It will not be difficult for any mothers and dads to help their child using the Reshebs of the modern type that are written in quite affordable language. That is why parents can become active participants in the process of studying their children. And to schoolchildren with these reliable and convenient assistants, as duging will become easier to study. Why is it worth choosing exactly our online recruits? The GDZ has not been developed at all like cheat sheets for thoughtless write -off as many think. Experienced and professional methodologists created such a resource as an additional manual for an original printed school textbook. With its help, the student will be able to not only independently fix the material covered, but also qualitatively prepare for all types of tests, namely: by the control testing independent testing, the presentation of a vocabulary dictation and even to the main and single state exams. How to use auxiliary manuals, it is important to learn that it is simply not recommended to write off the finished keys to your notebook because it will be a bear service and such a student will never increase his true level of knowledge. You need to do all the tasks yourself and then the resulting result with the answer presented on the Reshebnik.com website. Such a virtual consultant will be able to perfectly prepare the student with any initial level of knowledge and training. The main advantages of using the online collection: a schoolboy can understand the topic independently without resorting to the help of adults and tutors; Having made a task, the student must cheer up with the Reshebnik and check how much he learned the program; Using the electronic version, you can access a book from anywhere in the world; In the case of an incorrect response, GDZ will help you find a mistake and tell you how to correct. The explanations on what subjects are there on our website a solid of a com an important advantage of this portal is that there are clues and useful comments to absolutely all compulsory disciplines. The student will find detailed explanations of various mathematical theories and detailed solutions of the problems. Also here are the analysis of exercises in Russian and analyzes of works and stories in literature. In addition, a virtual consultant trains in natural sciences like chemistry of biology to the surrounding world. It is also important to note that online GDZs are created for students of any level of education. The baby who recently went to school can also contact him and only gets used to the situation. Also, it will be useful to go to the service of the middle level to repeat the traveled or look a little forward and of course the collection will be necessary for a high school student who is preparing with might and main for the OGE or the exam. Although the manual was created exclusively for students to use it and teachers in order to diversify their lessons. Many teachers use online GDZ to draw up a plan and consolidate their knowledge. Now let's list the other advantages of such an online assistant: you can view the data without even having a computer - just go from a phone or tablet and find out the answers to the tasks of interest; The service presents a video with explanations sorted into categories - this allows you to easily find the necessary answers and cope with the task; You no longer need to wait for the parents to return from work or the teacher will finally be freed in order to explain to you the principle of solving the next example; It will help to catch up (if for some reason the student missed the lesson, then you can close the gaps in your memory yourself and it is not necessary to go to an expensive tutor or sign up for paid courses); It works online around the clock without any interruptions only you need to connect to the Internet. So do not lose time and rather start to deal with this unique educational and methodological complex. Then five and four will not make themselves wait and the academic performance will increase immediately! Any of the Reshak residents presented on our Internet resource is a real find for schoolchildren of different categories. Since all these decisions are compiled with approval and, in accordance with certain requirements of the Ministry of Education and Science of the Russian Federation, they contain the correct results and confirmed information. We have everything you need to complete any homework. Come in will not regret it! © Reshebnik.com 2023 [Email Protected]</v>
      </c>
    </row>
    <row r="265">
      <c r="A265" s="1" t="s">
        <v>779</v>
      </c>
      <c r="B265" s="1" t="s">
        <v>836</v>
      </c>
      <c r="C265" s="1" t="s">
        <v>818</v>
      </c>
      <c r="D265" s="1">
        <v>15.0</v>
      </c>
      <c r="E265" s="4" t="s">
        <v>837</v>
      </c>
      <c r="F265" s="1" t="s">
        <v>16</v>
      </c>
      <c r="G265" s="1" t="s">
        <v>838</v>
      </c>
      <c r="H265" s="4" t="s">
        <v>839</v>
      </c>
      <c r="I265" s="2">
        <v>1.0</v>
      </c>
      <c r="J265" s="5" t="str">
        <f>IFERROR(__xludf.DUMMYFUNCTION("GOOGLETRANSLATE(A265)"),"Gdz")</f>
        <v>Gdz</v>
      </c>
      <c r="K265" s="6" t="str">
        <f>IFERROR(__xludf.DUMMYFUNCTION("GOOGLETRANSLATE(B265)"),"GDZ: Ready -made homework without frost")</f>
        <v>GDZ: Ready -made homework without frost</v>
      </c>
      <c r="L265" s="5" t="str">
        <f>IFERROR(__xludf.DUMMYFUNCTION("GOOGLETRANSLATE(C265)"),"A great site with GDZ (ready -made homework), on which you will find solutions to all school textbooks for free.")</f>
        <v>A great site with GDZ (ready -made homework), on which you will find solutions to all school textbooks for free.</v>
      </c>
      <c r="M265" s="5" t="str">
        <f>IFERROR(__xludf.DUMMYFUNCTION("GOOGLETRANSLATE(G265)"),"GDZ: Ready -made homework without troubles gdzbezmorokigdzdzdzytklasses123456789101algebra1234567891011 English1234567891011111Astronomy1234567891101112345678911111234567 89101111111234567891011111111234567891011111111ocrodalization12345678910111111111234"&amp;"5678911111111111111111111111111111MATEMATICA12345678911111111111111111111111111111111111110111111111011111111011111110111111101111111011111110111111101111110111111110AR 1234567891011 Faculture12345678910111111111234567891011 -Russian language1234567891011"&amp;" technology1234567891011physics12345678911111111111112345678 910111112345678910111ECOLOGY1234567891011ECHOSK1234567891011NARY BOOKS OF MASIMOVARY LANGUAGE CLOSE 5 Vereshchagina Afanasyeva English test 3 class Aleksandrova Verbitsky Bogdano -Russian langua"&amp;"ge, Big Sadomovo Sannikovanemetsky language. Russian language test 5th grade flyaginggeegransmord to the GDZ have such popularity. The life of each parent once comes the time when The child has to be assembled to school. Perhaps for the guys themselves th"&amp;"is moment is still not as exciting as for their mothers and dads. Naturally there are certain expectations that the older generation directs to future schoolchildren. But the first class came and everything turned out to be completely different from it. I"&amp;"t seemed to be. The education system has undergone significant changes, then the program for students is significantly different from that which their parents once studied. The load that leads to a quick loss of interest in the educational process by chil"&amp;"dren has increased significantly. The volumes of d/s have also increased due to which students have practically no free time. In older grades, this problem is aggravated. All more often for schoolchildren and their parents, GDZs who have several very impo"&amp;"rtant advantages come to the rescue. The most basic is perhaps a significant saving of time that gives children a chance to do something else besides studying. Another advantage of these manuals can be called that mothers and dads do not have to spend muc"&amp;"h time checking their offspring. GDZ - solves or exacerbates the problem. In many ways, these collections can help with the control and systematization of knowledge in children. But in elementary school, when students are not yet able to understand the co"&amp;"rrect principle of working with GDZ, support from parents is expected. Of course, it is preferable to shift these responsibilities to someone else, therefore, they often resort to the services of tutors. But if you take into account the number of items fo"&amp;"r which additional classes are required, their help is quite expensive. Unfortunately, not everyone can afford it. In addition, most tutors use the same GDZ. The functionality and availability of these manuals is designed to use absolutely any person what"&amp;"ever knowledge he has. Therefore, after the fifth grade, you can gradually begin the preparation of the child to begin to use them on his own. The most important principle of which should be guided by the schoolboy is the one that GDZ will benefit if it i"&amp;"s used as an auxiliary material to check the performed d/s and not as a permanent cheat sheet. Is it necessary to trust the GDZ. Mnogys are asked by this question. On the one hand, it seems to be irrational to give schoolchildren a similar leadership wher"&amp;"e all ready -made answers are presented throughout the training rate. On the other hand, do not forget that these collections were originally compiled for teachers to speed up their work on students' homework. All the residents were written exclusively by"&amp;" teachers and professors, therefore, their works can be trusted. It is worth paying attention to the fact that modern schoolchildren set too large volumes of homework and extremely little time is given to their implementation. Arriving in constant anxiety"&amp;", children can be subject to a nervous breakdown, therefore, the use of GDZ is not only justified but also quite logical. What are we ready to offer. The very beginning when the child only goes to school is quite difficult to predict what he will have cra"&amp;"ving and what objects will cause big problems. Therefore, we decided to provide parents and schoolchildren on their own to choose the Reshebnik that they need by posting a full-fledged catalog on the GDZ on our website gdzbezmoroki.com. Class1 class2 grad"&amp;"e4 grade7 Class 19 Class10 Class11 Class11 Class11 Class11 Class11 Class11 Grade")</f>
        <v>GDZ: Ready -made homework without troubles gdzbezmorokigdzdzdzytklasses123456789101algebra1234567891011 English1234567891011111Astronomy1234567891101112345678911111234567 89101111111234567891011111111234567891011111111ocrodalization123456789101111111112345678911111111111111111111111111111MATEMATICA12345678911111111111111111111111111111111111110111111111011111111011111110111111101111111011111110111111101111110111111110AR 1234567891011 Faculture12345678910111111111234567891011 -Russian language1234567891011 technology1234567891011physics12345678911111111111112345678 910111112345678910111ECOLOGY1234567891011ECHOSK1234567891011NARY BOOKS OF MASIMOVARY LANGUAGE CLOSE 5 Vereshchagina Afanasyeva English test 3 class Aleksandrova Verbitsky Bogdano -Russian language, Big Sadomovo Sannikovanemetsky language. Russian language test 5th grade flyaginggeegransmord to the GDZ have such popularity. The life of each parent once comes the time when The child has to be assembled to school. Perhaps for the guys themselves this moment is still not as exciting as for their mothers and dads. Naturally there are certain expectations that the older generation directs to future schoolchildren. But the first class came and everything turned out to be completely different from it. It seemed to be. The education system has undergone significant changes, then the program for students is significantly different from that which their parents once studied. The load that leads to a quick loss of interest in the educational process by children has increased significantly. The volumes of d/s have also increased due to which students have practically no free time. In older grades, this problem is aggravated. All more often for schoolchildren and their parents, GDZs who have several very important advantages come to the rescue. The most basic is perhaps a significant saving of time that gives children a chance to do something else besides studying. Another advantage of these manuals can be called that mothers and dads do not have to spend much time checking their offspring. GDZ - solves or exacerbates the problem. In many ways, these collections can help with the control and systematization of knowledge in children. But in elementary school, when students are not yet able to understand the correct principle of working with GDZ, support from parents is expected. Of course, it is preferable to shift these responsibilities to someone else, therefore, they often resort to the services of tutors. But if you take into account the number of items for which additional classes are required, their help is quite expensive. Unfortunately, not everyone can afford it. In addition, most tutors use the same GDZ. The functionality and availability of these manuals is designed to use absolutely any person whatever knowledge he has. Therefore, after the fifth grade, you can gradually begin the preparation of the child to begin to use them on his own. The most important principle of which should be guided by the schoolboy is the one that GDZ will benefit if it is used as an auxiliary material to check the performed d/s and not as a permanent cheat sheet. Is it necessary to trust the GDZ. Mnogys are asked by this question. On the one hand, it seems to be irrational to give schoolchildren a similar leadership where all ready -made answers are presented throughout the training rate. On the other hand, do not forget that these collections were originally compiled for teachers to speed up their work on students' homework. All the residents were written exclusively by teachers and professors, therefore, their works can be trusted. It is worth paying attention to the fact that modern schoolchildren set too large volumes of homework and extremely little time is given to their implementation. Arriving in constant anxiety, children can be subject to a nervous breakdown, therefore, the use of GDZ is not only justified but also quite logical. What are we ready to offer. The very beginning when the child only goes to school is quite difficult to predict what he will have craving and what objects will cause big problems. Therefore, we decided to provide parents and schoolchildren on their own to choose the Reshebnik that they need by posting a full-fledged catalog on the GDZ on our website gdzbezmoroki.com. Class1 class2 grade4 grade7 Class 19 Class10 Class11 Class11 Class11 Class11 Class11 Class11 Grade</v>
      </c>
    </row>
    <row r="266">
      <c r="A266" s="1" t="s">
        <v>779</v>
      </c>
      <c r="B266" s="1" t="s">
        <v>840</v>
      </c>
      <c r="C266" s="1" t="s">
        <v>841</v>
      </c>
      <c r="D266" s="1">
        <v>16.0</v>
      </c>
      <c r="E266" s="4" t="s">
        <v>842</v>
      </c>
      <c r="F266" s="1" t="s">
        <v>16</v>
      </c>
      <c r="I266" s="2">
        <v>1.0</v>
      </c>
      <c r="J266" s="5" t="str">
        <f>IFERROR(__xludf.DUMMYFUNCTION("GOOGLETRANSLATE(A266)"),"Gdz")</f>
        <v>Gdz</v>
      </c>
      <c r="K266" s="6" t="str">
        <f>IFERROR(__xludf.DUMMYFUNCTION("GOOGLETRANSLATE(B266)"),"Result: GDZ to textbooks and working notebooks from 1 to 11 ...")</f>
        <v>Result: GDZ to textbooks and working notebooks from 1 to 11 ...</v>
      </c>
      <c r="L266" s="5" t="str">
        <f>IFERROR(__xludf.DUMMYFUNCTION("GOOGLETRANSLATE(C266)"),"Ready -made homework for Resinkka.ru will help to hand over the test and do homework for the five. Exercises are checked by experts.")</f>
        <v>Ready -made homework for Resinkka.ru will help to hand over the test and do homework for the five. Exercises are checked by experts.</v>
      </c>
      <c r="M266" s="5" t="str">
        <f>IFERROR(__xludf.DUMMYFUNCTION("GOOGLETRANSLATE(G266)"),"#VALUE!")</f>
        <v>#VALUE!</v>
      </c>
    </row>
    <row r="267">
      <c r="A267" s="1" t="s">
        <v>779</v>
      </c>
      <c r="B267" s="1" t="s">
        <v>843</v>
      </c>
      <c r="C267" s="1" t="s">
        <v>818</v>
      </c>
      <c r="D267" s="1">
        <v>17.0</v>
      </c>
      <c r="E267" s="4" t="s">
        <v>844</v>
      </c>
      <c r="F267" s="1" t="s">
        <v>16</v>
      </c>
      <c r="G267" s="1" t="s">
        <v>845</v>
      </c>
      <c r="H267" s="4" t="s">
        <v>846</v>
      </c>
      <c r="I267" s="2">
        <v>1.0</v>
      </c>
      <c r="J267" s="5" t="str">
        <f>IFERROR(__xludf.DUMMYFUNCTION("GOOGLETRANSLATE(A267)"),"Gdz")</f>
        <v>Gdz</v>
      </c>
      <c r="K267" s="6" t="str">
        <f>IFERROR(__xludf.DUMMYFUNCTION("GOOGLETRANSLATE(B267)"),"GDZ: Ready -made homework for free online on ...")</f>
        <v>GDZ: Ready -made homework for free online on ...</v>
      </c>
      <c r="L267" s="5" t="str">
        <f>IFERROR(__xludf.DUMMYFUNCTION("GOOGLETRANSLATE(C267)"),"A great site with GDZ (ready -made homework), on which you will find solutions to all school textbooks for free.")</f>
        <v>A great site with GDZ (ready -made homework), on which you will find solutions to all school textbooks for free.</v>
      </c>
      <c r="M267" s="5" t="str">
        <f>IFERROR(__xludf.DUMMYFUNCTION("GOOGLETRANSLATE(G267)"),"ГДЗ: Готовые домашние задания бесплатно онлайн на МегаШпора Megashpora.com МенюГДЗ1234567891011Алгебра1234567891011Английский язык1234567891011Астрономия1234567891011Белорусский язык1234567891011Биология1234567891011География1234567891011Геометрия12345678"&amp;"91011Информатика1234567891011История1234567891011Литература1234567891011Математика1234567891011Немецкий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язык1234567891011Технология1234567891011Физика1234567891"&amp;"011Французский язык1234567891011Химия1234567891011Черчение1234567891011Экология1234567891011Экономика1234567891011ГДЗ1234567891011Алгебра1234567891011Английский язык1234567891011Астрономия1234567891011Белорусский язык1234567891011Биология1234567891011Геог"&amp;"рафия1234567891011Геометрия1234567891011Информатика1234567891011История1234567891011Литература1234567891011Математика1234567891011Немецкий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язык1234567891011Техн"&amp;"ология1234567891011Физика1234567891011Французский язык1234567891011Химия1234567891011Черчение1234567891011Экология1234567891011Экономика1234567891011Популярные ГДЗРусский язык 7 классУчебникЛадыженская Баранов ТростенцоваПросвещениеАнглийский язык 9 класс"&amp;"Рабочая тетрадьRainbowАфанасьева Михеева БарановаТитулДля чего были придуманы ГДЗКогда ребенок идет в школу то родители поначалу мало задумываются About the difficulties that will arise before their children. And the difficulties will certainly appear bec"&amp;"ause a little student will have a thorny path of long at eleven. And if at first all the sharp corners can still be easily smooth out quite easily, then from the fifth grade training takes a very serious turn when it is impossible to do without help. Ever"&amp;"y year, the Ministry of Education more and more complicates the school curriculum trying to accommodate as much knowledge as possible in children. At the same time, the personal characteristics of students are not taken into account at all, because someon"&amp;"e is easy for someone, and someone needs more time to assimilate new material. In addition, there are problems with the teacher's composition. There are no good teachers who can clearly explain and tell. And if you came across a teacher who quickly played"&amp;" a lesson and left children with a bunch of questions? What to do in this case? Of course, you can hire a tutor that will deal with your child as much as necessary. But again, several tutors in various subjects that will come a couple of times a week or m"&amp;"ore are quite capable of ruining an average family. In order to maintain the family budget and be sure that your child will receive knowledge in full and learn only for good grades, experts offer to use GDZ. GDZ - help to schoolchildren and their parents "&amp;"first of all residents and all accompanying manuals were designed for parents that They would like to control the knowledge of their children. Since every year the curriculum is slightly modified, it is quite natural that those knowledge that the older ge"&amp;"neration received is a little outdated. And many are no longer able to provide effective help to your child in preparing homework. Therefore, using the help of the GDZ, parents will be able to not only make sure that their child did the right d/z but also"&amp;" help him in case of difficulties. Schoolists can also calmly use the help of residents in various objects. The fundamental moment in this case is that the GDZ is designed not just for aimless write -off, but for memorizing the previously completed materi"&amp;"al and consolidating it through the solution of practical tasks. Also, these manuals are a great opportunity to prepare a student for exams and final verification work. The repetition of the gathered in one siren of the gathered in one siren will clearly "&amp;"not be superfluous, since many students sometimes forget what they taught at the beginning of the course. Why you can be sure of the correctness of the GDZEI of the leadership are written by experienced teachers teaching at universities and universities. "&amp;"However, from the calculation of the age of schoolchildren, they tried to present all the material in the extremely accessible form so that students could calmly operate on the information received. In particularly difficult cases, the authors did not sti"&amp;"nt on comments. With the help of their manuals, they once again proved that study can bring joy if the student understands what exactly he teaches. We offer my weapon our website gdz.chat can find GDZ for any subject from grades 1 to 11. Just go to the si"&amp;"te and choose the sieve that you need. We tried to adapt the site as much as possible to the needs of students and their parents, providing the opportunity to find the manual of exactly the author that you need. Facilitate your children to your children, "&amp;"because they have ahead of them and so many difficulties and we will help you with pleasure! New Gdz Russian language grades 3 and control work of MAKAKIMOVAKICIAN LANGUAGE GROUND AFARSEVAGINARY AFANASEVIEVASKY 3 class 3 class of class 3 Bogdanovsheneman "&amp;"nicovar -warning12 megashpora.com © 2018 -2023 [email protected]")</f>
        <v>ГДЗ: Готовые домашние задания бесплатно онлайн на МегаШпора Megashpora.com МенюГДЗ1234567891011Алгебра1234567891011Английский язык1234567891011Астрономия1234567891011Белорусский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язык1234567891011Технология1234567891011Физика1234567891011Французский язык1234567891011Химия1234567891011Черчение1234567891011Экология1234567891011Экономика1234567891011ГДЗ1234567891011Алгебра1234567891011Английский язык1234567891011Астрономия1234567891011Белорусский язык1234567891011Биология1234567891011География1234567891011Геометрия1234567891011Информатика1234567891011История1234567891011Литература1234567891011Математика1234567891011Немецкий язык1234567891011ОБЖ1234567891011Обществознание1234567891011Окружающий мир1234567891011Русский язык1234567891011Технология1234567891011Физика1234567891011Французский язык1234567891011Химия1234567891011Черчение1234567891011Экология1234567891011Экономика1234567891011Популярные ГДЗРусский язык 7 классУчебникЛадыженская Баранов ТростенцоваПросвещениеАнглийский язык 9 классРабочая тетрадьRainbowАфанасьева Михеева БарановаТитулДля чего были придуманы ГДЗКогда ребенок идет в школу то родители поначалу мало задумываются About the difficulties that will arise before their children. And the difficulties will certainly appear because a little student will have a thorny path of long at eleven. And if at first all the sharp corners can still be easily smooth out quite easily, then from the fifth grade training takes a very serious turn when it is impossible to do without help. Every year, the Ministry of Education more and more complicates the school curriculum trying to accommodate as much knowledge as possible in children. At the same time, the personal characteristics of students are not taken into account at all, because someone is easy for someone, and someone needs more time to assimilate new material. In addition, there are problems with the teacher's composition. There are no good teachers who can clearly explain and tell. And if you came across a teacher who quickly played a lesson and left children with a bunch of questions? What to do in this case? Of course, you can hire a tutor that will deal with your child as much as necessary. But again, several tutors in various subjects that will come a couple of times a week or more are quite capable of ruining an average family. In order to maintain the family budget and be sure that your child will receive knowledge in full and learn only for good grades, experts offer to use GDZ. GDZ - help to schoolchildren and their parents first of all residents and all accompanying manuals were designed for parents that They would like to control the knowledge of their children. Since every year the curriculum is slightly modified, it is quite natural that those knowledge that the older generation received is a little outdated. And many are no longer able to provide effective help to your child in preparing homework. Therefore, using the help of the GDZ, parents will be able to not only make sure that their child did the right d/z but also help him in case of difficulties. Schoolists can also calmly use the help of residents in various objects. The fundamental moment in this case is that the GDZ is designed not just for aimless write -off, but for memorizing the previously completed material and consolidating it through the solution of practical tasks. Also, these manuals are a great opportunity to prepare a student for exams and final verification work. The repetition of the gathered in one siren of the gathered in one siren will clearly not be superfluous, since many students sometimes forget what they taught at the beginning of the course. Why you can be sure of the correctness of the GDZEI of the leadership are written by experienced teachers teaching at universities and universities. However, from the calculation of the age of schoolchildren, they tried to present all the material in the extremely accessible form so that students could calmly operate on the information received. In particularly difficult cases, the authors did not stint on comments. With the help of their manuals, they once again proved that study can bring joy if the student understands what exactly he teaches. We offer my weapon our website gdz.chat can find GDZ for any subject from grades 1 to 11. Just go to the site and choose the sieve that you need. We tried to adapt the site as much as possible to the needs of students and their parents, providing the opportunity to find the manual of exactly the author that you need. Facilitate your children to your children, because they have ahead of them and so many difficulties and we will help you with pleasure! New Gdz Russian language grades 3 and control work of MAKAKIMOVAKICIAN LANGUAGE GROUND AFARSEVAGINARY AFANASEVIEVASKY 3 class 3 class of class 3 Bogdanovsheneman nicovar -warning12 megashpora.com © 2018 -2023 [email protected]</v>
      </c>
    </row>
    <row r="268">
      <c r="A268" s="1" t="s">
        <v>779</v>
      </c>
      <c r="B268" s="1" t="s">
        <v>847</v>
      </c>
      <c r="C268" s="1" t="s">
        <v>848</v>
      </c>
      <c r="D268" s="1">
        <v>18.0</v>
      </c>
      <c r="E268" s="4" t="s">
        <v>849</v>
      </c>
      <c r="F268" s="1" t="s">
        <v>16</v>
      </c>
      <c r="I268" s="2">
        <v>1.0</v>
      </c>
      <c r="J268" s="5" t="str">
        <f>IFERROR(__xludf.DUMMYFUNCTION("GOOGLETRANSLATE(A268)"),"Gdz")</f>
        <v>Gdz</v>
      </c>
      <c r="K268" s="6" t="str">
        <f>IFERROR(__xludf.DUMMYFUNCTION("GOOGLETRANSLATE(B268)"),"GDZ - ready -made answers to all homework from Putin")</f>
        <v>GDZ - ready -made answers to all homework from Putin</v>
      </c>
      <c r="L268" s="5" t="str">
        <f>IFERROR(__xludf.DUMMYFUNCTION("GOOGLETRANSLATE(C268)"),"GDZ from Putin - ready -made answers to all homework ... On the educational portal ""GDZ from Putin Info"" there are ready -made answers, qualitatively executed ...")</f>
        <v>GDZ from Putin - ready -made answers to all homework ... On the educational portal "GDZ from Putin Info" there are ready -made answers, qualitatively executed ...</v>
      </c>
      <c r="M268" s="5" t="str">
        <f>IFERROR(__xludf.DUMMYFUNCTION("GOOGLETRANSLATE(G268)"),"#VALUE!")</f>
        <v>#VALUE!</v>
      </c>
    </row>
    <row r="269">
      <c r="A269" s="1" t="s">
        <v>779</v>
      </c>
      <c r="B269" s="1" t="s">
        <v>850</v>
      </c>
      <c r="C269" s="1" t="s">
        <v>851</v>
      </c>
      <c r="D269" s="1">
        <v>3.0</v>
      </c>
      <c r="E269" s="4" t="s">
        <v>852</v>
      </c>
      <c r="F269" s="1" t="s">
        <v>43</v>
      </c>
      <c r="G269" s="1" t="s">
        <v>853</v>
      </c>
      <c r="H269" s="4" t="s">
        <v>854</v>
      </c>
      <c r="I269" s="2">
        <v>1.0</v>
      </c>
      <c r="J269" s="5" t="str">
        <f>IFERROR(__xludf.DUMMYFUNCTION("GOOGLETRANSLATE(A269)"),"Gdz")</f>
        <v>Gdz</v>
      </c>
      <c r="K269" s="6" t="str">
        <f>IFERROR(__xludf.DUMMYFUNCTION("GOOGLETRANSLATE(B269)"),"GDZ (DZH): ready -made homework and answers - kzgdz ...")</f>
        <v>GDZ (DZH): ready -made homework and answers - kzgdz ...</v>
      </c>
      <c r="L269" s="5" t="str">
        <f>IFERROR(__xludf.DUMMYFUNCTION("GOOGLETRANSLATE(C269)"),"GDZ (DZH) for lessons for grades 1-11, solved tasks in mathematics, algebra, geometry, physics, chemistry.")</f>
        <v>GDZ (DZH) for lessons for grades 1-11, solved tasks in mathematics, algebra, geometry, physics, chemistry.</v>
      </c>
      <c r="M269" s="5" t="str">
        <f>IFERROR(__xludf.DUMMYFUNCTION("GOOGLETRANSLATE(G269)"),"GDZ (DZH): ready -made homework and answers - kzgdz.com kzgdz.com did not find a textbook? Grade 2 grade4 grade5 grade7 grade 19 class 9 class11 classes × conce. Algebra × × concele 789101111112geometry × optus 789101111informatics × comfort × opta × opta"&amp;" tilі2345678910 × Kazakh language and literature × opto × comfort × comfort × comfort × conce. 789 × 11 -Russian literature × conce. 56 × opto reading × comfort × comfort × comfort × concea × opto × conce.manse × comfort × comfort × comfort × conce. × 789"&amp;" × close × comfort × optu × comfort × comfort × comfort × comfort × comfort × comfort × comfort × comfort × comfort Kazakhstan × comfort × comfort × comfort did not find a textbook? Welcome to the site you made the right choice! A rich training program in"&amp;"cludes many disciplines. Each new lesson carries a stream of terms of theorems of examples. Lessons in the class home preparation additional classes of electives take a lot of effort and time from a modern schoolboy. Sometimes the information given by the"&amp;" teacher is difficult to perceive and is not absorbed in forty minutes. Arriving home, the student cannot correctly fulfill the ""household"" feels stupidly reduced interest in studying. At such moments, specialized literature is useful that our team has "&amp;"carefully left for you. All solutions and correct answers are collected in the most difficult sciences: algebra mathematics and geometry physics and chemistry. We note the beneficial functions of the Reshebniks: self -testing the analysis of our work for "&amp;"errors to identify gaps in knowledge at the initial stage of the under the implementation of the complex task of the parents to oversee the child’s educational process and also give an explanation of one or another terminology to master the self -esteem a"&amp;"nd self -confidence adaptation to the school course manifestation of a competitive interest. The knowledge is sure of it! ""GDZ"" is not about a thoughtless Writing is primarily a tool for increasing academic performance at the school of maximum benefit a"&amp;"nd pleasure from educational activities. The manual is also perfect for mothers and dads of teachers and tutors. © kzgdz.com 2023 Astana Kazakhstani copyright holders Dytgdz@gmail.com")</f>
        <v>GDZ (DZH): ready -made homework and answers - kzgdz.com kzgdz.com did not find a textbook? Grade 2 grade4 grade5 grade7 grade 19 class 9 class11 classes × conce. Algebra × × concele 789101111112geometry × optus 789101111informatics × comfort × opta × opta tilі2345678910 × Kazakh language and literature × opto × comfort × comfort × comfort × conce. 789 × 11 -Russian literature × conce. 56 × opto reading × comfort × comfort × comfort × concea × opto × conce.manse × comfort × comfort × comfort × conce. × 789 × close × comfort × optu × comfort × comfort × comfort × comfort × comfort × comfort × comfort × comfort × comfort Kazakhstan × comfort × comfort × comfort did not find a textbook? Welcome to the site you made the right choice! A rich training program includes many disciplines. Each new lesson carries a stream of terms of theorems of examples. Lessons in the class home preparation additional classes of electives take a lot of effort and time from a modern schoolboy. Sometimes the information given by the teacher is difficult to perceive and is not absorbed in forty minutes. Arriving home, the student cannot correctly fulfill the "household" feels stupidly reduced interest in studying. At such moments, specialized literature is useful that our team has carefully left for you. All solutions and correct answers are collected in the most difficult sciences: algebra mathematics and geometry physics and chemistry. We note the beneficial functions of the Reshebniks: self -testing the analysis of our work for errors to identify gaps in knowledge at the initial stage of the under the implementation of the complex task of the parents to oversee the child’s educational process and also give an explanation of one or another terminology to master the self -esteem and self -confidence adaptation to the school course manifestation of a competitive interest. The knowledge is sure of it! "GDZ" is not about a thoughtless Writing is primarily a tool for increasing academic performance at the school of maximum benefit and pleasure from educational activities. The manual is also perfect for mothers and dads of teachers and tutors. © kzgdz.com 2023 Astana Kazakhstani copyright holders Dytgdz@gmail.com</v>
      </c>
    </row>
    <row r="270">
      <c r="A270" s="1" t="s">
        <v>779</v>
      </c>
      <c r="B270" s="1" t="s">
        <v>855</v>
      </c>
      <c r="C270" s="1" t="s">
        <v>856</v>
      </c>
      <c r="D270" s="1">
        <v>8.0</v>
      </c>
      <c r="E270" s="4" t="s">
        <v>857</v>
      </c>
      <c r="F270" s="1" t="s">
        <v>43</v>
      </c>
      <c r="G270" s="1" t="s">
        <v>858</v>
      </c>
      <c r="H270" s="1" t="s">
        <v>859</v>
      </c>
      <c r="I270" s="2">
        <v>1.0</v>
      </c>
      <c r="J270" s="5" t="str">
        <f>IFERROR(__xludf.DUMMYFUNCTION("GOOGLETRANSLATE(A270)"),"Gdz")</f>
        <v>Gdz</v>
      </c>
      <c r="K270" s="6" t="str">
        <f>IFERROR(__xludf.DUMMYFUNCTION("GOOGLETRANSLATE(B270)"),"GDZ Rare GODICAL MASTERS - Reshebniks (GDZ) 1 ...")</f>
        <v>GDZ Rare GODICAL MASTERS - Reshebniks (GDZ) 1 ...</v>
      </c>
      <c r="L270" s="5" t="str">
        <f>IFERROR(__xludf.DUMMYFUNCTION("GOOGLETRANSLATE(C270)"),"Reshebniks (GDZ) 1 - 11 grade. GDZ answers in all subjects and solving homework for 5✚❗ Any online Reshebnik added to our GDZ site.")</f>
        <v>Reshebniks (GDZ) 1 - 11 grade. GDZ answers in all subjects and solving homework for 5✚❗ Any online Reshebnik added to our GDZ site.</v>
      </c>
      <c r="M270" s="5" t="str">
        <f>IFERROR(__xludf.DUMMYFUNCTION("GOOGLETRANSLATE(G270)"),"GDZ Raditable homework ❗ - Reshebniks (GDZ) 1 - 11 Grade to the content of Search for: 1 Classic language of themate -math -swing of myrrus reading2 Classic language -formatamathematamathematamathematimatamatamathematimatamatamatamatamatamatamatematematem"&amp;"atematematematematematematematematematematematematematematematematomatomalitural readable language of the Miranglian linguistic linguistic reader. KA4 CLASSIC LANGUAGEMATICARATICARA -FORMATICARY LANGUAGE OF THE CREAMING MIRMAMUSIC5 CLASMARAMARAROMARARY LA"&amp;"NGURAROURARYSHICAL LUNDERISTICTISTORITISTORITIABIOLOGIOLOGIOLOGISEN FORMATICARY CLASSIC SUNGSISTICAL MARNGLISHMATICARICARY PUSCOMATICARY LANGURAROUROOODIROOOLOGIOLOGIRAROURARY Language 7 Class -Russian Language Linguistic Landing Physicalgi -formatibiolog"&amp;"y, geometry of the Imariystory8 Classic language -hagliygliymmetrochemical nesting, neniya GDZ Red -ready homework 1 Classic language of the language of the world -circulating myrrus -shock -circuent reading of the Classic language -formatamathemathemathe"&amp;"mathematimathemathemathematimathemathemathematimathematimathemathematimathematimathemathematical language linguistic readership 3 Classic linguistic linguistic -formal formatical readematomatama -enlarged language -formatomathematical re -subjects of the "&amp;"city of peace KA5 classmate -Russian language of the English language of the English linguistics of the monstoriystoriystori -formatic -formatics language of the class of class of the Class -Mathematics of the Language of the Language -formatiystoriystori"&amp;"ystoriyegioliolitheuman language of the 7th grade Russian Language Languages ​​of the Languages ​​8 Clames PACHACHLIISHIC LAVGEGHEGHIMIMICHIMENBISHISHISHISHOGOSHISHIography Informatiology Technology 9 CLASSICALISHIC LANGUAGICAICAROGOBROBOGHMIMICHIMICISHIC"&amp;"ARY LISTIOGIOLOGIOLOGYAROGISHISHISHISHISHISHISHISHOGISHICS10 CLASSIC CLASS CLAMS CLAMS CLAMS CLAMS CLAS CLASS CLAS CLASS Mirgeeography Informatics Chhydriystoriystoriystoriystoriytihiology Obzhemuzheymmetriyemetskiye technology, our GDZ will be useful to "&amp;"you? The site with ready -made home tasks is options that are designed competently and in full compliance with the required standards of the educational system of the Russian Federation . Everyone can find a lot of positive aspects in the already prepared"&amp;" GDZ answers: various solutions to the tasks (in case of their presence); a visual demonstration of tools-schedules of illustrations that allow more in detail to understand the meaning of the solution that is presented; detailed comments due to the studen"&amp;"t understands The essence of the logic and algorithm of the correct solutions and answers; a large selection of GDZ Reshebniks in almost all school subjects, including the Russian language, mathematics of the geometry of chemistry of the English language "&amp;"of history, etc. The resource base of gdz.red regularly updates and contains relevant data. What is the resource useful? Disputes about the benefits of the resource of ready-made homework and GDZ answers began to subside, since even skeptical experts were"&amp;" assessed the usefulness of solver and convenience. The process requires a minimum of time to search for the right solution, but at the same time the student manages to train his mind skills and to adults to remember the school curriculum. Moreover, every"&amp;"one has their own principles and methods of using these sources. What is the GDZ Reshebnik online for? First of all, ready -made homework online are designed to relieve exorbitant loads in the modern system of school education and form self -control of th"&amp;"eir own approaches to solutions to complex problems. The current educational system raises a lot of questions - both schoolchildren and teachers and parents of students complain about excessive loads. Developed by experienced specialists in the field of p"&amp;"edagogy and all types of disciplines, the GDZ complex in disciplines makes it possible to simplify the process of preparing for the lessons. This is a great way to arm yourself in skills in such objects as: physics; chemistry; geography; biology; geometry"&amp;"; algebra; Russian language and literature; foreign languages ​​and literature (to choose from); computer science, etc. Advantages of GDZV than the benefits of ready -made homework for students ? There are many answers to this question, among which the fo"&amp;"llowing points are most relevant: the effectiveness of the online Reshebniks is proved by the fact that not only school students but adults use it. Thus, parents can, with the help of GDZ-answers, gain or make up for their knowledge and help their beloved"&amp;" child perform qualitatively homework; the child develops self-testing skills The ability to work independently and effectively; students who have missed for certain reasons or located on a remote (home/family) system) training is given the opportunity to"&amp;" understand the ways of solving complex problems; the motivational component - Reshebniks allow you to systematize independent homework: to control the plan and determine the quality of students' knowledge to balance the intensity of the lessons, which ma"&amp;"kes it possible to get a good rest and excellent results. GDZs are a universal tool that can be used as a method of self -training And as finding skills. Using the Reshebnik, you can deal with the child at any time easily and at ease, mastering the new ma"&amp;"terial in various subjects. Also, the use of ready -made solved homework allows you to additionally train skills in any discipline and increase the ball estimate. It is important to note that the GDZ online was created as an auxiliary material for student"&amp;"s, regardless of the stage of teaching persons on the training of a middle level for those who decided to get a little ahead of time and test their abilities on tasks of a more complex nature in preparation for passing the USE or OGE. How to use the Reshe"&amp;"bnik? The GDZ Reshebnik is designed to study students with a missed or incomprehensible paragraph. Thus, a child can once and in more detail with the help of solving the problem to master the material completed and subsequently independently form a large "&amp;"part of the answers. The best way to use the GDZ for children is to use the Reshebnik parents as a test at home knowledge of the knowledge gained at school. Thanks to the material provided, adults can easily update their knowledge and plunge into the topi"&amp;"c and also focus on the most important objects and educate children with a conscious attitude to online GDZ only to complete complex tasks in order to understand the subject in more detail The solutions and answers of the State Duma on our website were te"&amp;"sted from leading teachers and do not contain typos and errors. A competent and professional approach to preparing ready -made answers to questions guarantees for students and parents an excellent result of mastering subjects. The company’s team regularly"&amp;" monitors the process of changes in education and disciplines in particular and updates them in the order of current time. Fail with friends of the confidentiality communication policy on the preparations for the preparations for the USED for the United S"&amp;"tates © 2023 GDZ Red")</f>
        <v>GDZ Raditable homework ❗ - Reshebniks (GDZ) 1 - 11 Grade to the content of Search for: 1 Classic language of themate -math -swing of myrrus reading2 Classic language -formatamathematamathematamathematimatamatamathematimatamatamatamatamatamatamatematematematematematematematematematematematematematematematematematematematomatomalitural readable language of the Miranglian linguistic linguistic reader. KA4 CLASSIC LANGUAGEMATICARATICARA -FORMATICARY LANGUAGE OF THE CREAMING MIRMAMUSIC5 CLASMARAMARAROMARARY LANGURAROURARYSHICAL LUNDERISTICTISTORITISTORITIABIOLOGIOLOGIOLOGISEN FORMATICARY CLASSIC SUNGSISTICAL MARNGLISHMATICARICARY PUSCOMATICARY LANGURAROUROOODIROOOLOGIOLOGIRAROURARY Language 7 Class -Russian Language Linguistic Landing Physicalgi -formatibiology, geometry of the Imariystory8 Classic language -hagliygliymmetrochemical nesting, neniya GDZ Red -ready homework 1 Classic language of the language of the world -circulating myrrus -shock -circuent reading of the Classic language -formatamathemathemathemathematimathemathemathematimathemathemathematimathematimathemathematimathematimathemathematical language linguistic readership 3 Classic linguistic linguistic -formal formatical readematomatama -enlarged language -formatomathematical re -subjects of the city of peace KA5 classmate -Russian language of the English language of the English linguistics of the monstoriystoriystori -formatic -formatics language of the class of class of the Class -Mathematics of the Language of the Language -formatiystoriystoriystoriyegioliolitheuman language of the 7th grade Russian Language Languages ​​of the Languages ​​8 Clames PACHACHLIISHIC LAVGEGHEGHIMIMICHIMENBISHISHISHISHOGOSHISHIography Informatiology Technology 9 CLASSICALISHIC LANGUAGICAICAROGOBROBOGHMIMICHIMICISHICARY LISTIOGIOLOGIOLOGYAROGISHISHISHISHISHISHISHISHOGISHICS10 CLASSIC CLASS CLAMS CLAMS CLAMS CLAMS CLAS CLASS CLAS CLASS Mirgeeography Informatics Chhydriystoriystoriystoriystoriytihiology Obzhemuzheymmetriyemetskiye technology, our GDZ will be useful to you? The site with ready -made home tasks is options that are designed competently and in full compliance with the required standards of the educational system of the Russian Federation . Everyone can find a lot of positive aspects in the already prepared GDZ answers: various solutions to the tasks (in case of their presence); a visual demonstration of tools-schedules of illustrations that allow more in detail to understand the meaning of the solution that is presented; detailed comments due to the student understands The essence of the logic and algorithm of the correct solutions and answers; a large selection of GDZ Reshebniks in almost all school subjects, including the Russian language, mathematics of the geometry of chemistry of the English language of history, etc. The resource base of gdz.red regularly updates and contains relevant data. What is the resource useful? Disputes about the benefits of the resource of ready-made homework and GDZ answers began to subside, since even skeptical experts were assessed the usefulness of solver and convenience. The process requires a minimum of time to search for the right solution, but at the same time the student manages to train his mind skills and to adults to remember the school curriculum. Moreover, everyone has their own principles and methods of using these sources. What is the GDZ Reshebnik online for? First of all, ready -made homework online are designed to relieve exorbitant loads in the modern system of school education and form self -control of their own approaches to solutions to complex problems. The current educational system raises a lot of questions - both schoolchildren and teachers and parents of students complain about excessive loads. Developed by experienced specialists in the field of pedagogy and all types of disciplines, the GDZ complex in disciplines makes it possible to simplify the process of preparing for the lessons. This is a great way to arm yourself in skills in such objects as: physics; chemistry; geography; biology; geometry; algebra; Russian language and literature; foreign languages ​​and literature (to choose from); computer science, etc. Advantages of GDZV than the benefits of ready -made homework for students ? There are many answers to this question, among which the following points are most relevant: the effectiveness of the online Reshebniks is proved by the fact that not only school students but adults use it. Thus, parents can, with the help of GDZ-answers, gain or make up for their knowledge and help their beloved child perform qualitatively homework; the child develops self-testing skills The ability to work independently and effectively; students who have missed for certain reasons or located on a remote (home/family) system) training is given the opportunity to understand the ways of solving complex problems; the motivational component - Reshebniks allow you to systematize independent homework: to control the plan and determine the quality of students' knowledge to balance the intensity of the lessons, which makes it possible to get a good rest and excellent results. GDZs are a universal tool that can be used as a method of self -training And as finding skills. Using the Reshebnik, you can deal with the child at any time easily and at ease, mastering the new material in various subjects. Also, the use of ready -made solved homework allows you to additionally train skills in any discipline and increase the ball estimate. It is important to note that the GDZ online was created as an auxiliary material for students, regardless of the stage of teaching persons on the training of a middle level for those who decided to get a little ahead of time and test their abilities on tasks of a more complex nature in preparation for passing the USE or OGE. How to use the Reshebnik? The GDZ Reshebnik is designed to study students with a missed or incomprehensible paragraph. Thus, a child can once and in more detail with the help of solving the problem to master the material completed and subsequently independently form a large part of the answers. The best way to use the GDZ for children is to use the Reshebnik parents as a test at home knowledge of the knowledge gained at school. Thanks to the material provided, adults can easily update their knowledge and plunge into the topic and also focus on the most important objects and educate children with a conscious attitude to online GDZ only to complete complex tasks in order to understand the subject in more detail The solutions and answers of the State Duma on our website were tested from leading teachers and do not contain typos and errors. A competent and professional approach to preparing ready -made answers to questions guarantees for students and parents an excellent result of mastering subjects. The company’s team regularly monitors the process of changes in education and disciplines in particular and updates them in the order of current time. Fail with friends of the confidentiality communication policy on the preparations for the preparations for the USED for the United States © 2023 GDZ Red</v>
      </c>
    </row>
    <row r="271">
      <c r="A271" s="1" t="s">
        <v>779</v>
      </c>
      <c r="B271" s="1" t="s">
        <v>860</v>
      </c>
      <c r="C271" s="1" t="s">
        <v>861</v>
      </c>
      <c r="D271" s="1">
        <v>10.0</v>
      </c>
      <c r="E271" s="4" t="s">
        <v>862</v>
      </c>
      <c r="F271" s="1" t="s">
        <v>43</v>
      </c>
      <c r="G271" s="1" t="s">
        <v>863</v>
      </c>
      <c r="H271" s="1" t="s">
        <v>864</v>
      </c>
      <c r="I271" s="2">
        <v>2.0</v>
      </c>
      <c r="J271" s="5" t="str">
        <f>IFERROR(__xludf.DUMMYFUNCTION("GOOGLETRANSLATE(A271)"),"Gdz")</f>
        <v>Gdz</v>
      </c>
      <c r="K271" s="6" t="str">
        <f>IFERROR(__xludf.DUMMYFUNCTION("GOOGLETRANSLATE(B271)"),"Resheb - Reshebniks and Belarusian GDZ 2023")</f>
        <v>Resheb - Reshebniks and Belarusian GDZ 2023</v>
      </c>
      <c r="L271" s="5" t="str">
        <f>IFERROR(__xludf.DUMMYFUNCTION("GOOGLETRANSLATE(C271)"),"On the Resheb website, you will find residents of school textbooks for all classes. High -quality GDZ in all subjects is completely free!")</f>
        <v>On the Resheb website, you will find residents of school textbooks for all classes. High -quality GDZ in all subjects is completely free!</v>
      </c>
      <c r="M271" s="5" t="str">
        <f>IFERROR(__xludf.DUMMYFUNCTION("GOOGLETRANSLATE(G271)"),"Resesiba - Reshebnikii and Belarusian glasses 2023 1st grade mathematussky language 3th grade mathematusian language language language language language language language language language language language and the world 6th grade math mathematorarus lang"&amp;"uage Belarusian English Language English language language 8th grade algebredsomometriyarusian language language language language writing 9th grade algebredsometriyasonographyographyography: grade algebrelussian language language language language 11th g"&amp;"rade algebraussian lazykhangeliy languagebelorussian spring ыкфизикахишеба. Reshebniki and Gdz 2023mattematics2-6 Class23456algebra7-11 Class7891011Geometrie7-11 Class7891011 Belgium2-11 Class23-11 Class34567891011 199345678910111011x Imi 7-11 Class789101"&amp;"10110110110110110110115 Class5789istory5 Class5Neography and Mir3-5 Class35Geography Language6 Class5674567891011PopulareMatics 5 Classgerasimov V. D. Pyutko O. N.2017 Gatatematika 6 Grasserasimov V. D. Pyutko O. Нер грусский 6 Classmurina L. A Ignatovich"&amp;" T. V.2020 GRUSE 7 CLASSVILYS T. N. Litvinko F. M.2020 Gbelous language 6 classwalcut g. M. Zelyanko V. U.2020 draw sermes gd f benefits for you? Scientist teachers reap the grief of Belarusian School. With our school resolves of the school can be ranged "&amp;"by a range topic. Hod Solvents helps learned logical action information in the use of information from the management of refunting information from the manner of what he can start with the material. It is also important to be faithful to be fugitive to it"&amp;" shind children No Mogut Tselikom and the full rooms. admin@resheba.top We in VKontakte Copyright NoticeContacts © Chronic 2023")</f>
        <v>Resesiba - Reshebnikii and Belarusian glasses 2023 1st grade mathematussky language 3th grade mathematusian language language language language language language language language language language language and the world 6th grade math mathematorarus language Belarusian English Language English language language 8th grade algebredsomometriyarusian language language language language writing 9th grade algebredsometriyasonographyographyography: grade algebrelussian language language language language 11th grade algebraussian lazykhangeliy languagebelorussian spring ыкфизикахишеба. Reshebniki and Gdz 2023mattematics2-6 Class23456algebra7-11 Class7891011Geometrie7-11 Class7891011 Belgium2-11 Class23-11 Class34567891011 199345678910111011x Imi 7-11 Class78910110110110110110110110115 Class5789istory5 Class5Neography and Mir3-5 Class35Geography Language6 Class5674567891011PopulareMatics 5 Classgerasimov V. D. Pyutko O. N.2017 Gatatematika 6 Grasserasimov V. D. Pyutko O. Нер грусский 6 Classmurina L. A Ignatovich T. V.2020 GRUSE 7 CLASSVILYS T. N. Litvinko F. M.2020 Gbelous language 6 classwalcut g. M. Zelyanko V. U.2020 draw sermes gd f benefits for you? Scientist teachers reap the grief of Belarusian School. With our school resolves of the school can be ranged by a range topic. Hod Solvents helps learned logical action information in the use of information from the management of refunting information from the manner of what he can start with the material. It is also important to be faithful to be fugitive to it shind children No Mogut Tselikom and the full rooms. admin@resheba.top We in VKontakte Copyright NoticeContacts © Chronic 2023</v>
      </c>
    </row>
    <row r="272">
      <c r="A272" s="1" t="s">
        <v>779</v>
      </c>
      <c r="B272" s="1" t="s">
        <v>865</v>
      </c>
      <c r="C272" s="1" t="s">
        <v>866</v>
      </c>
      <c r="D272" s="1">
        <v>11.0</v>
      </c>
      <c r="E272" s="4" t="s">
        <v>867</v>
      </c>
      <c r="F272" s="1" t="s">
        <v>43</v>
      </c>
      <c r="I272" s="2">
        <v>2.0</v>
      </c>
      <c r="J272" s="5" t="str">
        <f>IFERROR(__xludf.DUMMYFUNCTION("GOOGLETRANSLATE(A272)"),"Gdz")</f>
        <v>Gdz</v>
      </c>
      <c r="K272" s="6" t="str">
        <f>IFERROR(__xludf.DUMMYFUNCTION("GOOGLETRANSLATE(B272)"),"Ready -made homework (GDZ) answers to workers ...")</f>
        <v>Ready -made homework (GDZ) answers to workers ...</v>
      </c>
      <c r="L272" s="5" t="str">
        <f>IFERROR(__xludf.DUMMYFUNCTION("GOOGLETRANSLATE(C272)"),"Ready-made homework for grades 1-11. Today, GDZ is available to everyone in various school subjects for grade 1 - 11, from algebra and ending ...")</f>
        <v>Ready-made homework for grades 1-11. Today, GDZ is available to everyone in various school subjects for grade 1 - 11, from algebra and ending ...</v>
      </c>
      <c r="M272" s="5" t="str">
        <f>IFERROR(__xludf.DUMMYFUNCTION("GOOGLETRANSLATE(G272)"),"#VALUE!")</f>
        <v>#VALUE!</v>
      </c>
    </row>
    <row r="273">
      <c r="A273" s="1" t="s">
        <v>779</v>
      </c>
      <c r="B273" s="1" t="s">
        <v>868</v>
      </c>
      <c r="C273" s="1" t="s">
        <v>869</v>
      </c>
      <c r="D273" s="1">
        <v>13.0</v>
      </c>
      <c r="E273" s="4" t="s">
        <v>870</v>
      </c>
      <c r="F273" s="1" t="s">
        <v>43</v>
      </c>
      <c r="G273" s="1" t="s">
        <v>120</v>
      </c>
      <c r="H273" s="4" t="s">
        <v>121</v>
      </c>
      <c r="I273" s="2">
        <v>0.0</v>
      </c>
      <c r="J273" s="5" t="str">
        <f>IFERROR(__xludf.DUMMYFUNCTION("GOOGLETRANSLATE(A273)"),"Gdz")</f>
        <v>Gdz</v>
      </c>
      <c r="K273" s="6" t="str">
        <f>IFERROR(__xludf.DUMMYFUNCTION("GOOGLETRANSLATE(B273)"),"GDZ: Homework Reshebnik")</f>
        <v>GDZ: Homework Reshebnik</v>
      </c>
      <c r="L273" s="5" t="str">
        <f>IFERROR(__xludf.DUMMYFUNCTION("GOOGLETRANSLATE(C273)"),"15 Mar. 2023. -")</f>
        <v>15 Mar. 2023. -</v>
      </c>
      <c r="M273" s="5" t="str">
        <f>IFERROR(__xludf.DUMMYFUNCTION("GOOGLETRANSLATE(G273)"),"Android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274">
      <c r="A274" s="1" t="s">
        <v>779</v>
      </c>
      <c r="B274" s="1" t="s">
        <v>871</v>
      </c>
      <c r="C274" s="1" t="s">
        <v>872</v>
      </c>
      <c r="D274" s="1">
        <v>14.0</v>
      </c>
      <c r="E274" s="4" t="s">
        <v>873</v>
      </c>
      <c r="F274" s="1" t="s">
        <v>43</v>
      </c>
      <c r="G274" s="1" t="s">
        <v>874</v>
      </c>
      <c r="H274" s="4" t="s">
        <v>875</v>
      </c>
      <c r="I274" s="2">
        <v>1.0</v>
      </c>
      <c r="J274" s="5" t="str">
        <f>IFERROR(__xludf.DUMMYFUNCTION("GOOGLETRANSLATE(A274)"),"Gdz")</f>
        <v>Gdz</v>
      </c>
      <c r="K274" s="6" t="str">
        <f>IFERROR(__xludf.DUMMYFUNCTION("GOOGLETRANSLATE(B274)"),"SHIP: GDZ, Resebors and Tutorials Online")</f>
        <v>SHIP: GDZ, Resebors and Tutorials Online</v>
      </c>
      <c r="L274" s="5" t="str">
        <f>IFERROR(__xludf.DUMMYFUNCTION("GOOGLETRANSLATE(C274)"),"On our portal you can find GDZ for any class. Only high -quality textbooks and dies. All ready homework is available on your ...")</f>
        <v>On our portal you can find GDZ for any class. Only high -quality textbooks and dies. All ready homework is available on your ...</v>
      </c>
      <c r="M274" s="5" t="str">
        <f>IFERROR(__xludf.DUMMYFUNCTION("GOOGLETRANSLATE(G274)"),"GDZ Reserves and online textbooks Lawn Ukrainian textbooks (GDZ) online Ukrainian textbooks (GDZ) online select your class: 1 class2 class3 class44 Grades - just click on the desired class and select your item. There are solutions to all school subjects: "&amp;"mathematics algebra geometry Ukrainian English and others. Solving any tasks-without mistakes! On our school portal you will find ready -made homework that are compiled and tested by qualified specialists. These exercises are made with a minimum number of"&amp;" descriptions and printing inconsistencies. Each task will be done on ""excellent""! All ready homework in your smartphone! We suggest you use the mobile version of the site and get fast access to ready homework. Solve the difficulties with online trainin"&amp;"g! Download on your mobile almost instantly! If your device works on Android platform you have the opportunity to download our app. Current accessories in the portal are constantly updating and adding new GDZs following changes in the modern school curric"&amp;"ulum. If you are looking for new solutions from 2021 to 2023 you can easily find them on our site ""at school"". We are in your vash phone phone - your assistant who will help you find the answer to the task or download a textbook from the school program "&amp;"without any restrictions. Vshkole.com is a portal on which you can find textbooks and releases (GDZ) in all subjects of the school program for different classes. The site is adapted to your smartphone. The portal team has made a lot of efforts to have pro"&amp;"blems finding the right information. Use with pleasure !!! contact us")</f>
        <v>GDZ Reserves and online textbooks Lawn Ukrainian textbooks (GDZ) online Ukrainian textbooks (GDZ) online select your class: 1 class2 class3 class44 Grades - just click on the desired class and select your item. There are solutions to all school subjects: mathematics algebra geometry Ukrainian English and others. Solving any tasks-without mistakes! On our school portal you will find ready -made homework that are compiled and tested by qualified specialists. These exercises are made with a minimum number of descriptions and printing inconsistencies. Each task will be done on "excellent"! All ready homework in your smartphone! We suggest you use the mobile version of the site and get fast access to ready homework. Solve the difficulties with online training! Download on your mobile almost instantly! If your device works on Android platform you have the opportunity to download our app. Current accessories in the portal are constantly updating and adding new GDZs following changes in the modern school curriculum. If you are looking for new solutions from 2021 to 2023 you can easily find them on our site "at school". We are in your vash phone phone - your assistant who will help you find the answer to the task or download a textbook from the school program without any restrictions. Vshkole.com is a portal on which you can find textbooks and releases (GDZ) in all subjects of the school program for different classes. The site is adapted to your smartphone. The portal team has made a lot of efforts to have problems finding the right information. Use with pleasure !!! contact us</v>
      </c>
    </row>
    <row r="275">
      <c r="A275" s="1" t="s">
        <v>779</v>
      </c>
      <c r="B275" s="1" t="s">
        <v>876</v>
      </c>
      <c r="D275" s="1">
        <v>17.0</v>
      </c>
      <c r="E275" s="4" t="s">
        <v>877</v>
      </c>
      <c r="F275" s="1" t="s">
        <v>43</v>
      </c>
      <c r="G275" s="1" t="s">
        <v>97</v>
      </c>
      <c r="H275" s="4" t="s">
        <v>98</v>
      </c>
      <c r="I275" s="2">
        <v>2.0</v>
      </c>
      <c r="J275" s="5" t="str">
        <f>IFERROR(__xludf.DUMMYFUNCTION("GOOGLETRANSLATE(A275)"),"Gdz")</f>
        <v>Gdz</v>
      </c>
      <c r="K275" s="6" t="str">
        <f>IFERROR(__xludf.DUMMYFUNCTION("GOOGLETRANSLATE(B275)"),"GDZ: My Reshebnik - App Store")</f>
        <v>GDZ: My Reshebnik - App Store</v>
      </c>
      <c r="L275" s="5" t="str">
        <f>IFERROR(__xludf.DUMMYFUNCTION("GOOGLETRANSLATE(C275)"),"#VALUE!")</f>
        <v>#VALUE!</v>
      </c>
      <c r="M275" s="5" t="str">
        <f>IFERROR(__xludf.DUMMYFUNCTION("GOOGLETRANSLATE(G275)"),"App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276">
      <c r="A276" s="1" t="s">
        <v>779</v>
      </c>
      <c r="B276" s="1" t="s">
        <v>878</v>
      </c>
      <c r="C276" s="1" t="s">
        <v>879</v>
      </c>
      <c r="D276" s="1">
        <v>20.0</v>
      </c>
      <c r="E276" s="4" t="s">
        <v>880</v>
      </c>
      <c r="F276" s="1" t="s">
        <v>43</v>
      </c>
      <c r="G276" s="1" t="s">
        <v>881</v>
      </c>
      <c r="H276" s="4" t="s">
        <v>882</v>
      </c>
      <c r="I276" s="2">
        <v>3.0</v>
      </c>
      <c r="J276" s="5" t="str">
        <f>IFERROR(__xludf.DUMMYFUNCTION("GOOGLETRANSLATE(A276)"),"Gdz")</f>
        <v>Gdz</v>
      </c>
      <c r="K276" s="6" t="str">
        <f>IFERROR(__xludf.DUMMYFUNCTION("GOOGLETRANSLATE(B276)"),"GDZ")</f>
        <v>GDZ</v>
      </c>
      <c r="L276" s="5" t="str">
        <f>IFERROR(__xludf.DUMMYFUNCTION("GOOGLETRANSLATE(C276)"),"The Göttingen Digitization Center (GDZ) records printing works, manuscripts and images electronically and provides them for research, teaching and studying ...")</f>
        <v>The Göttingen Digitization Center (GDZ) records printing works, manuscripts and images electronically and provides them for research, teaching and studying ...</v>
      </c>
      <c r="M276" s="5" t="str">
        <f>IFERROR(__xludf.DUMMYFUNCTION("GOOGLETRANSLATE(G276)"),"Gdzgöttinger Digitization Center GDD A service of the Sub Göttingen Search Search for Search Search Text Metadata and Full Type -Existed Search Closing Proceedings and Handwritten Göttingen Digitization Center (GDZ) Collect printing works and images elect"&amp;"ronically and provides them for research. Italized Pages and find out about the services offered by us. Mlsibiricavariavd17 mainstreamVd17 Novavavd18 Digital science history zoologicahilfe On the search contact details protection feedback feeding feeders "&amp;"feedmastodon yeast scannedzvdd - Central directory of digitized printing is not yet in our digital stock? Then try it in our ZVDD portal The more than 1,600,000 nationwide digitized works. Apply the sponsorship for the digitization of your desired book. V"&amp;"ia controlled user access, students and scientists can access the core magazines of German research. Access is carried out via libraries and scientific institutions that have subscribed to the DIGI police. The offer currently includes over 135 magazines f"&amp;"rom 18 specialist areas! Gutenberg Digital Visits The Faksimile of the Göttinger Gutenberg Bible.Keyboard_arrow_upZeit")</f>
        <v>Gdzgöttinger Digitization Center GDD A service of the Sub Göttingen Search Search for Search Search Text Metadata and Full Type -Existed Search Closing Proceedings and Handwritten Göttingen Digitization Center (GDZ) Collect printing works and images electronically and provides them for research. Italized Pages and find out about the services offered by us. Mlsibiricavariavd17 mainstreamVd17 Novavavd18 Digital science history zoologicahilfe On the search contact details protection feedback feeding feeders feedmastodon yeast scannedzvdd - Central directory of digitized printing is not yet in our digital stock? Then try it in our ZVDD portal The more than 1,600,000 nationwide digitized works. Apply the sponsorship for the digitization of your desired book. Via controlled user access, students and scientists can access the core magazines of German research. Access is carried out via libraries and scientific institutions that have subscribed to the DIGI police. The offer currently includes over 135 magazines from 18 specialist areas! Gutenberg Digital Visits The Faksimile of the Göttinger Gutenberg Bible.Keyboard_arrow_upZeit</v>
      </c>
    </row>
    <row r="277">
      <c r="A277" s="1" t="s">
        <v>883</v>
      </c>
      <c r="B277" s="1" t="s">
        <v>884</v>
      </c>
      <c r="D277" s="1">
        <v>1.0</v>
      </c>
      <c r="E277" s="4" t="s">
        <v>885</v>
      </c>
      <c r="F277" s="1" t="s">
        <v>16</v>
      </c>
      <c r="I277" s="2">
        <v>1.0</v>
      </c>
      <c r="J277" s="5" t="str">
        <f>IFERROR(__xludf.DUMMYFUNCTION("GOOGLETRANSLATE(A277)"),"Gypsophyla")</f>
        <v>Gypsophyla</v>
      </c>
      <c r="K277" s="6" t="str">
        <f>IFERROR(__xludf.DUMMYFUNCTION("GOOGLETRANSLATE(B277)"),"Gypsophyla: photo and description, flower value and what ...")</f>
        <v>Gypsophyla: photo and description, flower value and what ...</v>
      </c>
      <c r="L277" s="5" t="str">
        <f>IFERROR(__xludf.DUMMYFUNCTION("GOOGLETRANSLATE(C277)"),"#VALUE!")</f>
        <v>#VALUE!</v>
      </c>
      <c r="M277" s="5" t="str">
        <f>IFERROR(__xludf.DUMMYFUNCTION("GOOGLETRANSLATE(G277)"),"#VALUE!")</f>
        <v>#VALUE!</v>
      </c>
    </row>
    <row r="278">
      <c r="A278" s="1" t="s">
        <v>883</v>
      </c>
      <c r="B278" s="1" t="s">
        <v>886</v>
      </c>
      <c r="D278" s="1">
        <v>2.0</v>
      </c>
      <c r="E278" s="4" t="s">
        <v>887</v>
      </c>
      <c r="F278" s="1" t="s">
        <v>16</v>
      </c>
      <c r="G278" s="1" t="s">
        <v>888</v>
      </c>
      <c r="H278" s="4" t="s">
        <v>889</v>
      </c>
      <c r="I278" s="2">
        <v>1.0</v>
      </c>
      <c r="J278" s="5" t="str">
        <f>IFERROR(__xludf.DUMMYFUNCTION("GOOGLETRANSLATE(A278)"),"Gypsophyla")</f>
        <v>Gypsophyla</v>
      </c>
      <c r="K278" s="6" t="str">
        <f>IFERROR(__xludf.DUMMYFUNCTION("GOOGLETRANSLATE(B278)"),"Gypsophyla: Flower Description | Encyclopedia of flowers")</f>
        <v>Gypsophyla: Flower Description | Encyclopedia of flowers</v>
      </c>
      <c r="L278" s="5" t="str">
        <f>IFERROR(__xludf.DUMMYFUNCTION("GOOGLETRANSLATE(C278)"),"#VALUE!")</f>
        <v>#VALUE!</v>
      </c>
      <c r="M278" s="5" t="str">
        <f>IFERROR(__xludf.DUMMYFUNCTION("GOOGLETRANSLATE(G278)"),"Flower delivery in St. Petersburg (24/7) - a courier at a house with flowers inexpensive - flowering fresh flowers! Supply12.11.2023 05: 00o coloromaniado -payment and delivered corporate clients wholesale florasty -contact recovery of a review of the com"&amp;"pany to recover/registration and more colors - more colors! Addresses of storesancanketersburg8 (800) 550-10-72 around the clock 00r. About flower addiction Payment and delivery to corporate clients, flowers in bulk, wedding floristry Contacts Review-Pete"&amp;"rsburghlvod/Registration 0 0 Saint Petersburgspunitications forxpress Supply with Alstromeria with Gulls with Herbiers with Herbes with Orchids with Roses with Rosems with Tyulpans with Chrysant Emams with sunflower with Daesophils with gypsophymes like t"&amp;"oy Kraft Monobukets Field dry flowers VIP bouquets Modern floristry large bouquets inexpensive flowers on colors pink bouquets Orange bouquets Red Bouquets Green Bouquets White Bouquets White Bouquets at a price of 1000-2500 r. 2500-3500 p. 3500-5000 p. F"&amp;"rom 5000 p. With free delivery, popular bouquet of chrysanthemums “Alicia” bouquet of 5 fragrant lilies bouquet of 5 hydrangeas mix roses (quantity) 101 rose 51 rose 25 roses 35 roses in color white roses yellow roses red roses cream roses pink roses Colo"&amp;"r roses along the variety bush roses pionivate roses of roses White o'hara in size of roses 40 cm rose 50 cm rose 70 cm Flowers of alstromeria amarillis MIX Herberia gypsophiles Gladioli Gornias Hoodysses of orchids of Tulpa Freesye Eusta Eusta Popular al"&amp;"stemeils of Amarilis Amariye Amariy KS Gerbera Hydrangea MIX Lilia Euro Sunflower Chrysanthemum Extra Extra Khrisanthemum Buynoye Chrysanthemum Bush yellow chrysanthemum bush chrysanthemum bush chrysanthemum santini Mix all flowers of a piece of rose box "&amp;"in a box of pionois in a basket of basket with roses hats flowers in a cup of mother 26 November Autumn Birthday men's bouquets Wedding New Year February on February 14 March Easter last call and graduation day of love and fidelity on September 1 teacher "&amp;"Corporate Bouquets Gifts Soft toys Candy Balls Candles Topperes Gift/Registration Cook your bouquet -nibtespresses on the composition of albums Gerbieramis Gerberamis Gorniisias Irisamis Liliamis Orchidamis Rosamisamims Mashkamis Tulipamis Chrysanthemamy "&amp;"Sunolnuhamis Gypsophylamine Typuis Typoleskontmone -Buypesuccuscouses of Buchaye Flourist flowering flowerpot bougins. Drumstones of bouquet bouquenced bouquet bouquet bouquet bouquet bouquet price1000-2500 p.2500-3500 p.3500-5000 p. 5000 r. chrysanthemum"&amp;" “Alicia” bouquet of 5 fragrant liliibuk from 5 gendenzies of the rose mixer (quantity) 101 rose51 rose25 rose15 rose35 rosepo flowering draws of pipe drawing draws of rhyme pale In dimensorosis 40 shreds 50 shreds 60 shreds 70 cm flowers Without category"&amp;" of alstepromariyamarillis mixed -hagigierberitsypsophilosophilosolisyliliaylillylillylillylililiahidehideulpanhitulpanihrizanthememicularizantemapopular alustromarillis mixergortenzia, myxlilia eurosliahrizanthematema Belaya Belahyaminantem Kustovaya Kus"&amp;"tovaya Kustov Zheltamyrizanthema Buyseen Mikshrizanthematem Kustovaya Christ's pink chicesantem Santini Mixws flowers Ploti compositions flowers in boxes in boxes to boxcoreses from flowering stones from rosamimylap boxes in the cup Harvesting Mother's Da"&amp;"y on November 26 November 1914 on February 19 March 19 on February 19 on February 19 March Easter bell and graduation of the Family of Love and fidelity1 September -worker teachers of corporate bouquets Gifts Soft toys of fireflowers of firewall sharysvec"&amp;"hitop -dopes sets Address of Stageomania store Payment and delivery to corporate customers. Wedding floristry Contacts Contacts Send Readingbooks: 0 P. Bonuses: 100 buy in 1 clickbook Of the 9 pink Eusta3 710 rubles 3329 rub: 99 buy in 1 clickbook pink fl"&amp;"amingo from bush roses6 820 rub. 4129 rubles: 123 buy in 1 clicucbuket “15 alstrient” 4 340 rub. 3659 rub: 109 Buy 1 clicobes on the Day - 1 rose bush Juliet - 1 Kraspedia - 1 panic - 1 group Greens Salal - 1 chrysanthemum Santini - 4 pistach - 1 package "&amp;"tape. Magic bouquet (s) 2 965 rub. 2345 rub. Bonuses: 70 buy in 1 clicks of the bouquet: 9 east mix packaging tape bouquet of 9 east mix3 710 rub. 3329 rub. Bonuses: 99 Buy to buy in 1 clicks of the bouquet: Kenyan rose mix 35 packaging tape Bouquet “35 K"&amp;"enya Mix” 3 630 rub. 3359 rub. Bonuses: 100 buy a bouquet in 1 clicks: rose bush juliet 1 vibournum compactum 1 Nerina Bowdeni Sophie 1 of Seruria 1 Alstomeria 2 Herbera-Mini 3 Chrysanthemum Santini 3 Packaging Buy Bouquet Bucket 4 800 rub. 3535 rub. Bonu"&amp;"ses: 106 buy in 1 clickwall Barbatus - 1 herbera - 3 rose bush juliet 60 -2 viburnum 5 - 1 group Greens Salal - 2 chrysanthemums of Santini - 2 pistach - 1 package tape. Bouquet ""Summer disappearance"" 4 555 rub. 3655 rub. Bonuses: 109 buy in 1 clicks of"&amp;" the bouquet: a bush chrysanthemum 15 package tape bouquet of 15 white bush chrysanthemums4 075 rubles 3825 rub. Bonuses: 114 Buy to buy in 1 clicks of the bouquet: 25 tulips mix packaging tape bouquet of 25 tulips MIX4 370 rub. 3989 rub. Bonuses: 119 buy"&amp;" in 1 clicks of the bouquet: Rosa Ecuador 40-50cm 15 Packaging tape Bouquet of 15 red roses 40-50 cm (Ecuador) 4 735 rub. 4545 rub. Bonuses: 136 buy in 1 click examination of the bouquet all-and-size: Rosa Ecuador 40-50cm 15 Packaging tape Bouquet of 15 r"&amp;"ed roses 40-50 cm (Ecuador) 4 735 rub. 4545 rub. Bonuses: 136 Buy to buy in 1 clicks of the bouquet: Kenyan rose mix 35 packaging tape Bouquet ""35 Kenya Mix"" 3 630 rubles 3359 rub. Bonuses: 100 Buy Buy in 1 clicks of the bouquet: 51 rose Kenya Mix packa"&amp;"ging tape Bouquet “51 Kenya Mix” 5 110 rub. 4705 rub. Bonuses: 141 Buy to buy in 1 clicks of the bouquet: rose bush madame bombastik 15 ribbon 2 packing matte 1 bouquet of 15 roses Madame Bombastik6 550 rub. 5805 rub. Bonuses: 174 Buy a bouquet in 1 click"&amp;"s of the bouquet: 25 Ecuador roses packaging ribbon bouquet of 25 red roses 40 cm (Ecuador) in packaging7 965 rub .6689 rub. Bonuses: 200 buy in 1 clickswall of the bouquet: 101 Kenyan rose mix 40 cm packaging tape 101 Kenyan rose mix9 730 rubles 8905 rub"&amp;". Bonuses: 267 Buy in 1 clicks of the bouquet: 15 pink roses Ecuador 70cm packaging tape bouquet of 15 pink roses 70 cm5 690 rub. 5265 rub. Bonuses: 157 buy in 1 clicks of the bouquet: Rosa Ecuador 60-70cm 15 package tape bouquet of 15 red roses 60-70 cm "&amp;"(Ecuador) 5 330 rubles 5265 rub. Bonuses: 157 buy in 1 click examination of the all -yielding autumn | Autumn bouquets - 1 rose bush Juliet - 1 Kraspedia - 1 panic - 1 group Greens Salal - 1 chrysanthemum Santini - 4 pistach - 1 package of the tape. Magic"&amp;" bouquet (s) 2 965 rub. 2345 rub. Bonuses: Buy 70 in 1 clickger - 3 rose bush juliet 60 - 2 viburnum - 05 Kraspedia - 2 panic - 1 group Greens Salal - 3 chrysanthemums of Santini - 4 pistach - 1 package ribbon. Magic bouquet (m) 4 589 rub. 4205r. Bonuses:"&amp;" 126 Buy a bouquet in 1 clicks: Viburnum compactum 1 rose bush Juliet 1 Clematis 1 rose bush flush 3 decor Pavin 1 Alstomeria 3 Estoma 5 Estoma 2 packaging 2 packing tape “Poultry milk” 6,250 rubles 5185 rub. Bonuses: 155 Buy a bouquet in 1 clicks: Alstro"&amp;"meria 5 Faerwork 4 Faurflesh 1 Palm leaves Decor 2 leucoper of 1 asparagus eda 1 gerbera-mini 3 chrysanthemum 2 solidago 1 tape Bouquet Bouquet “Autumn Foliage” 6 730 rubles 5519 rub. Bonuses: 165 Buy a bouquet in 1 clicks in 1 clicks: a bush juliet 1 vib"&amp;"ournum compactum 1 Nerina Bowdeni Sophie 1 of Seruria 1 Alstromeria 2 Herbera-Mini 3 Chrysanthemum Santini 3 Packaging tape “Sea buckthorn fruit drink” 4 800 rubles 3535 rub. Bonuses: 106 buy in 1 click Clig -colored 2 pistach 5 chrysanthemum beigudi ed 5"&amp;" rose 50 3 chrysanthemum Santini 3 Cloves Holland 3 Matthiol 3 orchid Tsimbidium 7 Gerbera 1 packaging tape “Juicy mango” 8 950 rubles 8745 rub. Bonuses: 262 Buy in 1 clicrosa Baby 2 Lagurus 5 paint glitter 02 Freesia 2 cloves Holland 1 Mattiol 1 eucalypt"&amp;"us zinerey 1 pumpkin oasis in the Golden Autumn pumpkin 3 580 rub. 3179 rub. Bonuses: 95 is not in stock - 3 rose bush - 2 viburnum 5 - 1 slumks of Kovyl 40cm - 03 group Greens Salal - 2 pistach - 1 package tape. Bouquet ""Supernatural Autumn"" (s) 4 520 "&amp;"rubles 3535 rub. Bonuses: 106 is not in stock to examine all the benefits of the dried -flowered bouquet: dry flowers packaging tape Bouquet ""Pink Chocolate"" 4799 rub. Bonuses: 143 buy in 1 clicks of the bouquet: dry flowers packaging tape Bouquet “Fier"&amp;"y Dance” 7199 rub. Bonuses: 215 buy in 1 clicks of the bouquet: dry flowers packaging tape Bouquet ""Melody Provence"" 7799p. Bonuses: 233 buy in 1 clicks of the bouquet: dry flowers packaging tape Bouquet ""Moonlit Night"" 5399 rub. Bonuses: 161 buy in 1"&amp;" clico viewing of flowers and bouquets in the St. Petersburg Bouquet: clove 49 eucalyptus Nicole 3 packaging tape “Carrie” 10755 rub: 322 Buy 1 clicgerbier - 3 roses bush julutta 60 - 2 Kalina - 05 Kraspedia - 05 Kraspedia - 05 Kraspedia - 05 Kraspedy 2 p"&amp;"anicomas - 1 group Greens Salal - 3 chrysanthemum Santini - 4 pistach - 1 packaging tape. Magic bouquet (m) 4205 rubles: 126 Buy in 1 clicks of the bouquet: clove 10 lemonium 3 pampas grass 3 Pittosporum 2 Eustoma 6 packaging Barbie Bouquet (M) 8339 rub: "&amp;"250 Buy 1 Clicks Buket: Cliff 7 Lemonium 2 pampas grass 2 pittosporum 1 eastoma 5 packaging tape Barbie Bouquet (s) 6029 rubles: 180 buy in 1 clicks of the bouquet: Bergrass 5 Hypericum 10 lilia 10 leaves 2 packages 2 pack tape “Mowgli” 6819 rub: 204 Buy "&amp;"to buy In 1 clicks of the bouquet: rosehip 3 dolphinium 2 rose Juliet 4 eucalyptus 2 chamelacium 3 chrysanthemum bigudi 3 packaging tape bouquet ""Almodovar"" (m) 8039 rubles: 241 Buy 1 clicked bouquet: rosehip 4 dolphinium 2 rose Juliet 4 eucalipium 5 la"&amp;"melatsium 5 chrysanthemum beigudi 5 package tape bouquet ""Almodovar"" (l) 9935 rubles: 298 Buy in 1 clicks of the bouquet: rose bush 5 pistach 5 chrysanthemum bigudi 3 cloves Holland 3 rose 50cm tape ""Coffee Cream"" 6709 . Bonuses: 201 Buy a bouquet in "&amp;"1 clicks: bush Juliet 2 Ferehelium 2 Chrysanthemum Santini 4 Delphinium 1 Clematis 1 clove 1 clicks of the bouquet: gerbera 5 rose bush juliet 3 dolphinium 2 Clematis 3 cloves 3 nerzanthemum Santini 5 Kovyl 1 asparagus 1 pink 3 packaging Buy Bouquet ""Sha"&amp;"mpan"" (l) 9089 rub: 272 Buy in 1 clicked tunkering tank: Club 10 Dolphinium 3 Kovyl 30 Corilius 2 lilies euro 2 rose 50cm 5 asparagus 1 chrysanthemum Santini 10 Eucalyptus zinerey 2 package Buy Bouquet “Seoul” 10315 rub: 309 Buy 1 clicks of the bouquet: "&amp;"rose piano Freyland 7 ceresantem Vienna 5 rose 50sm 3 mattiola 3 anthurium 1 eucalyptus zinerey 2 tape “Berry juice” 8615 rub. Bonuses: 258 There is no color composition of the composition of the composition: tulip 5 rose 50 cm3 cloves of Holland 4 mattio"&amp;"l 2 pistach 3 box Oasis composition “Spring Morning” 4,530 rub. 3519 rub. Bonuses: 105 buy in 1 clickship composition: eastoma 2 rose 50cm 10 Ranunkulus 4 mattiol 3 gerbera water mix 1 clove Holland Caramel 3 Evcalipte Parvifolia 2 Lilac 2 Rosus 2 rose Ho"&amp;"lland Austin Juliet 50 cm pink 2 halubic goros 1 oasis 1 oasis 3 The composition in the hat box “Warm Dawn” 16 095 rub. 12585 rub. Bonuses: 377 buy in 1 clicks of composition: alstromeria 3 tulip 5 clove 5 rose Ecuador 3 eucalyptus Posolip 1 pistach 3 cot"&amp;"ton 3 hypericum 3 Line Oasis film composition in the wooden box “Air Zephyra” 5235 rub. Bonuses: 157 buy in 1 clicks of composition: oasis rose bush Juliet 3 Eustoma 5 cloves 3 gypsophila 2 mattiol 3 Ranunkulus 4 rose 60cm 8 ruscus 2 eucalyptus compositio"&amp;"n composition in the Hap “winter tenderness” 16 935r.12159 rub. Bonuses: 364 buy in 1 clico view of Visionly Helch the Flower online store of coloromanias of colorfulness - this is not only a network of flower supermarkets with a wide assortment, but also"&amp;" primarily the delivery of the latest colors and bouquets compiled directly at the time of order by the best florists of the city. A detailed logistics system and a team of professionals allows us to deliver a bouquet that can satisfy even the most exquis"&amp;"ite requests at anywhere in St. Petersburg at any time convenient for you. The Internet of the Flower Flower Flower Story is a convenient online service designed to save your time. With us, you can quickly and without unnecessary troubles with a bouquet o"&amp;"f flowers with round -the -clock delivery of the house with a courier in St. Petersburg. How to order a bouquet with delivery? Before placing the order, read the assortment of the products we offer. This is very exciting and convenient - the presented flo"&amp;"ral compositions are divided by topics. In “Florie”, you can quickly and inexpensively buy wedding and gift men and female children's and other spectacular bouquets with round-the-clock delivery in St. Petersburg. In more detail about the company fresh fl"&amp;"owers from your own warehouse packaging of the bouquet Designer-paid postcard with your textbook for care to Gydroktoto before delivery before delivery Delivery from 5,000 rublesMS I liked the bouquet? I like the bouquet? I bring a new one! Fresh flowers "&amp;"from the warehouse packaging of the bouquet Designer -paid postcard with your text compartment for care for the delivery of 5,000 rubles from 5,000 rublesMS Improvement about the delivery, I liked the bouquet! I brought it a new one! Reviews about our sal"&amp;"on of Flowerover Kornienko10 September 2023 Transparted flowers. Wonderful service. The first time I saw such a variety of roses. Beauty August30, 2023 Khorozhny store. I ordered flowers as a gift. They brought to the time indicated. The bouquet is excell"&amp;"ent. The courier is polite. There is an option - they do not say that this is flowers. I recommend it. Diana Maslennikova August25 August 2023 Tsettes Great, the girl perfectly served. These flowers have been standing for a week now and they don’t think t"&amp;"hey are going to wander) Anastasia Tyuyeva on August 23, 2023, there are still original bouquets according to the last or penultimate word of floristry. Bouquets are extremely long before 3 weeks. Delicious desserts there. Often the questions asked, how t"&amp;"o make flowers? Order for the delivery of bouquets in St. Petersburg can be issued through the site basket for a free-flywoman 8 (800) 550-10-72 as well as with the help of messengers-WhatsApp Viber Telegram orweshat. In addition, you can contact us to pl"&amp;"ace an order of a bouquet through an online chat. Navigate write us a letter by e-mail [email protected] or order a call back. How to pay for the order? You can pay for the order in one of the listed methods: Cash to the courier when receiving a bouquet s"&amp;"ite using a banking card card card Courier upon receipt of the bouquet at what time are orders are accepted? On the site and by phone, the order for bouquets of flowers can be issued round -the -clock. At what time are orders are delivered? Delivery of a "&amp;"bouquet of flowers by courier in St. Petersburg and the region is carried out around the clock. How much does the delivery of flowers cost? The cost of delivery of orders in the amount of up to 5000 rubles is 299 within the room. Orders for bouquets from "&amp;"5000 rubles are delivered free of charge. Is it possible to pick up flowers yourself? Yes, you can pick up flowers in one of our salons. Their full list of work schedule and telephone can be seen here. How long does it take to order a bouquet? It is best "&amp;"to place the order at least 3 hours before the desired delivery time. But the diligent workload can take less time. Is it possible to order the delivery of the bouquet to the suburbs? Yes, besides St. Petersburg, we also deliver flowers to the nearest sub"&amp;"urbs - Kolpino Pushkinovsevosk Sestroretsk Kronstadt Krasnoye village of Sertolovo Lomonosov Pavlovsk Strelna. Information about the delivery of bouquets to other cities, you can clarify with the manager. Is it possible to order the delivery of flowers by"&amp;" the exact time? Yes, you can arrange the delivery of flowers at exactly the appointed time. It is better to make such an order in advance. The cost of the service is +350 rubles. Is it possible to order anonymous flower delivery? No problem, the courier "&amp;"can deliver your order without telling the name of the sender. How to find out that the bouquet was delivered? Each client receives an SMS notification on the fact of the executed order. Is it possible to look at the bouquet before it is presented? Yes, a"&amp;" florist can take a picture of the finished bouquet and send a photo to you. What to do if I do not know the accurate address of the recipient? Courier can contact the recipient by phone and clarify the delivery address and convenient time. For this, when"&amp;" placing an order in the basket, mark the item “I don't know the recipient’s address. Specify the sweatyer ”or“ Call the recipient to clarify the time and address ”. What else can you add to the bouquet? You can add a free postcard with any signature up t"&amp;"o 100 characters to the bouquet. To do this, activate in the basket the item “Add a postcard no more than 100 characters” and fill out the “Text on the Postcard” field. In addition, you can add a gift to the bouquet - a soft toy of sweets or balloon. You "&amp;"can see all -breeds here. Questions? You can set them by calling the free phone 8 (800) 550-10-72. Subscribe to our news about promotions and special offers! And get a promotional code for a 5% discount on any product! Subscribe and get a discount! About "&amp;"the company, flower shops and delivery policemen of confidentiality corporate clients of wholesale and return of goods and the return of goods, let's be friends? 8 800 550-10-72 In Russia free 24/78 900 640-00-77 On the company Tsvetovkakania stores and t"&amp;"he delivery policy of confidentiality corporate customers of the optimum warantia and the return of goods and encyclopedias of flower, let's be friends? 8 800 550-10-72 In Russia free 24/78 900 640-00-77 On the company Tsvetovkakania stores and the delive"&amp;"ry policy of confidentiality corporate customers of the optimum warantia and the return of goods and encyclopedias of flower, let's be friends? 8 800 550-10-72 Building in Russia Free Coound 24/78 900 640-00-77 Delivery for low-mobility groups of the popu"&amp;"lation. Delivery in any time interval is carried out free of charge! Up the name of the product is added to the basket to buy an order to order for the application! We will send a promotional code for a discount to your mail in the near future! Well, buy "&amp;"the name of the product in one clica format the application is accepted! We will contact you in the near future")</f>
        <v>Flower delivery in St. Petersburg (24/7) - a courier at a house with flowers inexpensive - flowering fresh flowers! Supply12.11.2023 05: 00o coloromaniado -payment and delivered corporate clients wholesale florasty -contact recovery of a review of the company to recover/registration and more colors - more colors! Addresses of storesancanketersburg8 (800) 550-10-72 around the clock 00r. About flower addiction Payment and delivery to corporate clients, flowers in bulk, wedding floristry Contacts Review-Petersburghlvod/Registration 0 0 Saint Petersburgspunitications forxpress Supply with Alstromeria with Gulls with Herbiers with Herbes with Orchids with Roses with Rosems with Tyulpans with Chrysant Emams with sunflower with Daesophils with gypsophymes like toy Kraft Monobukets Field dry flowers VIP bouquets Modern floristry large bouquets inexpensive flowers on colors pink bouquets Orange bouquets Red Bouquets Green Bouquets White Bouquets White Bouquets at a price of 1000-2500 r. 2500-3500 p. 3500-5000 p. From 5000 p. With free delivery, popular bouquet of chrysanthemums “Alicia” bouquet of 5 fragrant lilies bouquet of 5 hydrangeas mix roses (quantity) 101 rose 51 rose 25 roses 35 roses in color white roses yellow roses red roses cream roses pink roses Color roses along the variety bush roses pionivate roses of roses White o'hara in size of roses 40 cm rose 50 cm rose 70 cm Flowers of alstromeria amarillis MIX Herberia gypsophiles Gladioli Gornias Hoodysses of orchids of Tulpa Freesye Eusta Eusta Popular alstemeils of Amarilis Amariye Amariy KS Gerbera Hydrangea MIX Lilia Euro Sunflower Chrysanthemum Extra Extra Khrisanthemum Buynoye Chrysanthemum Bush yellow chrysanthemum bush chrysanthemum bush chrysanthemum santini Mix all flowers of a piece of rose box in a box of pionois in a basket of basket with roses hats flowers in a cup of mother 26 November Autumn Birthday men's bouquets Wedding New Year February on February 14 March Easter last call and graduation day of love and fidelity on September 1 teacher Corporate Bouquets Gifts Soft toys Candy Balls Candles Topperes Gift/Registration Cook your bouquet -nibtespresses on the composition of albums Gerbieramis Gerberamis Gorniisias Irisamis Liliamis Orchidamis Rosamisamims Mashkamis Tulipamis Chrysanthemamy Sunolnuhamis Gypsophylamine Typuis Typoleskontmone -Buypesuccuscouses of Buchaye Flourist flowering flowerpot bougins. Drumstones of bouquet bouquenced bouquet bouquet bouquet bouquet bouquet price1000-2500 p.2500-3500 p.3500-5000 p. 5000 r. chrysanthemum “Alicia” bouquet of 5 fragrant liliibuk from 5 gendenzies of the rose mixer (quantity) 101 rose51 rose25 rose15 rose35 rosepo flowering draws of pipe drawing draws of rhyme pale In dimensorosis 40 shreds 50 shreds 60 shreds 70 cm flowers Without category of alstepromariyamarillis mixed -hagigierberitsypsophilosophilosolisyliliaylillylillylillylililiahidehideulpanhitulpanihrizanthememicularizantemapopular alustromarillis mixergortenzia, myxlilia eurosliahrizanthematema Belaya Belahyaminantem Kustovaya Kustovaya Kustov Zheltamyrizanthema Buyseen Mikshrizanthematem Kustovaya Christ's pink chicesantem Santini Mixws flowers Ploti compositions flowers in boxes in boxes to boxcoreses from flowering stones from rosamimylap boxes in the cup Harvesting Mother's Day on November 26 November 1914 on February 19 March 19 on February 19 on February 19 March Easter bell and graduation of the Family of Love and fidelity1 September -worker teachers of corporate bouquets Gifts Soft toys of fireflowers of firewall sharysvechitop -dopes sets Address of Stageomania store Payment and delivery to corporate customers. Wedding floristry Contacts Contacts Send Readingbooks: 0 P. Bonuses: 100 buy in 1 clickbook Of the 9 pink Eusta3 710 rubles 3329 rub: 99 buy in 1 clickbook pink flamingo from bush roses6 820 rub. 4129 rubles: 123 buy in 1 clicucbuket “15 alstrient” 4 340 rub. 3659 rub: 109 Buy 1 clicobes on the Day - 1 rose bush Juliet - 1 Kraspedia - 1 panic - 1 group Greens Salal - 1 chrysanthemum Santini - 4 pistach - 1 package tape. Magic bouquet (s) 2 965 rub. 2345 rub. Bonuses: 70 buy in 1 clicks of the bouquet: 9 east mix packaging tape bouquet of 9 east mix3 710 rub. 3329 rub. Bonuses: 99 Buy to buy in 1 clicks of the bouquet: Kenyan rose mix 35 packaging tape Bouquet “35 Kenya Mix” 3 630 rub. 3359 rub. Bonuses: 100 buy a bouquet in 1 clicks: rose bush juliet 1 vibournum compactum 1 Nerina Bowdeni Sophie 1 of Seruria 1 Alstomeria 2 Herbera-Mini 3 Chrysanthemum Santini 3 Packaging Buy Bouquet Bucket 4 800 rub. 3535 rub. Bonuses: 106 buy in 1 clickwall Barbatus - 1 herbera - 3 rose bush juliet 60 -2 viburnum 5 - 1 group Greens Salal - 2 chrysanthemums of Santini - 2 pistach - 1 package tape. Bouquet "Summer disappearance" 4 555 rub. 3655 rub. Bonuses: 109 buy in 1 clicks of the bouquet: a bush chrysanthemum 15 package tape bouquet of 15 white bush chrysanthemums4 075 rubles 3825 rub. Bonuses: 114 Buy to buy in 1 clicks of the bouquet: 25 tulips mix packaging tape bouquet of 25 tulips MIX4 370 rub. 3989 rub. Bonuses: 119 buy in 1 clicks of the bouquet: Rosa Ecuador 40-50cm 15 Packaging tape Bouquet of 15 red roses 40-50 cm (Ecuador) 4 735 rub. 4545 rub. Bonuses: 136 buy in 1 click examination of the bouquet all-and-size: Rosa Ecuador 40-50cm 15 Packaging tape Bouquet of 15 red roses 40-50 cm (Ecuador) 4 735 rub. 4545 rub. Bonuses: 136 Buy to buy in 1 clicks of the bouquet: Kenyan rose mix 35 packaging tape Bouquet "35 Kenya Mix" 3 630 rubles 3359 rub. Bonuses: 100 Buy Buy in 1 clicks of the bouquet: 51 rose Kenya Mix packaging tape Bouquet “51 Kenya Mix” 5 110 rub. 4705 rub. Bonuses: 141 Buy to buy in 1 clicks of the bouquet: rose bush madame bombastik 15 ribbon 2 packing matte 1 bouquet of 15 roses Madame Bombastik6 550 rub. 5805 rub. Bonuses: 174 Buy a bouquet in 1 clicks of the bouquet: 25 Ecuador roses packaging ribbon bouquet of 25 red roses 40 cm (Ecuador) in packaging7 965 rub .6689 rub. Bonuses: 200 buy in 1 clickswall of the bouquet: 101 Kenyan rose mix 40 cm packaging tape 101 Kenyan rose mix9 730 rubles 8905 rub. Bonuses: 267 Buy in 1 clicks of the bouquet: 15 pink roses Ecuador 70cm packaging tape bouquet of 15 pink roses 70 cm5 690 rub. 5265 rub. Bonuses: 157 buy in 1 clicks of the bouquet: Rosa Ecuador 60-70cm 15 package tape bouquet of 15 red roses 60-70 cm (Ecuador) 5 330 rubles 5265 rub. Bonuses: 157 buy in 1 click examination of the all -yielding autumn | Autumn bouquets - 1 rose bush Juliet - 1 Kraspedia - 1 panic - 1 group Greens Salal - 1 chrysanthemum Santini - 4 pistach - 1 package of the tape. Magic bouquet (s) 2 965 rub. 2345 rub. Bonuses: Buy 70 in 1 clickger - 3 rose bush juliet 60 - 2 viburnum - 05 Kraspedia - 2 panic - 1 group Greens Salal - 3 chrysanthemums of Santini - 4 pistach - 1 package ribbon. Magic bouquet (m) 4 589 rub. 4205r. Bonuses: 126 Buy a bouquet in 1 clicks: Viburnum compactum 1 rose bush Juliet 1 Clematis 1 rose bush flush 3 decor Pavin 1 Alstomeria 3 Estoma 5 Estoma 2 packaging 2 packing tape “Poultry milk” 6,250 rubles 5185 rub. Bonuses: 155 Buy a bouquet in 1 clicks: Alstromeria 5 Faerwork 4 Faurflesh 1 Palm leaves Decor 2 leucoper of 1 asparagus eda 1 gerbera-mini 3 chrysanthemum 2 solidago 1 tape Bouquet Bouquet “Autumn Foliage” 6 730 rubles 5519 rub. Bonuses: 165 Buy a bouquet in 1 clicks in 1 clicks: a bush juliet 1 vibournum compactum 1 Nerina Bowdeni Sophie 1 of Seruria 1 Alstromeria 2 Herbera-Mini 3 Chrysanthemum Santini 3 Packaging tape “Sea buckthorn fruit drink” 4 800 rubles 3535 rub. Bonuses: 106 buy in 1 click Clig -colored 2 pistach 5 chrysanthemum beigudi ed 5 rose 50 3 chrysanthemum Santini 3 Cloves Holland 3 Matthiol 3 orchid Tsimbidium 7 Gerbera 1 packaging tape “Juicy mango” 8 950 rubles 8745 rub. Bonuses: 262 Buy in 1 clicrosa Baby 2 Lagurus 5 paint glitter 02 Freesia 2 cloves Holland 1 Mattiol 1 eucalyptus zinerey 1 pumpkin oasis in the Golden Autumn pumpkin 3 580 rub. 3179 rub. Bonuses: 95 is not in stock - 3 rose bush - 2 viburnum 5 - 1 slumks of Kovyl 40cm - 03 group Greens Salal - 2 pistach - 1 package tape. Bouquet "Supernatural Autumn" (s) 4 520 rubles 3535 rub. Bonuses: 106 is not in stock to examine all the benefits of the dried -flowered bouquet: dry flowers packaging tape Bouquet "Pink Chocolate" 4799 rub. Bonuses: 143 buy in 1 clicks of the bouquet: dry flowers packaging tape Bouquet “Fiery Dance” 7199 rub. Bonuses: 215 buy in 1 clicks of the bouquet: dry flowers packaging tape Bouquet "Melody Provence" 7799p. Bonuses: 233 buy in 1 clicks of the bouquet: dry flowers packaging tape Bouquet "Moonlit Night" 5399 rub. Bonuses: 161 buy in 1 clico viewing of flowers and bouquets in the St. Petersburg Bouquet: clove 49 eucalyptus Nicole 3 packaging tape “Carrie” 10755 rub: 322 Buy 1 clicgerbier - 3 roses bush julutta 60 - 2 Kalina - 05 Kraspedia - 05 Kraspedia - 05 Kraspedia - 05 Kraspedy 2 panicomas - 1 group Greens Salal - 3 chrysanthemum Santini - 4 pistach - 1 packaging tape. Magic bouquet (m) 4205 rubles: 126 Buy in 1 clicks of the bouquet: clove 10 lemonium 3 pampas grass 3 Pittosporum 2 Eustoma 6 packaging Barbie Bouquet (M) 8339 rub: 250 Buy 1 Clicks Buket: Cliff 7 Lemonium 2 pampas grass 2 pittosporum 1 eastoma 5 packaging tape Barbie Bouquet (s) 6029 rubles: 180 buy in 1 clicks of the bouquet: Bergrass 5 Hypericum 10 lilia 10 leaves 2 packages 2 pack tape “Mowgli” 6819 rub: 204 Buy to buy In 1 clicks of the bouquet: rosehip 3 dolphinium 2 rose Juliet 4 eucalyptus 2 chamelacium 3 chrysanthemum bigudi 3 packaging tape bouquet "Almodovar" (m) 8039 rubles: 241 Buy 1 clicked bouquet: rosehip 4 dolphinium 2 rose Juliet 4 eucalipium 5 lamelatsium 5 chrysanthemum beigudi 5 package tape bouquet "Almodovar" (l) 9935 rubles: 298 Buy in 1 clicks of the bouquet: rose bush 5 pistach 5 chrysanthemum bigudi 3 cloves Holland 3 rose 50cm tape "Coffee Cream" 6709 . Bonuses: 201 Buy a bouquet in 1 clicks: bush Juliet 2 Ferehelium 2 Chrysanthemum Santini 4 Delphinium 1 Clematis 1 clove 1 clicks of the bouquet: gerbera 5 rose bush juliet 3 dolphinium 2 Clematis 3 cloves 3 nerzanthemum Santini 5 Kovyl 1 asparagus 1 pink 3 packaging Buy Bouquet "Shampan" (l) 9089 rub: 272 Buy in 1 clicked tunkering tank: Club 10 Dolphinium 3 Kovyl 30 Corilius 2 lilies euro 2 rose 50cm 5 asparagus 1 chrysanthemum Santini 10 Eucalyptus zinerey 2 package Buy Bouquet “Seoul” 10315 rub: 309 Buy 1 clicks of the bouquet: rose piano Freyland 7 ceresantem Vienna 5 rose 50sm 3 mattiola 3 anthurium 1 eucalyptus zinerey 2 tape “Berry juice” 8615 rub. Bonuses: 258 There is no color composition of the composition of the composition: tulip 5 rose 50 cm3 cloves of Holland 4 mattiol 2 pistach 3 box Oasis composition “Spring Morning” 4,530 rub. 3519 rub. Bonuses: 105 buy in 1 clickship composition: eastoma 2 rose 50cm 10 Ranunkulus 4 mattiol 3 gerbera water mix 1 clove Holland Caramel 3 Evcalipte Parvifolia 2 Lilac 2 Rosus 2 rose Holland Austin Juliet 50 cm pink 2 halubic goros 1 oasis 1 oasis 3 The composition in the hat box “Warm Dawn” 16 095 rub. 12585 rub. Bonuses: 377 buy in 1 clicks of composition: alstromeria 3 tulip 5 clove 5 rose Ecuador 3 eucalyptus Posolip 1 pistach 3 cotton 3 hypericum 3 Line Oasis film composition in the wooden box “Air Zephyra” 5235 rub. Bonuses: 157 buy in 1 clicks of composition: oasis rose bush Juliet 3 Eustoma 5 cloves 3 gypsophila 2 mattiol 3 Ranunkulus 4 rose 60cm 8 ruscus 2 eucalyptus composition composition in the Hap “winter tenderness” 16 935r.12159 rub. Bonuses: 364 buy in 1 clico view of Visionly Helch the Flower online store of coloromanias of colorfulness - this is not only a network of flower supermarkets with a wide assortment, but also primarily the delivery of the latest colors and bouquets compiled directly at the time of order by the best florists of the city. A detailed logistics system and a team of professionals allows us to deliver a bouquet that can satisfy even the most exquisite requests at anywhere in St. Petersburg at any time convenient for you. The Internet of the Flower Flower Flower Story is a convenient online service designed to save your time. With us, you can quickly and without unnecessary troubles with a bouquet of flowers with round -the -clock delivery of the house with a courier in St. Petersburg. How to order a bouquet with delivery? Before placing the order, read the assortment of the products we offer. This is very exciting and convenient - the presented floral compositions are divided by topics. In “Florie”, you can quickly and inexpensively buy wedding and gift men and female children's and other spectacular bouquets with round-the-clock delivery in St. Petersburg. In more detail about the company fresh flowers from your own warehouse packaging of the bouquet Designer-paid postcard with your textbook for care to Gydroktoto before delivery before delivery Delivery from 5,000 rublesMS I liked the bouquet? I like the bouquet? I bring a new one! Fresh flowers from the warehouse packaging of the bouquet Designer -paid postcard with your text compartment for care for the delivery of 5,000 rubles from 5,000 rublesMS Improvement about the delivery, I liked the bouquet! I brought it a new one! Reviews about our salon of Flowerover Kornienko10 September 2023 Transparted flowers. Wonderful service. The first time I saw such a variety of roses. Beauty August30, 2023 Khorozhny store. I ordered flowers as a gift. They brought to the time indicated. The bouquet is excellent. The courier is polite. There is an option - they do not say that this is flowers. I recommend it. Diana Maslennikova August25 August 2023 Tsettes Great, the girl perfectly served. These flowers have been standing for a week now and they don’t think they are going to wander) Anastasia Tyuyeva on August 23, 2023, there are still original bouquets according to the last or penultimate word of floristry. Bouquets are extremely long before 3 weeks. Delicious desserts there. Often the questions asked, how to make flowers? Order for the delivery of bouquets in St. Petersburg can be issued through the site basket for a free-flywoman 8 (800) 550-10-72 as well as with the help of messengers-WhatsApp Viber Telegram orweshat. In addition, you can contact us to place an order of a bouquet through an online chat. Navigate write us a letter by e-mail [email protected] or order a call back. How to pay for the order? You can pay for the order in one of the listed methods: Cash to the courier when receiving a bouquet site using a banking card card card Courier upon receipt of the bouquet at what time are orders are accepted? On the site and by phone, the order for bouquets of flowers can be issued round -the -clock. At what time are orders are delivered? Delivery of a bouquet of flowers by courier in St. Petersburg and the region is carried out around the clock. How much does the delivery of flowers cost? The cost of delivery of orders in the amount of up to 5000 rubles is 299 within the room. Orders for bouquets from 5000 rubles are delivered free of charge. Is it possible to pick up flowers yourself? Yes, you can pick up flowers in one of our salons. Their full list of work schedule and telephone can be seen here. How long does it take to order a bouquet? It is best to place the order at least 3 hours before the desired delivery time. But the diligent workload can take less time. Is it possible to order the delivery of the bouquet to the suburbs? Yes, besides St. Petersburg, we also deliver flowers to the nearest suburbs - Kolpino Pushkinovsevosk Sestroretsk Kronstadt Krasnoye village of Sertolovo Lomonosov Pavlovsk Strelna. Information about the delivery of bouquets to other cities, you can clarify with the manager. Is it possible to order the delivery of flowers by the exact time? Yes, you can arrange the delivery of flowers at exactly the appointed time. It is better to make such an order in advance. The cost of the service is +350 rubles. Is it possible to order anonymous flower delivery? No problem, the courier can deliver your order without telling the name of the sender. How to find out that the bouquet was delivered? Each client receives an SMS notification on the fact of the executed order. Is it possible to look at the bouquet before it is presented? Yes, a florist can take a picture of the finished bouquet and send a photo to you. What to do if I do not know the accurate address of the recipient? Courier can contact the recipient by phone and clarify the delivery address and convenient time. For this, when placing an order in the basket, mark the item “I don't know the recipient’s address. Specify the sweatyer ”or“ Call the recipient to clarify the time and address ”. What else can you add to the bouquet? You can add a free postcard with any signature up to 100 characters to the bouquet. To do this, activate in the basket the item “Add a postcard no more than 100 characters” and fill out the “Text on the Postcard” field. In addition, you can add a gift to the bouquet - a soft toy of sweets or balloon. You can see all -breeds here. Questions? You can set them by calling the free phone 8 (800) 550-10-72. Subscribe to our news about promotions and special offers! And get a promotional code for a 5% discount on any product! Subscribe and get a discount! About the company, flower shops and delivery policemen of confidentiality corporate clients of wholesale and return of goods and the return of goods, let's be friends? 8 800 550-10-72 In Russia free 24/78 900 640-00-77 On the company Tsvetovkakania stores and the delivery policy of confidentiality corporate customers of the optimum warantia and the return of goods and encyclopedias of flower, let's be friends? 8 800 550-10-72 In Russia free 24/78 900 640-00-77 On the company Tsvetovkakania stores and the delivery policy of confidentiality corporate customers of the optimum warantia and the return of goods and encyclopedias of flower, let's be friends? 8 800 550-10-72 Building in Russia Free Coound 24/78 900 640-00-77 Delivery for low-mobility groups of the population. Delivery in any time interval is carried out free of charge! Up the name of the product is added to the basket to buy an order to order for the application! We will send a promotional code for a discount to your mail in the near future! Well, buy the name of the product in one clica format the application is accepted! We will contact you in the near future</v>
      </c>
    </row>
    <row r="279">
      <c r="A279" s="1" t="s">
        <v>883</v>
      </c>
      <c r="B279" s="1" t="s">
        <v>890</v>
      </c>
      <c r="D279" s="1">
        <v>3.0</v>
      </c>
      <c r="E279" s="4" t="s">
        <v>891</v>
      </c>
      <c r="F279" s="1" t="s">
        <v>16</v>
      </c>
      <c r="I279" s="2">
        <v>1.0</v>
      </c>
      <c r="J279" s="5" t="str">
        <f>IFERROR(__xludf.DUMMYFUNCTION("GOOGLETRANSLATE(A279)"),"Gypsophyla")</f>
        <v>Gypsophyla</v>
      </c>
      <c r="K279" s="6" t="str">
        <f>IFERROR(__xludf.DUMMYFUNCTION("GOOGLETRANSLATE(B279)"),"Bouquet of gypsophils C - buy in Grozny for 3200 rubles.")</f>
        <v>Bouquet of gypsophils C - buy in Grozny for 3200 rubles.</v>
      </c>
      <c r="L279" s="5" t="str">
        <f>IFERROR(__xludf.DUMMYFUNCTION("GOOGLETRANSLATE(C279)"),"#VALUE!")</f>
        <v>#VALUE!</v>
      </c>
      <c r="M279" s="5" t="str">
        <f>IFERROR(__xludf.DUMMYFUNCTION("GOOGLETRANSLATE(G279)"),"#VALUE!")</f>
        <v>#VALUE!</v>
      </c>
    </row>
    <row r="280">
      <c r="A280" s="1" t="s">
        <v>883</v>
      </c>
      <c r="B280" s="1" t="s">
        <v>892</v>
      </c>
      <c r="C280" s="1" t="s">
        <v>893</v>
      </c>
      <c r="D280" s="1">
        <v>4.0</v>
      </c>
      <c r="E280" s="4" t="s">
        <v>894</v>
      </c>
      <c r="F280" s="1" t="s">
        <v>16</v>
      </c>
      <c r="I280" s="2">
        <v>1.0</v>
      </c>
      <c r="J280" s="5" t="str">
        <f>IFERROR(__xludf.DUMMYFUNCTION("GOOGLETRANSLATE(A280)"),"Gypsophyla")</f>
        <v>Gypsophyla</v>
      </c>
      <c r="K280" s="6" t="str">
        <f>IFERROR(__xludf.DUMMYFUNCTION("GOOGLETRANSLATE(B280)"),"Gypsophiles, buy in Moscow, urgently for ...")</f>
        <v>Gypsophiles, buy in Moscow, urgently for ...</v>
      </c>
      <c r="L280" s="5" t="str">
        <f>IFERROR(__xludf.DUMMYFUNCTION("GOOGLETRANSLATE(C280)"),"Gypsophiles on Flowwow. ✨ Fast delivery: tracking the courier on the map! ✨ Attractive prices from 1250 rubles per bouquet of gypsophils, we work 24/7.")</f>
        <v>Gypsophiles on Flowwow. ✨ Fast delivery: tracking the courier on the map! ✨ Attractive prices from 1250 rubles per bouquet of gypsophils, we work 24/7.</v>
      </c>
      <c r="M280" s="5" t="str">
        <f>IFERROR(__xludf.DUMMYFUNCTION("GOOGLETRANSLATE(G280)"),"#VALUE!")</f>
        <v>#VALUE!</v>
      </c>
    </row>
    <row r="281">
      <c r="A281" s="1" t="s">
        <v>883</v>
      </c>
      <c r="B281" s="1" t="s">
        <v>895</v>
      </c>
      <c r="C281" s="1" t="s">
        <v>896</v>
      </c>
      <c r="D281" s="1">
        <v>5.0</v>
      </c>
      <c r="E281" s="4" t="s">
        <v>897</v>
      </c>
      <c r="F281" s="1" t="s">
        <v>16</v>
      </c>
      <c r="I281" s="2">
        <v>1.0</v>
      </c>
      <c r="J281" s="5" t="str">
        <f>IFERROR(__xludf.DUMMYFUNCTION("GOOGLETRANSLATE(A281)"),"Gypsophyla")</f>
        <v>Gypsophyla</v>
      </c>
      <c r="K281" s="6" t="str">
        <f>IFERROR(__xludf.DUMMYFUNCTION("GOOGLETRANSLATE(B281)"),"Buy bouquets of gypsophil to buy at low prices in the Internet ...")</f>
        <v>Buy bouquets of gypsophil to buy at low prices in the Internet ...</v>
      </c>
      <c r="L281" s="5" t="str">
        <f>IFERROR(__xludf.DUMMYFUNCTION("GOOGLETRANSLATE(C281)"),"Bouquets of gypsophiles in the OZON online store! The most affordable prices for 565300! ✓ Characteristics ✓ Photo ✓ Assortment ✓ Reviews ✓ Warranty ✓ Instrost!")</f>
        <v>Bouquets of gypsophiles in the OZON online store! The most affordable prices for 565300! ✓ Characteristics ✓ Photo ✓ Assortment ✓ Reviews ✓ Warranty ✓ Instrost!</v>
      </c>
      <c r="M281" s="5" t="str">
        <f>IFERROR(__xludf.DUMMYFUNCTION("GOOGLETRANSLATE(G281)"),"#VALUE!")</f>
        <v>#VALUE!</v>
      </c>
    </row>
    <row r="282">
      <c r="A282" s="1" t="s">
        <v>883</v>
      </c>
      <c r="B282" s="1" t="s">
        <v>898</v>
      </c>
      <c r="C282" s="1" t="s">
        <v>899</v>
      </c>
      <c r="D282" s="1">
        <v>6.0</v>
      </c>
      <c r="E282" s="4" t="s">
        <v>900</v>
      </c>
      <c r="F282" s="1" t="s">
        <v>16</v>
      </c>
      <c r="G282" s="1" t="s">
        <v>901</v>
      </c>
      <c r="H282" s="4" t="s">
        <v>902</v>
      </c>
      <c r="I282" s="2">
        <v>1.0</v>
      </c>
      <c r="J282" s="5" t="str">
        <f>IFERROR(__xludf.DUMMYFUNCTION("GOOGLETRANSLATE(A282)"),"Gypsophyla")</f>
        <v>Gypsophyla</v>
      </c>
      <c r="K282" s="6" t="str">
        <f>IFERROR(__xludf.DUMMYFUNCTION("GOOGLETRANSLATE(B282)"),"Buy bouquets of gypsophiles at a price of 890 rubles in Samara")</f>
        <v>Buy bouquets of gypsophiles at a price of 890 rubles in Samara</v>
      </c>
      <c r="L282" s="5" t="str">
        <f>IFERROR(__xludf.DUMMYFUNCTION("GOOGLETRANSLATE(C282)"),"The site shows a huge selection of gypsophila bouquets at low prices. Flower delivery in Samara within 2 hours. Before placing an order is available ...")</f>
        <v>The site shows a huge selection of gypsophila bouquets at low prices. Flower delivery in Samara within 2 hours. Before placing an order is available ...</v>
      </c>
      <c r="M282" s="5" t="str">
        <f>IFERROR(__xludf.DUMMYFUNCTION("GOOGLETRANSLATE(G282)"),"Flawry - flowers and gifts with delivery in Russia - a large selection of bouquets from the best florists of the city of the city of Support to Flawrypay and Delivery of the company Kontaktytybyttykoye delivery of 20 minutes of the selected city depends o"&amp;"n the assortment of the selected city depends on the assortment of goods stores in 261 cities of Russians every day more florists in different regions join us every day Therefore, it will not be difficult for you to order a bouquet with the delivery of fl"&amp;"owers to the Moscow Blowers to St. Petersburg Flowers to Samarevoronefatyumenoschiklashkrase, the bouquet I liked the bouquet, but you don’t fit into the budget, you can make a similar one to reduce the cost of bouquets and disciplees. Zhenya You can get "&amp;"additional discounts on promotional codes for bouquets when paying for an order for an individual approach to each client Floriste, you can get a professional advice from a specialist on all interests of the bouquet of the bouquet -resident 2000 ₽ Transki"&amp;"dnunkid -sales a reservoir. OV clients4.89 general rating basis 17731 reviews Customers Flowers by LUSI on November 11 at 23: 38 -Extensive bouquet for a sister very tenderly beautiful packaging Fresh flowers 🩷 Moscow Ekaterina FlowerStorg November 11 at"&amp;" 20: 57 paint bouquet of flowers. An unusual coloring and color one to one as from a picture, the girl really liked the city of Moscow Riviera on November 11 at 19: a 23 -playing bouquet I really liked the bouquet $ Moscow Floral Accord November 11 at 10:"&amp;" 21CPASIBO Big you! An unrealistically beautiful pot is everything as in the photo the price is magnificent, I wish you development and promotion! Moscow EVA Flowers Chrisantem - 10; Chamomile - 7; Packaging - 5; Atlase tape - November 2 11 at 10: 00 Gene"&amp;"ral guys super that florist is that delivery - I advise everything at the level! Moscow Roman M.Mosbuketikrosis - 11 packaging - 4 tapes - 1 November 11 at 02: 48 Non for the first time I order flowers here with delivery, everything is quickly beautiful! "&amp;"Moscow Mango La Fiori November 10 at 22: 51VS Super birthday is delighted :) Moscow Rozamir on November 10 at 19: 59 -in -line service bouquet was taken to time. It looks amazingly packed beautifully and concisely. Moscow Flowers by Lusi on November 10 at"&amp;" 12: 04SPASIBO GREATIONALY employees politely clearly explained) G. Moscow download the Flawry application there is even more convenient there after a chat with the florist -free stores of your city more than 70470 bouquets and the buyer's gifts and a 100"&amp;"% guarantee of returning from Flawery is to profitably order Delivery is just when choosing bouquets of flowers is huge. We are a trading platform on which store offers from all over Russia are located. Discount stocks and a bonus program will make delive"&amp;"ry even more pleasant. Oo company and delivery of the partnership from liability of confidentiality of the use of the use of promoted news and promotions of contacts109316 Moscow Volgogradsky Prospekt 43 K3Email: info@flawery.ruteleph: 8 800 350-32-75 gra"&amp;"phics Center - From 08:00 to 22:00 seven days a day off. Application of applications on the site takes place around the clock, their execution takes place according to the operating mode of the cabin. © 2016-2023 Flavrey.ru LLC 1197746088759inn 7722471876"&amp;"KPP 772201001")</f>
        <v>Flawry - flowers and gifts with delivery in Russia - a large selection of bouquets from the best florists of the city of the city of Support to Flawrypay and Delivery of the company Kontaktytybyttykoye delivery of 20 minutes of the selected city depends on the assortment of the selected city depends on the assortment of goods stores in 261 cities of Russians every day more florists in different regions join us every day Therefore, it will not be difficult for you to order a bouquet with the delivery of flowers to the Moscow Blowers to St. Petersburg Flowers to Samarevoronefatyumenoschiklashkrase, the bouquet I liked the bouquet, but you don’t fit into the budget, you can make a similar one to reduce the cost of bouquets and disciplees. Zhenya You can get additional discounts on promotional codes for bouquets when paying for an order for an individual approach to each client Floriste, you can get a professional advice from a specialist on all interests of the bouquet of the bouquet -resident 2000 ₽ Transkidnunkid -sales a reservoir. OV clients4.89 general rating basis 17731 reviews Customers Flowers by LUSI on November 11 at 23: 38 -Extensive bouquet for a sister very tenderly beautiful packaging Fresh flowers 🩷 Moscow Ekaterina FlowerStorg November 11 at 20: 57 paint bouquet of flowers. An unusual coloring and color one to one as from a picture, the girl really liked the city of Moscow Riviera on November 11 at 19: a 23 -playing bouquet I really liked the bouquet $ Moscow Floral Accord November 11 at 10: 21CPASIBO Big you! An unrealistically beautiful pot is everything as in the photo the price is magnificent, I wish you development and promotion! Moscow EVA Flowers Chrisantem - 10; Chamomile - 7; Packaging - 5; Atlase tape - November 2 11 at 10: 00 General guys super that florist is that delivery - I advise everything at the level! Moscow Roman M.Mosbuketikrosis - 11 packaging - 4 tapes - 1 November 11 at 02: 48 Non for the first time I order flowers here with delivery, everything is quickly beautiful! Moscow Mango La Fiori November 10 at 22: 51VS Super birthday is delighted :) Moscow Rozamir on November 10 at 19: 59 -in -line service bouquet was taken to time. It looks amazingly packed beautifully and concisely. Moscow Flowers by Lusi on November 10 at 12: 04SPASIBO GREATIONALY employees politely clearly explained) G. Moscow download the Flawry application there is even more convenient there after a chat with the florist -free stores of your city more than 70470 bouquets and the buyer's gifts and a 100% guarantee of returning from Flawery is to profitably order Delivery is just when choosing bouquets of flowers is huge. We are a trading platform on which store offers from all over Russia are located. Discount stocks and a bonus program will make delivery even more pleasant. Oo company and delivery of the partnership from liability of confidentiality of the use of the use of promoted news and promotions of contacts109316 Moscow Volgogradsky Prospekt 43 K3Email: info@flawery.ruteleph: 8 800 350-32-75 graphics Center - From 08:00 to 22:00 seven days a day off. Application of applications on the site takes place around the clock, their execution takes place according to the operating mode of the cabin. © 2016-2023 Flavrey.ru LLC 1197746088759inn 7722471876KPP 772201001</v>
      </c>
    </row>
    <row r="283">
      <c r="A283" s="1" t="s">
        <v>883</v>
      </c>
      <c r="B283" s="1" t="s">
        <v>903</v>
      </c>
      <c r="D283" s="1">
        <v>7.0</v>
      </c>
      <c r="E283" s="4" t="s">
        <v>904</v>
      </c>
      <c r="F283" s="1" t="s">
        <v>16</v>
      </c>
      <c r="G283" s="1" t="s">
        <v>905</v>
      </c>
      <c r="H283" s="4" t="s">
        <v>906</v>
      </c>
      <c r="I283" s="2">
        <v>1.0</v>
      </c>
      <c r="J283" s="5" t="str">
        <f>IFERROR(__xludf.DUMMYFUNCTION("GOOGLETRANSLATE(A283)"),"Gypsophyla")</f>
        <v>Gypsophyla</v>
      </c>
      <c r="K283" s="6" t="str">
        <f>IFERROR(__xludf.DUMMYFUNCTION("GOOGLETRANSLATE(B283)"),"Hypsophyla monobuk (dimensions s, m, l)")</f>
        <v>Hypsophyla monobuk (dimensions s, m, l)</v>
      </c>
      <c r="L283" s="5" t="str">
        <f>IFERROR(__xludf.DUMMYFUNCTION("GOOGLETRANSLATE(C283)"),"#VALUE!")</f>
        <v>#VALUE!</v>
      </c>
      <c r="M283" s="5" t="str">
        <f>IFERROR(__xludf.DUMMYFUNCTION("GOOGLETRANSLATE(G283)"),"Flower delivery in Yekaterinburg is inexpensive-you can buy flowers and order on the site-online store ""Flower shop"" Authorization electronic postaparol has a password? Input-register-in-the-stroke-Kontaktyo agreements of the Call Call Order Name: Your "&amp;"Phone: Comment: Send a Consider the Consider processing Personal data.+7 (343) 243-57-43 Account 0 Autorization / Registration (0) Comparison (0) Basket Cart-cleaning your basket empty! Basket purchasing ordering orderelor-post-Mail compartment to correct"&amp;" the orders of the “Send order” button you will give consent to the processing of personal data. Menukategories category category Categories Flower Buildings Flower Buildings Bouquet Bouquet Bouquets of Razmono/Duo Bouquet -Tsettyy Rolizhizyziroziy Less -"&amp;"in -Kistyuy Dry -Military Composition Flowering Boxing Flowering Boxing Boxing Candles and Decor for Homewesses for Homewesses for Homewalls and Decor for Home Home Flovadecor for a home -sample and candlesticksuhnikuhotsetytuytuybukets of flowering -hot "&amp;"bouquet bouquets of rosmon/duo bouquets of a tapethy -kategoriairozyrosis piercial painting toys of flowers Composition -flowing flowing boxes of flowing baskets of flowers for flowers homewaters candles and decor for house -cavevazyvazi for flowers for h"&amp;"ome -eaters and candlesticksuhniki -intelligent bouquet Alice from 2750 ₽ Buy free shipbuket Angelina 12350 ₽ Buy Free delivery with roses and amarillis 8500 ₽ ₽ ₽ Free Ariana's Free Succabuk with Miss Piggi roses and bush roses 7550 ₽ Buy a bouquet of Va"&amp;"silisa with orchids and a lilac 4500 ₽ Buy Versavia Bouquet 4700 ₽ Buy Daniella bouquet 2700 ₽ Darina bouquet with amarillis 4800 ₽/duo/trio Bounx from roses Playa Blanca from 4700 ₽ Trinomi rose and alstromeria 2500 ₽ Buy Monobuk from Kendlite roses from"&amp;" 4700 ₽ Buy Monobuk from 15 roses Plai Blank with an eucalyptus 4500 ₽ Monobuette of 15 pink roses Faith 3200 ₽ Buy a baton of roses and bush roses 3000 ₽ Buy a mono -cap of colored gypsophila (dimensions S m l) from 1740 ₽ Buy in stock from 18.10 Faith a"&amp;"nd chameelazium 4900 ₽ Buy bouquets from a foster pay -pay -pay -pay -boiler of 25 roses Playa Blanca with eucalyptus 7950 ₽ Monobouket of 15 roses with an eucalyptus of 4500 ₽ Buy a mono -boilet of the Femkes of 4700 ₽ Buy Монобукет из роз Шиммер							 "&amp;"								 									от 3750 ₽															 						  Купить								Уточните наличиеБЕСПЛАТНАЯ ДОСТАВКАБукет из 25 белых роз Мондиаль							 								 									6750 ₽															 						  Купить								Букет из 15 красных роз							 								 									4050 ₽"&amp;"															 						  Купить								Букет из персиковых роз Мисс Пигги							 								 									от 2900 ₽															 						  Купить								ПредзаказБЕСПЛАТНАЯ ДОСТАВКАБукет из 51 красной розы							 								 									13770 ₽															 						  К"&amp;"упить								КомпозицииБЕСПЛАТНАЯ ДОСТАВКАКорзина Амелия							 								 									5200 ₽ Buy a hit season! Felicia basket with peonia and orchids 4400 ₽ Buy box No. 10 with orchids 3650 ₽ Buy a composition in a wooden box No. 5 2500 ₽ Free Matilda Free Fr"&amp;"ee Free Delivkorzina with a Granate 5300 ₽ Jessica 6300 ₽ Buy Free delivery of velvet No. 20 of 51 red rose size l 11500 ₽ Buying conditions for delivery of orders is carried out in Yekaterinburg and nearby cities (Verkhnyaya Pyshma Berezovsky Revda Pervo"&amp;"uralsk, etc.). On holidays, such as on February 14 on February 5-8, Mother September 1, September 1 - Delivery takes place at an increased rate of +100 rubles to the basic cost of delivery! Delivery cost of 400 rubles for a purchase of 5,000 rubles. Micro"&amp;"districts 450 rubles (Elizabeth Ceramics Solnechny UC (state farm) wide Michurinsky 7 Key river Schuvakish Veer Shatash (from isopylets) compressor (Poultry Plant) Himmash (light Simalendi) Lower Rudnodtarifs for delivery to other settlements can be viewe"&amp;"d in the section of orders. hours from 10 to 22 hours without holidays and weekends, orders are delivered around the clock! Delivery from 23 to 8 hours takes place at an increased tariff of +100 rubles to the base value. When placing the order, our manage"&amp;"r will contact you by phone to confirm the order and clarify the convenient for the convenient You are delivery time. If you want to get a photo of your flowers before delivery, write to us in WhatsApp or call +7 (904) 548-62-57. Teriffs for delivery of t"&amp;"he city delivery costs for the Ekadbestvo (400 rubles when ordering up to 5000) Relieved microdistricts450 rubles is a big source 650 rubles upper pyshma650 rubles 650 rubles mid -Uralsk750 rubles750 rubles 750 rubles aipatrushi850 rubles. Sysert850 ruble"&amp;"s MAMDARY 850 rubles STRARY STRACTS950 rubles KAKOSULINO1050 rubles Dubrovo1150 rubles1450 rubles1550 rubles1550 rubles1550 rubles PAPERALSK1650 rubles Dinas1750 rubles Servyere1750 RU resumed1850 rubles, delivery to other cities, you can clarify from the"&amp;" Florista Office of payment You can pay for the order in one of the following ways: payment by bank card online (Visa MasterCard Mir) in cash or bank card In the store. Nacquer or bank card, the courier upon receipt of the order. Current money, if the buy"&amp;"er is canceled by the buyer after making payment, the money is returned to the client in the way that they were transferred to the seller. To buy a clicky-email comprehensive component to the promoted to the “Send order” button you Give consent to the pro"&amp;"cessing of personal data.whatsApptelegramna of our website uses Cookie Yandex Metric and Google Analytics to improve the user interface. To find out what personal data and cookie files are used to follow the link. After sending with feedback or registrati"&amp;"on forms on the site, you consent to all the conditions in the policy of processing personal data Salon of Flower and Decor for the House-Flower shop 2023+7 (343) 243-57-43 Call order call name: Your phone: Your phone Comment: Send the Namen to the “Send”"&amp;" button you consent to the processing of personal data. We in the network We accept payments")</f>
        <v>Flower delivery in Yekaterinburg is inexpensive-you can buy flowers and order on the site-online store "Flower shop" Authorization electronic postaparol has a password? Input-register-in-the-stroke-Kontaktyo agreements of the Call Call Order Name: Your Phone: Comment: Send a Consider the Consider processing Personal data.+7 (343) 243-57-43 Account 0 Autorization / Registration (0) Comparison (0) Basket Cart-cleaning your basket empty! Basket purchasing ordering orderelor-post-Mail compartment to correct the orders of the “Send order” button you will give consent to the processing of personal data. Menukategories category category Categories Flower Buildings Flower Buildings Bouquet Bouquet Bouquets of Razmono/Duo Bouquet -Tsettyy Rolizhizyziroziy Less -in -Kistyuy Dry -Military Composition Flowering Boxing Flowering Boxing Boxing Candles and Decor for Homewesses for Homewesses for Homewalls and Decor for Home Home Flovadecor for a home -sample and candlesticksuhnikuhotsetytuytuybukets of flowering -hot bouquet bouquets of rosmon/duo bouquets of a tapethy -kategoriairozyrosis piercial painting toys of flowers Composition -flowing flowing boxes of flowing baskets of flowers for flowers homewaters candles and decor for house -cavevazyvazi for flowers for home -eaters and candlesticksuhniki -intelligent bouquet Alice from 2750 ₽ Buy free shipbuket Angelina 12350 ₽ Buy Free delivery with roses and amarillis 8500 ₽ ₽ ₽ Free Ariana's Free Succabuk with Miss Piggi roses and bush roses 7550 ₽ Buy a bouquet of Vasilisa with orchids and a lilac 4500 ₽ Buy Versavia Bouquet 4700 ₽ Buy Daniella bouquet 2700 ₽ Darina bouquet with amarillis 4800 ₽/duo/trio Bounx from roses Playa Blanca from 4700 ₽ Trinomi rose and alstromeria 2500 ₽ Buy Monobuk from Kendlite roses from 4700 ₽ Buy Monobuk from 15 roses Plai Blank with an eucalyptus 4500 ₽ Monobuette of 15 pink roses Faith 3200 ₽ Buy a baton of roses and bush roses 3000 ₽ Buy a mono -cap of colored gypsophila (dimensions S m l) from 1740 ₽ Buy in stock from 18.10 Faith and chameelazium 4900 ₽ Buy bouquets from a foster pay -pay -pay -pay -boiler of 25 roses Playa Blanca with eucalyptus 7950 ₽ Monobouket of 15 roses with an eucalyptus of 4500 ₽ Buy a mono -boilet of the Femkes of 4700 ₽ Buy Монобукет из роз Шиммер							 								 									от 3750 ₽															 						  Купить								Уточните наличиеБЕСПЛАТНАЯ ДОСТАВКАБукет из 25 белых роз Мондиаль							 								 									6750 ₽															 						  Купить								Букет из 15 красных роз							 								 									4050 ₽															 						  Купить								Букет из персиковых роз Мисс Пигги							 								 									от 2900 ₽															 						  Купить								ПредзаказБЕСПЛАТНАЯ ДОСТАВКАБукет из 51 красной розы							 								 									13770 ₽															 						  Купить								КомпозицииБЕСПЛАТНАЯ ДОСТАВКАКорзина Амелия							 								 									5200 ₽ Buy a hit season! Felicia basket with peonia and orchids 4400 ₽ Buy box No. 10 with orchids 3650 ₽ Buy a composition in a wooden box No. 5 2500 ₽ Free Matilda Free Free Free Delivkorzina with a Granate 5300 ₽ Jessica 6300 ₽ Buy Free delivery of velvet No. 20 of 51 red rose size l 11500 ₽ Buying conditions for delivery of orders is carried out in Yekaterinburg and nearby cities (Verkhnyaya Pyshma Berezovsky Revda Pervouralsk, etc.). On holidays, such as on February 14 on February 5-8, Mother September 1, September 1 - Delivery takes place at an increased rate of +100 rubles to the basic cost of delivery! Delivery cost of 400 rubles for a purchase of 5,000 rubles. Microdistricts 450 rubles (Elizabeth Ceramics Solnechny UC (state farm) wide Michurinsky 7 Key river Schuvakish Veer Shatash (from isopylets) compressor (Poultry Plant) Himmash (light Simalendi) Lower Rudnodtarifs for delivery to other settlements can be viewed in the section of orders. hours from 10 to 22 hours without holidays and weekends, orders are delivered around the clock! Delivery from 23 to 8 hours takes place at an increased tariff of +100 rubles to the base value. When placing the order, our manager will contact you by phone to confirm the order and clarify the convenient for the convenient You are delivery time. If you want to get a photo of your flowers before delivery, write to us in WhatsApp or call +7 (904) 548-62-57. Teriffs for delivery of the city delivery costs for the Ekadbestvo (400 rubles when ordering up to 5000) Relieved microdistricts450 rubles is a big source 650 rubles upper pyshma650 rubles 650 rubles mid -Uralsk750 rubles750 rubles 750 rubles aipatrushi850 rubles. Sysert850 rubles MAMDARY 850 rubles STRARY STRACTS950 rubles KAKOSULINO1050 rubles Dubrovo1150 rubles1450 rubles1550 rubles1550 rubles1550 rubles PAPERALSK1650 rubles Dinas1750 rubles Servyere1750 RU resumed1850 rubles, delivery to other cities, you can clarify from the Florista Office of payment You can pay for the order in one of the following ways: payment by bank card online (Visa MasterCard Mir) in cash or bank card In the store. Nacquer or bank card, the courier upon receipt of the order. Current money, if the buyer is canceled by the buyer after making payment, the money is returned to the client in the way that they were transferred to the seller. To buy a clicky-email comprehensive component to the promoted to the “Send order” button you Give consent to the processing of personal data.whatsApptelegramna of our website uses Cookie Yandex Metric and Google Analytics to improve the user interface. To find out what personal data and cookie files are used to follow the link. After sending with feedback or registration forms on the site, you consent to all the conditions in the policy of processing personal data Salon of Flower and Decor for the House-Flower shop 2023+7 (343) 243-57-43 Call order call name: Your phone: Your phone Comment: Send the Namen to the “Send” button you consent to the processing of personal data. We in the network We accept payments</v>
      </c>
    </row>
    <row r="284">
      <c r="A284" s="1" t="s">
        <v>883</v>
      </c>
      <c r="B284" s="1" t="s">
        <v>907</v>
      </c>
      <c r="C284" s="1" t="s">
        <v>908</v>
      </c>
      <c r="D284" s="1">
        <v>8.0</v>
      </c>
      <c r="E284" s="4" t="s">
        <v>909</v>
      </c>
      <c r="F284" s="1" t="s">
        <v>16</v>
      </c>
      <c r="G284" s="1" t="s">
        <v>910</v>
      </c>
      <c r="H284" s="4" t="s">
        <v>911</v>
      </c>
      <c r="I284" s="2">
        <v>1.0</v>
      </c>
      <c r="J284" s="5" t="str">
        <f>IFERROR(__xludf.DUMMYFUNCTION("GOOGLETRANSLATE(A284)"),"Gypsophyla")</f>
        <v>Gypsophyla</v>
      </c>
      <c r="K284" s="6" t="str">
        <f>IFERROR(__xludf.DUMMYFUNCTION("GOOGLETRANSLATE(B284)"),"Gypsophila buy a bouquet in Moscow with delivery ...")</f>
        <v>Gypsophila buy a bouquet in Moscow with delivery ...</v>
      </c>
      <c r="L284" s="5" t="str">
        <f>IFERROR(__xludf.DUMMYFUNCTION("GOOGLETRANSLATE(C284)"),"Gypsophila with delivery in Moscow from the Magic Flower online store at competitive prices. Order flowers right now: +7 (499) 490-10-90.")</f>
        <v>Gypsophila with delivery in Moscow from the Magic Flower online store at competitive prices. Order flowers right now: +7 (499) 490-10-90.</v>
      </c>
      <c r="M284" s="5" t="str">
        <f>IFERROR(__xludf.DUMMYFUNCTION("GOOGLETRANSLATE(G284)"),"           Flower delivery in Moscow in 2 hours. Buy a bouquet of flowers with home delivery-Magic Flower delivery and Payment Guarantee Article Reviews Contacts about us to enter the Flower Flower delivery in Moscow Call me +7 (499) 490-10-90 8 (800) 600"&amp;"-65-76 We work daily with 08:00 to 24:00 Write to us add us in WhatsApp +7 (499) 490-10-90 or write help you help choose flowers; We will inform the status of the order; Let's talk about delivery capabilities; Promotions products with discount Combo Flowe"&amp;"rs Rose Rose Rose Premium rose bush roses of chrysanthemum cloves of gerberia gypsophila gypsophila pionois Ranunculus Irisa Narcissas of Alstomeria Eastoma Matiolla Hyacinth Delphinium until 2000 ₽ Buckets 101 rose 51 roseni skka rose bouquets ""Magical"&amp;""" 51 rose mono -boob coat prefabricated Bouquets Hat Boxes Mini-Bouquet Bouquet in a rose basket Rosal roses white roses pink roses lilac roses raspberry roses multi-colored roses yellow roses Cream roses Blue roses height rose 40 cm rose 60 cm rose 70 c"&amp;"m 100 Rose 3 roses 5 roses roses9 roses 15 roses 19 rose21 rose 25 roses Rose75 rose101 rose501 rose according to the type of roses of kenya kuvodaroza Premium. Classic type of rose basket in the rose -shaped rose -shaped tulip -shaped red -bore -zero -ze"&amp;"ro -zero -sprinkle otnoye -oorangealfiolpo amount of 11 tulips 15 tulips 19 Tulpanov 21 tulip 31 tulip 35 tulips 51 tulip 101 tulip, type of assembly Mono -boiled bouquets with tulipamytylpana to basketwalpana in a box in a box for a woman for a girl to a"&amp;" child colleague birthday birth flowers for a wedding, I love sorry the child love Female Valentine's Day Valentine's Day March 8 September 1 Day New Year Gifts Gifts Strawberries in Chocolate Ballon Air Balls Farmers Gift Baskets VAZS Soft toys Gift bags"&amp;" Toppers candles cards and envelopes Eat bouquets of strawberries in chocolate Gift baskets Galls finished compositions bouquet with sharahamoro sharovontans from sharshshara for tribal cocliefs Sharovpo Type of Sharovlatex Balls Foil of Sharyprozen Balls"&amp;" Summarizing Sharybolly balls Bubblesars on rolled balls with balls of balls of balls of ball balls gruzdshara Figushara without a pattern Balls with confetti balls of chrompo -painted blue blue green silver silver green Black Black Black Birthday Birthda"&amp;"y Wedding Wedding of the Child Calling from the maternity hospital1 September 19 on February 8, March 8, Matkaya Matermodnoye Helloweenno to Godmamapaiparaphedshebenkudl lovers, we will deliver fast delivery in 2 hours or an order at our expense. Fresh fl"&amp;"owers guarantee 5-day resistance or replace the bouquet. Will the quality guarantee will not like the bouquet? Replace within 24 hours. Photo control will show the bouquet before sending high -quality service a polite service from a call to the door. Deli"&amp;"very of flowers in Moscow Category Flowers 2005 Bouquets 2073 Roses 1166 Balloons 447 Age 2253 Com 2253 Gifts 242 edible 180 Up to 2000 rub 187 Color color white turquoise golden coral creamy raspberry mex multicolor orange rosy pink -sire Build assembly "&amp;"type of white-raspberry white yellow multi-colored occasion Hare birthday to wedding size 100 25 25 30 35 40 45 50 60 70 Price price ₽ Compassing clips! Free gift for the bouquet! 2 590 ₽ 35 multi -colored roses 40cm - a box of makarun as a gift! 6 review"&amp;"s order buy in 1 click 3 990 ₽ Bouquet of roses gerber and east - strawberries in chocolate as a gift! 0 reviews order buy in 1 click 5 490 ₽ 101 White rose- Box Makarun as a gift! 2 reviews order buy in 1 click 3 290 ₽ Bouquet of 51 red and white roses -"&amp;" boxing box as a gift! 4 reviews order buy in 1 click 4 590 ₽ 51 lilac and white rose- boxing box as a gift! 5 reviews order buy in 1 click 4 890 ₽ Bouquet of 35 yellow tulips- boxing box as a gift! 0 reviews order buy in 1 click 3 290 ₽ 2 790 ₽ Bouquet o"&amp;"f 5 blue hydrangeas - strawberries in chocolate as a gift! 1 reviews order buy in 1 click 5 990 ₽ 4 990 ₽ Bouquet of 11 multi -colored hydrangeas - strawberries in chocolate as a gift! 2 reviews order buy in 1 click Show 101 more rose 5 490 ₽ Bouquet of 1"&amp;"01 multi -colored roses in craft 169 reviews order buy in 1 click 5 490 ₽ 101 White rose Buy in 1 click 5 490 ₽ 101 Red rose 181 reviews Buy Buy 1 click 5 490 ₽ 101 Red rose in a film 317 reviews order Buy 1 click 5 490 ₽ 101 Yellow rose 66 reviews Buy in"&amp;" 1 click 5 490 ₽ 101 rose 101 Berry mix in a film 90 reviews order buy in 1 click 5 490 ₽ Bouquet of 101 orange roses in a film 76 reviews order Buy 1 click Show Piones 7 190 ₽ Bouquet of 9 peonies 4 reviews Buy in 1 click 8 490 ₽ 11 white Pions 11 review"&amp;"s order buy in 1 click 7 190 ₽ Bouquet of 9 white peonies 1 reviews order buy in 1 click 5 790 ₽ Bouquet of 7 white peonies In 1 click 24 990 ₽ 35 multi -colored peonies 0 reviews order buy in 1 click 10 690 ₽ Bouquet with lilac and ranculus 1 reviews ord"&amp;"er Buy 1 click 5 790 ₽ Bouquet of 7 pink peonies 6 Clicks Buy in 1 click Show until 2000 until 2000 rub 1 390 ₽ Bouquet of 11 raspberry roses 3 reviews Buy Buy in 1 click 1 590 ₽ 9 pink roses Premium 50 cm 6 reviews Buy Buy 1 390 ₽ Bouquet of 11 rose rose"&amp;"s with eucalyptus 6 reviews order Buy in 1 click 890 ₽ Bouquet of 3 red roses 50 cm 0 reviews Buy Buy 1 click 1 190 ₽ Bouquet of 5 red roses 50 cm 1 reviews to order in 1 click 1 490 ₽ Bouquet of 5 red roses 60 cm 0 reviews order Buy 1 click 1 490 ₽ Bouqu"&amp;"et of 15 lilac roses Click 3 290 ₽ Bouquet of tulips of irises and eucalyptus 3 reviews order buy in 1 click 3 090 ₽ Bouquet of tulips alstromerium and iris 2 reviews order Buy 1 click 3 590 ₽ Bouquet with tulpans alstrient and stature 2 reviews order Buy"&amp;" in 1 click 3 990 ₽ Bouquet of roses of diantus and hydrangeas 1 reviews to order buy in 1 click 2 890 ₽ Bouquet of roses and tulips 1 reviews order Buy 1 click 6 190 ₽ Bouquet with mattiola and peonies 1 Clicks Buy in 1 click 10 690 ₽ Bouquet with Lilac "&amp;"and Ranunkulus 1 reviews order Buy 1 click show another bouquets of strawberries (Magic Candy) 3 290 ₽ Strawberry bouquet (Gold size S) 0 reviews order Buy 1 click 4 990 ₽ Strawberry bouquet (confetti size L) 0 reviews 0 reviews Order buy in 1 click 3 990"&amp;" ₽ Bouquet of strawberries (confetti size m) 0 reviews order Buy 1 click 3 990 ₽ Strawberry bouquet (Faberge size m) 0 reviews order Buy 1 click 3 290 ₽ Strawberry bouquet (Love S) 0 reviews Order buy in 1 click 3 290 ₽ Bounet bouquet (heart Size s) 0 rev"&amp;"iews order Buy 1 click 3 990 ₽ Basket with strawberries “Berry mix” 0 reviews order 1 click 6 990 ₽ Box - Surprise with strawberries “Ball of flowers” ​​0 reviews Buy 1 click show another 51 rose 3 790 ₽ Bouquet of 51 pink roses in a hat box 3 reviews ord"&amp;"er Buy 1 click 3 790 ₽ Bouquet of 51 red rose in a hat box 1 reviews order Buy in 1 click 3 790 ₽ Bouquet of 51 fiery roses in a hat box 1 reviews order buy in 1 click 3 790 ₽ Bouquet of 51 multi -colored roses in a hat box 1 reviews order Buy 1 Click Sho"&amp;"w Hydension 3 990 ₽ Bouquet of Dianthus roses and hydrangeas 1 reviews order buy in 1 click 7 990 ₽ 6 390 ₽ Bouquet of 15 multi -colored hydrangeas 13 reviews to order in 1 click 5 990 ₽ 4 990 ₽ Bouquet of 11 pink hydrangeas 5 Clicks Buy 4 990 ₽ Bouquet f"&amp;"rom rose cloves of hydrangeas and east 3 reviews Buy Buy 1 click Show more hat boxes 3 790 ₽ Bouquet of 51 pink roses in a hat box 3 reviews order Buy 1 190 ₽ 51 tulip in a hat box 0 reviews order Buy 1 click 3 190 ₽ Bouquet of 11 multi -colored gypsophil"&amp;"es in a hat box 2 reviews order buy in 1 click 3 190 ₽ Bouquet of 11 orange gypsophils in a hat box 0 reviews Order Buy 1 Click Show also tulips hit 3 790 ₽ Bouquet of flowers from tulips and dioatus 4 reviews 4 reviews Order buy in 1 click 6 690 ₽ 51 Whi"&amp;"te tulip 2 reviews to order Buy 1 click 2 890 ₽ Bouquet of tulips and bush roses 3 reviews order Buy 1 click 12 290 ₽ 101 Red tulip 1 Clicks Buy in 1 click Show also plaster 3 190 ₽ Bouquet of 11 multi -colored gypsophiles in a hat box 2 reviews order buy"&amp;" in 1 click 3 190 ₽ Bouquet of 11 turquoise gypsophil in a hat box 3 reviews order Buy 1 click 3 290 ₽ Bouquet of 15 pink gypsophilia 2 reviews Buy Buy 1 Click 4 890 ₽ Bouquet of flowers from 25 multi -colored gypsophiles 0 reviews order buy in 1 click Sh"&amp;"ow more roses Premium 2 790 ₽ Bouquet of 15 roses Premium 60 cm 12 Clicks Buy in 1 590 ₽ 9 pink roses Premium 50 cm 6 cm in order to order Buy in 1 click 5 390 ₽ Bouquet of 15 roses Ecuador 70 cm 0 reviews order buy in 1 click 7 390 ₽ Bouquet of 15 white "&amp;"roses Ecuador 100 cm 1 reviews to order 1 click Show more products with a discount 4 290 ₽ 3 490 ₽ 7 blue hydrangeas 3 reviews order buy in 1 click 7 990 ₽ 6 390 ₽ 15 blue hydrangeas 1 reviews order buy in 1 click 7 990 ₽ 6 390 ₽ 15 multi -colored hydrang"&amp;"eas 7 reviews Buy in 1 click 5 990 ₽ 4 990 ₽ 11 multi -colored multi -colored Highways 7 reviews order buy in 1 click Show also order flowers with delivery of flowers delivery in an instant to change the mood of a person to drive away the spleen and sadne"&amp;"ss. Indeed, for any woman, a bouquet is always a welcome gift regardless of the holiday and reason. Flowers are a simple and universal way to make the life of a loved one brighter and more colorful. The Magic Flower online store offers to order flowers wi"&amp;"th home or office delivery. Professional florists will select the perfect composition for any reason. We always have a luxurious bouquet for the anniversary, a modest, fragrant presentation for congratulations on a professional holiday, an original floral"&amp;" ensemble for March 8 for a sister or a lover. A rich selection of colors in the catalog is supplemented by sweet bouquets toys and accessories as well as a unique design in hat boxes and baskets. Bouquets to the house delivery of flowers in Moscow are pe"&amp;"rformed by couriers without days off. We offer stylish modern bouquets of flowers. You can order mono -boobs by selecting the required number of buds and complex compositions with different plants. If you need flowers urgently leave a request by phone ind"&amp;"icate all the details of the order - we will collect and send a bouquet to the specified address to the house within two hours. Applications for flowers are accepted around the clock. We send delivery by courier on the same day with a bouquet to any addre"&amp;"ss in the capital and Moscow Region. Proceeding is possible from the store for free for regular customers are discounts. We guarantee that the recipient of our floral arrangements will be delighted. Buyers 5072 reviews show another 5,490 ₽ Dmitry 101 red "&amp;"rose bouquet was very beautiful quickly. We are satisfied with all. Thank you 09.11.2023 1 990 ₽ Irina ilinets bouquet of 9 raspberry roses 60 cm acquired a colleague for the second time. For the first time the birthday girl was delighted in the quality o"&amp;"f the flowers. I hope that even today everything will pass as well. Thank you so much for your work. Sincerely Irina 09.11.2023 1 390 ₽ Julia bouquet of 1 blue hydrangea in craft Beautiful fresh flowers! Very beautifully packed. They attached the instruct"&amp;"ions to attach an envelope and a postcard in it! I was satisfied! Thank you! 11.11.2023 3 790 ₽ Elena Bouquet of 51 pink roses in a hat box purchased here a bouquet sent a photo when it was assembled very beautifully. Thanks a lot! 11/08/2023 Show more us"&amp;"eful information on how to surprise their favorite girls - delivery of flowers to the house Modern girls are far from Turgenevskaya young ladies and surprise them completely difficult. What only wow .. TOP-10 reasons to give flowers to the lives of people"&amp;" of the 21st century have entered a new fashion trend-to make non-standard gifts. What is not giving .. how to care for a bouquet in a hat box flowers - a traditional and affordable sign of attention for a beloved woman of a mother’s daughter or colleague"&amp;" in RA .. How to choose the right flowers? It would seem that it could be easier than buying flowers for a woman. But in some situations to choose .. Questions and answers 1. What ways to pay? Payment to the courier in cash or bank card upon receipt of th"&amp;"e Bank card online 2. How to order flowers? You can place an order by phone or on the site by adding a bouquet you like to the basket and filling out all the necessary fields. 3. Do you have urgent home delivery? The minimum possible time of delivery of t"&amp;"he bouquet of flowers immediately after placing the order is 2 hours. 4. At what time is bouquet delivery? Delivery time or office in Moscow - from 7:00 to 1:00 in the Moscow region - from 9:00 to 24:00. Magic Flower - delivery of flower bouquets in Mosco"&amp;"w and the region. We accept orders around the clock. Bouquets with a unique style from leading florists. Write to us information guarantee Return Support Privacy Policy Agreement Contacts Contacts Reviews about the site about us Site map Legal information"&amp;" branch in St. Petersburg Popular flowers bouquets of strawberries. Gifts edible bouquets of 101 metro station settlements Magic Flower +7 ( 499) 490-10-90 8 (800) 600-65-76 We work daily from 08:00 to 24:00 call me +7 (499) 490-10-90 | 8 (800) 600-65-76 "&amp;"Buket@magikalflower.ru 129594 Moscow 3rd passage Maryina Grove House 5 Magic Flower © 2023")</f>
        <v>           Flower delivery in Moscow in 2 hours. Buy a bouquet of flowers with home delivery-Magic Flower delivery and Payment Guarantee Article Reviews Contacts about us to enter the Flower Flower delivery in Moscow Call me +7 (499) 490-10-90 8 (800) 600-65-76 We work daily with 08:00 to 24:00 Write to us add us in WhatsApp +7 (499) 490-10-90 or write help you help choose flowers; We will inform the status of the order; Let's talk about delivery capabilities; Promotions products with discount Combo Flowers Rose Rose Rose Premium rose bush roses of chrysanthemum cloves of gerberia gypsophila gypsophila pionois Ranunculus Irisa Narcissas of Alstomeria Eastoma Matiolla Hyacinth Delphinium until 2000 ₽ Buckets 101 rose 51 roseni skka rose bouquets "Magical" 51 rose mono -boob coat prefabricated Bouquets Hat Boxes Mini-Bouquet Bouquet in a rose basket Rosal roses white roses pink roses lilac roses raspberry roses multi-colored roses yellow roses Cream roses Blue roses height rose 40 cm rose 60 cm rose 70 cm 100 Rose 3 roses 5 roses roses9 roses 15 roses 19 rose21 rose 25 roses Rose75 rose101 rose501 rose according to the type of roses of kenya kuvodaroza Premium. Classic type of rose basket in the rose -shaped rose -shaped tulip -shaped red -bore -zero -zero -zero -sprinkle otnoye -oorangealfiolpo amount of 11 tulips 15 tulips 19 Tulpanov 21 tulip 31 tulip 35 tulips 51 tulip 101 tulip, type of assembly Mono -boiled bouquets with tulipamytylpana to basketwalpana in a box in a box for a woman for a girl to a child colleague birthday birth flowers for a wedding, I love sorry the child love Female Valentine's Day Valentine's Day March 8 September 1 Day New Year Gifts Gifts Strawberries in Chocolate Ballon Air Balls Farmers Gift Baskets VAZS Soft toys Gift bags Toppers candles cards and envelopes Eat bouquets of strawberries in chocolate Gift baskets Galls finished compositions bouquet with sharahamoro sharovontans from sharshshara for tribal cocliefs Sharovpo Type of Sharovlatex Balls Foil of Sharyprozen Balls Summarizing Sharybolly balls Bubblesars on rolled balls with balls of balls of balls of ball balls gruzdshara Figushara without a pattern Balls with confetti balls of chrompo -painted blue blue green silver silver green Black Black Black Birthday Birthday Wedding Wedding of the Child Calling from the maternity hospital1 September 19 on February 8, March 8, Matkaya Matermodnoye Helloweenno to Godmamapaiparaphedshebenkudl lovers, we will deliver fast delivery in 2 hours or an order at our expense. Fresh flowers guarantee 5-day resistance or replace the bouquet. Will the quality guarantee will not like the bouquet? Replace within 24 hours. Photo control will show the bouquet before sending high -quality service a polite service from a call to the door. Delivery of flowers in Moscow Category Flowers 2005 Bouquets 2073 Roses 1166 Balloons 447 Age 2253 Com 2253 Gifts 242 edible 180 Up to 2000 rub 187 Color color white turquoise golden coral creamy raspberry mex multicolor orange rosy pink -sire Build assembly type of white-raspberry white yellow multi-colored occasion Hare birthday to wedding size 100 25 25 30 35 40 45 50 60 70 Price price ₽ Compassing clips! Free gift for the bouquet! 2 590 ₽ 35 multi -colored roses 40cm - a box of makarun as a gift! 6 reviews order buy in 1 click 3 990 ₽ Bouquet of roses gerber and east - strawberries in chocolate as a gift! 0 reviews order buy in 1 click 5 490 ₽ 101 White rose- Box Makarun as a gift! 2 reviews order buy in 1 click 3 290 ₽ Bouquet of 51 red and white roses - boxing box as a gift! 4 reviews order buy in 1 click 4 590 ₽ 51 lilac and white rose- boxing box as a gift! 5 reviews order buy in 1 click 4 890 ₽ Bouquet of 35 yellow tulips- boxing box as a gift! 0 reviews order buy in 1 click 3 290 ₽ 2 790 ₽ Bouquet of 5 blue hydrangeas - strawberries in chocolate as a gift! 1 reviews order buy in 1 click 5 990 ₽ 4 990 ₽ Bouquet of 11 multi -colored hydrangeas - strawberries in chocolate as a gift! 2 reviews order buy in 1 click Show 101 more rose 5 490 ₽ Bouquet of 101 multi -colored roses in craft 169 reviews order buy in 1 click 5 490 ₽ 101 White rose Buy in 1 click 5 490 ₽ 101 Red rose 181 reviews Buy Buy 1 click 5 490 ₽ 101 Red rose in a film 317 reviews order Buy 1 click 5 490 ₽ 101 Yellow rose 66 reviews Buy in 1 click 5 490 ₽ 101 rose 101 Berry mix in a film 90 reviews order buy in 1 click 5 490 ₽ Bouquet of 101 orange roses in a film 76 reviews order Buy 1 click Show Piones 7 190 ₽ Bouquet of 9 peonies 4 reviews Buy in 1 click 8 490 ₽ 11 white Pions 11 reviews order buy in 1 click 7 190 ₽ Bouquet of 9 white peonies 1 reviews order buy in 1 click 5 790 ₽ Bouquet of 7 white peonies In 1 click 24 990 ₽ 35 multi -colored peonies 0 reviews order buy in 1 click 10 690 ₽ Bouquet with lilac and ranculus 1 reviews order Buy 1 click 5 790 ₽ Bouquet of 7 pink peonies 6 Clicks Buy in 1 click Show until 2000 until 2000 rub 1 390 ₽ Bouquet of 11 raspberry roses 3 reviews Buy Buy in 1 click 1 590 ₽ 9 pink roses Premium 50 cm 6 reviews Buy Buy 1 390 ₽ Bouquet of 11 rose roses with eucalyptus 6 reviews order Buy in 1 click 890 ₽ Bouquet of 3 red roses 50 cm 0 reviews Buy Buy 1 click 1 190 ₽ Bouquet of 5 red roses 50 cm 1 reviews to order in 1 click 1 490 ₽ Bouquet of 5 red roses 60 cm 0 reviews order Buy 1 click 1 490 ₽ Bouquet of 15 lilac roses Click 3 290 ₽ Bouquet of tulips of irises and eucalyptus 3 reviews order buy in 1 click 3 090 ₽ Bouquet of tulips alstromerium and iris 2 reviews order Buy 1 click 3 590 ₽ Bouquet with tulpans alstrient and stature 2 reviews order Buy in 1 click 3 990 ₽ Bouquet of roses of diantus and hydrangeas 1 reviews to order buy in 1 click 2 890 ₽ Bouquet of roses and tulips 1 reviews order Buy 1 click 6 190 ₽ Bouquet with mattiola and peonies 1 Clicks Buy in 1 click 10 690 ₽ Bouquet with Lilac and Ranunkulus 1 reviews order Buy 1 click show another bouquets of strawberries (Magic Candy) 3 290 ₽ Strawberry bouquet (Gold size S) 0 reviews order Buy 1 click 4 990 ₽ Strawberry bouquet (confetti size L) 0 reviews 0 reviews Order buy in 1 click 3 990 ₽ Bouquet of strawberries (confetti size m) 0 reviews order Buy 1 click 3 990 ₽ Strawberry bouquet (Faberge size m) 0 reviews order Buy 1 click 3 290 ₽ Strawberry bouquet (Love S) 0 reviews Order buy in 1 click 3 290 ₽ Bounet bouquet (heart Size s) 0 reviews order Buy 1 click 3 990 ₽ Basket with strawberries “Berry mix” 0 reviews order 1 click 6 990 ₽ Box - Surprise with strawberries “Ball of flowers” ​​0 reviews Buy 1 click show another 51 rose 3 790 ₽ Bouquet of 51 pink roses in a hat box 3 reviews order Buy 1 click 3 790 ₽ Bouquet of 51 red rose in a hat box 1 reviews order Buy in 1 click 3 790 ₽ Bouquet of 51 fiery roses in a hat box 1 reviews order buy in 1 click 3 790 ₽ Bouquet of 51 multi -colored roses in a hat box 1 reviews order Buy 1 Click Show Hydension 3 990 ₽ Bouquet of Dianthus roses and hydrangeas 1 reviews order buy in 1 click 7 990 ₽ 6 390 ₽ Bouquet of 15 multi -colored hydrangeas 13 reviews to order in 1 click 5 990 ₽ 4 990 ₽ Bouquet of 11 pink hydrangeas 5 Clicks Buy 4 990 ₽ Bouquet from rose cloves of hydrangeas and east 3 reviews Buy Buy 1 click Show more hat boxes 3 790 ₽ Bouquet of 51 pink roses in a hat box 3 reviews order Buy 1 190 ₽ 51 tulip in a hat box 0 reviews order Buy 1 click 3 190 ₽ Bouquet of 11 multi -colored gypsophiles in a hat box 2 reviews order buy in 1 click 3 190 ₽ Bouquet of 11 orange gypsophils in a hat box 0 reviews Order Buy 1 Click Show also tulips hit 3 790 ₽ Bouquet of flowers from tulips and dioatus 4 reviews 4 reviews Order buy in 1 click 6 690 ₽ 51 White tulip 2 reviews to order Buy 1 click 2 890 ₽ Bouquet of tulips and bush roses 3 reviews order Buy 1 click 12 290 ₽ 101 Red tulip 1 Clicks Buy in 1 click Show also plaster 3 190 ₽ Bouquet of 11 multi -colored gypsophiles in a hat box 2 reviews order buy in 1 click 3 190 ₽ Bouquet of 11 turquoise gypsophil in a hat box 3 reviews order Buy 1 click 3 290 ₽ Bouquet of 15 pink gypsophilia 2 reviews Buy Buy 1 Click 4 890 ₽ Bouquet of flowers from 25 multi -colored gypsophiles 0 reviews order buy in 1 click Show more roses Premium 2 790 ₽ Bouquet of 15 roses Premium 60 cm 12 Clicks Buy in 1 590 ₽ 9 pink roses Premium 50 cm 6 cm in order to order Buy in 1 click 5 390 ₽ Bouquet of 15 roses Ecuador 70 cm 0 reviews order buy in 1 click 7 390 ₽ Bouquet of 15 white roses Ecuador 100 cm 1 reviews to order 1 click Show more products with a discount 4 290 ₽ 3 490 ₽ 7 blue hydrangeas 3 reviews order buy in 1 click 7 990 ₽ 6 390 ₽ 15 blue hydrangeas 1 reviews order buy in 1 click 7 990 ₽ 6 390 ₽ 15 multi -colored hydrangeas 7 reviews Buy in 1 click 5 990 ₽ 4 990 ₽ 11 multi -colored multi -colored Highways 7 reviews order buy in 1 click Show also order flowers with delivery of flowers delivery in an instant to change the mood of a person to drive away the spleen and sadness. Indeed, for any woman, a bouquet is always a welcome gift regardless of the holiday and reason. Flowers are a simple and universal way to make the life of a loved one brighter and more colorful. The Magic Flower online store offers to order flowers with home or office delivery. Professional florists will select the perfect composition for any reason. We always have a luxurious bouquet for the anniversary, a modest, fragrant presentation for congratulations on a professional holiday, an original floral ensemble for March 8 for a sister or a lover. A rich selection of colors in the catalog is supplemented by sweet bouquets toys and accessories as well as a unique design in hat boxes and baskets. Bouquets to the house delivery of flowers in Moscow are performed by couriers without days off. We offer stylish modern bouquets of flowers. You can order mono -boobs by selecting the required number of buds and complex compositions with different plants. If you need flowers urgently leave a request by phone indicate all the details of the order - we will collect and send a bouquet to the specified address to the house within two hours. Applications for flowers are accepted around the clock. We send delivery by courier on the same day with a bouquet to any address in the capital and Moscow Region. Proceeding is possible from the store for free for regular customers are discounts. We guarantee that the recipient of our floral arrangements will be delighted. Buyers 5072 reviews show another 5,490 ₽ Dmitry 101 red rose bouquet was very beautiful quickly. We are satisfied with all. Thank you 09.11.2023 1 990 ₽ Irina ilinets bouquet of 9 raspberry roses 60 cm acquired a colleague for the second time. For the first time the birthday girl was delighted in the quality of the flowers. I hope that even today everything will pass as well. Thank you so much for your work. Sincerely Irina 09.11.2023 1 390 ₽ Julia bouquet of 1 blue hydrangea in craft Beautiful fresh flowers! Very beautifully packed. They attached the instructions to attach an envelope and a postcard in it! I was satisfied! Thank you! 11.11.2023 3 790 ₽ Elena Bouquet of 51 pink roses in a hat box purchased here a bouquet sent a photo when it was assembled very beautifully. Thanks a lot! 11/08/2023 Show more useful information on how to surprise their favorite girls - delivery of flowers to the house Modern girls are far from Turgenevskaya young ladies and surprise them completely difficult. What only wow .. TOP-10 reasons to give flowers to the lives of people of the 21st century have entered a new fashion trend-to make non-standard gifts. What is not giving .. how to care for a bouquet in a hat box flowers - a traditional and affordable sign of attention for a beloved woman of a mother’s daughter or colleague in RA .. How to choose the right flowers? It would seem that it could be easier than buying flowers for a woman. But in some situations to choose .. Questions and answers 1. What ways to pay? Payment to the courier in cash or bank card upon receipt of the Bank card online 2. How to order flowers? You can place an order by phone or on the site by adding a bouquet you like to the basket and filling out all the necessary fields. 3. Do you have urgent home delivery? The minimum possible time of delivery of the bouquet of flowers immediately after placing the order is 2 hours. 4. At what time is bouquet delivery? Delivery time or office in Moscow - from 7:00 to 1:00 in the Moscow region - from 9:00 to 24:00. Magic Flower - delivery of flower bouquets in Moscow and the region. We accept orders around the clock. Bouquets with a unique style from leading florists. Write to us information guarantee Return Support Privacy Policy Agreement Contacts Contacts Reviews about the site about us Site map Legal information branch in St. Petersburg Popular flowers bouquets of strawberries. Gifts edible bouquets of 101 metro station settlements Magic Flower +7 ( 499) 490-10-90 8 (800) 600-65-76 We work daily from 08:00 to 24:00 call me +7 (499) 490-10-90 | 8 (800) 600-65-76 Buket@magikalflower.ru 129594 Moscow 3rd passage Maryina Grove House 5 Magic Flower © 2023</v>
      </c>
    </row>
    <row r="285">
      <c r="A285" s="1" t="s">
        <v>883</v>
      </c>
      <c r="B285" s="1" t="s">
        <v>912</v>
      </c>
      <c r="C285" s="1" t="s">
        <v>913</v>
      </c>
      <c r="D285" s="1">
        <v>9.0</v>
      </c>
      <c r="E285" s="4" t="s">
        <v>914</v>
      </c>
      <c r="F285" s="1" t="s">
        <v>16</v>
      </c>
      <c r="G285" s="1" t="s">
        <v>915</v>
      </c>
      <c r="H285" s="1" t="s">
        <v>916</v>
      </c>
      <c r="I285" s="2">
        <v>1.0</v>
      </c>
      <c r="J285" s="5" t="str">
        <f>IFERROR(__xludf.DUMMYFUNCTION("GOOGLETRANSLATE(A285)"),"Gypsophyla")</f>
        <v>Gypsophyla</v>
      </c>
      <c r="K285" s="6" t="str">
        <f>IFERROR(__xludf.DUMMYFUNCTION("GOOGLETRANSLATE(B285)"),"Buy bouquets from gypsophila to buy inexpensively in Moscow")</f>
        <v>Buy bouquets from gypsophila to buy inexpensively in Moscow</v>
      </c>
      <c r="L285" s="5" t="str">
        <f>IFERROR(__xludf.DUMMYFUNCTION("GOOGLETRANSLATE(C285)"),"Inexpensively buy bouquets from gypsophiles in the online store, prices from 990 ₽ in Moscow-order with free delivery. We work around the clock!")</f>
        <v>Inexpensively buy bouquets from gypsophiles in the online store, prices from 990 ₽ in Moscow-order with free delivery. We work around the clock!</v>
      </c>
      <c r="M285" s="5" t="str">
        <f>IFERROR(__xludf.DUMMYFUNCTION("GOOGLETRANSLATE(G285)"),"Delivery of flowers to a house in Moscow around the clock to order bouquets in the online store Moscow Adler Anapelsk Astrakhan Barnaul Belgorod Berdsk Bryansk Beligan Velikogor Vladimir Volgograd Volga Voronezh Golendzhik Grozny Dzerzhinsk Dolgoprudny Ye"&amp;"katerinburg Ekaterinburg Izhevsk Ishoshkar-Ola Kalinina Kazan Kazan Kazan Kazan Kazan Kazan Kazan Kazan Kazan Kazan Kazan Kazan Kazan Kazan Kazan Kazan Kazan Kazan Kazan Kazan Kazan Kazan Kazan Kazan Kazan Kazan Kazan Kazan Kazan Kazan Kazan Kazan ols Lug"&amp;"a Kemerovo Kirov Kolomna Korolev Kostroma Krasnodar Krasnoyarsk Kurgan Kursk Lipetsk Magnitogorsk Makhachkala Murmansk Naberezhnye Chelny Naro-Fominsk Nefteyugansk Nizhnekamsk Nizhny Novgorod Nizhny Tagil Novokuznetsk Novosibirsk Noginsk Omsk Orenburg Per"&amp;"m Perm Prokopyvsk Pushkino Ramenovskoye Ramenovskoye Ramenovsko Rostov-on-Don Ryazan Samara St. Petersburg Saransk Saratov Sevastopol Sergiev Posad Serpukhov Simferopol Smolensk Sochi Stavropol Sterlitamak Surgut Syktyvkar Taganrog Togbov Togliatti Tula T"&amp;"ula Tyumen Ulan-Ulanovsk Ufarovsk Cheboksara Chelyabinsk Cherepovets Chitels Yakutsk Yakovlvl bouquets for a girl Builders to their comedians DBU on holidays for the anniversary On February 14 on March 8, on March 8 on May 9, on the last call to the final"&amp;" call on September 1, on the composition of gypsophiles of anemone chamomile, hyacinths Ranunculus Freesia Eustoma Hortensi Piono Khelly Chrysanthemia Alstomeria Tulipa orchid Irisa Lilia type large, small beautiful original chic in the form hearts on col"&amp;"oring creamy multi -colored pink white yellow red blue roses according to rose peonies with rose peonies with chrysanthemums bush roses pionivate rose varieties with lilies in size 15 roses 25 pcs. 31 rose 51 pcs. Big bouquets of roses from roses on color"&amp;"ing yellow pink red white creamy blue rainbow black 101 rose in a box in the basket heart bush pionivate white red orange flowers in the box rose pionoid roses of chrysanthemum orchids tulips of lilies of chrysanthemums of chrysanthemums of pionovids orch"&amp;"ids orhids VK Gifts about us Payment Promotions questions and answers 800 333-22-69 Menus Moscow Adler Anapa Arkhangelsk Astrakhan Barnaul Bernaul Berdsk Bryansk Bryansk Veliky Novgorod Vladimir Volgograd Volzhsky Voronezh Golendzhik Grozny Dzerzhinsk Dol"&amp;"goprudny Yekaterinburg Izoshkutsk Yoshkar-Oola Ningrad Kaluga Kemerovo Kirov Kolomna Korolev Korolev Kostroma Krasnodar Krasnoyarsk Kursk Lipetsk Magnitogorsk Makhachkala murmansk Naberezhnye Chelny Naro-Fominsk Nefteyugansk Nizhnekamsk Nizhny Novgorod Ni"&amp;"zhny Tagil Novokuznetsk Novorossiysk Novosibirsk Orenburg Penza Penza Permypopypyevsk Prokopypypyk But Ramenskoye Reutov Rostov-on-Don Ryazan Samara St. Petersburg Saransk Saratov Sevastopol Sergiev Sergiev Simferopol Simferopol Smolensk Sochovs Solitamak"&amp;" Syktyvkar Taganrog Togbov Togliatti Toli Tula Tula Tyumen Ulan-Ulanovsk Ufarovsk Cheboksary Chelyabinsk Cherepovets Yakutsk Yakoslavl on Reviews Payment Gallery Contacts Contacts Contacts Moscow st. Big Bronnaya village of 7 Master in Moscow: Mira Avenue"&amp;" 88 Pav. 147 Pyatnitskaya street 12 p. 2 Usacheva street 29 bldg. 8 Goncharaya Street 38 Cash Lane 5 p. 4 st. Yana Rainis d. 10 Search 8 (800) 333-22-69 8 (952) 840-77-77 around the clock* Opening hours: from 06:00 to 00:00 Delivery: around the clock, the"&amp;" basket is empty your basket is empty! X Bouquets about VIP-boots for a girl birthday bouquet to mom to customers colleague for a wedding on holidays on a holiday on the anniversary on February 14 on March 8 on May 9 on the last call for graduation on Sep"&amp;"tember 1, on the composition of the Ranacints Ranunkulusa Freesia Eustoma Hortensi Hortensi Hypsophiles Hypsofiles. Pionoles Calla chrysanthemum alstromeria tulips orchids Irisa Lilia Types type Kraft boketeers large small beautiful original chic gorgeous"&amp;" in the form of a heart in the form of painting creamy pink red red roses roses with peonies with chrysanthemums bush roses rose with lilies in size to lilies in size. 15 roses 25 pcs. 31 rose 51 pcs. Big bouquets of roses from roses on coloring yellow pi"&amp;"nk red white creamy blue rainbow black 101 roses in a box in the basket heart bush pionivate white red orange flowers in the box rose pionoid roses of chrysanthemums of orchids tulips of lilies of chrysanthemum pionome roses orchids roses roses Irose Iros"&amp;"is Darki Promotions Price are the most favorable price regarding quality. The choice in the assortment is more than a thousand different colors. Quality flowers of first freshness. We give a guarantee! Delivery round -the -clock delivery when ordering fro"&amp;"m 2500 rubles. Reviews Real reviews with photos from our customers. The best offer of 19 pink tulips in the R416 box is a cylinder with bright tulips of 19 pink tulips in a box with the addition of ribbons .... 4,990 rubles. In a basket of 19 hyacinths in"&amp;" a box with ribbons R200, a light cylinder with fragrant hyacinths of 19 hyacinths The color of hyacinths and cylinder can be selected .... 4 090 rubles. In the basket, a bouquet of 11 branches of lush pink hydrangea R704 Pink bouquet of lush hydrangea 11"&amp;" branches of hydrangea with decoration .... 13,750 rubles. In the basket 31 branch of white freesia in the black box R855 is a stylish composition with white milling 31 branch of fragrant freesia in a box .... 4,790 rubles. In the basket of 31 red tulip i"&amp;"n the R194 hat box, a light cylinder with red tulips 31 red tulip color of tulips and cylinder can be under .... 6,950 rubles. 6 603 rub. In the basket, a bouquet is 11 hyacinths in the design of R1073 Bouquet of pink hyacinths 11 large buds in the packag"&amp;"e .... 4,750 rubles. In the basket, a bouquet 3 branches of hydrangea mix with the design of R713 bouquet of hydrangea mix 3 branches of hydrangea mix with decoration .... 3,890 rubles. In the basket, a bouquet of 25 branches of white freesia in the packa"&amp;"ging R1099 is a delicate fragrant bouquet of 25 branches of white freesia with decoration .... 5 490 rubles. In the basket, a bouquet of roses and irises with the design of the R1059 is a prefabricated bouquet with a design of 10 cream roses 19 irises in "&amp;"a package .... 5 850 rubles. In the basket 201 tulip assorted R294 Basket with tulips 201 Assorted tulips in the basket .... 36,200 rubles. In the basket, a bouquet of 11 pink hyacinths with the design of R1081 Delicate bouquet of fragrant hyacinths 11 br"&amp;"anches with decoration .... 4,790 rubles. In the basket, a bouquet of 5 branches of hydrangea MIX R754 Bouquet of Hortensi Mix White and Blue Hydrangea 5 Ves is a beautiful bouquet design .... 6 490 rubles. In the basket, a bouquet 51 branch of freesia in"&amp;" black craft R853 bouquet of fragrant freesia 51 branch of white freesia in craft .... 9,390 rubles. In the basket, the composition in the box of tulips and irises R3246 is a stylish composition in a box of 20 yellow tulips of 35 lilac irises .... 12,950 "&amp;"rubles. In the basket of 29 pink tulips in the R974 box, the composition in the box of 29 pale pink tulips .... 6 590 rubles. 6 261 rub. In the basket, a bouquet of 15 hyacinths mix with an ofomorm R1090 A fragrant bouquet of hyacinths 15 pieces of mix wi"&amp;"th decoration .... 6 190 rubles. In the basket, a bouquet of 5 branches of pink large hydrangea R694 is a bouquet of delicate pink hydrangea 5 branches of large hydrangea in craft .... 6,490 rubles. In the basket, the prefabricated box with white milling "&amp;"and roses R854 A fragrant composition in the cylinder of 30 branches of white freesia 19 branches of white bush rose is decorated .... 10,790 rubles. In the basket, the assembly bouquet of irises and chrysanthemums in craft R1511 A prefabricated bright bo"&amp;"uquet of 15 irises 10 pink chrysanthemum design of the bouquet .... 8 660 rubles. In the basket of the balloon balls of the heart R773, composition balloons of the heart are 29 latex hearts 1 foil heart .... 5 590 rub. In the basket, popular products bouq"&amp;"uet of 9 branches of a bush rose with a package R527 bouquet of pink rose 9 branches of a fluffy bush rose decoration in craft with the addition of ... 4,750 rubles. In the basket, a prefabricated bouquet is white roses and alstromeria R497 a prefabricate"&amp;"d bouquet of white roses and alstromeria 11 roses 10 branches of pink alstromeria decoration in ... 4,830 rubles. In the basket, a bouquet 101 rose is red and white with a packaging R501 Union of a scarlet and white shade is harmoniously manifested in a l"&amp;"arge fresh bouquet of 101 roses. He is neatly ... 17 050 rub. 16 198 rub. In the basket, a large bouquet 101 Red pionic rose R110 is a juicy languid passionate bouquet of 101 large roses of an unusual shape will become a temptation for its own ... 34,850 "&amp;"rubles. In the basket, a huge bouquet is 101 pink peony with the design of the R175 huge bouquet of pink peonies 101 pink peony ribbon design ... 44 190 rubles. In the basket, a bouquet of 7 roses in the package R70 Bouquet-commercial 7 white roses in cra"&amp;"ft decoration with the addition of ribbons ... 3,350 rubles. In the basket, a large bouquet of 101 white roses in craft R494 A large bouquet of 101 white bud will be a special gift. Fresh beautiful roses attract ... 16,990 rubles. In the basket, a bouquet"&amp;" of 9 branches of chrysanthemum in craft R129 White chamomile chrysanthemum bouquet 9 fluffy branches decoration in craft ... 4,420 rubles. In the basket, a bouquet-commercial 1 branch of hydrangea R692 Bouquet-complex with a package of 1 branch of fluffy"&amp;" hydrangea with a decoration ... 1,950 rubles. In the basket 101 red rose is 150 cm with R886 high roses of exquisite red shade 150 cm high will conquer the female heart. You can arrange a bo ... 70 700 rubles. In the basket, a bouquet of 9 large red rose"&amp;"s r66 bouquet of 9 large red roses design of craft tape ... 4,390 rubles. In the basket, a bouquet of roses in craft R455 bouquet of prefabricated roses red roses 9 pcs Pink roses 5 pcs Cream roses 5 branches ... 5 350 rubles. In the basket of 15 branches"&amp;" of multi-colored chrysanthemums with a package of R131, a prefabricated white-pink bouquet 15 branches of chamomile chrysanthemum decoration in craft ... 6,740 rubles. In the basket, a bouquet of 9 blue roses in craft R249 Bouquet of blue roses European "&amp;"blue roses with a large bud - 9 pcs in craft ... 5,350 rubles. In the basket, a bouquet of 25 pionoid bush roses with a package R157 bouquet of bush pionivate roses pink bush pionivate roses - 25 pcs decorating the tape to ... 9,150 rubles. In the basket,"&amp;" a prefabricated bouquet with red roses in the packaging R301 Rose bouquet composition: red roses Pionovid roses white cotton Greens Decoration ... 3,590 rubles. In the basket, the assembly bouquet of roses and chrysanthemums with the design of the R80 as"&amp;"sembly bouquet with chrysanthemum 5 pink roses 7 branches of chrysanthemum 10 branches of eastoma ... 8 588 rubles. In the basket of a bouquet of 25 red roses in craft R102, a bouquet of 25 large red roses decoration of the Kraft tape is paid separately ."&amp;".. 5,490 rubles. 5 216 rubles. In the basket, a bouquet of 15 red roses with the design of R67 is a bouquet of 15 large red roses design of tape craft ... 3 920 rubles. In the basket, the bouquet is a large red rose with ribbons R104 bouquet of 51 large r"&amp;"ed rose decoration with ribbons ... 7 050 rub. In the basket we recommend a hat box with roses and pasta R149 a cylinder with roses and pasta 15 white roses and 9 pasta color the color of roses and cylinder can be selected .... 7,150 rubles. 6 793 rub. In"&amp;" the basket, a bouquet of 9 blue roses in craft R249 Bouquet of blue roses European blue roses with a large bud - 9 pcs design in craft .... 5 350 rubles. In the basket, the bouquet is 21 large red rose r68 bouquet of 21 large rose design of tape craft .."&amp;".. 4 900 rubles. In the basket, the assembly bouquet of roses and chrysanthemums with the design of the R80 assembly bouquet with chrysanthemum 5 pink roses 7 branches of chrysanthemum 10 branches of eastoma .... 8 588 rubles. In the basket, a prefabricat"&amp;"ed bouquet with red roses in the packaging R301 Rose bouquet composition: Red roses Pionovid roses white cotton Greens Decoration .... 3 590 rubles. In the basket, a bouquet 31 red rose in craft R103 Bouquet of scarlet roses 31 scarlet rose variety presti"&amp;"ge design craft tape .... 6 190 rub. 5 881 rub. In a basket, flowers in a box of 25 red roses R148 are a light cylinder with red roses of 25 red roses the color of roses and a cylinder can be selected .... 6 090 rubles. 5 786 rub. In the basket, a large b"&amp;"ouquet 101 Red High rose R373 composition of 101 red roses symbolizes feelings. The buds smell delicious. Lush bouquet before .... 35 390 rub. In the basket 101 Blue rose with the design of flowers in the bouquet R378 101 Blue dazzling rose makes the bouq"&amp;"uet even more exclusive. The color passes the aura Taena .... 30 650 rubles. In the basket, a box with pasta r210 Box -room with pasta. Macaroni composition of flowers cookies of pasta - 5 pcs .... 3,390 rubles. In the basket of 19 pink roses in the R146 "&amp;"box, a light cylinder with pink roses of 19 bright pink roses color of roses and cylinder can be selected .... 5 590 rubles. In the basket, a delicate box with pionoid roses and pasta R214 is a delicate box with pionoid roses and pasta, a prefabricated co"&amp;"mposition of flowers cookies .... 5 850 rubles. In the basket heart is 31 red rose in the box R167 Red Heart in the box 31 red rose decoration in the box .... 7 250 rubles. In the basket, the pionivate roses of the orchids and hydrangea R237 composition i"&amp;"n white colors in the cylinder white pionic roses Snowel hydrangea large orchids .... 8 450 rubles. In the basket of 25 large pionoid roses in the R202 box, a cylinder with pionoid roses large -headed peonia roses - 25 pcs Kraft ribbons .... 11 550 rubles"&amp;". In the basket 51 red pionivate rose in a box with ribbons R75 cylinder with pionoid roses, large -headed pionoid roses - 51 pcs. Kraft ribbons .... 20 550 rubles. 19 523 rubles. In the basket, a bouquet of 51 pionivate rose with ribbons R145 Tender pion"&amp;"ivate roses Pink O'Hara 51 pink rose formulation of the tape is possible ..... 14 050 rubles. In the basket, a bouquet of 25 rose roses in black craft R395 Bouquet of 25 pink roses decoration in black craft .... 5 490 rub. 19 white Call in the Black Box R"&amp;"731 is beneficial in the basket of white calico composition in a box of 19 Call in a black box ... 8 190 rubles. 6 990 rub. In the basket 51 orchid bouquet in the box R789, the composition of the orchids Assorted in the box 51 buds of orchids ... 22,950 r"&amp;"ub. 19,990 rub. In the basket, the bouquet 101 branch of Freesia mix R856 is a large bouquet of fragrant freesia 101 branch of multi -colored freesia with the addition of greens and off ... 20,390 rubles. 15 590 rub. In the basket, a bouquet of 19 branche"&amp;"s of white freesia in craft R851 is a delicate bouquet of white freesia in craft 19 branches of fragrant freesia with a decoration ... 4,750 rubles. 3 590 rub. In the basket, a bouquet 31 white calla in craft R738 is a stylish bouquet of snow -white calic"&amp;"o 31 white large calla in packaging with ribbons ... 12,450 rubles. 9 550 rub. In the basket, a bouquet of 39 irises with the design of R119 Bouquet of bright irises 39 irises design in craft ... 6,750 rubles. 5 550 rub. In the basket, a bouquet of 75 pin"&amp;"k peonies with the design of R1094 A large bouquet of pink peonies 75 large buds with ribbons ... 39,690 rubles. 36 950 rub. In the basket of basket 51 branch of chrysanthemum assortem R300 basket of bright chrysanthemum 51 branch of chrysanthemum assortm"&amp;"ent in the basket ... 120 188 rubles. 11 990 rub. In the basket, a prefabricated bouquet with orchids and irises R122 bouquet of irises and orchids 20 irises design in craft 19 cream roses 10 rose orchids ... 9,250 rubles. 6 950 rub. In the basket, a pref"&amp;"abricated bouquet with orchids and callas R641 A prefabricated bouquet with orchids 5 burgundy calists 5 large buds of orchids white eastoma 5 branches ... 10,090 rubles. 8 550 rub. In the basket, the impressions of our store 1214 reviews are executed per"&amp;"fectly. A polite operational manager correctly and quickly helped with flowers. Execution and delivery were very pleased. Thank you! Alexey 11/30/2022 ordered flowers from another city. Everyone did it just great !!! They sent a photo of the flowers of th"&amp;"e box of the finished gift! Delivered exactly to the time. The birthday girl was battered by Larisa 09.11.2022 The best! We made our holiday! Decoration in the form of flowers is always to the place! We gave this bouquet to mom and then together it was di"&amp;"smantled on the vases and placed in the hall! It turned out 9 VAZ !!!! Our holiday was fragrant thanks to your efforts! Nastya 09/03/2022 I express my personal thanks to the employee Yulia, the communication is not very intrusive. Yes, and flowers to the "&amp;"addressee were to the taste of which is important of course. Peter 08/16/2022 ordered this bouquet for the teacher. They chose for a long time with the whole class ..... Anna Viktorovna was surprised how we guessed with color under her new dress Ahahaha w"&amp;"as cool! Thank you for the beautiful flowers! Masha and the company 07.08.2022 The first time I write a review with the words of gratitude! I had the pleasure of ordering flowers from you to get a decent bouquet and on time that for me are the most import"&amp;"ant criteria for flowing colors. Alla 08.08.2022 All Hood Vitya 07/30/2022 In life, the bouquet looks more than in your photo it caused inconvenience! I had to urgently look for a new vase: (((Irina 07/29/2022 A beautiful bouquet of the aroma for the whol"&amp;"e house! My wife is happy! The first time you ordered))) Cyril 07/14/2022 There are no emotions how amazing this bouquet! You are wizards! Thousands of thanks! Olenka 07/14/2022 did not find a suitable option? We will make a composition taking into accoun"&amp;"t your wishes and budget! Call us and order by phone: 8 (800) 333-22-69 or order a return call our photo View all 8 (952) 840-77-77 WhatsApp: 7952840777 Moscow st. Big Bronnaya village of 7 Master in Moscow: Mira Avenue 88 Pav. 147 Pyatnitskaya street 12 "&amp;"p. 2 Usacheva street 29 bldg. 8 Goncharaya Street 38 Cash Lane 5 p. 4 st. Yana Rynis d. 10 Opening hours: from 06:00 to 00:00 Delivery: around the clock about VIP-boots to girl Birthday Bouquet Bouquet to my mother to customers colleague for a wedding on "&amp;"holidays on a anniversary on February 14 on March 9 on May 9 on May 9 The last call to the graduation on September 1, on the composition of the composition of the drywalls of the anemone chamomile hyacinths, Ranunkulus Freesia Eustoma Hortensi Piono Khell"&amp;"y Chrysanthemum Alstomeria Tulpans of orchids Irisa Lilia, Large small, beautiful original gorgeous gorgeous in the form of a heart in color. Multi-colored yellow red red blue we are in socialists :      Задать вопрос         Доставка цветов в городе: Адл"&amp;"ер Анапа Архангельск Астрахань Барнаул Белгород Бердск Бийск Брянск Великий Новгород Владивосток Владимир Волгоград Волжский Вологда Воронеж Геленджик Грозный Дзержинск Долгопрудный Екатеринбург Зеленоград Иваново Ижевск Иркутск Йошкар-ола Казань Калининг"&amp;"рад Калуга Кемерово Киров Коломна Королев Кострома Краснодар Красноярск Курган Курск Липецк Magnitogorsk Makhachkala Moscow Murmansk Naberezhnye Naro-Fominsk Nefteyugansk Nizhnekamsk Nizhny Novgorod Nizhny Tagil Novokuznetsk Novorossiysk Novosibirsk Omsk "&amp;"Orenburg Orenburg Penza Perm Podolsk Pushkinsko Ramenskoye Reutov Rostov Rostov-Don Samara Samara Samara Samara Samara Samara Samara Samara Samara Samara Samara Samara Samara Samara Samara Samara Samara Samara Samara Samara Samara Samara Samara Samara Sam"&amp;"ara Samara Samara Samara Samara Samara Samara Samara Burg Saransk Saratov Sevastopol Sergiev Posad Serpukhov Simferopol Smolensk Sochi Stavropol Sterlitamak Surgut Syktyvkar Taganrog Tolly Togliatti Tomsk Tula Tula Ulan-Ulan-Ude Ulyanovsk Ufarovsk Cheboks"&amp;"ary Chelyabinsk Cherepovets Chita Yakutsk Yaloslavl © 2023 is not a public offer. Promotion of the online store Toptimum.ru")</f>
        <v>Delivery of flowers to a house in Moscow around the clock to order bouquets in the online store Moscow Adler Anapelsk Astrakhan Barnaul Belgorod Berdsk Bryansk Beligan Velikogor Vladimir Volgograd Volga Voronezh Golendzhik Grozny Dzerzhinsk Dolgoprudny Yekaterinburg Ekaterinburg Izhevsk Ishoshkar-Ola Kalinina Kazan Kazan Kazan Kazan Kazan Kazan Kazan Kazan Kazan Kazan Kazan Kazan Kazan Kazan Kazan Kazan Kazan Kazan Kazan Kazan Kazan Kazan Kazan Kazan Kazan Kazan Kazan Kazan Kazan Kazan Kazan Kazan ols Luga Kemerovo Kirov Kolomna Korolev Kostroma Krasnodar Krasnoyarsk Kurgan Kursk Lipetsk Magnitogorsk Makhachkala Murmansk Naberezhnye Chelny Naro-Fominsk Nefteyugansk Nizhnekamsk Nizhny Novgorod Nizhny Tagil Novokuznetsk Novosibirsk Noginsk Omsk Orenburg Perm Perm Prokopyvsk Pushkino Ramenovskoye Ramenovskoye Ramenovsko Rostov-on-Don Ryazan Samara St. Petersburg Saransk Saratov Sevastopol Sergiev Posad Serpukhov Simferopol Smolensk Sochi Stavropol Sterlitamak Surgut Syktyvkar Taganrog Togbov Togliatti Tula Tula Tyumen Ulan-Ulanovsk Ufarovsk Cheboksara Chelyabinsk Cherepovets Chitels Yakutsk Yakovlvl bouquets for a girl Builders to their comedians DBU on holidays for the anniversary On February 14 on March 8, on March 8 on May 9, on the last call to the final call on September 1, on the composition of gypsophiles of anemone chamomile, hyacinths Ranunculus Freesia Eustoma Hortensi Piono Khelly Chrysanthemia Alstomeria Tulipa orchid Irisa Lilia type large, small beautiful original chic in the form hearts on coloring creamy multi -colored pink white yellow red blue roses according to rose peonies with rose peonies with chrysanthemums bush roses pionivate rose varieties with lilies in size 15 roses 25 pcs. 31 rose 51 pcs. Big bouquets of roses from roses on coloring yellow pink red white creamy blue rainbow black 101 rose in a box in the basket heart bush pionivate white red orange flowers in the box rose pionoid roses of chrysanthemum orchids tulips of lilies of chrysanthemums of chrysanthemums of pionovids orchids orhids VK Gifts about us Payment Promotions questions and answers 800 333-22-69 Menus Moscow Adler Anapa Arkhangelsk Astrakhan Barnaul Bernaul Berdsk Bryansk Bryansk Veliky Novgorod Vladimir Volgograd Volzhsky Voronezh Golendzhik Grozny Dzerzhinsk Dolgoprudny Yekaterinburg Izoshkutsk Yoshkar-Oola Ningrad Kaluga Kemerovo Kirov Kolomna Korolev Korolev Kostroma Krasnodar Krasnoyarsk Kursk Lipetsk Magnitogorsk Makhachkala murmansk Naberezhnye Chelny Naro-Fominsk Nefteyugansk Nizhnekamsk Nizhny Novgorod Nizhny Tagil Novokuznetsk Novorossiysk Novosibirsk Orenburg Penza Penza Permypopypyevsk Prokopypypyk But Ramenskoye Reutov Rostov-on-Don Ryazan Samara St. Petersburg Saransk Saratov Sevastopol Sergiev Sergiev Simferopol Simferopol Smolensk Sochovs Solitamak Syktyvkar Taganrog Togbov Togliatti Toli Tula Tula Tyumen Ulan-Ulanovsk Ufarovsk Cheboksary Chelyabinsk Cherepovets Yakutsk Yakoslavl on Reviews Payment Gallery Contacts Contacts Contacts Moscow st. Big Bronnaya village of 7 Master in Moscow: Mira Avenue 88 Pav. 147 Pyatnitskaya street 12 p. 2 Usacheva street 29 bldg. 8 Goncharaya Street 38 Cash Lane 5 p. 4 st. Yana Rainis d. 10 Search 8 (800) 333-22-69 8 (952) 840-77-77 around the clock* Opening hours: from 06:00 to 00:00 Delivery: around the clock, the basket is empty your basket is empty! X Bouquets about VIP-boots for a girl birthday bouquet to mom to customers colleague for a wedding on holidays on a holiday on the anniversary on February 14 on March 8 on May 9 on the last call for graduation on September 1, on the composition of the Ranacints Ranunkulusa Freesia Eustoma Hortensi Hortensi Hypsophiles Hypsofiles. Pionoles Calla chrysanthemum alstromeria tulips orchids Irisa Lilia Types type Kraft boketeers large small beautiful original chic gorgeous in the form of a heart in the form of painting creamy pink red red roses roses with peonies with chrysanthemums bush roses rose with lilies in size to lilies in size. 15 roses 25 pcs. 31 rose 51 pcs. Big bouquets of roses from roses on coloring yellow pink red white creamy blue rainbow black 101 roses in a box in the basket heart bush pionivate white red orange flowers in the box rose pionoid roses of chrysanthemums of orchids tulips of lilies of chrysanthemum pionome roses orchids roses roses Irose Irosis Darki Promotions Price are the most favorable price regarding quality. The choice in the assortment is more than a thousand different colors. Quality flowers of first freshness. We give a guarantee! Delivery round -the -clock delivery when ordering from 2500 rubles. Reviews Real reviews with photos from our customers. The best offer of 19 pink tulips in the R416 box is a cylinder with bright tulips of 19 pink tulips in a box with the addition of ribbons .... 4,990 rubles. In a basket of 19 hyacinths in a box with ribbons R200, a light cylinder with fragrant hyacinths of 19 hyacinths The color of hyacinths and cylinder can be selected .... 4 090 rubles. In the basket, a bouquet of 11 branches of lush pink hydrangea R704 Pink bouquet of lush hydrangea 11 branches of hydrangea with decoration .... 13,750 rubles. In the basket 31 branch of white freesia in the black box R855 is a stylish composition with white milling 31 branch of fragrant freesia in a box .... 4,790 rubles. In the basket of 31 red tulip in the R194 hat box, a light cylinder with red tulips 31 red tulip color of tulips and cylinder can be under .... 6,950 rubles. 6 603 rub. In the basket, a bouquet is 11 hyacinths in the design of R1073 Bouquet of pink hyacinths 11 large buds in the package .... 4,750 rubles. In the basket, a bouquet 3 branches of hydrangea mix with the design of R713 bouquet of hydrangea mix 3 branches of hydrangea mix with decoration .... 3,890 rubles. In the basket, a bouquet of 25 branches of white freesia in the packaging R1099 is a delicate fragrant bouquet of 25 branches of white freesia with decoration .... 5 490 rubles. In the basket, a bouquet of roses and irises with the design of the R1059 is a prefabricated bouquet with a design of 10 cream roses 19 irises in a package .... 5 850 rubles. In the basket 201 tulip assorted R294 Basket with tulips 201 Assorted tulips in the basket .... 36,200 rubles. In the basket, a bouquet of 11 pink hyacinths with the design of R1081 Delicate bouquet of fragrant hyacinths 11 branches with decoration .... 4,790 rubles. In the basket, a bouquet of 5 branches of hydrangea MIX R754 Bouquet of Hortensi Mix White and Blue Hydrangea 5 Ves is a beautiful bouquet design .... 6 490 rubles. In the basket, a bouquet 51 branch of freesia in black craft R853 bouquet of fragrant freesia 51 branch of white freesia in craft .... 9,390 rubles. In the basket, the composition in the box of tulips and irises R3246 is a stylish composition in a box of 20 yellow tulips of 35 lilac irises .... 12,950 rubles. In the basket of 29 pink tulips in the R974 box, the composition in the box of 29 pale pink tulips .... 6 590 rubles. 6 261 rub. In the basket, a bouquet of 15 hyacinths mix with an ofomorm R1090 A fragrant bouquet of hyacinths 15 pieces of mix with decoration .... 6 190 rubles. In the basket, a bouquet of 5 branches of pink large hydrangea R694 is a bouquet of delicate pink hydrangea 5 branches of large hydrangea in craft .... 6,490 rubles. In the basket, the prefabricated box with white milling and roses R854 A fragrant composition in the cylinder of 30 branches of white freesia 19 branches of white bush rose is decorated .... 10,790 rubles. In the basket, the assembly bouquet of irises and chrysanthemums in craft R1511 A prefabricated bright bouquet of 15 irises 10 pink chrysanthemum design of the bouquet .... 8 660 rubles. In the basket of the balloon balls of the heart R773, composition balloons of the heart are 29 latex hearts 1 foil heart .... 5 590 rub. In the basket, popular products bouquet of 9 branches of a bush rose with a package R527 bouquet of pink rose 9 branches of a fluffy bush rose decoration in craft with the addition of ... 4,750 rubles. In the basket, a prefabricated bouquet is white roses and alstromeria R497 a prefabricated bouquet of white roses and alstromeria 11 roses 10 branches of pink alstromeria decoration in ... 4,830 rubles. In the basket, a bouquet 101 rose is red and white with a packaging R501 Union of a scarlet and white shade is harmoniously manifested in a large fresh bouquet of 101 roses. He is neatly ... 17 050 rub. 16 198 rub. In the basket, a large bouquet 101 Red pionic rose R110 is a juicy languid passionate bouquet of 101 large roses of an unusual shape will become a temptation for its own ... 34,850 rubles. In the basket, a huge bouquet is 101 pink peony with the design of the R175 huge bouquet of pink peonies 101 pink peony ribbon design ... 44 190 rubles. In the basket, a bouquet of 7 roses in the package R70 Bouquet-commercial 7 white roses in craft decoration with the addition of ribbons ... 3,350 rubles. In the basket, a large bouquet of 101 white roses in craft R494 A large bouquet of 101 white bud will be a special gift. Fresh beautiful roses attract ... 16,990 rubles. In the basket, a bouquet of 9 branches of chrysanthemum in craft R129 White chamomile chrysanthemum bouquet 9 fluffy branches decoration in craft ... 4,420 rubles. In the basket, a bouquet-commercial 1 branch of hydrangea R692 Bouquet-complex with a package of 1 branch of fluffy hydrangea with a decoration ... 1,950 rubles. In the basket 101 red rose is 150 cm with R886 high roses of exquisite red shade 150 cm high will conquer the female heart. You can arrange a bo ... 70 700 rubles. In the basket, a bouquet of 9 large red roses r66 bouquet of 9 large red roses design of craft tape ... 4,390 rubles. In the basket, a bouquet of roses in craft R455 bouquet of prefabricated roses red roses 9 pcs Pink roses 5 pcs Cream roses 5 branches ... 5 350 rubles. In the basket of 15 branches of multi-colored chrysanthemums with a package of R131, a prefabricated white-pink bouquet 15 branches of chamomile chrysanthemum decoration in craft ... 6,740 rubles. In the basket, a bouquet of 9 blue roses in craft R249 Bouquet of blue roses European blue roses with a large bud - 9 pcs in craft ... 5,350 rubles. In the basket, a bouquet of 25 pionoid bush roses with a package R157 bouquet of bush pionivate roses pink bush pionivate roses - 25 pcs decorating the tape to ... 9,150 rubles. In the basket, a prefabricated bouquet with red roses in the packaging R301 Rose bouquet composition: red roses Pionovid roses white cotton Greens Decoration ... 3,590 rubles. In the basket, the assembly bouquet of roses and chrysanthemums with the design of the R80 assembly bouquet with chrysanthemum 5 pink roses 7 branches of chrysanthemum 10 branches of eastoma ... 8 588 rubles. In the basket of a bouquet of 25 red roses in craft R102, a bouquet of 25 large red roses decoration of the Kraft tape is paid separately ... 5,490 rubles. 5 216 rubles. In the basket, a bouquet of 15 red roses with the design of R67 is a bouquet of 15 large red roses design of tape craft ... 3 920 rubles. In the basket, the bouquet is a large red rose with ribbons R104 bouquet of 51 large red rose decoration with ribbons ... 7 050 rub. In the basket we recommend a hat box with roses and pasta R149 a cylinder with roses and pasta 15 white roses and 9 pasta color the color of roses and cylinder can be selected .... 7,150 rubles. 6 793 rub. In the basket, a bouquet of 9 blue roses in craft R249 Bouquet of blue roses European blue roses with a large bud - 9 pcs design in craft .... 5 350 rubles. In the basket, the bouquet is 21 large red rose r68 bouquet of 21 large rose design of tape craft .... 4 900 rubles. In the basket, the assembly bouquet of roses and chrysanthemums with the design of the R80 assembly bouquet with chrysanthemum 5 pink roses 7 branches of chrysanthemum 10 branches of eastoma .... 8 588 rubles. In the basket, a prefabricated bouquet with red roses in the packaging R301 Rose bouquet composition: Red roses Pionovid roses white cotton Greens Decoration .... 3 590 rubles. In the basket, a bouquet 31 red rose in craft R103 Bouquet of scarlet roses 31 scarlet rose variety prestige design craft tape .... 6 190 rub. 5 881 rub. In a basket, flowers in a box of 25 red roses R148 are a light cylinder with red roses of 25 red roses the color of roses and a cylinder can be selected .... 6 090 rubles. 5 786 rub. In the basket, a large bouquet 101 Red High rose R373 composition of 101 red roses symbolizes feelings. The buds smell delicious. Lush bouquet before .... 35 390 rub. In the basket 101 Blue rose with the design of flowers in the bouquet R378 101 Blue dazzling rose makes the bouquet even more exclusive. The color passes the aura Taena .... 30 650 rubles. In the basket, a box with pasta r210 Box -room with pasta. Macaroni composition of flowers cookies of pasta - 5 pcs .... 3,390 rubles. In the basket of 19 pink roses in the R146 box, a light cylinder with pink roses of 19 bright pink roses color of roses and cylinder can be selected .... 5 590 rubles. In the basket, a delicate box with pionoid roses and pasta R214 is a delicate box with pionoid roses and pasta, a prefabricated composition of flowers cookies .... 5 850 rubles. In the basket heart is 31 red rose in the box R167 Red Heart in the box 31 red rose decoration in the box .... 7 250 rubles. In the basket, the pionivate roses of the orchids and hydrangea R237 composition in white colors in the cylinder white pionic roses Snowel hydrangea large orchids .... 8 450 rubles. In the basket of 25 large pionoid roses in the R202 box, a cylinder with pionoid roses large -headed peonia roses - 25 pcs Kraft ribbons .... 11 550 rubles. In the basket 51 red pionivate rose in a box with ribbons R75 cylinder with pionoid roses, large -headed pionoid roses - 51 pcs. Kraft ribbons .... 20 550 rubles. 19 523 rubles. In the basket, a bouquet of 51 pionivate rose with ribbons R145 Tender pionivate roses Pink O'Hara 51 pink rose formulation of the tape is possible ..... 14 050 rubles. In the basket, a bouquet of 25 rose roses in black craft R395 Bouquet of 25 pink roses decoration in black craft .... 5 490 rub. 19 white Call in the Black Box R731 is beneficial in the basket of white calico composition in a box of 19 Call in a black box ... 8 190 rubles. 6 990 rub. In the basket 51 orchid bouquet in the box R789, the composition of the orchids Assorted in the box 51 buds of orchids ... 22,950 rub. 19,990 rub. In the basket, the bouquet 101 branch of Freesia mix R856 is a large bouquet of fragrant freesia 101 branch of multi -colored freesia with the addition of greens and off ... 20,390 rubles. 15 590 rub. In the basket, a bouquet of 19 branches of white freesia in craft R851 is a delicate bouquet of white freesia in craft 19 branches of fragrant freesia with a decoration ... 4,750 rubles. 3 590 rub. In the basket, a bouquet 31 white calla in craft R738 is a stylish bouquet of snow -white calico 31 white large calla in packaging with ribbons ... 12,450 rubles. 9 550 rub. In the basket, a bouquet of 39 irises with the design of R119 Bouquet of bright irises 39 irises design in craft ... 6,750 rubles. 5 550 rub. In the basket, a bouquet of 75 pink peonies with the design of R1094 A large bouquet of pink peonies 75 large buds with ribbons ... 39,690 rubles. 36 950 rub. In the basket of basket 51 branch of chrysanthemum assortem R300 basket of bright chrysanthemum 51 branch of chrysanthemum assortment in the basket ... 120 188 rubles. 11 990 rub. In the basket, a prefabricated bouquet with orchids and irises R122 bouquet of irises and orchids 20 irises design in craft 19 cream roses 10 rose orchids ... 9,250 rubles. 6 950 rub. In the basket, a prefabricated bouquet with orchids and callas R641 A prefabricated bouquet with orchids 5 burgundy calists 5 large buds of orchids white eastoma 5 branches ... 10,090 rubles. 8 550 rub. In the basket, the impressions of our store 1214 reviews are executed perfectly. A polite operational manager correctly and quickly helped with flowers. Execution and delivery were very pleased. Thank you! Alexey 11/30/2022 ordered flowers from another city. Everyone did it just great !!! They sent a photo of the flowers of the box of the finished gift! Delivered exactly to the time. The birthday girl was battered by Larisa 09.11.2022 The best! We made our holiday! Decoration in the form of flowers is always to the place! We gave this bouquet to mom and then together it was dismantled on the vases and placed in the hall! It turned out 9 VAZ !!!! Our holiday was fragrant thanks to your efforts! Nastya 09/03/2022 I express my personal thanks to the employee Yulia, the communication is not very intrusive. Yes, and flowers to the addressee were to the taste of which is important of course. Peter 08/16/2022 ordered this bouquet for the teacher. They chose for a long time with the whole class ..... Anna Viktorovna was surprised how we guessed with color under her new dress Ahahaha was cool! Thank you for the beautiful flowers! Masha and the company 07.08.2022 The first time I write a review with the words of gratitude! I had the pleasure of ordering flowers from you to get a decent bouquet and on time that for me are the most important criteria for flowing colors. Alla 08.08.2022 All Hood Vitya 07/30/2022 In life, the bouquet looks more than in your photo it caused inconvenience! I had to urgently look for a new vase: (((Irina 07/29/2022 A beautiful bouquet of the aroma for the whole house! My wife is happy! The first time you ordered))) Cyril 07/14/2022 There are no emotions how amazing this bouquet! You are wizards! Thousands of thanks! Olenka 07/14/2022 did not find a suitable option? We will make a composition taking into account your wishes and budget! Call us and order by phone: 8 (800) 333-22-69 or order a return call our photo View all 8 (952) 840-77-77 WhatsApp: 7952840777 Moscow st. Big Bronnaya village of 7 Master in Moscow: Mira Avenue 88 Pav. 147 Pyatnitskaya street 12 p. 2 Usacheva street 29 bldg. 8 Goncharaya Street 38 Cash Lane 5 p. 4 st. Yana Rynis d. 10 Opening hours: from 06:00 to 00:00 Delivery: around the clock about VIP-boots to girl Birthday Bouquet Bouquet to my mother to customers colleague for a wedding on holidays on a anniversary on February 14 on March 9 on May 9 on May 9 The last call to the graduation on September 1, on the composition of the composition of the drywalls of the anemone chamomile hyacinths, Ranunkulus Freesia Eustoma Hortensi Piono Khelly Chrysanthemum Alstomeria Tulpans of orchids Irisa Lilia, Large small, beautiful original gorgeous gorgeous in the form of a heart in color. Multi-colored yellow red red blue we are in socialists :      Задать вопрос         Доставка цветов в городе: Адлер Анапа Архангельск Астрахань Барнаул Белгород Бердск Бийск Брянск Великий Новгород Владивосток Владимир Волгоград Волжский Вологда Воронеж Геленджик Грозный Дзержинск Долгопрудный Екатеринбург Зеленоград Иваново Ижевск Иркутск Йошкар-ола Казань Калининград Калуга Кемерово Киров Коломна Королев Кострома Краснодар Красноярск Курган Курск Липецк Magnitogorsk Makhachkala Moscow Murmansk Naberezhnye Naro-Fominsk Nefteyugansk Nizhnekamsk Nizhny Novgorod Nizhny Tagil Novokuznetsk Novorossiysk Novosibirsk Omsk Orenburg Orenburg Penza Perm Podolsk Pushkinsko Ramenskoye Reutov Rostov Rostov-Don Samara Samara Samara Samara Samara Samara Samara Samara Samara Samara Samara Samara Samara Samara Samara Samara Samara Samara Samara Samara Samara Samara Samara Samara Samara Samara Samara Samara Samara Samara Samara Samara Burg Saransk Saratov Sevastopol Sergiev Posad Serpukhov Simferopol Smolensk Sochi Stavropol Sterlitamak Surgut Syktyvkar Taganrog Tolly Togliatti Tomsk Tula Tula Ulan-Ulan-Ude Ulyanovsk Ufarovsk Cheboksary Chelyabinsk Cherepovets Chita Yakutsk Yaloslavl © 2023 is not a public offer. Promotion of the online store Toptimum.ru</v>
      </c>
    </row>
    <row r="286">
      <c r="A286" s="1" t="s">
        <v>883</v>
      </c>
      <c r="B286" s="1" t="s">
        <v>917</v>
      </c>
      <c r="D286" s="1">
        <v>10.0</v>
      </c>
      <c r="E286" s="4" t="s">
        <v>918</v>
      </c>
      <c r="F286" s="1" t="s">
        <v>16</v>
      </c>
      <c r="G286" s="1" t="s">
        <v>919</v>
      </c>
      <c r="H286" s="4" t="s">
        <v>920</v>
      </c>
      <c r="I286" s="2">
        <v>1.0</v>
      </c>
      <c r="J286" s="5" t="str">
        <f>IFERROR(__xludf.DUMMYFUNCTION("GOOGLETRANSLATE(A286)"),"Gypsophyla")</f>
        <v>Gypsophyla</v>
      </c>
      <c r="K286" s="6" t="str">
        <f>IFERROR(__xludf.DUMMYFUNCTION("GOOGLETRANSLATE(B286)"),"Gypsophyls | Delivery gypsophil in Severodvinsk")</f>
        <v>Gypsophyls | Delivery gypsophil in Severodvinsk</v>
      </c>
      <c r="L286" s="5" t="str">
        <f>IFERROR(__xludf.DUMMYFUNCTION("GOOGLETRANSLATE(C286)"),"#VALUE!")</f>
        <v>#VALUE!</v>
      </c>
      <c r="M286" s="5" t="str">
        <f>IFERROR(__xludf.DUMMYFUNCTION("GOOGLETRANSLATE(G286)"),"Flower salon ""101 rose"" || Flower delivery in Severodvinskr-T Lenin 6/348 (911) 554 3844PR-T Marine 54A8 (911) 557 3844 Delivery of colors in Severodvinsk 24/7 12.11.23 Steam Flower Flower 0CART ITEM0 cards as a gift with each bouquet! Registration of A"&amp;"uthorization Flowers of Alstromeria of Chrysanthema Eustoma lilia gerberra Cross bouquets gypsophile bouquets up to 2000 p. From 2000 to 5000 p. Bouquets from 5000 p. Flowers Gifts Gifts and toys Soft toys Toppers Sweetings Information, Pay the Bonas Prog"&amp;"rampric-T Lenin 6/348 (911) 554 3844PR-T Marine 54A8 (911) 557 38440 NOT Found the desired bouquet? Gather your own! Cashback 5% with each purchase bonus rubles and pay them up to 100% of your order1 bonus = 1 pournet -consultation Floristan, Floristan, F"&amp;"lorista, if you have questions! Credted to the gift with each bouquet - Colorful card as a gift! Bonus systemacopotes and pay until 100% cost of flowers! We will deliver a bouquet for 1 cluster shipping 24/7 catalogs of alstromeria gerberry bouquets of ch"&amp;"rysanthemums. Gifts sweets Toppers Box of Flowers Gypsophila Soft toys flowers and bouquets recommend choosing new items 170 bouquet of 11 roses 2810 ₽ Buy 170 bouquet ""Autumn Listopad"" 22 The aroma of night ""4100 ₽ Buy 170 bouquet"" Hot meeting ""5650"&amp;" ₽ Buy a bouquet of 11 roses 2810 ₽ Buy a bouquet of 9 roses 60 cm 2450 ₽ Buy sweets"" Raphaello ""150 g 550 ₽ Buy"" Scarlet Dawn ""2500 ₽ Buy a bouquet"" Autumn Listopad ""2420 ₽ Buy a bouquet"" Velvet meadow ""2940 ₽ Buy 19 roses + Greens 5350 ₽ Buy Top"&amp;"per"" Happy Birthday ""100 ₽ Buy 5 roses + greens 1950 ₽ Buy"" Autumn rose ""2220 ₽ Buy a bouquet of 19 roses 4620 ₽ Buy a bouquet of 25 roses 6010 ₽ Buy a bouquet ""May Morning"" 2270 ₽ Buy a bouquet '' Snow White Chamomile '2490 ₽ Buy ""Flower Ball"" 27"&amp;"80 ₽ Buy Dove Promises 118 g 500 ₽ Buy ""Date"" 2050 ₽ Buy a bouquet ""Ecuadorian"" 3370 ₽ Buy a bouquet ""Dream"" 2910 ₽ Buy a bouquet ""Spring"" 3800 ₽ Buy a bouquet of gerber and chrysanthemum 2510 ₽ Buy a bouquet ""Herberium"" 2770 ₽ Buy a bouquet of "&amp;"chrysanthemum 3430 ₽ Buy ""Shine"" 2690 ₽ Buy a bouquet "" Noir ""4100 ₽ Buy bouquet"" Pink flamingo ""4010 ₽ Buy bouquet"" Explosion of emotions ""3770 ₽ Buy 9 roses + greens 2850 ₽ Buy 5 roses + greens 1950 ₽ Buy a bouquet of gerber and chrysanthemum Ec"&amp;"uador stakes 60 SMEM -CASE! Buy roses flowers and bouquets recommend 145 19 roses + greens 5350 ₽ Buy 145 bouquet ""Exciting aroma"" 3420 ₽ Buy 145 bouquet of 19 roses 4620 ₽ Buy 145 bouquet ""Melody of tenderness"" 3200 ₽ Buy 145 bouquet ""Rubin sunset "&amp;"""3830 ₽ Buy 145 Box of colors"" Paints of the Autumn ""4770 ₽ Buy a catalog for catalog and Article 07, 2020 0 Commentary program Rules for participating in a bonus program: To calculate the points, you need to register in your personal account on the si"&amp;"te on the link: Registration of registration from each purchase at the century. .. Read more how to care for flowers? First of all - cut the stems! Roses have a hard wood stalk cut them diagonally and chrysanthemums of tulips of the lilies of the irises a"&amp;"nd other horizontally. Cutting needs a wire ... Read more January 05, 2020 0 compensers January 05, 2020 0 Commentaries what to pay attention to when buying roses? When choosing roses, special attention should be paid to the flower bud: it should be suffi"&amp;"ciently dense elastic and not too soft. The best option is if the bud is RA ... Read more Flower Salon 101 Rosao Gophannalon Flower ""101 Rose"" - Flower delivery in Severodvinsk why do customers choose us? The store is conveniently located in the old par"&amp;"t of the city and works every day around the clock! Delivery in Severodvinsk, including on the O. Yagra, is carried out in 24/7 mode. From us you can buy not only roses, but also alstromeria gerberey chrysanthemums of eastoma lilies as well as supplement "&amp;"the bouquet with a soft toy with helium balloons or a sweet gift. Flowers 2 times a week, therefore, we guarantee the freshness of the delivered bouquet! Bonus accumulative system and SMS - delivery report report ! Ordering a bouquet with delivery in Seve"&amp;"rodvinsk is very simple: Put the selected composition in the basket with a convenient way and after 1 hour the freshest flowers will delight your recipient. To buy roses, you must additionally select the desired color and packaging in the product card. Yo"&amp;"u can also register on our website and become a member of the bonus program, paying with bonus points up to 100% of the cost of ordered goods. Do not miss your chance to profitably buy flowers in Severodvinsk! Consultation of floristan, in a chat florista"&amp;" If you have questions! A postcard as a gift with each bouquet is a colorful postcard as a gift! Bonus systemacle and pay up to 100% cost of flowers! Let's deliver the bouquet for 1 clockwork 24 /7 × CLOSEXNE TARDENDY ID ordered the bouquet ""Bright Emoti"&amp;"ons"" 2023-11-12 06: 45: 12 contacts of Lenin Ave 6/34 8 (911) 554 3844 Ave. Marine 54a 8 (911) 557 3844 Information Information Bonus program How to pay for ? Delivery Policy of Privacy Return and Exchange of goods Contacts Personal cabinet cabinet cabin"&amp;"etistry of the site of the site of the School of Continue Subscribe! Be in the know of our shares and suggestions! Subscribe to connect! Flower Salon ""101 Rose"" © 2018 - 2023 Creation of the site: Artweb29")</f>
        <v>Flower salon "101 rose" || Flower delivery in Severodvinskr-T Lenin 6/348 (911) 554 3844PR-T Marine 54A8 (911) 557 3844 Delivery of colors in Severodvinsk 24/7 12.11.23 Steam Flower Flower 0CART ITEM0 cards as a gift with each bouquet! Registration of Authorization Flowers of Alstromeria of Chrysanthema Eustoma lilia gerberra Cross bouquets gypsophile bouquets up to 2000 p. From 2000 to 5000 p. Bouquets from 5000 p. Flowers Gifts Gifts and toys Soft toys Toppers Sweetings Information, Pay the Bonas Programpric-T Lenin 6/348 (911) 554 3844PR-T Marine 54A8 (911) 557 38440 NOT Found the desired bouquet? Gather your own! Cashback 5% with each purchase bonus rubles and pay them up to 100% of your order1 bonus = 1 pournet -consultation Floristan, Floristan, Florista, if you have questions! Credted to the gift with each bouquet - Colorful card as a gift! Bonus systemacopotes and pay until 100% cost of flowers! We will deliver a bouquet for 1 cluster shipping 24/7 catalogs of alstromeria gerberry bouquets of chrysanthemums. Gifts sweets Toppers Box of Flowers Gypsophila Soft toys flowers and bouquets recommend choosing new items 170 bouquet of 11 roses 2810 ₽ Buy 170 bouquet "Autumn Listopad" 22 The aroma of night "4100 ₽ Buy 170 bouquet" Hot meeting "5650 ₽ Buy a bouquet of 11 roses 2810 ₽ Buy a bouquet of 9 roses 60 cm 2450 ₽ Buy sweets" Raphaello "150 g 550 ₽ Buy" Scarlet Dawn "2500 ₽ Buy a bouquet" Autumn Listopad "2420 ₽ Buy a bouquet" Velvet meadow "2940 ₽ Buy 19 roses + Greens 5350 ₽ Buy Topper" Happy Birthday "100 ₽ Buy 5 roses + greens 1950 ₽ Buy" Autumn rose "2220 ₽ Buy a bouquet of 19 roses 4620 ₽ Buy a bouquet of 25 roses 6010 ₽ Buy a bouquet "May Morning" 2270 ₽ Buy a bouquet '' Snow White Chamomile '2490 ₽ Buy "Flower Ball" 2780 ₽ Buy Dove Promises 118 g 500 ₽ Buy "Date" 2050 ₽ Buy a bouquet "Ecuadorian" 3370 ₽ Buy a bouquet "Dream" 2910 ₽ Buy a bouquet "Spring" 3800 ₽ Buy a bouquet of gerber and chrysanthemum 2510 ₽ Buy a bouquet "Herberium" 2770 ₽ Buy a bouquet of chrysanthemum 3430 ₽ Buy "Shine" 2690 ₽ Buy a bouquet " Noir "4100 ₽ Buy bouquet" Pink flamingo "4010 ₽ Buy bouquet" Explosion of emotions "3770 ₽ Buy 9 roses + greens 2850 ₽ Buy 5 roses + greens 1950 ₽ Buy a bouquet of gerber and chrysanthemum Ecuador stakes 60 SMEM -CASE! Buy roses flowers and bouquets recommend 145 19 roses + greens 5350 ₽ Buy 145 bouquet "Exciting aroma" 3420 ₽ Buy 145 bouquet of 19 roses 4620 ₽ Buy 145 bouquet "Melody of tenderness" 3200 ₽ Buy 145 bouquet "Rubin sunset "3830 ₽ Buy 145 Box of colors" Paints of the Autumn "4770 ₽ Buy a catalog for catalog and Article 07, 2020 0 Commentary program Rules for participating in a bonus program: To calculate the points, you need to register in your personal account on the site on the link: Registration of registration from each purchase at the century. .. Read more how to care for flowers? First of all - cut the stems! Roses have a hard wood stalk cut them diagonally and chrysanthemums of tulips of the lilies of the irises and other horizontally. Cutting needs a wire ... Read more January 05, 2020 0 compensers January 05, 2020 0 Commentaries what to pay attention to when buying roses? When choosing roses, special attention should be paid to the flower bud: it should be sufficiently dense elastic and not too soft. The best option is if the bud is RA ... Read more Flower Salon 101 Rosao Gophannalon Flower "101 Rose" - Flower delivery in Severodvinsk why do customers choose us? The store is conveniently located in the old part of the city and works every day around the clock! Delivery in Severodvinsk, including on the O. Yagra, is carried out in 24/7 mode. From us you can buy not only roses, but also alstromeria gerberey chrysanthemums of eastoma lilies as well as supplement the bouquet with a soft toy with helium balloons or a sweet gift. Flowers 2 times a week, therefore, we guarantee the freshness of the delivered bouquet! Bonus accumulative system and SMS - delivery report report ! Ordering a bouquet with delivery in Severodvinsk is very simple: Put the selected composition in the basket with a convenient way and after 1 hour the freshest flowers will delight your recipient. To buy roses, you must additionally select the desired color and packaging in the product card. You can also register on our website and become a member of the bonus program, paying with bonus points up to 100% of the cost of ordered goods. Do not miss your chance to profitably buy flowers in Severodvinsk! Consultation of floristan, in a chat florista If you have questions! A postcard as a gift with each bouquet is a colorful postcard as a gift! Bonus systemacle and pay up to 100% cost of flowers! Let's deliver the bouquet for 1 clockwork 24 /7 × CLOSEXNE TARDENDY ID ordered the bouquet "Bright Emotions" 2023-11-12 06: 45: 12 contacts of Lenin Ave 6/34 8 (911) 554 3844 Ave. Marine 54a 8 (911) 557 3844 Information Information Bonus program How to pay for ? Delivery Policy of Privacy Return and Exchange of goods Contacts Personal cabinet cabinet cabinetistry of the site of the site of the School of Continue Subscribe! Be in the know of our shares and suggestions! Subscribe to connect! Flower Salon "101 Rose" © 2018 - 2023 Creation of the site: Artweb29</v>
      </c>
    </row>
    <row r="287">
      <c r="A287" s="1" t="s">
        <v>883</v>
      </c>
      <c r="B287" s="1" t="s">
        <v>921</v>
      </c>
      <c r="D287" s="1">
        <v>11.0</v>
      </c>
      <c r="E287" s="4" t="s">
        <v>922</v>
      </c>
      <c r="F287" s="1" t="s">
        <v>16</v>
      </c>
      <c r="G287" s="1" t="s">
        <v>923</v>
      </c>
      <c r="H287" s="4" t="s">
        <v>924</v>
      </c>
      <c r="I287" s="2">
        <v>1.0</v>
      </c>
      <c r="J287" s="5" t="str">
        <f>IFERROR(__xludf.DUMMYFUNCTION("GOOGLETRANSLATE(A287)"),"Gypsophyla")</f>
        <v>Gypsophyla</v>
      </c>
      <c r="K287" s="6" t="str">
        <f>IFERROR(__xludf.DUMMYFUNCTION("GOOGLETRANSLATE(B287)"),"Gypsophyla flower delivery - price")</f>
        <v>Gypsophyla flower delivery - price</v>
      </c>
      <c r="L287" s="5" t="str">
        <f>IFERROR(__xludf.DUMMYFUNCTION("GOOGLETRANSLATE(C287)"),"#VALUE!")</f>
        <v>#VALUE!</v>
      </c>
      <c r="M287" s="5" t="str">
        <f>IFERROR(__xludf.DUMMYFUNCTION("GOOGLETRANSLATE(G287)"),"Flower delivery in St. Petersburg | Order flowers with the delivery to the house of the Domo and the Payment of the Overweceable Articles for the Wedding Square to call the call+7 (921) 904-60-65vash basket: 0r0+7 (921) 904-6055 Bouquets from flowers acco"&amp;"rding with chamomiles of chrysanthemamymibuettes with iris -lisiacs with lysiantudes+eastomabuketes with alstroomeriramiribuetes with tulipamybukets with pionam -bells with fields of gypsophilas with hydrangeas -boots with gyoprikum -booths from ware Cami"&amp;"popular flowers to type: hearts from color bouquenced bouquet bouquencap bouquet bouquet bouquet bouquets of dried flowers bouquets in a box according to the composition : With diantumi -diantus gypsophilos Rosamimis Rosamis Hortensiyamis Pionamis Irisant"&amp;"hemamis Liziantamis Tulpanamis Statiyz with wooden boxes in hat boxes Size: Large bouquets in boxes in the hat -boxes in square boxes PSOPHIL11 Gypsofil15 Gypsofilpo size: gypsophiles in a box of minihypsyophiles in a box Xlcom Position from gypsofilles c"&amp;"olor : Rainbow gypsofilablabic gypsophylaxy gypsophylarose gypsophylaviolet gypsophylapilaplapov type: gypsophiles with rose -rose daisies: baskets with rosamirosis in hats in gearbox in quantity: 5 roses roses rose151 rose151 rose 20120 Red pinkish draws"&amp;" of Miksinia drawing draws Roses Flowers of alstrome -meterichelpanyromashkiyarizanthemysanthemysyanthus (eastoma) irishystacarosilkitvitiadia (oxypetalum) cloves of diantyshegshegipioniculisolidagogyphylamatiolamatio -north -north -north -north -nurtures"&amp;" of pionias in size: in a large box of square corage 9 Pions15 Pions51 Pion101 Pionpo color: pink peony pionicoral peony pion -pionists Myxmaline peoniador piono piono type: peonies in hats box -pioneer roses of tulips in quantity : 25 tulips35 tulips51 t"&amp;"ulpan101 tulpanpo with color: white yellow -zero -rose -zerozhovymikovspo type: tulips in a hat box in the basket Gifts Hand -handed -work cards of the confysshopti -shaped toys, wholesale -in toys, optotulpan, wholesale. Bouquets for March 8th for discha"&amp;"rge bouquets for Birthday for the day of St. Valentinebakes on Day Students for the New Freight of Foreign Affairs Order a bouquet to order a bouquet of flowers delivery in St. Petersburg to show a filter at a price ... up to 1000 rubles. 1000 to 2000 rub"&amp;"les. 2000 to 3500 rubles, 3500 to 5000 rubles. 5000 rubles. .. kisses ... draws of -and -racksy -sulpionesypynypaniylpaniagsantemesyegseriberiberekumperikumigu -peroxolidagophyphyxophysophylaneziol -ny -ny radiolandi -nyandhi -nyndia -vytivia -derivadia -"&amp;"derivia -deriviastomerias ... Who ... for the mother of the woman's beloved girlfriend of the girlfriend of the girlfriend Water ... A reason ... On the birthday of the holiday anniversary for recognition of love, apologizing for the gratitude, the congra"&amp;"tulation of the Book for the discharge for weddups. .. in color ... delicate yoke-orbelly-free-bonded-bonded-stained-stained-flowered-colored green-erando-aged-based flowers of flowers according to St. Petersburgguction, fast viewing of 11 rainbow gypsoph"&amp;"ils (Holland) gypsophila Rainbow-11 high-altitude-60 cm. Packaging. Packaging-on-on-and-dime Country-Holland. 2750 P2150 RISK in 1 click Quick viewing of a bouquet of 7 rainbow gypsophiles (Holland) gypsophil varieties Rainbow-7 height-60 cm. Packaging-on"&amp;" selection tape-Atlas Country-Holland. 2390 P1700 Rubricate in 1 click quick viewing of a bouquet of triogortens Mix (Holland) -3 pcs . Form and fuamiran substrate-shit. 3900 P2550 RELACE OF 1 click fast viewing of a bouquet of hydrangea Alikantebalay hyd"&amp;"rangea (Holland) -1 pcs. Diantus pink-4 pcs. (variety Nahema) Alstromeria-4 pcs. Eucalyptus2990 Raille in 1 click quick viewing of a bouquet of hydrangea Valencia Hydrangea (Holland) -1 pcs. Diantus white-4 pcs. (MoonLight variety) Alstromeria Belaya 4 pc"&amp;"s. 3400 Rubricate in 1 click quick viewing of 25 white diatus and raffello into the blue boxing cloves (Colombia) -25 pcs. Varort-dianthus st moonlight Greens-Fistashka Box (20x26x20 cm.3850 RELUARE OF 1 click quick viewing of 25 pink diatus and raffello "&amp;"in white boxing cloves (Colombia) -25 pcs. Varortion Green Fistashki (20x26x20 cm. 3850 REMART IN 1 click RAM FAST View 15 white and pink dioatuses in blue boxing and white cloves (Colombia) -15 pcs. Varort-onhema and MoonLight greens Box (20 x3600 P2600 "&amp;"REMACTION OF 1 Click quickly View Bouquet of 15 white and pink dianthouses and white cloves (Colombia) -15 pcs. Varort-dianthus st nahema and dianthus st moonlight packaging3200 p2300 Rong to 1 click quick viewing of white roses of dianthus and twidyrosis"&amp;"-5 pcs. Pink cloves (Columbia) -4 pcs. Ianthus ST Nahema Twisia-4 Greens-Fistashka UP2650 RECECTION in 1 click, quick viewing of a bouquet of pink dioatuses and twiydiarose cloves (Colombia) -6 pcs. Varort-dianthus st nahema Twidia (oxypetalum) -5 pcs. En"&amp;"venue-fistash2400 Rubricate in 1 click quick viewing of a bouquet of 9 pink diatus pink cloves (Colombia) -9 pcs. variety-dianthus st nahema greens-fistashka packaging-foamyran podl2900 p2150 Rong to 1 click fast viewing heart of 31 rose 50 cm 50 cm long."&amp;" Red variety Red Naomi wide satin ribbon red color. 6900 p3100 READD View white gypsophila and chamomile in the box XL (Holland) Costate-rim Field gypsophila white box (225 x 29 cm) Bukete height 40-45 cm. Ribbon-A4500 P2800 RISKED 1 click quick viewing w"&amp;"hite gypsophila and chamomile in the Mini box ( Holland) Social-fruits Field gypsophila white box (18 x 24 cm.) The height of the bouquet is 30-35 cm .. tape-AT3700 P2350 RECIPE in 1 click, quick viewing of the bouquet of daisies and gypsophila (large) co"&amp;"mposition: chamomile (matrix) -11 Gypsophyla-6 Country-Holland Packaging-Kraft ATPLASNAL. 3100 P2900 RECECTION in 1 click in sales catalogHchites, quick viewing of 15 white and pink alstrientialstormeria MIX (Holland) -15 pcs. Packaging-craft for the subs"&amp;"trate-shit wide satin ribbon. 2350 RECEPT 1 click quick viewing of the bouquet of 11 white gypsophiles (Holland) gypsophilus of the premium-11 pcs. Height up to 65 cm. Packaging-selection tape-Ath-Holland2150 Rabocate 1 click fast viewing blue hydrangea h"&amp;"ydrangea (Holland) -1 pcs Packaging-fuamiran Subela satin ribbon .2500 p1700 REMACTION OF 1 click quick viewing white hydraces Belaya (Holland) -1 pcs Packaging-Foamiraran Substarpat Athlance Ribbon .2500 p1700 Rubricate in 1 click fast viewing pink hydra"&amp;"ngea rose (Holland) -1 pcs Packaging-foamyran Substitution Satsis ribbon. 2500 p1700 Rubricate Blue hydrangea in white boxegeegortenzia of Blue (Holland) -1 pcs Box (18 x 18 cm) Bouquet height 25 cm. Autlas tish2700 p1990 Rabricate Razkoye Click Pink Hydr"&amp;"angea in Blue Borobkegorentia Pink (Holland) -1 pcs Box ( 18 x 18 cm.) The height of the bouquet is 25 cm. The tape tish2700 P1990 REMACT 1 Click Rapid viewing of the bouquet of the trio in the hats of the gearbox Mix (Holland) -3 pcs Box (225 x 29 cm) Bu"&amp;"kete height 45 cm. Fire. -Atlas-tie 4500 P2850 RECECTION in 1 click quick viewing of a bouquet of hydrangea Alikantebalaya hydrangea (Holland) -1 pcs. Diantus pink-4 pcs. (variety Nahema) Alstromeria-4 pcs. Eucalyptus2990 Raille in 1 click quick viewing o"&amp;"f a bouquet of hydrangea Valencia Hydrangea (Holland) -1 pcs. Diantus white-4 pcs. (MoonLight variety) Alstromeria Belaya-4 pcs. 3400 Rubricate in 1 click quick viewing 15 white and pink dianthouses in white boxes and white cloves (Colombia) -15 pcs. Varo"&amp;"rt-Nahema and MoonLight Greens-Fistashka Box (20 x3600 P2600 RELACK IN 1 click fast viewing 15 white and pink dioatuses in pink hate-haired and white cloves (Columbia) -15 pcs. Variety and MoonLight greens-fiber (20 x3 600 P2600 RECRIVE 1 Click Quick View"&amp;" Bouquet of 15 white and pink diatus and tweidiaurosis and white cloves (Colombia) -15 pcs. Varort-dianthus st nahema and dianthus st moonlight Twiziy-3250 R ordering in 1 clic and pink Diantosovroza and white cloves (Colombia) -15 pcs. Vort-dianthus st n"&amp;"ahema and dianthus st moonlight packaging3200 p2300 Rubricate a quick viewing of the bouquet of pink diatus and alstrusterirose cloves (Columbia)- Anthus st nahema alstromeria-4 pcs. Eucalyptus-1 pc. Pack2150 Rubricate in 1 click fast viewing of a bouquet"&amp;" of white roses and diantus carnation (Colombia) -4 pcs. variety-dianthus st nahema rose-5 pcs. Greens-Evvkalipt packaging-f2250 Rubricate in 1 click in the catalogbooks in boxes fast viewing Hater box of 7 pink peon stages: peonies of the Sarah Bernhard-"&amp;"7 box (18 x 24 cm) bouquet height 28 cm. 1 click fast viewing 29 white and pink roses in the hat-cutting-29 roses of the verta naomi and aqua box (225 x 29 cm) bouquet height 45 cm. Ribbon-ATPLASHIENCE .. 3650 REMOVE 1 click quick viewing of the box of 9 "&amp;"pink peonies with rafellosostav-pioneer sarah bernhard-9 varieties Raffallo 240 gr. Box (20x26x20 cm.) The height of the bouquet 30 cm ... 4290 READ in 1 click quick viewing of 25 white roses and Raffello in the blue box-machine-25 roses of the veteh of R"&amp;"affallo 240 g. Box (20x26x20 cm.) The height of the bouquet 30 cm ... 5700 p3850 Rubricate in 1 click fast viewing Hat box of 7 pink peonies: peonies of the sarah bernhard-7 box (18 x 24 cm) bouquet height 28 cm. Tape Atlase .. 2990 REMART 1 Click quick v"&amp;"iewing of the box of 5 rainbow chrysanthematum-artisanthemum bush 5 box (18 x 24 cm.) The height of the bouquet is 28 cm. ..1990 REMACTION OF 1 click RAM Red Roses in the Hat Corobscolism-29 roses Red Naomi Box (225 x 29 cm) Bukete height 45 cm. Ribbon-At"&amp;"las ... 3250 RECRIVE 1 click quick viewing of 5 white chrysanthemums In pink happed gearboxes, a bush-5 box (18 x 24 cm), the bouquet height is 28 cm. Autlas ribbon ... 1790 Red to order 1 click in a 100% guarantee of the quality of the goods. We deliver "&amp;"only fresh flowers on time if you did not like the bouquet change it to a new one within 48 hours* Free postcard in a bouquet with text or your name photo or video at the time of presenting bouquets as a photograph of 600pcs more than 600pcs. Delivery of "&amp;"Incognito SMS notification about delivery of the bouquet to give and It is always nice to get bouquets, and if delivery is organized to the house, then this is doubly fine. The pluses of such a service: to pick up a flower masterpiece, you do not need to "&amp;"leave the house or office. You do not need to wake up early in the morning or run in late at night to go out into the frost of heavy rain or heat behind flowers. You need to move around the city on the road and idle in traffic jams. Do not worry about the"&amp;" preservation of the composition. All these troubles will take over the courier and you can only get gratitude for a pleasant surprise. Nash the courier will equally quickly bring the bouquet as early awakening at 7 a.m. and at 12 a.m. Designers wrap flow"&amp;"ers into special packaging protecting from external factors. The buds are preserved by fresh fragrant whole without fallen and wilted petals. To order from us, it is enough to fill out an application on the site or contact a consultant by phone. It is pos"&amp;"sible to pay in cash after receipt. We will work in St. Petersburg and the Barcelona chopper offers a luxurious floral diversity. The assortment has the freshest flowers of different types and varieties from foreign suppliers. We cooperate with companies "&amp;"from Ecuador Holland Israel. Carefully select each flower with meticulously examine the stems and leaves. Only selected plants fall into the assortment. Competent and creative florists work in our team. Complete the flower ensembles corresponding to diffe"&amp;"rent events: the birthday of the wedding triumph of the landmark dates of a thematic or official holiday. The company's specialists regularly improve floristic skills of floristic skills, and introduce them to the composition. The reviews of customers wer"&amp;"e ordered a large box with gypsophila quickly and quickly. The flowers look good as in the photo that they sent before sending. Separately, it is worth noting the manager’s robot sent a photo of previously taken bouquets for example and a photo of my orde"&amp;"r. Thanks a lot. Thank you very much to the employees of Barcelona - clearly quickly with complete compliance with the agreements, the bouquet ordered we ordered and timely prepared! And this despite the workload and excitement on the eve of March 8! And "&amp;"the freshest tulips :))) 10.09.2022 A beautiful bouquet of 15 rainbow gypsophiles. Many thanks to the salon for the timely delivery! Very beautiful flowers. The bouquet is very huge. The daughter was delighted about this and dreamed! Thanks to the salon f"&amp;"or the chic bouquet of flowers for discharge from the maternity hospital with her son !!! The flowers are very beautiful and stood in a vase delighting the eye !!! I am very pleased !!! We will order only you now !!! Unfortunately, the review is negative."&amp;" I ordered a bouquet of peonies while in another city. They wrapped in craft with bicycles. There was no other to the request for a request to change the wrapper and was generally sent by courier ... Probably I just have no taste ... I made an order in th"&amp;"e company ""Barcelona"" for my girlfriend. I would like to express my gratitude to the company. A friend was delighted. It is nice when everything from the first call to the store to the presentation of the bouquet by courier is respect for the organizati"&amp;"on. A friend liked the punctuality and politeness of the courier, a modern thought -out packaging surprised the roses that became better every day. My friend liked the gift and I, as employees of the store, did their job. I am excellent in prize for all t"&amp;"he holidays only here. Bouquets are always freshlyKistanota in time. Thanks to the best flowers store in the metro district of Alexander Nevsky (was in many). He was surprised by the freshness of flowers and the level of service. Extremely tactful seller!"&amp;" Flowers are already the third day and a hint of drying has been using the services of this company that was not just once. Flowers are always fresh cultural couriers delivery at the appointed time. Thank you for peonies! This is not the first time I have"&amp;" been taking these flowers in this place. Always fresh and beautiful. Sellers are responsive and pleasant. I will contact more than once. Order the all-lasting beautiful bouquet of flowers 01/01/2019 .. Read details on March 8 to colleagues 04/01/2019 .. "&amp;"Read more on the girl Happy 01/04/2019 .. Read detail to manage the Barcelonavash E-Mail Club Subscrib STO networks: On a caste of the color appliances Kontaktattovka and Payment of the Paratous Articles of the frequent questions, the address address: Tel"&amp;"lyzhnaya St. 37 lit. U Opening hours: from 9:00 to 21:00 +7 (921) 904-60-65 order the calls to the payment: development of the site Rozavetrov × Composition: Description: Select the size of the length (cm): 50607090 Sciences: READDING ONE CLASED WITH CLAC"&amp;"K? social. networks: 100% guarantee of the quality of goods. We deliver only fresh flowers on time if you did not like the bouquet change it to a new one within 48 hours* Free postcard in a bouquet with text or your name photo or video at the time of pres"&amp;"enting bouquets as a photograph of 600pcs more than 600pcs. Delivery of bouquets of incognito SMS notification about the delivery of the bouquet to load still load")</f>
        <v>Flower delivery in St. Petersburg | Order flowers with the delivery to the house of the Domo and the Payment of the Overweceable Articles for the Wedding Square to call the call+7 (921) 904-60-65vash basket: 0r0+7 (921) 904-6055 Bouquets from flowers according with chamomiles of chrysanthemamymibuettes with iris -lisiacs with lysiantudes+eastomabuketes with alstroomeriramiribuetes with tulipamybukets with pionam -bells with fields of gypsophilas with hydrangeas -boots with gyoprikum -booths from ware Camipopular flowers to type: hearts from color bouquenced bouquet bouquencap bouquet bouquet bouquet bouquets of dried flowers bouquets in a box according to the composition : With diantumi -diantus gypsophilos Rosamimis Rosamis Hortensiyamis Pionamis Irisanthemamis Liziantamis Tulpanamis Statiyz with wooden boxes in hat boxes Size: Large bouquets in boxes in the hat -boxes in square boxes PSOPHIL11 Gypsofil15 Gypsofilpo size: gypsophiles in a box of minihypsyophiles in a box Xlcom Position from gypsofilles color : Rainbow gypsofilablabic gypsophylaxy gypsophylarose gypsophylaviolet gypsophylapilaplapov type: gypsophiles with rose -rose daisies: baskets with rosamirosis in hats in gearbox in quantity: 5 roses roses rose151 rose151 rose 20120 Red pinkish draws of Miksinia drawing draws Roses Flowers of alstrome -meterichelpanyromashkiyarizanthemysanthemysyanthus (eastoma) irishystacarosilkitvitiadia (oxypetalum) cloves of diantyshegshegipioniculisolidagogyphylamatiolamatio -north -north -north -north -nurtures of pionias in size: in a large box of square corage 9 Pions15 Pions51 Pion101 Pionpo color: pink peony pionicoral peony pion -pionists Myxmaline peoniador piono piono type: peonies in hats box -pioneer roses of tulips in quantity : 25 tulips35 tulips51 tulpan101 tulpanpo with color: white yellow -zero -rose -zerozhovymikovspo type: tulips in a hat box in the basket Gifts Hand -handed -work cards of the confysshopti -shaped toys, wholesale -in toys, optotulpan, wholesale. Bouquets for March 8th for discharge bouquets for Birthday for the day of St. Valentinebakes on Day Students for the New Freight of Foreign Affairs Order a bouquet to order a bouquet of flowers delivery in St. Petersburg to show a filter at a price ... up to 1000 rubles. 1000 to 2000 rubles. 2000 to 3500 rubles, 3500 to 5000 rubles. 5000 rubles. .. kisses ... draws of -and -racksy -sulpionesypynypaniylpaniagsantemesyegseriberiberekumperikumigu -peroxolidagophyphyxophysophylaneziol -ny -ny radiolandi -nyandhi -nyndia -vytivia -derivadia -derivia -deriviastomerias ... Who ... for the mother of the woman's beloved girlfriend of the girlfriend of the girlfriend Water ... A reason ... On the birthday of the holiday anniversary for recognition of love, apologizing for the gratitude, the congratulation of the Book for the discharge for weddups. .. in color ... delicate yoke-orbelly-free-bonded-bonded-stained-stained-flowered-colored green-erando-aged-based flowers of flowers according to St. Petersburgguction, fast viewing of 11 rainbow gypsophils (Holland) gypsophila Rainbow-11 high-altitude-60 cm. Packaging. Packaging-on-on-and-dime Country-Holland. 2750 P2150 RISK in 1 click Quick viewing of a bouquet of 7 rainbow gypsophiles (Holland) gypsophil varieties Rainbow-7 height-60 cm. Packaging-on selection tape-Atlas Country-Holland. 2390 P1700 Rubricate in 1 click quick viewing of a bouquet of triogortens Mix (Holland) -3 pcs . Form and fuamiran substrate-shit. 3900 P2550 RELACE OF 1 click fast viewing of a bouquet of hydrangea Alikantebalay hydrangea (Holland) -1 pcs. Diantus pink-4 pcs. (variety Nahema) Alstromeria-4 pcs. Eucalyptus2990 Raille in 1 click quick viewing of a bouquet of hydrangea Valencia Hydrangea (Holland) -1 pcs. Diantus white-4 pcs. (MoonLight variety) Alstromeria Belaya 4 pcs. 3400 Rubricate in 1 click quick viewing of 25 white diatus and raffello into the blue boxing cloves (Colombia) -25 pcs. Varort-dianthus st moonlight Greens-Fistashka Box (20x26x20 cm.3850 RELUARE OF 1 click quick viewing of 25 pink diatus and raffello in white boxing cloves (Colombia) -25 pcs. Varortion Green Fistashki (20x26x20 cm. 3850 REMART IN 1 click RAM FAST View 15 white and pink dioatuses in blue boxing and white cloves (Colombia) -15 pcs. Varort-onhema and MoonLight greens Box (20 x3600 P2600 REMACTION OF 1 Click quickly View Bouquet of 15 white and pink dianthouses and white cloves (Colombia) -15 pcs. Varort-dianthus st nahema and dianthus st moonlight packaging3200 p2300 Rong to 1 click quick viewing of white roses of dianthus and twidyrosis-5 pcs. Pink cloves (Columbia) -4 pcs. Ianthus ST Nahema Twisia-4 Greens-Fistashka UP2650 RECECTION in 1 click, quick viewing of a bouquet of pink dioatuses and twiydiarose cloves (Colombia) -6 pcs. Varort-dianthus st nahema Twidia (oxypetalum) -5 pcs. Envenue-fistash2400 Rubricate in 1 click quick viewing of a bouquet of 9 pink diatus pink cloves (Colombia) -9 pcs. variety-dianthus st nahema greens-fistashka packaging-foamyran podl2900 p2150 Rong to 1 click fast viewing heart of 31 rose 50 cm 50 cm long. Red variety Red Naomi wide satin ribbon red color. 6900 p3100 READD View white gypsophila and chamomile in the box XL (Holland) Costate-rim Field gypsophila white box (225 x 29 cm) Bukete height 40-45 cm. Ribbon-A4500 P2800 RISKED 1 click quick viewing white gypsophila and chamomile in the Mini box ( Holland) Social-fruits Field gypsophila white box (18 x 24 cm.) The height of the bouquet is 30-35 cm .. tape-AT3700 P2350 RECIPE in 1 click, quick viewing of the bouquet of daisies and gypsophila (large) composition: chamomile (matrix) -11 Gypsophyla-6 Country-Holland Packaging-Kraft ATPLASNAL. 3100 P2900 RECECTION in 1 click in sales catalogHchites, quick viewing of 15 white and pink alstrientialstormeria MIX (Holland) -15 pcs. Packaging-craft for the substrate-shit wide satin ribbon. 2350 RECEPT 1 click quick viewing of the bouquet of 11 white gypsophiles (Holland) gypsophilus of the premium-11 pcs. Height up to 65 cm. Packaging-selection tape-Ath-Holland2150 Rabocate 1 click fast viewing blue hydrangea hydrangea (Holland) -1 pcs Packaging-fuamiran Subela satin ribbon .2500 p1700 REMACTION OF 1 click quick viewing white hydraces Belaya (Holland) -1 pcs Packaging-Foamiraran Substarpat Athlance Ribbon .2500 p1700 Rubricate in 1 click fast viewing pink hydrangea rose (Holland) -1 pcs Packaging-foamyran Substitution Satsis ribbon. 2500 p1700 Rubricate Blue hydrangea in white boxegeegortenzia of Blue (Holland) -1 pcs Box (18 x 18 cm) Bouquet height 25 cm. Autlas tish2700 p1990 Rabricate Razkoye Click Pink Hydrangea in Blue Borobkegorentia Pink (Holland) -1 pcs Box ( 18 x 18 cm.) The height of the bouquet is 25 cm. The tape tish2700 P1990 REMACT 1 Click Rapid viewing of the bouquet of the trio in the hats of the gearbox Mix (Holland) -3 pcs Box (225 x 29 cm) Bukete height 45 cm. Fire. -Atlas-tie 4500 P2850 RECECTION in 1 click quick viewing of a bouquet of hydrangea Alikantebalaya hydrangea (Holland) -1 pcs. Diantus pink-4 pcs. (variety Nahema) Alstromeria-4 pcs. Eucalyptus2990 Raille in 1 click quick viewing of a bouquet of hydrangea Valencia Hydrangea (Holland) -1 pcs. Diantus white-4 pcs. (MoonLight variety) Alstromeria Belaya-4 pcs. 3400 Rubricate in 1 click quick viewing 15 white and pink dianthouses in white boxes and white cloves (Colombia) -15 pcs. Varort-Nahema and MoonLight Greens-Fistashka Box (20 x3600 P2600 RELACK IN 1 click fast viewing 15 white and pink dioatuses in pink hate-haired and white cloves (Columbia) -15 pcs. Variety and MoonLight greens-fiber (20 x3 600 P2600 RECRIVE 1 Click Quick View Bouquet of 15 white and pink diatus and tweidiaurosis and white cloves (Colombia) -15 pcs. Varort-dianthus st nahema and dianthus st moonlight Twiziy-3250 R ordering in 1 clic and pink Diantosovroza and white cloves (Colombia) -15 pcs. Vort-dianthus st nahema and dianthus st moonlight packaging3200 p2300 Rubricate a quick viewing of the bouquet of pink diatus and alstrusterirose cloves (Columbia)- Anthus st nahema alstromeria-4 pcs. Eucalyptus-1 pc. Pack2150 Rubricate in 1 click fast viewing of a bouquet of white roses and diantus carnation (Colombia) -4 pcs. variety-dianthus st nahema rose-5 pcs. Greens-Evvkalipt packaging-f2250 Rubricate in 1 click in the catalogbooks in boxes fast viewing Hater box of 7 pink peon stages: peonies of the Sarah Bernhard-7 box (18 x 24 cm) bouquet height 28 cm. 1 click fast viewing 29 white and pink roses in the hat-cutting-29 roses of the verta naomi and aqua box (225 x 29 cm) bouquet height 45 cm. Ribbon-ATPLASHIENCE .. 3650 REMOVE 1 click quick viewing of the box of 9 pink peonies with rafellosostav-pioneer sarah bernhard-9 varieties Raffallo 240 gr. Box (20x26x20 cm.) The height of the bouquet 30 cm ... 4290 READ in 1 click quick viewing of 25 white roses and Raffello in the blue box-machine-25 roses of the veteh of Raffallo 240 g. Box (20x26x20 cm.) The height of the bouquet 30 cm ... 5700 p3850 Rubricate in 1 click fast viewing Hat box of 7 pink peonies: peonies of the sarah bernhard-7 box (18 x 24 cm) bouquet height 28 cm. Tape Atlase .. 2990 REMART 1 Click quick viewing of the box of 5 rainbow chrysanthematum-artisanthemum bush 5 box (18 x 24 cm.) The height of the bouquet is 28 cm. ..1990 REMACTION OF 1 click RAM Red Roses in the Hat Corobscolism-29 roses Red Naomi Box (225 x 29 cm) Bukete height 45 cm. Ribbon-Atlas ... 3250 RECRIVE 1 click quick viewing of 5 white chrysanthemums In pink happed gearboxes, a bush-5 box (18 x 24 cm), the bouquet height is 28 cm. Autlas ribbon ... 1790 Red to order 1 click in a 100% guarantee of the quality of the goods. We deliver only fresh flowers on time if you did not like the bouquet change it to a new one within 48 hours* Free postcard in a bouquet with text or your name photo or video at the time of presenting bouquets as a photograph of 600pcs more than 600pcs. Delivery of Incognito SMS notification about delivery of the bouquet to give and It is always nice to get bouquets, and if delivery is organized to the house, then this is doubly fine. The pluses of such a service: to pick up a flower masterpiece, you do not need to leave the house or office. You do not need to wake up early in the morning or run in late at night to go out into the frost of heavy rain or heat behind flowers. You need to move around the city on the road and idle in traffic jams. Do not worry about the preservation of the composition. All these troubles will take over the courier and you can only get gratitude for a pleasant surprise. Nash the courier will equally quickly bring the bouquet as early awakening at 7 a.m. and at 12 a.m. Designers wrap flowers into special packaging protecting from external factors. The buds are preserved by fresh fragrant whole without fallen and wilted petals. To order from us, it is enough to fill out an application on the site or contact a consultant by phone. It is possible to pay in cash after receipt. We will work in St. Petersburg and the Barcelona chopper offers a luxurious floral diversity. The assortment has the freshest flowers of different types and varieties from foreign suppliers. We cooperate with companies from Ecuador Holland Israel. Carefully select each flower with meticulously examine the stems and leaves. Only selected plants fall into the assortment. Competent and creative florists work in our team. Complete the flower ensembles corresponding to different events: the birthday of the wedding triumph of the landmark dates of a thematic or official holiday. The company's specialists regularly improve floristic skills of floristic skills, and introduce them to the composition. The reviews of customers were ordered a large box with gypsophila quickly and quickly. The flowers look good as in the photo that they sent before sending. Separately, it is worth noting the manager’s robot sent a photo of previously taken bouquets for example and a photo of my order. Thanks a lot. Thank you very much to the employees of Barcelona - clearly quickly with complete compliance with the agreements, the bouquet ordered we ordered and timely prepared! And this despite the workload and excitement on the eve of March 8! And the freshest tulips :))) 10.09.2022 A beautiful bouquet of 15 rainbow gypsophiles. Many thanks to the salon for the timely delivery! Very beautiful flowers. The bouquet is very huge. The daughter was delighted about this and dreamed! Thanks to the salon for the chic bouquet of flowers for discharge from the maternity hospital with her son !!! The flowers are very beautiful and stood in a vase delighting the eye !!! I am very pleased !!! We will order only you now !!! Unfortunately, the review is negative. I ordered a bouquet of peonies while in another city. They wrapped in craft with bicycles. There was no other to the request for a request to change the wrapper and was generally sent by courier ... Probably I just have no taste ... I made an order in the company "Barcelona" for my girlfriend. I would like to express my gratitude to the company. A friend was delighted. It is nice when everything from the first call to the store to the presentation of the bouquet by courier is respect for the organization. A friend liked the punctuality and politeness of the courier, a modern thought -out packaging surprised the roses that became better every day. My friend liked the gift and I, as employees of the store, did their job. I am excellent in prize for all the holidays only here. Bouquets are always freshlyKistanota in time. Thanks to the best flowers store in the metro district of Alexander Nevsky (was in many). He was surprised by the freshness of flowers and the level of service. Extremely tactful seller! Flowers are already the third day and a hint of drying has been using the services of this company that was not just once. Flowers are always fresh cultural couriers delivery at the appointed time. Thank you for peonies! This is not the first time I have been taking these flowers in this place. Always fresh and beautiful. Sellers are responsive and pleasant. I will contact more than once. Order the all-lasting beautiful bouquet of flowers 01/01/2019 .. Read details on March 8 to colleagues 04/01/2019 .. Read more on the girl Happy 01/04/2019 .. Read detail to manage the Barcelonavash E-Mail Club Subscrib STO networks: On a caste of the color appliances Kontaktattovka and Payment of the Paratous Articles of the frequent questions, the address address: Tellyzhnaya St. 37 lit. U Opening hours: from 9:00 to 21:00 +7 (921) 904-60-65 order the calls to the payment: development of the site Rozavetrov × Composition: Description: Select the size of the length (cm): 50607090 Sciences: READDING ONE CLASED WITH CLACK? social. networks: 100% guarantee of the quality of goods. We deliver only fresh flowers on time if you did not like the bouquet change it to a new one within 48 hours* Free postcard in a bouquet with text or your name photo or video at the time of presenting bouquets as a photograph of 600pcs more than 600pcs. Delivery of bouquets of incognito SMS notification about the delivery of the bouquet to load still load</v>
      </c>
    </row>
    <row r="288">
      <c r="A288" s="1" t="s">
        <v>883</v>
      </c>
      <c r="B288" s="1" t="s">
        <v>925</v>
      </c>
      <c r="C288" s="1" t="s">
        <v>926</v>
      </c>
      <c r="D288" s="1">
        <v>12.0</v>
      </c>
      <c r="E288" s="4" t="s">
        <v>927</v>
      </c>
      <c r="F288" s="1" t="s">
        <v>16</v>
      </c>
      <c r="G288" s="1" t="s">
        <v>928</v>
      </c>
      <c r="H288" s="4" t="s">
        <v>929</v>
      </c>
      <c r="I288" s="2">
        <v>1.0</v>
      </c>
      <c r="J288" s="5" t="str">
        <f>IFERROR(__xludf.DUMMYFUNCTION("GOOGLETRANSLATE(A288)"),"Gypsophyla")</f>
        <v>Gypsophyla</v>
      </c>
      <c r="K288" s="6" t="str">
        <f>IFERROR(__xludf.DUMMYFUNCTION("GOOGLETRANSLATE(B288)"),"Buy a bouquet of gypsophila with delivery by St.")</f>
        <v>Buy a bouquet of gypsophila with delivery by St.</v>
      </c>
      <c r="L288" s="5" t="str">
        <f>IFERROR(__xludf.DUMMYFUNCTION("GOOGLETRANSLATE(C288)"),"Buy a bouquet of gypsophiles in the Flower online store ""Tsvetovik"". Original bouquets of gyprofila with delivery in St. Petersburg. Quality assurance.")</f>
        <v>Buy a bouquet of gypsophiles in the Flower online store "Tsvetovik". Original bouquets of gyprofila with delivery in St. Petersburg. Quality assurance.</v>
      </c>
      <c r="M288" s="5" t="str">
        <f>IFERROR(__xludf.DUMMYFUNCTION("GOOGLETRANSLATE(G288)"),"Flower delivery in St. Petersburg Buy inexpensively to order from color-vyksanksancsankest-store-Bank shopping card of the post-postcard+7 (812) 7779204vsa flowering vehicle bouquets of a dump truck floristic and sadbonuses with purchasescore customer-bui"&amp;"lding-post-posts Address Resisty Reverse Speed ​​References References And shops ← back to catalogbooks made of rosrosis, swing rosypionivid roses ← Back to catalogamalstromeririopriyel (dianthus ) Herbersycintyycypsofilaphylagiolsyolishyliasilylylyliamat"&amp;"e -alpyolapionylapioneshimashimashimashimashimschimashimshomaskhomaskhomashocykhirizanthemenanthemoma (lisianthus) tulip an assortment ← Back to catalogs of flower compliment to the boxes in the boxes ← Back to catalogs Skniki ← Back to catalogbooks Bride"&amp;" -devastic decoration decor ← Back to catalogs for flowering agents and fertilizer -it -art flowers and cascess plants for interiors in 60 minutes of the novelty of the novelty More bunches Heath+7 (812) 7779204 Extract me TELGRAMVIBERWHATSAPACAPCASINA0 A"&amp;"ction Premium -Author -Authorized Flourist Flouristics of the next 60 minutes The best prices for suburban cards in the suburban, Storeship 4.8 (66 1 assessment) Bonuses 206 Express of 5 white oriental lilies4120 ₽ Cup4.8 (808 assessments) Bonuses 88 Bouq"&amp;"uet Express of 5 pink roses Ecuador 40-50 cm1755 ₽ Papus4.9 (590 assessments) Bonuses 67Buket Express of 7 irises1337 ₽ Phuke4.5 (358 assessments) Bonuses 101 Bouquet Express of 9 bush chrysanthemums Santini MIX2013 ₽4.9 (481 ratings) Bonuses 104 Bonus ex"&amp;"presses of 9 alstrumeria MIX2068 ₽ Cup4.5 (520 assessments) Bonuses 102 Express of 5 gypsophile mix2030 ₽ Piped4.7 (341 ratings) Bonuses 116 Bouquet Express of 5 pink Eusta2305 ₽mpature4.4 (192 estimates) Bonuses 115 Bottoux Express of 15 raspberry roses "&amp;"35-40 cm (Kenya) 2294 ₽ Pipukati with irises -17% 4.8 (331 ratings) Bonuses 171e-20% on promotional codes IR20 BUTTER of 25 blue irises in stylish packaging4070 ₽3416 ₽ Cup-19% 5.0 (456 assessments) Bonuses 224e-20% on promotional codes 35 blue irises in "&amp;"stylish packaging5490 ₽4477 ₽) ₽5.0 (666 estimates) Bonuses 79-20% on promotional codes IR20 BUTTER of 9 irises in design packaging1573 ₽ Cup4.8 (611 assessments) Bonuses of 97-20% Bonas 11 irises in design packaging1925 ₽5.0 (987 assessments) Bonuses 302"&amp;"-20% on promotional codes IR20 Book of 51 blue iris in stylish packaging6034 ₽4.8 (399 assessments) Bonuses 139-20% of the promotional coding of 19 blue irises in packaging2767 ₽ Cup51 Rose by supercenae! -48% 5.0 (304 estimates) Bonuses 192 Book of 51 pi"&amp;"nk and white roses 40 cm (Russia) under the tape7360 ₽3839 ₽ cap-35% No assessments of 275 bouquets of 51 rose rose 50-60 cm (Russia) for tape8360 ₽ 5489 ₽ Pip-48% No Oblings of 192 Book of 51 rose rose 40 cm (Russia) under the tape 7360 ₽3839 ₽-35% No as"&amp;"sessment % 5.0 (385 assessments) Bonuses 192 Bouquet of 51 roses 40 cm (Russia) in pastel colors under the tape7360 ₽3839 ₽ Cup-48% No grades of 192 Buket of 51 white and pink rose 40 cm (Russia) under the tape7360 ₽3839 ₽ accomplish4.6 (607 assessments) "&amp;"Bonuses 192 Bouquet of 51 orange rose 40 cm (Russia) under the atlasial tape3839 ₽ Pipuettes with tulips 4.6 (136 assessments) Bonuses 86 Tulips Standard in stylish packaging1711 ₽ Paporpat 149 Bonuses of 25 tulips Standard MIX under the tape2965 ₽ PPU4.2"&amp;" (162 ratings) Bonuses 103Buket of 11 tulips standard MIX in stylish packaging 2057 ₽ capture-47%4.9 (921 ratings) Bonuses 89 Books Flowers Mom 3320 ₽1764 ₽ Cup4.7 (586 grades) Bonuses 104 Bonuses of 15 out of 15 Tulpanov Standard Mix under the tape2074 ₽"&amp;"-₽-42%4.5 (926 assessments) Bonuses 140 Books of Flower invisible communication4740 ₽2786 ₽) Bonuses 70 Boaches of colors Native Hands1400 ₽ Cup 101 Rose on supercen! -34% there is no grade of 101 white and pink rose 40 cm (Russia) under the tape9950 ₽658"&amp;"9 ₽ cap-34% No estates 330 bouquet of 101 white roses (Russia) for tape9959 ₽ ₽ ₽ 34% 4.8 (753 estimates) Bonuses 330 Book of 101 Rosa Tender Mix 40 cm (Russia) Under the tape9950 ₽6589 ₽, 34% No Oblukinus 330 bouquet of 101 roses 40 cm (Russia) in pastel"&amp;" colors under the tape9950 ₽6589 ₽ butt-34% 5.0 (331 ratings) bonuses bonuses 330-boiler of 101 pink roses 40 cm (Russia) under the tape9950 ₽6589 ₽ cap-34% No assessment 330 bouquet of 101 roses 40 cm (Russia) with a red rose in the center9950 ₽6589 ₽ Co"&amp;"mpompatting the best price! 4.7 (607 assessments) Bonuses 90 Book flowers are fragile1796 ₽ip4.6 (739 assessments) Bonuses 88 Book flowers Small happiness 1755 ₽4.7 (834 grades) Bonuses 114 Books of 15 red and pink roses MIX 35-40 cm (Kenya) in stylish pa"&amp;"ckaging227777 ₽ Phoospap4.9 (628 assessments) Bonuses 117Buket flowers exciting moment2332 ₽ PhUPP4.9 (656 assessments) Bonuses 310 Book flowers shine 3267 ₽4.9 (567 assessments) Bonuses 87Bukets of 5 Herber Standard Mix in stylish packaging with green173"&amp;"3 ₽. 9 (443 оценки)Бонусы 106Букет из сухоцветов Пурпурный жемчуг2112 ₽КУПИТЬ5.0 (568 оценок)Бонусы 235Букет цветов Неожиданный комплиментот 3042 ₽КУПИТЬБукеты с гортензиями 5.0 (126 оценок)Бонусы 120Букет цветов Гармония2387 ₽КУПИТЬ4.8 (162 оценки)Бонусы"&amp;" 152Букет цветов Легкий charm3025 ₽ipip4.8 (152 grades) bonuses 96 bouquet of flowers Sensitive view1920 ₽) Cup4.9 (136 assessments) Bonuses 228 Book flowers innocent smile4560 ₽) Bonuses 103 Books Tender Trouble 2057 ₽ Bonus 80bukete Your embrace flowers"&amp;"1595 ₽ Pipap4.9 (196 assessments) Bonuses 75 Book flowers pearls of the sea1485 ₽) Bonuses 172 Books of flowers sincere feelings 3421 ₽ Premium rose 4.7 (652 ratings) Bonuses wise words2259 ₽ button. %4.8 (808 assessments) Bonuses 72 Books of flowers dear"&amp;" mother2250 ₽1436 ₽) Bonuses 212 Books of 9 pink roses Ecuador 50-60 cm in stylish packaging4235 ₽ button 4.5 (1002 grades) Bonuses of 7 red roses Ecuador 50- 60 cm in stylish packaging2921 ₽) ₽5.0 (648 assessments) Bonuses 163Buket of 9 red roses Premium"&amp;" 40-50 cm (Ecuador) in stylish packaging3256 ₽ Pip-33%4.9 (926 assessments) Bonuses 178 Books of Flowers new life5270 ₽3542 ₽ 4. 9 (923 grades) Bonuses 244 Bouquet of 11 white roses Ecuador 50-60 cm in stylish packaging4873 ₽ Capacheater bouquets 4.6 (136"&amp;" grades) Bonuses 686 Book flowers are impeccable smile13712 ₽ Cup4.8 (136 assessments) Bonuses 858Buket of flowers are alluring beauty17149 ₽ Kapyup4.3 142 estimates) Bonuses 848Buket flowers moral view16951 ₽) ₽4.4 (135 assessments) Bonuses 770 Book flow"&amp;"ers Sensual soul15395 ₽ Cup4.7 (163 grades) Bonuses 818 Book flowers unforgettable laughter16346 ₽ Kapyp) 5 ₽ 4.8 (528 assessments) Bonuses 232 Flowers Golden Luchyot 3388 ₽ 5.0 (355 assessments) Bonuses 240 Book flowers Autumn whisper4791 ₽5.0 (424 grade"&amp;"s) Bonuses 164 Bouquet flowers curiosity 1991 ₽ 352 Bonuses 352 Bonuses Renaissance 4598 ₽clubs 4.9 (688 assessments) Bonuses 183Buket flowers Illusion 2376 ₽ Compatting no estates 125 Book flowers Autumn Walk2481 ₽ Cup4.9 (514 assessments) Bonuses 112 Bo"&amp;"nuses of 7 gerberes standard MIX in stylish packaging with greens2222 ₽) 94 Bouquet of 9 bush roses Bright mix 40 cm (Kenya) in stylish packaging1865 ₽ Pipuettes from a garden bush rose 4.5 (930 assessments) Bonuses 180 Buket flowers delicate shelestot 35"&amp;"92 ₽ Cup4.7 (652 grades) Bonuses 217 Bonuses Tender Message4334 ₽4.8 ( 1000 assessments) Bonuses Tenderness 3542 ₽ipip4.7 (875 assessments) Bonuses 128Buket flowers Flower Flirtot 2558 ₽ Pipocials of colors 4.7 (428 assessments) Bonuses 251 Cores of flowe"&amp;"rs Colorful Gift5016 ₽ Cup4.8 (362 ratings) Bonuses 458 cord of flowers from 19 garden roses with pistachi9152 ₽ Cupmpolitan 4. 5 ( 538 оценок)Бонусы 2265Корзина цветов из 101 красной розы (Эквадор)45287 ₽КУПИТЬ5.0 (444 оценки)Бонусы 159Корзина цветов Лес"&amp;"ной воздух3179 ₽КУПИТЬ5.0 (661 оценка)Бонусы 533Корзина цветов Милашка10659 ₽КУПИТЬ4.7 (394 оценки)Бонусы 472Корзина цветов Of the 25 red Premium roses 40 cm (Ecuador) with greens9438 ₽) ₽4.7 (704 grades) Bonuses 642 Coresin flowers Flower meadow12826 ₽ C"&amp;"up4.7 (676 assessments) Bonuses 260 Corzin flowers Snow Whip5192 ₽ Cupitztes in hats 4.6 (619 RIGS 297Buket in hat box of 25 white Premium roses 40 cm (Ecuador) 5929 ₽4.8 (610 assessments) bonuses 1080 bouquet in the hat box Oasis21582 ₽ Cup5.0 (563 grade"&amp;"s) bonuses 325 bouquet in the peonies of life6490 ₽ Phukewarp5.0 (399 assessments) Bonuses 406 Buket in a hat box manifestation of feelings8107 ₽) ₽4.8 (660 estimates) Bonuses 274 Book in a hat box from mini gerber and cloves 4202 ₽) Bonuses 581Buket in t"&amp;"he hat pearl light 19 ) Bonuses 323 Price in the box invitation 6457 ₽ 23%5.0 (484 ratings) Bonuses 772 Buket in a hat gust of love19910 ₽15439 ₽ Papatules from lisianthus 4.7 (377 estimates) Bonuses of 7 white east in stylish packaging3025 ₽ 19%4. 9 ( 65"&amp;"6 assessments) Bonuses 158 Book of flowers Material -2%4.7 (342 estimates) Bonuses 116 Bouquet of 5 pink east in stylish packaging2340 ₽2305 ₽ Compato -13%4.8 (698 assessments) Bonuses 230 Books of 11 White Eusta in stylish packaging5270 ₽4587 ₽ Cap bicut"&amp;"s with Kenyan rose -14%4.7 ( 763 estimates) Bonuses 168 Book of 25 red and pink roses mix 35-40 cm (Kenya) in stylish packaging ₽3432 ₽ Cup5.0 (961 rating) Bonuses 66 Book of 7 White Roses 35-40 cm (Kenya) in stylish packaging1320 ₽4.7 (599 assessments) B"&amp;"onuses 405 Books of 35 red roses 35-40 cm (Kenya) in stylish packaging6740 ₽clubs 4.5 (785 assessments) Bonuses 64 Book flowers heat1278 ₽-lake-25%4.8 (746 assessments) Bonuses 114 Books of 15 red and white roses mix 35-40 cm (Kenya) in stylish packaging3"&amp;"020 ₽2277 ₽ Capubolets no estate 233 bouquet Of the 25 alstrumeria, delicate mix in design packaging4648 ₽up4.7 (484 grades) Bonuses 97 Book flowers vulnerable shower1935 ₽) Bonuses 119 Bonuses of 11 Alstrumeria Delicate Mix in packaging2365 ₽ buttons) Bo"&amp;"nuses 167 Bonuses of 15 of 15 Alstrumeria Tender mix in designer packaging packaging1370 ₽ Cup no vehicles 208 bouquet of 19 red alstrients in stylish packaging4147 ₽ Pipuettes of Russian rose 4.7 (634 grades) Bonuses 150 Books of 11 red roses (Russia) in"&amp;" design packaging2981 ₽ buttons) Bonuses 150 bonuses from 15 cream roses 50-60 cm (Russia) for satin tape2998 ₽, 48% No estates 192 bouquet of 51 white and yellow rose 40 cm (Russia) under the tape 7360 ₽3839 ₽ butter (974 grades) bonuses 192 bonuses of 5"&amp;"1 rose are light MIX 40 cm (Russia) under the satin ribbon 3839 ₽ 22%4.7 (629 assessments) Bonuses 297 Bouquet of 51 roses Bright mix 40 cm (Russia) in stylish packaging 7550 ₽5929 ₽ butpapop-25%4.9 (867 assessments) Bonuses 384 Bonuses of 51 Red rose 50-"&amp;"60 cm (Russia) in stylish matte packaging10150 ₽7667 ₽-19%4.5 (988 assessments) Bonuses 731Buket of 101 roses Bright mix 60-70 cm (Russia) under the tape17990 ₽14608 ₽) ) Bonuses 200 boat of 25 cream rose 50-60 cm (Russia) 3988 ₽ Pipettes of Matthiola 4.9"&amp;" (590 assessments) bonuses 107 bouquet of 7 mattiols Tender mix in design packaging2123 ₽ Cup5.0 (601 rating) Bonuses 219 Bonuses of Flower Flows of summer4378 ₽. 0 (340 assessments) Bonuses 233Buket of 19 mattio mix in stylish packaging4642 ₽ Cup4.9 (322"&amp;" grades) Bonuses 160 Book flowers aroma of summer3196 ₽4.6 (393 grades) Bonuses 313 Books of 25 mattiols in stylish packaging6243 ₽5.0 (746 оценок)Бонусы 130Букет цветов Летняя сказка2591 ₽КУПИТЬ4.6 (337 оценок)Бонусы 600Букет из 51 маттиолы микс в стильн"&amp;"ой упаковке11985 ₽КУПИТЬ5.0 (340 оценок)Бонусы 187Букет цветов Летний дождь3735 ₽КУПИТЬБукеты из кустовой розы -11%5.0 (710 оценок) Bonuses 897 Book of 51 high bush rose (Kenya) 60-70 cm Tender Mix in stylish packaging 20110 ₽17925 ₽ Cup-16%4.9 (834 grade"&amp;"s) Bonuses 232 Books of 15 high bush roses (Kenya) 60-70 cm in stylish packaging5490 ₽4622 ₽) Bonuses 217 bonuses of 11 high bush roses (Kenya) 60-70 cm in stylish packaging4334 ₽-4%5.0 (883 grades) Bonuses 458 bouquet of 25 high bush roses (Kenya) 60-70 "&amp;"cm Telge Mix in stylish packaging9470 ₽9158 ₽, 5%4.6 (647 assessments) Bonuses 458 Book of 25 high bush roses (Kenya) 60-70 cm in stylish packaging9580 ₽9158 ₽ Cup no assessment 261 bouquets of 15 high bush roses (Kenya) 60- 60 70 cm Tender mix under tape"&amp;"5209 ₽) Bonuses 715 Books of 35 high bush roses (Kenya) 60-70 cm in stylish packaging14289 ₽) Bonuses 179 Blucket of 9 high bush roses (Kenya) 60 -70 cm Delicate mix in stylish packaging ₽3245 ₽ Cup4.6 (692 estimates) Bonuses 306 Bouquet of 7 raspberry or"&amp;"iental lilies in packaging6116 ₽ Cup4.5 (424 grades) Bonuses 306 Books of 7 white oriental lilies in packaging6116 ₽ Cup-8%4.9 (473 grades) Bonuses 85 Bonuses of 3 of 3 Asian lilies in designer packaging1830 ₽1694 ₽ Cup4.6 (747 assessments) Bonuses 140 Bo"&amp;"uquet of 3 white oriental lilies in packaging2783 ₽ Piplucets with dianthus 4.5 (413 estimates) Bonuses of 51 pink and white cloves in the stylish packaging8250 ₽ 4. 5 (454 estimates) bonuses of 190 boat of 25 white cloves with greens in stylish packaging"&amp;"3795 ₽ Accompanying from tomorrow's 161 bouquet of diopaz diopaz3201 ₽ button 4.8 (739 assessments) bonuses of 15 white cloves in stylish packaging with greens3256 ₽ 27%4.7 (342 grades) (342 grades) (342 grades) Bonuses 230 Book of 35 Dianthus (carnation)"&amp;" Bright mix in designer packaging6270 ₽4598 ₽ cap-5%4.7 (734 grades) Bonuses 314 Bouquet of 51 diatus (cloves) Delicate mix in design packaging6570 ₽6265 ₽-40%4.7 (719 Objects) (719) Bonuses 103Buket of 15 diants (cloves) mix in stylish packaging with gre"&amp;"ens222 ₽ button4.9 (714 assessments) Bonuses 583Buket of 49 gerber Standard Mix in stylish packaging11655 ₽) Bonuses 145 bonuses of 15 Minber Mix in stylish packaging2899 ₽) Bonuses 291 Bonuses of 35 from 35 mini gerber mix in stylish packaging5819 ₽-19%4"&amp;".8 (527 assessments) Bonuses 313Buket of 25 gerber Standard MIX in stylish packaging7680 ₽6243 ₽) Bonuses 381 BUTUS of 51 Herber Mix in stylish packaging7607 ₽4.8 (714 assessments) Bonuses 175 Buket of 11 gerber Standard Mix in stylish packaging with herb"&amp;"s 3498 ₽ Cup of armfuls of flowers -2%4.5 (950 assessments) Bonuses 1725 Book of 101 White Rose Premium 60-70 cm (Ecuador) in delicate packaging 350303 ₽34485 ₽ Compat 24%4. 26%4.8 (368 assessments) Bonuses 779 Bouquet of 101 bright alstromeria mix in sty"&amp;"lish packaging 20790 ₽155579 ₽ capture-27%4.8 (717 estimates) Bonuses of 508, 20%of the promotional codes of IR20 BUTTER of 101 blue iris in stylish packaging13890 ₽10153 ₽ Kapapyapopi no · Kapapupa Kapapupa Kapapupa Kapupapupa Kapapupa Kapapupa Kapapupa "&amp;"Kapapupa Kapapupa Kapapupa Kapupapupa Kapupapupa Kapupapupa Kapupapupa Kapupapupa Kapupapupa Kapapupa Kapupapupa Kapupapupa Kapapupa Kapapupa Kapapupa Kapupapupa Kapapupa Kapapupa Kapapupa Kapapyapopyapopyapopapup. Nusy 1719 Bouquet of 101 High Rose Mix 7"&amp;"0 cm (Kenya) in packaging Bonuses 2108 Book of 101 Red Premium Rosa 70-80 cm (Ecuador) in packaging42152 ₽ Papubber compositions 4.9 (496 assessments) Bonuses 221 cash in velvety ringing4417 ₽ Fucked up from 01/11/2024 Bronuses 370 Centers in a wooden box"&amp;", Delo ₽ Cup no estates of 139 centers in the pots joy Meetings2761 ₽ Cup4.5 (426 assessments) Bonuses 436 Price in a wooden box Chocolate sugar8712 ₽ Cup4.8 (716 estimates) Bonuses 512 centers in a wooden box Summer stream10230 ₽ Papulp. Buy4.8 (645 asse"&amp;"ssments) Bonuses 136 Cashpers in the Kaprihi2706 Kashpo2706 ₽ No estimates of 119 centers on the Kashpo bright day2365 ₽ Caption and news 84 -pionoid roses: description and best varieties - incredibly beautiful flowers of elegance of which were always app"&amp;"reciated. People have always attached great meaning to them. Throughout history, new amazing varieties of these colors were created and displayed. The ancient varieties that were a special type of decorative rosehip were known in Europe of the fifteenth c"&amp;"entury. The article describes the best types of pionoid roses. On October 30, 2023, autumn flowers bloom - the time not only of beautiful landscapes but also beautiful flowers showing all their beauty during this period. Their delicate charm helps to over"&amp;"come the spleen and bad mood in such a rainy and cloudy season. The article contains the most striking and unusual plants of whose flowering period continues until late autumn. October 30, 2023, to root a rose from bouquet bouquets of roses always delight"&amp;" their owners with delicate beauty and sophisticated grace. Unfortunately, they give their charm not so long and after several days they begin to fade. However, you can give a second life beloved roses and revive their former charm. It will be possible to"&amp;" do this by resorting to rooting a rose. This process is laborious and difficult, however, often gives an excellent result. The article contains information on how to root a rose from the bouquet. On October 30, 2023, to give flowers on the day after Sund"&amp;"ay November is a special day since on this November day everyone congratulates the closest and beloved people in their lives - their mothers. Each person wants to please his own mother to surround her with attention with care and trepidation, just as she "&amp;"surrounds him all his life. A good option for mothers for mothers can be elegant and delicate bouquets. The article tells what flowers to give mom for mother's day. October 26, 2023 yellow flowers: whether it is worth believed by the sign of history peopl"&amp;"e fixed a certain value not only for each flower but also behind its shade. Among them were colors with rather conflicting symbols. These include yellow. On the one hand, this shade is the energy of the sun joy. On the other hand, today bouquets made up o"&amp;"f sunny colors are associated with a change in the quarrel of separation. The article tells what the yellow color of the flowers means to what they are given. On October 23, 2023 How much roses give a girl and a man of different cultures the number of col"&amp;"ors in the bouquet matters for both the gifts and the recipient. For this reason, when choosing a composition, you need to pay attention not only to freshness the color and type of buds, but also to their number. The article contains information about how"&amp;" many roses can be given to a woman and a man in what cases bouquets with a certain number of colors are presented. October 23, 2023 Tseshevo with delivery by St. Petersburg Capcess-a welcome and beloved gift. They delight the eye cause pleasant associati"&amp;"ons with the spring of nature with warm feelings. And flowers can say: each plant has its own meaning carries a certain message, especially with the right combination. On the Flower Flood website you can order original bouquets and compositions compiled b"&amp;"y talented florists. Flower delivery in St. Petersburg is carried out at the client’s address or at a pickup point. We also perform the design of the halls using flowers we offer a large selection of additional products: soft toys of balls with gel basket"&amp;"s with fruit of sweets with delivery. Why color -effective bouquets for any holiday or event. We offer original copyright compositions compiled in different styles for different holidays: a wedding of the anniversary birthday, etc. You can choose a beauti"&amp;"ful bouquet with delivery without waiting for a certain date and to please your loved one to tell him about his feelings. Always fresh flowers in a large assortment . In our catalog, more than half a million flowers are represented: strict roses delicate "&amp;"lilies fragrant peonies and many other species. There are also potted plants: orchids of the Senpolia of the anthurium and so on. Each buyer will be able to choose flowers in our catalog for his addressee. Operational delivery. In the city, it is carried "&amp;"out from 1 hour by the suburbs - from 3 hours after ordering and payment. Our couriers differ in punctuality, which means that the addressee will receive flowers exactly at the indicated time. High prices all year round. We try to make copyright compositi"&amp;"ons and bouquets of flowers available, therefore, we maintain the cost at an acceptable level for customers all year. The store regularly operates promotions and discounts, including for regular customers. Having become our client, you no longer have to t"&amp;"hink where to buy a beautiful fresh bouquet before the next holiday. Cut the bouquet on our website and order flowers through the site or by contact phone. The Colsonel store works for you around the clock and seven days a week. Every year around the cloc"&amp;"k+7 (812) 77792044 Form of feedback to all issues [email Protected] Formation Feedback and Discounts of the Contact -Client of the Class Political Policy Police of the Returner of the Returned Police of the Property Committee Shiza Colorbow 2023 © Florovi"&amp;"kws Rights Protected Command Offic Card Cavigate Site your Gorodsankt -Petersburgmoskvapovapskov Krasnosann order the reverse call name *Your phone *Commentary the error when sending a request. Please check the correctness of the filling of the form and t"&amp;"ry again. Order the call -down button ""Order a call"" you agree with the conditions of processing personnel data and a public certificate. Thank you for your request! We will contact you in the near future. Make your review of the file *download the vide"&amp;"o or audio file (up to 50MB) with your review. You name *Your phone *your phone *A mistake when sending a review. Please check the uploaded file and try again. Return the review of the ""Send Review"" button you agree with the conditions of processing per"&amp;"sonnel data and a public office. Thank you for your feedback! Leave your review of the name *Your phone *Your email *Write text review and/or attach video file file : Your review of the file loading the video or photo (up to 50MB) with your review. A mist"&amp;"ake was made when sending a review. Please check and try again. Return the review of the “Send Review” button you agree with the conditions of processing personnel data and a public office. Thank you for your review! Remember the wishes or you need to sol"&amp;"ve the problem Draw a photo or short video if necessary. You can attach up to 5 files. A mistake was made when sending feedback. Please check the correctness of filling out the form of the size of uploaded files and try again. To amend the “Send” button, "&amp;"you agree with the conditions of processing data -to -hand data and a public office. Thank you for your feedback!")</f>
        <v>Flower delivery in St. Petersburg Buy inexpensively to order from color-vyksanksancsankest-store-Bank shopping card of the post-postcard+7 (812) 7779204vsa flowering vehicle bouquets of a dump truck floristic and sadbonuses with purchasescore customer-building-post-posts Address Resisty Reverse Speed ​​References References And shops ← back to catalogbooks made of rosrosis, swing rosypionivid roses ← Back to catalogamalstromeririopriyel (dianthus ) Herbersycintyycypsofilaphylagiolsyolishyliasilylylyliamate -alpyolapionylapioneshimashimashimashimashimschimashimshomaskhomaskhomashocykhirizanthemenanthemoma (lisianthus) tulip an assortment ← Back to catalogs of flower compliment to the boxes in the boxes ← Back to catalogs Skniki ← Back to catalogbooks Bride -devastic decoration decor ← Back to catalogs for flowering agents and fertilizer -it -art flowers and cascess plants for interiors in 60 minutes of the novelty of the novelty More bunches Heath+7 (812) 7779204 Extract me TELGRAMVIBERWHATSAPACAPCASINA0 Action Premium -Author -Authorized Flourist Flouristics of the next 60 minutes The best prices for suburban cards in the suburban, Storeship 4.8 (66 1 assessment) Bonuses 206 Express of 5 white oriental lilies4120 ₽ Cup4.8 (808 assessments) Bonuses 88 Bouquet Express of 5 pink roses Ecuador 40-50 cm1755 ₽ Papus4.9 (590 assessments) Bonuses 67Buket Express of 7 irises1337 ₽ Phuke4.5 (358 assessments) Bonuses 101 Bouquet Express of 9 bush chrysanthemums Santini MIX2013 ₽4.9 (481 ratings) Bonuses 104 Bonus expresses of 9 alstrumeria MIX2068 ₽ Cup4.5 (520 assessments) Bonuses 102 Express of 5 gypsophile mix2030 ₽ Piped4.7 (341 ratings) Bonuses 116 Bouquet Express of 5 pink Eusta2305 ₽mpature4.4 (192 estimates) Bonuses 115 Bottoux Express of 15 raspberry roses 35-40 cm (Kenya) 2294 ₽ Pipukati with irises -17% 4.8 (331 ratings) Bonuses 171e-20% on promotional codes IR20 BUTTER of 25 blue irises in stylish packaging4070 ₽3416 ₽ Cup-19% 5.0 (456 assessments) Bonuses 224e-20% on promotional codes 35 blue irises in stylish packaging5490 ₽4477 ₽) ₽5.0 (666 estimates) Bonuses 79-20% on promotional codes IR20 BUTTER of 9 irises in design packaging1573 ₽ Cup4.8 (611 assessments) Bonuses of 97-20% Bonas 11 irises in design packaging1925 ₽5.0 (987 assessments) Bonuses 302-20% on promotional codes IR20 Book of 51 blue iris in stylish packaging6034 ₽4.8 (399 assessments) Bonuses 139-20% of the promotional coding of 19 blue irises in packaging2767 ₽ Cup51 Rose by supercenae! -48% 5.0 (304 estimates) Bonuses 192 Book of 51 pink and white roses 40 cm (Russia) under the tape7360 ₽3839 ₽ cap-35% No assessments of 275 bouquets of 51 rose rose 50-60 cm (Russia) for tape8360 ₽ 5489 ₽ Pip-48% No Oblings of 192 Book of 51 rose rose 40 cm (Russia) under the tape 7360 ₽3839 ₽-35% No assessment % 5.0 (385 assessments) Bonuses 192 Bouquet of 51 roses 40 cm (Russia) in pastel colors under the tape7360 ₽3839 ₽ Cup-48% No grades of 192 Buket of 51 white and pink rose 40 cm (Russia) under the tape7360 ₽3839 ₽ accomplish4.6 (607 assessments) Bonuses 192 Bouquet of 51 orange rose 40 cm (Russia) under the atlasial tape3839 ₽ Pipuettes with tulips 4.6 (136 assessments) Bonuses 86 Tulips Standard in stylish packaging1711 ₽ Paporpat 149 Bonuses of 25 tulips Standard MIX under the tape2965 ₽ PPU4.2 (162 ratings) Bonuses 103Buket of 11 tulips standard MIX in stylish packaging 2057 ₽ capture-47%4.9 (921 ratings) Bonuses 89 Books Flowers Mom 3320 ₽1764 ₽ Cup4.7 (586 grades) Bonuses 104 Bonuses of 15 out of 15 Tulpanov Standard Mix under the tape2074 ₽-₽-42%4.5 (926 assessments) Bonuses 140 Books of Flower invisible communication4740 ₽2786 ₽) Bonuses 70 Boaches of colors Native Hands1400 ₽ Cup 101 Rose on supercen! -34% there is no grade of 101 white and pink rose 40 cm (Russia) under the tape9950 ₽6589 ₽ cap-34% No estates 330 bouquet of 101 white roses (Russia) for tape9959 ₽ ₽ ₽ 34% 4.8 (753 estimates) Bonuses 330 Book of 101 Rosa Tender Mix 40 cm (Russia) Under the tape9950 ₽6589 ₽, 34% No Oblukinus 330 bouquet of 101 roses 40 cm (Russia) in pastel colors under the tape9950 ₽6589 ₽ butt-34% 5.0 (331 ratings) bonuses bonuses 330-boiler of 101 pink roses 40 cm (Russia) under the tape9950 ₽6589 ₽ cap-34% No assessment 330 bouquet of 101 roses 40 cm (Russia) with a red rose in the center9950 ₽6589 ₽ Compompatting the best price! 4.7 (607 assessments) Bonuses 90 Book flowers are fragile1796 ₽ip4.6 (739 assessments) Bonuses 88 Book flowers Small happiness 1755 ₽4.7 (834 grades) Bonuses 114 Books of 15 red and pink roses MIX 35-40 cm (Kenya) in stylish packaging227777 ₽ Phoospap4.9 (628 assessments) Bonuses 117Buket flowers exciting moment2332 ₽ PhUPP4.9 (656 assessments) Bonuses 310 Book flowers shine 3267 ₽4.9 (567 assessments) Bonuses 87Bukets of 5 Herber Standard Mix in stylish packaging with green1733 ₽. 9 (443 оценки)Бонусы 106Букет из сухоцветов Пурпурный жемчуг2112 ₽КУПИТЬ5.0 (568 оценок)Бонусы 235Букет цветов Неожиданный комплиментот 3042 ₽КУПИТЬБукеты с гортензиями 5.0 (126 оценок)Бонусы 120Букет цветов Гармония2387 ₽КУПИТЬ4.8 (162 оценки)Бонусы 152Букет цветов Легкий charm3025 ₽ipip4.8 (152 grades) bonuses 96 bouquet of flowers Sensitive view1920 ₽) Cup4.9 (136 assessments) Bonuses 228 Book flowers innocent smile4560 ₽) Bonuses 103 Books Tender Trouble 2057 ₽ Bonus 80bukete Your embrace flowers1595 ₽ Pipap4.9 (196 assessments) Bonuses 75 Book flowers pearls of the sea1485 ₽) Bonuses 172 Books of flowers sincere feelings 3421 ₽ Premium rose 4.7 (652 ratings) Bonuses wise words2259 ₽ button. %4.8 (808 assessments) Bonuses 72 Books of flowers dear mother2250 ₽1436 ₽) Bonuses 212 Books of 9 pink roses Ecuador 50-60 cm in stylish packaging4235 ₽ button 4.5 (1002 grades) Bonuses of 7 red roses Ecuador 50- 60 cm in stylish packaging2921 ₽) ₽5.0 (648 assessments) Bonuses 163Buket of 9 red roses Premium 40-50 cm (Ecuador) in stylish packaging3256 ₽ Pip-33%4.9 (926 assessments) Bonuses 178 Books of Flowers new life5270 ₽3542 ₽ 4. 9 (923 grades) Bonuses 244 Bouquet of 11 white roses Ecuador 50-60 cm in stylish packaging4873 ₽ Capacheater bouquets 4.6 (136 grades) Bonuses 686 Book flowers are impeccable smile13712 ₽ Cup4.8 (136 assessments) Bonuses 858Buket of flowers are alluring beauty17149 ₽ Kapyup4.3 142 estimates) Bonuses 848Buket flowers moral view16951 ₽) ₽4.4 (135 assessments) Bonuses 770 Book flowers Sensual soul15395 ₽ Cup4.7 (163 grades) Bonuses 818 Book flowers unforgettable laughter16346 ₽ Kapyp) 5 ₽ 4.8 (528 assessments) Bonuses 232 Flowers Golden Luchyot 3388 ₽ 5.0 (355 assessments) Bonuses 240 Book flowers Autumn whisper4791 ₽5.0 (424 grades) Bonuses 164 Bouquet flowers curiosity 1991 ₽ 352 Bonuses 352 Bonuses Renaissance 4598 ₽clubs 4.9 (688 assessments) Bonuses 183Buket flowers Illusion 2376 ₽ Compatting no estates 125 Book flowers Autumn Walk2481 ₽ Cup4.9 (514 assessments) Bonuses 112 Bonuses of 7 gerberes standard MIX in stylish packaging with greens2222 ₽) 94 Bouquet of 9 bush roses Bright mix 40 cm (Kenya) in stylish packaging1865 ₽ Pipuettes from a garden bush rose 4.5 (930 assessments) Bonuses 180 Buket flowers delicate shelestot 3592 ₽ Cup4.7 (652 grades) Bonuses 217 Bonuses Tender Message4334 ₽4.8 ( 1000 assessments) Bonuses Tenderness 3542 ₽ipip4.7 (875 assessments) Bonuses 128Buket flowers Flower Flirtot 2558 ₽ Pipocials of colors 4.7 (428 assessments) Bonuses 251 Cores of flowers Colorful Gift5016 ₽ Cup4.8 (362 ratings) Bonuses 458 cord of flowers from 19 garden roses with pistachi9152 ₽ Cupmpolitan 4. 5 ( 538 оценок)Бонусы 2265Корзина цветов из 101 красной розы (Эквадор)45287 ₽КУПИТЬ5.0 (444 оценки)Бонусы 159Корзина цветов Лесной воздух3179 ₽КУПИТЬ5.0 (661 оценка)Бонусы 533Корзина цветов Милашка10659 ₽КУПИТЬ4.7 (394 оценки)Бонусы 472Корзина цветов Of the 25 red Premium roses 40 cm (Ecuador) with greens9438 ₽) ₽4.7 (704 grades) Bonuses 642 Coresin flowers Flower meadow12826 ₽ Cup4.7 (676 assessments) Bonuses 260 Corzin flowers Snow Whip5192 ₽ Cupitztes in hats 4.6 (619 RIGS 297Buket in hat box of 25 white Premium roses 40 cm (Ecuador) 5929 ₽4.8 (610 assessments) bonuses 1080 bouquet in the hat box Oasis21582 ₽ Cup5.0 (563 grades) bonuses 325 bouquet in the peonies of life6490 ₽ Phukewarp5.0 (399 assessments) Bonuses 406 Buket in a hat box manifestation of feelings8107 ₽) ₽4.8 (660 estimates) Bonuses 274 Book in a hat box from mini gerber and cloves 4202 ₽) Bonuses 581Buket in the hat pearl light 19 ) Bonuses 323 Price in the box invitation 6457 ₽ 23%5.0 (484 ratings) Bonuses 772 Buket in a hat gust of love19910 ₽15439 ₽ Papatules from lisianthus 4.7 (377 estimates) Bonuses of 7 white east in stylish packaging3025 ₽ 19%4. 9 ( 656 assessments) Bonuses 158 Book of flowers Material -2%4.7 (342 estimates) Bonuses 116 Bouquet of 5 pink east in stylish packaging2340 ₽2305 ₽ Compato -13%4.8 (698 assessments) Bonuses 230 Books of 11 White Eusta in stylish packaging5270 ₽4587 ₽ Cap bicuts with Kenyan rose -14%4.7 ( 763 estimates) Bonuses 168 Book of 25 red and pink roses mix 35-40 cm (Kenya) in stylish packaging ₽3432 ₽ Cup5.0 (961 rating) Bonuses 66 Book of 7 White Roses 35-40 cm (Kenya) in stylish packaging1320 ₽4.7 (599 assessments) Bonuses 405 Books of 35 red roses 35-40 cm (Kenya) in stylish packaging6740 ₽clubs 4.5 (785 assessments) Bonuses 64 Book flowers heat1278 ₽-lake-25%4.8 (746 assessments) Bonuses 114 Books of 15 red and white roses mix 35-40 cm (Kenya) in stylish packaging3020 ₽2277 ₽ Capubolets no estate 233 bouquet Of the 25 alstrumeria, delicate mix in design packaging4648 ₽up4.7 (484 grades) Bonuses 97 Book flowers vulnerable shower1935 ₽) Bonuses 119 Bonuses of 11 Alstrumeria Delicate Mix in packaging2365 ₽ buttons) Bonuses 167 Bonuses of 15 of 15 Alstrumeria Tender mix in designer packaging packaging1370 ₽ Cup no vehicles 208 bouquet of 19 red alstrients in stylish packaging4147 ₽ Pipuettes of Russian rose 4.7 (634 grades) Bonuses 150 Books of 11 red roses (Russia) in design packaging2981 ₽ buttons) Bonuses 150 bonuses from 15 cream roses 50-60 cm (Russia) for satin tape2998 ₽, 48% No estates 192 bouquet of 51 white and yellow rose 40 cm (Russia) under the tape 7360 ₽3839 ₽ butter (974 grades) bonuses 192 bonuses of 51 rose are light MIX 40 cm (Russia) under the satin ribbon 3839 ₽ 22%4.7 (629 assessments) Bonuses 297 Bouquet of 51 roses Bright mix 40 cm (Russia) in stylish packaging 7550 ₽5929 ₽ butpapop-25%4.9 (867 assessments) Bonuses 384 Bonuses of 51 Red rose 50-60 cm (Russia) in stylish matte packaging10150 ₽7667 ₽-19%4.5 (988 assessments) Bonuses 731Buket of 101 roses Bright mix 60-70 cm (Russia) under the tape17990 ₽14608 ₽) ) Bonuses 200 boat of 25 cream rose 50-60 cm (Russia) 3988 ₽ Pipettes of Matthiola 4.9 (590 assessments) bonuses 107 bouquet of 7 mattiols Tender mix in design packaging2123 ₽ Cup5.0 (601 rating) Bonuses 219 Bonuses of Flower Flows of summer4378 ₽. 0 (340 assessments) Bonuses 233Buket of 19 mattio mix in stylish packaging4642 ₽ Cup4.9 (322 grades) Bonuses 160 Book flowers aroma of summer3196 ₽4.6 (393 grades) Bonuses 313 Books of 25 mattiols in stylish packaging6243 ₽5.0 (746 оценок)Бонусы 130Букет цветов Летняя сказка2591 ₽КУПИТЬ4.6 (337 оценок)Бонусы 600Букет из 51 маттиолы микс в стильной упаковке11985 ₽КУПИТЬ5.0 (340 оценок)Бонусы 187Букет цветов Летний дождь3735 ₽КУПИТЬБукеты из кустовой розы -11%5.0 (710 оценок) Bonuses 897 Book of 51 high bush rose (Kenya) 60-70 cm Tender Mix in stylish packaging 20110 ₽17925 ₽ Cup-16%4.9 (834 grades) Bonuses 232 Books of 15 high bush roses (Kenya) 60-70 cm in stylish packaging5490 ₽4622 ₽) Bonuses 217 bonuses of 11 high bush roses (Kenya) 60-70 cm in stylish packaging4334 ₽-4%5.0 (883 grades) Bonuses 458 bouquet of 25 high bush roses (Kenya) 60-70 cm Telge Mix in stylish packaging9470 ₽9158 ₽, 5%4.6 (647 assessments) Bonuses 458 Book of 25 high bush roses (Kenya) 60-70 cm in stylish packaging9580 ₽9158 ₽ Cup no assessment 261 bouquets of 15 high bush roses (Kenya) 60- 60 70 cm Tender mix under tape5209 ₽) Bonuses 715 Books of 35 high bush roses (Kenya) 60-70 cm in stylish packaging14289 ₽) Bonuses 179 Blucket of 9 high bush roses (Kenya) 60 -70 cm Delicate mix in stylish packaging ₽3245 ₽ Cup4.6 (692 estimates) Bonuses 306 Bouquet of 7 raspberry oriental lilies in packaging6116 ₽ Cup4.5 (424 grades) Bonuses 306 Books of 7 white oriental lilies in packaging6116 ₽ Cup-8%4.9 (473 grades) Bonuses 85 Bonuses of 3 of 3 Asian lilies in designer packaging1830 ₽1694 ₽ Cup4.6 (747 assessments) Bonuses 140 Bouquet of 3 white oriental lilies in packaging2783 ₽ Piplucets with dianthus 4.5 (413 estimates) Bonuses of 51 pink and white cloves in the stylish packaging8250 ₽ 4. 5 (454 estimates) bonuses of 190 boat of 25 white cloves with greens in stylish packaging3795 ₽ Accompanying from tomorrow's 161 bouquet of diopaz diopaz3201 ₽ button 4.8 (739 assessments) bonuses of 15 white cloves in stylish packaging with greens3256 ₽ 27%4.7 (342 grades) (342 grades) (342 grades) Bonuses 230 Book of 35 Dianthus (carnation) Bright mix in designer packaging6270 ₽4598 ₽ cap-5%4.7 (734 grades) Bonuses 314 Bouquet of 51 diatus (cloves) Delicate mix in design packaging6570 ₽6265 ₽-40%4.7 (719 Objects) (719) Bonuses 103Buket of 15 diants (cloves) mix in stylish packaging with greens222 ₽ button4.9 (714 assessments) Bonuses 583Buket of 49 gerber Standard Mix in stylish packaging11655 ₽) Bonuses 145 bonuses of 15 Minber Mix in stylish packaging2899 ₽) Bonuses 291 Bonuses of 35 from 35 mini gerber mix in stylish packaging5819 ₽-19%4.8 (527 assessments) Bonuses 313Buket of 25 gerber Standard MIX in stylish packaging7680 ₽6243 ₽) Bonuses 381 BUTUS of 51 Herber Mix in stylish packaging7607 ₽4.8 (714 assessments) Bonuses 175 Buket of 11 gerber Standard Mix in stylish packaging with herbs 3498 ₽ Cup of armfuls of flowers -2%4.5 (950 assessments) Bonuses 1725 Book of 101 White Rose Premium 60-70 cm (Ecuador) in delicate packaging 350303 ₽34485 ₽ Compat 24%4. 26%4.8 (368 assessments) Bonuses 779 Bouquet of 101 bright alstromeria mix in stylish packaging 20790 ₽155579 ₽ capture-27%4.8 (717 estimates) Bonuses of 508, 20%of the promotional codes of IR20 BUTTER of 101 blue iris in stylish packaging13890 ₽10153 ₽ Kapapyapopi no · Kapapupa Kapapupa Kapapupa Kapupapupa Kapapupa Kapapupa Kapapupa Kapapupa Kapapupa Kapapupa Kapupapupa Kapupapupa Kapupapupa Kapupapupa Kapupapupa Kapupapupa Kapapupa Kapupapupa Kapupapupa Kapapupa Kapapupa Kapapupa Kapupapupa Kapapupa Kapapupa Kapapupa Kapapyapopyapopyapopapup. Nusy 1719 Bouquet of 101 High Rose Mix 70 cm (Kenya) in packaging Bonuses 2108 Book of 101 Red Premium Rosa 70-80 cm (Ecuador) in packaging42152 ₽ Papubber compositions 4.9 (496 assessments) Bonuses 221 cash in velvety ringing4417 ₽ Fucked up from 01/11/2024 Bronuses 370 Centers in a wooden box, Delo ₽ Cup no estates of 139 centers in the pots joy Meetings2761 ₽ Cup4.5 (426 assessments) Bonuses 436 Price in a wooden box Chocolate sugar8712 ₽ Cup4.8 (716 estimates) Bonuses 512 centers in a wooden box Summer stream10230 ₽ Papulp. Buy4.8 (645 assessments) Bonuses 136 Cashpers in the Kaprihi2706 Kashpo2706 ₽ No estimates of 119 centers on the Kashpo bright day2365 ₽ Caption and news 84 -pionoid roses: description and best varieties - incredibly beautiful flowers of elegance of which were always appreciated. People have always attached great meaning to them. Throughout history, new amazing varieties of these colors were created and displayed. The ancient varieties that were a special type of decorative rosehip were known in Europe of the fifteenth century. The article describes the best types of pionoid roses. On October 30, 2023, autumn flowers bloom - the time not only of beautiful landscapes but also beautiful flowers showing all their beauty during this period. Their delicate charm helps to overcome the spleen and bad mood in such a rainy and cloudy season. The article contains the most striking and unusual plants of whose flowering period continues until late autumn. October 30, 2023, to root a rose from bouquet bouquets of roses always delight their owners with delicate beauty and sophisticated grace. Unfortunately, they give their charm not so long and after several days they begin to fade. However, you can give a second life beloved roses and revive their former charm. It will be possible to do this by resorting to rooting a rose. This process is laborious and difficult, however, often gives an excellent result. The article contains information on how to root a rose from the bouquet. On October 30, 2023, to give flowers on the day after Sunday November is a special day since on this November day everyone congratulates the closest and beloved people in their lives - their mothers. Each person wants to please his own mother to surround her with attention with care and trepidation, just as she surrounds him all his life. A good option for mothers for mothers can be elegant and delicate bouquets. The article tells what flowers to give mom for mother's day. October 26, 2023 yellow flowers: whether it is worth believed by the sign of history people fixed a certain value not only for each flower but also behind its shade. Among them were colors with rather conflicting symbols. These include yellow. On the one hand, this shade is the energy of the sun joy. On the other hand, today bouquets made up of sunny colors are associated with a change in the quarrel of separation. The article tells what the yellow color of the flowers means to what they are given. On October 23, 2023 How much roses give a girl and a man of different cultures the number of colors in the bouquet matters for both the gifts and the recipient. For this reason, when choosing a composition, you need to pay attention not only to freshness the color and type of buds, but also to their number. The article contains information about how many roses can be given to a woman and a man in what cases bouquets with a certain number of colors are presented. October 23, 2023 Tseshevo with delivery by St. Petersburg Capcess-a welcome and beloved gift. They delight the eye cause pleasant associations with the spring of nature with warm feelings. And flowers can say: each plant has its own meaning carries a certain message, especially with the right combination. On the Flower Flood website you can order original bouquets and compositions compiled by talented florists. Flower delivery in St. Petersburg is carried out at the client’s address or at a pickup point. We also perform the design of the halls using flowers we offer a large selection of additional products: soft toys of balls with gel baskets with fruit of sweets with delivery. Why color -effective bouquets for any holiday or event. We offer original copyright compositions compiled in different styles for different holidays: a wedding of the anniversary birthday, etc. You can choose a beautiful bouquet with delivery without waiting for a certain date and to please your loved one to tell him about his feelings. Always fresh flowers in a large assortment . In our catalog, more than half a million flowers are represented: strict roses delicate lilies fragrant peonies and many other species. There are also potted plants: orchids of the Senpolia of the anthurium and so on. Each buyer will be able to choose flowers in our catalog for his addressee. Operational delivery. In the city, it is carried out from 1 hour by the suburbs - from 3 hours after ordering and payment. Our couriers differ in punctuality, which means that the addressee will receive flowers exactly at the indicated time. High prices all year round. We try to make copyright compositions and bouquets of flowers available, therefore, we maintain the cost at an acceptable level for customers all year. The store regularly operates promotions and discounts, including for regular customers. Having become our client, you no longer have to think where to buy a beautiful fresh bouquet before the next holiday. Cut the bouquet on our website and order flowers through the site or by contact phone. The Colsonel store works for you around the clock and seven days a week. Every year around the clock+7 (812) 77792044 Form of feedback to all issues [email Protected] Formation Feedback and Discounts of the Contact -Client of the Class Political Policy Police of the Returner of the Returned Police of the Property Committee Shiza Colorbow 2023 © Florovikws Rights Protected Command Offic Card Cavigate Site your Gorodsankt -Petersburgmoskvapovapskov Krasnosann order the reverse call name *Your phone *Commentary the error when sending a request. Please check the correctness of the filling of the form and try again. Order the call -down button "Order a call" you agree with the conditions of processing personnel data and a public certificate. Thank you for your request! We will contact you in the near future. Make your review of the file *download the video or audio file (up to 50MB) with your review. You name *Your phone *your phone *A mistake when sending a review. Please check the uploaded file and try again. Return the review of the "Send Review" button you agree with the conditions of processing personnel data and a public office. Thank you for your feedback! Leave your review of the name *Your phone *Your email *Write text review and/or attach video file file : Your review of the file loading the video or photo (up to 50MB) with your review. A mistake was made when sending a review. Please check and try again. Return the review of the “Send Review” button you agree with the conditions of processing personnel data and a public office. Thank you for your review! Remember the wishes or you need to solve the problem Draw a photo or short video if necessary. You can attach up to 5 files. A mistake was made when sending feedback. Please check the correctness of filling out the form of the size of uploaded files and try again. To amend the “Send” button, you agree with the conditions of processing data -to -hand data and a public office. Thank you for your feedback!</v>
      </c>
    </row>
    <row r="289">
      <c r="A289" s="1" t="s">
        <v>883</v>
      </c>
      <c r="B289" s="1" t="s">
        <v>930</v>
      </c>
      <c r="D289" s="1">
        <v>13.0</v>
      </c>
      <c r="E289" s="4" t="s">
        <v>931</v>
      </c>
      <c r="F289" s="1" t="s">
        <v>16</v>
      </c>
      <c r="G289" s="1" t="s">
        <v>932</v>
      </c>
      <c r="H289" s="4" t="s">
        <v>933</v>
      </c>
      <c r="I289" s="2">
        <v>1.0</v>
      </c>
      <c r="J289" s="5" t="str">
        <f>IFERROR(__xludf.DUMMYFUNCTION("GOOGLETRANSLATE(A289)"),"Gypsophyla")</f>
        <v>Gypsophyla</v>
      </c>
      <c r="K289" s="6" t="str">
        <f>IFERROR(__xludf.DUMMYFUNCTION("GOOGLETRANSLATE(B289)"),"Pink gypsophila bouquet")</f>
        <v>Pink gypsophila bouquet</v>
      </c>
      <c r="L289" s="5" t="str">
        <f>IFERROR(__xludf.DUMMYFUNCTION("GOOGLETRANSLATE(C289)"),"#VALUE!")</f>
        <v>#VALUE!</v>
      </c>
      <c r="M289" s="5" t="str">
        <f>IFERROR(__xludf.DUMMYFUNCTION("GOOGLETRANSLATE(G289)"),"Official Grand Caprice: Flourist Studio and Flower Groze50 Ready Bouquets-Always! +7 (4912) 50-22-24 Catalog Bouquets with delivery from 30 Ministry of Pibedatate-Goglobuschkhenytskiybucks from dried-flowered combo! Investigation dial-free-based rosynegyp"&amp;"santema SY and lilies -devastic bouquet bouquenced toys and balls Ready -made bouquets of copyright bouquets Delivery and payment Contacts Catalog 0 Catalog Bouquets with delivery from 30 Ministry of Public Summarian Goglobuschenitsky Bukes from dried -co"&amp;"lor -fluid combo! Rousin -free drawing pinky -based drawing -pro -chryzanthemonypionypypsofiladiats and liliswades bouquet boulers and shara Ready -made bouquets copyright bouquets Delivery and payment of contacts 50 bouquets in stock from 30 minutes to w"&amp;"atch the bouquet Option bouquet -ready -made bouquets of roshypsyuphylapionary -autonomous bouquet bouquets roses -10% Ø 30↕ 40 Bouquet of pink bouquet rose from 2,590 ₽ Select ↕ 40 bouquet of white bouquet roses from 1,590 ₽ Select Ø 25↕ 40 bouquet of ro"&amp;"ses ""Orange in chocolate"" 1 290 ₽ order in 1 click -8% Ø 20↕ 40 Bouquet of white and red bouquet roses from 1,990 ₽ Select ↕ 40 bouquet of red bouquet roses from 1,590 ₽ Choose -8% Ø 20↕ 40 bouquet of white and pink bouquet roses from 2 190 ₽ Choose -7%"&amp;" ↕ 40 bouquet of red bouquet rose from 1,990 ₽ Choose a bouquet from a pale pink bouquet rose from 1,590 ₽ choose -14% ↕ 40 bouquet of white bouquet roses from 1,990 ₽ Select ↕ 40 Bouquet of white and pink bouquet roses from 1,590 ₽ Select ↕ 40 bouquet of"&amp;" pink bouquet rose from 1,690 ₽ Choose -2% bouquet of red bonus roses from 6 790 ₽ Choose ↕ 70 bouquet of red roses Ecuador from 2 190 ₽ -6% Ø 20↕ 40 Bouquet of red bouquet roses from 3,590 ₽ Select Ø 25↕ 40 Bashing of 51 red bouquet rose 5 190 ₽ into a b"&amp;"asket of 1 click Bouquet of red bouquet roses from 2,290 ₽ Select ↕ 70 bouquet of pink Ecuador premium roses from 2 190 ₽ Choose -3% bouquet of white premium roses from 6 790 ₽ Choose a bouquet of premium white roses Ecuador from 2 190 ₽ Choose a bouquet "&amp;"of red and red bouquet roses from 1,890 ₽ Select Ø 25↕ 45 A fragrant bouquet ""Lolipop"" 1 590 ₽ order in 1 click a bouquet of bouquet roses with eucalyptus from 2,990 ₽, choose a composition of red bouquet rose with eucalyptus from 2 190 ₽ Choose a bouqu"&amp;"et of pink roses from 2,990 ₽ Choose a bouquet of 2,990 ₽ choose -4% bouquet of red bonus roses 140 cm from 8 390 ₽ Choose a bouquet of red bouquet roses with eucalyptus from 2,790 ₽ Choose -8% bouquet of red and red bouquet roses from 2 790 ₽ choose a co"&amp;"mposition of white bouquet rose from Eucalyptus in a pink box of 2 190 ₽ Choose -8% bouquet of white and lilac bouquet roses from 1,990 ₽ Choose -8% bouquet of lilac bouquet roses from 1,990 ₽ choose a composition from a white bouquet rose with eucabalip "&amp;"in a gray box from 2 190 ₽ choose -1% bouquet of white roses from 2 990 ₽ Choose -8% bouquet of 51 premium rose ""Red Heart"" 13 690 ₽ 12 590 ₽ in a basket of 1 click composition of 151 bouquet roses ""with love!"" 13 390 ₽ order in 1 click -7% bouquet fr"&amp;"om orange premium roses from 6 790 ₽ Choose a bouquet from fiery premium roses Ecuador from 2 190 ₽ Choose -4% bouquet of 101 premium rose ""Red Heart"" 25 590 ₽ 24 690 ₽ order In 1 click -10% bouquet of pink high roses from 6 890 ₽ Choose a bouquet of br"&amp;"ight pink high roses (15pcs) 2 790 ₽ order in 1 click ↕ 40 bouquet of red bouquet roses from 2 290 ₽ Choose a bouquet of 5 bushes cream roses 1 990 ₽ order in 1 click a basket of 151 white rose with eucalyptus 14 590 ₽ order in 1 click Basket from 151 bou"&amp;"quet red roses 12 990 ₽ Order in 1 click of a basket of 75 red and white bouquet roses 6 890 ₽ order in 1 click Bouquet of 51 premium rose ""White Heart"" 12 590 ₽ in a basket of 1 click of 5 bushes of 5 bushes roses 1,890 ₽ order in 1 click of 5 bouquet "&amp;"red roses 1 990 ₽ order in 1 click Bouquet of 25 high raspberry roses 4 190 ₽ Order in 1 click ↕ 40 bouquet of red bouquet rose from 2 190 ₽ Choose a backbenching officer of the Batkovichi really liked it! I chose a bouquet for a girl. September 25th. The"&amp;"y said that he was formed on 09.24. It has been standing for 4 days now and it has become more beautiful and more beautiful! Flowers bite the bouquet increases in volume. Thank you! On September 28, I. I. Very magnificent flowers! On September 22, I will "&amp;"enormous for efficiency and professionalism! They collected a bouquet very quickly two hours after the order pleased the culprit of the celebration on Mayam on Mayam on Instagram @grand_kapriz to customers delivery and payment for the return of goods Gift"&amp;" certificates Bonuses Personal Account Leave information about us FAQ Contacts Public Offer Privacy Agreement We are in communication+7 ( 4912) 50-22-24 subscription to the news, access exclusive discomespects will work on the Insale-development of the si"&amp;"te-GO.Studio workshop of floristry Grand Caprice 2023 0 ₽ Buckets with delivery from 30 minimum aidatraticoglobuschkrican bouquets from dried-flowered computers! Bouquet Rozycustrian Rozyre -Proserian Rozyrizantemypionium -Sigipsophiladians and Lililsaade"&amp;"b Bouquet -mug -shirty toys and balls Fast contractual phone: Name: Name: receive notifications about ordering the help of notifications about the order, you can not only receive actual information by order but also have a quick communication channel with"&amp;" the store: place an order")</f>
        <v>Official Grand Caprice: Flourist Studio and Flower Groze50 Ready Bouquets-Always! +7 (4912) 50-22-24 Catalog Bouquets with delivery from 30 Ministry of Pibedatate-Goglobuschkhenytskiybucks from dried-flowered combo! Investigation dial-free-based rosynegypsantema SY and lilies -devastic bouquet bouquenced toys and balls Ready -made bouquets of copyright bouquets Delivery and payment Contacts Catalog 0 Catalog Bouquets with delivery from 30 Ministry of Public Summarian Goglobuschenitsky Bukes from dried -color -fluid combo! Rousin -free drawing pinky -based drawing -pro -chryzanthemonypionypypsofiladiats and liliswades bouquet boulers and shara Ready -made bouquets copyright bouquets Delivery and payment of contacts 50 bouquets in stock from 30 minutes to watch the bouquet Option bouquet -ready -made bouquets of roshypsyuphylapionary -autonomous bouquet bouquets roses -10% Ø 30↕ 40 Bouquet of pink bouquet rose from 2,590 ₽ Select ↕ 40 bouquet of white bouquet roses from 1,590 ₽ Select Ø 25↕ 40 bouquet of roses "Orange in chocolate" 1 290 ₽ order in 1 click -8% Ø 20↕ 40 Bouquet of white and red bouquet roses from 1,990 ₽ Select ↕ 40 bouquet of red bouquet roses from 1,590 ₽ Choose -8% Ø 20↕ 40 bouquet of white and pink bouquet roses from 2 190 ₽ Choose -7% ↕ 40 bouquet of red bouquet rose from 1,990 ₽ Choose a bouquet from a pale pink bouquet rose from 1,590 ₽ choose -14% ↕ 40 bouquet of white bouquet roses from 1,990 ₽ Select ↕ 40 Bouquet of white and pink bouquet roses from 1,590 ₽ Select ↕ 40 bouquet of pink bouquet rose from 1,690 ₽ Choose -2% bouquet of red bonus roses from 6 790 ₽ Choose ↕ 70 bouquet of red roses Ecuador from 2 190 ₽ -6% Ø 20↕ 40 Bouquet of red bouquet roses from 3,590 ₽ Select Ø 25↕ 40 Bashing of 51 red bouquet rose 5 190 ₽ into a basket of 1 click Bouquet of red bouquet roses from 2,290 ₽ Select ↕ 70 bouquet of pink Ecuador premium roses from 2 190 ₽ Choose -3% bouquet of white premium roses from 6 790 ₽ Choose a bouquet of premium white roses Ecuador from 2 190 ₽ Choose a bouquet of red and red bouquet roses from 1,890 ₽ Select Ø 25↕ 45 A fragrant bouquet "Lolipop" 1 590 ₽ order in 1 click a bouquet of bouquet roses with eucalyptus from 2,990 ₽, choose a composition of red bouquet rose with eucalyptus from 2 190 ₽ Choose a bouquet of pink roses from 2,990 ₽ Choose a bouquet of 2,990 ₽ choose -4% bouquet of red bonus roses 140 cm from 8 390 ₽ Choose a bouquet of red bouquet roses with eucalyptus from 2,790 ₽ Choose -8% bouquet of red and red bouquet roses from 2 790 ₽ choose a composition of white bouquet rose from Eucalyptus in a pink box of 2 190 ₽ Choose -8% bouquet of white and lilac bouquet roses from 1,990 ₽ Choose -8% bouquet of lilac bouquet roses from 1,990 ₽ choose a composition from a white bouquet rose with eucabalip in a gray box from 2 190 ₽ choose -1% bouquet of white roses from 2 990 ₽ Choose -8% bouquet of 51 premium rose "Red Heart" 13 690 ₽ 12 590 ₽ in a basket of 1 click composition of 151 bouquet roses "with love!" 13 390 ₽ order in 1 click -7% bouquet from orange premium roses from 6 790 ₽ Choose a bouquet from fiery premium roses Ecuador from 2 190 ₽ Choose -4% bouquet of 101 premium rose "Red Heart" 25 590 ₽ 24 690 ₽ order In 1 click -10% bouquet of pink high roses from 6 890 ₽ Choose a bouquet of bright pink high roses (15pcs) 2 790 ₽ order in 1 click ↕ 40 bouquet of red bouquet roses from 2 290 ₽ Choose a bouquet of 5 bushes cream roses 1 990 ₽ order in 1 click a basket of 151 white rose with eucalyptus 14 590 ₽ order in 1 click Basket from 151 bouquet red roses 12 990 ₽ Order in 1 click of a basket of 75 red and white bouquet roses 6 890 ₽ order in 1 click Bouquet of 51 premium rose "White Heart" 12 590 ₽ in a basket of 1 click of 5 bushes of 5 bushes roses 1,890 ₽ order in 1 click of 5 bouquet red roses 1 990 ₽ order in 1 click Bouquet of 25 high raspberry roses 4 190 ₽ Order in 1 click ↕ 40 bouquet of red bouquet rose from 2 190 ₽ Choose a backbenching officer of the Batkovichi really liked it! I chose a bouquet for a girl. September 25th. They said that he was formed on 09.24. It has been standing for 4 days now and it has become more beautiful and more beautiful! Flowers bite the bouquet increases in volume. Thank you! On September 28, I. I. Very magnificent flowers! On September 22, I will enormous for efficiency and professionalism! They collected a bouquet very quickly two hours after the order pleased the culprit of the celebration on Mayam on Mayam on Instagram @grand_kapriz to customers delivery and payment for the return of goods Gift certificates Bonuses Personal Account Leave information about us FAQ Contacts Public Offer Privacy Agreement We are in communication+7 ( 4912) 50-22-24 subscription to the news, access exclusive discomespects will work on the Insale-development of the site-GO.Studio workshop of floristry Grand Caprice 2023 0 ₽ Buckets with delivery from 30 minimum aidatraticoglobuschkrican bouquets from dried-flowered computers! Bouquet Rozycustrian Rozyre -Proserian Rozyrizantemypionium -Sigipsophiladians and Lililsaadeb Bouquet -mug -shirty toys and balls Fast contractual phone: Name: Name: receive notifications about ordering the help of notifications about the order, you can not only receive actual information by order but also have a quick communication channel with the store: place an order</v>
      </c>
    </row>
    <row r="290">
      <c r="A290" s="1" t="s">
        <v>883</v>
      </c>
      <c r="B290" s="1" t="s">
        <v>934</v>
      </c>
      <c r="C290" s="1" t="s">
        <v>935</v>
      </c>
      <c r="D290" s="1">
        <v>14.0</v>
      </c>
      <c r="E290" s="4" t="s">
        <v>936</v>
      </c>
      <c r="F290" s="1" t="s">
        <v>16</v>
      </c>
      <c r="G290" s="1" t="s">
        <v>937</v>
      </c>
      <c r="H290" s="4" t="s">
        <v>938</v>
      </c>
      <c r="I290" s="2">
        <v>1.0</v>
      </c>
      <c r="J290" s="5" t="str">
        <f>IFERROR(__xludf.DUMMYFUNCTION("GOOGLETRANSLATE(A290)"),"Gypsophyla")</f>
        <v>Gypsophyla</v>
      </c>
      <c r="K290" s="6" t="str">
        <f>IFERROR(__xludf.DUMMYFUNCTION("GOOGLETRANSLATE(B290)"),"Bouquets of gypsophila with delivery in Moscow, buy ...")</f>
        <v>Bouquets of gypsophila with delivery in Moscow, buy ...</v>
      </c>
      <c r="L290" s="5" t="str">
        <f>IFERROR(__xludf.DUMMYFUNCTION("GOOGLETRANSLATE(C290)"),"Bouquets of gypsophila with delivery · Large box with gypsophila · Bouquet of gypsophila · giant box with gypsophila")</f>
        <v>Bouquets of gypsophila with delivery · Large box with gypsophila · Bouquet of gypsophila · giant box with gypsophila</v>
      </c>
      <c r="M290" s="5" t="str">
        <f>IFERROR(__xludf.DUMMYFUNCTION("GOOGLETRANSLATE(G290)"),"Flower delivery in Moscow | Bouquet with delivery to the house to the office “Buketonline” about us about the stores of delivery of the Kontaktatka and payment +7 (495) 767 52 30 +7 (495) 767 52 30 order the reverse call → +7 985 767 52 30th birthday of L"&amp;"ubrichemumemememo -zypo number 51 rose rose101 rose Flower -free draws draw -up draws of rhymic rhyme rhysipo rosypionividous draws Gran Provip Rozytylpano -zyalpanyllpanyllpanyllyalpanimariyanemonyanemiacyazinhypin -hygi -ilpilago -hylasiyndisylavillylnh"&amp;"idehpolevolniholnhipilleneholnhilonhopolniyeraneholnhilosynumsiremashysirerizirinhrizirinhin EMEMIUSTOMACTSETS OF PLASTURETS in KOROKOBUKETVO BURCHETS BUST BURCHTUTIONS BUSTEN BUSTEN BOOKBOKETS ROSBUTE TULPAN -corporate bouquets on March 8 March 8 on Marc"&amp;"h 8 Birthday Birthday Bridebuket Bridebukets for the wedding of St. Valentine's Day on February 23 on September 1 for a teacher of teacher Bouquet bouquet bouquet year of cocked color of the color of the baskets and composition of the composition In hat b"&amp;"oxes from a color -compartment from a rosicomposition from Tulpanovv, a composition of podscharikikonfets and cakes and cakes and toys with fruits +7 (495) 767 52 to order a reverse call → +7 985 767 52 30 Korszins of a loving -loving -loving -loving -lov"&amp;"ing -in -lawsememem Plotes -in -pass pint of draws of pinkish rhysicum rosypionic pinky rosirosis Grand Provip Rozytoyzpionoynetylpanylpanyanemorinemonemineminemineminemineminemesyecintygipilosophylaxi -izhrtenshideylnhidsolnhipolnukholnukholnukholnukholn"&amp;"ukholnhipolic flowers Chamomeshkisyrynchrizanthememac Switches in Korobkekukevs Bouquet Bucket Bouquetbooks in hat boxes of tulip -corporate bouquets on the 8th Martyapovat Buket for 8 March Birthday of the baby Suppliyatbuket Bridebukets for the wedding "&amp;"of St. Valentinenan Day 23 Buket for the day of the teacher of the teacher. The new year of the core of the color of the color of the baskets and the composition of the combination in hat boxes from the color -combination from the roser from the tulipanov"&amp;"s composition of the Podokarkisharikonfet and Cakes and toy toys from fruiting flowers in Moscow flowers and bouquets according to the promotion chitus to buy in 1 click in the basket flowers - hydrangea pionivid and bush rose7900 6900 ₽ member of the bou"&amp;"quet: Rose London AI - 7pcs. Rose bush. - 5 pieces. Diantus - 7pcs. Hydrangea - 3pcs. Sedium greens to buy a seasonal click in a basket to buy 1 click in a chrysanthemum basket in a hat box4500 ₽ a bouquet: Chrysanthemum Garden - 3 pcs. Bush rose - 3 pcs."&amp;" Eustoma - 5 pcs. Eucalyptus. Hat box. Oasis. Buy in 1 click in the basket to buy in 1 click in the basket exquisite compliment4500 3990 ₽ member of the bouquet: bush pionoid rose - 21 pcs. Hat oasis box - 1 pc. Buy in 1 click in a basket to buy in 1 clic"&amp;"k in a basket one -headed chrysanthemum grapefruit 4300 3900 ₽ composal of a bouquet: Chrysanthemum Sadovaya - 9 pcs. Buy in 1 click in the basket show more and dial in 1 click in the basket of a bouquet of pionoid roses9900 ₽ Composit of the bouquet: Pio"&amp;"novid rose - 29 pcs. Pitosporum. Buy in 1 click in a basket Buy 1 click in the charm and charm 8990 ₽ member of the bouquet: Rose ""Talea"" - 51 pcs. Buy in 1 click in a basket to buy in 1 click in the basket Ecuador roses 75 pcs23900 ₽ Bouquet: rose - 75"&amp;" pcs. Buy in 1 click in a basket to buy 1 click in a basket bouquet of roses '' Classica'3990 ₽ Bouquet: Rosa ""Miss Pigi"" - 15 pcs. Rosaa ""Mary Tim"" - 10 pcs. Buy in 1 click in a basket to buy in 1 click in a basket mix Bouquet of 25 roses3990 ₽ Bouqu"&amp;"et: a bouquet of 25 roses. Color to choose from. Buy in 1 click in a basket Buy 1 click in the basket Flame of Passion Rose ""Avanage"" - 10 pcs. Buy in 1 click in a basket Buy 1 click in a basket pink mix27000 ₽ Cup in 1 click in a basket Buy 1 click in "&amp;"a rose basket for you16900 ₽ Bouquet: a bush-pioneer rose- 20 pcs. Rose ""Shagril"" - 30 pcs Rose ""Casanova - 21 pcs. Rose"" Talei "" - 30 pcs. Buy 1 click in the basket Buy 1 click in the basket Stylish bouquet of bush rose5700 ₽ member of the bouquet: "&amp;"Build roses - 29 pcs to buy in 1 click in the basket Buy in 1 click in the basket exciting recognition14900 ₽ Composit of the bouquet: Rose ""Avange"" - 51 pcs; rose bush - 50 pcs. Buy 1 click in the basket Buy 1 click in the basket 51 White Ecuador rose1"&amp;"3900 ₽ Bouquet: Rose Ecuador - 51 pcs. Buy 1 click in a basket Buy 1 click in basket 51 red rose7990 ₽ Bukete's component: Rose Grande at - 51 pcs. Buy 1 click in the basket Buy 1 click in the basket of roses bouquet - giant8900 ₽ Composition of the bouqu"&amp;"et: VIP rose ""London Ai"" - 29 pcs. Buy 1 click in the basket Buy 1 clicked ecubacle red roses 8900 ₽ bouquet: Ecuadorian rose - 25 pcs. Buy 1 clicked in 1 click in the basket of 25 pionovid pink Ohara7900 ₽ Composition of the bouquet: Pink Ohara rose - "&amp;"25 pcs. Buy 1 click in a basket Buy 1 click in a basket Bouquet of 15 roses with eucalyptus 3850 ₽ Bouquet: Rosa Grande at - 15pcs Eucalyptus Buy 1 click in the basket Show more popular bouquets in 1 click in 1 click In the basket of my precious bouquet14"&amp;"900 ₽ component of the bouquet: Rosa Miss Pigi - 19 pcs. Mattiol - 10 pcs. Bush rose - 10 pcs. Diantus - 15 pcs. Eucalyptus. Buy in 1 click in the basket hit to buy 1 click in the basket flowers - hydrangea pionoid and bush rose7900 6900 ₽ bouquet: Rose L"&amp;"ondon Ai - 7pcs. Rose bush. - 5 pieces. Diantus - 7pcs. Hydrangea - 3pcs. Sedum Seasonal Buy 1 Click in a basket Buy 1 click in a basket of hydrangea - a bouquet of flowers5900 ₽ a bouquet: hydrangea - 9pcs. Buy in 1 click in a basket to buy in 1 click in"&amp;" a summer touch in the basket 5500 ₽ Bouquet: a bush rose ""Barbados"" - 5 pcs. Rose ""Talea"" - 10 pcs. Hyperikum - 5 pcs. Eustoma - 5 pcs. Eucalyptus. Buy in 1 click in a basket to buy in 1 click in the basket a chic bouquet of chrysanthemum9900 ₽ Compo"&amp;"site a bouquet: chrysanthemum - 31 pcs. Buy in 1 click in a basket to buy in 1 click in the basket a gorgeous bouquet of wildflowers19000 ₽ Bouquet: chamomile - 25 pcs. Campullah - 20 pcs. Eustoma pink - 10 sh. Clematis - 10 pcs. Hipppericum - 10 pcs. Sol"&amp;"idago - 10 pcs. Dolphinium - 10 pcs. Eustoma white - 10 pcs. Buy in 1 click in a basket to buy in 1 click in a basket a chic bouquet with a rose Matiolla and eucalyptus15000 ₽ a bouquet: a single -head rose - 21 pcs. Bush rose - 15 pcs. Matiolla - 10 pcs."&amp;" Eucalyptus. Buy in 1 click in the basket to buy in 1 click in the basket '' Solar Summer '' - flowers with delivery of 8900 ₽ component of the bouquet: Gmperikum - 10 pcs. Rose ""Shagril""- 20 pcs. Bush -pioneer rose - 10 pcs. Skimya -Puch. Pistash. Buy "&amp;"in 1 click in the basket Promotion Buy in 1 click in the basket Stylish bouquet4300 3900 ₽ Bouquet: Rosa Avalansche - 5pcs. Rose bush. - 5 pieces. Alstromeria - 3pcs. Diantus - 5pcs. Pistash buy in 1 click in the basket novelty novelty buy 1 click in the "&amp;"basket Stylish bouquet with hydrangea11900 ₽ bouquet: Rosa Casanova - 10 pcs. Bush rose - 15 pcs. Hydrangea - 3 pcs. Carnation - 15 pcs. Hyperikum - 5 pcs of panic - 10 pcs. Eucalyptus. Buy in 1 click in a basket to buy in 1 click in the basket a stylish "&amp;"bouquet with a rose and a diantus490 ₽ a bouquet: Rosa ""Miss Piggi"" - 10pcs. Diantus - 5pcs. Mattiola bush. - 5 pieces. Eucalyptus buy in 1 click in the basket to buy in 1 click in the basket I love 9900 ₽ Composit of the bouquet: hydrangea - 3 pcs. Ros"&amp;"a Shagril - 11 pcs. Bush rose - 10 pcs. Clove bush. - 5 pieces. Pistaging. Buy in 1 click in the basket Promotion Buy in 1 click in the basket of 19 sunflower and solidago6990 ₽ Bukete's composite: Sunflower - 19 pcs. Solidago - 10 pcs. Buy in 1 click in "&amp;"a basket to buy in 1 clicked order of a single -headed - a bouquet of flowers5900 ₽ a bouquet: chrysanthemum - 17 pcs. Buy in 1 clicked order in 1 click in the basket a huge bouquet with chrysanthemums12900 ₽ bouquet: Miss Pigi Rosa -15 pcs. Chrysanthemum"&amp;" alone -head -10 pcs. Chrysanthemum bush - 10 pcs. Bush rose Barbados - 10 pcs. Cloves - 10 pcs. Decorative berries - 5 pcs. Eucalyptus. Buy in 1 click in a basket Buy 1 click in a chamomile basket with a bunch of mattiola 4700 ₽ Bouquet: Mattiola Kustova"&amp;"ya - 5 pcs. Chamomile - 10 pcs. Buy in 1 click in the basket to buy in 1 click in the basket a chic bouquet from cal5990 ₽ Bouquet: Calles - 19pc. Buy in 1 click in the basket Promotion Buy in 1 click in the basket warm summer7500 ₽ bouquet: Rose Pionovid"&amp;" London AI - 10pcs. Rosa Kus. Barbados - 5pcs. Eustoma - 5pcs. Diantus - 5pcs. Crocosmia - 3pcs. Panicum - 3pcs. Eucalyptus buy in 1 click in a basket to buy in 1 click in the basket of tulips a bush rose and eucalyptus12900 ₽ member of the bouquet: tulip"&amp;"s - 35 pcs. Alstromeria - 10 pcs. Astral -10 pcs. Hyperikum - 10 pcs. Bush rose - 10 pcs. Eucalyptus. Buy in 1 click in a basket to buy in 1 click in a basket 51 tulip with lavender7990 ₽ bouquet: tulips - 51 pcs. Lavender - 1 Puch. Buy in 1 click in a ba"&amp;"sket to buy in 1 click in a basket a bouquet of daisies and irises5990 ₽ a bouquet: matrix - 25 pcs. Irises - 51- Buy in 1 click in a basket Buy 1 click in a basket Bouquet Call 9 -pound3900 ₽ Bouquet: Calles - 9 pcs. Buy in 1 click in the basket to buy i"&amp;"n 1 click in the basket of tires of tenderness13900 ₽ Bouquet: Piones of Protia - 11 pcs. Eustoma Terry - 10 pcs. Rosa Belini - 10 pcs. Ozatamus. Eucalyptus. Oxitalum. Dianthus -15 pcs. Buy in 1 click in a basket in the photo Average bouquet in the photo "&amp;"Middle Buy Buy in 1 clicked glaze7900 ₽ Bouquet: Rose ""Aqua"" - 10 pcs. Rose ""Mary Tim"" - 10 pcs. Mattiol - 10 pcs. Rose ""Reflex"" - 10 pcs. Buy in 1 clicked fireplace color in 1 click in the carman basket - a basket with exotic colors19000 ₽ a bouque"&amp;"t: Rose Red Piano - 10pcs. A single -headed rose - 10pcs. Rose ""Kahala"" - 10pcs. Rose bush. - 10 pieces. Kalina Antirinum - 10pcs. Astra - 10pcs. Bouvard - 10pcs. Diantus - 10pcs. Eucalyptus, seasonal greens buy 1 click in a basket in 1 click in the bas"&amp;"ket composition '' Autumn Blues'7900 ₽ Bouquet: Rose. Matiolla. Skimya. Carillus. Oasis. Vase glass. Buy in 1 click in a basket to buy in 1 click in the basket composition - forest nymph13900 ₽ Bouquet: tulips - 51 pcs; Irises - 50 pcs; Alstromeria; Salal"&amp;"; The packaging is natural. Buy in 1 click in a basket Buy 1 click in a basket composition with roses (any letters) 7900 ₽ member of the bouquet: Rose ""Pinch"" - from 28pcs. Up to 35 pcs. (photo) Pistash Patron for the composition oasis buy in 1 click in"&amp;" a basket to buy 1 click in a basket for a birthday basket9900 ₽ Composit of a bouquet: Rosa ""Maritim"" - 10pcs. Rose bush. - 5 pieces. Eustoma white- 10pcs. Diantus - 10pcs. Ozaminus - 3pcs. Hipppericum - 3pcs. Eucalyptus basket Floristic foam buy in 1 "&amp;"click in a basket to buy 1 click in a basket basket with sunflower 23900 ₽ Composit of a bouquet: Helianthus - 30pcs. Rose bush. cream. - 10 pieces. Mattiola bush. - 10 pieces. Diantus - 10pcs. Hipppericum - 10pcs. Lemonium - 5pcs. Eucalyptus Buy Buy Buy "&amp;"in 1 click in a basket Buy 1 click in the Pich Avange Pich basket - 51 rose11900 ₽ Bouquet: Rosa Pich Avange - 51 pcs. Eucalyptus. The basket is natural average. Oasis. Buy in 1 click in the basket Buy 1 click in the premium basket basket 36000 ₽ Cup in 1"&amp;" click in the basket Buy 1 click in the basket luxurious color basket '' in the heart'42900 ₽ component of the bouquet: eucalyptus Pitosporum Mattiol - 10pcs bush - 20pcs Rosa Gravity - 10pcs Pionovid Rosa - 10pcs Rosa Wight O'Hara - 10pcs Odolovaya Rosa "&amp;"- 10pcs Astilba - 10pcs Eustoma - 20pcs to buy 1 click in the basket novelty to buy 1 click in the basket Northern Lights 9900 ₽ Bouquet: Eustoma Alice - 10 pieces. Buy in 1 click in a basket Buy 1 click in a basket basket for Cinderella28900 ₽ Bouquet: l"&amp;"ily of the valley - 75 pcs. Moss natural. The basket is average. Oasis - 2 pcs. Buy in 1 click in a basket Buy 1 click in a basket Bouquet of roses with Matiolla Clematis Eustoma28000 ₽ Bouquet: White rose - 41 pcs. Matiolla bush - 15 pcs. Eustoma - 20 pc"&amp;"s. Clematis - 10 pcs. Oasis - 6 pcs. The basket is large - 1 pc. Buy in 1 click in a basket to buy in 1 click in the basket of flowers basket12900 ₽ Bouquet: Rosa ""Miss Piggi"" - 15pcs. Mattiol - 10pcs. Eustoma - 10pcs. Eucalyptus Buy Buy Buy in 1 click "&amp;"in a basket Buy 1 click in a basket basket with 101 tulip14900 ₽ Composit of the bouquet: tulips - 101 pcs. Greenery. The basket is natural. Oasis - 4 pcs. Buy in 1 click in a basket Buy 1 click in the basket Leader - Flower basket27000 ₽ Bouquet: Rosa Ke"&amp;"nya - 10 pcs. Bush rose - 10 pcs. Astra - 10 pcs. Lemonium - 10 pcs. Astilba - 10 pcs. Antirinum - 10 pcs. Decorative pepper. Helichrizum. Magnolia buy in 1 click in the basket the best price is the best price to buy at 1 click in the basket basket with f"&amp;"lowers 8990 ₽ Bouquet: a single -head rose - 10pcs. Bush rose - 5pcs. Eustoma - 5pcs. Hipppericum - 3pcs. Hydrangea - 1pc. Lemonium - 10pcs. Eucalyptus. Buy 1 click in the basket show the bolshevs of hats in 1 click in the basket of 25 roses in a hat box4"&amp;"500 ₽ Bouquet: Rosa Maritim - 25pcs. The hat box Buy 1 click in the basket Buy 1 click in the basket Big box with peonies of 19900 ₽ Bouquet: Rose ""London Ai"" - 10pcs. Rose ""Miss Piggi"" - 10pcs. Rosa ""VAU"" - 10pcs. Rose bush. - 10 pieces. Pion pinks"&amp;" - 10pcs. Diantus ""BRT"" - 15pcs. Mattiol - 10pcs. Eucalyptus Box a Hat Decorative Oasis Buy 1 click in a basket in 1 click in a chrysanthemum basket in a hat box4500 ₽ a bouquet: Chrysanthemum Sadovaya - 3 pcs. Bush rose - 3 pcs. Eustoma - 5 pcs. Eucaly"&amp;"ptus. Hat box. Oasis. Buy in 1 click in a basket to buy in 1 click in the basket composition Heart11900 ₽ Composit of a bouquet: Rose Avange - 29 pcs. Rose Grand Prix at - 23-27 pcs. Buy 1 click in a basket Buy 1 click in the basket of flowers basket - ''"&amp;" Summer evening'4500 ₽ Bouquet: Pompasnaya grass - 5 pcs. Bush rose - 3 pcs. Eustoma - 3 pcs. Diantus - 5 pcs. Buy a pistol in 1 click in a basket Buy 1 click in the basket red velvet24900 ₽ Bukete's composal: Pionovyna Rosa Red Piano - 51pcs. Buy in 1 cl"&amp;"ick in a basket to buy in 1 click in a pional coral basket in a hat box6900 ₽ a bouquet: the peony ""Coral Sharm"" - 7pcs. Rose bush. ""Lady Bombastik"" - 10pcs. Pistash hat box Floristic foam buy in 1 click in a basket to buy 1 click in a basket hat box "&amp;"with 21 hydrangea11900 ₽ bouquet: hydrangea - 19 pcs. Hat box. Oasis -6 pcs. Buy in 1 click in the basket to buy in 1 click in the basket a hat box with a dolphinium12900 ₽ Bouquet: Dolphinium - 3pcs. Mattiola bush. - 5 pieces. Hydrangea - 1pc. Rose bush."&amp;" Persian - 5pcs. Rose bush. Lilac - 5pcs. Diantus - 7pcs. Oxypetalum - 5pcs. Peonies - 3pcs. Eustoma - 3pcs. Box hat oasis Buy 1 click in the basket hit to buy 1 click in the basket Hathing box with an eustoma rose and eucalyptus 6400 5900 ₽ Buketee: Hat "&amp;"box - 3 pcs - 10 pcs. Click in the basket to buy in 1 click in the basket a hat box with a bush pionoid rose590 ₽ a bouquet: rose bush. Pionovid - 10pcs. Eucalyptus hat box Floristic foam to buy 1 click in a basket Buy 1 click in a basket Hap with mattiol"&amp;"a 8990 ₽ Bouquet: Miss Piggi rose - 15pcs. Mattiol - 10pcs. Eustoma - 7pcs. Eucalyptus Box a Hat Oasis Buy 1 click in a basket to buy 1 click in a basket Hat box with roses and eucalyptus 6900 ₽ Composit of a bouquet: rose aqua - 31 pcs. Eucalyptus Hat Bo"&amp;"x Oasis - 2 pcs. Buy in 1 click in a basket to buy in 1 click in the basket a hat box with 101 rose16900 ₽ Bouquet: Rosa Avange - 101 pcs. The hat box is large. Buy in 1 click in the basket to buy in 1 click in the basket mysterious tenderness8990 ₽ membe"&amp;"r of the bouquet: Persian rose - 19 pcs. Tsimbidium orchid -15 pcs. Eucalyptus Box Hat. Oasis 2 pcs. Buy in 1 click in the basket hit hit to buy in 1 click in the basket Big box with hydrangea 8900 ₽ bouquet: Miss Pigi Rosa - 10 pcs. Rose bush reflex - 10"&amp;" pcs. Hydrangea - 3 pcs. Diantus - 7 pcs. Eucalyptus. Oasis - 2 pcs. The hat box is average. Buy in 1 click in a basket to buy in 1 click in the basket of grace7890 ₽ member of the bouquet: rose - 51 pcs. The gateway box. Oasis - 2 pcs. Buy in 1 click in "&amp;"a basket Buy 1 click in a basket composition for a man12000 ₽ Bouquet: Anturium - 2pcs. Rose ""Kahala"" - 10pcs. Calla - 10pcs. Diantus - 5pcs. Crocosmia - 10pcs. Lotus - 5pcs. Catinus - 10pcs. Panicum - 3pcs. Buy in 1 click in a basket to buy in 1 click "&amp;"in a basket a small box with a gypsophila 3900 ₽ a bouquet: gypsophila - 15 pcs. Hat box. Oasis. Buy in 1 click in a basket to buy in 1 click in the basket of sunflower in a hat box5990 ₽ a bouquet: sunflower - 15 pcs. Hat box - 1 pc. Oasis - 2 pcs. Buy i"&amp;"n 1 click in a basket to buy in 1 click in a basket a hat box with an orchid7900 ₽ a bouquet: an orchid cymbidium - 15 pcs. Eucalyptus. The hat box is average. Oasis - 2 pcs. Buy in 1 click in the basket novelty novelty to buy 1 click in the basket Hat bo"&amp;"x with garden chrysanthemums6990 ₽ a bouquet: Chrysanthemum Garden - 5 pcs. Chrysanthemum bush - 10 pcs. The rose is one-headed- 11 pcs. Bush rose - 10 pcs. Eucalyptus Box Hat. Oasis - 2 pcs. Buy in 1 click in a basket to buy in 1 click in a basket box wi"&amp;"th a rose capuchino - average 9900 ₽ component of a bouquet: Rose Kappuchino - 51 pcs. The box is average. Oasis - 2 pcs. Buy in 1 click in a basket to buy in 1 click in the basket I love15900 ₽ Bukete's component: rose - 79 pcs.; Hat box. Buy in 1 click "&amp;"in the basket to show the basic to go somewhere? We will deliver the flowers by the byactro and for free! Warranty for freshness we will immediately replace the bouquet-pay photo before delivering a photo of the bouquet before sending a bouquet to the bou"&amp;"quet to write your text by a potassium doseword of customers about the naiveron calls the bouquet from 51 roses of 51 roses They contacted and issued the order, taking into account the wishes, they delivered the wishes :) The name of the name is very plea"&amp;"sed with the good quality of the colors! Also, and the postcard as a gift that you are very pleasant when you are far from a close person of the Denytrhevriytriytriytriyansko -worked promptly! Within 3 hours from the moment the order was placed in a clear"&amp;"ly agreed time, the bouquet was delivered to the spouse! Thank you very much to the specialist of the company Gennady! Prosperity to your business! I want to say thank you to Gennady for a quality bouquet and good work with a difficult customer (this is m"&amp;"e) $) ours sister Happy Birthday)) I myself chose a lot of flower companies from St. Petersburg)) Gennady immediately said that he said confidently that he said that We will do whatever you want)) and did not deceive 🙌🏻👌🏼🙏🏼Pasybo for your work and s"&amp;"uccess to you in your excellent work 🌹 Vladimirhuhu to express great gratitude to the Gennadyuz. Beautiful Bouquet -Hospital, the most important thing ... The quality guarantee on DR white roses stood A week is super! Thank you! Victoriaispasibo store fo"&amp;"r help with a bouquet in Moscow to a loved one) Despite the problems with the transfer of money (Crimea), they treated us with understanding and helped with the solution of the issue! Thank you very much!) Olgaspasibo huge Gennady !!! A wonderful service "&amp;"took into account all the wishes delivered a beautiful bouquet of the freshest roses to the anniversary. You give unforgettable emotions! I can sincerely say- I am pleasantly surprised by the organization thank you for the excellent work! Everything in ti"&amp;"me is harmonious at the highest level !!! Thank you !!! Tatyana ordered the flowers brought on the same day! Great work is fast and efficient. A friend is happy with a bouquet and I feel good. I ordered a bouquet of seduction - an excellent combination of"&amp;" colors and colors also pleased that it does not look miniature. Flowering: convenience and speed ordering of colors has become easier and more convenient thanks to the services of many companies providing such services. Flower delivery is not only a beau"&amp;"tiful and romantic gesture, but also the ability to express your feelings and emotions at a distance. How to order flowers delivery? Order flowers with delivery can be possible in several ways: through online stores by phone or when visiting a store. Howe"&amp;"ver, the most convenient and quick way is to order through the online store. All you need is to choose a bouquet of flowers indicate the delivery address and pay for the order. Processions of ordering flowers with delivery of flowers with delivery - this "&amp;"is not only convenient, but also saves time. You do not need to spend time visiting the store and the choice of a bouquet of flowers is carried out quickly and on time. In addition, online stores offer a wide selection of flower bouquets from classic rose"&amp;"s to exotic colors, which allows you to choose exactly the bouquet that is suitable for you. Payment of the order of the color of the flow of flowers occurs through our online store that offers various payment methods: with an electronic wallets or by a b"&amp;"ank card or by a bank card Cash upon receipt of the order. After paying for the order, we will contact you to clarify the delivery details. Ordering flowers is convenient and simple. You can choose a bouquet of flowers that is suitable for you to pay for "&amp;"the order and get it on time. Buying a bouquet of flowers with delivery is a beautiful and romantic gesture that will leave a pleasant impression on the recipient. Do not put off for later order the delivery of flowers today! Popular questions What types "&amp;"of colors are available for delivery? We offer a wide selection of flowers for delivery from classic roses to exotic colors. You can choose a bouquet of flowers that is suitable for you. How can I order flower delivery? You can order flower delivery throu"&amp;"gh our online store by phone or when visiting a store. Can I choose the time of flower delivery? Yes, you can choose the time of flower delivery when placing an order. Additionally, the option ""Coordinate the date and delivery time of the recipient"" is "&amp;"additionally available. How long does it take to deliver flowers? We deliver your bouquet within two hours after the order confirmation. How much does delivery cost? The cost of flowing colors usually includes the cost of a bouquet of flowers and delivery"&amp;". From 06.00 to 23.00 delivery of bouquets worth more than 3,500 rubles. In Moscow, it is free. Delivery of bouquets worth less than 3,500 rubles. - 350 rubles. The cost of delivery at another time is discussed with the operator. What payments of payment "&amp;"are available when ordering colors? We offer you the following methods of payment of orders: by bank card by electronic wallets or cash upon receipt of the order. © Service for Flower Delivery Buketonline 2016 - 2021O NASO SPUSISSISHS OF DELIVERY OF CONTA"&amp;"CTIVITIES AND PAYTASITIES ON THE COUNTION OF BOVILITITICES BLOULD WITH WITH WITH WITH WITH+7 (495) 767 52 30+7 985 767 52 30 DISCULATION Call × fast order! Reception of orders is carried out from 7:00 to 23:00. The manager will contact you in the morning."&amp;" The near future delivery for tomorrow is not earlier than 9: 00 to recover the “Send” button you agree with the rules of privacy policy")</f>
        <v>Flower delivery in Moscow | Bouquet with delivery to the house to the office “Buketonline” about us about the stores of delivery of the Kontaktatka and payment +7 (495) 767 52 30 +7 (495) 767 52 30 order the reverse call → +7 985 767 52 30th birthday of Lubrichemumemememo -zypo number 51 rose rose101 rose Flower -free draws draw -up draws of rhymic rhyme rhysipo rosypionividous draws Gran Provip Rozytylpano -zyalpanyllpanyllpanyllyalpanimariyanemonyanemiacyazinhypin -hygi -ilpilago -hylasiyndisylavillylnhidehpolevolniholnhipilleneholnhilonhopolniyeraneholnhilosynumsiremashysirerizirinhrizirinhin EMEMIUSTOMACTSETS OF PLASTURETS in KOROKOBUKETVO BURCHETS BUST BURCHTUTIONS BUSTEN BUSTEN BOOKBOKETS ROSBUTE TULPAN -corporate bouquets on March 8 March 8 on March 8 Birthday Birthday Bridebuket Bridebukets for the wedding of St. Valentine's Day on February 23 on September 1 for a teacher of teacher Bouquet bouquet bouquet year of cocked color of the color of the baskets and composition of the composition In hat boxes from a color -compartment from a rosicomposition from Tulpanovv, a composition of podscharikikonfets and cakes and cakes and toys with fruits +7 (495) 767 52 to order a reverse call → +7 985 767 52 30 Korszins of a loving -loving -loving -loving -loving -in -lawsememem Plotes -in -pass pint of draws of pinkish rhysicum rosypionic pinky rosirosis Grand Provip Rozytoyzpionoynetylpanylpanyanemorinemonemineminemineminemineminemesyecintygipilosophylaxi -izhrtenshideylnhidsolnhipolnukholnukholnukholnukholnukholnhipolic flowers Chamomeshkisyrynchrizanthememac Switches in Korobkekukevs Bouquet Bucket Bouquetbooks in hat boxes of tulip -corporate bouquets on the 8th Martyapovat Buket for 8 March Birthday of the baby Suppliyatbuket Bridebukets for the wedding of St. Valentinenan Day 23 Buket for the day of the teacher of the teacher. The new year of the core of the color of the color of the baskets and the composition of the combination in hat boxes from the color -combination from the roser from the tulipanovs composition of the Podokarkisharikonfet and Cakes and toy toys from fruiting flowers in Moscow flowers and bouquets according to the promotion chitus to buy in 1 click in the basket flowers - hydrangea pionivid and bush rose7900 6900 ₽ member of the bouquet: Rose London AI - 7pcs. Rose bush. - 5 pieces. Diantus - 7pcs. Hydrangea - 3pcs. Sedium greens to buy a seasonal click in a basket to buy 1 click in a chrysanthemum basket in a hat box4500 ₽ a bouquet: Chrysanthemum Garden - 3 pcs. Bush rose - 3 pcs. Eustoma - 5 pcs. Eucalyptus. Hat box. Oasis. Buy in 1 click in the basket to buy in 1 click in the basket exquisite compliment4500 3990 ₽ member of the bouquet: bush pionoid rose - 21 pcs. Hat oasis box - 1 pc. Buy in 1 click in a basket to buy in 1 click in a basket one -headed chrysanthemum grapefruit 4300 3900 ₽ composal of a bouquet: Chrysanthemum Sadovaya - 9 pcs. Buy in 1 click in the basket show more and dial in 1 click in the basket of a bouquet of pionoid roses9900 ₽ Composit of the bouquet: Pionovid rose - 29 pcs. Pitosporum. Buy in 1 click in a basket Buy 1 click in the charm and charm 8990 ₽ member of the bouquet: Rose "Talea" - 51 pcs. Buy in 1 click in a basket to buy in 1 click in the basket Ecuador roses 75 pcs23900 ₽ Bouquet: rose - 75 pcs. Buy in 1 click in a basket to buy 1 click in a basket bouquet of roses '' Classica'3990 ₽ Bouquet: Rosa "Miss Pigi" - 15 pcs. Rosaa "Mary Tim" - 10 pcs. Buy in 1 click in a basket to buy in 1 click in a basket mix Bouquet of 25 roses3990 ₽ Bouquet: a bouquet of 25 roses. Color to choose from. Buy in 1 click in a basket Buy 1 click in the basket Flame of Passion Rose "Avanage" - 10 pcs. Buy in 1 click in a basket Buy 1 click in a basket pink mix27000 ₽ Cup in 1 click in a basket Buy 1 click in a rose basket for you16900 ₽ Bouquet: a bush-pioneer rose- 20 pcs. Rose "Shagril" - 30 pcs Rose "Casanova - 21 pcs. Rose" Talei " - 30 pcs. Buy 1 click in the basket Buy 1 click in the basket Stylish bouquet of bush rose5700 ₽ member of the bouquet: Build roses - 29 pcs to buy in 1 click in the basket Buy in 1 click in the basket exciting recognition14900 ₽ Composit of the bouquet: Rose "Avange" - 51 pcs; rose bush - 50 pcs. Buy 1 click in the basket Buy 1 click in the basket 51 White Ecuador rose13900 ₽ Bouquet: Rose Ecuador - 51 pcs. Buy 1 click in a basket Buy 1 click in basket 51 red rose7990 ₽ Bukete's component: Rose Grande at - 51 pcs. Buy 1 click in the basket Buy 1 click in the basket of roses bouquet - giant8900 ₽ Composition of the bouquet: VIP rose "London Ai" - 29 pcs. Buy 1 click in the basket Buy 1 clicked ecubacle red roses 8900 ₽ bouquet: Ecuadorian rose - 25 pcs. Buy 1 clicked in 1 click in the basket of 25 pionovid pink Ohara7900 ₽ Composition of the bouquet: Pink Ohara rose - 25 pcs. Buy 1 click in a basket Buy 1 click in a basket Bouquet of 15 roses with eucalyptus 3850 ₽ Bouquet: Rosa Grande at - 15pcs Eucalyptus Buy 1 click in the basket Show more popular bouquets in 1 click in 1 click In the basket of my precious bouquet14900 ₽ component of the bouquet: Rosa Miss Pigi - 19 pcs. Mattiol - 10 pcs. Bush rose - 10 pcs. Diantus - 15 pcs. Eucalyptus. Buy in 1 click in the basket hit to buy 1 click in the basket flowers - hydrangea pionoid and bush rose7900 6900 ₽ bouquet: Rose London Ai - 7pcs. Rose bush. - 5 pieces. Diantus - 7pcs. Hydrangea - 3pcs. Sedum Seasonal Buy 1 Click in a basket Buy 1 click in a basket of hydrangea - a bouquet of flowers5900 ₽ a bouquet: hydrangea - 9pcs. Buy in 1 click in a basket to buy in 1 click in a summer touch in the basket 5500 ₽ Bouquet: a bush rose "Barbados" - 5 pcs. Rose "Talea" - 10 pcs. Hyperikum - 5 pcs. Eustoma - 5 pcs. Eucalyptus. Buy in 1 click in a basket to buy in 1 click in the basket a chic bouquet of chrysanthemum9900 ₽ Composite a bouquet: chrysanthemum - 31 pcs. Buy in 1 click in a basket to buy in 1 click in the basket a gorgeous bouquet of wildflowers19000 ₽ Bouquet: chamomile - 25 pcs. Campullah - 20 pcs. Eustoma pink - 10 sh. Clematis - 10 pcs. Hipppericum - 10 pcs. Solidago - 10 pcs. Dolphinium - 10 pcs. Eustoma white - 10 pcs. Buy in 1 click in a basket to buy in 1 click in a basket a chic bouquet with a rose Matiolla and eucalyptus15000 ₽ a bouquet: a single -head rose - 21 pcs. Bush rose - 15 pcs. Matiolla - 10 pcs. Eucalyptus. Buy in 1 click in the basket to buy in 1 click in the basket '' Solar Summer '' - flowers with delivery of 8900 ₽ component of the bouquet: Gmperikum - 10 pcs. Rose "Shagril"- 20 pcs. Bush -pioneer rose - 10 pcs. Skimya -Puch. Pistash. Buy in 1 click in the basket Promotion Buy in 1 click in the basket Stylish bouquet4300 3900 ₽ Bouquet: Rosa Avalansche - 5pcs. Rose bush. - 5 pieces. Alstromeria - 3pcs. Diantus - 5pcs. Pistash buy in 1 click in the basket novelty novelty buy 1 click in the basket Stylish bouquet with hydrangea11900 ₽ bouquet: Rosa Casanova - 10 pcs. Bush rose - 15 pcs. Hydrangea - 3 pcs. Carnation - 15 pcs. Hyperikum - 5 pcs of panic - 10 pcs. Eucalyptus. Buy in 1 click in a basket to buy in 1 click in the basket a stylish bouquet with a rose and a diantus490 ₽ a bouquet: Rosa "Miss Piggi" - 10pcs. Diantus - 5pcs. Mattiola bush. - 5 pieces. Eucalyptus buy in 1 click in the basket to buy in 1 click in the basket I love 9900 ₽ Composit of the bouquet: hydrangea - 3 pcs. Rosa Shagril - 11 pcs. Bush rose - 10 pcs. Clove bush. - 5 pieces. Pistaging. Buy in 1 click in the basket Promotion Buy in 1 click in the basket of 19 sunflower and solidago6990 ₽ Bukete's composite: Sunflower - 19 pcs. Solidago - 10 pcs. Buy in 1 click in a basket to buy in 1 clicked order of a single -headed - a bouquet of flowers5900 ₽ a bouquet: chrysanthemum - 17 pcs. Buy in 1 clicked order in 1 click in the basket a huge bouquet with chrysanthemums12900 ₽ bouquet: Miss Pigi Rosa -15 pcs. Chrysanthemum alone -head -10 pcs. Chrysanthemum bush - 10 pcs. Bush rose Barbados - 10 pcs. Cloves - 10 pcs. Decorative berries - 5 pcs. Eucalyptus. Buy in 1 click in a basket Buy 1 click in a chamomile basket with a bunch of mattiola 4700 ₽ Bouquet: Mattiola Kustovaya - 5 pcs. Chamomile - 10 pcs. Buy in 1 click in the basket to buy in 1 click in the basket a chic bouquet from cal5990 ₽ Bouquet: Calles - 19pc. Buy in 1 click in the basket Promotion Buy in 1 click in the basket warm summer7500 ₽ bouquet: Rose Pionovid London AI - 10pcs. Rosa Kus. Barbados - 5pcs. Eustoma - 5pcs. Diantus - 5pcs. Crocosmia - 3pcs. Panicum - 3pcs. Eucalyptus buy in 1 click in a basket to buy in 1 click in the basket of tulips a bush rose and eucalyptus12900 ₽ member of the bouquet: tulips - 35 pcs. Alstromeria - 10 pcs. Astral -10 pcs. Hyperikum - 10 pcs. Bush rose - 10 pcs. Eucalyptus. Buy in 1 click in a basket to buy in 1 click in a basket 51 tulip with lavender7990 ₽ bouquet: tulips - 51 pcs. Lavender - 1 Puch. Buy in 1 click in a basket to buy in 1 click in a basket a bouquet of daisies and irises5990 ₽ a bouquet: matrix - 25 pcs. Irises - 51- Buy in 1 click in a basket Buy 1 click in a basket Bouquet Call 9 -pound3900 ₽ Bouquet: Calles - 9 pcs. Buy in 1 click in the basket to buy in 1 click in the basket of tires of tenderness13900 ₽ Bouquet: Piones of Protia - 11 pcs. Eustoma Terry - 10 pcs. Rosa Belini - 10 pcs. Ozatamus. Eucalyptus. Oxitalum. Dianthus -15 pcs. Buy in 1 click in a basket in the photo Average bouquet in the photo Middle Buy Buy in 1 clicked glaze7900 ₽ Bouquet: Rose "Aqua" - 10 pcs. Rose "Mary Tim" - 10 pcs. Mattiol - 10 pcs. Rose "Reflex" - 10 pcs. Buy in 1 clicked fireplace color in 1 click in the carman basket - a basket with exotic colors19000 ₽ a bouquet: Rose Red Piano - 10pcs. A single -headed rose - 10pcs. Rose "Kahala" - 10pcs. Rose bush. - 10 pieces. Kalina Antirinum - 10pcs. Astra - 10pcs. Bouvard - 10pcs. Diantus - 10pcs. Eucalyptus, seasonal greens buy 1 click in a basket in 1 click in the basket composition '' Autumn Blues'7900 ₽ Bouquet: Rose. Matiolla. Skimya. Carillus. Oasis. Vase glass. Buy in 1 click in a basket to buy in 1 click in the basket composition - forest nymph13900 ₽ Bouquet: tulips - 51 pcs; Irises - 50 pcs; Alstromeria; Salal; The packaging is natural. Buy in 1 click in a basket Buy 1 click in a basket composition with roses (any letters) 7900 ₽ member of the bouquet: Rose "Pinch" - from 28pcs. Up to 35 pcs. (photo) Pistash Patron for the composition oasis buy in 1 click in a basket to buy 1 click in a basket for a birthday basket9900 ₽ Composit of a bouquet: Rosa "Maritim" - 10pcs. Rose bush. - 5 pieces. Eustoma white- 10pcs. Diantus - 10pcs. Ozaminus - 3pcs. Hipppericum - 3pcs. Eucalyptus basket Floristic foam buy in 1 click in a basket to buy 1 click in a basket basket with sunflower 23900 ₽ Composit of a bouquet: Helianthus - 30pcs. Rose bush. cream. - 10 pieces. Mattiola bush. - 10 pieces. Diantus - 10pcs. Hipppericum - 10pcs. Lemonium - 5pcs. Eucalyptus Buy Buy Buy in 1 click in a basket Buy 1 click in the Pich Avange Pich basket - 51 rose11900 ₽ Bouquet: Rosa Pich Avange - 51 pcs. Eucalyptus. The basket is natural average. Oasis. Buy in 1 click in the basket Buy 1 click in the premium basket basket 36000 ₽ Cup in 1 click in the basket Buy 1 click in the basket luxurious color basket '' in the heart'42900 ₽ component of the bouquet: eucalyptus Pitosporum Mattiol - 10pcs bush - 20pcs Rosa Gravity - 10pcs Pionovid Rosa - 10pcs Rosa Wight O'Hara - 10pcs Odolovaya Rosa - 10pcs Astilba - 10pcs Eustoma - 20pcs to buy 1 click in the basket novelty to buy 1 click in the basket Northern Lights 9900 ₽ Bouquet: Eustoma Alice - 10 pieces. Buy in 1 click in a basket Buy 1 click in a basket basket for Cinderella28900 ₽ Bouquet: lily of the valley - 75 pcs. Moss natural. The basket is average. Oasis - 2 pcs. Buy in 1 click in a basket Buy 1 click in a basket Bouquet of roses with Matiolla Clematis Eustoma28000 ₽ Bouquet: White rose - 41 pcs. Matiolla bush - 15 pcs. Eustoma - 20 pcs. Clematis - 10 pcs. Oasis - 6 pcs. The basket is large - 1 pc. Buy in 1 click in a basket to buy in 1 click in the basket of flowers basket12900 ₽ Bouquet: Rosa "Miss Piggi" - 15pcs. Mattiol - 10pcs. Eustoma - 10pcs. Eucalyptus Buy Buy Buy in 1 click in a basket Buy 1 click in a basket basket with 101 tulip14900 ₽ Composit of the bouquet: tulips - 101 pcs. Greenery. The basket is natural. Oasis - 4 pcs. Buy in 1 click in a basket Buy 1 click in the basket Leader - Flower basket27000 ₽ Bouquet: Rosa Kenya - 10 pcs. Bush rose - 10 pcs. Astra - 10 pcs. Lemonium - 10 pcs. Astilba - 10 pcs. Antirinum - 10 pcs. Decorative pepper. Helichrizum. Magnolia buy in 1 click in the basket the best price is the best price to buy at 1 click in the basket basket with flowers 8990 ₽ Bouquet: a single -head rose - 10pcs. Bush rose - 5pcs. Eustoma - 5pcs. Hipppericum - 3pcs. Hydrangea - 1pc. Lemonium - 10pcs. Eucalyptus. Buy 1 click in the basket show the bolshevs of hats in 1 click in the basket of 25 roses in a hat box4500 ₽ Bouquet: Rosa Maritim - 25pcs. The hat box Buy 1 click in the basket Buy 1 click in the basket Big box with peonies of 19900 ₽ Bouquet: Rose "London Ai" - 10pcs. Rose "Miss Piggi" - 10pcs. Rosa "VAU" - 10pcs. Rose bush. - 10 pieces. Pion pinks - 10pcs. Diantus "BRT" - 15pcs. Mattiol - 10pcs. Eucalyptus Box a Hat Decorative Oasis Buy 1 click in a basket in 1 click in a chrysanthemum basket in a hat box4500 ₽ a bouquet: Chrysanthemum Sadovaya - 3 pcs. Bush rose - 3 pcs. Eustoma - 5 pcs. Eucalyptus. Hat box. Oasis. Buy in 1 click in a basket to buy in 1 click in the basket composition Heart11900 ₽ Composit of a bouquet: Rose Avange - 29 pcs. Rose Grand Prix at - 23-27 pcs. Buy 1 click in a basket Buy 1 click in the basket of flowers basket - '' Summer evening'4500 ₽ Bouquet: Pompasnaya grass - 5 pcs. Bush rose - 3 pcs. Eustoma - 3 pcs. Diantus - 5 pcs. Buy a pistol in 1 click in a basket Buy 1 click in the basket red velvet24900 ₽ Bukete's composal: Pionovyna Rosa Red Piano - 51pcs. Buy in 1 click in a basket to buy in 1 click in a pional coral basket in a hat box6900 ₽ a bouquet: the peony "Coral Sharm" - 7pcs. Rose bush. "Lady Bombastik" - 10pcs. Pistash hat box Floristic foam buy in 1 click in a basket to buy 1 click in a basket hat box with 21 hydrangea11900 ₽ bouquet: hydrangea - 19 pcs. Hat box. Oasis -6 pcs. Buy in 1 click in the basket to buy in 1 click in the basket a hat box with a dolphinium12900 ₽ Bouquet: Dolphinium - 3pcs. Mattiola bush. - 5 pieces. Hydrangea - 1pc. Rose bush. Persian - 5pcs. Rose bush. Lilac - 5pcs. Diantus - 7pcs. Oxypetalum - 5pcs. Peonies - 3pcs. Eustoma - 3pcs. Box hat oasis Buy 1 click in the basket hit to buy 1 click in the basket Hathing box with an eustoma rose and eucalyptus 6400 5900 ₽ Buketee: Hat box - 3 pcs - 10 pcs. Click in the basket to buy in 1 click in the basket a hat box with a bush pionoid rose590 ₽ a bouquet: rose bush. Pionovid - 10pcs. Eucalyptus hat box Floristic foam to buy 1 click in a basket Buy 1 click in a basket Hap with mattiola 8990 ₽ Bouquet: Miss Piggi rose - 15pcs. Mattiol - 10pcs. Eustoma - 7pcs. Eucalyptus Box a Hat Oasis Buy 1 click in a basket to buy 1 click in a basket Hat box with roses and eucalyptus 6900 ₽ Composit of a bouquet: rose aqua - 31 pcs. Eucalyptus Hat Box Oasis - 2 pcs. Buy in 1 click in a basket to buy in 1 click in the basket a hat box with 101 rose16900 ₽ Bouquet: Rosa Avange - 101 pcs. The hat box is large. Buy in 1 click in the basket to buy in 1 click in the basket mysterious tenderness8990 ₽ member of the bouquet: Persian rose - 19 pcs. Tsimbidium orchid -15 pcs. Eucalyptus Box Hat. Oasis 2 pcs. Buy in 1 click in the basket hit hit to buy in 1 click in the basket Big box with hydrangea 8900 ₽ bouquet: Miss Pigi Rosa - 10 pcs. Rose bush reflex - 10 pcs. Hydrangea - 3 pcs. Diantus - 7 pcs. Eucalyptus. Oasis - 2 pcs. The hat box is average. Buy in 1 click in a basket to buy in 1 click in the basket of grace7890 ₽ member of the bouquet: rose - 51 pcs. The gateway box. Oasis - 2 pcs. Buy in 1 click in a basket Buy 1 click in a basket composition for a man12000 ₽ Bouquet: Anturium - 2pcs. Rose "Kahala" - 10pcs. Calla - 10pcs. Diantus - 5pcs. Crocosmia - 10pcs. Lotus - 5pcs. Catinus - 10pcs. Panicum - 3pcs. Buy in 1 click in a basket to buy in 1 click in a basket a small box with a gypsophila 3900 ₽ a bouquet: gypsophila - 15 pcs. Hat box. Oasis. Buy in 1 click in a basket to buy in 1 click in the basket of sunflower in a hat box5990 ₽ a bouquet: sunflower - 15 pcs. Hat box - 1 pc. Oasis - 2 pcs. Buy in 1 click in a basket to buy in 1 click in a basket a hat box with an orchid7900 ₽ a bouquet: an orchid cymbidium - 15 pcs. Eucalyptus. The hat box is average. Oasis - 2 pcs. Buy in 1 click in the basket novelty novelty to buy 1 click in the basket Hat box with garden chrysanthemums6990 ₽ a bouquet: Chrysanthemum Garden - 5 pcs. Chrysanthemum bush - 10 pcs. The rose is one-headed- 11 pcs. Bush rose - 10 pcs. Eucalyptus Box Hat. Oasis - 2 pcs. Buy in 1 click in a basket to buy in 1 click in a basket box with a rose capuchino - average 9900 ₽ component of a bouquet: Rose Kappuchino - 51 pcs. The box is average. Oasis - 2 pcs. Buy in 1 click in a basket to buy in 1 click in the basket I love15900 ₽ Bukete's component: rose - 79 pcs.; Hat box. Buy in 1 click in the basket to show the basic to go somewhere? We will deliver the flowers by the byactro and for free! Warranty for freshness we will immediately replace the bouquet-pay photo before delivering a photo of the bouquet before sending a bouquet to the bouquet to write your text by a potassium doseword of customers about the naiveron calls the bouquet from 51 roses of 51 roses They contacted and issued the order, taking into account the wishes, they delivered the wishes :) The name of the name is very pleased with the good quality of the colors! Also, and the postcard as a gift that you are very pleasant when you are far from a close person of the Denytrhevriytriytriytriyansko -worked promptly! Within 3 hours from the moment the order was placed in a clearly agreed time, the bouquet was delivered to the spouse! Thank you very much to the specialist of the company Gennady! Prosperity to your business! I want to say thank you to Gennady for a quality bouquet and good work with a difficult customer (this is me) $) ours sister Happy Birthday)) I myself chose a lot of flower companies from St. Petersburg)) Gennady immediately said that he said confidently that he said that We will do whatever you want)) and did not deceive 🙌🏻👌🏼🙏🏼Pasybo for your work and success to you in your excellent work 🌹 Vladimirhuhu to express great gratitude to the Gennadyuz. Beautiful Bouquet -Hospital, the most important thing ... The quality guarantee on DR white roses stood A week is super! Thank you! Victoriaispasibo store for help with a bouquet in Moscow to a loved one) Despite the problems with the transfer of money (Crimea), they treated us with understanding and helped with the solution of the issue! Thank you very much!) Olgaspasibo huge Gennady !!! A wonderful service took into account all the wishes delivered a beautiful bouquet of the freshest roses to the anniversary. You give unforgettable emotions! I can sincerely say- I am pleasantly surprised by the organization thank you for the excellent work! Everything in time is harmonious at the highest level !!! Thank you !!! Tatyana ordered the flowers brought on the same day! Great work is fast and efficient. A friend is happy with a bouquet and I feel good. I ordered a bouquet of seduction - an excellent combination of colors and colors also pleased that it does not look miniature. Flowering: convenience and speed ordering of colors has become easier and more convenient thanks to the services of many companies providing such services. Flower delivery is not only a beautiful and romantic gesture, but also the ability to express your feelings and emotions at a distance. How to order flowers delivery? Order flowers with delivery can be possible in several ways: through online stores by phone or when visiting a store. However, the most convenient and quick way is to order through the online store. All you need is to choose a bouquet of flowers indicate the delivery address and pay for the order. Processions of ordering flowers with delivery of flowers with delivery - this is not only convenient, but also saves time. You do not need to spend time visiting the store and the choice of a bouquet of flowers is carried out quickly and on time. In addition, online stores offer a wide selection of flower bouquets from classic roses to exotic colors, which allows you to choose exactly the bouquet that is suitable for you. Payment of the order of the color of the flow of flowers occurs through our online store that offers various payment methods: with an electronic wallets or by a bank card or by a bank card Cash upon receipt of the order. After paying for the order, we will contact you to clarify the delivery details. Ordering flowers is convenient and simple. You can choose a bouquet of flowers that is suitable for you to pay for the order and get it on time. Buying a bouquet of flowers with delivery is a beautiful and romantic gesture that will leave a pleasant impression on the recipient. Do not put off for later order the delivery of flowers today! Popular questions What types of colors are available for delivery? We offer a wide selection of flowers for delivery from classic roses to exotic colors. You can choose a bouquet of flowers that is suitable for you. How can I order flower delivery? You can order flower delivery through our online store by phone or when visiting a store. Can I choose the time of flower delivery? Yes, you can choose the time of flower delivery when placing an order. Additionally, the option "Coordinate the date and delivery time of the recipient" is additionally available. How long does it take to deliver flowers? We deliver your bouquet within two hours after the order confirmation. How much does delivery cost? The cost of flowing colors usually includes the cost of a bouquet of flowers and delivery. From 06.00 to 23.00 delivery of bouquets worth more than 3,500 rubles. In Moscow, it is free. Delivery of bouquets worth less than 3,500 rubles. - 350 rubles. The cost of delivery at another time is discussed with the operator. What payments of payment are available when ordering colors? We offer you the following methods of payment of orders: by bank card by electronic wallets or cash upon receipt of the order. © Service for Flower Delivery Buketonline 2016 - 2021O NASO SPUSISSISHS OF DELIVERY OF CONTACTIVITIES AND PAYTASITIES ON THE COUNTION OF BOVILITITICES BLOULD WITH WITH WITH WITH WITH+7 (495) 767 52 30+7 985 767 52 30 DISCULATION Call × fast order! Reception of orders is carried out from 7:00 to 23:00. The manager will contact you in the morning. The near future delivery for tomorrow is not earlier than 9: 00 to recover the “Send” button you agree with the rules of privacy policy</v>
      </c>
    </row>
    <row r="291">
      <c r="A291" s="1" t="s">
        <v>883</v>
      </c>
      <c r="B291" s="1" t="s">
        <v>939</v>
      </c>
      <c r="D291" s="1">
        <v>15.0</v>
      </c>
      <c r="E291" s="4" t="s">
        <v>940</v>
      </c>
      <c r="F291" s="1" t="s">
        <v>16</v>
      </c>
      <c r="G291" s="1" t="s">
        <v>941</v>
      </c>
      <c r="H291" s="4" t="s">
        <v>942</v>
      </c>
      <c r="I291" s="2">
        <v>1.0</v>
      </c>
      <c r="J291" s="5" t="str">
        <f>IFERROR(__xludf.DUMMYFUNCTION("GOOGLETRANSLATE(A291)"),"Gypsophyla")</f>
        <v>Gypsophyla</v>
      </c>
      <c r="K291" s="6" t="str">
        <f>IFERROR(__xludf.DUMMYFUNCTION("GOOGLETRANSLATE(B291)"),"Bouquets of 51 gypsophiles buy in Moscow ✿ Delivery")</f>
        <v>Bouquets of 51 gypsophiles buy in Moscow ✿ Delivery</v>
      </c>
      <c r="L291" s="5" t="str">
        <f>IFERROR(__xludf.DUMMYFUNCTION("GOOGLETRANSLATE(C291)"),"#VALUE!")</f>
        <v>#VALUE!</v>
      </c>
      <c r="M291" s="5" t="str">
        <f>IFERROR(__xludf.DUMMYFUNCTION("GOOGLETRANSLATE(G291)"),"Flower delivery in Moscow | Order a bouquet of fresh flowers to the house in the Venus in Fleurs online store (metro Prague metro) about Nasaraniyanash Commandar-Visitavka-Slapakak, make custom-made calls and answers of the Ovali Kontaktysobraki on the ph"&amp;"oto of the business the largest store delivery store in Moscow 0 8-800-200-40-42 free of charge in Russia PN. -BC: from 9 to 22 8-800-200-40-42 The main office +7-495-003-21-51 navigate the WhatsApp +7-926-780-53-74 telegram @venusinfleurs_msk instagram @"&amp;" @ @ @ @ @levusinfleurs. Working mail msk@venusinfleurs.ru Address Moscow st. Kirovogradsk 38 bldg. 1 Enter catalog autumn bouquets of compositionVIP bouquets 199-authoric 122-class 384insta Bouquets 188 Popular 240CAID BUIKS 125 MIKS 792 Flows 74books 12"&amp;"2books with logo 22-BUSK-BUKETS 166 CETS 59 TO MUSKOLAD BUIKS 136MONOL DCA 154 MIKSS FILS in a box of 147 mini-boots 310 MIKS FROM FLOWERS 31Romanic 194 painted 200-seled 49Po flowering 263 Bureza 55 -bended 117 Glutic 49 yellow 92 green 25 -oral 55Koral "&amp;"56Kophene 32 red 127 -core 32maline 44 -rhranium 49 -rifle 22 28 -silver 28 -sized 57Fiocell 43pat type Packaging. 8V white box 573V Black box 251books in a 30 -glass box box 6po season, season 139 -core 166 -year -old 157 -rich 142 price up to 5,000 r. 2"&amp;"10 with 5,000 p. up to 7,000 p. 278 with 7,000 p. up to 10,000 p. 365 with 10,000 p. 599						Цветы													Сезонные предложения 142Альстромерия 68Амариллис 15Антирринум 10Верба 2Гвоздики 115Георгины 41Герберы 60Гиацинты 52Гипсофила 26Гладиолусы 22Гор"&amp;"тензии 97Дельфиниум 28Ирисы 35Каллы 70Краспедия 14Лаванда 10Лагурус 29Лилии 30Лимониум 3Лотос 6Маттиолы 57Мимоза 31Нарциссы 25Озотамнус 17Орхидеи 153Пионы 94Подсолнухи 29Протея 11Пшеница 16Ранункулюсы 42Розы 374Ромашки 54Сирень 12Статица 15Сухоцветы 45Тра"&amp;"хелиум 7Тюльпаны 110Фрезии 63Хлопок 42Хризантемы 103Эвкалипт 69Эрингиум 8Эустомы 77						Пионы													По Flower -free peonies 33 red peonies 4zor peonies 42Koral peonies 9 -pional peonies 14 -piona MIX 52 pionoles 9 piono 1325 peonies 2751 Pion 19101"&amp;" Pion 13 compilations in the box 36piones 10 roses roses9 rose 10919 Rose 9225 Rose 9225 Rose Rosa 9225 Rose Rose 9225 Rose Ros Z 10729 roses 11231 Rose 12941 Rose 14051 Rose 24481 rose 201101 rose 243131 Rose 29151 Rose 1320151 rose 13301 rose 18501 rose"&amp;" 161001 rose 9 -compound9 roses in a box of 3615 roses in a box 4325 roses in a box 6431 rose in a box 7251 rose in the box in the box 18920 Outode in the box 19 under the tape 58V Kashpo 17V Box 416V BASK 30V shara 54C 32C 32C named after 59 Service 154."&amp;" Flower -down 161 -bruise 50 brogride 171 -grade 35 gyrel 15 golden 50 -ore 50 -rifle 28 red 145 -cream 26maline 18mix 98 -radial 7 -rhiz 130 -sustained 31 -sized 37fiolet 34 -black 41 POSICAL 95 -pioneer 75 -Elite 128po size 60 cm 7170 cm 980 cm 690 cm 3"&amp;"100 SM 2120 cm 2150 cm 1200 cm 1 tulips on flowering tulips 50 yellow tulips 24 red tulips 23-rifle tulips 45fiolet tulips 32 red-white tulips 5-pioneer tulips 51-buses51 tulip 26101 tulpan 920 Pan 5 -compartment Tulpany in a box of 42 cords of tulips 10t"&amp;"h -large bouquet of tulips 22 Gifts of rose petals 3 postcards 22 Countries 27 accents 46 Shades of 30 clubs in chocolate 18 photographs 5 who grandmother 250 Druk 212 Druzes 301 colleagues 204 Lyongers 328mamm 321muzhchina 64 auresteum 63 Papapa 142 reic"&amp;" leadership 210 seser 288 Summer 299 Center for Master Calendar 25 0lite birthday 267 Evil 174 years old 179 ITUM 278NOLSELA 180 Propement of the child 230 session 166 SCARITION 154 SPASibo 165 TRARURURARY 188V Theater 10V 00B shares 00V The basket is emp"&amp;"ty! Hits Sales Correlations in the boxing why are we? Payment of Dolyamin 4 months from Tinkoff. In 3 times more resistant assembly in our hat boxes allows roses to stay fresh and delight you 3 times longer than usual. Paid delivery courier service will q"&amp;"uickly deliver your bouquet to any point in the city. Photo before sending Bouquet before sending you to accurately be convinced that the bouquet is like it is necessary. The manner for each order for each order we give a gift that will perfectly compleme"&amp;"nt the bouquet. Consistent design will be appreciated by the dignity. The daily purchase of fresh color will delight you from 7 to 14 days. If you You will not like the bouquets you will inform us about this within a day We will change it for free. Delive"&amp;"ry of flowers in Moscow Popularity Catalogen Mammynsennets of Birthday of the Bukesimonomonomno -Buyplars in the boxing of corporate customers of the flower bouquets of the flowing Sytomiks Filter -filtering. Lier -earned -bonded zelegular zelegular -glue"&amp;" -lung -mesh -sulfide -sulfur -sulfurial -sulfurial -esophysum -mes -mesh -meshodyneineyneine -male -bearing -packed -up type packaging type Packing Kibuket under the packets of a round box of hearts of Carcasses of Glass Kashpov. Korobkev black boxes of "&amp;"white box and clean the type of flowers type of flowers of flowers -cardicirhideigerchideygsygorteneniylyxiclyucyuplymaskakakakakakakakakhlytulpany -rhizanthemony -oustemyolphyolsyolysomatylygipsophilnarciagiagiacyazyegiacyazyeziyazyegiacyazyegiacyegiacyl"&amp;"umeliylumelicemichelumeliolumelicemiacin Mantirrinumclinumspediyalawavvandaamarillismimosalimosalimonium-dimenskagramliptracli-nomede-native-nuclear-navlopyrengoleshumsuhsukhsukhsukhsukhsarobseronyaronikarosasazatamyatamosatamysatamyta bouquets of bouquet"&amp;"s of mudwall bouquets of flowing-free-art-vehicles made of kinderma Bouquets with logoibribusiness-boobs with chocolate bouquets Bride bouquet bouquet bouquets of cerebral flowers in the boxing-bugs from flowers of excellent-painted sexual-aged bouquet bo"&amp;"uquet bouquet to prepare our sentences our sentences of our sentences of our proposals Clean the height of the bouquet bouquet height60 cm70 cm80 cm90 cm100 cm120 cm15 cm150 SM-clean the number of flowers The number of colors915-1925-294151511151151201512"&amp;"012513014014015011001 CEENED to whom kOMMUMEMELUBIMOLUBRUMOURECHECHARUKOLYARUKURUMENEMSYAMSYAMSYAMAMOKOLAMEMMUMUMEMAMEMMUMUMEMMUMEMAMUMMUMEMMUMUMUMUMUMUMUMUMUMUMUMUMUMUMUMUMUMUMUMUMUMYy Wipe the filters Choosing a buyer of a chitrazer: 25 cm.25 cm. Compos"&amp;"it of the bouquet: 29 roses select the required amount of 9 pcs. - 3 990 ₽ 19 pcs. - 5 690 ₽ 29 pcs. - 6 890 ₽ 41 pcs. - 8 790 ₽ 51 pcs. - 10 390 ₽ 81 pcs. - 15 790 ₽ 101 pcs. - 18 590 ₽ 151 pcs. - 27 490 ₽ 201 pcs. - 35 490 ₽ Little roses in Korobkekashb"&amp;"ek 1903 990 ₽ order NEW sizes: 30 cm .50 - 60 cm. Buket -set: 29 roses of the orchid, select the required amount of 9 pcs. - 4 190 ₽ 19 pcs. - 5 990 ₽ 29 pcs. - 7 890 ₽ 41 pcs. - 10 190 ₽ 51 pcs. - 11 590 ₽ 81 pcs. - 17 190 ₽ 101 pcs. - 20 090 ₽ 151 pcs. "&amp;"- 30 890 ₽ 201 pcs. - 37 990 ₽ Creound roses with white orchids in bouquetkeshback 2004 190 ₽ ordering cunning: 25 cm. 25 cm. Steas of the bouquet: 51 dendrobium orchid, choose the required amount of 29 pcs. - 5 090 ₽ 51 pcs. - 7 490 ₽ 81 pcs. - 11 590 ₽ "&amp;"101 pcs. - 13 490 ₽ 151 pcs. - 20 390 ₽ 201 pcs. - 25 090 ₽ orchids ""Dandrobium"" in Korobkeshbek 2505 090 ₽ order the size: 35 cm.50 - 60 cm. Bukete (10 Eusta 1 Hydension 25 Rose Lagurus, select the required amount of 45 pcs. - 13 190 ₽ Author bouquet N"&amp;"o. 14 Kashbek 65013 190 ₽ price: 12 690 ₽ Order Promotion: 20 cm. 25 cm. Bukete Stef: 9 roses 1 pc Nutella 1pc Kinder Surprise and Kinder Chocolate (9 pcs) 1 Mishka select the required amount of 21 pcs . - 5 390 ₽ Complement with pink rosamikashbek 2605 3"&amp;"90 ₽ price: 4 890 ₽ order cunning: 30 cm. 25 cm. Stef bouquet: 51 rose, select the required amount of 41 pcs. - 8 790 ₽ 51 pcs. - 10 390 ₽ 81 pcs. - 15 790 ₽ 101 pcs. - 18 590 clientefani with white ""Tiffany Love"" cashback 4308 790 ₽ there is no use of "&amp;"size: 25 cm. 25 cm. Buket -sustain: 19 pionov select the required amount of 19 pcs. - 17,390 ₽19 Pions ""Softness"" in Korobkeshbek 86017 390 ₽ price: 16 390 ₽ order cunning: 30 cm. 25 cm. Bukete Stef: 51 rose, select the required amount of 51 pcs. - 10 3"&amp;"90 ₽ 81 pcs. - 15 790 ₽ 101 pcs. - 18 590 ₽ 201 pcs. - 35 490 ₽fiolet roses in the box ""Luxury Heart"" cashback 51010 390 ₽ order cunning: 40 cm. 50 cm. Buketa: 7 orchids 31 rose 30 bush roses 20 euste 1 hydrangea 1 gold sheet 11 Hypericum select the req"&amp;"uired amount of 51 pcs. - 17 890 ₽ 101 pcs. - 27 390 ₽ 181 pcs. - 46 290 ₽ Bouquet ""Wild Passion"" Cashback 89017 890 ₽ order cunning: 40 cm. 50 See bouquet: 100 roses 1 branch of the orchid, select the required amount of 51 pcs. - 11 090 ₽ 101 pcs. - 21"&amp;" 290 ₽ 151 pcs. - 31 590 ₽ 251 pcs. - 49 390 ₽ Tiffany with orchideyamykashbek 55011 090 ₽ order cunning: 40 cm. 40 cm. Stef bouquet: 28 roses 13 orchids, select the required amount of 29 pcs. - 7 890 ₽ 41 pcs. - 10 290 ₽ 151 pcs. - 31 990 ₽ 251 pcs. - 43"&amp;" 290 ₽ Bouquet of roses and orchids in Korobkekashbek 3907 890 ₽ order cunning: 20 cm. 35 cm. Stef bouquet: 3 hydrangeas select the required amount of 3 pcs. - 4 690 ₽ 5 pcs. - 6 590 ₽ 9 pcs. - 10 590 ₽ 19 pcs. - 20 190 ₽ 29 pcs. - 29 590 ₽ 51 pcs. - 50,5"&amp;"90 ₽ healing in the hats Korobkeshbek 2304 690 ₽ ordering the all -authoric bouquet of size: 45 cm. 50 - 60 cm. Bukete component: 10 Herber 25 cloves 10 Matthiol 10 Kraspedii Pen Pen, choose the required amount of 65 pcs. - 26 590 ₽ Author bouquet No. 22 "&amp;"Kashbek 132026 590 ₽ price: 25 590 ₽ order the size of the size: 35 cm. 40 - 50 cm. Bouquet components: 5 roses 10 eusta 6 bush pionoid roses Lagurus Eucalyptus select the required amount of 21 pcs. - 11,290 ₽ Author bouquet No. 17 Kashbek 56011 290 ₽ pri"&amp;"ce: 10 790 ₽ order the size of the size: 35 cm. 60 cm. Stef bouquet: 5 large chrysanthemums 10 Delphinium 1 Hydrangea 15 roses select the required amount of 31 pcs. - 12 990 ₽ Author bouquet No. 1keshbek 64012 990 ₽ price: 12 490 ₽ Order the size of the s"&amp;"ize: 35 cm. 60 cm. Stef bouquet: 5 orchids 20 rose roses gold leaf select the required amount of 25 pcs. - 12 490 ₽ Author bouquet No. 13Kashbek 62012 490 ₽ price: 11 990 ₽ order cunning: 35 cm. 50 cm. Steas of the bouquet: 20 cloves 21 rose 10 Eusta Gree"&amp;"ns select the required amount of 51 pcs. - 13 590 ₽ 81 pcs. - 20 390 ₽ 151 pcs. - 34 890 ₽ Bouquet ""Beautiful moment"" cashback 67013 590 ₽ order the size of the size: 35 cm. 60 cm. Stef bouquet: 20 cloves Lagurus 1 Gornia 16 roses select the required am"&amp;"ount of 37 pcs. - 9 790 ₽ Author bouquet No. 3Kashbek 4809 790 ₽ price: 9 290 ₽ order cunning: 35 cm .50 - 60 cm. Bukete Stef: 10 Matthiol 10 pionivate roses 10 bush roses 10 calicalipt select the required amount of 41 pcs. - 18 990 ₽ Author bouquet No. 2"&amp;"8Kashbek 94018 990 ₽ order the size of the size: 35 cm. 60 cm. Stef bouquet: 5 bushy chrysanthemums 5 roses 5 euste dry flowers select the required amount of 15 pcs. - 7 890 ₽ Author bouquet No. 10 Kashbek 3907 890 ₽ price: 7 390 ₽ order the size of the s"&amp;"ize: 35 cm. 60 cm. Stef bouquet: 20 cloves. 10 roses eucalyptus 1 succulent dry flowers select the required amount of 31 pcs. - 10 490 ₽ Author bouquet No. 7Kashbek 52010 490 ₽ price: 9 990 ₽ Order the size of the size: 35 cm. 60 cm. Bukete (10 pionic ros"&amp;"es 9 roses eucalyptus, select the required amount of 19 pcs. - 10 390 ₽ Author bouquet No. 8Kashbek 51010 390 ₽ price: 9 890 ₽ order the size: 100 cm. 60 - 70 cm. Buketee: 30 orchids of dendrobium 4 bureau 10 carzantems 1 Grudik 1 Hodge Greens Greens Rusc"&amp;"uspot Pampasy Grass Select the required amount 45 PC. - 35 690 ₽ Author bouquet No. 18 Kashbek 178035 690 ₽ order the size: 40 cm. 50 - 60 cm. Bukete (29 roses 10 Caloniki 10 Veronica 10 orchids Falenopsis 1 Proteus 1 Pride Ruskus Select the required amou"&amp;"nt 61 pcs. - 18 990 ₽ Author bouquet No. 25KashBEK 94018 990 ₽ price: 18 490 ₽ ordering the entirety in the box in the presence of size: 50 cm. Bukete: 10 Piono 38 roses 3 g. Eucalyptus gold leaves, select the required amount of 51 pcs. - 22 590 ₽ 101 pcs"&amp;". - 39 090 ₽ 201 pcs. - 64 390 ₽ the bouquet ""Good Morning"" in Korobkekashbek 112022 590 ₽ order the size of the size: 40 cm. 25 cm. Stef bouquet: 131 rose select the required amount of 131 pcs. - 22 790 ₽131 rose - crown on the black vonkeshbek 113022 "&amp;"790 ₽ price: 21,790 ₽ ordering cunning: 45 cm. 55 cm. Stef bouquet: 81 rose 20 Eusta Greens select the required amount of 51 pcs. - 12 790 ₽ 101 pcs. - 22 090 ₽ 151 pcs. - 32 390 ₽ flowing composition ""Chic delicate mix"" cashback 63012 790 ₽ order cunni"&amp;"ng: 15 cm. Smel. Bouquet: 15 orchids, select the required amount of 15 pcs. - 6 290 ₽ 29 pcs. - 10 590 ₽ 51 pcs. - 16 990 ₽ 81 pcs. - 26 790 ₽ 101 pcs. - 32 390 ₽ Rozed orchids in a hat box for Tatyana's Day Kashbek 3106 290 ₽ Order the size of the size: "&amp;"100 cm. 25 cm. Bouquet components: I box - 51 rose heart box - 101 rose y - 51 rose, select the required amount of 201 pcs. - 32 090 ₽i love you from roses in a box on the day of the Valentine Kashback 160032 090 ₽ price: 31 090 ₽ order the size of the si"&amp;"ze: 40 cm. Buketa: 10 chrysanthemums 20 roses 5 orchids 7 kinders 5 kinders of chocolate 3 nuttla Mishka 1 pcs . Eucalyptus select the required amount of 51 pcs. - 16 190 ₽ Dicked -up orchid with sweets with sweets 80016 190 ₽ price: 15 190 ₽ ordering cun"&amp;"ning: 30 cm.25 cm. Stef bouquet: 51 rose, select the required amount of 51 pcs. - 10 390 ₽ 81 pcs. - 15 790 ₽ 101 pcs. - 18 590 ₽ 201 pcs. - 35 490 ₽ White roses with the date ""Gold Date"" cashback 51010 390 ₽ order cunning: 40 cm. Support of the bouquet"&amp;": 10 orchids 46 roses 5 chrysanthemums of 50 tulips of 20 bushes, select the required amount of 51 pcs. - 13 590 ₽ 131 pcs. - 27 390 ₽ 251 pcs. - 49 690 ₽ flowing composition ""Wild orchid"" cashback 67013 590 ₽ order cunning: 25 cm.25 cm. Stef bouquet: 2"&amp;"9 roses select the required amount of 19 pcs. - 5 090 ₽ 29 pcs. - 6 490 ₽ 41 pcs. - 8 490 ₽ 51 pcs. - 9 990 ₽ 81 pcs. - 15 590 ₽ 101 pcs. - 18 390 ₽ 151 pcs. - 27 790 ₽ 201 pcs. - 34,890 ₽ Comrella roses in the box - from 19 Stkeshback 2505 090 ₽ order: 2"&amp;"5 cm. 25 cm. Stef bouquet: 29 roses of the orchid, select the required amount of 19 pcs. - 4 990 ₽ 29 pcs. - 6 390 ₽ 51 pcs. - 9 790 ₽ 101 pcs. - 18 190 ₽ 201 pcs. - 33 590 ₽ Comosition ""Lovely Luxury"" with dendrobium in Korobkekashbek 2404 990 ₽ order "&amp;"the Promotion: 20 cm. 25 cm. Stef bouquet: 15 roses select the required amount of 15 pcs. - 4 790 ₽15 turquoise roses with gold in Korobkeshbek 2304 790 ₽ price: 4 490 ₽ order cunning: 45 cm. 50 See bouquet: 30 dendrobium 20 orchids 20 rose 20 hyacinths, "&amp;"select the required amount of 51 pcs. - 11 490 ₽ 101 pcs. - 20 190 ₽ 201 pcs. - 34 490 ₽ Flower composition ""Blue Laguna"" Cashback 57011 490 ₽ ordering everything why we? About the immunity of the Employment of the Great Guarantee, the Venus in Fleurs N"&amp;"asflorists collect classic bouquets from 5 to 1001 flower - round vertical free shape. Find unique combinations of colors-not just mixes, but spectacular minimalistic designs in two or three shades. They choose unusual colors: Tiffany Golden Green Green b"&amp;"right purple, etc. They develop a unique design for a specific reason. The store presents a large assortment of compositions in boxes: in the form of a ball; with a date; with an inscription; with a company logo. Florists with great work experience will r"&amp;"epeat even a complex symbol each flower will be exactly in its place. Delivery with your own transport - not a single bud will suffer. In more detail about the survival of flowers in Moscow at home and to the office. We are inexpensively traveling around "&amp;"the Moscow region. Find the addressee even if you know only the phone number or WhatsApp. A metro meeting is possible. To the order, you can add a personal message with an emoji photo to attach a gift. We will put the bouquets quickly - within three hours"&amp;". An urgent delivery of the Courier arrival is possible by accurate time the cost of 800 rubles. Anonymous delivery. We will maintain confidentiality even if a person tries to bribe a courier. VIP dodging. If you do not have time to choose flowers in the "&amp;"online store, entrust this to the florists. You only need the contact details of the recipient's wishes for the design. A report to the messenger or e -mail will come about the delivered bouquet. More about the delivery of color -pretense of 3000 stylish "&amp;"bouquet flowers - there are no golden blue analogues on the Russian market. Fores before sending 300 bonus rubles from each purchase of 300 bonus installments from Tinkoffhantye, the order did not arrange the recipient. Lithuania Photo of the composition "&amp;"and describe the problem. If the composition does not comply with the composition, we will return the money or replace the goods. When delivering to accurate time, the maximum time of the delay of the courier does not exceed 10-15 minutes. We maintain the"&amp;" confidentiality of personal data. A check with a confirmation of payment is sent to e -mail. Have you noticed how beautiful a woman with a bouquet is in her hands? Birthday Buy Bouquet Buying Buildings to the Bride theater Explode Reviews about the deliv"&amp;"ery of flowers in Moscow WhatsAppyandex Google 2GIS to see all our bouquets with satisfied customers Contacting House address in Moscow: 117534 Moscow st. Kirovograd house 38 bldg. 111 min. On foot from m. ""Prague"" contacts for communication: phones thr"&amp;"oughout Russia: 8-800-200-40-42 Mobile: 79267805374 WhatsApp: 79267805374 Email: msk@venusinfleurs.ru Office Disse Contact center work: from 09 - 22:00 hours of personal managers in chat: from 09 - 22:00 on corporate services: phones throughout Russia: Mo"&amp;"bile: 79267805374 WhatsApp: 79267805374 Email: msk@venusinfleurs.ru 9:00 to 22:00 Questions and answers to place an order for flowing flowers? To place an order, select a bouquet of the number of flowers and click on the “In the basket” button. Fill in th"&amp;"e information you know and select the desired payment method. You can also write to call our managers in WhatsApp or Telegramkak Pay the order? You can pay for the order using the Apple Pay Google Pay bank card Yandex. Money QIWI PAYPAL Cash Courier. For "&amp;"legal entities, payment for non -cash payment is provided - for this, leave a request on msk@venusinfleurs.ru how much is delivery? If the order cost is below 3500 rubles - delivery is paid separately in the amount of 500 rubles in any hourly interval fro"&amp;"m 9.00 to 20.00 - free of charge. The hourly interval from 20.00 to 00.00 - 500 rubles in any hourly interval from 00.00 to 9.00 - 1000 rubles. Delivery outside the Moscow Ring Road of up to 5 km - 500 rubles. Next, 50 ₽ / 1 kmkak will quickly deliver a b"&amp;"ouquet? We will deliver you a bouquet within 3-4 hours from the date of placement of the order. Depending on the road situation, the presence of colors, etc. Delivery time can change slightly. How can I find out that the bouquet is delivered? We will cont"&amp;"act you convenient for you and notify you about delivery. Do you get a bouquet if I do not know the address? Of course. You can provide any way you know with the recipient. We will contact him (her) and delicately clarify all the information on delivery. "&amp;"Is there any delivery to other cities? We deliver a bouquet within 100 km. For the Moscow Ring Road. The manager of our company will tell in specific cities. Is an anonymous delivery is possible? Flower delivery is completely anonymous. The sender's name "&amp;"is reported only with the permission of the customer or if it is indicated in the message. How quickly are you contacting me after placing the order? Our managers call back within 10-15 minutes. After placing an order. If the order was placed after 22:00,"&amp;" then the manager will call you back at 9: 00. The painted roses are living? Flowers of turquoise blue green gold silver blue purple and black colors are natural fresh flowers that are covered with special floral paint. It does not smell and does not harm"&amp;" the colors and also it is hypoallergenic for a person. Does the paint so smell? Floristic paint does not have a smell so we additionally aromatize the painted buds with a pleasant flower aroma. Do you send a photo of the order? Yes, by readiness we will "&amp;"be sent to you photo And then we will transfer to delivery. If you have any comments on the order, then we will definitely take them into account. Do you have bonuses? Yes. For registered users of our site, we have a bonus system. For each order, bonuses "&amp;"are charged to you that you can pay in the future up to 30% of the order of the order. More for more than 169 09/22/09.2023, a blog of which bouquet to give a young child in the garden for the day of the teacherburn - always the subject of the unrest of p"&amp;"arents. We ask about how much a child is comfortable in the walls of a preschool institution whether he communicates well with the team whether he behaves with dignity and how developing. Meanwhile, about people who surround him, as a rule, his parents th"&amp;"ink in the second place; As if the whole world is spinning around boys and girls! But think about those who surround him who creates for a child in the garden a wonderful atmosphere of understanding the concern of a real childhood? Read more 125 09/22/202"&amp;"3 Blogpupular flowers on September 1: the choice and values ​​of the vestibule of a special holiday - we want to tell you non -banally about how to choose the right bouquet of flowers. Someone will want to make a significant gift to their teacher and some"&amp;"one-to express admiration for a colleague. The point here is not quite in the donor and its reasons, but in the one to whom this gift will be awarded. Read more 525 12.01.2023 Blogging flowers give a man on February 23? If you give flowers to men, then on"&amp;" their main holiday. On February 23, we celebrate the Defender of the Fatherland Day. Why is this date and who can be congratulated? We look at all articles in Moscow and the Moscow Region -Aprilovkabalashikhaviwa -Distyzdzerzhinsky Dolgoprudno -Modemodov"&amp;"odovykhukovsky Zelegradihogradihradovankarolovnikarolobnilobnilovyltykinolutsomoskomoskodolovopushkhoskhoskhoskhumnoranovskhumnimoschisychisychischelovykhchischelovykhchischertskhchischychischert. Log Flower Rozylpano -Pyanolpaniynesynculuslyusyusyusyusyu"&amp;"santhemenets in the gorobedin mamyvip bouquet bouquets according to photographic customers of the dosage -conduco -navigable -conkontaktechcus and answers to make an ordering for flowering -goods subscription successfully designed 5%! Subscribe to our new"&amp;"s and promotions! And get a promotional code for a 5%discount to subscribe. Moscow st. Kirovogradsk 38 bldg. 1 work from 10:00 to 19:00 Tel.: 8-800-200-40-42 WhatsApp: +7-926-780-53-74MSK@venusinfleurs.ru, we will have in touch: Our Order rating in Yandex"&amp;" acceptimum for payment: © 2017 -2023 Venus in Fleurs - Flower delivery in Moscow IP Evgenia Svyatoslavovna TIN 772471387074 OGRNIP 317774600575112 Program Cardycatalogs")</f>
        <v>Flower delivery in Moscow | Order a bouquet of fresh flowers to the house in the Venus in Fleurs online store (metro Prague metro) about Nasaraniyanash Commandar-Visitavka-Slapakak, make custom-made calls and answers of the Ovali Kontaktysobraki on the photo of the business the largest store delivery store in Moscow 0 8-800-200-40-42 free of charge in Russia PN. -BC: from 9 to 22 8-800-200-40-42 The main office +7-495-003-21-51 navigate the WhatsApp +7-926-780-53-74 telegram @venusinfleurs_msk instagram @ @ @ @ @ @levusinfleurs. Working mail msk@venusinfleurs.ru Address Moscow st. Kirovogradsk 38 bldg. 1 Enter catalog autumn bouquets of compositionVIP bouquets 199-authoric 122-class 384insta Bouquets 188 Popular 240CAID BUIKS 125 MIKS 792 Flows 74books 122books with logo 22-BUSK-BUKETS 166 CETS 59 TO MUSKOLAD BUIKS 136MONOL DCA 154 MIKSS FILS in a box of 147 mini-boots 310 MIKS FROM FLOWERS 31Romanic 194 painted 200-seled 49Po flowering 263 Bureza 55 -bended 117 Glutic 49 yellow 92 green 25 -oral 55Koral 56Kophene 32 red 127 -core 32maline 44 -rhranium 49 -rifle 22 28 -silver 28 -sized 57Fiocell 43pat type Packaging. 8V white box 573V Black box 251books in a 30 -glass box box 6po season, season 139 -core 166 -year -old 157 -rich 142 price up to 5,000 r. 210 with 5,000 p. up to 7,000 p. 278 with 7,000 p. up to 10,000 p. 365 with 10,000 p. 599						Цветы													Сезонные предложения 142Альстромерия 68Амариллис 15Антирринум 10Верба 2Гвоздики 115Георгины 41Герберы 60Гиацинты 52Гипсофила 26Гладиолусы 22Гортензии 97Дельфиниум 28Ирисы 35Каллы 70Краспедия 14Лаванда 10Лагурус 29Лилии 30Лимониум 3Лотос 6Маттиолы 57Мимоза 31Нарциссы 25Озотамнус 17Орхидеи 153Пионы 94Подсолнухи 29Протея 11Пшеница 16Ранункулюсы 42Розы 374Ромашки 54Сирень 12Статица 15Сухоцветы 45Трахелиум 7Тюльпаны 110Фрезии 63Хлопок 42Хризантемы 103Эвкалипт 69Эрингиум 8Эустомы 77						Пионы													По Flower -free peonies 33 red peonies 4zor peonies 42Koral peonies 9 -pional peonies 14 -piona MIX 52 pionoles 9 piono 1325 peonies 2751 Pion 19101 Pion 13 compilations in the box 36piones 10 roses roses9 rose 10919 Rose 9225 Rose 9225 Rose Rosa 9225 Rose Rose 9225 Rose Ros Z 10729 roses 11231 Rose 12941 Rose 14051 Rose 24481 rose 201101 rose 243131 Rose 29151 Rose 1320151 rose 13301 rose 18501 rose 161001 rose 9 -compound9 roses in a box of 3615 roses in a box 4325 roses in a box 6431 rose in a box 7251 rose in the box in the box 18920 Outode in the box 19 under the tape 58V Kashpo 17V Box 416V BASK 30V shara 54C 32C 32C named after 59 Service 154. Flower -down 161 -bruise 50 brogride 171 -grade 35 gyrel 15 golden 50 -ore 50 -rifle 28 red 145 -cream 26maline 18mix 98 -radial 7 -rhiz 130 -sustained 31 -sized 37fiolet 34 -black 41 POSICAL 95 -pioneer 75 -Elite 128po size 60 cm 7170 cm 980 cm 690 cm 3100 SM 2120 cm 2150 cm 1200 cm 1 tulips on flowering tulips 50 yellow tulips 24 red tulips 23-rifle tulips 45fiolet tulips 32 red-white tulips 5-pioneer tulips 51-buses51 tulip 26101 tulpan 920 Pan 5 -compartment Tulpany in a box of 42 cords of tulips 10th -large bouquet of tulips 22 Gifts of rose petals 3 postcards 22 Countries 27 accents 46 Shades of 30 clubs in chocolate 18 photographs 5 who grandmother 250 Druk 212 Druzes 301 colleagues 204 Lyongers 328mamm 321muzhchina 64 auresteum 63 Papapa 142 reic leadership 210 seser 288 Summer 299 Center for Master Calendar 25 0lite birthday 267 Evil 174 years old 179 ITUM 278NOLSELA 180 Propement of the child 230 session 166 SCARITION 154 SPASibo 165 TRARURURARY 188V Theater 10V 00B shares 00V The basket is empty! Hits Sales Correlations in the boxing why are we? Payment of Dolyamin 4 months from Tinkoff. In 3 times more resistant assembly in our hat boxes allows roses to stay fresh and delight you 3 times longer than usual. Paid delivery courier service will quickly deliver your bouquet to any point in the city. Photo before sending Bouquet before sending you to accurately be convinced that the bouquet is like it is necessary. The manner for each order for each order we give a gift that will perfectly complement the bouquet. Consistent design will be appreciated by the dignity. The daily purchase of fresh color will delight you from 7 to 14 days. If you You will not like the bouquets you will inform us about this within a day We will change it for free. Delivery of flowers in Moscow Popularity Catalogen Mammynsennets of Birthday of the Bukesimonomonomno -Buyplars in the boxing of corporate customers of the flower bouquets of the flowing Sytomiks Filter -filtering. Lier -earned -bonded zelegular zelegular -glue -lung -mesh -sulfide -sulfur -sulfurial -sulfurial -esophysum -mes -mesh -meshodyneineyneine -male -bearing -packed -up type packaging type Packing Kibuket under the packets of a round box of hearts of Carcasses of Glass Kashpov. Korobkev black boxes of white box and clean the type of flowers type of flowers of flowers -cardicirhideigerchideygsygorteneniylyxiclyucyuplymaskakakakakakakakakhlytulpany -rhizanthemony -oustemyolphyolsyolysomatylygipsophilnarciagiagiacyazyegiacyazyeziyazyegiacyazyegiacyegiacylumeliylumelicemichelumeliolumelicemiacin Mantirrinumclinumspediyalawavvandaamarillismimosalimosalimonium-dimenskagramliptracli-nomede-native-nuclear-navlopyrengoleshumsuhsukhsukhsukhsukhsarobseronyaronikarosasazatamyatamosatamysatamyta bouquets of bouquets of mudwall bouquets of flowing-free-art-vehicles made of kinderma Bouquets with logoibribusiness-boobs with chocolate bouquets Bride bouquet bouquet bouquets of cerebral flowers in the boxing-bugs from flowers of excellent-painted sexual-aged bouquet bouquet bouquet to prepare our sentences our sentences of our sentences of our proposals Clean the height of the bouquet bouquet height60 cm70 cm80 cm90 cm100 cm120 cm15 cm150 SM-clean the number of flowers The number of colors915-1925-294151511151151201512012513014014015011001 CEENED to whom kOMMUMEMELUBIMOLUBRUMOURECHECHARUKOLYARUKURUMENEMSYAMSYAMSYAMAMOKOLAMEMMUMUMEMAMEMMUMUMEMMUMEMAMUMMUMEMMUMUMUMUMUMUMUMUMUMUMUMUMUMUMUMUMUMUMUMUMUMYy Wipe the filters Choosing a buyer of a chitrazer: 25 cm.25 cm. Composit of the bouquet: 29 roses select the required amount of 9 pcs. - 3 990 ₽ 19 pcs. - 5 690 ₽ 29 pcs. - 6 890 ₽ 41 pcs. - 8 790 ₽ 51 pcs. - 10 390 ₽ 81 pcs. - 15 790 ₽ 101 pcs. - 18 590 ₽ 151 pcs. - 27 490 ₽ 201 pcs. - 35 490 ₽ Little roses in Korobkekashbek 1903 990 ₽ order NEW sizes: 30 cm .50 - 60 cm. Buket -set: 29 roses of the orchid, select the required amount of 9 pcs. - 4 190 ₽ 19 pcs. - 5 990 ₽ 29 pcs. - 7 890 ₽ 41 pcs. - 10 190 ₽ 51 pcs. - 11 590 ₽ 81 pcs. - 17 190 ₽ 101 pcs. - 20 090 ₽ 151 pcs. - 30 890 ₽ 201 pcs. - 37 990 ₽ Creound roses with white orchids in bouquetkeshback 2004 190 ₽ ordering cunning: 25 cm. 25 cm. Steas of the bouquet: 51 dendrobium orchid, choose the required amount of 29 pcs. - 5 090 ₽ 51 pcs. - 7 490 ₽ 81 pcs. - 11 590 ₽ 101 pcs. - 13 490 ₽ 151 pcs. - 20 390 ₽ 201 pcs. - 25 090 ₽ orchids "Dandrobium" in Korobkeshbek 2505 090 ₽ order the size: 35 cm.50 - 60 cm. Bukete (10 Eusta 1 Hydension 25 Rose Lagurus, select the required amount of 45 pcs. - 13 190 ₽ Author bouquet No. 14 Kashbek 65013 190 ₽ price: 12 690 ₽ Order Promotion: 20 cm. 25 cm. Bukete Stef: 9 roses 1 pc Nutella 1pc Kinder Surprise and Kinder Chocolate (9 pcs) 1 Mishka select the required amount of 21 pcs . - 5 390 ₽ Complement with pink rosamikashbek 2605 390 ₽ price: 4 890 ₽ order cunning: 30 cm. 25 cm. Stef bouquet: 51 rose, select the required amount of 41 pcs. - 8 790 ₽ 51 pcs. - 10 390 ₽ 81 pcs. - 15 790 ₽ 101 pcs. - 18 590 clientefani with white "Tiffany Love" cashback 4308 790 ₽ there is no use of size: 25 cm. 25 cm. Buket -sustain: 19 pionov select the required amount of 19 pcs. - 17,390 ₽19 Pions "Softness" in Korobkeshbek 86017 390 ₽ price: 16 390 ₽ order cunning: 30 cm. 25 cm. Bukete Stef: 51 rose, select the required amount of 51 pcs. - 10 390 ₽ 81 pcs. - 15 790 ₽ 101 pcs. - 18 590 ₽ 201 pcs. - 35 490 ₽fiolet roses in the box "Luxury Heart" cashback 51010 390 ₽ order cunning: 40 cm. 50 cm. Buketa: 7 orchids 31 rose 30 bush roses 20 euste 1 hydrangea 1 gold sheet 11 Hypericum select the required amount of 51 pcs. - 17 890 ₽ 101 pcs. - 27 390 ₽ 181 pcs. - 46 290 ₽ Bouquet "Wild Passion" Cashback 89017 890 ₽ order cunning: 40 cm. 50 See bouquet: 100 roses 1 branch of the orchid, select the required amount of 51 pcs. - 11 090 ₽ 101 pcs. - 21 290 ₽ 151 pcs. - 31 590 ₽ 251 pcs. - 49 390 ₽ Tiffany with orchideyamykashbek 55011 090 ₽ order cunning: 40 cm. 40 cm. Stef bouquet: 28 roses 13 orchids, select the required amount of 29 pcs. - 7 890 ₽ 41 pcs. - 10 290 ₽ 151 pcs. - 31 990 ₽ 251 pcs. - 43 290 ₽ Bouquet of roses and orchids in Korobkekashbek 3907 890 ₽ order cunning: 20 cm. 35 cm. Stef bouquet: 3 hydrangeas select the required amount of 3 pcs. - 4 690 ₽ 5 pcs. - 6 590 ₽ 9 pcs. - 10 590 ₽ 19 pcs. - 20 190 ₽ 29 pcs. - 29 590 ₽ 51 pcs. - 50,590 ₽ healing in the hats Korobkeshbek 2304 690 ₽ ordering the all -authoric bouquet of size: 45 cm. 50 - 60 cm. Bukete component: 10 Herber 25 cloves 10 Matthiol 10 Kraspedii Pen Pen, choose the required amount of 65 pcs. - 26 590 ₽ Author bouquet No. 22 Kashbek 132026 590 ₽ price: 25 590 ₽ order the size of the size: 35 cm. 40 - 50 cm. Bouquet components: 5 roses 10 eusta 6 bush pionoid roses Lagurus Eucalyptus select the required amount of 21 pcs. - 11,290 ₽ Author bouquet No. 17 Kashbek 56011 290 ₽ price: 10 790 ₽ order the size of the size: 35 cm. 60 cm. Stef bouquet: 5 large chrysanthemums 10 Delphinium 1 Hydrangea 15 roses select the required amount of 31 pcs. - 12 990 ₽ Author bouquet No. 1keshbek 64012 990 ₽ price: 12 490 ₽ Order the size of the size: 35 cm. 60 cm. Stef bouquet: 5 orchids 20 rose roses gold leaf select the required amount of 25 pcs. - 12 490 ₽ Author bouquet No. 13Kashbek 62012 490 ₽ price: 11 990 ₽ order cunning: 35 cm. 50 cm. Steas of the bouquet: 20 cloves 21 rose 10 Eusta Greens select the required amount of 51 pcs. - 13 590 ₽ 81 pcs. - 20 390 ₽ 151 pcs. - 34 890 ₽ Bouquet "Beautiful moment" cashback 67013 590 ₽ order the size of the size: 35 cm. 60 cm. Stef bouquet: 20 cloves Lagurus 1 Gornia 16 roses select the required amount of 37 pcs. - 9 790 ₽ Author bouquet No. 3Kashbek 4809 790 ₽ price: 9 290 ₽ order cunning: 35 cm .50 - 60 cm. Bukete Stef: 10 Matthiol 10 pionivate roses 10 bush roses 10 calicalipt select the required amount of 41 pcs. - 18 990 ₽ Author bouquet No. 28Kashbek 94018 990 ₽ order the size of the size: 35 cm. 60 cm. Stef bouquet: 5 bushy chrysanthemums 5 roses 5 euste dry flowers select the required amount of 15 pcs. - 7 890 ₽ Author bouquet No. 10 Kashbek 3907 890 ₽ price: 7 390 ₽ order the size of the size: 35 cm. 60 cm. Stef bouquet: 20 cloves. 10 roses eucalyptus 1 succulent dry flowers select the required amount of 31 pcs. - 10 490 ₽ Author bouquet No. 7Kashbek 52010 490 ₽ price: 9 990 ₽ Order the size of the size: 35 cm. 60 cm. Bukete (10 pionic roses 9 roses eucalyptus, select the required amount of 19 pcs. - 10 390 ₽ Author bouquet No. 8Kashbek 51010 390 ₽ price: 9 890 ₽ order the size: 100 cm. 60 - 70 cm. Buketee: 30 orchids of dendrobium 4 bureau 10 carzantems 1 Grudik 1 Hodge Greens Greens Ruscuspot Pampasy Grass Select the required amount 45 PC. - 35 690 ₽ Author bouquet No. 18 Kashbek 178035 690 ₽ order the size: 40 cm. 50 - 60 cm. Bukete (29 roses 10 Caloniki 10 Veronica 10 orchids Falenopsis 1 Proteus 1 Pride Ruskus Select the required amount 61 pcs. - 18 990 ₽ Author bouquet No. 25KashBEK 94018 990 ₽ price: 18 490 ₽ ordering the entirety in the box in the presence of size: 50 cm. Bukete: 10 Piono 38 roses 3 g. Eucalyptus gold leaves, select the required amount of 51 pcs. - 22 590 ₽ 101 pcs. - 39 090 ₽ 201 pcs. - 64 390 ₽ the bouquet "Good Morning" in Korobkekashbek 112022 590 ₽ order the size of the size: 40 cm. 25 cm. Stef bouquet: 131 rose select the required amount of 131 pcs. - 22 790 ₽131 rose - crown on the black vonkeshbek 113022 790 ₽ price: 21,790 ₽ ordering cunning: 45 cm. 55 cm. Stef bouquet: 81 rose 20 Eusta Greens select the required amount of 51 pcs. - 12 790 ₽ 101 pcs. - 22 090 ₽ 151 pcs. - 32 390 ₽ flowing composition "Chic delicate mix" cashback 63012 790 ₽ order cunning: 15 cm. Smel. Bouquet: 15 orchids, select the required amount of 15 pcs. - 6 290 ₽ 29 pcs. - 10 590 ₽ 51 pcs. - 16 990 ₽ 81 pcs. - 26 790 ₽ 101 pcs. - 32 390 ₽ Rozed orchids in a hat box for Tatyana's Day Kashbek 3106 290 ₽ Order the size of the size: 100 cm. 25 cm. Bouquet components: I box - 51 rose heart box - 101 rose y - 51 rose, select the required amount of 201 pcs. - 32 090 ₽i love you from roses in a box on the day of the Valentine Kashback 160032 090 ₽ price: 31 090 ₽ order the size of the size: 40 cm. Buketa: 10 chrysanthemums 20 roses 5 orchids 7 kinders 5 kinders of chocolate 3 nuttla Mishka 1 pcs . Eucalyptus select the required amount of 51 pcs. - 16 190 ₽ Dicked -up orchid with sweets with sweets 80016 190 ₽ price: 15 190 ₽ ordering cunning: 30 cm.25 cm. Stef bouquet: 51 rose, select the required amount of 51 pcs. - 10 390 ₽ 81 pcs. - 15 790 ₽ 101 pcs. - 18 590 ₽ 201 pcs. - 35 490 ₽ White roses with the date "Gold Date" cashback 51010 390 ₽ order cunning: 40 cm. Support of the bouquet: 10 orchids 46 roses 5 chrysanthemums of 50 tulips of 20 bushes, select the required amount of 51 pcs. - 13 590 ₽ 131 pcs. - 27 390 ₽ 251 pcs. - 49 690 ₽ flowing composition "Wild orchid" cashback 67013 590 ₽ order cunning: 25 cm.25 cm. Stef bouquet: 29 roses select the required amount of 19 pcs. - 5 090 ₽ 29 pcs. - 6 490 ₽ 41 pcs. - 8 490 ₽ 51 pcs. - 9 990 ₽ 81 pcs. - 15 590 ₽ 101 pcs. - 18 390 ₽ 151 pcs. - 27 790 ₽ 201 pcs. - 34,890 ₽ Comrella roses in the box - from 19 Stkeshback 2505 090 ₽ order: 25 cm. 25 cm. Stef bouquet: 29 roses of the orchid, select the required amount of 19 pcs. - 4 990 ₽ 29 pcs. - 6 390 ₽ 51 pcs. - 9 790 ₽ 101 pcs. - 18 190 ₽ 201 pcs. - 33 590 ₽ Comosition "Lovely Luxury" with dendrobium in Korobkekashbek 2404 990 ₽ order the Promotion: 20 cm. 25 cm. Stef bouquet: 15 roses select the required amount of 15 pcs. - 4 790 ₽15 turquoise roses with gold in Korobkeshbek 2304 790 ₽ price: 4 490 ₽ order cunning: 45 cm. 50 See bouquet: 30 dendrobium 20 orchids 20 rose 20 hyacinths, select the required amount of 51 pcs. - 11 490 ₽ 101 pcs. - 20 190 ₽ 201 pcs. - 34 490 ₽ Flower composition "Blue Laguna" Cashback 57011 490 ₽ ordering everything why we? About the immunity of the Employment of the Great Guarantee, the Venus in Fleurs Nasflorists collect classic bouquets from 5 to 1001 flower - round vertical free shape. Find unique combinations of colors-not just mixes, but spectacular minimalistic designs in two or three shades. They choose unusual colors: Tiffany Golden Green Green bright purple, etc. They develop a unique design for a specific reason. The store presents a large assortment of compositions in boxes: in the form of a ball; with a date; with an inscription; with a company logo. Florists with great work experience will repeat even a complex symbol each flower will be exactly in its place. Delivery with your own transport - not a single bud will suffer. In more detail about the survival of flowers in Moscow at home and to the office. We are inexpensively traveling around the Moscow region. Find the addressee even if you know only the phone number or WhatsApp. A metro meeting is possible. To the order, you can add a personal message with an emoji photo to attach a gift. We will put the bouquets quickly - within three hours. An urgent delivery of the Courier arrival is possible by accurate time the cost of 800 rubles. Anonymous delivery. We will maintain confidentiality even if a person tries to bribe a courier. VIP dodging. If you do not have time to choose flowers in the online store, entrust this to the florists. You only need the contact details of the recipient's wishes for the design. A report to the messenger or e -mail will come about the delivered bouquet. More about the delivery of color -pretense of 3000 stylish bouquet flowers - there are no golden blue analogues on the Russian market. Fores before sending 300 bonus rubles from each purchase of 300 bonus installments from Tinkoffhantye, the order did not arrange the recipient. Lithuania Photo of the composition and describe the problem. If the composition does not comply with the composition, we will return the money or replace the goods. When delivering to accurate time, the maximum time of the delay of the courier does not exceed 10-15 minutes. We maintain the confidentiality of personal data. A check with a confirmation of payment is sent to e -mail. Have you noticed how beautiful a woman with a bouquet is in her hands? Birthday Buy Bouquet Buying Buildings to the Bride theater Explode Reviews about the delivery of flowers in Moscow WhatsAppyandex Google 2GIS to see all our bouquets with satisfied customers Contacting House address in Moscow: 117534 Moscow st. Kirovograd house 38 bldg. 111 min. On foot from m. "Prague" contacts for communication: phones throughout Russia: 8-800-200-40-42 Mobile: 79267805374 WhatsApp: 79267805374 Email: msk@venusinfleurs.ru Office Disse Contact center work: from 09 - 22:00 hours of personal managers in chat: from 09 - 22:00 on corporate services: phones throughout Russia: Mobile: 79267805374 WhatsApp: 79267805374 Email: msk@venusinfleurs.ru 9:00 to 22:00 Questions and answers to place an order for flowing flowers? To place an order, select a bouquet of the number of flowers and click on the “In the basket” button. Fill in the information you know and select the desired payment method. You can also write to call our managers in WhatsApp or Telegramkak Pay the order? You can pay for the order using the Apple Pay Google Pay bank card Yandex. Money QIWI PAYPAL Cash Courier. For legal entities, payment for non -cash payment is provided - for this, leave a request on msk@venusinfleurs.ru how much is delivery? If the order cost is below 3500 rubles - delivery is paid separately in the amount of 500 rubles in any hourly interval from 9.00 to 20.00 - free of charge. The hourly interval from 20.00 to 00.00 - 500 rubles in any hourly interval from 00.00 to 9.00 - 1000 rubles. Delivery outside the Moscow Ring Road of up to 5 km - 500 rubles. Next, 50 ₽ / 1 kmkak will quickly deliver a bouquet? We will deliver you a bouquet within 3-4 hours from the date of placement of the order. Depending on the road situation, the presence of colors, etc. Delivery time can change slightly. How can I find out that the bouquet is delivered? We will contact you convenient for you and notify you about delivery. Do you get a bouquet if I do not know the address? Of course. You can provide any way you know with the recipient. We will contact him (her) and delicately clarify all the information on delivery. Is there any delivery to other cities? We deliver a bouquet within 100 km. For the Moscow Ring Road. The manager of our company will tell in specific cities. Is an anonymous delivery is possible? Flower delivery is completely anonymous. The sender's name is reported only with the permission of the customer or if it is indicated in the message. How quickly are you contacting me after placing the order? Our managers call back within 10-15 minutes. After placing an order. If the order was placed after 22:00, then the manager will call you back at 9: 00. The painted roses are living? Flowers of turquoise blue green gold silver blue purple and black colors are natural fresh flowers that are covered with special floral paint. It does not smell and does not harm the colors and also it is hypoallergenic for a person. Does the paint so smell? Floristic paint does not have a smell so we additionally aromatize the painted buds with a pleasant flower aroma. Do you send a photo of the order? Yes, by readiness we will be sent to you photo And then we will transfer to delivery. If you have any comments on the order, then we will definitely take them into account. Do you have bonuses? Yes. For registered users of our site, we have a bonus system. For each order, bonuses are charged to you that you can pay in the future up to 30% of the order of the order. More for more than 169 09/22/09.2023, a blog of which bouquet to give a young child in the garden for the day of the teacherburn - always the subject of the unrest of parents. We ask about how much a child is comfortable in the walls of a preschool institution whether he communicates well with the team whether he behaves with dignity and how developing. Meanwhile, about people who surround him, as a rule, his parents think in the second place; As if the whole world is spinning around boys and girls! But think about those who surround him who creates for a child in the garden a wonderful atmosphere of understanding the concern of a real childhood? Read more 125 09/22/2023 Blogpupular flowers on September 1: the choice and values ​​of the vestibule of a special holiday - we want to tell you non -banally about how to choose the right bouquet of flowers. Someone will want to make a significant gift to their teacher and someone-to express admiration for a colleague. The point here is not quite in the donor and its reasons, but in the one to whom this gift will be awarded. Read more 525 12.01.2023 Blogging flowers give a man on February 23? If you give flowers to men, then on their main holiday. On February 23, we celebrate the Defender of the Fatherland Day. Why is this date and who can be congratulated? We look at all articles in Moscow and the Moscow Region -Aprilovkabalashikhaviwa -Distyzdzerzhinsky Dolgoprudno -Modemodovodovykhukovsky Zelegradihogradihradovankarolovnikarolobnilobnilovyltykinolutsomoskomoskodolovopushkhoskhoskhoskhumnoranovskhumnimoschisychisychischelovykhchischelovykhchischertskhchischychischert. Log Flower Rozylpano -Pyanolpaniynesynculuslyusyusyusyusyusanthemenets in the gorobedin mamyvip bouquet bouquets according to photographic customers of the dosage -conduco -navigable -conkontaktechcus and answers to make an ordering for flowering -goods subscription successfully designed 5%! Subscribe to our news and promotions! And get a promotional code for a 5%discount to subscribe. Moscow st. Kirovogradsk 38 bldg. 1 work from 10:00 to 19:00 Tel.: 8-800-200-40-42 WhatsApp: +7-926-780-53-74MSK@venusinfleurs.ru, we will have in touch: Our Order rating in Yandex acceptimum for payment: © 2017 -2023 Venus in Fleurs - Flower delivery in Moscow IP Evgenia Svyatoslavovna TIN 772471387074 OGRNIP 317774600575112 Program Cardycatalogs</v>
      </c>
    </row>
    <row r="292">
      <c r="A292" s="1" t="s">
        <v>883</v>
      </c>
      <c r="B292" s="1" t="s">
        <v>943</v>
      </c>
      <c r="D292" s="1">
        <v>16.0</v>
      </c>
      <c r="E292" s="4" t="s">
        <v>944</v>
      </c>
      <c r="F292" s="1" t="s">
        <v>16</v>
      </c>
      <c r="I292" s="2">
        <v>1.0</v>
      </c>
      <c r="J292" s="5" t="str">
        <f>IFERROR(__xludf.DUMMYFUNCTION("GOOGLETRANSLATE(A292)"),"Gypsophyla")</f>
        <v>Gypsophyla</v>
      </c>
      <c r="K292" s="6" t="str">
        <f>IFERROR(__xludf.DUMMYFUNCTION("GOOGLETRANSLATE(B292)"),"Bouquet of gypsophiles C - buy in Grozny for 2950 rubles.")</f>
        <v>Bouquet of gypsophiles C - buy in Grozny for 2950 rubles.</v>
      </c>
      <c r="L292" s="5" t="str">
        <f>IFERROR(__xludf.DUMMYFUNCTION("GOOGLETRANSLATE(C292)"),"#VALUE!")</f>
        <v>#VALUE!</v>
      </c>
      <c r="M292" s="5" t="str">
        <f>IFERROR(__xludf.DUMMYFUNCTION("GOOGLETRANSLATE(G292)"),"#VALUE!")</f>
        <v>#VALUE!</v>
      </c>
    </row>
    <row r="293">
      <c r="A293" s="1" t="s">
        <v>883</v>
      </c>
      <c r="B293" s="1" t="s">
        <v>945</v>
      </c>
      <c r="C293" s="1" t="s">
        <v>946</v>
      </c>
      <c r="D293" s="1">
        <v>17.0</v>
      </c>
      <c r="E293" s="4" t="s">
        <v>947</v>
      </c>
      <c r="F293" s="1" t="s">
        <v>16</v>
      </c>
      <c r="G293" s="1" t="s">
        <v>948</v>
      </c>
      <c r="H293" s="4" t="s">
        <v>949</v>
      </c>
      <c r="I293" s="2">
        <v>1.0</v>
      </c>
      <c r="J293" s="5" t="str">
        <f>IFERROR(__xludf.DUMMYFUNCTION("GOOGLETRANSLATE(A293)"),"Gypsophyla")</f>
        <v>Gypsophyla</v>
      </c>
      <c r="K293" s="6" t="str">
        <f>IFERROR(__xludf.DUMMYFUNCTION("GOOGLETRANSLATE(B293)"),"Order a gypsophile with free delivery")</f>
        <v>Order a gypsophile with free delivery</v>
      </c>
      <c r="L293" s="5" t="str">
        <f>IFERROR(__xludf.DUMMYFUNCTION("GOOGLETRANSLATE(C293)"),"We deliver gypsophila in Moscow in 2 hours. Free note to the bouquet. Possible pickup is possible. Choose.")</f>
        <v>We deliver gypsophila in Moscow in 2 hours. Free note to the bouquet. Possible pickup is possible. Choose.</v>
      </c>
      <c r="M293" s="5" t="str">
        <f>IFERROR(__xludf.DUMMYFUNCTION("GOOGLETRANSLATE(G293)"),"Flower delivery in Moscow 💐 | Order flowers inexpensively at home payment 5% cashback with an ordering corporate customer contacttors store to buy ... enter the city of Moscow st. Big Semenovskaya 11s3 +7 (977) 113-79-41 Write in WhatsApp +7 (495) 414-20"&amp;"-70 +7 (800) 301-92-14 of Russia for free call from 6: 00-24: 00 Price flowers Up to 1000 rubles in terms of 2000 rubles to 3000 rubles. In terms of 4000 rubles. In terms of 5000 rubles. In terms of 6,000 rubles. Promotes up to 7000 rubles. In terms of 80"&amp;"00 rubles. In terms of 10,000 rubles. Flowers of Alstromariyanemonemonemonemonemonyminemobygerty -Glasyolishegineyxyeihortenziylilinarhyliasorchidsorchypioneshipio -Suppyulus -and -zyrizhishopsofiladapasophastapastyulpainadapastyulpastyulpastyulpastyulsan"&amp;"temoma rose, a composition of rosrosis from a rosrosis to Kolbipo's amount of roses Rose roses roses rose21 rose25 rose25 rose Rosypersic retractable draws of drawing draws of bush rosque roses in boxing roses into basket roses in the boxpionovid rospioni"&amp;"c roses in the boxesinovid roses in the basket roses in the box of peony peony according Happy Birthday to the Barrow Pionois Pionois Pionois Piono -Red Pion Pion peonies Sweetness Pionomakaruny Karammelkek Popskonfets and Chocolate gifts Slide -Boarded c"&amp;"aramelkek Popskonfets and chocolate pionoshara helium -melted toys of open -strings to the bouquet of the composition Buckets in the basket in the boxes in the cerebrospinal fluids in the cerebrospinal fluids. rub. Claims up to 3,000 rubles to 4000 rub. ."&amp;" Flowers up to 6,000 rubles to 7,000 rubles to 8,000 rubles. In terms of 10,000 rubles. Flowers of Alstromariyanemonemonemonemonemonyminemobygerty -Glasyolishegineyxyeihortenziylilinarhyliasorchidsorchypioneshipio -Suppyulus -and -zyrizhishopsofiladapasop"&amp;"hastapastyulpainadapastyulpastyulpastyulpastyulsantemoma rose, a composition of rosrosis from a rosrosis to Kolbipo's amount of roses Rose roses roses rose21 rose25 rose25 rose Rosypersic retractable draws of drawing draws of bush rosque roses in boxing r"&amp;"oses into basket roses in the boxpionovid rospionic roses in the boxesinovid roses in the basket roses in the box of peony peony according Happy Birthday to the Barrow Pionois Pionois Pionois Piono -Red Pion Pion peonies Sweetness Pionomakaruny Karammelke"&amp;"k Popskonfets and Chocolate gifts Sweetimacarous Karammelkek Popskonfets and chocolate peonhars helium -melted toys of open -strings to the bouquet of the composition Buckets in the basket in the boxes in the cobblestone compositions deposited0 7) 113-79-"&amp;"41 nourish in WhatsApp+7 (495) 414-20-70s 6 : 00 to 24:00 (Moscow) +7 (800) 301-92-14 of Russia free of free action of the Council of price up to 1000 rubles up to 2000 rubles to 3000 rubles to 4000 rubles to 5000 rubles to 6000 rubles. Цветы до 7000 руб."&amp;"Цветы до 8000 руб.Цветы до 10000 руб.ЦветыНазадЦветыАльстромерииАнемоныГвоздикиГерберыГладиолусыГеоргиныГортензииИрисыЛилииНарциссОрхидеиПодсолнухиПионыРанункулюсыРозыРомашкиСухоцветНазадСухоцветГипсофилаЛавандаПампасТюльпаныХризантемыЭустомыРозыНазадРозы"&amp;"Композиция из розНазадКомпозиция из розБукеты из розРозы в коробкеРозы в корзинеРозы в колбеПо количеству розНазадПо количеству розЛепестки роз15 роз19 роз21 роза25 роз51 роза75 роз101 роза151 роза201 роза501 роза1001 розаПо высоте стебляНазадПо высоте ст"&amp;"ебляРозы 30 смРозы 40 Smoses 50 shifts 60 shmrosis 70 shreds 80 shreds 90 SMPOs with riconezadpo color. Roose drawn draws of draws of draws of draws of drawing drawing draws of rosynasadic rosacous rosybuket rosybuket rods. roses in basket roses in boxpio"&amp;"novid rosa -diodeovid pionoid rospionoid roses in boxing roses in baszyinepionic roses In the drawer of the pione -nasadpiones on the ramps of the birthday of a birthplace in the firing pioneer peony peony peony peony pion -red pionostinasadosadshocolid p"&amp;"ionomakaruyanized punishment and shocous -podsaddarkisaddarkislavazidnazadladostimaka Runned Caramelkeck Popskonfets and chocolate pionohars Helievemiyagi toys of the postcarcums of consultation for bouquet -composate aircraft Bookstock in the basket in t"&amp;"he boxes in the boxes in the cobbime -free compositions Personal cabinet of the basket0+7 (977) 113 (977) 113 (977) 113 (977) 113 (977) 113 (977) 113 (977) 113 (977) 113 (977) 113 (977) 113 (977) 113 (977) 113 (977) 11 -79- 41 write in WhatsApp+7 (495) 41"&amp;"4-20-70s 6:00 to 24:00 (Moscow) back celebrops+7 (495) 414-20-70s 6:00 to 24:00 (800) 301 301 -92-14PO of Russia Free Contact information Moscow st. Bolshaya Semenovskaya 11s3 office@mybloom.ru VKontakte Telegram 101 rose from 3045 rubles. The best variet"&amp;"ies of Kenya and Ecuador Promotion! 51 Rose from 1945 rubles. A large assortment of roses gifts and sweets of handmade Sweets Balls soft toys are our telegram @mybloom only there are bouquets at prices below than on the site! Free delivery in Moscow insid"&amp;"e the Moscow Ring Road when ordering from 3800 rubles. Free note to the bouquet will deliver in 2 hours from the moment of ordering a photo of the bouquet before sending at your request a promotion-fast viewing book of 9 wine chrysanthemums 140 rub. ) Cas"&amp;"hback 149 rub. -+In the basket of the basket, the action of the chittenship of the 11 rainbow gypsofilcashback 114 rubles? Article: 002237 2 275 rubles/pc3 072 rubles-35%Savings 797 rubles. -+In the basket of the basket, a hit-fast viewing of 29 red roses"&amp;" prestige (50 cm) cashback 164 rubles? Article: 002219 3 280 rubles/pcs3 772 rubles-15%Savings 492 rubles. -+In the basket of the basket of the action of the chitter-paid delivered view of the 15 Ranunkulus hanucashback 236 rubles? Article: 002144 4 715 r"&amp;"ubles/pcs5 423 rubles-15%Savings 708 rubles. -+in the basket of the basket of the hicitstarm of the hitnovinkabysty-sticked viewing of the 3 royal pro-flowers 122 rub.? Article: 0020322 445 rubles/p-+in the basket of the basket of a chita-consuming-based "&amp;"viewing book of 15 red roses (90 cm) Cashback 185 rubles: 001804 3 705 rubles// pc4 632 rub. 25%Savings 927 rubles. -+In the basket of the basket, quick viewing of Ecuador Luxcashback 23 rubbing? Article: 0017779465 rub./STET+in the basket of the basket, "&amp;"consulting delivery, Viewing Book 101 Kenyan Rosa Mix (40 cm) Cashback 426 rub.? Articule: 000895 8 510 rubles// pcs12 340 rub.-45%Savings 3 830 rubles. -+In the basket of the basket, quick viewing of 45 cute roses of Kenya (40 cm) cashback 130 rub.? Arti"&amp;"cle: 000645 2 600 rubles/pcs3 900 rub.-50%Savings 1,300 rubles. -+In the basket of the basket, popular bouquet-sautable delivered delivery of a 51 white rose (60 cm) cashback 297 rubles? Article: 0029615 940 rub./Stev+in a basket basket of the action of t"&amp;"he High and Pink Kusty Kusten Madlen Cashback 105 rub. ? Article: 002861 2 105 rubles/pc2 526 rubles-20%Savings 421 rubles. -+In the basket of the basket, a hitbum-paying delivery book of 101 red rose Naomi (40 cm) Cashback 427 rubles? Article: 002848 8 5"&amp;"35 rubles/pcs12 803 rubles-50%Savings 4,268 rubles. -+in a basket of the basket of a chitlevotemnovanka-paying delivery bouquet from hydrangeas pionoid roses of mysty Babblez and eucalypticback 296 rubles? Article: 0028155 910 RUB/STRT+In a basket basket,"&amp;" quick viewing of orchids with eucalyptuscashback 126 rub. ? Article: 0027562 515 rub. /STET+In a basket of the basket of the chita-consumed viewing11 red roses in crafting (40 cm) CashBack 69 rub.? Article: 0026501 385 rubles/SPET+in the basket of the hi"&amp;"t-saved delivered delivery of the Bella rose (40 cm) cashback 206 rub. Article: 002075 4 110 rubles/pc5 549 rub.-35%Savings 1,439 rubles. -+in the basket of the basket of a chita-consuming-fast viewing book of 51 Mix roses (30 cm) CashBack 145 rubles? Art"&amp;"icle: 001658 2 895 rubles/pc4 922 rubles-70%Savings 2,027 rubles. -+In the basket of the basket, a hitbum-paying delivery book of 101 roses mix (30 cm) Cashback 234 rub.? Article: 001656 4 670 rubles/pc6 772 rub.-45%Savings 2,102 rubles. -+In the basket o"&amp;"f the basket of a chita-consumer-fast viewing book of 5 hydrangeas, delicate mixCashback 137 rub. L: 0029665 345 rub. /STR-+In a basket of basket, the action of the HISTOMENTENEMENTENEMENT CARSTARY Box with gypsophiles Cashback 65 rubles? Article: 002950 "&amp;"1,290 rubles/pcs1 548 rub.-20%Savings 258 rubles. -+В корзинуВ корзине АкцияХитБесплатная доставкаБыстрый просмотрБукет 9 гортензий микс НежностьCashBack 213 руб.?Артикул: 0028644 255 руб./шт-+В корзинуВ корзине СоветуемНовинкаБыстрый просмотрБукет ""Ярки"&amp;"е чувства"" из роз (50 см)CashBack 113 руб.?Артикул: 0028442 265 RUB/SPET+In a basket of basket, a hitty-paying delivery book of 17 peonies with aromatic eucalyptuscashback 459 rub.? Article: 0028439 rubles/STET+in a basket of hutnovinkaby-salary delivery"&amp;" of peonies and schistacback 214 rubles? Article: 0028229 4 285 rub ./sht-mwrv, a basket of basket of a chitlevemovninka-saucer delivered Viewing box of coral peonies 2 937 rubles? Article: 00282658 730 rub./STET+In a basket of the basket adviser to the B"&amp;"unny View and Roseback 113 rubles? Article: 0028224 2 260 rub. +In the basket of the basket, a chita-Soviet-sautable delivery delivery bouquet of roses and peoniescashback 361 rubles? Article: 0028217 215 rub./Ste+in a basket of chitnovinkabystry-based vi"&amp;"ewing composition of stabilized hydrangea and dried flowers to vasacashback 184 rubles? Articulas? : 0028163 685 rubles/ SPET+in a basket basket Flower-free delivery delivery of the heart from orchidsashback 290 rub. 50 rub. In the basket of the basket, a"&amp;" hitbial-paying delivered viewing box with Miss PiggiCashBack 191 RUB RUB? Article: 00222003 810 rub./SPET+in the basket of the basket of rapid viewing in the luxury of the composition ""You are My SUNSHINE"" CASHBACK 142 rubles? 082 830 rub. /STR-+In a b"&amp;"asket basket, a quick-based widening office composition of gypsophiles in ceramic kashpocashback 46 rub.? Article: 001906915 rub./Ste+in a basket of chitnovinka-wing viewing with bus rosamicashback 148 rub.? Article: 0018712 96 96 96 5 rubles/pcs -+In the"&amp;" basket of the basket, a free delivered viewing with a gypsophila in a hat in the hat boxcashback 230 rub.? Article: 0017194 605 rub./Stev+in a basket of the basket, rapid viewing with tender feelings ... (25 cm) cashback 143? Articula: 0013802 850 RUB ./"&amp;"sht-mwarvs Walling the basket Free delivery of rose151 Rose in a huge hat box (50 cm) Cashback 686 rubles? Article: 00127513 710 rub./STET+In basket basket fast viewing of 25 Red Kenyan roses in the box (35 cm ) Cashback 138 rub. In the moment ”27 g. Cash"&amp;"back 19 rub. Hitnovinkabykaby-stroke candy candies Ferrero Rocher 200GRCASHBACK 57 rub. Walling the basket Fast Viewing School Pofigin 27gr .Cashback 19 rub. ER 125 UGCASHBACK 41 rub. Of the 7 chocolate peonbacks 45 rubles? Article: 001295905 rub./SPET+In"&amp;" the basket of the basket of flower delivery in Moscow, order flowers with delivery in Moscow, you can inexpensively in our online store - Mybloom.ru. When ordering from 3800 rubles, delivery is free. If you need to deliver a bouquet outside Moscow to the"&amp;" nearest suburbs, contact our manager to accurately calculate the cost of delivery. We have a large assortment of fresh fresh colors as well as various gifts that can complement your surprise - free note of the toppers soft toys helium balls and sweets. T"&amp;"he cost of delivery in Moscow and pickup amount of order Speeses Moscow (inside the Moscow Ring Road) Moscow and MO (for the Moscow Ring Road) up to 3800 Rules free delivery: 420 rubles. From 500 rubles an accurate calculation, check with the manager by p"&amp;"hone or online chat more than 3800 rubles for free delivery: for free, our city flower delivery service is ready to offer you the following services: delivery of flowers a day or office day or office is the standard wish of our customers. During the place"&amp;"ment of the order, you indicate the delivery address and time. We, in turn, will make everything possible that you ordered with delivery you get exactly the pictures at the specified time and place. Urgent flowers in Moscow by courier from us you can buy "&amp;"flowers and our courier service will deliver the order in 2 hours from the date of confirmation. We do not take additional payment for express delivery from you as our competitors do. Delivery by phone number if you decide to make a surprise and give a bo"&amp;"uquet of fresh flowers but do not know the address of the office or the house of the recipient, then this service is for you. During the placement of the order in the “Delivery” block, set the checkplace opposite the “Clarify the Address from the Recipien"&amp;"t”. Our manager will contact the recipient independently with a convenient place and time for courier delivery. After delivery, you will receive SMS - the status of the order - delivered. Anonymous delivery is suitable for you when you want to make a surp"&amp;"rise and remain incognito for the recipient. Write in a commentary on the ordered bouquet that you do not want to disclose your identity and we, in turn, will save this information secret. How to order flower delivery in the Mybloom.ru online store you ca"&amp;"n form an order through the site: Add you like the bouquet to the basket and go to the order; then carefully fill out all the necessary fields and after placing the order; within 5 minutes, wait for the call from our operator. He will say all the details "&amp;"on your order and if everything is correct, you will receive confirmation; after the bouquet of flowers is delivered, you will receive an SMS about the status of delivery of the bouquet. You can order a bouquet by phone: you can also call us on the phone "&amp;"and dictate all the details of the order - specify the article of the bouquet Address Address and the recipient’s phone and our manager will fill out information on orders instead of you and immediately confirm it. The workshop and the address is our stor"&amp;"e. Our store Located at: Moscow st. Big Semenovskaya 11s3 (for pickup) Schedule: from 7: 00-23: 00 seven days a week. Shoppowers and areas more discounts of navigation-related customers5% cashback-conditioning payment of delivery and the rules of return a"&amp;"lways up to date! Learn about discounts and promotions the first news of the store, stay in touch of VKontakte Telegram Our Contacts (495) 414-20-70 +7 (800) 301-92 (800) 301-92 301-92 301-92 -14th Russia for free +7 (977) 113-79-41 write in WhatsApp offi"&amp;"ce@mybloom.ru Moscow st. Bolshaya Semenovskaya 11c3 LLC Sheriff Inn 7709456710 | OGRN 1157746401010 | It is not a public offer to find 00 corn")</f>
        <v>Flower delivery in Moscow 💐 | Order flowers inexpensively at home payment 5% cashback with an ordering corporate customer contacttors store to buy ... enter the city of Moscow st. Big Semenovskaya 11s3 +7 (977) 113-79-41 Write in WhatsApp +7 (495) 414-20-70 +7 (800) 301-92-14 of Russia for free call from 6: 00-24: 00 Price flowers Up to 1000 rubles in terms of 2000 rubles to 3000 rubles. In terms of 4000 rubles. In terms of 5000 rubles. In terms of 6,000 rubles. Promotes up to 7000 rubles. In terms of 8000 rubles. In terms of 10,000 rubles. Flowers of Alstromariyanemonemonemonemonemonyminemobygerty -Glasyolishegineyxyeihortenziylilinarhyliasorchidsorchypioneshipio -Suppyulus -and -zyrizhishopsofiladapasophastapastyulpainadapastyulpastyulpastyulpastyulsantemoma rose, a composition of rosrosis from a rosrosis to Kolbipo's amount of roses Rose roses roses rose21 rose25 rose25 rose Rosypersic retractable draws of drawing draws of bush rosque roses in boxing roses into basket roses in the boxpionovid rospionic roses in the boxesinovid roses in the basket roses in the box of peony peony according Happy Birthday to the Barrow Pionois Pionois Pionois Piono -Red Pion Pion peonies Sweetness Pionomakaruny Karammelkek Popskonfets and Chocolate gifts Slide -Boarded caramelkek Popskonfets and chocolate pionoshara helium -melted toys of open -strings to the bouquet of the composition Buckets in the basket in the boxes in the cerebrospinal fluids in the cerebrospinal fluids. rub. Claims up to 3,000 rubles to 4000 rub. . Flowers up to 6,000 rubles to 7,000 rubles to 8,000 rubles. In terms of 10,000 rubles. Flowers of Alstromariyanemonemonemonemonemonyminemobygerty -Glasyolishegineyxyeihortenziylilinarhyliasorchidsorchypioneshipio -Suppyulus -and -zyrizhishopsofiladapasophastapastyulpainadapastyulpastyulpastyulpastyulsantemoma rose, a composition of rosrosis from a rosrosis to Kolbipo's amount of roses Rose roses roses rose21 rose25 rose25 rose Rosypersic retractable draws of drawing draws of bush rosque roses in boxing roses into basket roses in the boxpionovid rospionic roses in the boxesinovid roses in the basket roses in the box of peony peony according Happy Birthday to the Barrow Pionois Pionois Pionois Piono -Red Pion Pion peonies Sweetness Pionomakaruny Karammelkek Popskonfets and Chocolate gifts Sweetimacarous Karammelkek Popskonfets and chocolate peonhars helium -melted toys of open -strings to the bouquet of the composition Buckets in the basket in the boxes in the cobblestone compositions deposited0 7) 113-79-41 nourish in WhatsApp+7 (495) 414-20-70s 6 : 00 to 24:00 (Moscow) +7 (800) 301-92-14 of Russia free of free action of the Council of price up to 1000 rubles up to 2000 rubles to 3000 rubles to 4000 rubles to 5000 rubles to 6000 rubles. Цветы до 7000 руб.Цветы до 8000 руб.Цветы до 10000 руб.ЦветыНазадЦветыАльстромерииАнемоныГвоздикиГерберыГладиолусыГеоргиныГортензииИрисыЛилииНарциссОрхидеиПодсолнухиПионыРанункулюсыРозыРомашкиСухоцветНазадСухоцветГипсофилаЛавандаПампасТюльпаныХризантемыЭустомыРозыНазадРозыКомпозиция из розНазадКомпозиция из розБукеты из розРозы в коробкеРозы в корзинеРозы в колбеПо количеству розНазадПо количеству розЛепестки роз15 роз19 роз21 роза25 роз51 роза75 роз101 роза151 роза201 роза501 роза1001 розаПо высоте стебляНазадПо высоте стебляРозы 30 смРозы 40 Smoses 50 shifts 60 shmrosis 70 shreds 80 shreds 90 SMPOs with riconezadpo color. Roose drawn draws of draws of draws of draws of drawing drawing draws of rosynasadic rosacous rosybuket rosybuket rods. roses in basket roses in boxpionovid rosa -diodeovid pionoid rospionoid roses in boxing roses in baszyinepionic roses In the drawer of the pione -nasadpiones on the ramps of the birthday of a birthplace in the firing pioneer peony peony peony peony pion -red pionostinasadosadshocolid pionomakaruyanized punishment and shocous -podsaddarkisaddarkislavazidnazadladostimaka Runned Caramelkeck Popskonfets and chocolate pionohars Helievemiyagi toys of the postcarcums of consultation for bouquet -composate aircraft Bookstock in the basket in the boxes in the boxes in the cobbime -free compositions Personal cabinet of the basket0+7 (977) 113 (977) 113 (977) 113 (977) 113 (977) 113 (977) 113 (977) 113 (977) 113 (977) 113 (977) 113 (977) 113 (977) 113 (977) 11 -79- 41 write in WhatsApp+7 (495) 414-20-70s 6:00 to 24:00 (Moscow) back celebrops+7 (495) 414-20-70s 6:00 to 24:00 (800) 301 301 -92-14PO of Russia Free Contact information Moscow st. Bolshaya Semenovskaya 11s3 office@mybloom.ru VKontakte Telegram 101 rose from 3045 rubles. The best varieties of Kenya and Ecuador Promotion! 51 Rose from 1945 rubles. A large assortment of roses gifts and sweets of handmade Sweets Balls soft toys are our telegram @mybloom only there are bouquets at prices below than on the site! Free delivery in Moscow inside the Moscow Ring Road when ordering from 3800 rubles. Free note to the bouquet will deliver in 2 hours from the moment of ordering a photo of the bouquet before sending at your request a promotion-fast viewing book of 9 wine chrysanthemums 140 rub. ) Cashback 149 rub. -+In the basket of the basket, the action of the chittenship of the 11 rainbow gypsofilcashback 114 rubles? Article: 002237 2 275 rubles/pc3 072 rubles-35%Savings 797 rubles. -+In the basket of the basket, a hit-fast viewing of 29 red roses prestige (50 cm) cashback 164 rubles? Article: 002219 3 280 rubles/pcs3 772 rubles-15%Savings 492 rubles. -+In the basket of the basket of the action of the chitter-paid delivered view of the 15 Ranunkulus hanucashback 236 rubles? Article: 002144 4 715 rubles/pcs5 423 rubles-15%Savings 708 rubles. -+in the basket of the basket of the hicitstarm of the hitnovinkabysty-sticked viewing of the 3 royal pro-flowers 122 rub.? Article: 0020322 445 rubles/p-+in the basket of the basket of a chita-consuming-based viewing book of 15 red roses (90 cm) Cashback 185 rubles: 001804 3 705 rubles// pc4 632 rub. 25%Savings 927 rubles. -+In the basket of the basket, quick viewing of Ecuador Luxcashback 23 rubbing? Article: 0017779465 rub./STET+in the basket of the basket, consulting delivery, Viewing Book 101 Kenyan Rosa Mix (40 cm) Cashback 426 rub.? Articule: 000895 8 510 rubles// pcs12 340 rub.-45%Savings 3 830 rubles. -+In the basket of the basket, quick viewing of 45 cute roses of Kenya (40 cm) cashback 130 rub.? Article: 000645 2 600 rubles/pcs3 900 rub.-50%Savings 1,300 rubles. -+In the basket of the basket, popular bouquet-sautable delivered delivery of a 51 white rose (60 cm) cashback 297 rubles? Article: 0029615 940 rub./Stev+in a basket basket of the action of the High and Pink Kusty Kusten Madlen Cashback 105 rub. ? Article: 002861 2 105 rubles/pc2 526 rubles-20%Savings 421 rubles. -+In the basket of the basket, a hitbum-paying delivery book of 101 red rose Naomi (40 cm) Cashback 427 rubles? Article: 002848 8 535 rubles/pcs12 803 rubles-50%Savings 4,268 rubles. -+in a basket of the basket of a chitlevotemnovanka-paying delivery bouquet from hydrangeas pionoid roses of mysty Babblez and eucalypticback 296 rubles? Article: 0028155 910 RUB/STRT+In a basket basket, quick viewing of orchids with eucalyptuscashback 126 rub. ? Article: 0027562 515 rub. /STET+In a basket of the basket of the chita-consumed viewing11 red roses in crafting (40 cm) CashBack 69 rub.? Article: 0026501 385 rubles/SPET+in the basket of the hit-saved delivered delivery of the Bella rose (40 cm) cashback 206 rub. Article: 002075 4 110 rubles/pc5 549 rub.-35%Savings 1,439 rubles. -+in the basket of the basket of a chita-consuming-fast viewing book of 51 Mix roses (30 cm) CashBack 145 rubles? Article: 001658 2 895 rubles/pc4 922 rubles-70%Savings 2,027 rubles. -+In the basket of the basket, a hitbum-paying delivery book of 101 roses mix (30 cm) Cashback 234 rub.? Article: 001656 4 670 rubles/pc6 772 rub.-45%Savings 2,102 rubles. -+In the basket of the basket of a chita-consumer-fast viewing book of 5 hydrangeas, delicate mixCashback 137 rub. L: 0029665 345 rub. /STR-+In a basket of basket, the action of the HISTOMENTENEMENTENEMENT CARSTARY Box with gypsophiles Cashback 65 rubles? Article: 002950 1,290 rubles/pcs1 548 rub.-20%Savings 258 rubles. -+В корзинуВ корзине АкцияХитБесплатная доставкаБыстрый просмотрБукет 9 гортензий микс НежностьCashBack 213 руб.?Артикул: 0028644 255 руб./шт-+В корзинуВ корзине СоветуемНовинкаБыстрый просмотрБукет "Яркие чувства" из роз (50 см)CashBack 113 руб.?Артикул: 0028442 265 RUB/SPET+In a basket of basket, a hitty-paying delivery book of 17 peonies with aromatic eucalyptuscashback 459 rub.? Article: 0028439 rubles/STET+in a basket of hutnovinkaby-salary delivery of peonies and schistacback 214 rubles? Article: 0028229 4 285 rub ./sht-mwrv, a basket of basket of a chitlevemovninka-saucer delivered Viewing box of coral peonies 2 937 rubles? Article: 00282658 730 rub./STET+In a basket of the basket adviser to the Bunny View and Roseback 113 rubles? Article: 0028224 2 260 rub. +In the basket of the basket, a chita-Soviet-sautable delivery delivery bouquet of roses and peoniescashback 361 rubles? Article: 0028217 215 rub./Ste+in a basket of chitnovinkabystry-based viewing composition of stabilized hydrangea and dried flowers to vasacashback 184 rubles? Articulas? : 0028163 685 rubles/ SPET+in a basket basket Flower-free delivery delivery of the heart from orchidsashback 290 rub. 50 rub. In the basket of the basket, a hitbial-paying delivered viewing box with Miss PiggiCashBack 191 RUB RUB? Article: 00222003 810 rub./SPET+in the basket of the basket of rapid viewing in the luxury of the composition "You are My SUNSHINE" CASHBACK 142 rubles? 082 830 rub. /STR-+In a basket basket, a quick-based widening office composition of gypsophiles in ceramic kashpocashback 46 rub.? Article: 001906915 rub./Ste+in a basket of chitnovinka-wing viewing with bus rosamicashback 148 rub.? Article: 0018712 96 96 96 5 rubles/pcs -+In the basket of the basket, a free delivered viewing with a gypsophila in a hat in the hat boxcashback 230 rub.? Article: 0017194 605 rub./Stev+in a basket of the basket, rapid viewing with tender feelings ... (25 cm) cashback 143? Articula: 0013802 850 RUB ./sht-mwarvs Walling the basket Free delivery of rose151 Rose in a huge hat box (50 cm) Cashback 686 rubles? Article: 00127513 710 rub./STET+In basket basket fast viewing of 25 Red Kenyan roses in the box (35 cm ) Cashback 138 rub. In the moment ”27 g. Cashback 19 rub. Hitnovinkabykaby-stroke candy candies Ferrero Rocher 200GRCASHBACK 57 rub. Walling the basket Fast Viewing School Pofigin 27gr .Cashback 19 rub. ER 125 UGCASHBACK 41 rub. Of the 7 chocolate peonbacks 45 rubles? Article: 001295905 rub./SPET+In the basket of the basket of flower delivery in Moscow, order flowers with delivery in Moscow, you can inexpensively in our online store - Mybloom.ru. When ordering from 3800 rubles, delivery is free. If you need to deliver a bouquet outside Moscow to the nearest suburbs, contact our manager to accurately calculate the cost of delivery. We have a large assortment of fresh fresh colors as well as various gifts that can complement your surprise - free note of the toppers soft toys helium balls and sweets. The cost of delivery in Moscow and pickup amount of order Speeses Moscow (inside the Moscow Ring Road) Moscow and MO (for the Moscow Ring Road) up to 3800 Rules free delivery: 420 rubles. From 500 rubles an accurate calculation, check with the manager by phone or online chat more than 3800 rubles for free delivery: for free, our city flower delivery service is ready to offer you the following services: delivery of flowers a day or office day or office is the standard wish of our customers. During the placement of the order, you indicate the delivery address and time. We, in turn, will make everything possible that you ordered with delivery you get exactly the pictures at the specified time and place. Urgent flowers in Moscow by courier from us you can buy flowers and our courier service will deliver the order in 2 hours from the date of confirmation. We do not take additional payment for express delivery from you as our competitors do. Delivery by phone number if you decide to make a surprise and give a bouquet of fresh flowers but do not know the address of the office or the house of the recipient, then this service is for you. During the placement of the order in the “Delivery” block, set the checkplace opposite the “Clarify the Address from the Recipient”. Our manager will contact the recipient independently with a convenient place and time for courier delivery. After delivery, you will receive SMS - the status of the order - delivered. Anonymous delivery is suitable for you when you want to make a surprise and remain incognito for the recipient. Write in a commentary on the ordered bouquet that you do not want to disclose your identity and we, in turn, will save this information secret. How to order flower delivery in the Mybloom.ru online store you can form an order through the site: Add you like the bouquet to the basket and go to the order; then carefully fill out all the necessary fields and after placing the order; within 5 minutes, wait for the call from our operator. He will say all the details on your order and if everything is correct, you will receive confirmation; after the bouquet of flowers is delivered, you will receive an SMS about the status of delivery of the bouquet. You can order a bouquet by phone: you can also call us on the phone and dictate all the details of the order - specify the article of the bouquet Address Address and the recipient’s phone and our manager will fill out information on orders instead of you and immediately confirm it. The workshop and the address is our store. Our store Located at: Moscow st. Big Semenovskaya 11s3 (for pickup) Schedule: from 7: 00-23: 00 seven days a week. Shoppowers and areas more discounts of navigation-related customers5% cashback-conditioning payment of delivery and the rules of return always up to date! Learn about discounts and promotions the first news of the store, stay in touch of VKontakte Telegram Our Contacts (495) 414-20-70 +7 (800) 301-92 (800) 301-92 301-92 301-92 -14th Russia for free +7 (977) 113-79-41 write in WhatsApp office@mybloom.ru Moscow st. Bolshaya Semenovskaya 11c3 LLC Sheriff Inn 7709456710 | OGRN 1157746401010 | It is not a public offer to find 00 corn</v>
      </c>
    </row>
    <row r="294">
      <c r="A294" s="1" t="s">
        <v>883</v>
      </c>
      <c r="B294" s="1" t="s">
        <v>950</v>
      </c>
      <c r="C294" s="1" t="s">
        <v>951</v>
      </c>
      <c r="D294" s="1">
        <v>18.0</v>
      </c>
      <c r="E294" s="4" t="s">
        <v>952</v>
      </c>
      <c r="F294" s="1" t="s">
        <v>16</v>
      </c>
      <c r="G294" s="1" t="s">
        <v>953</v>
      </c>
      <c r="H294" s="4" t="s">
        <v>954</v>
      </c>
      <c r="I294" s="2">
        <v>1.0</v>
      </c>
      <c r="J294" s="5" t="str">
        <f>IFERROR(__xludf.DUMMYFUNCTION("GOOGLETRANSLATE(A294)"),"Gypsophyla")</f>
        <v>Gypsophyla</v>
      </c>
      <c r="K294" s="6" t="str">
        <f>IFERROR(__xludf.DUMMYFUNCTION("GOOGLETRANSLATE(B294)"),"Buy gypsophiles in Moscow inexpensively, order a bouquet from ...")</f>
        <v>Buy gypsophiles in Moscow inexpensively, order a bouquet from ...</v>
      </c>
      <c r="L294" s="5" t="str">
        <f>IFERROR(__xludf.DUMMYFUNCTION("GOOGLETRANSLATE(C294)"),"Delivery gypsophile in Moscow for free when ordering from 3,500 rubles. 100% fresh flowers. Ordering bouquets with gypsophilia around the clock ☎ +7 (499) 322-74-86.")</f>
        <v>Delivery gypsophile in Moscow for free when ordering from 3,500 rubles. 100% fresh flowers. Ordering bouquets with gypsophilia around the clock ☎ +7 (499) 322-74-86.</v>
      </c>
      <c r="M294" s="5" t="str">
        <f>IFERROR(__xludf.DUMMYFUNCTION("GOOGLETRANSLATE(G294)"),"Flower delivery in Moscow | Order a bouquet of flowers with free delivery0 accepts the ordering of 2 cesspio Moscow and the region phone in Moscow 24/7: +7 (499) 322-74-86 paying for the Russian Federation: 8 (800) 551-61-21 Reviews Payment / delivery bas"&amp;"ket 0 Promotions 0 Promotions 0 270 Central Authorist compositions Piono lilacs of chamomile of the Hypsophilus of Hypsophil of Hypsophilus of the Alstromeria Eustoma (Lizianthus) Sunflower Herberra of the Gorobes Ranunkuli lilia anemone Narcona Calla Fre"&amp;"zia, the rose -gyacinths of the mimosa of orchids in the pots of the composition of the composition of the composition of the composition of the composition of the composition of the composition, Roses Ecuador Pionovid roses bush roses Red roses White ros"&amp;"es pink roses cream roses raspberry roses Peach roses Orange roses yellow roses lilac roses MIX MIX Meter roses Bouquet of 11 roses bouquet of 19 roses bouquet of 29 roses bouquet of 51 roses bouquet of 101 rose bouquet of 301 rose bouquet of 501 rose bou"&amp;"quet of 1001 rhysicist rosypionovid bush roses pink bush roses raspberry roses white bush roses orange bush roses yellow roses red bouquet bouquet bouquet bouquet bouquet bouquet bouquet of 51 bouquet bouquet bouquet of 101 bush rose boxes of bush roses c"&amp;"up XL Box of Bush roses XXLBUTERA BUSTE Bouquets of roses bouquets of tulips bouquets with bush roses bouquets bouquets of mattiola bouquets of irises bouquets bouquets from gerber Sunflies bouquets bouquets of alstromeria bouquets gypsum bouquets bouquet"&amp;"s bouquets bouquets bouquets with ranum. Bouquets themselves from clove bouquet of chrysanthemum bouquets of sweets Wedding bouquets Bouquets up to 3,000 rubles in boxes in the bags of boxes box boxes with flowers copyright boxes of 19 roses boxes of 29 r"&amp;"oses boxes of 51 rose boxes of 101 rose boxes of 201 rose flowers in a box in a box Bush roses in a box Pionovid roses in a box of tulips in a box of irises in a box of orchids in a box of pionois in a box of chamomile in a box of the box XXL Ranunculus i"&amp;"n the baskets in the baskets in the boxes of bush roses in the basket of pionoid roses with heart roses in the corner of the gerber s in The basket of the iris in the chamomile basket in the chrysanthemum basket in the pionic basket in the basket in the b"&amp;"asket of roses in the basket basket of 29 roses basket of 51 roses of a basket of 101 rose basket of 301 rose basket of 501 rose rose basket of 1001 rose worshipalus in the basket New Year Basket rabbits in chocolator in chocolate bouquets of strawberries"&amp;" bouquets of berries bouquets of fruit fruit baskets strawberry baskets berry baskets of balls with helium soft toys macaroons and salt for baths candle candy toppers VAZA BARS BARKS BOSE POPERA We cooperate with the best global flower Teplitsy and guaran"&amp;"tee you that our bouquets are the latest in the form of a guarantee we can send a photo of the bouquet before sending! Promotion Bouquet of 29 red-white roses 50 smart: 31803840 Delivery for free 4.00 out of 5 in a basket to buy a basket of 23 pcs gerbery"&amp;"art in one click: 10255060 Delivery for free 4.00 out of 5 in a basket to buy a bouquet : 14906280 Delivery for free 4.00 out of 5 in a basket to buy in one click box of roses with eucalyptomart: 20482720 Delivery for free 4.00 out of 5 to the basket to b"&amp;"uy a click box of 19 raspberry rosart: 47032920 Delivery for free 4.00 out of 5 to basket to buy a basket to buy in basket One click of 23 gerberates: 3273690 Delivery for free 4.00 out of 5 in the basket to buy a copyright autumn bouquet in a bag 40smart"&amp;": 63293230 Delivery for free 4.00 out of 5 to basket to buy a mile of Miksart: 60444690 Delivery for free 4.00 outlet of 5 In the basket to buy in one click Show all -authoric compositions Author's bouquet of roses to the bag: 63283170 Delivery for free 4"&amp;".00 out of 5 to the basket, Mix with roses and eastomoir: 57954700 Delivery free 4.00 out of 5 in the basket buy Buy Buy Corps No. 56art: 49458280 Delivery for free 4.00 out of 5 to the Conternate to buy a flower composition to mom No. 5ARART: 57324760 De"&amp;"livery for free 4.00 OUT of 5 In the basket, to buy a flower composition to mom No. 4ARART in one click in one click: 57164680 Delivery for free 4.00 out of 5 to basket to buy a click Buy Box 63ARART: 54394980 Delivery for free 4.00 out of 5 to the basket"&amp;" to buy a bouquet of roses with eucalyptus No. 2art: 45672010 Delivery for free 4.00 out of 5 in the basket to buy a click on a basket of roses mix with ozotamnusomart: 457010420 Delivery for free 4.00 out of 5 to the basket to buy all -booths of strawber"&amp;"ries bouquet with pigeons: 37367050 Delivery for free 4.00 out of 5 in a basket to Buy to Buy Buy Buy Buying In one click, show the All -Rose Bouquet of 51 pionovid roses Bubble Humart: 538886230 Delivery for free 4.00 out of 5 to basket to buy a bouquet "&amp;"of 101 yellow roseart in one click: 15298960 Delivery for free 4.00 out of 5 to basket Buy a box of 29 cream roses With greens: 57904640 Delivery free 4.00 out of 5 in the basket, out of 5 in the basket, buy a bouquet of pionoid roses to Babblez and easto"&amp;"ma 2Art in a basket to buy in one click: 57585070 Delivery for free 4.00 out of 5 to a basket to buy a bouquet of 51 lilac roses 60 Smart: 19116630 Delivery for free 4.00 out of 5 to basket to buy in one Click Bouquet of 29 red roses (70 cm) art: 3174630 "&amp;"Delivery for free 4.00 out of 5 in the basket to buy in one click a bouquet of pionoid roses Keti and eustoma 2Art: 57574380 Delivery for free 4.00 out of 5 in the basket to show in one click in hazelnuts Boxes Box of Pionovite Lilac Roses LARAR: 56615730"&amp;" Delivery free 4.00 out of 5 in the basket to buy in one click Box of 51 raspberry roses: 15606090 Delivery for free 4.00 out of 5 to basket Buy Buy Corps for you: 49486260 Delivery for free 4.00 OOT OF 5 In the basket, to buy in one click Box Mix Kustov "&amp;"Rosart: 15486360 Delivery Free 4.00 Out of 5 to the basket to Buy a click Buy Pink Alstromeriyart: 54034160 Delivery Free 4.00 Out of 5 to the basket to bastard Buy Author's composition: 40975580 Delivery for free Delivery Delivery for free delivery 4 In "&amp;"one click, a hat box with white roses and lagurusomart: 63914330 Delivery for free 4.00 out of 5 in a basket to buy in one click Show the entire price up to 2000 p2 000 - 3,000 p 3 000 000 000 000 000 000 000 - 13 000 Mouth 13000 r the type of composition"&amp;" bouquets in the boxes in the baskets in baskets of fruit bouquets Color red pink blue rainbow other flowers copyright compositions Piono lilacs of chamomile orchids of gypsophilia gypsophila alstomeria eastoma (lysianth) sunflower tulips tulipan narcials"&amp;" of the Antemons of the Lilia Narconya Narconya Narcuna Narcuna Narcuna Kalla Frezia rose rose Ecuador Pionovid roses bush Roses red roses White roses pink roses raspberry roses peach roses Orange roses Lilac roses MIX MIX METROM BURRED BUY Bouquet Bouque"&amp;"t Bouquet Bouquet of 29 roses bouquet of 101 roses bouquet of 201 rose bouquet of 301 rose bouquet of 501 roses of 1001 roses more +14 Hide the drystrokes of the dahlias of the Georgins of the mimosa of orchids in pots of Duma -Rosical devystvo stalls in "&amp;"hats boxcocks on the rosamitza with delivery - this is a convenient and popular way to congratulate or express their love of gratitude or condolences to loved ones, especially in cases when it is impossible to present in cases personally. Our service has "&amp;"been ordering flowers quickly and inexpensively for 8 years now and deliver them directly to the house or to another convenient place within the capital and the region. What is worth knowing about the delivery of flowers to “Rosavas”? The quality of color"&amp;"s. We sell and deliver only beautiful freshly cut fresh flowers. We have our own delivery service that takes care that the flowers remain fresh and securely packed during transportation and as a guarantee we can send a photo of the finished bouquet or com"&amp;"position of flowers before sending! The delivery speed. We carry out urgent delivery within 2 hours from the date of order without an additional fee. Assortment and selection of colors. In the catalog of the Rosavam online store you will find thousands of"&amp;" photos of bouquets and compositions from flowers in boxes and baskets with detailed descriptions and prices. All our flowers from the best greenhouse complexes of Russia Holland Kenya Italy and Ecuador. You can choose any bouquet you like the composition"&amp;" or assemble a unique order with our florist. Of particular popularity among our buyers are roses of peonies of the tulips of lilies Herbery orchids of chamomile and chrysanthemum. You can choose a bouquet in a certain color scheme or style such as romant"&amp;"ic bright or minimalist. The price and payment methods. In the Rosavam flowers store you will find inexpensive bouquets at a price of 1690 rubles. Every day we provide the opportunity to choose and buy flowers with a discount cheap on the promotion in the"&amp;" corresponding section. You can pay in cash to the courier when receiving an order or bank card by payment link (without commission) online directly on the order page. Ordering and processing of the order. The process of ordering colors is carried out onl"&amp;"ine. The fastest way is to choose the desired bouquet or composition and click on one click - a special form will open where you need to specify only the contact number of the phone and then click send. Another method - add the necessary to the basket and"&amp;" in a special form or on the basket page click order and fill out the following data: your contact number of the phone or recipient Address and delivery time. If desired, you can indicate your name and/or recipient additional data about the address as wel"&amp;"l as your wishes in the comment and other details in the field (you can add a postcard to the order to enter the promotional code select additional gifts and services). Another quick way is to call the +7 number (499) 322-74-86, especially if there is dou"&amp;"bt that you need to choose advice or any other assistance and payment for the order. Reception of orders and calls is carried out daily and around the clock. After receiving the order, the flower service ""Rosavam"" process it. This includes the preparati"&amp;"on of a bouquet or composition packaging, if necessary, add additional gifts and registration of postcards. Payment conditions. You can pay for the order online on the site or upon receipt of the bouquet. The condition and cost of delivery. We deliver flo"&amp;"wers and gifts daily around the clock. Minimum order amount: 1000 rubles. Delivery cost in Moscow within the MKAD: free of charge with an order amount of more than 3,500 rubles300 rubles. With an order amount of less than 3,500 rubles with tariffs for del"&amp;"ivery by MKAD to the cities of the Moscow Region, you can familiarize yourself with payment/delivery on the page. The pickup is possible around the clock without days off at the address: Moscow Riga Square 9A p. 2. Sending of the order and payment. After "&amp;"the successful completion of each stage, we provide the client with confirmation in the form of an electronic notification. Respiratory and reputation. Over 8 years of continuous work, we have accumulated thousands of reviews that reflect love and gratitu"&amp;"de to the Rosavam service. Reviews can be found both on the website Rozavam.ru and in the public domain on various sites and platforms you trust. With their help, and better from your own experience, you can draw personal conclusions about the reliability"&amp;" and quality of our company’s service as well as the level of satisfaction. Delivery at a certain time. On the order page, you can specify the exact time or choose a convenient interval during which the bouquet must be delivered to the recipient. This is "&amp;"especially useful if you want to congratulate your close colleagues or boss on a certain day or hour. Addting gifts and services. In addition to flowers to order, you can add postcards toppers air balls soft toys candy makaruns (cookies) strawberries in c"&amp;"hocolate fruit or berry bouquets and baskets of vases Fragrant candles and other gifts. Of the additional services, we have: anonymous delivery. Want to make a surprise to a loved one? The recipient will not recognize your name and type of gift until the "&amp;"moment of hand and read the postcard. Indicate “deliver anonymously” when placing an order. Delivery without an address. Do you know the recipient's address? Indicate the number of his phone and we will independently agree with it a convenient place and t"&amp;"he time of presenting the bouquet. You can do this in the form of an order indicating the phone number in the “Recipient” field. We also offer the services of professional florists who will help create an individual bouquet at the request of the client an"&amp;"d will also give consultations on the care of flowers. Holy events and reasons. Ordering and delivery of colors from customers “Rosavam” are especially popular during holidays such as Birthday Wedding Day Valentine (or all lovers Day) February 14 Internat"&amp;"ional Day March 8 Knowledge Day September 1 teacher October 26 (Last Sunday November 26 (Last Sunday November 26 (Last Sunday November) New Year on January 1 and others. The company ""Rosavam"" always offers special bouquets and compositions related to th"&amp;"ese events. Basic delivery from 3500 rubles delivery in Moscow from 2 hours of postelphon: +7 (499) 322-74-86 We accept orders of the clock from 2 hours in Moscow and The areas of useful accommodation/delivery of the Kontaktaktovs of the processing of per"&amp;"sonal datarozavam.ru processing - Flower delivery in Moscow 0 × Basket Step 2: Putting the order to continue buying order: Order a call × Ask a question × you have confused the necessary fields! Name*Email/Phone*Comment Send your question Sent. In the nea"&amp;"r future, our manager will contact you. × Application: Bouquet: Close the dispatch of the Authorization+7 Walks Send SMS to the specified number registration Password? Cancel registration to Rozavam.ru+7")</f>
        <v>Flower delivery in Moscow | Order a bouquet of flowers with free delivery0 accepts the ordering of 2 cesspio Moscow and the region phone in Moscow 24/7: +7 (499) 322-74-86 paying for the Russian Federation: 8 (800) 551-61-21 Reviews Payment / delivery basket 0 Promotions 0 Promotions 0 270 Central Authorist compositions Piono lilacs of chamomile of the Hypsophilus of Hypsophil of Hypsophilus of the Alstromeria Eustoma (Lizianthus) Sunflower Herberra of the Gorobes Ranunkuli lilia anemone Narcona Calla Frezia, the rose -gyacinths of the mimosa of orchids in the pots of the composition of the composition of the composition of the composition of the composition of the composition of the composition, Roses Ecuador Pionovid roses bush roses Red roses White roses pink roses cream roses raspberry roses Peach roses Orange roses yellow roses lilac roses MIX MIX Meter roses Bouquet of 11 roses bouquet of 19 roses bouquet of 29 roses bouquet of 51 roses bouquet of 101 rose bouquet of 301 rose bouquet of 501 rose bouquet of 1001 rhysicist rosypionovid bush roses pink bush roses raspberry roses white bush roses orange bush roses yellow roses red bouquet bouquet bouquet bouquet bouquet bouquet bouquet of 51 bouquet bouquet bouquet of 101 bush rose boxes of bush roses cup XL Box of Bush roses XXLBUTERA BUSTE Bouquets of roses bouquets of tulips bouquets with bush roses bouquets bouquets of mattiola bouquets of irises bouquets bouquets from gerber Sunflies bouquets bouquets of alstromeria bouquets gypsum bouquets bouquets bouquets bouquets bouquets with ranum. Bouquets themselves from clove bouquet of chrysanthemum bouquets of sweets Wedding bouquets Bouquets up to 3,000 rubles in boxes in the bags of boxes box boxes with flowers copyright boxes of 19 roses boxes of 29 roses boxes of 51 rose boxes of 101 rose boxes of 201 rose flowers in a box in a box Bush roses in a box Pionovid roses in a box of tulips in a box of irises in a box of orchids in a box of pionois in a box of chamomile in a box of the box XXL Ranunculus in the baskets in the baskets in the boxes of bush roses in the basket of pionoid roses with heart roses in the corner of the gerber s in The basket of the iris in the chamomile basket in the chrysanthemum basket in the pionic basket in the basket in the basket of roses in the basket basket of 29 roses basket of 51 roses of a basket of 101 rose basket of 301 rose basket of 501 rose rose basket of 1001 rose worshipalus in the basket New Year Basket rabbits in chocolator in chocolate bouquets of strawberries bouquets of berries bouquets of fruit fruit baskets strawberry baskets berry baskets of balls with helium soft toys macaroons and salt for baths candle candy toppers VAZA BARS BARKS BOSE POPERA We cooperate with the best global flower Teplitsy and guarantee you that our bouquets are the latest in the form of a guarantee we can send a photo of the bouquet before sending! Promotion Bouquet of 29 red-white roses 50 smart: 31803840 Delivery for free 4.00 out of 5 in a basket to buy a basket of 23 pcs gerberyart in one click: 10255060 Delivery for free 4.00 out of 5 in a basket to buy a bouquet : 14906280 Delivery for free 4.00 out of 5 in a basket to buy in one click box of roses with eucalyptomart: 20482720 Delivery for free 4.00 out of 5 to the basket to buy a click box of 19 raspberry rosart: 47032920 Delivery for free 4.00 out of 5 to basket to buy a basket to buy in basket One click of 23 gerberates: 3273690 Delivery for free 4.00 out of 5 in the basket to buy a copyright autumn bouquet in a bag 40smart: 63293230 Delivery for free 4.00 out of 5 to basket to buy a mile of Miksart: 60444690 Delivery for free 4.00 outlet of 5 In the basket to buy in one click Show all -authoric compositions Author's bouquet of roses to the bag: 63283170 Delivery for free 4.00 out of 5 to the basket, Mix with roses and eastomoir: 57954700 Delivery free 4.00 out of 5 in the basket buy Buy Buy Corps No. 56art: 49458280 Delivery for free 4.00 out of 5 to the Conternate to buy a flower composition to mom No. 5ARART: 57324760 Delivery for free 4.00 OUT of 5 In the basket, to buy a flower composition to mom No. 4ARART in one click in one click: 57164680 Delivery for free 4.00 out of 5 to basket to buy a click Buy Box 63ARART: 54394980 Delivery for free 4.00 out of 5 to the basket to buy a bouquet of roses with eucalyptus No. 2art: 45672010 Delivery for free 4.00 out of 5 in the basket to buy a click on a basket of roses mix with ozotamnusomart: 457010420 Delivery for free 4.00 out of 5 to the basket to buy all -booths of strawberries bouquet with pigeons: 37367050 Delivery for free 4.00 out of 5 in a basket to Buy to Buy Buy Buy Buying In one click, show the All -Rose Bouquet of 51 pionovid roses Bubble Humart: 538886230 Delivery for free 4.00 out of 5 to basket to buy a bouquet of 101 yellow roseart in one click: 15298960 Delivery for free 4.00 out of 5 to basket Buy a box of 29 cream roses With greens: 57904640 Delivery free 4.00 out of 5 in the basket, out of 5 in the basket, buy a bouquet of pionoid roses to Babblez and eastoma 2Art in a basket to buy in one click: 57585070 Delivery for free 4.00 out of 5 to a basket to buy a bouquet of 51 lilac roses 60 Smart: 19116630 Delivery for free 4.00 out of 5 to basket to buy in one Click Bouquet of 29 red roses (70 cm) art: 3174630 Delivery for free 4.00 out of 5 in the basket to buy in one click a bouquet of pionoid roses Keti and eustoma 2Art: 57574380 Delivery for free 4.00 out of 5 in the basket to show in one click in hazelnuts Boxes Box of Pionovite Lilac Roses LARAR: 56615730 Delivery free 4.00 out of 5 in the basket to buy in one click Box of 51 raspberry roses: 15606090 Delivery for free 4.00 out of 5 to basket Buy Buy Corps for you: 49486260 Delivery for free 4.00 OOT OF 5 In the basket, to buy in one click Box Mix Kustov Rosart: 15486360 Delivery Free 4.00 Out of 5 to the basket to Buy a click Buy Pink Alstromeriyart: 54034160 Delivery Free 4.00 Out of 5 to the basket to bastard Buy Author's composition: 40975580 Delivery for free Delivery Delivery for free delivery 4 In one click, a hat box with white roses and lagurusomart: 63914330 Delivery for free 4.00 out of 5 in a basket to buy in one click Show the entire price up to 2000 p2 000 - 3,000 p 3 000 000 000 000 000 000 000 - 13 000 Mouth 13000 r the type of composition bouquets in the boxes in the baskets in baskets of fruit bouquets Color red pink blue rainbow other flowers copyright compositions Piono lilacs of chamomile orchids of gypsophilia gypsophila alstomeria eastoma (lysianth) sunflower tulips tulipan narcials of the Antemons of the Lilia Narconya Narconya Narcuna Narcuna Narcuna Kalla Frezia rose rose Ecuador Pionovid roses bush Roses red roses White roses pink roses raspberry roses peach roses Orange roses Lilac roses MIX MIX METROM BURRED BUY Bouquet Bouquet Bouquet Bouquet of 29 roses bouquet of 101 roses bouquet of 201 rose bouquet of 301 rose bouquet of 501 roses of 1001 roses more +14 Hide the drystrokes of the dahlias of the Georgins of the mimosa of orchids in pots of Duma -Rosical devystvo stalls in hats boxcocks on the rosamitza with delivery - this is a convenient and popular way to congratulate or express their love of gratitude or condolences to loved ones, especially in cases when it is impossible to present in cases personally. Our service has been ordering flowers quickly and inexpensively for 8 years now and deliver them directly to the house or to another convenient place within the capital and the region. What is worth knowing about the delivery of flowers to “Rosavas”? The quality of colors. We sell and deliver only beautiful freshly cut fresh flowers. We have our own delivery service that takes care that the flowers remain fresh and securely packed during transportation and as a guarantee we can send a photo of the finished bouquet or composition of flowers before sending! The delivery speed. We carry out urgent delivery within 2 hours from the date of order without an additional fee. Assortment and selection of colors. In the catalog of the Rosavam online store you will find thousands of photos of bouquets and compositions from flowers in boxes and baskets with detailed descriptions and prices. All our flowers from the best greenhouse complexes of Russia Holland Kenya Italy and Ecuador. You can choose any bouquet you like the composition or assemble a unique order with our florist. Of particular popularity among our buyers are roses of peonies of the tulips of lilies Herbery orchids of chamomile and chrysanthemum. You can choose a bouquet in a certain color scheme or style such as romantic bright or minimalist. The price and payment methods. In the Rosavam flowers store you will find inexpensive bouquets at a price of 1690 rubles. Every day we provide the opportunity to choose and buy flowers with a discount cheap on the promotion in the corresponding section. You can pay in cash to the courier when receiving an order or bank card by payment link (without commission) online directly on the order page. Ordering and processing of the order. The process of ordering colors is carried out online. The fastest way is to choose the desired bouquet or composition and click on one click - a special form will open where you need to specify only the contact number of the phone and then click send. Another method - add the necessary to the basket and in a special form or on the basket page click order and fill out the following data: your contact number of the phone or recipient Address and delivery time. If desired, you can indicate your name and/or recipient additional data about the address as well as your wishes in the comment and other details in the field (you can add a postcard to the order to enter the promotional code select additional gifts and services). Another quick way is to call the +7 number (499) 322-74-86, especially if there is doubt that you need to choose advice or any other assistance and payment for the order. Reception of orders and calls is carried out daily and around the clock. After receiving the order, the flower service "Rosavam" process it. This includes the preparation of a bouquet or composition packaging, if necessary, add additional gifts and registration of postcards. Payment conditions. You can pay for the order online on the site or upon receipt of the bouquet. The condition and cost of delivery. We deliver flowers and gifts daily around the clock. Minimum order amount: 1000 rubles. Delivery cost in Moscow within the MKAD: free of charge with an order amount of more than 3,500 rubles300 rubles. With an order amount of less than 3,500 rubles with tariffs for delivery by MKAD to the cities of the Moscow Region, you can familiarize yourself with payment/delivery on the page. The pickup is possible around the clock without days off at the address: Moscow Riga Square 9A p. 2. Sending of the order and payment. After the successful completion of each stage, we provide the client with confirmation in the form of an electronic notification. Respiratory and reputation. Over 8 years of continuous work, we have accumulated thousands of reviews that reflect love and gratitude to the Rosavam service. Reviews can be found both on the website Rozavam.ru and in the public domain on various sites and platforms you trust. With their help, and better from your own experience, you can draw personal conclusions about the reliability and quality of our company’s service as well as the level of satisfaction. Delivery at a certain time. On the order page, you can specify the exact time or choose a convenient interval during which the bouquet must be delivered to the recipient. This is especially useful if you want to congratulate your close colleagues or boss on a certain day or hour. Addting gifts and services. In addition to flowers to order, you can add postcards toppers air balls soft toys candy makaruns (cookies) strawberries in chocolate fruit or berry bouquets and baskets of vases Fragrant candles and other gifts. Of the additional services, we have: anonymous delivery. Want to make a surprise to a loved one? The recipient will not recognize your name and type of gift until the moment of hand and read the postcard. Indicate “deliver anonymously” when placing an order. Delivery without an address. Do you know the recipient's address? Indicate the number of his phone and we will independently agree with it a convenient place and the time of presenting the bouquet. You can do this in the form of an order indicating the phone number in the “Recipient” field. We also offer the services of professional florists who will help create an individual bouquet at the request of the client and will also give consultations on the care of flowers. Holy events and reasons. Ordering and delivery of colors from customers “Rosavam” are especially popular during holidays such as Birthday Wedding Day Valentine (or all lovers Day) February 14 International Day March 8 Knowledge Day September 1 teacher October 26 (Last Sunday November 26 (Last Sunday November 26 (Last Sunday November) New Year on January 1 and others. The company "Rosavam" always offers special bouquets and compositions related to these events. Basic delivery from 3500 rubles delivery in Moscow from 2 hours of postelphon: +7 (499) 322-74-86 We accept orders of the clock from 2 hours in Moscow and The areas of useful accommodation/delivery of the Kontaktaktovs of the processing of personal datarozavam.ru processing - Flower delivery in Moscow 0 × Basket Step 2: Putting the order to continue buying order: Order a call × Ask a question × you have confused the necessary fields! Name*Email/Phone*Comment Send your question Sent. In the near future, our manager will contact you. × Application: Bouquet: Close the dispatch of the Authorization+7 Walks Send SMS to the specified number registration Password? Cancel registration to Rozavam.ru+7</v>
      </c>
    </row>
    <row r="295">
      <c r="A295" s="1" t="s">
        <v>883</v>
      </c>
      <c r="B295" s="1" t="s">
        <v>955</v>
      </c>
      <c r="D295" s="1">
        <v>19.0</v>
      </c>
      <c r="E295" s="4" t="s">
        <v>956</v>
      </c>
      <c r="F295" s="1" t="s">
        <v>16</v>
      </c>
      <c r="G295" s="1" t="s">
        <v>957</v>
      </c>
      <c r="H295" s="4" t="s">
        <v>958</v>
      </c>
      <c r="I295" s="2">
        <v>1.0</v>
      </c>
      <c r="J295" s="5" t="str">
        <f>IFERROR(__xludf.DUMMYFUNCTION("GOOGLETRANSLATE(A295)"),"Gypsophyla")</f>
        <v>Gypsophyla</v>
      </c>
      <c r="K295" s="6" t="str">
        <f>IFERROR(__xludf.DUMMYFUNCTION("GOOGLETRANSLATE(B295)"),"Bouquet of 5 branches of pink gypsophila")</f>
        <v>Bouquet of 5 branches of pink gypsophila</v>
      </c>
      <c r="L295" s="5" t="str">
        <f>IFERROR(__xludf.DUMMYFUNCTION("GOOGLETRANSLATE(C295)"),"#VALUE!")</f>
        <v>#VALUE!</v>
      </c>
      <c r="M295" s="5" t="str">
        <f>IFERROR(__xludf.DUMMYFUNCTION("GOOGLETRANSLATE(G295)"),"Flower delivery in St. Petersburg is inexpensive-online store Flower store Florist Cathrian Cabinet-Cabinet-Cabinets Autumn Buckets Winter Bouquets Pink Bouquets Lilac Bouquets Field Bouquets Red Bouquets with Alustomerias with Carnations with Orchins wit"&amp;"h Roses with Eustemes with Eustemes with Eustems Rose rose Kenya Pionovid rose Rose Ecuador Course rose Flowers Rose Georgina Gordensi Piono Cloves (Diantus) Alstromeria gypsophila chipsathema orchid eastoma (lisianthus) Matrixa succaria other flowers of "&amp;"lilies of tulpans of tulipalus duo-boots of puppets of gifts of gifts and percent. Bores Sukhotzeta Flower compositions flowers In the hatching box of the wedding bouquet of the bride Wedding decor premium catalog about us payment Service Contacts Feedbac"&amp;"k +7 (812) 425-61-03 order the call +7 (812) 425-61-03 order to call the catalog catalog for us payment Contacts Contact Reverse Communication +7 (812) 425-61-03 Order a call +7 (812) 425-61-03 order a call download the application and get 500 bonuses wat"&amp;"ch in the application download +7 (812) 429-69-87 Autics Autumn Autumn Buckets bouquets pink bouquets Pink Bouquets of lilac bouquets men's bouquets Field bouquets in warm shades red bouquets with alstromerias with cloves with hydrangeas with orchids with"&amp;" peonies with roses with eustoma rose rose pionovid rose Ecuador rose rose fragrant roses of dahlias of gordenesis pionomes Fila Chrysanthemum iris orchid eastoma (lysianthus) Matrixes dry flowers other flowers of lilies tulips Ranunkulus duo-boots compos"&amp;"ition of a basket of flowers Gifts and succal sets Flower compositions Flowers in a hats wedding Bouquet Bouquet Bouquet Bouquet Bouquet Buying Building Building Disgracker Foundation Building Together Supporting Flower Flower Flower 70 ₽6 370 ₽ Buy 1 Cli"&amp;"ck Bouquet of 15 pink cloves 2 450 ₽2 450 ₽ Buy 1 click Publishing bouquet Tenderness M 4 390 ₽4 390 ₽ Buy 1 click Bouquet of 101 red rose 40cm (Kenya) 9 050 ₽8 520 ₽ Buy 1 click Bouquet Summer Sunset M 4 480 ₽4 480 ₽ Buy 1 click Publishing bouquet Tender"&amp;"ness s 2 840 ₽2 840 ₽ Buy 1 click Bloom S 4 140 ₽4 ₽4 590 ₽2 072 ₽ Buy in 1 click Purchase bouquet Lyubov M 5 450 ₽5 450 ₽ Buy 1 click assembly bouquet perfection m 4 220 ₽4 220 ₽ Buy 1 click Flower basket Love 12 640 ₽12 640 ₽ Buy in 1 click Bouquet of p"&amp;"ionovid roses Pink Expression M 5 750 ₽5 ₽5 ₽5 of 3 pink hydrangeas 3 190 ₽3 190 ₽ Buy 1 click Bouquet of 9 branches of gypsophiles 3 210 ₽3 210 ₽ Buy 1 click Bouquaty -Salarpione -Syphyophylairisanthemicals to the Catalog Bouquet of 101 White Rose 50cm ("&amp;"Kenya) 10 345 ₽9 770 ₽ Buy in 1 Click Bouquet of 25 red roses 40cm (Kenya) 2 940 ₽2 810 ₽ Buy 1 click assembly bouquet Warm Summer S 2 470 ₽2 120 ₽ Buy 1 click Bouquet of 25 red roses 50cm (Kenya) 3 795 ₽3 140 ₽ Buy in 1 click a white bouquet with spikele"&amp;"ts s 2 680 ₽2 180 ₽ Buy 1 click Bouquet of 51 white rose 50cm (Kenya) 6 100 ₽5 550 ₽ In 1 click Beige Flower Assistance 4 070 ₽3 720 ₽ in 1 click of 35 red roses 50cm (Kenya) 4 410 ₽4 040 ₽ Buy 1 click wedding bouquets in the catalog Classic white wedding"&amp;" bouquet of the bride 5 580 ₽5 580 ₽ Buy in 1 click facial wedding bouquet of the bride from eastoma 6 180 ₽6 ₽6 180 ₽ Buy in 1 click Wedding bouquet of the bride with an orchid #2 4 800 ₽4 800 ₽ on order peach sprawling wedding bouquet of brides ... 5 45"&amp;"0 ₽5 450 ₽ Buy 1 click wedding bouquet of bride with non -patients 5 740 ₽5 740 ₽ ₽ Buy in 1 click a wedding bouquet of the bride of 15 roses Playa Blanc ... 5 750 ₽5 750 ₽ Buy 1 click Bright sprawling wedding bouquet of the bride 6 390 ₽6 ₽ Buy in 1 clic"&amp;"k of a field wedding bouquet of a bride with a peon #3 4 830 ₽4 830 ₽ Buy 1 click wedding bouquet of a bride of 9 roses Playa Blanca ... 4 530 ₽4 530 ₽ Buy prefabricated bouquets in the catalogs assembly bouquet BLOOM S 4 140 ₽4 140 ₽ Buy 1 click assembly"&amp;" bouquet Binich share m 5 610 ₽5 610 ₽ Buy 1 click assembly bouquet lilac compliment S 3 430 ₽3 430 ₽ Buy a prefabricated bouquet with spikelet m 3 710 ₽3 710 ₽ Buy in 1 click Prevention perfection M 4 220 ₽4 ₽4 ₽4 In 1 click, prefabricated bouquet breath"&amp;"ing Spring 4 250 ₽4 ₽4 ₽ Buy 1 click assembly bouquet Bloom M 8 890 ₽8 890 ₽ Buy 1 click Pion -tank bouquet with peony vanilla syrup s 4 640 ₽4 640 ₽ Buy 1 click bouquet in Hat box pastille 2 670 ₽2 670 ₽ Buy in 1 click Publishing bouquet Summer meadow S "&amp;"3 280 ₽3 280 ₽ Buy 1 click assembly bouquet Spring Morning 6 980 ₽6 980 ₽ Buy 1 clip Tuplement bouquet Sophie 5 930 ₽5 930 ₽5 930 ₽ Buy in 1 click Tender bouquets of 15 roses Playa Blanca 5 750 ₽5 750 ₽ Buy 1 click Flower basket Soft 6 370 ₽6 370 ₽ Buy in"&amp;" 1 click Bouquet of 15 peach cloves with eucalyptus 2 980 ₽2 980 ₽ In 1 click, a prefabricated bouquet Pink compliment 2 780 ₽2 780 ₽ Buy in 1 click assembly bouquet perfection l 5 860 ₽5 860 ₽ Buy in 1 click Prefabricated bouquet perfection m 4 220 ₽4 56"&amp;"0 ₽8 560 ₽ Buy in 1 click Boat Bloom L 12 540 ₽12 540 ₽ Buy 1 click in 1 click prefabricated bouquet Early morning 3 790 ₽3 790 ₽ Buy 1 click Tuplement bouquet marshmallow m 6 180 ₽6 180 ₽ Buy 1 Click a bouquet in anticipation of spring S 4 730 ₽4 730 ₽ B"&amp;"uy 1 click Flower composition Sweet Heart 5 620 ₽5 620 ₽ Buy 1 click Bouquet in a hat in a hat box pink lace m 3 980 ₽3 980 ₽ Buy in 1 click Morning in the hay 3 780 ₽3 780 ₽ On order a bouquet of hydrangeas and peonies Strawberry Cream 4 660 ₽3 760 ₽ Red"&amp;" roses Bouquet of 25 red roses 40cm (Kenya) 2 940 ₽2 810 ₽ Buy 1 click Bouquet of 101 red roses 40cm (Kenya) 9 050 ₽8 520 ₽ Buy 1 click Bouquet of 25 red roses 50cm (Kenya) 3 795 ₽3 140 ₽ Buy 1 click of 101 red rose 50cm (Kenya) 12 100 ₽9 770 ₽ Buy In 1 c"&amp;"lick, a bouquet of 11 red roses 50cm 3 920 ₽3 920 ₽ Buy 1 click of 15 red roses 50cm 5 190 ₽5 190 ₽ Buy 1 click of 51 red rose 50cm (Kenya) 6 825 ₽5 550 ₽ Buy in 1 click a bouquet of 25 red roses 50cm 8 410 ₽8 410 ₽ Buy 1 click Bouquet of 51 red rose 50cm"&amp;" 14 630 ₽14 120 ₽ Buy 1 click Bouquet of 25 burgundy roses 60cm (Kenya premium) 3 590 ₽3 030 ₽ Under order a bouquet of Proteus and roses Explorer 6 850 ₽6 850 ₽ Buy 1 click Bouquet in a hat box of 75 red roses (ke ... 9 980 ₽6 990 ₽ Under order to order "&amp;"reviews Leave reviews 13.10.202217: 25 Alenakhodas I really liked the store, I was looking for a flower in the evening, which works 24h. And I stopped in Florcat, I am with a soul and beautifully cozy flowers fresh. The girl very Mila and I did not interf"&amp;"ere with the opportunity to decide on the colors on 09/20/20213: 16: 03 Daria thank you very much for your delivery! The bouquet is chic! Delivery on time! 09/08/202214: 46: 32 Andrew Personnel and flowers -5 site (the link to the Personal Account does no"&amp;"t work) 1. Total -4 01.09.202221: 19: 33 Natalya ordered two bouquets of Bloom S wedding and a bouquet of 51 white roses. On the day of delivery, they sent a photo of ready -made bouquets the courier arrived during. Flowers are the highest aroma pleasant "&amp;"and not intrusive. Well done florists professionals of their business! Thanks a lot! Good luck to you and inexhaustible ideas for your magnificent bouquets! You ask you to answer, whether it is possible to get a photo of a finished bouquet? Yes, sure! We "&amp;"will definitely send photos of the finished bouquet to coordinate so that you do not worry :) Exception - holidays on which we will not send a photo of bouquets due to workload. Do I need to pay extra for delivery? We have different delivery options as we"&amp;"ll as zones - for example, orders in St. Petersburg we deliver for free and bouquets to the Leningrad region - for an additional fee .. We also have a service of night delivery and delivery to the exact time if free intervals are not suitable :) How to pa"&amp;"y order? You can pay for the order in any convenient way: our couriers have terminals and the ability to accept cash and if you have an order for another person, we will accept payment online :) How to place an order for flowing delivery? To place an orde"&amp;"r, you will need to choose a bouquet and click on the ""place an order"" button. Then fill out information about the sender and recipient and choose the desired payment method. After making payment, the courier will deliver the selected flowers at the des"&amp;"ired time at the specified address :) Florcat.ru-24-hour flowers delivery in St. Petersburg Florcat.ru-24-hour flowers delivery in St. Petersburg with special bouquets of fresh colors decorated with spreading herbs and stylish branded packaging . Florcat."&amp;"ru delings fresh flowers and a great mood since 2019. We create bouquets and compositions in hat boxes with love and skill baskets and boxes taking into account every wish and preserving our own style and also share with you preparations for events and we"&amp;"ddings: we select bouquets for brides and draw up space for the upcoming celebrations. Order flowers with delivery to St. Petersburg and the Leningrad region or come for ordering in one of our studios. Complete the bouquet with a stylish vase with a fragr"&amp;"ant soy candle with balloons or sweets and be sure that the gift will bring a lot of positive emotions to a person to a person. Flip photos of the bouquet before delivering orders around the clock, order flowers with delivery and arrange a pickup: call or"&amp;" write to us in a messenger convenient for you. We are registered in WhatsApp Viber and Telegram -form the order on our website: Add the bouquet you like to the basket and fill out the format aTAGRAM Formatte, show our favorite bouquet and indicate the in"&amp;"formation about yourself and recort our fast courier at the threshold of the apartment or come to one of our round -the -clock studios located according to the following Addresses: Tynova 38 Professor Popova 27 are you looking for flowers with delivery to"&amp;" St. Petersburg? Trust us! :) Bouquets of our shares -collar bouquet bouquets with flower stoma bouquets in a box flowers bouquets from chrysanthemum bouquets made of tulipetes made of piono -drone flowers other sweatings and toppers and airy -players of "&amp;"candles and diffusers to customers about appliances. 7 (812) 425-61-03 Feedback Order a callHatsApp / viber / telegram +7 (905) 212-10-22s on social networks: Vkontakte Instagramip Aleksandrova Yu. R. | IP Abbyasov L. r. 196233 St. Petersburg st. Tynova d"&amp;". 38 User Agreement © Florcat 2023 The information presented on the site is not a public offer determined by the provisions of Article 437 of the Civil Code of the Russian Federation. The bouquet was added to the basket-mail pasodolvoi password? Restore a"&amp;"ccess to the access to reconnect! Input communication is the name of the telephone code in the picture in the picture I agree to process my personal data in accordance with the user agreement. Send order to be a phone from the phone, I agree to process my"&amp;" personal data in accordance with the user agreement. The code in the picture will recovate the consultation of the decorator replenish the information below and expect feedback :) The name of the phone I agree to the processing of my personal data in acc"&amp;"ordance with the user agreement. Send our application500 bonuses when registering a 10% of each ordering payment delivery for St. Petersburgfoot Bouquet before delivery of fresh flowers and a guarantee of quality to the review of the review of the assessm"&amp;"ent * comment * I agree to process my personal data in accordance with the user agreement. Send one clicky -core in one clickyonomer in the picture I agree to process my personal data in accordance with the user agreement. Buying this product now is not a"&amp;"vailable in studios. We will check the possibility of ordering flowers specifically to your date and contact you :) The name of the telephone code in the picture I agree to process my personal data in accordance with the user agreement. Order")</f>
        <v>Flower delivery in St. Petersburg is inexpensive-online store Flower store Florist Cathrian Cabinet-Cabinet-Cabinets Autumn Buckets Winter Bouquets Pink Bouquets Lilac Bouquets Field Bouquets Red Bouquets with Alustomerias with Carnations with Orchins with Roses with Eustemes with Eustemes with Eustems Rose rose Kenya Pionovid rose Rose Ecuador Course rose Flowers Rose Georgina Gordensi Piono Cloves (Diantus) Alstromeria gypsophila chipsathema orchid eastoma (lisianthus) Matrixa succaria other flowers of lilies of tulpans of tulipalus duo-boots of puppets of gifts of gifts and percent. Bores Sukhotzeta Flower compositions flowers In the hatching box of the wedding bouquet of the bride Wedding decor premium catalog about us payment Service Contacts Feedback +7 (812) 425-61-03 order the call +7 (812) 425-61-03 order to call the catalog catalog for us payment Contacts Contact Reverse Communication +7 (812) 425-61-03 Order a call +7 (812) 425-61-03 order a call download the application and get 500 bonuses watch in the application download +7 (812) 429-69-87 Autics Autumn Autumn Buckets bouquets pink bouquets Pink Bouquets of lilac bouquets men's bouquets Field bouquets in warm shades red bouquets with alstromerias with cloves with hydrangeas with orchids with peonies with roses with eustoma rose rose pionovid rose Ecuador rose rose fragrant roses of dahlias of gordenesis pionomes Fila Chrysanthemum iris orchid eastoma (lysianthus) Matrixes dry flowers other flowers of lilies tulips Ranunkulus duo-boots composition of a basket of flowers Gifts and succal sets Flower compositions Flowers in a hats wedding Bouquet Bouquet Bouquet Bouquet Bouquet Buying Building Building Disgracker Foundation Building Together Supporting Flower Flower Flower 70 ₽6 370 ₽ Buy 1 Click Bouquet of 15 pink cloves 2 450 ₽2 450 ₽ Buy 1 click Publishing bouquet Tenderness M 4 390 ₽4 390 ₽ Buy 1 click Bouquet of 101 red rose 40cm (Kenya) 9 050 ₽8 520 ₽ Buy 1 click Bouquet Summer Sunset M 4 480 ₽4 480 ₽ Buy 1 click Publishing bouquet Tenderness s 2 840 ₽2 840 ₽ Buy 1 click Bloom S 4 140 ₽4 ₽4 590 ₽2 072 ₽ Buy in 1 click Purchase bouquet Lyubov M 5 450 ₽5 450 ₽ Buy 1 click assembly bouquet perfection m 4 220 ₽4 220 ₽ Buy 1 click Flower basket Love 12 640 ₽12 640 ₽ Buy in 1 click Bouquet of pionovid roses Pink Expression M 5 750 ₽5 ₽5 ₽5 of 3 pink hydrangeas 3 190 ₽3 190 ₽ Buy 1 click Bouquet of 9 branches of gypsophiles 3 210 ₽3 210 ₽ Buy 1 click Bouquaty -Salarpione -Syphyophylairisanthemicals to the Catalog Bouquet of 101 White Rose 50cm (Kenya) 10 345 ₽9 770 ₽ Buy in 1 Click Bouquet of 25 red roses 40cm (Kenya) 2 940 ₽2 810 ₽ Buy 1 click assembly bouquet Warm Summer S 2 470 ₽2 120 ₽ Buy 1 click Bouquet of 25 red roses 50cm (Kenya) 3 795 ₽3 140 ₽ Buy in 1 click a white bouquet with spikelets s 2 680 ₽2 180 ₽ Buy 1 click Bouquet of 51 white rose 50cm (Kenya) 6 100 ₽5 550 ₽ In 1 click Beige Flower Assistance 4 070 ₽3 720 ₽ in 1 click of 35 red roses 50cm (Kenya) 4 410 ₽4 040 ₽ Buy 1 click wedding bouquets in the catalog Classic white wedding bouquet of the bride 5 580 ₽5 580 ₽ Buy in 1 click facial wedding bouquet of the bride from eastoma 6 180 ₽6 ₽6 180 ₽ Buy in 1 click Wedding bouquet of the bride with an orchid #2 4 800 ₽4 800 ₽ on order peach sprawling wedding bouquet of brides ... 5 450 ₽5 450 ₽ Buy 1 click wedding bouquet of bride with non -patients 5 740 ₽5 740 ₽ ₽ Buy in 1 click a wedding bouquet of the bride of 15 roses Playa Blanc ... 5 750 ₽5 750 ₽ Buy 1 click Bright sprawling wedding bouquet of the bride 6 390 ₽6 ₽ Buy in 1 click of a field wedding bouquet of a bride with a peon #3 4 830 ₽4 830 ₽ Buy 1 click wedding bouquet of a bride of 9 roses Playa Blanca ... 4 530 ₽4 530 ₽ Buy prefabricated bouquets in the catalogs assembly bouquet BLOOM S 4 140 ₽4 140 ₽ Buy 1 click assembly bouquet Binich share m 5 610 ₽5 610 ₽ Buy 1 click assembly bouquet lilac compliment S 3 430 ₽3 430 ₽ Buy a prefabricated bouquet with spikelet m 3 710 ₽3 710 ₽ Buy in 1 click Prevention perfection M 4 220 ₽4 ₽4 ₽4 In 1 click, prefabricated bouquet breathing Spring 4 250 ₽4 ₽4 ₽ Buy 1 click assembly bouquet Bloom M 8 890 ₽8 890 ₽ Buy 1 click Pion -tank bouquet with peony vanilla syrup s 4 640 ₽4 640 ₽ Buy 1 click bouquet in Hat box pastille 2 670 ₽2 670 ₽ Buy in 1 click Publishing bouquet Summer meadow S 3 280 ₽3 280 ₽ Buy 1 click assembly bouquet Spring Morning 6 980 ₽6 980 ₽ Buy 1 clip Tuplement bouquet Sophie 5 930 ₽5 930 ₽5 930 ₽ Buy in 1 click Tender bouquets of 15 roses Playa Blanca 5 750 ₽5 750 ₽ Buy 1 click Flower basket Soft 6 370 ₽6 370 ₽ Buy in 1 click Bouquet of 15 peach cloves with eucalyptus 2 980 ₽2 980 ₽ In 1 click, a prefabricated bouquet Pink compliment 2 780 ₽2 780 ₽ Buy in 1 click assembly bouquet perfection l 5 860 ₽5 860 ₽ Buy in 1 click Prefabricated bouquet perfection m 4 220 ₽4 560 ₽8 560 ₽ Buy in 1 click Boat Bloom L 12 540 ₽12 540 ₽ Buy 1 click in 1 click prefabricated bouquet Early morning 3 790 ₽3 790 ₽ Buy 1 click Tuplement bouquet marshmallow m 6 180 ₽6 180 ₽ Buy 1 Click a bouquet in anticipation of spring S 4 730 ₽4 730 ₽ Buy 1 click Flower composition Sweet Heart 5 620 ₽5 620 ₽ Buy 1 click Bouquet in a hat in a hat box pink lace m 3 980 ₽3 980 ₽ Buy in 1 click Morning in the hay 3 780 ₽3 780 ₽ On order a bouquet of hydrangeas and peonies Strawberry Cream 4 660 ₽3 760 ₽ Red roses Bouquet of 25 red roses 40cm (Kenya) 2 940 ₽2 810 ₽ Buy 1 click Bouquet of 101 red roses 40cm (Kenya) 9 050 ₽8 520 ₽ Buy 1 click Bouquet of 25 red roses 50cm (Kenya) 3 795 ₽3 140 ₽ Buy 1 click of 101 red rose 50cm (Kenya) 12 100 ₽9 770 ₽ Buy In 1 click, a bouquet of 11 red roses 50cm 3 920 ₽3 920 ₽ Buy 1 click of 15 red roses 50cm 5 190 ₽5 190 ₽ Buy 1 click of 51 red rose 50cm (Kenya) 6 825 ₽5 550 ₽ Buy in 1 click a bouquet of 25 red roses 50cm 8 410 ₽8 410 ₽ Buy 1 click Bouquet of 51 red rose 50cm 14 630 ₽14 120 ₽ Buy 1 click Bouquet of 25 burgundy roses 60cm (Kenya premium) 3 590 ₽3 030 ₽ Under order a bouquet of Proteus and roses Explorer 6 850 ₽6 850 ₽ Buy 1 click Bouquet in a hat box of 75 red roses (ke ... 9 980 ₽6 990 ₽ Under order to order reviews Leave reviews 13.10.202217: 25 Alenakhodas I really liked the store, I was looking for a flower in the evening, which works 24h. And I stopped in Florcat, I am with a soul and beautifully cozy flowers fresh. The girl very Mila and I did not interfere with the opportunity to decide on the colors on 09/20/20213: 16: 03 Daria thank you very much for your delivery! The bouquet is chic! Delivery on time! 09/08/202214: 46: 32 Andrew Personnel and flowers -5 site (the link to the Personal Account does not work) 1. Total -4 01.09.202221: 19: 33 Natalya ordered two bouquets of Bloom S wedding and a bouquet of 51 white roses. On the day of delivery, they sent a photo of ready -made bouquets the courier arrived during. Flowers are the highest aroma pleasant and not intrusive. Well done florists professionals of their business! Thanks a lot! Good luck to you and inexhaustible ideas for your magnificent bouquets! You ask you to answer, whether it is possible to get a photo of a finished bouquet? Yes, sure! We will definitely send photos of the finished bouquet to coordinate so that you do not worry :) Exception - holidays on which we will not send a photo of bouquets due to workload. Do I need to pay extra for delivery? We have different delivery options as well as zones - for example, orders in St. Petersburg we deliver for free and bouquets to the Leningrad region - for an additional fee .. We also have a service of night delivery and delivery to the exact time if free intervals are not suitable :) How to pay order? You can pay for the order in any convenient way: our couriers have terminals and the ability to accept cash and if you have an order for another person, we will accept payment online :) How to place an order for flowing delivery? To place an order, you will need to choose a bouquet and click on the "place an order" button. Then fill out information about the sender and recipient and choose the desired payment method. After making payment, the courier will deliver the selected flowers at the desired time at the specified address :) Florcat.ru-24-hour flowers delivery in St. Petersburg Florcat.ru-24-hour flowers delivery in St. Petersburg with special bouquets of fresh colors decorated with spreading herbs and stylish branded packaging . Florcat.ru delings fresh flowers and a great mood since 2019. We create bouquets and compositions in hat boxes with love and skill baskets and boxes taking into account every wish and preserving our own style and also share with you preparations for events and weddings: we select bouquets for brides and draw up space for the upcoming celebrations. Order flowers with delivery to St. Petersburg and the Leningrad region or come for ordering in one of our studios. Complete the bouquet with a stylish vase with a fragrant soy candle with balloons or sweets and be sure that the gift will bring a lot of positive emotions to a person to a person. Flip photos of the bouquet before delivering orders around the clock, order flowers with delivery and arrange a pickup: call or write to us in a messenger convenient for you. We are registered in WhatsApp Viber and Telegram -form the order on our website: Add the bouquet you like to the basket and fill out the format aTAGRAM Formatte, show our favorite bouquet and indicate the information about yourself and recort our fast courier at the threshold of the apartment or come to one of our round -the -clock studios located according to the following Addresses: Tynova 38 Professor Popova 27 are you looking for flowers with delivery to St. Petersburg? Trust us! :) Bouquets of our shares -collar bouquet bouquets with flower stoma bouquets in a box flowers bouquets from chrysanthemum bouquets made of tulipetes made of piono -drone flowers other sweatings and toppers and airy -players of candles and diffusers to customers about appliances. 7 (812) 425-61-03 Feedback Order a callHatsApp / viber / telegram +7 (905) 212-10-22s on social networks: Vkontakte Instagramip Aleksandrova Yu. R. | IP Abbyasov L. r. 196233 St. Petersburg st. Tynova d. 38 User Agreement © Florcat 2023 The information presented on the site is not a public offer determined by the provisions of Article 437 of the Civil Code of the Russian Federation. The bouquet was added to the basket-mail pasodolvoi password? Restore access to the access to reconnect! Input communication is the name of the telephone code in the picture in the picture I agree to process my personal data in accordance with the user agreement. Send order to be a phone from the phone, I agree to process my personal data in accordance with the user agreement. The code in the picture will recovate the consultation of the decorator replenish the information below and expect feedback :) The name of the phone I agree to the processing of my personal data in accordance with the user agreement. Send our application500 bonuses when registering a 10% of each ordering payment delivery for St. Petersburgfoot Bouquet before delivery of fresh flowers and a guarantee of quality to the review of the review of the assessment * comment * I agree to process my personal data in accordance with the user agreement. Send one clicky -core in one clickyonomer in the picture I agree to process my personal data in accordance with the user agreement. Buying this product now is not available in studios. We will check the possibility of ordering flowers specifically to your date and contact you :) The name of the telephone code in the picture I agree to process my personal data in accordance with the user agreement. Order</v>
      </c>
    </row>
    <row r="296">
      <c r="A296" s="1" t="s">
        <v>883</v>
      </c>
      <c r="B296" s="1" t="s">
        <v>959</v>
      </c>
      <c r="C296" s="1" t="s">
        <v>960</v>
      </c>
      <c r="D296" s="1">
        <v>20.0</v>
      </c>
      <c r="E296" s="4" t="s">
        <v>961</v>
      </c>
      <c r="F296" s="1" t="s">
        <v>16</v>
      </c>
      <c r="H296" s="4" t="s">
        <v>962</v>
      </c>
      <c r="I296" s="2">
        <v>1.0</v>
      </c>
      <c r="J296" s="5" t="str">
        <f>IFERROR(__xludf.DUMMYFUNCTION("GOOGLETRANSLATE(A296)"),"Gypsophyla")</f>
        <v>Gypsophyla</v>
      </c>
      <c r="K296" s="6" t="str">
        <f>IFERROR(__xludf.DUMMYFUNCTION("GOOGLETRANSLATE(B296)"),"Price, order bouquets from gypsophiles with delivery in Moscow in ...")</f>
        <v>Price, order bouquets from gypsophiles with delivery in Moscow in ...</v>
      </c>
      <c r="L296" s="5" t="str">
        <f>IFERROR(__xludf.DUMMYFUNCTION("GOOGLETRANSLATE(C296)"),"Bouquet gypsophile with delivery in Moscow ☎ 8 495 788 70 08 from the store ✿ simple flowers.")</f>
        <v>Bouquet gypsophile with delivery in Moscow ☎ 8 495 788 70 08 from the store ✿ simple flowers.</v>
      </c>
      <c r="M296" s="5" t="str">
        <f>IFERROR(__xludf.DUMMYFUNCTION("GOOGLETRANSLATE(G296)"),"#VALUE!")</f>
        <v>#VALUE!</v>
      </c>
    </row>
    <row r="297">
      <c r="A297" s="1" t="s">
        <v>883</v>
      </c>
      <c r="B297" s="1" t="s">
        <v>963</v>
      </c>
      <c r="D297" s="1">
        <v>2.0</v>
      </c>
      <c r="E297" s="4" t="s">
        <v>964</v>
      </c>
      <c r="F297" s="1" t="s">
        <v>43</v>
      </c>
      <c r="G297" s="1" t="s">
        <v>965</v>
      </c>
      <c r="H297" s="4" t="s">
        <v>966</v>
      </c>
      <c r="I297" s="2">
        <v>1.0</v>
      </c>
      <c r="J297" s="5" t="str">
        <f>IFERROR(__xludf.DUMMYFUNCTION("GOOGLETRANSLATE(A297)"),"Gypsophyla")</f>
        <v>Gypsophyla</v>
      </c>
      <c r="K297" s="6" t="str">
        <f>IFERROR(__xludf.DUMMYFUNCTION("GOOGLETRANSLATE(B297)"),"Gypsophila - how to care for when and to whom to give")</f>
        <v>Gypsophila - how to care for when and to whom to give</v>
      </c>
      <c r="L297" s="5" t="str">
        <f>IFERROR(__xludf.DUMMYFUNCTION("GOOGLETRANSLATE(C297)"),"#VALUE!")</f>
        <v>#VALUE!</v>
      </c>
      <c r="M297" s="5" t="str">
        <f>IFERROR(__xludf.DUMMYFUNCTION("GOOGLETRANSLATE(G297)"),"208.75.19.153 12.11.2023 09:45:22Sorry your request has been denied.")</f>
        <v>208.75.19.153 12.11.2023 09:45:22Sorry your request has been denied.</v>
      </c>
    </row>
    <row r="298">
      <c r="A298" s="1" t="s">
        <v>883</v>
      </c>
      <c r="B298" s="1" t="s">
        <v>967</v>
      </c>
      <c r="C298" s="1" t="s">
        <v>968</v>
      </c>
      <c r="D298" s="1">
        <v>3.0</v>
      </c>
      <c r="E298" s="4" t="s">
        <v>894</v>
      </c>
      <c r="F298" s="1" t="s">
        <v>43</v>
      </c>
      <c r="I298" s="2">
        <v>1.0</v>
      </c>
      <c r="J298" s="5" t="str">
        <f>IFERROR(__xludf.DUMMYFUNCTION("GOOGLETRANSLATE(A298)"),"Gypsophyla")</f>
        <v>Gypsophyla</v>
      </c>
      <c r="K298" s="6" t="str">
        <f>IFERROR(__xludf.DUMMYFUNCTION("GOOGLETRANSLATE(B298)"),"Gypsophiles, buy in Moscow, urgently in 29 minutes, ...")</f>
        <v>Gypsophiles, buy in Moscow, urgently in 29 minutes, ...</v>
      </c>
      <c r="L298" s="5" t="str">
        <f>IFERROR(__xludf.DUMMYFUNCTION("GOOGLETRANSLATE(C298)"),"Gypsophiles on Flowwow. ✨ Fast delivery: tracking the courier on the map! ✨ Favorable prices from 1250 rubles per bouquet of gypsophils, we work 24/7.")</f>
        <v>Gypsophiles on Flowwow. ✨ Fast delivery: tracking the courier on the map! ✨ Favorable prices from 1250 rubles per bouquet of gypsophils, we work 24/7.</v>
      </c>
      <c r="M298" s="5" t="str">
        <f>IFERROR(__xludf.DUMMYFUNCTION("GOOGLETRANSLATE(G298)"),"#VALUE!")</f>
        <v>#VALUE!</v>
      </c>
    </row>
    <row r="299">
      <c r="A299" s="1" t="s">
        <v>883</v>
      </c>
      <c r="B299" s="1" t="s">
        <v>969</v>
      </c>
      <c r="C299" s="1" t="s">
        <v>970</v>
      </c>
      <c r="D299" s="1">
        <v>6.0</v>
      </c>
      <c r="E299" s="4" t="s">
        <v>971</v>
      </c>
      <c r="F299" s="1" t="s">
        <v>43</v>
      </c>
      <c r="G299" s="1" t="s">
        <v>901</v>
      </c>
      <c r="H299" s="4" t="s">
        <v>902</v>
      </c>
      <c r="I299" s="2">
        <v>1.0</v>
      </c>
      <c r="J299" s="5" t="str">
        <f>IFERROR(__xludf.DUMMYFUNCTION("GOOGLETRANSLATE(A299)"),"Gypsophyla")</f>
        <v>Gypsophyla</v>
      </c>
      <c r="K299" s="6" t="str">
        <f>IFERROR(__xludf.DUMMYFUNCTION("GOOGLETRANSLATE(B299)"),"Buy bouquets of gypsophiles at a price of 990 rubles in Moscow")</f>
        <v>Buy bouquets of gypsophiles at a price of 990 rubles in Moscow</v>
      </c>
      <c r="L299" s="5" t="str">
        <f>IFERROR(__xludf.DUMMYFUNCTION("GOOGLETRANSLATE(C299)"),"The site shows a huge selection of gypsophila bouquets at low prices. Flower delivery in Moscow within 2 hours. Before placing an order is available ...")</f>
        <v>The site shows a huge selection of gypsophila bouquets at low prices. Flower delivery in Moscow within 2 hours. Before placing an order is available ...</v>
      </c>
      <c r="M299" s="5" t="str">
        <f>IFERROR(__xludf.DUMMYFUNCTION("GOOGLETRANSLATE(G299)"),"Flawry - flowers and gifts with delivery in Russia - a large selection of bouquets from the best florists of the city of the city of Support to Flawrypay and Delivery of the company Kontaktytybyttykoye delivery of 20 minutes of the selected city depends o"&amp;"n the assortment of the selected city depends on the assortment of goods stores in 261 cities of Russians every day more florists in different regions join us every day Therefore, it will not be difficult for you to order a bouquet with the delivery of fl"&amp;"owers to the Moscow Blowers to St. Petersburg Flowers to Samarevoronefatyumenoschiklashkrase, the bouquet I liked the bouquet, but you don’t fit into the budget, you can make a similar one to reduce the cost of bouquets and disciplees. Zhenya You can get "&amp;"additional discounts on promotional codes for bouquets when paying for an order for an individual approach to each client Floriste, you can get a professional advice from a specialist on all interests of the bouquet of the bouquet -resident 2000 ₽ Transki"&amp;"dnunkid -sales a reservoir. OV clients4.89 general rating basis 17731 reviews Customers Flowers by LUSI on November 11 at 23: 38 -Extensive bouquet for a sister very tenderly beautiful packaging Fresh flowers 🩷 Moscow Ekaterina FlowerStorg November 11 at"&amp;" 20: 57 paint bouquet of flowers. An unusual coloring and color one to one as from a picture, the girl really liked the city of Moscow Riviera on November 11 at 19: a 23 -playing bouquet I really liked the bouquet $ Moscow Floral Accord November 11 at 10:"&amp;" 21CPASIBO Big you! An unrealistically beautiful pot is everything as in the photo the price is magnificent, I wish you development and promotion! Moscow EVA Flowers Chrisantem - 10; Chamomile - 7; Packaging - 5; Atlase tape - November 2 11 at 10: 00 Gene"&amp;"ral guys super that florist is that delivery - I advise everything at the level! Moscow Roman M.Mosbuketikrosis - 11 packaging - 4 tapes - 1 November 11 at 02: 48 Non for the first time I order flowers here with delivery, everything is quickly beautiful! "&amp;"Moscow Mango La Fiori November 10 at 22: 51VS Super birthday is delighted :) Moscow Rozamir on November 10 at 19: 59 -in -line service bouquet was taken to time. It looks amazingly packed beautifully and concisely. Moscow Flowers by Lusi on November 10 at"&amp;" 12: 04SPASIBO GREATIONALY employees politely clearly explained) G. Moscow download the Flawry application there is even more convenient there after a chat with the florist -free stores of your city more than 70470 bouquets and the buyer's gifts and a 100"&amp;"% guarantee of returning from Flawery is to profitably order Delivery is just when choosing bouquets of flowers is huge. We are a trading platform on which store offers from all over Russia are located. Discount stocks and a bonus program will make delive"&amp;"ry even more pleasant. Oo company and delivery of the partnership from liability of confidentiality of the use of the use of promoted news and promotions of contacts109316 Moscow Volgogradsky Prospekt 43 K3Email: info@flawery.ruteleph: 8 800 350-32-75 gra"&amp;"phics Center - From 08:00 to 22:00 seven days a day off. Application of applications on the site takes place around the clock, their execution takes place according to the operating mode of the cabin. © 2016-2023 Flavrey.ru LLC 1197746088759inn 7722471876"&amp;"KPP 772201001")</f>
        <v>Flawry - flowers and gifts with delivery in Russia - a large selection of bouquets from the best florists of the city of the city of Support to Flawrypay and Delivery of the company Kontaktytybyttykoye delivery of 20 minutes of the selected city depends on the assortment of the selected city depends on the assortment of goods stores in 261 cities of Russians every day more florists in different regions join us every day Therefore, it will not be difficult for you to order a bouquet with the delivery of flowers to the Moscow Blowers to St. Petersburg Flowers to Samarevoronefatyumenoschiklashkrase, the bouquet I liked the bouquet, but you don’t fit into the budget, you can make a similar one to reduce the cost of bouquets and disciplees. Zhenya You can get additional discounts on promotional codes for bouquets when paying for an order for an individual approach to each client Floriste, you can get a professional advice from a specialist on all interests of the bouquet of the bouquet -resident 2000 ₽ Transkidnunkid -sales a reservoir. OV clients4.89 general rating basis 17731 reviews Customers Flowers by LUSI on November 11 at 23: 38 -Extensive bouquet for a sister very tenderly beautiful packaging Fresh flowers 🩷 Moscow Ekaterina FlowerStorg November 11 at 20: 57 paint bouquet of flowers. An unusual coloring and color one to one as from a picture, the girl really liked the city of Moscow Riviera on November 11 at 19: a 23 -playing bouquet I really liked the bouquet $ Moscow Floral Accord November 11 at 10: 21CPASIBO Big you! An unrealistically beautiful pot is everything as in the photo the price is magnificent, I wish you development and promotion! Moscow EVA Flowers Chrisantem - 10; Chamomile - 7; Packaging - 5; Atlase tape - November 2 11 at 10: 00 General guys super that florist is that delivery - I advise everything at the level! Moscow Roman M.Mosbuketikrosis - 11 packaging - 4 tapes - 1 November 11 at 02: 48 Non for the first time I order flowers here with delivery, everything is quickly beautiful! Moscow Mango La Fiori November 10 at 22: 51VS Super birthday is delighted :) Moscow Rozamir on November 10 at 19: 59 -in -line service bouquet was taken to time. It looks amazingly packed beautifully and concisely. Moscow Flowers by Lusi on November 10 at 12: 04SPASIBO GREATIONALY employees politely clearly explained) G. Moscow download the Flawry application there is even more convenient there after a chat with the florist -free stores of your city more than 70470 bouquets and the buyer's gifts and a 100% guarantee of returning from Flawery is to profitably order Delivery is just when choosing bouquets of flowers is huge. We are a trading platform on which store offers from all over Russia are located. Discount stocks and a bonus program will make delivery even more pleasant. Oo company and delivery of the partnership from liability of confidentiality of the use of the use of promoted news and promotions of contacts109316 Moscow Volgogradsky Prospekt 43 K3Email: info@flawery.ruteleph: 8 800 350-32-75 graphics Center - From 08:00 to 22:00 seven days a day off. Application of applications on the site takes place around the clock, their execution takes place according to the operating mode of the cabin. © 2016-2023 Flavrey.ru LLC 1197746088759inn 7722471876KPP 772201001</v>
      </c>
    </row>
    <row r="300">
      <c r="A300" s="1" t="s">
        <v>883</v>
      </c>
      <c r="B300" s="1" t="s">
        <v>972</v>
      </c>
      <c r="D300" s="1">
        <v>7.0</v>
      </c>
      <c r="E300" s="4" t="s">
        <v>973</v>
      </c>
      <c r="F300" s="1" t="s">
        <v>43</v>
      </c>
      <c r="G300" s="1" t="s">
        <v>974</v>
      </c>
      <c r="H300" s="4" t="s">
        <v>975</v>
      </c>
      <c r="I300" s="2">
        <v>1.0</v>
      </c>
      <c r="J300" s="5" t="str">
        <f>IFERROR(__xludf.DUMMYFUNCTION("GOOGLETRANSLATE(A300)"),"Gypsophyla")</f>
        <v>Gypsophyla</v>
      </c>
      <c r="K300" s="6" t="str">
        <f>IFERROR(__xludf.DUMMYFUNCTION("GOOGLETRANSLATE(B300)"),"Gypsophyla: types, landing, reproduction and care")</f>
        <v>Gypsophyla: types, landing, reproduction and care</v>
      </c>
      <c r="M300" s="5" t="str">
        <f>IFERROR(__xludf.DUMMYFUNCTION("GOOGLETRANSLATE(G300)"),"Delivery of flowers in Ukraine and the world: order a bouquet of flowers with delivery in Ukraine at Flowers.ua (044) 585-88-99-Kyiv0-800-357-000-Free+1-718-475-92-72-New York (067) 355-77-55-Kyivstarinshi phones (044) 585-88-99-Kyiv0-800-357-000-Free+1-7"&amp;"18-475-92-72-New York (067) 355-77- 55-Kyivstar (056) 790-98-00-Dnipro (048) 734-41-99-Odessa (057) 728-51-99-Kharkiv We work around the clock UKR RUCE Highly library ligament. Interior decor flowers Back roseprysanthemic flower flower -season bouquet bou"&amp;"ettlpattyulpaniroidythyroid bushiestroma to whom Back Flowers Women's Leafvita Flowers Mammics Mammics Babyvita Children's Partner Occupation Back Birthday Birthdays 1500 UAH Kiev is free show prices in Uahusdeur Sales Hit -15% Bouquet in Eco packaging """&amp;"15 red roses"" 799 UAH940 UAH order -35% bouquet of 25 red roses 1099 UAH1691 UAH order -40% bouquet of 51 red roses 1999 UAH3332 UAH order a hot offer to View All Sorting: Cheap expensive -20% 15 Roses AThena Royale (Kenya) 659 UAH824 UAH Order -10% Flow"&amp;"ers in the box ""19 roses Pink Athena"" 899 UAH999 2759 UAH4598 UAH Order -20% bouquet ""29 red roses"" 1199 UAH1599 UAH order -45% 101 Pink Ahena (Kenya) 3099 UAH5635 UAH 21 1899 UAH2713 UAH Order -35% 51 AThena Royale rose (Kenya) 1399 UAH2152 UAH Order"&amp;" flowers View all sorting: cheap expensive -20% giant beige bear and 25 red roses 2459 UAH 3074 UAH! ""51 White Rose"" 1659 UAH2765 UAH order the bouquet ""Beauty"" 1199 UAH1332 UAH to order -20% bouquet in the package ""21 Red Rose!"" 1159 UAH1449 UAH Or"&amp;"der -10% Bouquet ""Tale of My Life"" 1659 UAH1843 UAH To order a giant bouquet of roses 2859 UAH3364 to order -15% bouquet ""Charm"" with balloons 1359 UAH1699 UAH order -35%! ""25 white roses"" 999 UAH1537 UAH order -35% bouquet of 35 red roses 1659 UAH2"&amp;"552 UAH order -10% bouquet ""Forest Nymph"" 1159 UAH1288 UAH order -20% bouquet in eco packaging ""7 red roses"" 20% bouquet ""Bright Sun!"" 799 UAH999 UAH Order -20% 101 White rose 4699 UAH5874 UAH order -15% bouquet of 11 red roses 759 UAH 893 UAH order"&amp;" -10% bouquet of shrub roses 1099 UAH1221 UAH % 151 Red rose 5199 UAH9453 UAH order -30% bouquet ""Sweet desire"" 999 UAH1427 UAH order -15% bouquet ""Dreams of Princess"" multicolored chrysanthemums! "" 1459 UAH1621 UAH Order -15% Bouquet ""25 roses of P"&amp;"ersia"" 1559 UAH 1834 UAH Order -15% bouquet ""15 rose roses"" 999 UAH1175 UAH order -25% bouquet compliment!"" 999 UAH1175 UAH Order -20% Bouquet ""25 Jumil's roses"" 1459 UAH 1824 UAH Order -35% bouquet ""Our happiness!"" 2859 UAH4398 UAH order -10% bou"&amp;"quet ""9 white roses"" 799 UAH888 UAH Order bouquets of week View all sorting: cheap expensive -20% bouquet ""Sweet tune"" 10% Bouquet ""Fairytale Autumn"" 1359 UAH1510 UAH Order -10% Bouquet ""Magic Moment"" 959 UAH1066 UAH Order bouquets of tulips and i"&amp;"rises to View All Sorting: Cheap expensive -20% bouquet ""Queen"" 1959 UAH2449 UAH White tulips ""1259 UAH1399 UAH Order -20% bouquet"" 51 white and pink tulip ""2299 UAH2874 Under -10% spring bouquet"" 9 pink tulips ""659 UAH732 699 UAH822 UAH order a bo"&amp;"uquet ""Rainbow of emotions"" 1099 UAH1221 UAH to order -10% Bouquet ""Morning Zorya"" 1199 UAH1332 to order -10% Bouquet ""Flower Bliss"" 1559 UAH1732 UAH To order a bouquet ""Golden!"" 799 UAH order -20% 25 multicolored chrysanthemums! 2099 UAH 2624 UAH"&amp;" order -10% of flower bouquet ""Wonderful mood"" 1099 UAH1221 UAH Order the bouquet ""Master and Margarita"" 1159 UAH1364 UAH order flowers in the box View everything sorting: cheap expensive -30% flowers in the box ""101 White rose""! 3799 UAH5427 UAH or"&amp;"der -30% flowers in the box ""25 red roses!"" 1859 UAH2656 UAH Order -20% Flowers in the box ""Gentle Highs"" 1599 UAH 1999 -20% Flowers in the ""inspiration"" box 1259 UAH1574 to order -15% composition ""This is your day!"" 4499 UAH5293 UAH To order flow"&amp;"ers in the box ""My Miracle"" 399 UAH443 UAH order gifts -10% gift basket ""I love you"" 1399 UAH1554 UAH to order -20% of the basket of fruit ""Fruit Oasis"" 1959 UAH2449 UAH Order -20% Fruit Basket ""Fragrant Satisfaction"" 1659 UAH2074 To order -15% of"&amp;" the fruit fantasy cart! 1959 UAH2305 UAH Order -10% Gift Basket ""Lavender Dream"" 1399 UAH1554 UAH Order -10% Fruit Basket ""Fruit Ensemble"" 1099 UAH1221 UAH Order the fountain of ball ""Black Shine"" 659 UAH. 3 4 5 Thank you well for delivering your l"&amp;"oved one. Read fully svitlana 09.11.2023 1 2 3 4 5 Wonderful bouquet very thank you! Delivery very quickly read completely Anastasia Zhukova 09.11.2023 1 2 3 4 5 Excellent! Thank you to read completely Andrew 06.11.2023 1 2 3 4 5 You will deliver flowers "&amp;"to Ukraine and international flower delivery in the shortest possible time and provide the highest quality of service. The order of bouquets online has a number of advantages. First of all, the delivery of flowers can be ordered without leaving the house "&amp;"or office. It will take a few minutes to order flowers. In doing so, we execute the urgent order of bouquets day by day. It is also worth noting that buying flowers is always a pleasant surprise for the recipient. Courier delivery of flowers will always m"&amp;"ake a proper impression. Delivery flower arrangements are a service for people with status that value professionalism and quality service. The bouquet yield can be accompanied by a free postcard. It will take a few minutes to order bouquets. Buy flowers i"&amp;"n Ukraine on our site quickly and easily.The advantages of ordering bouquets to the online flower store Flowers.uacidolovae delivery of flowers Ukraine. You can order flower delivery at any time of the day and night flowers and bouquets. The flower delive"&amp;"ry service in Ukraine Flowers.ua is different from the usual flower shops that are forced to store flowers on the showcase. All our bouquets of flowers gather clearly under the customer at the expense of this we always deliver only fresh flowers and bouqu"&amp;"ets. Price and service has provided Flowers.ua's position in the service of the leader in the service delivery of flowers in Ukraine. And the world we have received a huge number of positive feedback from our clients. Drawing of flowers in Ukraine from fl"&amp;"owers.ua is always quality and timely. Express delivery of flowers in Ukraine 24 hours a day: prompt and reliable many delivery of flowers in Ukraine is unique and unknown So far the service. Television and cinema turned it into an inaccessible opportunit"&amp;"y. In fact, the delivery of flowers and gifts in Ukraine goes to a new level. Flowers.ua's bouquet delivery service crosses all previous perceptions of the inhabitants. The five main advantages of the company provide it with success and popularity among t"&amp;"he residents of the large and peripheral cities of the country. Round -the -clock mode. We work 24/7; the latest flower arrangements original presentations and sweets; a wide range of gifts; reasonable pricing policy; a team of qualified professionals (ma"&amp;"nagers of florists of designers of logists and couriers). In our flower online store, we can offer you a wide selection of payment methods: Paypal Payment Visa MasterCard American Express Privat24 Apple Pay Payment through the Terminal and many others. Ju"&amp;"st make an order and choose the most convenient way from the proposed list. Cylocidal delivery of flowers we offer round-the-clock delivery of flowers to any point of Ukraine. Among other things, international flower delivery is available to your service "&amp;"that will allow you to send beautiful compositions to your lover almost any point of the globe. If you want to stay anonymous we can provide you. It is time to forget about restrictions because modern levels give full freedom and a lot of benefits. Leave "&amp;"the search for flower shops do not waste time and effort to select a bouquet. Now it is enough to make one call or place an order for flower delivery online. The functionality of the site is simple and understandable and experienced managers are always re"&amp;"ady to help with the selection of the relevant composition of the present or gift for your friends of loved ones and acquaintances. We will teach you to speak the language of flower catalog of the company collected by the incredible representatives of Flo"&amp;"ra the most licking and most beautiful flowers are able . Reliable and prompt Internet delivery of flowers proposes to emphasize your most significant experiences to convey your condolences to love passion for gratitude to the romantic mood of parental ca"&amp;"re. To order flowers with delivery, you should ask our managers with the value of individual plants. So the experts of the flower delivery service know that roses traditionally symbolize the passion of love with vivid feelings and sympathy that is born. W"&amp;"hite roses are associated with happiness and innocence yellow - jealousy of friendship red - in love and sensuality; daffodils in the bouquet mean vanity self -love and passion; tulips are introduced to the composition ; Kali speak of chastity and purity;"&amp;" irises emphasize wisdom and tranquility; lily is a sign of nobility of innocence of sensuality; orchid means sophistication and love. This is just a basic knowledge of the symbolism of flowers that will allow you to say the most important words to loved "&amp;"ones and friends. The online flower delivery store guarantees its customers not only the widest range of plants, but also the freshest flowers. Collaboration with reliable suppliers makes us the leaders of the delivery sphere, because only we can buy fres"&amp;"h and luxurious plants we can impress with our charm of everyone. Given happiness we make the world a beautiful beetle - it is not just a gift. It is an expression of emotions. When you give flowers, you convey your feelings and attitude towards a person "&amp;"and remind her of how important it is to you. Flowers can be given on the pretext - as a sign of respect or on the occasion of a romantic date and can be without. From Flowers.ua you can also order a bouquet with a surprise to sincerely please the dear pe"&amp;"ople. We know how valuable every such moment is the delivery of bouquets for us - it is first and foremost delivery of happiness and joy. By giving happiness, we make the world more beautiful and your relationship is closer and warmer. To do this, manager"&amp;"s accept orders at any time of day and night without weekends talented florists create stylish compositions modest and gorgeous bouquets and smart couriers are responsible for the delivery of flowers in Ukraine. We know how to give positive emotions. Here"&amp;" you can choose to order and buy flowers with delivery in any city of the country. Wonderful bouquets of delivery flowers are the joy of thank you and positive emotions that have become even more accessible and profitable. Flowers.ua flower and bouquets a"&amp;"re reasonable prices wide range and professionals. Give your beloved flowers Prefer Flowers.ua. Frewell Questions about Choosing Flowers: In what cities does your delivery work? Flowers.ua deliveries all over Ukraine so you can order flowers and gifts in:"&amp;" Kyiv Odessa Dnipro. -What other city.What bouquet is better to choose for birthday? Order in | Kyiv | Vinnytsia | Dnipro (Dnipropetrovsk) Zhytomyr | Zaporozhye | Ivano-Frankivsk | Kropyvnytskyi (Kirovograd) Kremenchuk | Kryvyi Rih | Lutsk | Lviv | Nikola"&amp;"ev | Odesa | Poltava | Rivne | Sumy | Ternopil | Uzhgorod | Kharkiv | Kherson | Khmelnitsky | Cherkasy | Chernivtsi | Chernihiv | Novomoskovsk | Pavlograd | Bucha | Uman | Warsaw | Prague | Vienna | Other Region of Other Languages: English: Flowers To UKR"&amp;"AINSRUSSKI: DELIVERY 585-88-99-Kyiv (056) 790-98-00-Dnipro Work around the clock-mail: info@flowers.ua flowers.uaporo flowers.uajadyalas and payment of the ORDER CONTRACTS ORDER 2003 - 2023 © Flowers.ua Delivery of Flowers Ukraine X-Choose Region: Boryspi"&amp;"lBrovarbuhavinnytsia Visnyvnyvnyvnyvni (Dnipropetrovsk) Zhytomyrzaporezhivtsi-Frankivtskhirpinchivkomenchkhkhkhkhkhkhkhkhkhvrovnyvnytskyi Order number and click the button. Verify")</f>
        <v>Delivery of flowers in Ukraine and the world: order a bouquet of flowers with delivery in Ukraine at Flowers.ua (044) 585-88-99-Kyiv0-800-357-000-Free+1-718-475-92-72-New York (067) 355-77-55-Kyivstarinshi phones (044) 585-88-99-Kyiv0-800-357-000-Free+1-718-475-92-72-New York (067) 355-77- 55-Kyivstar (056) 790-98-00-Dnipro (048) 734-41-99-Odessa (057) 728-51-99-Kharkiv We work around the clock UKR RUCE Highly library ligament. Interior decor flowers Back roseprysanthemic flower flower -season bouquet bouettlpattyulpaniroidythyroid bushiestroma to whom Back Flowers Women's Leafvita Flowers Mammics Mammics Babyvita Children's Partner Occupation Back Birthday Birthdays 1500 UAH Kiev is free show prices in Uahusdeur Sales Hit -15% Bouquet in Eco packaging "15 red roses" 799 UAH940 UAH order -35% bouquet of 25 red roses 1099 UAH1691 UAH order -40% bouquet of 51 red roses 1999 UAH3332 UAH order a hot offer to View All Sorting: Cheap expensive -20% 15 Roses AThena Royale (Kenya) 659 UAH824 UAH Order -10% Flowers in the box "19 roses Pink Athena" 899 UAH999 2759 UAH4598 UAH Order -20% bouquet "29 red roses" 1199 UAH1599 UAH order -45% 101 Pink Ahena (Kenya) 3099 UAH5635 UAH 21 1899 UAH2713 UAH Order -35% 51 AThena Royale rose (Kenya) 1399 UAH2152 UAH Order flowers View all sorting: cheap expensive -20% giant beige bear and 25 red roses 2459 UAH 3074 UAH! "51 White Rose" 1659 UAH2765 UAH order the bouquet "Beauty" 1199 UAH1332 UAH to order -20% bouquet in the package "21 Red Rose!" 1159 UAH1449 UAH Order -10% Bouquet "Tale of My Life" 1659 UAH1843 UAH To order a giant bouquet of roses 2859 UAH3364 to order -15% bouquet "Charm" with balloons 1359 UAH1699 UAH order -35%! "25 white roses" 999 UAH1537 UAH order -35% bouquet of 35 red roses 1659 UAH2552 UAH order -10% bouquet "Forest Nymph" 1159 UAH1288 UAH order -20% bouquet in eco packaging "7 red roses" 20% bouquet "Bright Sun!" 799 UAH999 UAH Order -20% 101 White rose 4699 UAH5874 UAH order -15% bouquet of 11 red roses 759 UAH 893 UAH order -10% bouquet of shrub roses 1099 UAH1221 UAH % 151 Red rose 5199 UAH9453 UAH order -30% bouquet "Sweet desire" 999 UAH1427 UAH order -15% bouquet "Dreams of Princess" multicolored chrysanthemums! " 1459 UAH1621 UAH Order -15% Bouquet "25 roses of Persia" 1559 UAH 1834 UAH Order -15% bouquet "15 rose roses" 999 UAH1175 UAH order -25% bouquet compliment!" 999 UAH1175 UAH Order -20% Bouquet "25 Jumil's roses" 1459 UAH 1824 UAH Order -35% bouquet "Our happiness!" 2859 UAH4398 UAH order -10% bouquet "9 white roses" 799 UAH888 UAH Order bouquets of week View all sorting: cheap expensive -20% bouquet "Sweet tune" 10% Bouquet "Fairytale Autumn" 1359 UAH1510 UAH Order -10% Bouquet "Magic Moment" 959 UAH1066 UAH Order bouquets of tulips and irises to View All Sorting: Cheap expensive -20% bouquet "Queen" 1959 UAH2449 UAH White tulips "1259 UAH1399 UAH Order -20% bouquet" 51 white and pink tulip "2299 UAH2874 Under -10% spring bouquet" 9 pink tulips "659 UAH732 699 UAH822 UAH order a bouquet "Rainbow of emotions" 1099 UAH1221 UAH to order -10% Bouquet "Morning Zorya" 1199 UAH1332 to order -10% Bouquet "Flower Bliss" 1559 UAH1732 UAH To order a bouquet "Golden!" 799 UAH order -20% 25 multicolored chrysanthemums! 2099 UAH 2624 UAH order -10% of flower bouquet "Wonderful mood" 1099 UAH1221 UAH Order the bouquet "Master and Margarita" 1159 UAH1364 UAH order flowers in the box View everything sorting: cheap expensive -30% flowers in the box "101 White rose"! 3799 UAH5427 UAH order -30% flowers in the box "25 red roses!" 1859 UAH2656 UAH Order -20% Flowers in the box "Gentle Highs" 1599 UAH 1999 -20% Flowers in the "inspiration" box 1259 UAH1574 to order -15% composition "This is your day!" 4499 UAH5293 UAH To order flowers in the box "My Miracle" 399 UAH443 UAH order gifts -10% gift basket "I love you" 1399 UAH1554 UAH to order -20% of the basket of fruit "Fruit Oasis" 1959 UAH2449 UAH Order -20% Fruit Basket "Fragrant Satisfaction" 1659 UAH2074 To order -15% of the fruit fantasy cart! 1959 UAH2305 UAH Order -10% Gift Basket "Lavender Dream" 1399 UAH1554 UAH Order -10% Fruit Basket "Fruit Ensemble" 1099 UAH1221 UAH Order the fountain of ball "Black Shine" 659 UAH. 3 4 5 Thank you well for delivering your loved one. Read fully svitlana 09.11.2023 1 2 3 4 5 Wonderful bouquet very thank you! Delivery very quickly read completely Anastasia Zhukova 09.11.2023 1 2 3 4 5 Excellent! Thank you to read completely Andrew 06.11.2023 1 2 3 4 5 You will deliver flowers to Ukraine and international flower delivery in the shortest possible time and provide the highest quality of service. The order of bouquets online has a number of advantages. First of all, the delivery of flowers can be ordered without leaving the house or office. It will take a few minutes to order flowers. In doing so, we execute the urgent order of bouquets day by day. It is also worth noting that buying flowers is always a pleasant surprise for the recipient. Courier delivery of flowers will always make a proper impression. Delivery flower arrangements are a service for people with status that value professionalism and quality service. The bouquet yield can be accompanied by a free postcard. It will take a few minutes to order bouquets. Buy flowers in Ukraine on our site quickly and easily.The advantages of ordering bouquets to the online flower store Flowers.uacidolovae delivery of flowers Ukraine. You can order flower delivery at any time of the day and night flowers and bouquets. The flower delivery service in Ukraine Flowers.ua is different from the usual flower shops that are forced to store flowers on the showcase. All our bouquets of flowers gather clearly under the customer at the expense of this we always deliver only fresh flowers and bouquets. Price and service has provided Flowers.ua's position in the service of the leader in the service delivery of flowers in Ukraine. And the world we have received a huge number of positive feedback from our clients. Drawing of flowers in Ukraine from flowers.ua is always quality and timely. Express delivery of flowers in Ukraine 24 hours a day: prompt and reliable many delivery of flowers in Ukraine is unique and unknown So far the service. Television and cinema turned it into an inaccessible opportunity. In fact, the delivery of flowers and gifts in Ukraine goes to a new level. Flowers.ua's bouquet delivery service crosses all previous perceptions of the inhabitants. The five main advantages of the company provide it with success and popularity among the residents of the large and peripheral cities of the country. Round -the -clock mode. We work 24/7; the latest flower arrangements original presentations and sweets; a wide range of gifts; reasonable pricing policy; a team of qualified professionals (managers of florists of designers of logists and couriers). In our flower online store, we can offer you a wide selection of payment methods: Paypal Payment Visa MasterCard American Express Privat24 Apple Pay Payment through the Terminal and many others. Just make an order and choose the most convenient way from the proposed list. Cylocidal delivery of flowers we offer round-the-clock delivery of flowers to any point of Ukraine. Among other things, international flower delivery is available to your service that will allow you to send beautiful compositions to your lover almost any point of the globe. If you want to stay anonymous we can provide you. It is time to forget about restrictions because modern levels give full freedom and a lot of benefits. Leave the search for flower shops do not waste time and effort to select a bouquet. Now it is enough to make one call or place an order for flower delivery online. The functionality of the site is simple and understandable and experienced managers are always ready to help with the selection of the relevant composition of the present or gift for your friends of loved ones and acquaintances. We will teach you to speak the language of flower catalog of the company collected by the incredible representatives of Flora the most licking and most beautiful flowers are able . Reliable and prompt Internet delivery of flowers proposes to emphasize your most significant experiences to convey your condolences to love passion for gratitude to the romantic mood of parental care. To order flowers with delivery, you should ask our managers with the value of individual plants. So the experts of the flower delivery service know that roses traditionally symbolize the passion of love with vivid feelings and sympathy that is born. White roses are associated with happiness and innocence yellow - jealousy of friendship red - in love and sensuality; daffodils in the bouquet mean vanity self -love and passion; tulips are introduced to the composition ; Kali speak of chastity and purity; irises emphasize wisdom and tranquility; lily is a sign of nobility of innocence of sensuality; orchid means sophistication and love. This is just a basic knowledge of the symbolism of flowers that will allow you to say the most important words to loved ones and friends. The online flower delivery store guarantees its customers not only the widest range of plants, but also the freshest flowers. Collaboration with reliable suppliers makes us the leaders of the delivery sphere, because only we can buy fresh and luxurious plants we can impress with our charm of everyone. Given happiness we make the world a beautiful beetle - it is not just a gift. It is an expression of emotions. When you give flowers, you convey your feelings and attitude towards a person and remind her of how important it is to you. Flowers can be given on the pretext - as a sign of respect or on the occasion of a romantic date and can be without. From Flowers.ua you can also order a bouquet with a surprise to sincerely please the dear people. We know how valuable every such moment is the delivery of bouquets for us - it is first and foremost delivery of happiness and joy. By giving happiness, we make the world more beautiful and your relationship is closer and warmer. To do this, managers accept orders at any time of day and night without weekends talented florists create stylish compositions modest and gorgeous bouquets and smart couriers are responsible for the delivery of flowers in Ukraine. We know how to give positive emotions. Here you can choose to order and buy flowers with delivery in any city of the country. Wonderful bouquets of delivery flowers are the joy of thank you and positive emotions that have become even more accessible and profitable. Flowers.ua flower and bouquets are reasonable prices wide range and professionals. Give your beloved flowers Prefer Flowers.ua. Frewell Questions about Choosing Flowers: In what cities does your delivery work? Flowers.ua deliveries all over Ukraine so you can order flowers and gifts in: Kyiv Odessa Dnipro. -What other city.What bouquet is better to choose for birthday? Order in | Kyiv | Vinnytsia | Dnipro (Dnipropetrovsk) Zhytomyr | Zaporozhye | Ivano-Frankivsk | Kropyvnytskyi (Kirovograd) Kremenchuk | Kryvyi Rih | Lutsk | Lviv | Nikolaev | Odesa | Poltava | Rivne | Sumy | Ternopil | Uzhgorod | Kharkiv | Kherson | Khmelnitsky | Cherkasy | Chernivtsi | Chernihiv | Novomoskovsk | Pavlograd | Bucha | Uman | Warsaw | Prague | Vienna | Other Region of Other Languages: English: Flowers To UKRAINSRUSSKI: DELIVERY 585-88-99-Kyiv (056) 790-98-00-Dnipro Work around the clock-mail: info@flowers.ua flowers.uaporo flowers.uajadyalas and payment of the ORDER CONTRACTS ORDER 2003 - 2023 © Flowers.ua Delivery of Flowers Ukraine X-Choose Region: BoryspilBrovarbuhavinnytsia Visnyvnyvnyvnyvni (Dnipropetrovsk) Zhytomyrzaporezhivtsi-Frankivtskhirpinchivkomenchkhkhkhkhkhkhkhkhkhvrovnyvnytskyi Order number and click the button. Verify</v>
      </c>
    </row>
    <row r="301">
      <c r="A301" s="1" t="s">
        <v>883</v>
      </c>
      <c r="B301" s="1" t="s">
        <v>976</v>
      </c>
      <c r="C301" s="1" t="s">
        <v>977</v>
      </c>
      <c r="D301" s="1">
        <v>8.0</v>
      </c>
      <c r="E301" s="4" t="s">
        <v>978</v>
      </c>
      <c r="F301" s="1" t="s">
        <v>43</v>
      </c>
      <c r="G301" s="1" t="s">
        <v>979</v>
      </c>
      <c r="H301" s="4" t="s">
        <v>980</v>
      </c>
      <c r="I301" s="2">
        <v>1.0</v>
      </c>
      <c r="J301" s="5" t="str">
        <f>IFERROR(__xludf.DUMMYFUNCTION("GOOGLETRANSLATE(A301)"),"Gypsophyla")</f>
        <v>Gypsophyla</v>
      </c>
      <c r="K301" s="6" t="str">
        <f>IFERROR(__xludf.DUMMYFUNCTION("GOOGLETRANSLATE(B301)"),"Gypsophyla bouquets - Minsk")</f>
        <v>Gypsophyla bouquets - Minsk</v>
      </c>
      <c r="L301" s="5" t="str">
        <f>IFERROR(__xludf.DUMMYFUNCTION("GOOGLETRANSLATE(C301)"),"Gypsophyla bouquets - delicate air mono -boob coins that have won the hearts! In our catalog you can buy a bouquet of white or rainbow gypsophiles with delivery.")</f>
        <v>Gypsophyla bouquets - delicate air mono -boob coins that have won the hearts! In our catalog you can buy a bouquet of white or rainbow gypsophiles with delivery.</v>
      </c>
      <c r="M301" s="5" t="str">
        <f>IFERROR(__xludf.DUMMYFUNCTION("GOOGLETRANSLATE(G301)"),"Buy flowers at Moreroz.by with delivery at a bargain price vkinstagramfekodnoklassniki payment and delivery of contacts now: +375 29 701 23 52 Bouquets from gypsofilet captures -ucleet 19-55 Rube-booths from bush-bugwoods from chrysa Tyulpan -boobs from d"&amp;"ried -flowered bunch from seasonal color -compromises of the box of basket/drawer of the cortexpiece/drawer. Wreaths and Elricial Basket Building Bride-Actual Floristic Floristics Arkastol newlyweds/Guest tables of the Teddy Accessories/Shark Teddy 12-48 "&amp;"Teddy Smick 50-110 Teddy Teddy Smmiki 160-250 Teddy 210 ""Shark"" Gift boxes of the heart of the heart. ! The Moreroz.Byztets team for the New Year and Christmas to give all lovers for the day? Tulips with the delivery of the bride of the bride 2021muzh b"&amp;"ouquet for the mother for the mother, choose the right to choose a booklet to extend the life of the bouquet. Secrets of the florist -spacecraft: the main types of advantages and disadvantages to choose the bride’s bouquet to the shade of the dressed bouq"&amp;"uet “Dawn” How to extend the life of tulips. Tips Floristurcaces to determine freshness of flowers? Wedding Arcao What is the flowers say the Flower Flower Arithmaco -Production of the Wedding Life Flower Tsvetamibuket Princess Megan Markl -Dodak Boxing C"&amp;"orps for Teachers Teddy Plush Medvedikak properly measure the quality of the quality of plush toy toys soft toys? Our promot G Cart bouquets of air gypsophila - a hit season to see the all -ous collection of wedding Buketov’s bouquet will work out the del"&amp;"ivery of the order of the Minsk -forming next123books from gypsophilboards from dried -flowering in the boxes/basketswate floristal bouquet wreaths and fir -tree lavender clouds 74.00 BYNSKOY Dreams 163.44 Byn 151.22 byn 151.22 byn 151.22 Yn action! Bouqu"&amp;"et of gypsophiles ""Gradient"" 89.00 BYN 85 with lemonium 45.00 BYN 43.00 BYNITION! CHAMAKINA basket 55 N 115.00 BYNITION! The previous score payment : We accept cards: Visa Visa Electron Mastercard Map of the installment plan “Halva” How to make an order"&amp;" for 24/7 we will be a bouquet at best to anywhere in Minsk. Delivery is carried out from 8 to 20. From 20 to 8 by prior agreement. Capaches with a message for your beloved subscription on your behalf are a cute author's postcard price-quality price price"&amp;" and quality will pleasantly surprise you. Our goal is to make the beauty available to everyone. Active work schedule: daily from 8.00 to 20.00 p.m. to make an order or get a consultation? Leave the contact phone and we will call back! Beautiful bouquets "&amp;"and fresh flowers with delivery by Minskuztes are a great way to show the expression of their feelings to relatives and friends. They will be to the place at the birthday of the beloved wife of a mother or girlfriend. Flowers will help to cheer the mood o"&amp;"f the one to whom they are given and at the same time who gives them. Flowers are one of the most important attributes at any event. In Moreroz.by, you can buy fresh flowers of excellent quality with delivery in Minsk. We put our soul into each bouquet an"&amp;"d we can say “I love” “thank you” in the language of flowers “You are the best” ... In our store you can order an original bouquet of any complexity and price category and also buy roses from Kenya Ecuador Holland and of course the flowers of Belarusian m"&amp;"anufacturers. We value your time, therefore, you can order a bouquet online through the form of the site and we will deliver it as soon as possible in the best form of the addressee. In our store you will find pleasant additions to the bouquet in the form"&amp;" of a cute postcard or plush Teddy. Order a bouquet of roses chrysanthemum gerber Irisov Tulipanov and any other colors with delivery to Minsk- Moreroz.bymi will be happy to help you decide on the best option and pick up the desired bouquet! Buy a bouquet"&amp;" of flowers in Minsk with delivery by ""halva""- MOREROZ.by time: from 8.00 to 20.00 without days off by weekends . Minsk st. Purevich 56 contacts: A1 +375 (29) 169-32-90mail info@moreroroz.byformation: Payment and delivery of the Kontaktattakt Optomacial"&amp;"s, IP Smihura E. Smikhura 193071603 Bank: OJSC 'BPS-Sberbank/C BY51 BPSB 3013 3048 4101 0933 0000 BPSBBY2X -ROOK Code of RB No. 488057 dated 07.27.2020 © Copyright - Moreroz.by vkinstagramfaceBooklassnikiscroll to top")</f>
        <v>Buy flowers at Moreroz.by with delivery at a bargain price vkinstagramfekodnoklassniki payment and delivery of contacts now: +375 29 701 23 52 Bouquets from gypsofilet captures -ucleet 19-55 Rube-booths from bush-bugwoods from chrysa Tyulpan -boobs from dried -flowered bunch from seasonal color -compromises of the box of basket/drawer of the cortexpiece/drawer. Wreaths and Elricial Basket Building Bride-Actual Floristic Floristics Arkastol newlyweds/Guest tables of the Teddy Accessories/Shark Teddy 12-48 Teddy Smick 50-110 Teddy Teddy Smmiki 160-250 Teddy 210 "Shark" Gift boxes of the heart of the heart. ! The Moreroz.Byztets team for the New Year and Christmas to give all lovers for the day? Tulips with the delivery of the bride of the bride 2021muzh bouquet for the mother for the mother, choose the right to choose a booklet to extend the life of the bouquet. Secrets of the florist -spacecraft: the main types of advantages and disadvantages to choose the bride’s bouquet to the shade of the dressed bouquet “Dawn” How to extend the life of tulips. Tips Floristurcaces to determine freshness of flowers? Wedding Arcao What is the flowers say the Flower Flower Arithmaco -Production of the Wedding Life Flower Tsvetamibuket Princess Megan Markl -Dodak Boxing Corps for Teachers Teddy Plush Medvedikak properly measure the quality of the quality of plush toy toys soft toys? Our promot G Cart bouquets of air gypsophila - a hit season to see the all -ous collection of wedding Buketov’s bouquet will work out the delivery of the order of the Minsk -forming next123books from gypsophilboards from dried -flowering in the boxes/basketswate floristal bouquet wreaths and fir -tree lavender clouds 74.00 BYNSKOY Dreams 163.44 Byn 151.22 byn 151.22 byn 151.22 Yn action! Bouquet of gypsophiles "Gradient" 89.00 BYN 85 with lemonium 45.00 BYN 43.00 BYNITION! CHAMAKINA basket 55 N 115.00 BYNITION! The previous score payment : We accept cards: Visa Visa Electron Mastercard Map of the installment plan “Halva” How to make an order for 24/7 we will be a bouquet at best to anywhere in Minsk. Delivery is carried out from 8 to 20. From 20 to 8 by prior agreement. Capaches with a message for your beloved subscription on your behalf are a cute author's postcard price-quality price price and quality will pleasantly surprise you. Our goal is to make the beauty available to everyone. Active work schedule: daily from 8.00 to 20.00 p.m. to make an order or get a consultation? Leave the contact phone and we will call back! Beautiful bouquets and fresh flowers with delivery by Minskuztes are a great way to show the expression of their feelings to relatives and friends. They will be to the place at the birthday of the beloved wife of a mother or girlfriend. Flowers will help to cheer the mood of the one to whom they are given and at the same time who gives them. Flowers are one of the most important attributes at any event. In Moreroz.by, you can buy fresh flowers of excellent quality with delivery in Minsk. We put our soul into each bouquet and we can say “I love” “thank you” in the language of flowers “You are the best” ... In our store you can order an original bouquet of any complexity and price category and also buy roses from Kenya Ecuador Holland and of course the flowers of Belarusian manufacturers. We value your time, therefore, you can order a bouquet online through the form of the site and we will deliver it as soon as possible in the best form of the addressee. In our store you will find pleasant additions to the bouquet in the form of a cute postcard or plush Teddy. Order a bouquet of roses chrysanthemum gerber Irisov Tulipanov and any other colors with delivery to Minsk- Moreroz.bymi will be happy to help you decide on the best option and pick up the desired bouquet! Buy a bouquet of flowers in Minsk with delivery by "halva"- MOREROZ.by time: from 8.00 to 20.00 without days off by weekends . Minsk st. Purevich 56 contacts: A1 +375 (29) 169-32-90mail info@moreroroz.byformation: Payment and delivery of the Kontaktattakt Optomacials, IP Smihura E. Smikhura 193071603 Bank: OJSC 'BPS-Sberbank/C BY51 BPSB 3013 3048 4101 0933 0000 BPSBBY2X -ROOK Code of RB No. 488057 dated 07.27.2020 © Copyright - Moreroz.by vkinstagramfaceBooklassnikiscroll to top</v>
      </c>
    </row>
    <row r="302">
      <c r="A302" s="1" t="s">
        <v>883</v>
      </c>
      <c r="B302" s="1" t="s">
        <v>981</v>
      </c>
      <c r="D302" s="1">
        <v>9.0</v>
      </c>
      <c r="E302" s="4" t="s">
        <v>982</v>
      </c>
      <c r="F302" s="1" t="s">
        <v>43</v>
      </c>
      <c r="G302" s="1" t="s">
        <v>34</v>
      </c>
      <c r="H302" s="4" t="s">
        <v>35</v>
      </c>
      <c r="I302" s="2">
        <v>5.0</v>
      </c>
      <c r="J302" s="5" t="str">
        <f>IFERROR(__xludf.DUMMYFUNCTION("GOOGLETRANSLATE(A302)"),"Gypsophyla")</f>
        <v>Gypsophyla</v>
      </c>
      <c r="K302" s="6" t="str">
        <f>IFERROR(__xludf.DUMMYFUNCTION("GOOGLETRANSLATE(B302)"),"Advantages and disadvantages of plaster compositions")</f>
        <v>Advantages and disadvantages of plaster compositions</v>
      </c>
      <c r="M302" s="5" t="str">
        <f>IFERROR(__xludf.DUMMYFUNCTION("GOOGLETRANSLATE(G302)"),"VK.com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03">
      <c r="A303" s="1" t="s">
        <v>883</v>
      </c>
      <c r="B303" s="1" t="s">
        <v>983</v>
      </c>
      <c r="C303" s="1" t="s">
        <v>984</v>
      </c>
      <c r="D303" s="1">
        <v>13.0</v>
      </c>
      <c r="E303" s="4" t="s">
        <v>985</v>
      </c>
      <c r="F303" s="1" t="s">
        <v>43</v>
      </c>
      <c r="G303" s="1" t="s">
        <v>910</v>
      </c>
      <c r="H303" s="4" t="s">
        <v>911</v>
      </c>
      <c r="I303" s="2">
        <v>1.0</v>
      </c>
      <c r="J303" s="5" t="str">
        <f>IFERROR(__xludf.DUMMYFUNCTION("GOOGLETRANSLATE(A303)"),"Gypsophyla")</f>
        <v>Gypsophyla</v>
      </c>
      <c r="K303" s="6" t="str">
        <f>IFERROR(__xludf.DUMMYFUNCTION("GOOGLETRANSLATE(B303)"),"Multi -colored gypsophiles - buy a bouquet in Moscow by ...")</f>
        <v>Multi -colored gypsophiles - buy a bouquet in Moscow by ...</v>
      </c>
      <c r="L303" s="5" t="str">
        <f>IFERROR(__xludf.DUMMYFUNCTION("GOOGLETRANSLATE(C303)"),"Multi-colored gypsophiles-delivery of bouquets of flowers at home in Moscow from the Magic Flower online store at competitive prices. Order right now: +7 (499) ...")</f>
        <v>Multi-colored gypsophiles-delivery of bouquets of flowers at home in Moscow from the Magic Flower online store at competitive prices. Order right now: +7 (499) ...</v>
      </c>
      <c r="M303" s="5" t="str">
        <f>IFERROR(__xludf.DUMMYFUNCTION("GOOGLETRANSLATE(G303)"),"           Flower delivery in Moscow in 2 hours. Buy a bouquet of flowers with home delivery-Magic Flower delivery and Payment Guarantee Article Reviews Contacts about us to enter the Flower Flower delivery in Moscow Call me +7 (499) 490-10-90 8 (800) 600"&amp;"-65-76 We work daily with 08:00 to 24:00 Write to us add us in WhatsApp +7 (499) 490-10-90 or write help you help choose flowers; We will inform the status of the order; Let's talk about delivery capabilities; Promotions products with discount Combo Flowe"&amp;"rs Rose Rose Rose Premium rose bush roses of chrysanthemum cloves of gerberia gypsophila gypsophila pionois Ranunculus Irisa Narcissas of Alstomeria Eastoma Matiolla Hyacinth Delphinium until 2000 ₽ Buckets 101 rose 51 roseni skka rose bouquets ""Magical"&amp;""" 51 rose mono -boob coat prefabricated Bouquets Hat Boxes Mini-Bouquet Bouquet in a rose basket Rosal roses white roses pink roses lilac roses raspberry roses multi-colored roses yellow roses Cream roses Blue roses height rose 40 cm rose 60 cm rose 70 c"&amp;"m 100 Rose 3 roses 5 roses roses9 roses 15 roses 19 rose21 rose 25 roses Rose75 rose101 rose501 rose according to the type of roses of kenya kuvodaroza Premium. Classic type of rose basket in the rose -shaped rose -shaped tulip -shaped red -bore -zero -ze"&amp;"ro -zero -sprinkle otnoye -oorangealfiolpo amount of 11 tulips 15 tulips 19 Tulpanov 21 tulip 31 tulip 35 tulips 51 tulip 101 tulip, type of assembly Mono -boiled bouquets with tulipamytylpana to basketwalpana in a box in a box for a woman for a girl to a"&amp;" child colleague birthday birth flowers for a wedding, I love sorry the child love Female Valentine's Day Valentine's Day March 8 September 1 Day New Year Gifts Gifts Strawberries in Chocolate Ballon Air Balls Farmers Gift Baskets VAZS Soft toys Gift bags"&amp;" Toppers candles cards and envelopes Eat bouquets of strawberries in chocolate Gift baskets Galls finished compositions bouquet with sharahamoro sharovontans from sharshshara for tribal cocliefs Sharovpo Type of Sharovlatex Balls Foil of Sharyprozen Balls"&amp;" Summarizing Sharybolly balls Bubblesars on rolled balls with balls of balls of balls of ball balls gruzdshara Figushara without a pattern Balls with confetti balls of chrompo -painted blue blue green silver silver green Black Black Black Birthday Birthda"&amp;"y Wedding Wedding of the Child Calling from the maternity hospital1 September 19 on February 8, March 8, Matkaya Matermodnoye Helloweenno to Godmamapaiparaphedshebenkudl lovers, we will deliver fast delivery in 2 hours or an order at our expense. Fresh fl"&amp;"owers guarantee 5-day resistance or replace the bouquet. Will the quality guarantee will not like the bouquet? Replace within 24 hours. Photo control will show the bouquet before sending high -quality service a polite service from a call to the door. Deli"&amp;"very of flowers in Moscow Category Flowers 2005 Bouquets 2073 Roses 1166 Balloons 447 Age 2253 Com 2253 Gifts 242 edible 180 Up to 2000 rub 187 Color color white turquoise golden coral creamy raspberry mex multicolor orange rosy pink -sire Build assembly "&amp;"type of white-raspberry white yellow multi-colored occasion Hare birthday to wedding size 100 25 25 30 35 40 45 50 60 70 Price price ₽ Compassing clips! Free gift for the bouquet! 2 590 ₽ 35 multi -colored roses 40cm - a box of makarun as a gift! 6 review"&amp;"s order buy in 1 click 3 990 ₽ Bouquet of roses gerber and east - strawberries in chocolate as a gift! 0 reviews order buy in 1 click 5 490 ₽ 101 White rose- Box Makarun as a gift! 2 reviews order buy in 1 click 3 290 ₽ Bouquet of 51 red and white roses -"&amp;" boxing box as a gift! 4 reviews order buy in 1 click 4 590 ₽ 51 lilac and white rose- boxing box as a gift! 5 reviews order buy in 1 click 4 890 ₽ Bouquet of 35 yellow tulips- boxing box as a gift! 0 reviews order buy in 1 click 3 290 ₽ 2 790 ₽ Bouquet o"&amp;"f 5 blue hydrangeas - strawberries in chocolate as a gift! 1 reviews order buy in 1 click 5 990 ₽ 4 990 ₽ Bouquet of 11 multi -colored hydrangeas - strawberries in chocolate as a gift! 2 reviews order buy in 1 click Show 101 more rose 5 490 ₽ Bouquet of 1"&amp;"01 multi -colored roses in craft 169 reviews order buy in 1 click 5 490 ₽ 101 White rose Buy in 1 click 5 490 ₽ 101 Red rose 181 reviews Buy Buy 1 click 5 490 ₽ 101 Red rose in a film 317 reviews order Buy 1 click 5 490 ₽ 101 Yellow rose 66 reviews Buy in"&amp;" 1 click 5 490 ₽ 101 rose 101 Berry mix in a film 90 reviews order buy in 1 click 5 490 ₽ Bouquet of 101 orange roses in a film 76 reviews order Buy 1 click Show Piones 7 190 ₽ Bouquet of 9 peonies 4 reviews Buy in 1 click 8 490 ₽ 11 white Pions 11 review"&amp;"s order buy in 1 click 7 190 ₽ Bouquet of 9 white peonies 1 reviews order buy in 1 click 5 790 ₽ Bouquet of 7 white peonies In 1 click 24 990 ₽ 35 multi -colored peonies 0 reviews order buy in 1 click 10 690 ₽ Bouquet with lilac and ranculus 1 reviews ord"&amp;"er Buy 1 click 5 790 ₽ Bouquet of 7 pink peonies 6 Clicks Buy in 1 click Show until 2000 until 2000 rub 1 390 ₽ Bouquet of 11 raspberry roses 3 reviews Buy Buy in 1 click 1 590 ₽ 9 pink roses Premium 50 cm 6 reviews Buy Buy 1 390 ₽ Bouquet of 11 rose rose"&amp;"s with eucalyptus 6 reviews order Buy in 1 click 890 ₽ Bouquet of 3 red roses 50 cm 0 reviews Buy Buy 1 click 1 190 ₽ Bouquet of 5 red roses 50 cm 1 reviews to order in 1 click 1 490 ₽ Bouquet of 5 red roses 60 cm 0 reviews order Buy 1 click 1 490 ₽ Bouqu"&amp;"et of 15 lilac roses Click 3 290 ₽ Bouquet of tulips of irises and eucalyptus 3 reviews order buy in 1 click 3 090 ₽ Bouquet of tulips alstromerium and iris 2 reviews order Buy 1 click 3 590 ₽ Bouquet with tulpans alstrient and stature 2 reviews order Buy"&amp;" in 1 click 3 990 ₽ Bouquet of roses of diantus and hydrangeas 1 reviews to order buy in 1 click 2 890 ₽ Bouquet of roses and tulips 1 reviews order Buy 1 click 6 190 ₽ Bouquet with mattiola and peonies 1 Clicks Buy in 1 click 10 690 ₽ Bouquet with Lilac "&amp;"and Ranunkulus 1 reviews order Buy 1 click show another bouquets of strawberries (Magic Candy) 3 290 ₽ Strawberry bouquet (Gold size S) 0 reviews order Buy 1 click 4 990 ₽ Strawberry bouquet (confetti size L) 0 reviews 0 reviews Order buy in 1 click 3 990"&amp;" ₽ Bouquet of strawberries (confetti size m) 0 reviews order Buy 1 click 3 990 ₽ Strawberry bouquet (Faberge size m) 0 reviews order Buy 1 click 3 290 ₽ Strawberry bouquet (Love S) 0 reviews Order buy in 1 click 3 290 ₽ Bounet bouquet (heart Size s) 0 rev"&amp;"iews order Buy 1 click 3 990 ₽ Basket with strawberries “Berry mix” 0 reviews order 1 click 6 990 ₽ Box - Surprise with strawberries “Ball of flowers” ​​0 reviews Buy 1 click show another 51 rose 3 790 ₽ Bouquet of 51 pink roses in a hat box 3 reviews ord"&amp;"er Buy 1 click 3 790 ₽ Bouquet of 51 red rose in a hat box 1 reviews order Buy in 1 click 3 790 ₽ Bouquet of 51 fiery roses in a hat box 1 reviews order buy in 1 click 3 790 ₽ Bouquet of 51 multi -colored roses in a hat box 1 reviews order Buy 1 Click Sho"&amp;"w Hydension 3 990 ₽ Bouquet of Dianthus roses and hydrangeas 1 reviews order buy in 1 click 7 990 ₽ 6 390 ₽ Bouquet of 15 multi -colored hydrangeas 13 reviews to order in 1 click 5 990 ₽ 4 990 ₽ Bouquet of 11 pink hydrangeas 5 Clicks Buy 4 990 ₽ Bouquet f"&amp;"rom rose cloves of hydrangeas and east 3 reviews Buy Buy 1 click Show more hat boxes 3 790 ₽ Bouquet of 51 pink roses in a hat box 3 reviews order Buy 1 190 ₽ 51 tulip in a hat box 0 reviews order Buy 1 click 3 190 ₽ Bouquet of 11 multi -colored gypsophil"&amp;"es in a hat box 2 reviews order buy in 1 click 3 190 ₽ Bouquet of 11 orange gypsophils in a hat box 0 reviews Order Buy 1 Click Show also tulips hit 3 790 ₽ Bouquet of flowers from tulips and dioatus 4 reviews 4 reviews Order buy in 1 click 6 690 ₽ 51 Whi"&amp;"te tulip 2 reviews to order Buy 1 click 2 890 ₽ Bouquet of tulips and bush roses 3 reviews order Buy 1 click 12 290 ₽ 101 Red tulip 1 Clicks Buy in 1 click Show also plaster 3 190 ₽ Bouquet of 11 multi -colored gypsophiles in a hat box 2 reviews order buy"&amp;" in 1 click 3 190 ₽ Bouquet of 11 turquoise gypsophil in a hat box 3 reviews order Buy 1 click 3 290 ₽ Bouquet of 15 pink gypsophilia 2 reviews Buy Buy 1 Click 4 890 ₽ Bouquet of flowers from 25 multi -colored gypsophiles 0 reviews order buy in 1 click Sh"&amp;"ow more roses Premium 2 790 ₽ Bouquet of 15 roses Premium 60 cm 12 Clicks Buy in 1 590 ₽ 9 pink roses Premium 50 cm 6 cm in order to order Buy in 1 click 5 390 ₽ Bouquet of 15 roses Ecuador 70 cm 0 reviews order buy in 1 click 7 390 ₽ Bouquet of 15 white "&amp;"roses Ecuador 100 cm 1 reviews to order 1 click Show more products with a discount 4 290 ₽ 3 490 ₽ 7 blue hydrangeas 3 reviews order buy in 1 click 7 990 ₽ 6 390 ₽ 15 blue hydrangeas 1 reviews order buy in 1 click 7 990 ₽ 6 390 ₽ 15 multi -colored hydrang"&amp;"eas 7 reviews Buy in 1 click 5 990 ₽ 4 990 ₽ 11 multi -colored multi -colored Highways 7 reviews order buy in 1 click Show also order flowers with delivery of flowers delivery in an instant to change the mood of a person to drive away the spleen and sadne"&amp;"ss. Indeed, for any woman, a bouquet is always a welcome gift regardless of the holiday and reason. Flowers are a simple and universal way to make the life of a loved one brighter and more colorful. The Magic Flower online store offers to order flowers wi"&amp;"th home or office delivery. Professional florists will select the perfect composition for any reason. We always have a luxurious bouquet for the anniversary, a modest, fragrant presentation for congratulations on a professional holiday, an original floral"&amp;" ensemble for March 8 for a sister or a lover. A rich selection of colors in the catalog is supplemented by sweet bouquets toys and accessories as well as a unique design in hat boxes and baskets. Bouquets to the house delivery of flowers in Moscow are pe"&amp;"rformed by couriers without days off. We offer stylish modern bouquets of flowers. You can order mono -boobs by selecting the required number of buds and complex compositions with different plants. If you need flowers urgently leave a request by phone ind"&amp;"icate all the details of the order - we will collect and send a bouquet to the specified address to the house within two hours. Applications for flowers are accepted around the clock. We send delivery by courier on the same day with a bouquet to any addre"&amp;"ss in the capital and Moscow Region. Proceeding is possible from the store for free for regular customers are discounts. We guarantee that the recipient of our floral arrangements will be delighted. Buyers 5072 reviews show another 5,490 ₽ Dmitry 101 red "&amp;"rose bouquet was very beautiful quickly. We are satisfied with all. Thank you 09.11.2023 1 990 ₽ Irina ilinets bouquet of 9 raspberry roses 60 cm acquired a colleague for the second time. For the first time the birthday girl was delighted in the quality o"&amp;"f the flowers. I hope that even today everything will pass as well. Thank you so much for your work. Sincerely Irina 09.11.2023 1 390 ₽ Julia bouquet of 1 blue hydrangea in craft Beautiful fresh flowers! Very beautifully packed. They attached the instruct"&amp;"ions to attach an envelope and a postcard in it! I was satisfied! Thank you! 11.11.2023 3 790 ₽ Elena Bouquet of 51 pink roses in a hat box purchased here a bouquet sent a photo when it was assembled very beautifully. Thanks a lot! 11/08/2023 Show more us"&amp;"eful information on how to surprise their favorite girls - delivery of flowers to the house Modern girls are far from Turgenevskaya young ladies and surprise them completely difficult. What only wow .. TOP-10 reasons to give flowers to the lives of people"&amp;" of the 21st century have entered a new fashion trend-to make non-standard gifts. What is not giving .. how to care for a bouquet in a hat box flowers - a traditional and affordable sign of attention for a beloved woman of a mother’s daughter or colleague"&amp;" in RA .. How to choose the right flowers? It would seem that it could be easier than buying flowers for a woman. But in some situations to choose .. Questions and answers 1. What ways to pay? Payment to the courier in cash or bank card upon receipt of th"&amp;"e Bank card online 2. How to order flowers? You can place an order by phone or on the site by adding a bouquet you like to the basket and filling out all the necessary fields. 3. Do you have urgent home delivery? The minimum possible time of delivery of t"&amp;"he bouquet of flowers immediately after placing the order is 2 hours. 4. At what time is bouquet delivery? Delivery time or office in Moscow - from 7:00 to 1:00 in the Moscow region - from 9:00 to 24:00. Magic Flower - delivery of flower bouquets in Mosco"&amp;"w and the region. We accept orders around the clock. Bouquets with a unique style from leading florists. Write to us information guarantee Return Support Privacy Policy Agreement Contacts Contacts Reviews about the site about us Site map Legal information"&amp;" branch in St. Petersburg Popular flowers bouquets of strawberries. Gifts edible bouquets of 101 metro station settlements Magic Flower +7 ( 499) 490-10-90 8 (800) 600-65-76 We work daily from 08:00 to 24:00 call me +7 (499) 490-10-90 | 8 (800) 600-65-76 "&amp;"Buket@magikalflower.ru 129594 Moscow 3rd passage Maryina Grove House 5 Magic Flower © 2023")</f>
        <v>           Flower delivery in Moscow in 2 hours. Buy a bouquet of flowers with home delivery-Magic Flower delivery and Payment Guarantee Article Reviews Contacts about us to enter the Flower Flower delivery in Moscow Call me +7 (499) 490-10-90 8 (800) 600-65-76 We work daily with 08:00 to 24:00 Write to us add us in WhatsApp +7 (499) 490-10-90 or write help you help choose flowers; We will inform the status of the order; Let's talk about delivery capabilities; Promotions products with discount Combo Flowers Rose Rose Rose Premium rose bush roses of chrysanthemum cloves of gerberia gypsophila gypsophila pionois Ranunculus Irisa Narcissas of Alstomeria Eastoma Matiolla Hyacinth Delphinium until 2000 ₽ Buckets 101 rose 51 roseni skka rose bouquets "Magical" 51 rose mono -boob coat prefabricated Bouquets Hat Boxes Mini-Bouquet Bouquet in a rose basket Rosal roses white roses pink roses lilac roses raspberry roses multi-colored roses yellow roses Cream roses Blue roses height rose 40 cm rose 60 cm rose 70 cm 100 Rose 3 roses 5 roses roses9 roses 15 roses 19 rose21 rose 25 roses Rose75 rose101 rose501 rose according to the type of roses of kenya kuvodaroza Premium. Classic type of rose basket in the rose -shaped rose -shaped tulip -shaped red -bore -zero -zero -zero -sprinkle otnoye -oorangealfiolpo amount of 11 tulips 15 tulips 19 Tulpanov 21 tulip 31 tulip 35 tulips 51 tulip 101 tulip, type of assembly Mono -boiled bouquets with tulipamytylpana to basketwalpana in a box in a box for a woman for a girl to a child colleague birthday birth flowers for a wedding, I love sorry the child love Female Valentine's Day Valentine's Day March 8 September 1 Day New Year Gifts Gifts Strawberries in Chocolate Ballon Air Balls Farmers Gift Baskets VAZS Soft toys Gift bags Toppers candles cards and envelopes Eat bouquets of strawberries in chocolate Gift baskets Galls finished compositions bouquet with sharahamoro sharovontans from sharshshara for tribal cocliefs Sharovpo Type of Sharovlatex Balls Foil of Sharyprozen Balls Summarizing Sharybolly balls Bubblesars on rolled balls with balls of balls of balls of ball balls gruzdshara Figushara without a pattern Balls with confetti balls of chrompo -painted blue blue green silver silver green Black Black Black Birthday Birthday Wedding Wedding of the Child Calling from the maternity hospital1 September 19 on February 8, March 8, Matkaya Matermodnoye Helloweenno to Godmamapaiparaphedshebenkudl lovers, we will deliver fast delivery in 2 hours or an order at our expense. Fresh flowers guarantee 5-day resistance or replace the bouquet. Will the quality guarantee will not like the bouquet? Replace within 24 hours. Photo control will show the bouquet before sending high -quality service a polite service from a call to the door. Delivery of flowers in Moscow Category Flowers 2005 Bouquets 2073 Roses 1166 Balloons 447 Age 2253 Com 2253 Gifts 242 edible 180 Up to 2000 rub 187 Color color white turquoise golden coral creamy raspberry mex multicolor orange rosy pink -sire Build assembly type of white-raspberry white yellow multi-colored occasion Hare birthday to wedding size 100 25 25 30 35 40 45 50 60 70 Price price ₽ Compassing clips! Free gift for the bouquet! 2 590 ₽ 35 multi -colored roses 40cm - a box of makarun as a gift! 6 reviews order buy in 1 click 3 990 ₽ Bouquet of roses gerber and east - strawberries in chocolate as a gift! 0 reviews order buy in 1 click 5 490 ₽ 101 White rose- Box Makarun as a gift! 2 reviews order buy in 1 click 3 290 ₽ Bouquet of 51 red and white roses - boxing box as a gift! 4 reviews order buy in 1 click 4 590 ₽ 51 lilac and white rose- boxing box as a gift! 5 reviews order buy in 1 click 4 890 ₽ Bouquet of 35 yellow tulips- boxing box as a gift! 0 reviews order buy in 1 click 3 290 ₽ 2 790 ₽ Bouquet of 5 blue hydrangeas - strawberries in chocolate as a gift! 1 reviews order buy in 1 click 5 990 ₽ 4 990 ₽ Bouquet of 11 multi -colored hydrangeas - strawberries in chocolate as a gift! 2 reviews order buy in 1 click Show 101 more rose 5 490 ₽ Bouquet of 101 multi -colored roses in craft 169 reviews order buy in 1 click 5 490 ₽ 101 White rose Buy in 1 click 5 490 ₽ 101 Red rose 181 reviews Buy Buy 1 click 5 490 ₽ 101 Red rose in a film 317 reviews order Buy 1 click 5 490 ₽ 101 Yellow rose 66 reviews Buy in 1 click 5 490 ₽ 101 rose 101 Berry mix in a film 90 reviews order buy in 1 click 5 490 ₽ Bouquet of 101 orange roses in a film 76 reviews order Buy 1 click Show Piones 7 190 ₽ Bouquet of 9 peonies 4 reviews Buy in 1 click 8 490 ₽ 11 white Pions 11 reviews order buy in 1 click 7 190 ₽ Bouquet of 9 white peonies 1 reviews order buy in 1 click 5 790 ₽ Bouquet of 7 white peonies In 1 click 24 990 ₽ 35 multi -colored peonies 0 reviews order buy in 1 click 10 690 ₽ Bouquet with lilac and ranculus 1 reviews order Buy 1 click 5 790 ₽ Bouquet of 7 pink peonies 6 Clicks Buy in 1 click Show until 2000 until 2000 rub 1 390 ₽ Bouquet of 11 raspberry roses 3 reviews Buy Buy in 1 click 1 590 ₽ 9 pink roses Premium 50 cm 6 reviews Buy Buy 1 390 ₽ Bouquet of 11 rose roses with eucalyptus 6 reviews order Buy in 1 click 890 ₽ Bouquet of 3 red roses 50 cm 0 reviews Buy Buy 1 click 1 190 ₽ Bouquet of 5 red roses 50 cm 1 reviews to order in 1 click 1 490 ₽ Bouquet of 5 red roses 60 cm 0 reviews order Buy 1 click 1 490 ₽ Bouquet of 15 lilac roses Click 3 290 ₽ Bouquet of tulips of irises and eucalyptus 3 reviews order buy in 1 click 3 090 ₽ Bouquet of tulips alstromerium and iris 2 reviews order Buy 1 click 3 590 ₽ Bouquet with tulpans alstrient and stature 2 reviews order Buy in 1 click 3 990 ₽ Bouquet of roses of diantus and hydrangeas 1 reviews to order buy in 1 click 2 890 ₽ Bouquet of roses and tulips 1 reviews order Buy 1 click 6 190 ₽ Bouquet with mattiola and peonies 1 Clicks Buy in 1 click 10 690 ₽ Bouquet with Lilac and Ranunkulus 1 reviews order Buy 1 click show another bouquets of strawberries (Magic Candy) 3 290 ₽ Strawberry bouquet (Gold size S) 0 reviews order Buy 1 click 4 990 ₽ Strawberry bouquet (confetti size L) 0 reviews 0 reviews Order buy in 1 click 3 990 ₽ Bouquet of strawberries (confetti size m) 0 reviews order Buy 1 click 3 990 ₽ Strawberry bouquet (Faberge size m) 0 reviews order Buy 1 click 3 290 ₽ Strawberry bouquet (Love S) 0 reviews Order buy in 1 click 3 290 ₽ Bounet bouquet (heart Size s) 0 reviews order Buy 1 click 3 990 ₽ Basket with strawberries “Berry mix” 0 reviews order 1 click 6 990 ₽ Box - Surprise with strawberries “Ball of flowers” ​​0 reviews Buy 1 click show another 51 rose 3 790 ₽ Bouquet of 51 pink roses in a hat box 3 reviews order Buy 1 click 3 790 ₽ Bouquet of 51 red rose in a hat box 1 reviews order Buy in 1 click 3 790 ₽ Bouquet of 51 fiery roses in a hat box 1 reviews order buy in 1 click 3 790 ₽ Bouquet of 51 multi -colored roses in a hat box 1 reviews order Buy 1 Click Show Hydension 3 990 ₽ Bouquet of Dianthus roses and hydrangeas 1 reviews order buy in 1 click 7 990 ₽ 6 390 ₽ Bouquet of 15 multi -colored hydrangeas 13 reviews to order in 1 click 5 990 ₽ 4 990 ₽ Bouquet of 11 pink hydrangeas 5 Clicks Buy 4 990 ₽ Bouquet from rose cloves of hydrangeas and east 3 reviews Buy Buy 1 click Show more hat boxes 3 790 ₽ Bouquet of 51 pink roses in a hat box 3 reviews order Buy 1 190 ₽ 51 tulip in a hat box 0 reviews order Buy 1 click 3 190 ₽ Bouquet of 11 multi -colored gypsophiles in a hat box 2 reviews order buy in 1 click 3 190 ₽ Bouquet of 11 orange gypsophils in a hat box 0 reviews Order Buy 1 Click Show also tulips hit 3 790 ₽ Bouquet of flowers from tulips and dioatus 4 reviews 4 reviews Order buy in 1 click 6 690 ₽ 51 White tulip 2 reviews to order Buy 1 click 2 890 ₽ Bouquet of tulips and bush roses 3 reviews order Buy 1 click 12 290 ₽ 101 Red tulip 1 Clicks Buy in 1 click Show also plaster 3 190 ₽ Bouquet of 11 multi -colored gypsophiles in a hat box 2 reviews order buy in 1 click 3 190 ₽ Bouquet of 11 turquoise gypsophil in a hat box 3 reviews order Buy 1 click 3 290 ₽ Bouquet of 15 pink gypsophilia 2 reviews Buy Buy 1 Click 4 890 ₽ Bouquet of flowers from 25 multi -colored gypsophiles 0 reviews order buy in 1 click Show more roses Premium 2 790 ₽ Bouquet of 15 roses Premium 60 cm 12 Clicks Buy in 1 590 ₽ 9 pink roses Premium 50 cm 6 cm in order to order Buy in 1 click 5 390 ₽ Bouquet of 15 roses Ecuador 70 cm 0 reviews order buy in 1 click 7 390 ₽ Bouquet of 15 white roses Ecuador 100 cm 1 reviews to order 1 click Show more products with a discount 4 290 ₽ 3 490 ₽ 7 blue hydrangeas 3 reviews order buy in 1 click 7 990 ₽ 6 390 ₽ 15 blue hydrangeas 1 reviews order buy in 1 click 7 990 ₽ 6 390 ₽ 15 multi -colored hydrangeas 7 reviews Buy in 1 click 5 990 ₽ 4 990 ₽ 11 multi -colored multi -colored Highways 7 reviews order buy in 1 click Show also order flowers with delivery of flowers delivery in an instant to change the mood of a person to drive away the spleen and sadness. Indeed, for any woman, a bouquet is always a welcome gift regardless of the holiday and reason. Flowers are a simple and universal way to make the life of a loved one brighter and more colorful. The Magic Flower online store offers to order flowers with home or office delivery. Professional florists will select the perfect composition for any reason. We always have a luxurious bouquet for the anniversary, a modest, fragrant presentation for congratulations on a professional holiday, an original floral ensemble for March 8 for a sister or a lover. A rich selection of colors in the catalog is supplemented by sweet bouquets toys and accessories as well as a unique design in hat boxes and baskets. Bouquets to the house delivery of flowers in Moscow are performed by couriers without days off. We offer stylish modern bouquets of flowers. You can order mono -boobs by selecting the required number of buds and complex compositions with different plants. If you need flowers urgently leave a request by phone indicate all the details of the order - we will collect and send a bouquet to the specified address to the house within two hours. Applications for flowers are accepted around the clock. We send delivery by courier on the same day with a bouquet to any address in the capital and Moscow Region. Proceeding is possible from the store for free for regular customers are discounts. We guarantee that the recipient of our floral arrangements will be delighted. Buyers 5072 reviews show another 5,490 ₽ Dmitry 101 red rose bouquet was very beautiful quickly. We are satisfied with all. Thank you 09.11.2023 1 990 ₽ Irina ilinets bouquet of 9 raspberry roses 60 cm acquired a colleague for the second time. For the first time the birthday girl was delighted in the quality of the flowers. I hope that even today everything will pass as well. Thank you so much for your work. Sincerely Irina 09.11.2023 1 390 ₽ Julia bouquet of 1 blue hydrangea in craft Beautiful fresh flowers! Very beautifully packed. They attached the instructions to attach an envelope and a postcard in it! I was satisfied! Thank you! 11.11.2023 3 790 ₽ Elena Bouquet of 51 pink roses in a hat box purchased here a bouquet sent a photo when it was assembled very beautifully. Thanks a lot! 11/08/2023 Show more useful information on how to surprise their favorite girls - delivery of flowers to the house Modern girls are far from Turgenevskaya young ladies and surprise them completely difficult. What only wow .. TOP-10 reasons to give flowers to the lives of people of the 21st century have entered a new fashion trend-to make non-standard gifts. What is not giving .. how to care for a bouquet in a hat box flowers - a traditional and affordable sign of attention for a beloved woman of a mother’s daughter or colleague in RA .. How to choose the right flowers? It would seem that it could be easier than buying flowers for a woman. But in some situations to choose .. Questions and answers 1. What ways to pay? Payment to the courier in cash or bank card upon receipt of the Bank card online 2. How to order flowers? You can place an order by phone or on the site by adding a bouquet you like to the basket and filling out all the necessary fields. 3. Do you have urgent home delivery? The minimum possible time of delivery of the bouquet of flowers immediately after placing the order is 2 hours. 4. At what time is bouquet delivery? Delivery time or office in Moscow - from 7:00 to 1:00 in the Moscow region - from 9:00 to 24:00. Magic Flower - delivery of flower bouquets in Moscow and the region. We accept orders around the clock. Bouquets with a unique style from leading florists. Write to us information guarantee Return Support Privacy Policy Agreement Contacts Contacts Reviews about the site about us Site map Legal information branch in St. Petersburg Popular flowers bouquets of strawberries. Gifts edible bouquets of 101 metro station settlements Magic Flower +7 ( 499) 490-10-90 8 (800) 600-65-76 We work daily from 08:00 to 24:00 call me +7 (499) 490-10-90 | 8 (800) 600-65-76 Buket@magikalflower.ru 129594 Moscow 3rd passage Maryina Grove House 5 Magic Flower © 2023</v>
      </c>
    </row>
    <row r="304">
      <c r="A304" s="1" t="s">
        <v>883</v>
      </c>
      <c r="B304" s="1" t="s">
        <v>986</v>
      </c>
      <c r="D304" s="1">
        <v>14.0</v>
      </c>
      <c r="E304" s="4" t="s">
        <v>987</v>
      </c>
      <c r="F304" s="1" t="s">
        <v>43</v>
      </c>
      <c r="G304" s="1" t="s">
        <v>988</v>
      </c>
      <c r="H304" s="4" t="s">
        <v>989</v>
      </c>
      <c r="I304" s="2">
        <v>1.0</v>
      </c>
      <c r="J304" s="5" t="str">
        <f>IFERROR(__xludf.DUMMYFUNCTION("GOOGLETRANSLATE(A304)"),"Gypsophyla")</f>
        <v>Gypsophyla</v>
      </c>
      <c r="K304" s="6" t="str">
        <f>IFERROR(__xludf.DUMMYFUNCTION("GOOGLETRANSLATE(B304)"),"Color gypsophila. The trend of 2021. - Flowers Valley")</f>
        <v>Color gypsophila. The trend of 2021. - Flowers Valley</v>
      </c>
      <c r="M304" s="5" t="str">
        <f>IFERROR(__xludf.DUMMYFUNCTION("GOOGLETRANSLATE(G304)"),"Home | Flowers Valley Yekaterinburg +7 (958) 234-33-92 +7 (953) 603-64-82 Contactly Plapooprosoproschi response (FAQ) Safety and confidential service of customer support for the departure of the Air Force Rosema Premises of the Premises of the Premises To"&amp;"ggle Navigation Toggle Moving Promotion on Bouquetbukets of 15 ROSBUKETS OF 25 ROSBUKETS OF 35 ROSBUTE OF 51 draws of 101 ROZISKOSTRAL ROZROSICE ROZROSIACHARICHICIARY ROZBELALALLAR ROZELARALARALARALARALARALARALARALARALAROMALARALARENE -ORICAL ROZISTIC ROZI"&amp;"PIOVID ROZIOVID ROZIPIROSISES Hell of birth The best sales of a child's wife | For a girlfriend of Mamydl, friends -horseman plants for a birthday for Birthday for Birthday Birthdays for Birthday Carazenevs Gifts for Birthday with a newborn love and roman"&amp;"ce of the birth of a bridebuket for bridebunerkasyda -dodgy compositions of the newlyweds of the newlyweds January 5 January on February 19 on February23 February1 September1 Teachers The best sales of a sales ofirizpione -di -ray -rhizarizanthemenylillyi"&amp;"lillyilililililillyilillyillyilililiyrachidegortenziyexualstomeriye -ethrian ejesus bouquemashmashkiyustoma (lysianthus) bush draws of gypsophylacallavandollywanhwanhwanhprotheigorgi Lygormal plants Blossoming plants -green plants and exotic flowers with "&amp;"pots of pottering flowers potted plants flowers in the boxes from flower stalls in wooden boxes of balloons of balloons toys with fruits of products and sweet -sized crooks of the Saarch SARC h call/write call/write +7 (953) 603-64-82 Call us : Sales_9111"&amp;"6 +7 (953) 603-64-82 Write to us: Sales_91116 Online Chat Search Entrance/Registration 0 Basket Toggle Navigation Majorosis Promotional Buyteettes of 15 Rozbukets from 35 Rozbukets from 51 draws of 101 rodikistoy Rosroders of RosrossiaEkvadorceniye rosbal"&amp;"ac -red -rose -rod zhuzelnaya -orange -brown -shaped -stained -flowed roding rhyme fertilizer Rozycust ryzpionivoid draws in the boxes of rosamyeserds from the rosamine of birth best sales of a child’s child's wife | For a girlfriend of Mamydl, friends -h"&amp;"orseman plants for a birthday for Birthday for Birthday Birthdays for Birthday Carazenevs Gifts for Birthday with a newborn love and romance of the birth of a bridebuket for bridebunerkasyda -dodgy compositions of the newlyweds of the newlyweds January 5 "&amp;"January on February 19 on February23 February1 September1 Teachers The best sales of a sales ofirizpione -di -ray -rhizarizanthemenylillyilillyilililililillyilillyillyilililiyrachidegortenziyexualstomeriye -ethrian ejesus bouquemashmashkiyustoma (lysianth"&amp;"us) bush draws of gypsophylacallavandollywanhwanhwanhprotheigorgi Lygormal plants Blossoming plants-green plants and exotic flowers with potted flower stalls Potter plants flowers in the boxes of flower stalls from flowers in wooden boxes of balloons of b"&amp;"alloons from fruiting products from products and sweet crooks. %The price reduced a bouquet of peonies ₽ 2340 - 22200 ₽ 1730 - 16450 - “ Delivery in agreement. "" A certain time is required for the supply of this product. By availability, please clarify w"&amp;"ith managers. ❕ We guarantee that the flowers will be fresh and will stand in a vase for at least 5 days ....- 72%The price reduced the bouquet of the Fortune roses ₽ 2120 - 14700 ₽ 990 - 6870 - “Delivery as agreed”. A certain time is required for the sup"&amp;"ply of this product. By availability, please clarify with managers. for 101 pcs. The main thing is the lowest price for roses! Important! Fresh flowers! Attention! The bouquet is not ...- 29%The price reduced the bouquet ""Sugar cotton wool"" with hydrang"&amp;"ea ₽ 2730 ₽ 2020 - ""Delivery as agreed"". A certain time is required for the supply of this product. By availability, please clarify with managers. Charming bush roses in combination with delicate hydrangea will talk about your ...- 33%the price reduced "&amp;"a bouquet of bush roses. Special offer ""Fortune"" ₽ 3150 - 9290 ₽ 2250 - 6630 - ""Delivery as agreed"". A certain time is required for the supply of this product. By availability, please clarify with managers. For 15 pcs. A bouquet of bush roses 'Fortune"&amp;"' is a great choice for those who want ... a composition in a handbag of a bush rose. Special offer ""Fortune"" ₽ 2200 - “delivery by agreement”. A certain time is required for the supply of this product. By availability, please clarify with managers. Com"&amp;"posite from bush roses 'Fortune' is a great choice for those who want ... a bush peony rose in a hat box. Special offer ""Fortune"" ₽ 3150 - “delivery by agreement”. A certain time is required for the supply of this product. By availability, please clarif"&amp;"y with managers. Exquisite and fresh: a composition of pionoid roses with eucalyptteum ... Bouquet ""Mix Fortune"" ₽ 2580 - “Delivery by agreement”. A certain time is required for the supply of this product. By availability, please clarify with managers. "&amp;"""Mix Fortune"" is a great choice for those who want to please their ... bouquet of pionoid roses with Ruskus. Special offer ""Fortune"" ₽ 2250 - 7140 - ""Delivery by agreement"". A certain time is required for the supply of this product. By availability,"&amp;" please clarify with managers. For 15 pcs. A bouquet of bush roses 'Fortuna' is a great choice for those who want ... Autumn collection to look at all the products of the ""Autumn Cololent"" &gt;&gt; all the products of the section&gt; Bouquet of Herber and matrix"&amp;"es ₽ 4400 - ""Delivery by agreement"". A certain time is required for the supply of this product. By availability, please clarify with managers. ❕ We guarantee that the flowers will be fresh and will stand in a vase for at least 5 days .... a bouquet with"&amp;" a bush rose and alstriently ₽ 1650 - “delivery by agreement”. A certain time is required for the supply of this product. By availability, please clarify with managers. ❕ We guarantee that the flowers will be fresh and will stand in a vase for at least 5 "&amp;"days .... Bouquet of Alstromeria Mix ₽ 2410 - 4190 - “Delivery as agreed”. A certain time is required for the supply of this product. By availability, please clarify with managers. Attention! The color scheme of the bouquet may differ from the photo prese"&amp;"nted in the photo .... a bouquet of blue hydrangea and eastoma ₽ 1610 - “urgent delivery” goods are possible, operational delivery is possible during the day. A bouquet of delicate blue hydrangeas and eastoma in a stylish packaging will be ... an “electri"&amp;"cian” bouquet of blue and purple gypsophils ₽ 2200 - 3040 - “Delivery by agreement”. A certain time is required for the supply of this product. By availability, please clarify with managers. The trend is gaining momentum - an air cloud of colored gypsophi"&amp;"la! This voluminous ... bouquet of sunflower and greenery ₽ 1500 - 2100 - “Delivery by agreement”. A certain time is required for the supply of this product. By availability, please clarify with managers. Sunny and bright sunflowers - flowers that give a "&amp;"charge of optimism and vitality ... the best selling all the products of the ""best sales"" section &gt;&gt; all the products of the section&gt; -51%the price reduced a bouquet of red roses (pr -in Russia) ₽ 3040 - 21500 ₽ 1790 - 12650 - “urgent delivery” goods in"&amp;" stock are possible for operational delivery during the day. for 101 pcs. A bouquet of 101 red rose is a very beautiful and generous gift to your beloved ... A hat box with cloves ₽ 2650 - “Delivery as agreed”. A certain time is required for the supply of"&amp;" this product. By availability, please clarify with managers. A hat box with fragrant and delicate cloves! The color of the box and ... a bouquet of white chrysanthemums (pro Russia) ₽ 2220 - 12150 - “Delivery as agreed”. A certain time is required for th"&amp;"e supply of this product. By availability, please clarify with managers. Bouquet of 25 white chrysanthemums in designer packaging. A bouquet of multi -colored hydrangeas ₽ 2190 - 4950 - “Urgent delivery” goods in stock is possible operational delivery thr"&amp;"oughout the day. A magnificent bouquet of 11 delicate hydrangeas in stylish packaging will be ...- 29%the price reduced a bouquet of pink peonies with an eucalyptus ₽ 2570 - 11400 ₽ 1900 - 8420 - “Delivery as agreed”. A certain time is required for the su"&amp;"pply of this product. By availability, please clarify with managers. ❕ We guarantee that the flowers will be fresh and will stand in a vase for at least 5 days .... A snow -white gypsophila in a hat box ₽ 1290 - 2410 - “urgent delivery” of goods in stock "&amp;"is possible for operational delivery during the day. Unusual and air gypsophila in a hat box! This is a snow -white cloud ... an air cloud of purple gypsophila ₽ 2200 - 2950 - “Delivery in agreement”. A certain time is required for the supply of this prod"&amp;"uct. By availability, please clarify with managers. The trend is gaining momentum - an air cloud of colored gypsophila! This volumetric ... bouquet of pink gypsophila ₽ 1850 - 2950 - “Delivery by agreement”. A certain time is required for the supply of th"&amp;"is product. By availability, please clarify with managers. A bouquet of 11 delicate pink gypsophiles in packaging. -29%The price reduced the bouquet ""Cloud Symphony"" with hydrangea ₽ 4030 ₽ 2980 - ""Urgent delivery"" goods in stock possible operational "&amp;"delivery during the day. An amazingly beautiful and delicate bouquet of which is ...- 29%the price reduced a bouquet of peonies and a bush rose ₽ 3230 - 5920 ₽ 2390 - 4380 - “Delivery as agreed”. A certain time is required for the supply of this product. "&amp;"By availability, please clarify with managers. ❕ We guarantee that the flowers will be fresh and will stand in a vase for at least 5 days .... a bouquet of chrysanthemums and daisies ₽ 3340 - “delivery by agreement”. A certain time is required for the sup"&amp;"ply of this product. By availability, please clarify with managers. ❕ We guarantee that the flowers will be fresh and will stand in a vase for at least 5 days ....- 37%the price reduced a bouquet of a bush rose mix ₽ 4570 - 15550 ₽ 3150 - 10750 - “Deliver"&amp;"y as agreed”. A certain time is required for the supply of this product. By availability, please clarify with managers. ❕ We guarantee that the flowers will be fresh and will stand in a vase for at least 5 days ....- 51%the price reduced a bouquet of whit"&amp;"e roses (pr -in Russia) ₽ 3040 - 21500 ₽ 1790 - 12650 - “urgent delivery” goods in the presence Operational delivery is possible during the day. for 101 pcs. A bouquet of 101 white roses is the most delicate feelings of love is sophisticated ... a bouquet"&amp;" of blue and white chrysanthemums ₽ 1830 - 3570 - “urgent delivery” goods in stock are possible for operational delivery throughout the day. A spectacular bouquet of bush chrysanthemums in a blue -white gamut will produce indelible ... Bouquets on his bir"&amp;"thday to see all the products of the Build Buy Buy Buying products &gt;&gt; All the products of the section&gt; A hat box with multi -colored roses ₽ 2580 - 6530 - “Delivery by agreement”. A certain time is required for the supply of this product. By availability,"&amp;" please clarify with managers. ❕ We guarantee that the flowers will be fresh and will stand in a vase for at least 5 days .... Flower mix in a wooden box ₽ 3490 - “Urgent delivery” goods in stock is possible for operational delivery during the day. Attent"&amp;"ion: the color of the box and cut flowers will not necessarily be like in the photo .... a basket with a multi -colored chrysanthemum ₽ 3740 - 5880 - “Delivery by agreement”. A certain time is required for the supply of this product. By availability, plea"&amp;"se clarify with managers. Bright and colorful chrysanthemums in the basket are a magnificent present for anyone ... a hat box with a white chrysanthemum ₽ 1750 - 5740 - “Delivery by agreement”. A certain time is required for the supply of this product. By"&amp;" availability, please clarify with managers. The hat box is assembled from 7 white chrysanthemums❕ We guarantee that flowers ... a hat box with a bush rose ₽ 3150 - “Delivery by agreement”. A certain time is required for the supply of this product. By ava"&amp;"ilability, please clarify with managers. A hat box with bush roses. Entrance! The composition may differ from ...- 29%The price reduced a hat box with pink peonies ₽ 4910 - 11050 ₽ 3630 - 8160 - “Delivery by agreement”. A certain time is required for the "&amp;"supply of this product. By availability, please clarify with managers. A hat box with 9 pink peonies supplemented by delicate branches of eucalyptus .... a bouquet of eastoma and irises ₽ 2680 - “urgent delivery” goods in stock are possible for operationa"&amp;"l delivery throughout the day. ❕ We guarantee that the flowers will be fresh and will stand in a vase for at least 5 days ....- 49%the price reduced 101 red rose with a heart in a box ₽ 13600 - 24750 ₽ 8230 - 15000 - “Delivery as agreed”. A certain time i"&amp;"s required for the supply of this product. By availability, please clarify with managers. A delicate and air composition of 101 roses in a box to conquer the heart ... a bouquet of bush rose and eastoma ₽ 2360 - 2890 - “Delivery as agreed”. A certain time"&amp;" is required for the supply of this product. By availability, please clarify with managers. ❕ We guarantee that the flowers will be fresh and will stand in a vase for at least 5 days .... a basket with a rose and lavender ₽ 3860 - 6780 - “Delivery as agre"&amp;"ed”. A certain time is required for the supply of this product. By availability, please clarify with managers. The basket is collected from 35 white roses is supplemented with silver ecalipte branches and ...- 29%the price reduced a bouquet of peonies ₽ 2"&amp;"340 - 22200 ₽ 1730 - 16450 - “Delivery as agreed”. A certain time is required for the supply of this product. By availability, please clarify with managers. ❕ We guarantee that the flowers will be fresh and will stand in a vase for at least 5 days .... Bo"&amp;"uquet of ""Summer Paints"" ₽ 2840 - 4970 - ""Urgent delivery"" goods in stock possible operational delivery during the day. A bright bouquet of multi -colored roses and alstriently. The bouquet can ... Bouquet ""Feminine"" ₽ 4070 - ""Delivery in agreement"&amp;""". A certain time is required for the supply of this product. By availability, please clarify with managers. A bouquet from the orchids of the Tsimbidium of Alstromeria of Bush Roses and Eustoma is supplemented ... Sukhotzeta bouquet ""Winter Morning"" w"&amp;"ith cotton and lavender ₽ 3480 - 6480 - ""Delivery as agreed"". A certain time is required for the supply of this product. By availability, please clarify with managers. The advantages of bouquets from dried flowers are as follows: 1. This is always ... a"&amp;" mini -bouquet of dried flowers ₽ 800 - “urgent delivery” of goods in stock is possible operational delivery during the day. A miniature bouquet -combination will become a pleasant gesture on the first date of the cute ... Lavender bouquet in craft ₽ 1460"&amp;" - 3700 - “urgent delivery” goods in stock are possible for operational delivery throughout the day. A bouquet of fragrant lavender is a unique present that on any day ... Lavender’s bouquet and wheat ₽ 1640 - 2770 - “Delivery by agreement”. A certain tim"&amp;"e is required for the supply of this product. By availability, please clarify with managers. The bouquet made up of lavender and spikelets of wheat will undoubtedly be an excellent decoration of the house or office. The bouquet ""The aroma of Provence"" ₽"&amp;" 3840 - ""Delivery in agreement"". A certain time is required for the supply of this product. By availability, please clarify with managers. A delicate combination of the lavender of the boxes of real cotton and soft spikelets ... Lavender in the hat box "&amp;"₽ 3060 - 5160 - “Delivery by agreement”. A certain time is required for the supply of this product. By availability, please clarify with managers. A beautiful bouquet of lavender in a hat box is suitable for a gift for ... Bouquet ""Rubin"" ₽ 3820 - ""Del"&amp;"ivery as agreed"". A certain time is required for the supply of this product. By availability, please clarify with managers. A bouquet of dried flowers in an amazing color palette. Such a present will appeal ... Flowers in hats to watch all the products o"&amp;"f the section ""Flowers in hat boxes"" &gt;&gt; All the products of the section&gt; A hat box with multi -colored roses ₽ 2580 - 6530 - “Delivery as agreed”. A certain time is required for the supply of this product. By availability, please clarify with managers. "&amp;"❕ We guarantee that the flowers will be fresh and will stand in a vase for at least 5 days .... a hat box with Alstromeria ₽ 2990 - 6040 - “Urgent delivery” goods in stock are possible for operational delivery during the day. ❕ We guarantee that the flowe"&amp;"rs will be fresh and will stand in a vase for at least 5 days .... a hat rose with alstriently ₽ 3050 - “Urgent delivery” goods are possible in the presence of operational delivery during the day. ❕ We guarantee that the flowers will be fresh and will sta"&amp;"nd in a vase for at least 5 days .... a hat box with a white rose ₽ 4030 - 6530 - “Urgent delivery” goods in stock are possible for operational delivery during the day. ❕ We guarantee that the flowers will be fresh and will stand in a vase for at least 5 "&amp;"days .... a hat box with a red rose ₽ 4720 - 8170 - “urgent delivery” goods in stock possible operational delivery during the day. A chic bouquet of 51 roses with a hat with a hat tied with elegant red ...- 49%the price reduced 101 white -razed rose in a "&amp;"box ₽ 13600 - 24750 ₽ 8230 - 15000 - “Delivery as agreed”. A certain time is required for the supply of this product. By availability, please clarify with managers. A delicate and air composition of 101 roses in a box to conquer the heart ... a hat box wi"&amp;"th a multi -colored rose (pr -in Ecuador) - 51 pcs. ₽ 8200 - “Delivery by agreement”. A certain time is required for the supply of this product. By availability, please clarify with managers. ❕ We guarantee that the flowers will be fresh and will stand in"&amp;" a vase for at least 5 days .... Flowers in baskets to see all the products of the ""Flowers in Baskets"" section &gt;&gt; All the products of the section&gt; -54%The price reduced rose in the basket. Specialist. The proposal ""Fortune"". ₽ 2840 - 5430 ₽ 1630 - 31"&amp;"20 - “Delivery by agreement”. A certain time is required for the supply of this product. By availability, please clarify with managers. The composition of 15 roses in a wicker basket. The proposal ""Fortune"" -... Basket with a multi -colored chrysanthemu"&amp;"m ₽ 3740 - 5880 - ""Delivery in agreement"". A certain time is required for the supply of this product. By availability, please clarify with managers. Bright and colorful chrysanthemums in the basket are a magnificent present for any ...- 29%The price red"&amp;"uced the composition in the basket ""Summer Day"" from peonies and eastoma ₽ 6650 - 10750 ₽ 4920 - 7940 - ""Delivery by agreement"". A certain time is required for the supply of this product. By availability, please clarify with managers. ❕ We guarantee t"&amp;"hat the flowers will be fresh and will stand in a vase for at least 5 days .... The rainbow gypsophila in the basket ₽ 2210 - 3000 - “Delivery as agreed”. A certain time is required for the supply of this product. By availability, please clarify with mana"&amp;"gers. The rainbow gypsophila in the basket will cheer up any day with bright colors! A basket with a white and pink chrysanthemum ₽ 3850 - 4830 - “urgent delivery” goods in stock is possible operational delivery throughout the day. 7 white and colored bus"&amp;"h chrysanthemums in the basket - a gift for any occasion .... a basket with chrysanthemum and clove ₽ 2040 - “Delivery as agreed”. A certain time is required for the supply of this product. By availability, please clarify with managers. Bright and colorfu"&amp;"l chrysanthemums in the basket are a magnificent present for any ... basket of multi -colored gerber ₽ 2250 - 3780 - “urgent delivery” goods in stock are possible for the day. A bouquet of 11 bright colorful gerber in the basket. ❕ We guarantee that the f"&amp;"lowers ... Clear day basket ₽ 1990 - “urgent delivery” goods in stock are possible for the day. A basket with a fluffy chrysanthemum and red rose is suitable for any ... composition in the basket ""Summer evening"" ₽ 1900 - “Urgent delivery” of goods in s"&amp;"tock is possible operational delivery during the day. The composition of roses and chrysanthemums in the basket -delivery torture to test all the products of the gift ""Gift sets"" &gt;&gt; All the products of the section&gt; Gift set ""Happy Birthday"" ₽ 3280 - 5"&amp;"680 - ""Delivery in agreement"". A certain time is required for the supply of this product. By availability, please clarify with managers. We have selected the brightest elements of the holiday for you. Each piece of this ... Gift set of “Happy Birthday” "&amp;"balls of foil ₽ 5700 - 6800 - “Delivery as agreed”. A certain time is required for the supply of this product. By availability, please clarify with managers. We have selected the brightest elements of the holiday for you. Each part of this ... Gift set “R"&amp;"omance” ₽ 4240 - 6940 - “Delivery in agreement”. A certain time is required for the supply of this product. By availability, please clarify with managers. Classic red roses are delicious sweets and bright balloons ... Gift set “Compliment” ₽ 5740 - “Deliv"&amp;"ery as agreed”. A certain time is required for the supply of this product. By availability, please clarify with managers. Classic red roses in a hat box delicious sweets and bright ... Our directions delivery of flowers Rosa Birthday Flowers View all deli"&amp;"very of balloons Birthday for discharge shining for wedding View all services for the design of the Promotions Gifts delicious gifts flowers in bulk Flowers freshly cut potatoes Products for floristry of tulips by wholesale by March 8, relevant on the Blo"&amp;"g Stylish and Modern New Year gifts for the new year to decorate your house for the New Year: Actual trends 2023 in New Year's floristry. Why do florists turn roses? Interesting facts about flowering technique or fraud in a bouquet? Is it so terrible twis"&amp;"ted rose? Everything about the ""French"" beauty and also about whether such a French will tell our florists minimalism in modern bouquets. The creation of a modern composition of a small number of materials with an inspiration of theimicism is a philosop"&amp;"hy that consists in rejection of excesses and focusing on the main one. We talk about the main world trend of 2023 men and flowers. Or how not to make a mistake with the gift? Gifts for women bookmarks or composition in a hat box? A basket with chrysanthe"&amp;"mums or an unusual bouquet with exotic colors? In a flower store, it is not so easy for men to choose the best gift for a loved one. Floral recognition of love. The most romantic flowers flowers and the romantic -like best way to say to a person ""I love "&amp;"you"" is to undoubtedly give flowers. The tradition of giving flowers goes far into the past and after a while has turned into a real art, choose a bouquet for the last call, do it yourself - helping the recommendation of ideas is present to give a bouque"&amp;"t? What flowers to choose? We answer all questions in order. New Year's compositions on the table Gifts for a new suitable tradition of decorating the interior is rapidly capturing Russia. And one of the best solutions is to create decorative jewelry from"&amp;" Nobilisa.shopping_basket0.00.00 place an order about the Nasinformation of the company of the company of the company of priority to corporate customers Contacts interesting facts about Tsvetakhids of Gifts Tips for Care for Color Care Information Support"&amp;" Resposive (FAQ) Safety and Confidential Supervision Support Customer LIKS Buyers buy flowers on their birthday on their birthday, Association of Potter Plants. Gifts about drearms of airplane balls and goods for holidays for the holidays of interiors. Fl"&amp;"owers in bulk of the Instagram promotion We are on social networks Copyright 2023 - Flowers Valley - All Right Right Right Right Right Ved.")</f>
        <v>Home | Flowers Valley Yekaterinburg +7 (958) 234-33-92 +7 (953) 603-64-82 Contactly Plapooprosoproschi response (FAQ) Safety and confidential service of customer support for the departure of the Air Force Rosema Premises of the Premises of the Premises Toggle Navigation Toggle Moving Promotion on Bouquetbukets of 15 ROSBUKETS OF 25 ROSBUKETS OF 35 ROSBUTE OF 51 draws of 101 ROZISKOSTRAL ROZROSICE ROZROSIACHARICHICIARY ROZBELALALLAR ROZELARALARALARALARALARALARALARALARALAROMALARALARENE -ORICAL ROZISTIC ROZIPIOVID ROZIOVID ROZIPIROSISES Hell of birth The best sales of a child's wife | For a girlfriend of Mamydl, friends -horseman plants for a birthday for Birthday for Birthday Birthdays for Birthday Carazenevs Gifts for Birthday with a newborn love and romance of the birth of a bridebuket for bridebunerkasyda -dodgy compositions of the newlyweds of the newlyweds January 5 January on February 19 on February23 February1 September1 Teachers The best sales of a sales ofirizpione -di -ray -rhizarizanthemenylillyilillyilililililillyilillyillyilililiyrachidegortenziyexualstomeriye -ethrian ejesus bouquemashmashkiyustoma (lysianthus) bush draws of gypsophylacallavandollywanhwanhwanhprotheigorgi Lygormal plants Blossoming plants -green plants and exotic flowers with pots of pottering flowers potted plants flowers in the boxes from flower stalls in wooden boxes of balloons of balloons toys with fruits of products and sweet -sized crooks of the Saarch SARC h call/write call/write +7 (953) 603-64-82 Call us : Sales_91116 +7 (953) 603-64-82 Write to us: Sales_91116 Online Chat Search Entrance/Registration 0 Basket Toggle Navigation Majorosis Promotional Buyteettes of 15 Rozbukets from 35 Rozbukets from 51 draws of 101 rodikistoy Rosroders of RosrossiaEkvadorceniye rosbalac -red -rose -rod zhuzelnaya -orange -brown -shaped -stained -flowed roding rhyme fertilizer Rozycust ryzpionivoid draws in the boxes of rosamyeserds from the rosamine of birth best sales of a child’s child's wife | For a girlfriend of Mamydl, friends -horseman plants for a birthday for Birthday for Birthday Birthdays for Birthday Carazenevs Gifts for Birthday with a newborn love and romance of the birth of a bridebuket for bridebunerkasyda -dodgy compositions of the newlyweds of the newlyweds January 5 January on February 19 on February23 February1 September1 Teachers The best sales of a sales ofirizpione -di -ray -rhizarizanthemenylillyilillyilililililillyilillyillyilililiyrachidegortenziyexualstomeriye -ethrian ejesus bouquemashmashkiyustoma (lysianthus) bush draws of gypsophylacallavandollywanhwanhwanhprotheigorgi Lygormal plants Blossoming plants-green plants and exotic flowers with potted flower stalls Potter plants flowers in the boxes of flower stalls from flowers in wooden boxes of balloons of balloons from fruiting products from products and sweet crooks. %The price reduced a bouquet of peonies ₽ 2340 - 22200 ₽ 1730 - 16450 - “ Delivery in agreement. " A certain time is required for the supply of this product. By availability, please clarify with managers. ❕ We guarantee that the flowers will be fresh and will stand in a vase for at least 5 days ....- 72%The price reduced the bouquet of the Fortune roses ₽ 2120 - 14700 ₽ 990 - 6870 - “Delivery as agreed”. A certain time is required for the supply of this product. By availability, please clarify with managers. for 101 pcs. The main thing is the lowest price for roses! Important! Fresh flowers! Attention! The bouquet is not ...- 29%The price reduced the bouquet "Sugar cotton wool" with hydrangea ₽ 2730 ₽ 2020 - "Delivery as agreed". A certain time is required for the supply of this product. By availability, please clarify with managers. Charming bush roses in combination with delicate hydrangea will talk about your ...- 33%the price reduced a bouquet of bush roses. Special offer "Fortune" ₽ 3150 - 9290 ₽ 2250 - 6630 - "Delivery as agreed". A certain time is required for the supply of this product. By availability, please clarify with managers. For 15 pcs. A bouquet of bush roses 'Fortune' is a great choice for those who want ... a composition in a handbag of a bush rose. Special offer "Fortune" ₽ 2200 - “delivery by agreement”. A certain time is required for the supply of this product. By availability, please clarify with managers. Composite from bush roses 'Fortune' is a great choice for those who want ... a bush peony rose in a hat box. Special offer "Fortune" ₽ 3150 - “delivery by agreement”. A certain time is required for the supply of this product. By availability, please clarify with managers. Exquisite and fresh: a composition of pionoid roses with eucalyptteum ... Bouquet "Mix Fortune" ₽ 2580 - “Delivery by agreement”. A certain time is required for the supply of this product. By availability, please clarify with managers. "Mix Fortune" is a great choice for those who want to please their ... bouquet of pionoid roses with Ruskus. Special offer "Fortune" ₽ 2250 - 7140 - "Delivery by agreement". A certain time is required for the supply of this product. By availability, please clarify with managers. For 15 pcs. A bouquet of bush roses 'Fortuna' is a great choice for those who want ... Autumn collection to look at all the products of the "Autumn Cololent" &gt;&gt; all the products of the section&gt; Bouquet of Herber and matrixes ₽ 4400 - "Delivery by agreement". A certain time is required for the supply of this product. By availability, please clarify with managers. ❕ We guarantee that the flowers will be fresh and will stand in a vase for at least 5 days .... a bouquet with a bush rose and alstriently ₽ 1650 - “delivery by agreement”. A certain time is required for the supply of this product. By availability, please clarify with managers. ❕ We guarantee that the flowers will be fresh and will stand in a vase for at least 5 days .... Bouquet of Alstromeria Mix ₽ 2410 - 4190 - “Delivery as agreed”. A certain time is required for the supply of this product. By availability, please clarify with managers. Attention! The color scheme of the bouquet may differ from the photo presented in the photo .... a bouquet of blue hydrangea and eastoma ₽ 1610 - “urgent delivery” goods are possible, operational delivery is possible during the day. A bouquet of delicate blue hydrangeas and eastoma in a stylish packaging will be ... an “electrician” bouquet of blue and purple gypsophils ₽ 2200 - 3040 - “Delivery by agreement”. A certain time is required for the supply of this product. By availability, please clarify with managers. The trend is gaining momentum - an air cloud of colored gypsophila! This voluminous ... bouquet of sunflower and greenery ₽ 1500 - 2100 - “Delivery by agreement”. A certain time is required for the supply of this product. By availability, please clarify with managers. Sunny and bright sunflowers - flowers that give a charge of optimism and vitality ... the best selling all the products of the "best sales" section &gt;&gt; all the products of the section&gt; -51%the price reduced a bouquet of red roses (pr -in Russia) ₽ 3040 - 21500 ₽ 1790 - 12650 - “urgent delivery” goods in stock are possible for operational delivery during the day. for 101 pcs. A bouquet of 101 red rose is a very beautiful and generous gift to your beloved ... A hat box with cloves ₽ 2650 - “Delivery as agreed”. A certain time is required for the supply of this product. By availability, please clarify with managers. A hat box with fragrant and delicate cloves! The color of the box and ... a bouquet of white chrysanthemums (pro Russia) ₽ 2220 - 12150 - “Delivery as agreed”. A certain time is required for the supply of this product. By availability, please clarify with managers. Bouquet of 25 white chrysanthemums in designer packaging. A bouquet of multi -colored hydrangeas ₽ 2190 - 4950 - “Urgent delivery” goods in stock is possible operational delivery throughout the day. A magnificent bouquet of 11 delicate hydrangeas in stylish packaging will be ...- 29%the price reduced a bouquet of pink peonies with an eucalyptus ₽ 2570 - 11400 ₽ 1900 - 8420 - “Delivery as agreed”. A certain time is required for the supply of this product. By availability, please clarify with managers. ❕ We guarantee that the flowers will be fresh and will stand in a vase for at least 5 days .... A snow -white gypsophila in a hat box ₽ 1290 - 2410 - “urgent delivery” of goods in stock is possible for operational delivery during the day. Unusual and air gypsophila in a hat box! This is a snow -white cloud ... an air cloud of purple gypsophila ₽ 2200 - 2950 - “Delivery in agreement”. A certain time is required for the supply of this product. By availability, please clarify with managers. The trend is gaining momentum - an air cloud of colored gypsophila! This volumetric ... bouquet of pink gypsophila ₽ 1850 - 2950 - “Delivery by agreement”. A certain time is required for the supply of this product. By availability, please clarify with managers. A bouquet of 11 delicate pink gypsophiles in packaging. -29%The price reduced the bouquet "Cloud Symphony" with hydrangea ₽ 4030 ₽ 2980 - "Urgent delivery" goods in stock possible operational delivery during the day. An amazingly beautiful and delicate bouquet of which is ...- 29%the price reduced a bouquet of peonies and a bush rose ₽ 3230 - 5920 ₽ 2390 - 4380 - “Delivery as agreed”. A certain time is required for the supply of this product. By availability, please clarify with managers. ❕ We guarantee that the flowers will be fresh and will stand in a vase for at least 5 days .... a bouquet of chrysanthemums and daisies ₽ 3340 - “delivery by agreement”. A certain time is required for the supply of this product. By availability, please clarify with managers. ❕ We guarantee that the flowers will be fresh and will stand in a vase for at least 5 days ....- 37%the price reduced a bouquet of a bush rose mix ₽ 4570 - 15550 ₽ 3150 - 10750 - “Delivery as agreed”. A certain time is required for the supply of this product. By availability, please clarify with managers. ❕ We guarantee that the flowers will be fresh and will stand in a vase for at least 5 days ....- 51%the price reduced a bouquet of white roses (pr -in Russia) ₽ 3040 - 21500 ₽ 1790 - 12650 - “urgent delivery” goods in the presence Operational delivery is possible during the day. for 101 pcs. A bouquet of 101 white roses is the most delicate feelings of love is sophisticated ... a bouquet of blue and white chrysanthemums ₽ 1830 - 3570 - “urgent delivery” goods in stock are possible for operational delivery throughout the day. A spectacular bouquet of bush chrysanthemums in a blue -white gamut will produce indelible ... Bouquets on his birthday to see all the products of the Build Buy Buy Buying products &gt;&gt; All the products of the section&gt; A hat box with multi -colored roses ₽ 2580 - 6530 - “Delivery by agreement”. A certain time is required for the supply of this product. By availability, please clarify with managers. ❕ We guarantee that the flowers will be fresh and will stand in a vase for at least 5 days .... Flower mix in a wooden box ₽ 3490 - “Urgent delivery” goods in stock is possible for operational delivery during the day. Attention: the color of the box and cut flowers will not necessarily be like in the photo .... a basket with a multi -colored chrysanthemum ₽ 3740 - 5880 - “Delivery by agreement”. A certain time is required for the supply of this product. By availability, please clarify with managers. Bright and colorful chrysanthemums in the basket are a magnificent present for anyone ... a hat box with a white chrysanthemum ₽ 1750 - 5740 - “Delivery by agreement”. A certain time is required for the supply of this product. By availability, please clarify with managers. The hat box is assembled from 7 white chrysanthemums❕ We guarantee that flowers ... a hat box with a bush rose ₽ 3150 - “Delivery by agreement”. A certain time is required for the supply of this product. By availability, please clarify with managers. A hat box with bush roses. Entrance! The composition may differ from ...- 29%The price reduced a hat box with pink peonies ₽ 4910 - 11050 ₽ 3630 - 8160 - “Delivery by agreement”. A certain time is required for the supply of this product. By availability, please clarify with managers. A hat box with 9 pink peonies supplemented by delicate branches of eucalyptus .... a bouquet of eastoma and irises ₽ 2680 - “urgent delivery” goods in stock are possible for operational delivery throughout the day. ❕ We guarantee that the flowers will be fresh and will stand in a vase for at least 5 days ....- 49%the price reduced 101 red rose with a heart in a box ₽ 13600 - 24750 ₽ 8230 - 15000 - “Delivery as agreed”. A certain time is required for the supply of this product. By availability, please clarify with managers. A delicate and air composition of 101 roses in a box to conquer the heart ... a bouquet of bush rose and eastoma ₽ 2360 - 2890 - “Delivery as agreed”. A certain time is required for the supply of this product. By availability, please clarify with managers. ❕ We guarantee that the flowers will be fresh and will stand in a vase for at least 5 days .... a basket with a rose and lavender ₽ 3860 - 6780 - “Delivery as agreed”. A certain time is required for the supply of this product. By availability, please clarify with managers. The basket is collected from 35 white roses is supplemented with silver ecalipte branches and ...- 29%the price reduced a bouquet of peonies ₽ 2340 - 22200 ₽ 1730 - 16450 - “Delivery as agreed”. A certain time is required for the supply of this product. By availability, please clarify with managers. ❕ We guarantee that the flowers will be fresh and will stand in a vase for at least 5 days .... Bouquet of "Summer Paints" ₽ 2840 - 4970 - "Urgent delivery" goods in stock possible operational delivery during the day. A bright bouquet of multi -colored roses and alstriently. The bouquet can ... Bouquet "Feminine" ₽ 4070 - "Delivery in agreement". A certain time is required for the supply of this product. By availability, please clarify with managers. A bouquet from the orchids of the Tsimbidium of Alstromeria of Bush Roses and Eustoma is supplemented ... Sukhotzeta bouquet "Winter Morning" with cotton and lavender ₽ 3480 - 6480 - "Delivery as agreed". A certain time is required for the supply of this product. By availability, please clarify with managers. The advantages of bouquets from dried flowers are as follows: 1. This is always ... a mini -bouquet of dried flowers ₽ 800 - “urgent delivery” of goods in stock is possible operational delivery during the day. A miniature bouquet -combination will become a pleasant gesture on the first date of the cute ... Lavender bouquet in craft ₽ 1460 - 3700 - “urgent delivery” goods in stock are possible for operational delivery throughout the day. A bouquet of fragrant lavender is a unique present that on any day ... Lavender’s bouquet and wheat ₽ 1640 - 2770 - “Delivery by agreement”. A certain time is required for the supply of this product. By availability, please clarify with managers. The bouquet made up of lavender and spikelets of wheat will undoubtedly be an excellent decoration of the house or office. The bouquet "The aroma of Provence" ₽ 3840 - "Delivery in agreement". A certain time is required for the supply of this product. By availability, please clarify with managers. A delicate combination of the lavender of the boxes of real cotton and soft spikelets ... Lavender in the hat box ₽ 3060 - 5160 - “Delivery by agreement”. A certain time is required for the supply of this product. By availability, please clarify with managers. A beautiful bouquet of lavender in a hat box is suitable for a gift for ... Bouquet "Rubin" ₽ 3820 - "Delivery as agreed". A certain time is required for the supply of this product. By availability, please clarify with managers. A bouquet of dried flowers in an amazing color palette. Such a present will appeal ... Flowers in hats to watch all the products of the section "Flowers in hat boxes" &gt;&gt; All the products of the section&gt; A hat box with multi -colored roses ₽ 2580 - 6530 - “Delivery as agreed”. A certain time is required for the supply of this product. By availability, please clarify with managers. ❕ We guarantee that the flowers will be fresh and will stand in a vase for at least 5 days .... a hat box with Alstromeria ₽ 2990 - 6040 - “Urgent delivery” goods in stock are possible for operational delivery during the day. ❕ We guarantee that the flowers will be fresh and will stand in a vase for at least 5 days .... a hat rose with alstriently ₽ 3050 - “Urgent delivery” goods are possible in the presence of operational delivery during the day. ❕ We guarantee that the flowers will be fresh and will stand in a vase for at least 5 days .... a hat box with a white rose ₽ 4030 - 6530 - “Urgent delivery” goods in stock are possible for operational delivery during the day. ❕ We guarantee that the flowers will be fresh and will stand in a vase for at least 5 days .... a hat box with a red rose ₽ 4720 - 8170 - “urgent delivery” goods in stock possible operational delivery during the day. A chic bouquet of 51 roses with a hat with a hat tied with elegant red ...- 49%the price reduced 101 white -razed rose in a box ₽ 13600 - 24750 ₽ 8230 - 15000 - “Delivery as agreed”. A certain time is required for the supply of this product. By availability, please clarify with managers. A delicate and air composition of 101 roses in a box to conquer the heart ... a hat box with a multi -colored rose (pr -in Ecuador) - 51 pcs. ₽ 8200 - “Delivery by agreement”. A certain time is required for the supply of this product. By availability, please clarify with managers. ❕ We guarantee that the flowers will be fresh and will stand in a vase for at least 5 days .... Flowers in baskets to see all the products of the "Flowers in Baskets" section &gt;&gt; All the products of the section&gt; -54%The price reduced rose in the basket. Specialist. The proposal "Fortune". ₽ 2840 - 5430 ₽ 1630 - 3120 - “Delivery by agreement”. A certain time is required for the supply of this product. By availability, please clarify with managers. The composition of 15 roses in a wicker basket. The proposal "Fortune" -... Basket with a multi -colored chrysanthemum ₽ 3740 - 5880 - "Delivery in agreement". A certain time is required for the supply of this product. By availability, please clarify with managers. Bright and colorful chrysanthemums in the basket are a magnificent present for any ...- 29%The price reduced the composition in the basket "Summer Day" from peonies and eastoma ₽ 6650 - 10750 ₽ 4920 - 7940 - "Delivery by agreement". A certain time is required for the supply of this product. By availability, please clarify with managers. ❕ We guarantee that the flowers will be fresh and will stand in a vase for at least 5 days .... The rainbow gypsophila in the basket ₽ 2210 - 3000 - “Delivery as agreed”. A certain time is required for the supply of this product. By availability, please clarify with managers. The rainbow gypsophila in the basket will cheer up any day with bright colors! A basket with a white and pink chrysanthemum ₽ 3850 - 4830 - “urgent delivery” goods in stock is possible operational delivery throughout the day. 7 white and colored bush chrysanthemums in the basket - a gift for any occasion .... a basket with chrysanthemum and clove ₽ 2040 - “Delivery as agreed”. A certain time is required for the supply of this product. By availability, please clarify with managers. Bright and colorful chrysanthemums in the basket are a magnificent present for any ... basket of multi -colored gerber ₽ 2250 - 3780 - “urgent delivery” goods in stock are possible for the day. A bouquet of 11 bright colorful gerber in the basket. ❕ We guarantee that the flowers ... Clear day basket ₽ 1990 - “urgent delivery” goods in stock are possible for the day. A basket with a fluffy chrysanthemum and red rose is suitable for any ... composition in the basket "Summer evening" ₽ 1900 - “Urgent delivery” of goods in stock is possible operational delivery during the day. The composition of roses and chrysanthemums in the basket -delivery torture to test all the products of the gift "Gift sets" &gt;&gt; All the products of the section&gt; Gift set "Happy Birthday" ₽ 3280 - 5680 - "Delivery in agreement". A certain time is required for the supply of this product. By availability, please clarify with managers. We have selected the brightest elements of the holiday for you. Each piece of this ... Gift set of “Happy Birthday” balls of foil ₽ 5700 - 6800 - “Delivery as agreed”. A certain time is required for the supply of this product. By availability, please clarify with managers. We have selected the brightest elements of the holiday for you. Each part of this ... Gift set “Romance” ₽ 4240 - 6940 - “Delivery in agreement”. A certain time is required for the supply of this product. By availability, please clarify with managers. Classic red roses are delicious sweets and bright balloons ... Gift set “Compliment” ₽ 5740 - “Delivery as agreed”. A certain time is required for the supply of this product. By availability, please clarify with managers. Classic red roses in a hat box delicious sweets and bright ... Our directions delivery of flowers Rosa Birthday Flowers View all delivery of balloons Birthday for discharge shining for wedding View all services for the design of the Promotions Gifts delicious gifts flowers in bulk Flowers freshly cut potatoes Products for floristry of tulips by wholesale by March 8, relevant on the Blog Stylish and Modern New Year gifts for the new year to decorate your house for the New Year: Actual trends 2023 in New Year's floristry. Why do florists turn roses? Interesting facts about flowering technique or fraud in a bouquet? Is it so terrible twisted rose? Everything about the "French" beauty and also about whether such a French will tell our florists minimalism in modern bouquets. The creation of a modern composition of a small number of materials with an inspiration of theimicism is a philosophy that consists in rejection of excesses and focusing on the main one. We talk about the main world trend of 2023 men and flowers. Or how not to make a mistake with the gift? Gifts for women bookmarks or composition in a hat box? A basket with chrysanthemums or an unusual bouquet with exotic colors? In a flower store, it is not so easy for men to choose the best gift for a loved one. Floral recognition of love. The most romantic flowers flowers and the romantic -like best way to say to a person "I love you" is to undoubtedly give flowers. The tradition of giving flowers goes far into the past and after a while has turned into a real art, choose a bouquet for the last call, do it yourself - helping the recommendation of ideas is present to give a bouquet? What flowers to choose? We answer all questions in order. New Year's compositions on the table Gifts for a new suitable tradition of decorating the interior is rapidly capturing Russia. And one of the best solutions is to create decorative jewelry from Nobilisa.shopping_basket0.00.00 place an order about the Nasinformation of the company of the company of the company of priority to corporate customers Contacts interesting facts about Tsvetakhids of Gifts Tips for Care for Color Care Information Support Resposive (FAQ) Safety and Confidential Supervision Support Customer LIKS Buyers buy flowers on their birthday on their birthday, Association of Potter Plants. Gifts about drearms of airplane balls and goods for holidays for the holidays of interiors. Flowers in bulk of the Instagram promotion We are on social networks Copyright 2023 - Flowers Valley - All Right Right Right Right Right Ved.</v>
      </c>
    </row>
    <row r="305">
      <c r="A305" s="1" t="s">
        <v>883</v>
      </c>
      <c r="B305" s="1" t="s">
        <v>990</v>
      </c>
      <c r="D305" s="1">
        <v>15.0</v>
      </c>
      <c r="E305" s="4" t="s">
        <v>991</v>
      </c>
      <c r="F305" s="1" t="s">
        <v>43</v>
      </c>
      <c r="G305" s="1" t="s">
        <v>932</v>
      </c>
      <c r="H305" s="4" t="s">
        <v>933</v>
      </c>
      <c r="I305" s="2">
        <v>1.0</v>
      </c>
      <c r="J305" s="5" t="str">
        <f>IFERROR(__xludf.DUMMYFUNCTION("GOOGLETRANSLATE(A305)"),"Gypsophyla")</f>
        <v>Gypsophyla</v>
      </c>
      <c r="K305" s="6" t="str">
        <f>IFERROR(__xludf.DUMMYFUNCTION("GOOGLETRANSLATE(B305)"),"Gypsophyla bouquet ""at sunset""")</f>
        <v>Gypsophyla bouquet "at sunset"</v>
      </c>
      <c r="M305" s="5" t="str">
        <f>IFERROR(__xludf.DUMMYFUNCTION("GOOGLETRANSLATE(G305)"),"Official Grand Caprice: Flourist Studio and Flower Groze50 Ready Bouquets-Always! +7 (4912) 50-22-24 Catalog Bouquets with delivery from 30 Ministry of Pibedatate-Goglobuschkhenytskiybucks from dried-flowered combo! Investigation dial-free-based rosynegyp"&amp;"santema SY and lilies -devastic bouquet bouquenced toys and balls Ready -made bouquets of copyright bouquets Delivery and payment Contacts Catalog 0 Catalog Bouquets with delivery from 30 Ministry of Public Summarian Goglobuschenitsky Bukes from dried -co"&amp;"lor -fluid combo! Rousin -free drawing pinky -based drawing -pro -chryzanthemonypionypypsofiladiats and liliswades bouquet boulers and shara Ready -made bouquets copyright bouquets Delivery and payment of contacts 50 bouquets in stock from 30 minutes to w"&amp;"atch the bouquet Option bouquet -ready -made bouquets of roshypsyuphylapionary -autonomous bouquet bouquets roses -10% Ø 30↕ 40 Bouquet of pink bouquet rose from 2,590 ₽ Select ↕ 40 bouquet of white bouquet roses from 1,590 ₽ Select Ø 25↕ 40 bouquet of ro"&amp;"ses ""Orange in chocolate"" 1 290 ₽ order in 1 click -8% Ø 20↕ 40 Bouquet of white and red bouquet roses from 1,990 ₽ Select ↕ 40 bouquet of red bouquet roses from 1,590 ₽ Choose -8% Ø 20↕ 40 bouquet of white and pink bouquet roses from 2 190 ₽ Choose -7%"&amp;" ↕ 40 bouquet of red bouquet rose from 1,990 ₽ Choose a bouquet from a pale pink bouquet rose from 1,590 ₽ choose -14% ↕ 40 bouquet of white bouquet roses from 1,990 ₽ Select ↕ 40 Bouquet of white and pink bouquet roses from 1,590 ₽ Select ↕ 40 bouquet of"&amp;" pink bouquet rose from 1,690 ₽ Choose -2% bouquet of red bonus roses from 6 790 ₽ Choose ↕ 70 bouquet of red roses Ecuador from 2 190 ₽ -6% Ø 20↕ 40 Bouquet of red bouquet roses from 3,590 ₽ Select Ø 25↕ 40 Bashing of 51 red bouquet rose 5 190 ₽ into a b"&amp;"asket of 1 click Bouquet of red bouquet roses from 2,290 ₽ Select ↕ 70 bouquet of pink Ecuador premium roses from 2 190 ₽ Choose -3% bouquet of white premium roses from 6 790 ₽ Choose a bouquet of premium white roses Ecuador from 2 190 ₽ Choose a bouquet "&amp;"of red and red bouquet roses from 1,890 ₽ Select Ø 25↕ 45 A fragrant bouquet ""Lolipop"" 1 590 ₽ order in 1 click a bouquet of bouquet roses with eucalyptus from 2,990 ₽, choose a composition of red bouquet rose with eucalyptus from 2 190 ₽ Choose a bouqu"&amp;"et of pink roses from 2,990 ₽ Choose a bouquet of 2,990 ₽ choose -4% bouquet of red bonus roses 140 cm from 8 390 ₽ Choose a bouquet of red bouquet roses with eucalyptus from 2,790 ₽ Choose -8% bouquet of red and red bouquet roses from 2 790 ₽ choose a co"&amp;"mposition of white bouquet rose from Eucalyptus in a pink box of 2 190 ₽ Choose -8% bouquet of white and lilac bouquet roses from 1,990 ₽ Choose -8% bouquet of lilac bouquet roses from 1,990 ₽ choose a composition from a white bouquet rose with eucabalip "&amp;"in a gray box from 2 190 ₽ choose -1% bouquet of white roses from 2 990 ₽ Choose -8% bouquet of 51 premium rose ""Red Heart"" 13 690 ₽ 12 590 ₽ in a basket of 1 click composition of 151 bouquet roses ""with love!"" 13 390 ₽ order in 1 click -7% bouquet fr"&amp;"om orange premium roses from 6 790 ₽ Choose a bouquet from fiery premium roses Ecuador from 2 190 ₽ Choose -4% bouquet of 101 premium rose ""Red Heart"" 25 590 ₽ 24 690 ₽ order In 1 click -10% bouquet of pink high roses from 6 890 ₽ Choose a bouquet of br"&amp;"ight pink high roses (15pcs) 2 790 ₽ order in 1 click ↕ 40 bouquet of red bouquet roses from 2 290 ₽ Choose a bouquet of 5 bushes cream roses 1 990 ₽ order in 1 click a basket of 151 white rose with eucalyptus 14 590 ₽ order in 1 click Basket from 151 bou"&amp;"quet red roses 12 990 ₽ Order in 1 click of a basket of 75 red and white bouquet roses 6 890 ₽ order in 1 click Bouquet of 51 premium rose ""White Heart"" 12 590 ₽ in a basket of 1 click of 5 bushes of 5 bushes roses 1,890 ₽ order in 1 click of 5 bouquet "&amp;"red roses 1 990 ₽ order in 1 click Bouquet of 25 high raspberry roses 4 190 ₽ Order in 1 click ↕ 40 bouquet of red bouquet rose from 2 190 ₽ Choose a backbenching officer of the Batkovichi really liked it! I chose a bouquet for a girl. September 25th. The"&amp;"y said that he was formed on 09.24. It has been standing for 4 days now and it has become more beautiful and more beautiful! Flowers bite the bouquet increases in volume. Thank you! On September 28, I. I. Very magnificent flowers! On September 22, I will "&amp;"enormous for efficiency and professionalism! They collected a bouquet very quickly two hours after the order pleased the culprit of the celebration on Mayam on Mayam on Instagram @grand_kapriz to customers delivery and payment for the return of goods Gift"&amp;" certificates Bonuses Personal Account Leave information about us FAQ Contacts Public Offer Privacy Agreement We are in communication+7 ( 4912) 50-22-24 subscription to the news, access exclusive discomespects will work on the Insale-development of the si"&amp;"te-GO.Studio workshop of floristry Grand Caprice 2023 0 ₽ Buckets with delivery from 30 minimum aidatraticoglobuschkrican bouquets from dried-flowered computers! Bouquet Rozycustrian Rozyre -Proserian Rozyrizantemypionium -Sigipsophiladians and Lililsaade"&amp;"b Bouquet -mug -shirty toys and balls Fast contractual phone: Name: Name: receive notifications about ordering the help of notifications about the order, you can not only receive actual information by order but also have a quick communication channel with"&amp;" the store: place an order")</f>
        <v>Official Grand Caprice: Flourist Studio and Flower Groze50 Ready Bouquets-Always! +7 (4912) 50-22-24 Catalog Bouquets with delivery from 30 Ministry of Pibedatate-Goglobuschkhenytskiybucks from dried-flowered combo! Investigation dial-free-based rosynegypsantema SY and lilies -devastic bouquet bouquenced toys and balls Ready -made bouquets of copyright bouquets Delivery and payment Contacts Catalog 0 Catalog Bouquets with delivery from 30 Ministry of Public Summarian Goglobuschenitsky Bukes from dried -color -fluid combo! Rousin -free drawing pinky -based drawing -pro -chryzanthemonypionypypsofiladiats and liliswades bouquet boulers and shara Ready -made bouquets copyright bouquets Delivery and payment of contacts 50 bouquets in stock from 30 minutes to watch the bouquet Option bouquet -ready -made bouquets of roshypsyuphylapionary -autonomous bouquet bouquets roses -10% Ø 30↕ 40 Bouquet of pink bouquet rose from 2,590 ₽ Select ↕ 40 bouquet of white bouquet roses from 1,590 ₽ Select Ø 25↕ 40 bouquet of roses "Orange in chocolate" 1 290 ₽ order in 1 click -8% Ø 20↕ 40 Bouquet of white and red bouquet roses from 1,990 ₽ Select ↕ 40 bouquet of red bouquet roses from 1,590 ₽ Choose -8% Ø 20↕ 40 bouquet of white and pink bouquet roses from 2 190 ₽ Choose -7% ↕ 40 bouquet of red bouquet rose from 1,990 ₽ Choose a bouquet from a pale pink bouquet rose from 1,590 ₽ choose -14% ↕ 40 bouquet of white bouquet roses from 1,990 ₽ Select ↕ 40 Bouquet of white and pink bouquet roses from 1,590 ₽ Select ↕ 40 bouquet of pink bouquet rose from 1,690 ₽ Choose -2% bouquet of red bonus roses from 6 790 ₽ Choose ↕ 70 bouquet of red roses Ecuador from 2 190 ₽ -6% Ø 20↕ 40 Bouquet of red bouquet roses from 3,590 ₽ Select Ø 25↕ 40 Bashing of 51 red bouquet rose 5 190 ₽ into a basket of 1 click Bouquet of red bouquet roses from 2,290 ₽ Select ↕ 70 bouquet of pink Ecuador premium roses from 2 190 ₽ Choose -3% bouquet of white premium roses from 6 790 ₽ Choose a bouquet of premium white roses Ecuador from 2 190 ₽ Choose a bouquet of red and red bouquet roses from 1,890 ₽ Select Ø 25↕ 45 A fragrant bouquet "Lolipop" 1 590 ₽ order in 1 click a bouquet of bouquet roses with eucalyptus from 2,990 ₽, choose a composition of red bouquet rose with eucalyptus from 2 190 ₽ Choose a bouquet of pink roses from 2,990 ₽ Choose a bouquet of 2,990 ₽ choose -4% bouquet of red bonus roses 140 cm from 8 390 ₽ Choose a bouquet of red bouquet roses with eucalyptus from 2,790 ₽ Choose -8% bouquet of red and red bouquet roses from 2 790 ₽ choose a composition of white bouquet rose from Eucalyptus in a pink box of 2 190 ₽ Choose -8% bouquet of white and lilac bouquet roses from 1,990 ₽ Choose -8% bouquet of lilac bouquet roses from 1,990 ₽ choose a composition from a white bouquet rose with eucabalip in a gray box from 2 190 ₽ choose -1% bouquet of white roses from 2 990 ₽ Choose -8% bouquet of 51 premium rose "Red Heart" 13 690 ₽ 12 590 ₽ in a basket of 1 click composition of 151 bouquet roses "with love!" 13 390 ₽ order in 1 click -7% bouquet from orange premium roses from 6 790 ₽ Choose a bouquet from fiery premium roses Ecuador from 2 190 ₽ Choose -4% bouquet of 101 premium rose "Red Heart" 25 590 ₽ 24 690 ₽ order In 1 click -10% bouquet of pink high roses from 6 890 ₽ Choose a bouquet of bright pink high roses (15pcs) 2 790 ₽ order in 1 click ↕ 40 bouquet of red bouquet roses from 2 290 ₽ Choose a bouquet of 5 bushes cream roses 1 990 ₽ order in 1 click a basket of 151 white rose with eucalyptus 14 590 ₽ order in 1 click Basket from 151 bouquet red roses 12 990 ₽ Order in 1 click of a basket of 75 red and white bouquet roses 6 890 ₽ order in 1 click Bouquet of 51 premium rose "White Heart" 12 590 ₽ in a basket of 1 click of 5 bushes of 5 bushes roses 1,890 ₽ order in 1 click of 5 bouquet red roses 1 990 ₽ order in 1 click Bouquet of 25 high raspberry roses 4 190 ₽ Order in 1 click ↕ 40 bouquet of red bouquet rose from 2 190 ₽ Choose a backbenching officer of the Batkovichi really liked it! I chose a bouquet for a girl. September 25th. They said that he was formed on 09.24. It has been standing for 4 days now and it has become more beautiful and more beautiful! Flowers bite the bouquet increases in volume. Thank you! On September 28, I. I. Very magnificent flowers! On September 22, I will enormous for efficiency and professionalism! They collected a bouquet very quickly two hours after the order pleased the culprit of the celebration on Mayam on Mayam on Instagram @grand_kapriz to customers delivery and payment for the return of goods Gift certificates Bonuses Personal Account Leave information about us FAQ Contacts Public Offer Privacy Agreement We are in communication+7 ( 4912) 50-22-24 subscription to the news, access exclusive discomespects will work on the Insale-development of the site-GO.Studio workshop of floristry Grand Caprice 2023 0 ₽ Buckets with delivery from 30 minimum aidatraticoglobuschkrican bouquets from dried-flowered computers! Bouquet Rozycustrian Rozyre -Proserian Rozyrizantemypionium -Sigipsophiladians and Lililsaadeb Bouquet -mug -shirty toys and balls Fast contractual phone: Name: Name: receive notifications about ordering the help of notifications about the order, you can not only receive actual information by order but also have a quick communication channel with the store: place an order</v>
      </c>
    </row>
    <row r="306">
      <c r="A306" s="1" t="s">
        <v>883</v>
      </c>
      <c r="B306" s="1" t="s">
        <v>992</v>
      </c>
      <c r="C306" s="1" t="s">
        <v>993</v>
      </c>
      <c r="D306" s="1">
        <v>16.0</v>
      </c>
      <c r="E306" s="4" t="s">
        <v>994</v>
      </c>
      <c r="F306" s="1" t="s">
        <v>43</v>
      </c>
      <c r="G306" s="1" t="s">
        <v>995</v>
      </c>
      <c r="H306" s="4" t="s">
        <v>996</v>
      </c>
      <c r="I306" s="2">
        <v>1.0</v>
      </c>
      <c r="J306" s="5" t="str">
        <f>IFERROR(__xludf.DUMMYFUNCTION("GOOGLETRANSLATE(A306)"),"Gypsophyla")</f>
        <v>Gypsophyla</v>
      </c>
      <c r="K306" s="6" t="str">
        <f>IFERROR(__xludf.DUMMYFUNCTION("GOOGLETRANSLATE(B306)"),"Bouquets gypsophiles with delivery - Minsk")</f>
        <v>Bouquets gypsophiles with delivery - Minsk</v>
      </c>
      <c r="L306" s="5" t="str">
        <f>IFERROR(__xludf.DUMMYFUNCTION("GOOGLETRANSLATE(C306)"),"Delivery gypsophiles. Our store delivers flower bouquets throughout Minsk and beyond. We can order the delivery of the bouquet to a certain ...")</f>
        <v>Delivery gypsophiles. Our store delivers flower bouquets throughout Minsk and beyond. We can order the delivery of the bouquet to a certain ...</v>
      </c>
      <c r="M306" s="5" t="str">
        <f>IFERROR(__xludf.DUMMYFUNCTION("GOOGLETRANSLATE(G306)"),"Flowers in Minsk | Flower delivery | Buy online | DOLINAROZAZKOSMENSHAPOSKNASH shops: st. Alibegova 22ul. Romanovskaya Sloboda 5+375 (25) 514-21-05+375 (44) 712-50-70 Rizyshobokyshkobokyshkyshkashkyshashkyshashkarkarki-paprakvatokovtskovo-stupids in Minsk"&amp;" in the box No. 3 Popopular 93.00 BYNBUTULE OF ROS ""Polog 1 ""Popular with 135.00 BYNBUK Alfiya Roses Popular 10 6% 22 The range of colors of both Belarusian production and imported - Holland Ecuador Kenya Brazil. In our flower store you can buy almost a"&amp;"ny flowers with delivery in Minsk or in our retail stores at a low price. All cut flowers are stored at the right temperature that guarantees excellent resistance after the purchase aatalog is represented from many ready -made bouquets from roses of roses"&amp;" of eastoma of bush roses and many other colors. We have a large catalog of prefabricated bouquets, which include exotic flowers of plants of greens. Experienced florists will make a stylish fresh bouquet based on your wishes and preferences. You can orde"&amp;"r flowers while abroad, because our store provides online payment using a bank card from any country. We accept payments using all cards where online payment is provided and there is also a system for calculating ERIP for residents of Belarus. In addition"&amp;" to the bouquet, you can choose the necessary postcard or the insert by complementing it with the necessary text with your wish. Flowering flowers in Minsk, make a pleasant flower gift with delivery in Minsk? You can count on us - we definitely will not l"&amp;"et you down. We do not disclose information about the customer without his knowledge. Delivery is carried out in a timely time interval for you absolutely free when ordering from 70 Bel. rubles. In our store you can order flowers with delivery as fast as "&amp;"possible from order to receiving flowers is 1.5-2 hours, provided that the courier is free. Many choose our company for a number of reasons: delivery in Minsk for 2 hours or at the appointed time we will check when choosing 1000 positive reviews of the he"&amp;"ater of bouquets of 51 and 101 roses Low cost of rose from 1.00 ruble of chamomile-from 3.5 cloves from 300 orders of order- On the weekend and on holidays, payment can be made convenient for you (online with a bank card of ERIP Cash and Card Courier) Sty"&amp;"lish flowers in the box and baskets with roses at low prices10% discount on all flowers from our catalog at a preliminary order for pick -ups Retail shops are located at the address of Minsk st. Romanovskaya Sloboda 5 (near the Nemiga/Frunzenskaya metro) "&amp;"and Alibegova 22 RIDs &amp; Address. Minsk st. Alibegova 22 (Mikhalovo/South-West) g. Minsk st. Romanovskaya Sloboda 5 (Metro Nemiga/Frunze) +375 (44) 712-50-70+375 (44) 599-35-35Dolinaroz.by@gmail.compn-from 9:00 to 22: 00sb-from 10: from 10: from 10: from 1"&amp;"0: from 10 00 to 22: 00VS - from 10:00 to 20: 00 Sign on the “Dolinarosis” of Jur. Address: Republic of Belarus G. Minskul. Alibegova d.22 pom. 151. The Internet store is registered in the trading register of the Republic of Belarus on May 18, 2021. Under"&amp;" No. 510145 of the Republic of Belarus, registration certificate No. 193523803 was issued on 03/23/2021. Minsk City Executive Committee. UNP 691607798 CENTS AND ROZI in Minsk © 2022 Dolinaroz. Version: 4.1.1")</f>
        <v>Flowers in Minsk | Flower delivery | Buy online | DOLINAROZAZKOSMENSHAPOSKNASH shops: st. Alibegova 22ul. Romanovskaya Sloboda 5+375 (25) 514-21-05+375 (44) 712-50-70 Rizyshobokyshkobokyshkyshkashkyshashkyshashkarkarki-paprakvatokovtskovo-stupids in Minsk in the box No. 3 Popopular 93.00 BYNBUTULE OF ROS "Polog 1 "Popular with 135.00 BYNBUK Alfiya Roses Popular 10 6% 22 The range of colors of both Belarusian production and imported - Holland Ecuador Kenya Brazil. In our flower store you can buy almost any flowers with delivery in Minsk or in our retail stores at a low price. All cut flowers are stored at the right temperature that guarantees excellent resistance after the purchase aatalog is represented from many ready -made bouquets from roses of roses of eastoma of bush roses and many other colors. We have a large catalog of prefabricated bouquets, which include exotic flowers of plants of greens. Experienced florists will make a stylish fresh bouquet based on your wishes and preferences. You can order flowers while abroad, because our store provides online payment using a bank card from any country. We accept payments using all cards where online payment is provided and there is also a system for calculating ERIP for residents of Belarus. In addition to the bouquet, you can choose the necessary postcard or the insert by complementing it with the necessary text with your wish. Flowering flowers in Minsk, make a pleasant flower gift with delivery in Minsk? You can count on us - we definitely will not let you down. We do not disclose information about the customer without his knowledge. Delivery is carried out in a timely time interval for you absolutely free when ordering from 70 Bel. rubles. In our store you can order flowers with delivery as fast as possible from order to receiving flowers is 1.5-2 hours, provided that the courier is free. Many choose our company for a number of reasons: delivery in Minsk for 2 hours or at the appointed time we will check when choosing 1000 positive reviews of the heater of bouquets of 51 and 101 roses Low cost of rose from 1.00 ruble of chamomile-from 3.5 cloves from 300 orders of order- On the weekend and on holidays, payment can be made convenient for you (online with a bank card of ERIP Cash and Card Courier) Stylish flowers in the box and baskets with roses at low prices10% discount on all flowers from our catalog at a preliminary order for pick -ups Retail shops are located at the address of Minsk st. Romanovskaya Sloboda 5 (near the Nemiga/Frunzenskaya metro) and Alibegova 22 RIDs &amp; Address. Minsk st. Alibegova 22 (Mikhalovo/South-West) g. Minsk st. Romanovskaya Sloboda 5 (Metro Nemiga/Frunze) +375 (44) 712-50-70+375 (44) 599-35-35Dolinaroz.by@gmail.compn-from 9:00 to 22: 00sb-from 10: from 10: from 10: from 10: from 10 00 to 22: 00VS - from 10:00 to 20: 00 Sign on the “Dolinarosis” of Jur. Address: Republic of Belarus G. Minskul. Alibegova d.22 pom. 151. The Internet store is registered in the trading register of the Republic of Belarus on May 18, 2021. Under No. 510145 of the Republic of Belarus, registration certificate No. 193523803 was issued on 03/23/2021. Minsk City Executive Committee. UNP 691607798 CENTS AND ROZI in Minsk © 2022 Dolinaroz. Version: 4.1.1</v>
      </c>
    </row>
    <row r="307">
      <c r="A307" s="1" t="s">
        <v>883</v>
      </c>
      <c r="B307" s="1" t="s">
        <v>997</v>
      </c>
      <c r="D307" s="1">
        <v>19.0</v>
      </c>
      <c r="E307" s="4" t="s">
        <v>998</v>
      </c>
      <c r="F307" s="1" t="s">
        <v>43</v>
      </c>
      <c r="G307" s="1" t="s">
        <v>999</v>
      </c>
      <c r="H307" s="4" t="s">
        <v>1000</v>
      </c>
      <c r="I307" s="2">
        <v>1.0</v>
      </c>
      <c r="J307" s="5" t="str">
        <f>IFERROR(__xludf.DUMMYFUNCTION("GOOGLETRANSLATE(A307)"),"Gypsophyla")</f>
        <v>Gypsophyla</v>
      </c>
      <c r="K307" s="6" t="str">
        <f>IFERROR(__xludf.DUMMYFUNCTION("GOOGLETRANSLATE(B307)"),"Bouquet of gypsophyla - Bloomflowers.pl")</f>
        <v>Bouquet of gypsophyla - Bloomflowers.pl</v>
      </c>
      <c r="M307" s="5" t="str">
        <f>IFERROR(__xludf.DUMMYFUNCTION("GOOGLETRANSLATE(G307)"),"Florist Warsaw Bloom Flowers Delivery of flowers 7 days a week Babloom Flowerskwiaciarnia Warszawa | Bloom Flowers Delivery of flowers 7 days a week+48 790 343 461.mote the products of products in the basket Express Flower Delivery in 2H in Warsaw! Check "&amp;"now! PL en en rine auto -bouquet bouquet in the box in the Floods Floods Firefighting Farewell. Flower Firdostawa and Payments Continuate Nas 0brak Products in the basket pl en en Ru express delivery Flowers in 2h in Warsaw! Check now! Bloom Flowersuts We"&amp;" grease your world with fresh flowers. Bloom Flowersuts We grease your world with fresh flowers. SklepoPecanesezacz more Add to the list of wishflower box ""first kiss"" from 165.00 PLN New Add to the list of wishes ""peach note"" from 185.00 PLN New Add "&amp;"to the list of wishes ""Bliss"" from 195.00 PLN Add to the list of flower wishes "" Harmony ”from 285.00 PLN Add to the list of wishes of red poverty 815.00 PLN Add to wishyflowerbox"" amour ""from 175.00 PLN Add to the wishes list"" Serene Blooms ""from "&amp;"385.00 PLN New Add to the"" Sunrise Serenity ""wish list from 165.00 PLN Add to the list Flowers ""Pastel Lovers"" from 335.00 PLN Add to the list of wishbones in the box 165.00 PLN Add to the list of branch wishes borders 155.00 PLN New Add to the list o"&amp;"f wishes ""handsome"" from 165.00 PLN Add to wishes for red wishes of red poverts 125.00 PLN Add to the list of wishes in the box 155.00 PLN New Add to the list of wishesjasryod PLN 255.00 author's bouquetts in the boxes Sales Sales more Add to the list o"&amp;"f wishes SPRAY Roses ""Silva Pink"" from PLN 255.00 Add to wishlist roses PLN 125.00. New Add to the letter of the ""NICEYCE"" wishes from PLN 185.00 Add to the list of wishes ""Pink &amp; Blue"" from 195.00 PLN Add to the list of flower wishes ""Your Happine"&amp;"ss"" from PLN 315.00 Add to wish list101 red roses PLN 1400.00 Add to the wish list ""Dream"" from 195.00 PLN New Add to the ""Lovely"" wish list from PLN 175.00 from PLN 175.00 from PLN 175.00 New Add to the ""I love you"" wish list from PLN 215.00 Add t"&amp;"o wishyflowerbox ""Charming"" from PLN 175.00 Add to the ""Pure Love"" wish list from PLN 175.00 Add to the list of Gypsówówki Gypsówówków. PLN 155.00 Add to wish list. 900.00 PLN New Add to the list of the ""Perfekt Morning"" wishes from 195.00 PLN Add t"&amp;"o the list of wishes red roses in a black packaging PLN 125.00 We do the best one in Warsaw, only fresh inflorescences for regular customers. Wish customer with our promotions, just press ""I like it""! In Bloom Together with You ♡ I agree to receive news"&amp;"letteleave this field empty empty if you're human: faqsjak order flowers in Warsaw? Visit our website and choose a bouquet. When choosing, you can use the help of an employee of price filter florist or flower category. After selecting the bouquet, click "&amp;"""to the basket"". Then provide information on delivery and payment method. Confirmation of the order will automatically come to your mail. After making the payment, the courier will deliver flowers on time at the address indicated. What is the waiting ti"&amp;"me for the supply of flowers in Warsaw? It depends on the load on our courier and the selected time interval as well as the distance from the florist to the recipient's address. If you need an express delivery, you can write a florist to the administrator"&amp;" and receive an order even within 2 hours. How to pay and place an order? Bloom Flowers uses all popular and secure payment systems - Payu PayPal Banking Card to the Courier, etc. If you have difficulties with payment, please contact the florist administr"&amp;"ator. Where is it worth buying flowers in Warsaw? On the website or directly at the Bloom Flowers florist, you can quickly and conveniently buy a bouquet even if you are not from Warsaw and another city or country. In our florist you will always find a la"&amp;"rge selection of beautiful and fresh flowers. Bloomflowers - Flower Flower Flowers Warsaw. Read more stakes are one of the most beautiful creatures in the world. They enjoy and rejoice bring a smile up, they create a friendly and cozy atmosphere, decrease"&amp;" and improve the microclimate of rooms, introduce harmony and peace and express sadness and pain of loss. The spur of laying flowers has been known since antiquity. Plants have accompanied man for a long time. People valued them for healing power and also"&amp;" for beauty. That is why they began to create decorations from flowers and other parts of plants. This is how the art of floristics bouquets was born. How the world would change if all the flowers disappeared at once? Until fear to imagine ... This situat"&amp;"ion is not threatening to us because there is a bloomflowers online florist. Our florists create beauty every day. The trust and loyalty of our clients is our main criterion at work, which is why we will always take care of the wishes and preference of ea"&amp;"ch client very carefully. Among the over 300 florists of Warsaw, we are a very creative young young and quite experienced floristic team. Our uniqueness is that we can create an unforgettable festive atmosphere during every event. Never customers will fin"&amp;"d the right flowers with us for every occasion: - Women's Day - Christmas - baptism - Grandmother and Grandfather's Day - Mother and Father's Day - name day - last farewell - First Communion - thanks - apology - dating and romantic meetings - anniversarie"&amp;"s - wedding - professional holidays - birthday - engaging -lively we can propose? Internet can be seen and ordered with delivery or pickup: - bouquets (original bouquets wedding bouquets bouquets in a box in the basket and so Flowers (chocolates cakes cak"&amp;"e mascot mascar and flower care products) In our flower shop you will find the best flowers from around the world: - roses (single and branch of various shades and length and length and t.d.) - tulips - peonies - seasonal garden and field (daisy lilies of"&amp;" the lilies lilacs cloves freesia asters, gladioli and t.d.) - various exotic flowers (plasterboards eucalyptus bamboo streets and so on. - Helpful service that will always advise you in the selection of flowers and ensure that the whole process will run "&amp;"successfully - a convenient location of florists - I professionalize confirmed by high grades on Google Facebook and Trustpilot - the experience we obtained by making thousands of different bouquets for our clients - an individual approach to each order t"&amp;"ime is one time from the largest and irreplaceable values. We remember and care for him. That is why in Bloomflowers, despite the possibility of receiving flowers, you can still order a delivery with any address home to the university's office. Always fre"&amp;"sh and fragrant flowers dazzling with various colors of nature will create an atmosphere full of grace . Cybernetics 15 you will find a world and beautiful flowers that enjoy and rejoice also waiting for you always a delicious cake and wonderful hot and c"&amp;"old drinks. The beautiful fragrant flower aroma of delicious cake and stimulating coffee surrounded by flowers and an atmosphere of full grace Visit. Flowers - Coffee - Love - are mixtures of many feelings: the tenderness of the desire for desire to ideal"&amp;"ize friendly and aesthetic satisfaction and thousands of other feelings. Order flowers from Bloomflowers? Go to the website of our florist Bloomflowers.pl place an online order or call the phone: + 48 790 343 461 Kwiatowa will be delivered at the indicate"&amp;"d address shortly after the fee. You can make the ease in a few methods convenient for you with cash or by card in our store or pay using payment systems: PayPal Payu Visa and Mastercard. Nasi managers will always help help and answer all questions and he"&amp;"lp Make the best choice. We can attach to the ordered flowers to attach a chiclock card of the bunny or teddy bear and many other trinkets. We love what we do because our work is our passion. We build and care for a friendly atmosphere at work, we build r"&amp;"elations on the ground and the principles of dignity and respect as for the client, and to employees. We do and we try to make every client to not be lost in vain and the world does not lose the charming colors of nature. What we declare with the elegance"&amp;" and delicacy of our flowers. Read our stores less to us: • ul. Cybernetics 15PN-SB: 9:00-20:00 ND: 10:00-18: 00 • ul. Koszykowa 63 Hall Koszykipn-SB: 10:00-20: 00skddostawa and Paygulaminine of the Privacy Qbblogdołącz to us general selectorsexact matche"&amp;"s only search in title search in content post type selectorsby to ensure the highest quality of services we use information stored in a web browser. Check the purpose of storage or access conditions in the Privacy Policy. I accept cookies")</f>
        <v>Florist Warsaw Bloom Flowers Delivery of flowers 7 days a week Babloom Flowerskwiaciarnia Warszawa | Bloom Flowers Delivery of flowers 7 days a week+48 790 343 461.mote the products of products in the basket Express Flower Delivery in 2H in Warsaw! Check now! PL en en rine auto -bouquet bouquet in the box in the Floods Floods Firefighting Farewell. Flower Firdostawa and Payments Continuate Nas 0brak Products in the basket pl en en Ru express delivery Flowers in 2h in Warsaw! Check now! Bloom Flowersuts We grease your world with fresh flowers. Bloom Flowersuts We grease your world with fresh flowers. SklepoPecanesezacz more Add to the list of wishflower box "first kiss" from 165.00 PLN New Add to the list of wishes "peach note" from 185.00 PLN New Add to the list of wishes "Bliss" from 195.00 PLN Add to the list of flower wishes " Harmony ”from 285.00 PLN Add to the list of wishes of red poverty 815.00 PLN Add to wishyflowerbox" amour "from 175.00 PLN Add to the wishes list" Serene Blooms "from 385.00 PLN New Add to the" Sunrise Serenity "wish list from 165.00 PLN Add to the list Flowers "Pastel Lovers" from 335.00 PLN Add to the list of wishbones in the box 165.00 PLN Add to the list of branch wishes borders 155.00 PLN New Add to the list of wishes "handsome" from 165.00 PLN Add to wishes for red wishes of red poverts 125.00 PLN Add to the list of wishes in the box 155.00 PLN New Add to the list of wishesjasryod PLN 255.00 author's bouquetts in the boxes Sales Sales more Add to the list of wishes SPRAY Roses "Silva Pink" from PLN 255.00 Add to wishlist roses PLN 125.00. New Add to the letter of the "NICEYCE" wishes from PLN 185.00 Add to the list of wishes "Pink &amp; Blue" from 195.00 PLN Add to the list of flower wishes "Your Happiness" from PLN 315.00 Add to wish list101 red roses PLN 1400.00 Add to the wish list "Dream" from 195.00 PLN New Add to the "Lovely" wish list from PLN 175.00 from PLN 175.00 from PLN 175.00 New Add to the "I love you" wish list from PLN 215.00 Add to wishyflowerbox "Charming" from PLN 175.00 Add to the "Pure Love" wish list from PLN 175.00 Add to the list of Gypsówówki Gypsówówków. PLN 155.00 Add to wish list. 900.00 PLN New Add to the list of the "Perfekt Morning" wishes from 195.00 PLN Add to the list of wishes red roses in a black packaging PLN 125.00 We do the best one in Warsaw, only fresh inflorescences for regular customers. Wish customer with our promotions, just press "I like it"! In Bloom Together with You ♡ I agree to receive newsletteleave this field empty empty if you're human: faqsjak order flowers in Warsaw? Visit our website and choose a bouquet. When choosing, you can use the help of an employee of price filter florist or flower category. After selecting the bouquet, click "to the basket". Then provide information on delivery and payment method. Confirmation of the order will automatically come to your mail. After making the payment, the courier will deliver flowers on time at the address indicated. What is the waiting time for the supply of flowers in Warsaw? It depends on the load on our courier and the selected time interval as well as the distance from the florist to the recipient's address. If you need an express delivery, you can write a florist to the administrator and receive an order even within 2 hours. How to pay and place an order? Bloom Flowers uses all popular and secure payment systems - Payu PayPal Banking Card to the Courier, etc. If you have difficulties with payment, please contact the florist administrator. Where is it worth buying flowers in Warsaw? On the website or directly at the Bloom Flowers florist, you can quickly and conveniently buy a bouquet even if you are not from Warsaw and another city or country. In our florist you will always find a large selection of beautiful and fresh flowers. Bloomflowers - Flower Flower Flowers Warsaw. Read more stakes are one of the most beautiful creatures in the world. They enjoy and rejoice bring a smile up, they create a friendly and cozy atmosphere, decrease and improve the microclimate of rooms, introduce harmony and peace and express sadness and pain of loss. The spur of laying flowers has been known since antiquity. Plants have accompanied man for a long time. People valued them for healing power and also for beauty. That is why they began to create decorations from flowers and other parts of plants. This is how the art of floristics bouquets was born. How the world would change if all the flowers disappeared at once? Until fear to imagine ... This situation is not threatening to us because there is a bloomflowers online florist. Our florists create beauty every day. The trust and loyalty of our clients is our main criterion at work, which is why we will always take care of the wishes and preference of each client very carefully. Among the over 300 florists of Warsaw, we are a very creative young young and quite experienced floristic team. Our uniqueness is that we can create an unforgettable festive atmosphere during every event. Never customers will find the right flowers with us for every occasion: - Women's Day - Christmas - baptism - Grandmother and Grandfather's Day - Mother and Father's Day - name day - last farewell - First Communion - thanks - apology - dating and romantic meetings - anniversaries - wedding - professional holidays - birthday - engaging -lively we can propose? Internet can be seen and ordered with delivery or pickup: - bouquets (original bouquets wedding bouquets bouquets in a box in the basket and so Flowers (chocolates cakes cake mascot mascar and flower care products) In our flower shop you will find the best flowers from around the world: - roses (single and branch of various shades and length and length and t.d.) - tulips - peonies - seasonal garden and field (daisy lilies of the lilies lilacs cloves freesia asters, gladioli and t.d.) - various exotic flowers (plasterboards eucalyptus bamboo streets and so on. - Helpful service that will always advise you in the selection of flowers and ensure that the whole process will run successfully - a convenient location of florists - I professionalize confirmed by high grades on Google Facebook and Trustpilot - the experience we obtained by making thousands of different bouquets for our clients - an individual approach to each order time is one time from the largest and irreplaceable values. We remember and care for him. That is why in Bloomflowers, despite the possibility of receiving flowers, you can still order a delivery with any address home to the university's office. Always fresh and fragrant flowers dazzling with various colors of nature will create an atmosphere full of grace . Cybernetics 15 you will find a world and beautiful flowers that enjoy and rejoice also waiting for you always a delicious cake and wonderful hot and cold drinks. The beautiful fragrant flower aroma of delicious cake and stimulating coffee surrounded by flowers and an atmosphere of full grace Visit. Flowers - Coffee - Love - are mixtures of many feelings: the tenderness of the desire for desire to idealize friendly and aesthetic satisfaction and thousands of other feelings. Order flowers from Bloomflowers? Go to the website of our florist Bloomflowers.pl place an online order or call the phone: + 48 790 343 461 Kwiatowa will be delivered at the indicated address shortly after the fee. You can make the ease in a few methods convenient for you with cash or by card in our store or pay using payment systems: PayPal Payu Visa and Mastercard. Nasi managers will always help help and answer all questions and help Make the best choice. We can attach to the ordered flowers to attach a chiclock card of the bunny or teddy bear and many other trinkets. We love what we do because our work is our passion. We build and care for a friendly atmosphere at work, we build relations on the ground and the principles of dignity and respect as for the client, and to employees. We do and we try to make every client to not be lost in vain and the world does not lose the charming colors of nature. What we declare with the elegance and delicacy of our flowers. Read our stores less to us: • ul. Cybernetics 15PN-SB: 9:00-20:00 ND: 10:00-18: 00 • ul. Koszykowa 63 Hall Koszykipn-SB: 10:00-20: 00skddostawa and Paygulaminine of the Privacy Qbblogdołącz to us general selectorsexact matches only search in title search in content post type selectorsby to ensure the highest quality of services we use information stored in a web browser. Check the purpose of storage or access conditions in the Privacy Policy. I accept cookies</v>
      </c>
    </row>
    <row r="308">
      <c r="A308" s="1" t="s">
        <v>883</v>
      </c>
      <c r="B308" s="1" t="s">
        <v>1001</v>
      </c>
      <c r="C308" s="1" t="s">
        <v>1002</v>
      </c>
      <c r="D308" s="1">
        <v>20.0</v>
      </c>
      <c r="E308" s="4" t="s">
        <v>1003</v>
      </c>
      <c r="F308" s="1" t="s">
        <v>43</v>
      </c>
      <c r="G308" s="1" t="s">
        <v>1004</v>
      </c>
      <c r="H308" s="4" t="s">
        <v>1005</v>
      </c>
      <c r="I308" s="2">
        <v>1.0</v>
      </c>
      <c r="J308" s="5" t="str">
        <f>IFERROR(__xludf.DUMMYFUNCTION("GOOGLETRANSLATE(A308)"),"Gypsophyla")</f>
        <v>Gypsophyla</v>
      </c>
      <c r="K308" s="6" t="str">
        <f>IFERROR(__xludf.DUMMYFUNCTION("GOOGLETRANSLATE(B308)"),"Gypsophila. Gypsophyla bouquet - buy with delivery to ...")</f>
        <v>Gypsophila. Gypsophyla bouquet - buy with delivery to ...</v>
      </c>
      <c r="L308" s="5" t="str">
        <f>IFERROR(__xludf.DUMMYFUNCTION("GOOGLETRANSLATE(C308)"),"The price of gypsophila from 55 UAH branches. Bouquet of gypsophyla from 1375 UAH. White and pink gypsophila. Individually and exquisite. Queta is an extraordinary floristry.")</f>
        <v>The price of gypsophila from 55 UAH branches. Bouquet of gypsophyla from 1375 UAH. White and pink gypsophila. Individually and exquisite. Queta is an extraordinary floristry.</v>
      </c>
      <c r="M308" s="5" t="str">
        <f>IFERROR(__xludf.DUMMYFUNCTION("GOOGLETRANSLATE(G308)"),"Delivery of flowers Lviv. Kvitna ➨ Extraordinary Floristics Main Payment About Guarantee Delivery 👽 Cabinet Contacts Floristics HoreCa News News Main Payment About Us ) 11.07.2021 Sweet 10.07.2021 ▶ ️ Flower refrigerator online! 26.03.2020 Quarantine - o"&amp;"nly delivery 17.03.2020 Terms 'Clear bouquets 12.08.2017 changed phone number! 08/10/2017 Christ is risen! 04/16/2017 The site has become more convenient! 03/30/2017 March 8 Soon - discounts! 02/14/2017 New orders for 14.02 We do not take :( 14.02.2017 to"&amp;" Valentine's Day! 03.02.2017 Conditions for receiving orders on the holiday 30.12.2016 Photo competition (Instagram) 06.12.2016 Fruit and vegetable bouquets! 18.11.2016 Choice of a bouquet by color or flower 09.11.2016 Move to a new domain 01.08.2016 Onli"&amp;"ne payment by card 31.05.2016 ) 296099506829609995 Make a bouquet on the phone: from 9:00 to 21:00 daily+38 (068) 2960995 or 0 800 33 59 65 65 Jer: or Scatter QR Code: Viberwatgfbbbbbbbbbsamoyama free call+38 (032) 28803670 800 33 53 59 65 Lviv L. Kurbas "&amp;"7 All online quirine ⚡ Autumn Bouquets of dried flowers bouquets on Ukrainian songs 🆕 Exotic bouquets Flower Hoscope Menu Week Fruit Bouquets of Fruit Bouquets Vegetable Bouquets Monobuquets Rose 101 roses 51 roses 49 roses 35 roses 31 roses 29 roses 25 "&amp;"roses 21 roses 19 roses 19 roses 17 roses 15 roses 11 roses Tulips Red Tulips Pink Tulips Orange Tulips yellow tulips lilac tulips 101 tulip 51 tulip 49 tulips 45 tulips 39 tulips 35 tulips 33 tulips 31 tulips 29 tulips of 25 tulips 2 23 tulips Bouquets o"&amp;"f lilac bouquets of hyacinth bouquet Mimosa bouquet bouquet bouquet bouquet bouquet bouquet bouquet bouquet bouquet bouquet bouquet bouquet bouquet bouquet bouquet bouquet bouquet bouquet bouquet bouquet bouquet bouquet bouquet bouquet bouquet bouquet bou"&amp;"quet bouquet bouquet bouquet bouquet bouquet bouquet bouquet bouquet bouquet bouquet bouquet Bouquets of gladiolus bouquets of oxypetaloum bouquet from a chamelaceum bouquets from Dolphinium bouquets bouquets from anti -rhrinum bouquets bouquets from orch"&amp;"ids holidays Day 8 day. 👩 Wedding floristry Wedding bouquets of wedding with flowers of a box of composition of flower bucket of sheaves of composition flowers in a drawer of composition of fruits and sweets decorations from flowers Wreaths of flowers of"&amp;" flowers and macaroni flowers Agapankahanthamallarymelarymalastromelas Santterrinumariakariatishop (zinar) anthurumaschlepiapiaspahuspahuspagusaspatystrastarastystilbastrandiacillabanxiabanxiabanxbanxbarbarisbergrgrasbergrasberrybrasberrynielbrasbrasbrasi"&amp;"brunijanzharnykharnyaporumozhlazhlazhlazhlazhlazhlazhlazhlazhlazhlazhlazhlazharnykharnykhlasbrazh. Sgacintthipeastrumloriorhotratencing Delfiniumdiantantous Barbatusdiantus (Carnation) of Jasminzanthedeskia ( Kala) Ileksyciniasicapsykumkermkermekhratrimer"&amp;"iamalusmalusmaluscnylustophaphaanisraspodiaspodiasaladervarduzhurzhanguslaguslagunjunjunjunjunjunjunjunjetzhislainzhlaslatinolatiuslatiuslatiuslatiuslatiuslatiuslaniolaniolaniolacelemaliclaniolaniolaniolainolaniolaniolaniolainolaniolangium. link) oncidimo"&amp;"zumozhumozhnuozepalumorelumogallumpalumpovnikupanikupapaver (poppy) rose Pione -shaped bush -spyerispitospitospitospitosnatnotzhtzhtzhtzhtzhnotzhtzhnotzhnzhnutnikrostyaproteia royal -tul "" rose pianocalendulathroid pione -wiodnatroid of Sadovarslasalalsa"&amp;"ndersoniasangisangisangisangisangisangisnatriospariosparriuriaruriaspurrpusbusbuskabioskabiotliolasotylasotylasotylpystlipylasatylpythastrelytlandythastrelytitanotthastlutitanotthalutsuththastreli Philodendronfloxfizhisforizationfresiumfrythythylliihamela"&amp;"cumochelecylebovuschypericmichumburialsumburzhmachvnagrevnigriozhisophilazophisanthemthasothytoliobidobidyebidozhlyobryzhlyobryzhlyobryzhlyobryzhlyobryzhlyobryzhlyobrybidorobidobidorobidorobidorobidorobidorobidorobidorobidorobidorobidorobidobid -dearmalic"&amp;"oblagiarf Rhychno -red -small -term perexeal puddle -grae -graded pine -piper -fibrofuxation (1500 to 2000 UAH 2000 to UAH 3500 UAH order catalog and delivery of flowers in Lviv - as 1 2 3 41) up to 60 min) 24 hours4) Reviews1.Cras of the bouquet and expe"&amp;"rience of April - high flower kitchen! From 2015 we prepare design bouquets Where to choose 3683 bouquets in the catalog ready for assembly and delivery. The bouquet will be guaranteed to be extraordinary! Let's send a photo of the bouquet before delivery"&amp;"! See the beauty of 3683 bouquets2. The speed of delivery delivery day by day to the exact time or at night? Urgent delivery? There is no difference between the bouquet will be delivered on time and with an online window-up to 60 minutes! How do we have t"&amp;"ime to deliver in 60 minutes? 3. The whole 24 hours 📍 Center of Lichakiv or Sikhiv? Lewandivka railway station or even airport? Let's deliver clearly! The highest amount of Google Reviews among Flower Lviv: 49 ★★★all 499 Reviews Every second customer ord"&amp;"ers flowers with delivery constantly. We are your family florist! ⚡ 🍁 The autumn menu of online quirine Delivery up to 60 min is a video of a bouquet! 2023 Watch 2 430 UAH Bouquet ""Evening Beach"" [№ 3744] 🍁 Autumn menu Online Shipping up to 60 min is "&amp;"a video of a bouquet! 2023 See 3 390 UAH Bouquet ""Lviv Evening"" [№ 3743] Online Shipping up to 60 min free delivery! There is a video of a bouquet! 2023 Watch 4 250 UAH Bouquet ""Autumn in Lviv"" [№ 3740] online quirine Delivery up to 60 min is a video "&amp;"of a bouquet! 2023 Watch 2 900 UAH Bouquet ""Sunny weekend"" [№ 3739] Online windows of delivery up to 60 min is a video of a bouquet! 2023 See 3 450 UAH Bouquet ""Bright Treatment"" [№ 3738] Online Shipping up to 60 min 2023 See 1 560 UAH Bouquet ""Gold "&amp;"mood"" [№ 3736] is a video and audio bouquet! See from 3 000 UAH Kvitotherapy - a gift certificate to look from 1 000 UAH Independent bouquet [№ 1000] menu of the week: all flowers for these bouquets are available to repeat the bouquet exactly. ⬇️ menu of"&amp;" the week all flowers in stock free delivery! There is a video of a bouquet! 2023 See 6 630 UAH 39 Ranuncles in the bouquet ""Color extravaganza"" [No. 3742] All flowers are available for free delivery! There is a video of a bouquet! 2023 See 3 750 UAH 25"&amp;" gerber in the bouquet ""Light feathers"" [No. 3741] All flowers in stock are a video of the bouquet! 2023 See 2 480 UAH Bouquet ""Lviv Compliment"" [№ 3737] All flowers in stock free delivery! There is a video of a bouquet! 2023 See 5 250 UAH 15 pione -l"&amp;"ike Juliet roses in the bouquet ""chic and vintage"" [No. 3732] All flowers in stock are a video of the bouquet! 2023 See 1 820 UAH 13 Chrysanthemums in the bouquet ""Burgundy diamond"" [No. 3729] All flowers in stock are a video of the bouquet! 2023 See "&amp;"1 760 UAH of 9 pione roses in the mandarinka bouquet [№ 3721] All flowers in stock are video and audio bouquet! 2023 See 1 900 UAH Bouquet ""Sea buckthorn Pieuette"" [№ 3719] All flowers in stock are video and audio bouquet! 2023 See 1 790 UAH Bouquet ""L"&amp;"viv butterflies"" [№ 3717] All flowers in stock are a video of a bouquet! 2023 See 3 150 UAH of 11 pione roses in the bouquet ""Rumyan Princess"" [No. 3711] All flowers in stock are a video of the bouquet! 2023 See 1 800 UAH Bouquet ""Morning Magic"" [№ 3"&amp;"699] All flowers in stock are video and audio bouquet! 2023 See 1 920 UAH The bouquet ""Sun Walk"" [№ 3695] All flowers in stock are video and audio bouquet! 2023 See 2 990 UAH Burgundy kiss [No. 3681] Watch another 12 bouquets (out of 21) Do not miss it "&amp;"interesting to know ⬇️ This is an interesting menu of the week - all the flowers of these bouquets are in the presence of this! Convenient to chat? Ordering a bouquet at messenger Wa tg fb online vitrin is a bouquet of which one is collected in the presen"&amp;"ce for 5 minutes. We will pass the courier! 497 Reviews - Tseni's large number of flower Lviv popular categories to see all (130 pcs.) Autumn bouquets 🍁 from 1580 to 35350 UAH to see all (579 pcs.) Duo trio bouquets from 1500 to 22000 to 22000 UAH. Up to"&amp;" 51100 UAH to see all (71 pcs.) Men's bouquets from 1500 to 9745 UAH to see all (94 pc (11 pcs.) Turned roses from 1500 to 8950 UAH see all (30 pcs.) Bouquets of shrub roses from 1750 to 12750 UAH to see all (33 pcs.) Bouquets of ranking from 1500 to 1320"&amp;"0 UAH to see all (128 pcs.) Bouquets of tulips from 1500 to 12100 UAH see all (14 pcs.) Bouquets of chrysanthemums from 1560 to 5220 UAH to see all (109 pcs.) Angel Day from 1500 to 23000 UAH to see all (86 pcs.) Christmas from 1500 to 8870 UAH See all (3"&amp;"06 pcs.) Flowers in the box from 2200 to 35000 UAH look all (92 pc Interestingly, let's get an individual bouquet for the recipient to just wow! The real presence of flowers our refrigerator is a video of the broadcast Yulia Maria Tatiana? The name bouque"&amp;"t for the day of the angel is !!! Look a calendar and a collection of bouquet will fit her dress? All of our bouquets for the most demanding fans of high floristry ⬇️ All bouquets and compositions 🍁 Autumn menu Online Shipping up to 60 min is a video of "&amp;"a bouquet! 2023 Watch 2 430 UAH Bouquet ""Evening Beach"" [№ 3744] 🍁 Autumn menu Online Shipping up to 60 min is a video of a bouquet! 2023 See 3 390 UAH Bouquet ""Lviv Evening"" [№ 3743] All flowers in stock free delivery! There is a video of a bouquet!"&amp;" 2023 See 6 630 UAH 39 Ranuncles in the bouquet ""Color extravaganza"" [No. 3742] All flowers are available for free delivery! There is a video of a bouquet! 2023 See 3 750 UAH 25 gerber in the bouquet ""Light feathers"" [№ 3741] Online Shipping up to 60 "&amp;"min free delivery! There is a video of a bouquet! 2023 Watch 4 250 UAH Bouquet ""Autumn in Lviv"" [№ 3740] online quirine Delivery up to 60 min is a video of a bouquet! 2023 Watch 2 900 UAH Bouquet ""Sunny weekend"" [№ 3739] Online windows of delivery up "&amp;"to 60 min is a video of a bouquet! 2023 Watch 3 450 UAH Bouquet ""Bright Treatment"" [№ 3738] All flowers in stock are a video of a bouquet! 2023 See 2 480 UAH Bouquet ""Lviv Compliment"" [№ 3737] Online Shipping up to 60 min 2023 See 1 560 UAH Bouquet """&amp;"Gold mood"" [№ 3736] Free delivery! There is a video of a bouquet! 2023 See 3 600 UAH Bouquet ""Desert Rose"" [№ 3735] Free delivery! There is a video of a bouquet! 2023 Watch 3 920 UAH 49 Thijs Boots premium tulips [№ 3734] is a video of a bouquet! 2023 "&amp;"See 3 330 UAH Bouquet ""Clouds over Lviv"" [№ 3733] Watch another 12 bouquets (from 3671) Ordering and delivery of flowers in Lviv to order and buy flowers in our online store? Any taste for a completely different mood. You can make an order: online from "&amp;"the bouquet page - click the ""to the basket"" or ""order in 1 clip"" to the right of the photo. After filling in a simple form - we will contact you within 2 minutes we will confirm the order that you may be calm that the recipient will not be left witho"&amp;"ut flowers. After placing an order through the online store, you can immediately pay it with a card of any bank (more about this below). You can order by phone: +38 (068) 2960995 or order a reverse free call. In messengers: if you are more convenient to w"&amp;"rite-at your service: WhatsApp Viber Telegram-by number (+380980584862). Email: info@kvitna.uaonline-chat. Write us in chat right now - let us answer instantly! For what time it is better to order flowers? We are ready to make and deliver a bouquet to you"&amp;" or the recipient - right today on the day of your appeal. Usually it takes 2-25 hours, but if the bouquet is urgently needed-do not waste your time right now. We will try to help. The bride bouquet is best ordered 10-14 days before the wedding day, but i"&amp;"f the bouquet is needed tomorrow - still call us! Let's decide! Renewal! From the summer of 2021, we launched express delivery of flowers across Lviv. Choose any free bouquet on online quirk and we will deliver it within 1 hour! Look for bouquets with an "&amp;"online window. We deliver bouquets of flowers and composition in Lviv. The cost of shipping flowers to your address request us. Usually it is 150 UAH in remote areas of Lviv - delivery can be more expensive. The cost of delivery in the areas of Lviv - in "&amp;"the table. Order over 3500 UAH -we deliver free of charge within the city. 🏪 Self -removal. You can also pick up the order in our store in the center of Lviv at: Lviv str. L. Kurbas 7 (Contacts) .🌃 Night Delivery. We deliver flowers around the clock so "&amp;"it is possible to deliver in non -working hours (for example late in the night at night or very early in the morning) the cost of night delivery 300 UAH. Night delivery is possible for pre -ordered and paid bouquets.🎄 Holidays. Delivery conditions on hol"&amp;"idays (Christmas New Year Eve March 8, Valentine's Day (February 14) Mother) - Specify with us. The delivery price can be much higher. It is possible to stop receiving orders for delivery - on holidays.⛳ Delivery in Ukraine. Possible delivery to other cit"&amp;"ies of Lviv region and other cities of Ukraine Details and conditions specify us by phone +38 (068) 2960995 or +38 (032) 2903105.The bouquet you need to deliver? Our customers order courier delivery of flowers to the following places: Flowers home. Most o"&amp;"ften, bouquet delivery is ordered to your home address. If you do not know the exact address or are not sure that the recipient of the bouquet will be at home - write to us the phone we will clarify the details and agree on the time and place. Just as a c"&amp;"ommon delivery to the office is usually in working hours to greet a colleague. Or to go to the west after work. A convenient option is when the time and place of celebration of birthday. The bouquet will come to the exact time you will not need to look fo"&amp;"r flowers in stores near the restaurant. Most often, in this case, the bouquet is ordered to the center where in Lviv there are most of the beautiful restaurants. Flowers are flowers at the Lviv Airport or the Station? Let's meet you with a bouquet at the"&amp;" airport after arriving the aircraft or at the train station after the train arrives. Are the train or plane delayed? No problem will not be left without a bouquet. In a maternity hospital. Let's come exactly by the time of discharge let's bring a chic bo"&amp;"uquet (or composition) to the birth of a baby. Is your loved one in the hospital? Let's do everything to cheer the mood, and the health depends on the mood. In the hotel. Let's leave the bouquet on the reception or deliver right to the number. A convenien"&amp;"t option for tourists who do not know the cities. Beauty or registry office. Frequent place of meeting of the bouquet and bride:) We will bring a bouquet where you need to you. Samvisovv you can pick up the bouquet ordered in advance in our store at the a"&amp;"ddress: Lviv str. L. Kurbas b. 7 (travel scheme). The time of your visit to us will discuss with us by phone. The graphics of the online store and the shop shop work from 9 to 21 7 days a week. The online store accepts orders around the clock. Telephone c"&amp;"onsultations at the choice and order of bouquets-from 9 to 21 hours without the source of social networks or messengers-write to us at any time. We answer from 9am. If you live abroad in another time zone and can only communicate at night - we are ready f"&amp;"or such a turn. Delivery of flowers is carried out daily from 9 to 21 hours. Possible delivery late in the morning early in the morning or even at night the shipping cost in this case 300 UAH. The store online is new to help you choose flowers, we display"&amp;" a video broadcasting of our refrigerator to the site. Payment of flower-paying can be paid: cash upon receipt of a bouquet (courier on delivery or in the store in case Contact us to get the details for payment) And what else do we do besides bouquets? Fo"&amp;"r many Kvitna, these are perfect chic bouquets. But this is not all and many do not know about it! We do: chic flower baskets in hat boxes of bombers in Bergras (our highlight) we design wedding halls with living flowers we create exquisite floral arrange"&amp;"ments on wedding tables (young guests). Wedding Photo zones with which all are photographed. The buyer and warns that not all flowers in the bouquet in the season or in stock (and more often all flowers are not in the season and not available) so you need"&amp;" to replace the replacement. They promise to keep the appearance without significant changes or at least preserve the color scheme and the style of the bouquet. It also happens that the packing of the bouquet that liked the same is available. The substanc"&amp;"es are agreed? The florist collects a bouquet of packing it. The order shoots. Photography of the finished bouquet is sent to the client for approval (this is the best way the responsible flower companies do). If the client likes the client - he is sent f"&amp;"or delivery. If the buyer makes adjustments to the bouquet again corrected then sent for photography and the photograph is again sent for approval. In general, order flowers quite a painstaking and not very fast process. How is the bouquet ordering in Apr"&amp;"il? The buyer chooses a bouquet in an online category or in a common tape - Bouquets in stock marked with green base -forming orders paying for it. The bundle is sent for delivery. What advantages do you ask? speed! We will have time to deliver an order w"&amp;"ithin Lviv within 60 minutes. If the bouquet recipient is now in the center of Lviv, it can take about 30 minutes or less. We do not waste time to replace the replacement on the bouquet and approve it in the photo. Without disappointments! No expectations"&amp;" and reality you get the same bouquet in the same packaging as you see in photos or videos (for each bouquet we write a video!) Price guarantee! The bouquet will not be more expensive because the prices for flowers went up. You pay as much as indicated on"&amp;" the bouquet page. We are still different from other flower shops of Lviv? April is not just the delivery of flowers Lviv is not just a flower shop. It is an extraordinary florist that we need to see. So we have a high level of service polite communicatio"&amp;"n attention to the client and his needs. We know our customer what a bouquet and when he ordered from us at what addresses we were shipping. It is easy to evaluate and see - contacting us. But the most important thing you can understand right now on the s"&amp;"ite is the beauty and design of our bouquets. All of the bouquet photographs are presented on the site - only us! Look, choose! Describe the task of telling the recipient-and we will make and deliver a luxury bouquet of flowers to Lviv recipient will be d"&amp;"elighted: an e-mail address to get the answer: we will answer you by the above e-mail) And we also answer the questions on social networks: Facebook : Https://www.facebook.com/kvitnainainstagram: https://instagram.com/kvitna/ well, and the fastest way to "&amp;"order flower delivery is a phone! +38 (068) 2960995 Just 30 seconds and your phone will call). Relocationmaksym huk simple fabulous bouquets! Harmonious made with attention to detail - the love for their business is a constant good mood is guaranteed, alt"&amp;"hough it used the services of florists and here as a real expectoration was. There are bouquets and there are bouquets from Kvitna in general from another league the original reviewsabi petrovae has heard a lot of positive reviews about the company and de"&amp;"cided to use their services! Yana has an incredible feeling of beautiful! The bouquet came out gentle and super-beautiful!)) It was very pleased !! Thank youuyuuyuyuyuhiginal response to the boycott of beautiful bouquets. Unusual stylish. Sheaves are simp"&amp;"ly masterpieces of floristry. It is a pity that the company is not presented in Kiev. Such beauty should be accessed by everyone in all regions of the country. Original response of the Victoria Kroylkvitna or how I found the perfect bouquet. Before the bi"&amp;"rthday of a girlfriend, a difficult task of finding a beautiful and unusual bouquet always wants to give something special that is associated with a person for whom you choose flowers. The composition turned out to be very individual as a girl for whom th"&amp;"e bouquet was intended. The birthday girl was delighted with the main task completed)) If you want to give someone a little moment of happiness and a good mood order bouquets in kvitna) The original response of the Kvitna stroganovitna response is very in"&amp;"dividual! They create the mood in them so many colors of brightness and interesting details that you can admire them forever! With love your permanent client!) The original respond to sparrow flowers that give a magic mood))) bouquets keep their beauty fo"&amp;"r more than a week!) Thank you for your spirituality and individual The approach that you put into your creation ossary's reviews: 🚗 How to order flower delivery in Lviv through a site - 1 click (fast) or through a basket (a little longer but you can ord"&amp;"er a few bouquets at once). Flowers can also be ordered by phone: +38 (068) 2960995 or through messengers by number: +380980584862.💲 How much is the delivery of flowers in Lviv❓ The cost of delivery in the city is 150 UAH. In remote areas and to the citi"&amp;"es of Lviv region the cost of delivery can be seen in the table when ordering more than 3500 UAH - delivery within the city is free.🕐 What schedule Night delivery is valid for pre -orders. Les Kurbas 7. Travel scheme. So you can pick up your bouquet your"&amp;"self. About us payment delivery to ask questions of return and privacy policy of the Cabinet of online quarin ⚡ contacts Kvitna - Extraordinary floristry in Lviv. Bouquets to order. Delivery of flowers. Floristics courses 2023 New in our online store of f"&amp;"lowers: bouquets of roses Monobuquets of baskets of flowers. Presentation of flowers in Lviv at order from 3500 UAH - free! Our address: Lviv str. Les Kurbas 7 How to find us with Kvitna one click: Messengerviberwhatsapptelegramemail Phones: +38 (068) 296"&amp;"0995 (from 9:00 to 21:00 daily) 0 800 33 59 65 (free from mobile and urban numbers) Catalog All online Vitrin ⚡ Autumn 🍁 Winter ❄️ Spring 🌿 Summer ☀️ Bouquets Designer bouquets Duo Trio Bouquets Field Bouquets Babules Baby Bouquets Men's Bouquets Buquet"&amp;" Fruit Bouquets Bones Bouquet Bouquets Buquet Bouquets Floral Buquet Men Men Men Men Men From pione roses bouquets from rose rose roses Red roses white roses yellow roses peach roses blue roses rose in a box of roses in a basket 11 roses 9 roses 7 roses T"&amp;"urned roses bouquets of shrub roses bouquets of hydrangea bouquets from dahlias bouquet bouquets bouquets from ranunculus bouquets bouquets from tulips White tulips Red tulips pink tulips tulips Oranga yellows Mr. 45 tulips 39 tulips 35 tulips 33 tulips 3"&amp;"1 tulip 29 tulips 25 tulips 23 tulips 23 tulips 21 tulips 19 tulips 17 tulips 15 tulips 11 tulips You're with gerber bouquet bouquets from freesius bouquet bouquet bouquet bouquets from anthurium bouquet bouquet bouquet bouquet bouquet bouquet bouquet bou"&amp;"quet bouquet bouquet bouquet bouquet bouquet bouquet bouquet bouquet bouquet bouquet mu bouquets from the orchids of the holiday Day Christmas Angel Christmas Wreath Christmas Tree Christmas compositions Christmas bouquets Decorations of flowers Wreaths o"&amp;"f flowers Flowers and macaroons Flowers Color Price to go to the hand of ordering the bouquet in 1 click name: Phone of customer: Date of receipt: Name of recipient: Phone of the recipient: text of the postcard: convenient delivery time: during the day ( "&amp;"09:00 - 21:00) Specify in the recipient09: 00 - 11: 0011: 00 - 13: 0013: 00 - 15: 0015: 00 - 17: 0017: 00 - 19: 0019: 00 - 21: 00: 00. Address: Saglassie on the gap of personal data.")</f>
        <v>Delivery of flowers Lviv. Kvitna ➨ Extraordinary Floristics Main Payment About Guarantee Delivery 👽 Cabinet Contacts Floristics HoreCa News News Main Payment About Us ) 11.07.2021 Sweet 10.07.2021 ▶ ️ Flower refrigerator online! 26.03.2020 Quarantine - only delivery 17.03.2020 Terms 'Clear bouquets 12.08.2017 changed phone number! 08/10/2017 Christ is risen! 04/16/2017 The site has become more convenient! 03/30/2017 March 8 Soon - discounts! 02/14/2017 New orders for 14.02 We do not take :( 14.02.2017 to Valentine's Day! 03.02.2017 Conditions for receiving orders on the holiday 30.12.2016 Photo competition (Instagram) 06.12.2016 Fruit and vegetable bouquets! 18.11.2016 Choice of a bouquet by color or flower 09.11.2016 Move to a new domain 01.08.2016 Online payment by card 31.05.2016 ) 296099506829609995 Make a bouquet on the phone: from 9:00 to 21:00 daily+38 (068) 2960995 or 0 800 33 59 65 65 Jer: or Scatter QR Code: Viberwatgfbbbbbbbbbsamoyama free call+38 (032) 28803670 800 33 53 59 65 Lviv L. Kurbas 7 All online quirine ⚡ Autumn Bouquets of dried flowers bouquets on Ukrainian songs 🆕 Exotic bouquets Flower Hoscope Menu Week Fruit Bouquets of Fruit Bouquets Vegetable Bouquets Monobuquets Rose 101 roses 51 roses 49 roses 35 roses 31 roses 29 roses 25 roses 21 roses 19 roses 19 roses 17 roses 15 roses 11 roses Tulips Red Tulips Pink Tulips Orange Tulips yellow tulips lilac tulips 101 tulip 51 tulip 49 tulips 45 tulips 39 tulips 35 tulips 33 tulips 31 tulips 29 tulips of 25 tulips 2 23 tulips Bouquets of lilac bouquets of hyacinth bouquet Mimosa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 Bouquets of gladiolus bouquets of oxypetaloum bouquet from a chamelaceum bouquets from Dolphinium bouquets bouquets from anti -rhrinum bouquets bouquets from orchids holidays Day 8 day. 👩 Wedding floristry Wedding bouquets of wedding with flowers of a box of composition of flower bucket of sheaves of composition flowers in a drawer of composition of fruits and sweets decorations from flowers Wreaths of flowers of flowers and macaroni flowers Agapankahanthamallarymelarymalastromelas Santterrinumariakariatishop (zinar) anthurumaschlepiapiaspahuspahuspagusaspatystrastarastystilbastrandiacillabanxiabanxiabanxbanxbarbarisbergrgrasbergrasberrybrasberrynielbrasbrasbrasibrunijanzharnykharnyaporumozhlazhlazhlazhlazhlazhlazhlazhlazhlazhlazhlazhlazharnykharnykhlasbrazh. Sgacintthipeastrumloriorhotratencing Delfiniumdiantantous Barbatusdiantus (Carnation) of Jasminzanthedeskia ( Kala) Ileksyciniasicapsykumkermkermekhratrimeriamalusmalusmaluscnylustophaphaanisraspodiaspodiasaladervarduzhurzhanguslaguslagunjunjunjunjunjunjunjunjetzhislainzhlaslatinolatiuslatiuslatiuslatiuslatiuslatiuslaniolaniolaniolacelemaliclaniolaniolaniolainolaniolaniolaniolainolaniolangium. link) oncidimozumozhumozhnuozepalumorelumogallumpalumpovnikupanikupapaver (poppy) rose Pione -shaped bush -spyerispitospitospitospitosnatnotzhtzhtzhtzhtzhnotzhtzhnotzhnzhnutnikrostyaproteia royal -tul " rose pianocalendulathroid pione -wiodnatroid of Sadovarslasalalsandersoniasangisangisangisangisangisangisnatriospariosparriuriaruriaspurrpusbusbuskabioskabiotliolasotylasotylasotylpystlipylasatylpythastrelytlandythastrelytitanotthastlutitanotthalutsuththastreli Philodendronfloxfizhisforizationfresiumfrythythylliihamelacumochelecylebovuschypericmichumburialsumburzhmachvnagrevnigriozhisophilazophisanthemthasothytoliobidobidyebidozhlyobryzhlyobryzhlyobryzhlyobryzhlyobryzhlyobryzhlyobrybidorobidobidorobidorobidorobidorobidorobidorobidorobidorobidorobidorobidobid -dearmalicoblagiarf Rhychno -red -small -term perexeal puddle -grae -graded pine -piper -fibrofuxation (1500 to 2000 UAH 2000 to UAH 3500 UAH order catalog and delivery of flowers in Lviv - as 1 2 3 41) up to 60 min) 24 hours4) Reviews1.Cras of the bouquet and experience of April - high flower kitchen! From 2015 we prepare design bouquets Where to choose 3683 bouquets in the catalog ready for assembly and delivery. The bouquet will be guaranteed to be extraordinary! Let's send a photo of the bouquet before delivery! See the beauty of 3683 bouquets2. The speed of delivery delivery day by day to the exact time or at night? Urgent delivery? There is no difference between the bouquet will be delivered on time and with an online window-up to 60 minutes! How do we have time to deliver in 60 minutes? 3. The whole 24 hours 📍 Center of Lichakiv or Sikhiv? Lewandivka railway station or even airport? Let's deliver clearly! The highest amount of Google Reviews among Flower Lviv: 49 ★★★all 499 Reviews Every second customer orders flowers with delivery constantly. We are your family florist! ⚡ 🍁 The autumn menu of online quirine Delivery up to 60 min is a video of a bouquet! 2023 Watch 2 430 UAH Bouquet "Evening Beach" [№ 3744] 🍁 Autumn menu Online Shipping up to 60 min is a video of a bouquet! 2023 See 3 390 UAH Bouquet "Lviv Evening" [№ 3743] Online Shipping up to 60 min free delivery! There is a video of a bouquet! 2023 Watch 4 250 UAH Bouquet "Autumn in Lviv" [№ 3740] online quirine Delivery up to 60 min is a video of a bouquet! 2023 Watch 2 900 UAH Bouquet "Sunny weekend" [№ 3739] Online windows of delivery up to 60 min is a video of a bouquet! 2023 See 3 450 UAH Bouquet "Bright Treatment" [№ 3738] Online Shipping up to 60 min 2023 See 1 560 UAH Bouquet "Gold mood" [№ 3736] is a video and audio bouquet! See from 3 000 UAH Kvitotherapy - a gift certificate to look from 1 000 UAH Independent bouquet [№ 1000] menu of the week: all flowers for these bouquets are available to repeat the bouquet exactly. ⬇️ menu of the week all flowers in stock free delivery! There is a video of a bouquet! 2023 See 6 630 UAH 39 Ranuncles in the bouquet "Color extravaganza" [No. 3742] All flowers are available for free delivery! There is a video of a bouquet! 2023 See 3 750 UAH 25 gerber in the bouquet "Light feathers" [No. 3741] All flowers in stock are a video of the bouquet! 2023 See 2 480 UAH Bouquet "Lviv Compliment" [№ 3737] All flowers in stock free delivery! There is a video of a bouquet! 2023 See 5 250 UAH 15 pione -like Juliet roses in the bouquet "chic and vintage" [No. 3732] All flowers in stock are a video of the bouquet! 2023 See 1 820 UAH 13 Chrysanthemums in the bouquet "Burgundy diamond" [No. 3729] All flowers in stock are a video of the bouquet! 2023 See 1 760 UAH of 9 pione roses in the mandarinka bouquet [№ 3721] All flowers in stock are video and audio bouquet! 2023 See 1 900 UAH Bouquet "Sea buckthorn Pieuette" [№ 3719] All flowers in stock are video and audio bouquet! 2023 See 1 790 UAH Bouquet "Lviv butterflies" [№ 3717] All flowers in stock are a video of a bouquet! 2023 See 3 150 UAH of 11 pione roses in the bouquet "Rumyan Princess" [No. 3711] All flowers in stock are a video of the bouquet! 2023 See 1 800 UAH Bouquet "Morning Magic" [№ 3699] All flowers in stock are video and audio bouquet! 2023 See 1 920 UAH The bouquet "Sun Walk" [№ 3695] All flowers in stock are video and audio bouquet! 2023 See 2 990 UAH Burgundy kiss [No. 3681] Watch another 12 bouquets (out of 21) Do not miss it interesting to know ⬇️ This is an interesting menu of the week - all the flowers of these bouquets are in the presence of this! Convenient to chat? Ordering a bouquet at messenger Wa tg fb online vitrin is a bouquet of which one is collected in the presence for 5 minutes. We will pass the courier! 497 Reviews - Tseni's large number of flower Lviv popular categories to see all (130 pcs.) Autumn bouquets 🍁 from 1580 to 35350 UAH to see all (579 pcs.) Duo trio bouquets from 1500 to 22000 to 22000 UAH. Up to 51100 UAH to see all (71 pcs.) Men's bouquets from 1500 to 9745 UAH to see all (94 pc (11 pcs.) Turned roses from 1500 to 8950 UAH see all (30 pcs.) Bouquets of shrub roses from 1750 to 12750 UAH to see all (33 pcs.) Bouquets of ranking from 1500 to 13200 UAH to see all (128 pcs.) Bouquets of tulips from 1500 to 12100 UAH see all (14 pcs.) Bouquets of chrysanthemums from 1560 to 5220 UAH to see all (109 pcs.) Angel Day from 1500 to 23000 UAH to see all (86 pcs.) Christmas from 1500 to 8870 UAH See all (306 pcs.) Flowers in the box from 2200 to 35000 UAH look all (92 pc Interestingly, let's get an individual bouquet for the recipient to just wow! The real presence of flowers our refrigerator is a video of the broadcast Yulia Maria Tatiana? The name bouquet for the day of the angel is !!! Look a calendar and a collection of bouquet will fit her dress? All of our bouquets for the most demanding fans of high floristry ⬇️ All bouquets and compositions 🍁 Autumn menu Online Shipping up to 60 min is a video of a bouquet! 2023 Watch 2 430 UAH Bouquet "Evening Beach" [№ 3744] 🍁 Autumn menu Online Shipping up to 60 min is a video of a bouquet! 2023 See 3 390 UAH Bouquet "Lviv Evening" [№ 3743] All flowers in stock free delivery! There is a video of a bouquet! 2023 See 6 630 UAH 39 Ranuncles in the bouquet "Color extravaganza" [No. 3742] All flowers are available for free delivery! There is a video of a bouquet! 2023 See 3 750 UAH 25 gerber in the bouquet "Light feathers" [№ 3741] Online Shipping up to 60 min free delivery! There is a video of a bouquet! 2023 Watch 4 250 UAH Bouquet "Autumn in Lviv" [№ 3740] online quirine Delivery up to 60 min is a video of a bouquet! 2023 Watch 2 900 UAH Bouquet "Sunny weekend" [№ 3739] Online windows of delivery up to 60 min is a video of a bouquet! 2023 Watch 3 450 UAH Bouquet "Bright Treatment" [№ 3738] All flowers in stock are a video of a bouquet! 2023 See 2 480 UAH Bouquet "Lviv Compliment" [№ 3737] Online Shipping up to 60 min 2023 See 1 560 UAH Bouquet "Gold mood" [№ 3736] Free delivery! There is a video of a bouquet! 2023 See 3 600 UAH Bouquet "Desert Rose" [№ 3735] Free delivery! There is a video of a bouquet! 2023 Watch 3 920 UAH 49 Thijs Boots premium tulips [№ 3734] is a video of a bouquet! 2023 See 3 330 UAH Bouquet "Clouds over Lviv" [№ 3733] Watch another 12 bouquets (from 3671) Ordering and delivery of flowers in Lviv to order and buy flowers in our online store? Any taste for a completely different mood. You can make an order: online from the bouquet page - click the "to the basket" or "order in 1 clip" to the right of the photo. After filling in a simple form - we will contact you within 2 minutes we will confirm the order that you may be calm that the recipient will not be left without flowers. After placing an order through the online store, you can immediately pay it with a card of any bank (more about this below). You can order by phone: +38 (068) 2960995 or order a reverse free call. In messengers: if you are more convenient to write-at your service: WhatsApp Viber Telegram-by number (+380980584862). Email: info@kvitna.uaonline-chat. Write us in chat right now - let us answer instantly! For what time it is better to order flowers? We are ready to make and deliver a bouquet to you or the recipient - right today on the day of your appeal. Usually it takes 2-25 hours, but if the bouquet is urgently needed-do not waste your time right now. We will try to help. The bride bouquet is best ordered 10-14 days before the wedding day, but if the bouquet is needed tomorrow - still call us! Let's decide! Renewal! From the summer of 2021, we launched express delivery of flowers across Lviv. Choose any free bouquet on online quirk and we will deliver it within 1 hour! Look for bouquets with an online window. We deliver bouquets of flowers and composition in Lviv. The cost of shipping flowers to your address request us. Usually it is 150 UAH in remote areas of Lviv - delivery can be more expensive. The cost of delivery in the areas of Lviv - in the table. Order over 3500 UAH -we deliver free of charge within the city. 🏪 Self -removal. You can also pick up the order in our store in the center of Lviv at: Lviv str. L. Kurbas 7 (Contacts) .🌃 Night Delivery. We deliver flowers around the clock so it is possible to deliver in non -working hours (for example late in the night at night or very early in the morning) the cost of night delivery 300 UAH. Night delivery is possible for pre -ordered and paid bouquets.🎄 Holidays. Delivery conditions on holidays (Christmas New Year Eve March 8, Valentine's Day (February 14) Mother) - Specify with us. The delivery price can be much higher. It is possible to stop receiving orders for delivery - on holidays.⛳ Delivery in Ukraine. Possible delivery to other cities of Lviv region and other cities of Ukraine Details and conditions specify us by phone +38 (068) 2960995 or +38 (032) 2903105.The bouquet you need to deliver? Our customers order courier delivery of flowers to the following places: Flowers home. Most often, bouquet delivery is ordered to your home address. If you do not know the exact address or are not sure that the recipient of the bouquet will be at home - write to us the phone we will clarify the details and agree on the time and place. Just as a common delivery to the office is usually in working hours to greet a colleague. Or to go to the west after work. A convenient option is when the time and place of celebration of birthday. The bouquet will come to the exact time you will not need to look for flowers in stores near the restaurant. Most often, in this case, the bouquet is ordered to the center where in Lviv there are most of the beautiful restaurants. Flowers are flowers at the Lviv Airport or the Station? Let's meet you with a bouquet at the airport after arriving the aircraft or at the train station after the train arrives. Are the train or plane delayed? No problem will not be left without a bouquet. In a maternity hospital. Let's come exactly by the time of discharge let's bring a chic bouquet (or composition) to the birth of a baby. Is your loved one in the hospital? Let's do everything to cheer the mood, and the health depends on the mood. In the hotel. Let's leave the bouquet on the reception or deliver right to the number. A convenient option for tourists who do not know the cities. Beauty or registry office. Frequent place of meeting of the bouquet and bride:) We will bring a bouquet where you need to you. Samvisovv you can pick up the bouquet ordered in advance in our store at the address: Lviv str. L. Kurbas b. 7 (travel scheme). The time of your visit to us will discuss with us by phone. The graphics of the online store and the shop shop work from 9 to 21 7 days a week. The online store accepts orders around the clock. Telephone consultations at the choice and order of bouquets-from 9 to 21 hours without the source of social networks or messengers-write to us at any time. We answer from 9am. If you live abroad in another time zone and can only communicate at night - we are ready for such a turn. Delivery of flowers is carried out daily from 9 to 21 hours. Possible delivery late in the morning early in the morning or even at night the shipping cost in this case 300 UAH. The store online is new to help you choose flowers, we display a video broadcasting of our refrigerator to the site. Payment of flower-paying can be paid: cash upon receipt of a bouquet (courier on delivery or in the store in case Contact us to get the details for payment) And what else do we do besides bouquets? For many Kvitna, these are perfect chic bouquets. But this is not all and many do not know about it! We do: chic flower baskets in hat boxes of bombers in Bergras (our highlight) we design wedding halls with living flowers we create exquisite floral arrangements on wedding tables (young guests). Wedding Photo zones with which all are photographed. The buyer and warns that not all flowers in the bouquet in the season or in stock (and more often all flowers are not in the season and not available) so you need to replace the replacement. They promise to keep the appearance without significant changes or at least preserve the color scheme and the style of the bouquet. It also happens that the packing of the bouquet that liked the same is available. The substances are agreed? The florist collects a bouquet of packing it. The order shoots. Photography of the finished bouquet is sent to the client for approval (this is the best way the responsible flower companies do). If the client likes the client - he is sent for delivery. If the buyer makes adjustments to the bouquet again corrected then sent for photography and the photograph is again sent for approval. In general, order flowers quite a painstaking and not very fast process. How is the bouquet ordering in April? The buyer chooses a bouquet in an online category or in a common tape - Bouquets in stock marked with green base -forming orders paying for it. The bundle is sent for delivery. What advantages do you ask? speed! We will have time to deliver an order within Lviv within 60 minutes. If the bouquet recipient is now in the center of Lviv, it can take about 30 minutes or less. We do not waste time to replace the replacement on the bouquet and approve it in the photo. Without disappointments! No expectations and reality you get the same bouquet in the same packaging as you see in photos or videos (for each bouquet we write a video!) Price guarantee! The bouquet will not be more expensive because the prices for flowers went up. You pay as much as indicated on the bouquet page. We are still different from other flower shops of Lviv? April is not just the delivery of flowers Lviv is not just a flower shop. It is an extraordinary florist that we need to see. So we have a high level of service polite communication attention to the client and his needs. We know our customer what a bouquet and when he ordered from us at what addresses we were shipping. It is easy to evaluate and see - contacting us. But the most important thing you can understand right now on the site is the beauty and design of our bouquets. All of the bouquet photographs are presented on the site - only us! Look, choose! Describe the task of telling the recipient-and we will make and deliver a luxury bouquet of flowers to Lviv recipient will be delighted: an e-mail address to get the answer: we will answer you by the above e-mail) And we also answer the questions on social networks: Facebook : Https://www.facebook.com/kvitnainainstagram: https://instagram.com/kvitna/ well, and the fastest way to order flower delivery is a phone! +38 (068) 2960995 Just 30 seconds and your phone will call). Relocationmaksym huk simple fabulous bouquets! Harmonious made with attention to detail - the love for their business is a constant good mood is guaranteed, although it used the services of florists and here as a real expectoration was. There are bouquets and there are bouquets from Kvitna in general from another league the original reviewsabi petrovae has heard a lot of positive reviews about the company and decided to use their services! Yana has an incredible feeling of beautiful! The bouquet came out gentle and super-beautiful!)) It was very pleased !! Thank youuyuuyuyuyuhiginal response to the boycott of beautiful bouquets. Unusual stylish. Sheaves are simply masterpieces of floristry. It is a pity that the company is not presented in Kiev. Such beauty should be accessed by everyone in all regions of the country. Original response of the Victoria Kroylkvitna or how I found the perfect bouquet. Before the birthday of a girlfriend, a difficult task of finding a beautiful and unusual bouquet always wants to give something special that is associated with a person for whom you choose flowers. The composition turned out to be very individual as a girl for whom the bouquet was intended. The birthday girl was delighted with the main task completed)) If you want to give someone a little moment of happiness and a good mood order bouquets in kvitna) The original response of the Kvitna stroganovitna response is very individual! They create the mood in them so many colors of brightness and interesting details that you can admire them forever! With love your permanent client!) The original respond to sparrow flowers that give a magic mood))) bouquets keep their beauty for more than a week!) Thank you for your spirituality and individual The approach that you put into your creation ossary's reviews: 🚗 How to order flower delivery in Lviv through a site - 1 click (fast) or through a basket (a little longer but you can order a few bouquets at once). Flowers can also be ordered by phone: +38 (068) 2960995 or through messengers by number: +380980584862.💲 How much is the delivery of flowers in Lviv❓ The cost of delivery in the city is 150 UAH. In remote areas and to the cities of Lviv region the cost of delivery can be seen in the table when ordering more than 3500 UAH - delivery within the city is free.🕐 What schedule Night delivery is valid for pre -orders. Les Kurbas 7. Travel scheme. So you can pick up your bouquet yourself. About us payment delivery to ask questions of return and privacy policy of the Cabinet of online quarin ⚡ contacts Kvitna - Extraordinary floristry in Lviv. Bouquets to order. Delivery of flowers. Floristics courses 2023 New in our online store of flowers: bouquets of roses Monobuquets of baskets of flowers. Presentation of flowers in Lviv at order from 3500 UAH - free! Our address: Lviv str. Les Kurbas 7 How to find us with Kvitna one click: Messengerviberwhatsapptelegramemail Phones: +38 (068) 2960995 (from 9:00 to 21:00 daily) 0 800 33 59 65 (free from mobile and urban numbers) Catalog All online Vitrin ⚡ Autumn 🍁 Winter ❄️ Spring 🌿 Summer ☀️ Bouquets Designer bouquets Duo Trio Bouquets Field Bouquets Babules Baby Bouquets Men's Bouquets Buquet Fruit Bouquets Bones Bouquet Bouquets Buquet Bouquets Floral Buquet Men Men Men Men Men From pione roses bouquets from rose rose roses Red roses white roses yellow roses peach roses blue roses rose in a box of roses in a basket 11 roses 9 roses 7 roses Turned roses bouquets of shrub roses bouquets of hydrangea bouquets from dahlias bouquet bouquets bouquets from ranunculus bouquets bouquets from tulips White tulips Red tulips pink tulips tulips Oranga yellows Mr. 45 tulips 39 tulips 35 tulips 33 tulips 31 tulip 29 tulips 25 tulips 23 tulips 23 tulips 21 tulips 19 tulips 17 tulips 15 tulips 11 tulips You're with gerber bouquet bouquets from freesius bouquet bouquet bouquet bouquets from anthurium bouquet bouquet bouquet bouquet bouquet bouquet bouquet bouquet bouquet bouquet bouquet bouquet bouquet bouquet bouquet bouquet bouquet bouquet mu bouquets from the orchids of the holiday Day Christmas Angel Christmas Wreath Christmas Tree Christmas compositions Christmas bouquets Decorations of flowers Wreaths of flowers Flowers and macaroons Flowers Color Price to go to the hand of ordering the bouquet in 1 click name: Phone of customer: Date of receipt: Name of recipient: Phone of the recipient: text of the postcard: convenient delivery time: during the day ( 09:00 - 21:00) Specify in the recipient09: 00 - 11: 0011: 00 - 13: 0013: 00 - 15: 0015: 00 - 17: 0017: 00 - 19: 0019: 00 - 21: 00: 00. Address: Saglassie on the gap of personal data.</v>
      </c>
    </row>
    <row r="309">
      <c r="A309" s="1" t="s">
        <v>1006</v>
      </c>
      <c r="B309" s="1" t="s">
        <v>1007</v>
      </c>
      <c r="D309" s="1">
        <v>1.0</v>
      </c>
      <c r="E309" s="4" t="s">
        <v>1008</v>
      </c>
      <c r="F309" s="1" t="s">
        <v>16</v>
      </c>
      <c r="G309" s="1" t="s">
        <v>1009</v>
      </c>
      <c r="H309" s="4" t="s">
        <v>1010</v>
      </c>
      <c r="I309" s="2">
        <v>1.0</v>
      </c>
      <c r="J309" s="5" t="str">
        <f>IFERROR(__xludf.DUMMYFUNCTION("GOOGLETRANSLATE(A309)"),"public services")</f>
        <v>public services</v>
      </c>
      <c r="K309" s="6" t="str">
        <f>IFERROR(__xludf.DUMMYFUNCTION("GOOGLETRANSLATE(B309)"),"Portal of public services of the Russian Federation")</f>
        <v>Portal of public services of the Russian Federation</v>
      </c>
      <c r="M309" s="5" t="str">
        <f>IFERROR(__xludf.DUMMYFUNCTION("GOOGLETRANSLATE(G309)"),"The portal of public services of the Russian Federation of the Russian Federation will open now the portal works in the same mode. Wait a couple of seconds")</f>
        <v>The portal of public services of the Russian Federation of the Russian Federation will open now the portal works in the same mode. Wait a couple of seconds</v>
      </c>
    </row>
    <row r="310">
      <c r="A310" s="1" t="s">
        <v>1006</v>
      </c>
      <c r="B310" s="1" t="s">
        <v>1011</v>
      </c>
      <c r="D310" s="1">
        <v>2.0</v>
      </c>
      <c r="E310" s="4" t="s">
        <v>1012</v>
      </c>
      <c r="F310" s="1" t="s">
        <v>16</v>
      </c>
      <c r="G310" s="1" t="s">
        <v>120</v>
      </c>
      <c r="H310" s="4" t="s">
        <v>121</v>
      </c>
      <c r="I310" s="2">
        <v>1.0</v>
      </c>
      <c r="J310" s="5" t="str">
        <f>IFERROR(__xludf.DUMMYFUNCTION("GOOGLETRANSLATE(A310)"),"public services")</f>
        <v>public services</v>
      </c>
      <c r="K310" s="6" t="str">
        <f>IFERROR(__xludf.DUMMYFUNCTION("GOOGLETRANSLATE(B310)"),"State services - Apps on Google Play")</f>
        <v>State services - Apps on Google Play</v>
      </c>
      <c r="M310" s="5" t="str">
        <f>IFERROR(__xludf.DUMMYFUNCTION("GOOGLETRANSLATE(G310)"),"Android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11">
      <c r="A311" s="1" t="s">
        <v>1006</v>
      </c>
      <c r="B311" s="1" t="s">
        <v>1013</v>
      </c>
      <c r="D311" s="1">
        <v>3.0</v>
      </c>
      <c r="E311" s="4" t="s">
        <v>1014</v>
      </c>
      <c r="F311" s="1" t="s">
        <v>16</v>
      </c>
      <c r="G311" s="1" t="s">
        <v>34</v>
      </c>
      <c r="H311" s="4" t="s">
        <v>35</v>
      </c>
      <c r="I311" s="2">
        <v>1.0</v>
      </c>
      <c r="J311" s="5" t="str">
        <f>IFERROR(__xludf.DUMMYFUNCTION("GOOGLETRANSLATE(A311)"),"public services")</f>
        <v>public services</v>
      </c>
      <c r="K311" s="6" t="str">
        <f>IFERROR(__xludf.DUMMYFUNCTION("GOOGLETRANSLATE(B311)"),"Public services")</f>
        <v>Public services</v>
      </c>
      <c r="M311" s="5" t="str">
        <f>IFERROR(__xludf.DUMMYFUNCTION("GOOGLETRANSLATE(G311)"),"VK.com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12">
      <c r="A312" s="1" t="s">
        <v>1006</v>
      </c>
      <c r="B312" s="1" t="s">
        <v>1015</v>
      </c>
      <c r="C312" s="1" t="s">
        <v>1016</v>
      </c>
      <c r="D312" s="1">
        <v>4.0</v>
      </c>
      <c r="E312" s="4" t="s">
        <v>1017</v>
      </c>
      <c r="F312" s="1" t="s">
        <v>16</v>
      </c>
      <c r="G312" s="1" t="s">
        <v>97</v>
      </c>
      <c r="H312" s="4" t="s">
        <v>98</v>
      </c>
      <c r="I312" s="2">
        <v>0.0</v>
      </c>
      <c r="J312" s="5" t="str">
        <f>IFERROR(__xludf.DUMMYFUNCTION("GOOGLETRANSLATE(A312)"),"public services")</f>
        <v>public services</v>
      </c>
      <c r="K312" s="6" t="str">
        <f>IFERROR(__xludf.DUMMYFUNCTION("GOOGLETRANSLATE(B312)"),"App Store: District - Apple")</f>
        <v>App Store: District - Apple</v>
      </c>
      <c r="L312" s="5" t="str">
        <f>IFERROR(__xludf.DUMMYFUNCTION("GOOGLETRANSLATE(C312)"),"In an appendix of public services, everyone can receive public services easily and quickly: draw up the necessary documents, sign up for a reception, ...")</f>
        <v>In an appendix of public services, everyone can receive public services easily and quickly: draw up the necessary documents, sign up for a reception, ...</v>
      </c>
      <c r="M312" s="5" t="str">
        <f>IFERROR(__xludf.DUMMYFUNCTION("GOOGLETRANSLATE(G312)"),"App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13">
      <c r="A313" s="1" t="s">
        <v>1006</v>
      </c>
      <c r="B313" s="1" t="s">
        <v>1018</v>
      </c>
      <c r="C313" s="1" t="s">
        <v>1019</v>
      </c>
      <c r="D313" s="1">
        <v>5.0</v>
      </c>
      <c r="E313" s="4" t="s">
        <v>1020</v>
      </c>
      <c r="F313" s="1" t="s">
        <v>16</v>
      </c>
      <c r="G313" s="1" t="s">
        <v>457</v>
      </c>
      <c r="H313" s="4" t="s">
        <v>458</v>
      </c>
      <c r="I313" s="2">
        <v>1.0</v>
      </c>
      <c r="J313" s="5" t="str">
        <f>IFERROR(__xludf.DUMMYFUNCTION("GOOGLETRANSLATE(A313)"),"public services")</f>
        <v>public services</v>
      </c>
      <c r="K313" s="6" t="str">
        <f>IFERROR(__xludf.DUMMYFUNCTION("GOOGLETRANSLATE(B313)"),"Contact @gosuslugi")</f>
        <v>Contact @gosuslugi</v>
      </c>
      <c r="L313" s="5" t="str">
        <f>IFERROR(__xludf.DUMMYFUNCTION("GOOGLETRANSLATE(C313)"),"Public services. 1 049 158 Subscribers. The official channel of the portal of public services of the Russian Federation. VK: vk.com/gosuslugi. OK: Ok.ru ... State Services Right Away.")</f>
        <v>Public services. 1 049 158 Subscribers. The official channel of the portal of public services of the Russian Federation. VK: vk.com/gosuslugi. OK: Ok.ru ... State Services Right Away.</v>
      </c>
      <c r="M313" s="5" t="str">
        <f>IFERROR(__xludf.DUMMYFUNCTION("GOOGLETRANSLATE(G313)"),"Telegram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Premi"&amp;"umOct 28Replies 2.0 Adjustable Link Previews Name Colors and MoreSep 22Stories in Channels View-Once Media and Morea new era of messagingTelegram for AndroidTelegram for iPhone / iPad  Telegram for Windows / Mac / LinuxBrowse more Telegram apps           "&amp;" Telegram for PC / Linux            Telegram for macOSRecent NewsGiveaways in Channels and Free PremiumChannel owners can now launch Giveaways to randomly distribute prizes among their followers. This is great if you want to promote your channel get new s"&amp;"ubscribers or reward existing…Nov 6 2023Replies 2.0 Adjustable Link Previews Name Colors and MoreToday's update lets you quote specific parts of messages when replying send your replies to other chats add quote formatting to any text…Oct 28 2023Why Telegr"&amp;"am?SimpleTelegram is so simple you already know how to use it.PrivateTelegram messages are heavily encrypted and can self-destruct.SyncedTelegram lets you access your chats from multiple devices.FastTelegram delivers messages faster than any other applica"&amp;"tion.PowerfulTelegram has no limits on the size of your media and chats.OpenTelegram has an open API and source code free for everyone.SecureTelegram keeps your messages safe from hacker attacks.SocialTelegram groups can hold up to 200000 members.Expressi"&amp;"veTelegram lets you completely customize your messenger.Telegram      Telegram is a cloud-based mobile and desktop messaging app with a focus on security and speed.    AboutFAQPrivacyPressMobile AppsiPhone/iPadAndroidMobile WebDesktop AppsPC/Mac/LinuxmacO"&amp;"SWeb-browserPlatformAPITranslationsInstant ViewAboutBlogAppsPlatformPress")</f>
        <v>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v>
      </c>
    </row>
    <row r="314">
      <c r="A314" s="1" t="s">
        <v>1006</v>
      </c>
      <c r="B314" s="1" t="s">
        <v>1021</v>
      </c>
      <c r="C314" s="1" t="s">
        <v>1022</v>
      </c>
      <c r="D314" s="1">
        <v>6.0</v>
      </c>
      <c r="E314" s="4" t="s">
        <v>1023</v>
      </c>
      <c r="F314" s="1" t="s">
        <v>16</v>
      </c>
      <c r="I314" s="2">
        <v>1.0</v>
      </c>
      <c r="J314" s="5" t="str">
        <f>IFERROR(__xludf.DUMMYFUNCTION("GOOGLETRANSLATE(A314)"),"public services")</f>
        <v>public services</v>
      </c>
      <c r="K314" s="6" t="str">
        <f>IFERROR(__xludf.DUMMYFUNCTION("GOOGLETRANSLATE(B314)"),"State Services of Moscow / Portal of State Services of Moscow")</f>
        <v>State Services of Moscow / Portal of State Services of Moscow</v>
      </c>
      <c r="L314" s="5" t="str">
        <f>IFERROR(__xludf.DUMMYFUNCTION("GOOGLETRANSLATE(C314)"),"State services of Moscow: From an appointment with a doctor to registration of a car-a single online catalog of all regional, municipal and ... was created on the portal Mos.ru")</f>
        <v>State services of Moscow: From an appointment with a doctor to registration of a car-a single online catalog of all regional, municipal and ... was created on the portal Mos.ru</v>
      </c>
      <c r="M314" s="5" t="str">
        <f>IFERROR(__xludf.DUMMYFUNCTION("GOOGLETRANSLATE(G314)"),"#VALUE!")</f>
        <v>#VALUE!</v>
      </c>
    </row>
    <row r="315">
      <c r="A315" s="1" t="s">
        <v>1006</v>
      </c>
      <c r="B315" s="1" t="s">
        <v>1024</v>
      </c>
      <c r="C315" s="1" t="s">
        <v>1025</v>
      </c>
      <c r="D315" s="1">
        <v>7.0</v>
      </c>
      <c r="E315" s="4" t="s">
        <v>1026</v>
      </c>
      <c r="F315" s="1" t="s">
        <v>16</v>
      </c>
      <c r="I315" s="2">
        <v>1.0</v>
      </c>
      <c r="J315" s="5" t="str">
        <f>IFERROR(__xludf.DUMMYFUNCTION("GOOGLETRANSLATE(A315)"),"public services")</f>
        <v>public services</v>
      </c>
      <c r="K315" s="6" t="str">
        <f>IFERROR(__xludf.DUMMYFUNCTION("GOOGLETRANSLATE(B315)"),"Portal of state and municipal services ...")</f>
        <v>Portal of state and municipal services ...</v>
      </c>
      <c r="L315" s="5" t="str">
        <f>IFERROR(__xludf.DUMMYFUNCTION("GOOGLETRANSLATE(C315)"),"The official portal of public services of the Moscow region. More than 250 public services and services online, relevant information about public services, electronic record in ...")</f>
        <v>The official portal of public services of the Moscow region. More than 250 public services and services online, relevant information about public services, electronic record in ...</v>
      </c>
      <c r="M315" s="5" t="str">
        <f>IFERROR(__xludf.DUMMYFUNCTION("GOOGLETRANSLATE(G315)"),"#VALUE!")</f>
        <v>#VALUE!</v>
      </c>
    </row>
    <row r="316">
      <c r="A316" s="1" t="s">
        <v>1006</v>
      </c>
      <c r="B316" s="1" t="s">
        <v>1027</v>
      </c>
      <c r="D316" s="1">
        <v>8.0</v>
      </c>
      <c r="E316" s="4" t="s">
        <v>1028</v>
      </c>
      <c r="F316" s="1" t="s">
        <v>16</v>
      </c>
      <c r="I316" s="2">
        <v>1.0</v>
      </c>
      <c r="J316" s="5" t="str">
        <f>IFERROR(__xludf.DUMMYFUNCTION("GOOGLETRANSLATE(A316)"),"public services")</f>
        <v>public services</v>
      </c>
      <c r="K316" s="6" t="str">
        <f>IFERROR(__xludf.DUMMYFUNCTION("GOOGLETRANSLATE(B316)"),"State Services of the Republic of Tatarstan")</f>
        <v>State Services of the Republic of Tatarstan</v>
      </c>
      <c r="L316" s="5" t="str">
        <f>IFERROR(__xludf.DUMMYFUNCTION("GOOGLETRANSLATE(C316)"),"#VALUE!")</f>
        <v>#VALUE!</v>
      </c>
      <c r="M316" s="5" t="str">
        <f>IFERROR(__xludf.DUMMYFUNCTION("GOOGLETRANSLATE(G316)"),"#VALUE!")</f>
        <v>#VALUE!</v>
      </c>
    </row>
    <row r="317">
      <c r="A317" s="1" t="s">
        <v>1006</v>
      </c>
      <c r="B317" s="1" t="s">
        <v>1007</v>
      </c>
      <c r="C317" s="1" t="s">
        <v>1029</v>
      </c>
      <c r="D317" s="1">
        <v>9.0</v>
      </c>
      <c r="E317" s="4" t="s">
        <v>1030</v>
      </c>
      <c r="F317" s="1" t="s">
        <v>16</v>
      </c>
      <c r="G317" s="1" t="s">
        <v>31</v>
      </c>
      <c r="H317" s="4" t="s">
        <v>32</v>
      </c>
      <c r="I317" s="2">
        <v>1.0</v>
      </c>
      <c r="J317" s="5" t="str">
        <f>IFERROR(__xludf.DUMMYFUNCTION("GOOGLETRANSLATE(A317)"),"public services")</f>
        <v>public services</v>
      </c>
      <c r="K317" s="6" t="str">
        <f>IFERROR(__xludf.DUMMYFUNCTION("GOOGLETRANSLATE(B317)"),"Portal of public services of the Russian Federation")</f>
        <v>Portal of public services of the Russian Federation</v>
      </c>
      <c r="L317" s="5" t="str">
        <f>IFERROR(__xludf.DUMMYFUNCTION("GOOGLETRANSLATE(C317)"),"Federal State Information System “Unified Portal of State and Municipal Services (Functions)” (Unified Portal of State Services, EPGU, ...")</f>
        <v>Federal State Information System “Unified Portal of State and Municipal Services (Functions)” (Unified Portal of State Services, EPGU, ...</v>
      </c>
      <c r="M317" s="5" t="str">
        <f>IFERROR(__xludf.DUMMYFUNCTION("GOOGLETRANSLATE(G317)"),"Wikipedia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18">
      <c r="A318" s="1" t="s">
        <v>1006</v>
      </c>
      <c r="B318" s="1" t="s">
        <v>1031</v>
      </c>
      <c r="C318" s="1" t="s">
        <v>1032</v>
      </c>
      <c r="D318" s="1">
        <v>10.0</v>
      </c>
      <c r="E318" s="4" t="s">
        <v>1033</v>
      </c>
      <c r="F318" s="1" t="s">
        <v>16</v>
      </c>
      <c r="I318" s="2">
        <v>1.0</v>
      </c>
      <c r="J318" s="5" t="str">
        <f>IFERROR(__xludf.DUMMYFUNCTION("GOOGLETRANSLATE(A318)"),"public services")</f>
        <v>public services</v>
      </c>
      <c r="K318" s="6" t="str">
        <f>IFERROR(__xludf.DUMMYFUNCTION("GOOGLETRANSLATE(B318)"),"Saint Petersburg. Public services")</f>
        <v>Saint Petersburg. Public services</v>
      </c>
      <c r="L318" s="5" t="str">
        <f>IFERROR(__xludf.DUMMYFUNCTION("GOOGLETRANSLATE(C318)"),"The official portal of public services of St. Petersburg. More than 300 public services and services online, relevant information about public services, recording children in kindergarten and school, ...")</f>
        <v>The official portal of public services of St. Petersburg. More than 300 public services and services online, relevant information about public services, recording children in kindergarten and school, ...</v>
      </c>
      <c r="M318" s="5" t="str">
        <f>IFERROR(__xludf.DUMMYFUNCTION("GOOGLETRANSLATE(G318)"),"#VALUE!")</f>
        <v>#VALUE!</v>
      </c>
    </row>
    <row r="319">
      <c r="A319" s="1" t="s">
        <v>1006</v>
      </c>
      <c r="B319" s="1" t="s">
        <v>1034</v>
      </c>
      <c r="C319" s="1" t="s">
        <v>1035</v>
      </c>
      <c r="D319" s="1">
        <v>11.0</v>
      </c>
      <c r="E319" s="4" t="s">
        <v>1036</v>
      </c>
      <c r="F319" s="1" t="s">
        <v>16</v>
      </c>
      <c r="G319" s="1" t="s">
        <v>1037</v>
      </c>
      <c r="H319" s="4" t="s">
        <v>1038</v>
      </c>
      <c r="I319" s="2">
        <v>1.0</v>
      </c>
      <c r="J319" s="5" t="str">
        <f>IFERROR(__xludf.DUMMYFUNCTION("GOOGLETRANSLATE(A319)"),"public services")</f>
        <v>public services</v>
      </c>
      <c r="K319" s="6" t="str">
        <f>IFERROR(__xludf.DUMMYFUNCTION("GOOGLETRANSLATE(B319)"),"Portal of services of the Tyumen region - Home")</f>
        <v>Portal of services of the Tyumen region - Home</v>
      </c>
      <c r="L319" s="5" t="str">
        <f>IFERROR(__xludf.DUMMYFUNCTION("GOOGLETRANSLATE(C319)"),"Check the tax debt online. Using public services is very simple! Enter register. Popular services. Information and reference service. 8 ...")</f>
        <v>Check the tax debt online. Using public services is very simple! Enter register. Popular services. Information and reference service. 8 ...</v>
      </c>
      <c r="M319" s="5" t="str">
        <f>IFERROR(__xludf.DUMMYFUNCTION("GOOGLETRANSLATE(G319)"),"The Portal of the services of the Tyumen region is the main categories to all categories to citizens to legal entities RUS × Clear × Catalog Service and Support for the Catalog Catalog Cataloget. The site uses the web analytics service that uses COOKIE te"&amp;"chnology to analyze user activity. Visiting this site you agree to process data for the purposes of the above. Do you have unprocessed notifications × × clean up abroad? Learn about the rules for the safe return of homewear to know your Innproveti tax deb"&amp;"t to online services is very simple! Support to register the Popopular Service Service 800 100-12-908 3452 56-63-30 Technical Support for the Mistress of the Evaluable Situations Department of the Department of Life Service Service Service Service Service"&amp;" Project Project Podportal Togv. Bernator -Channel Property Self -Government of Portal Heads © 2010 - 2023 Government The Tyumen Region Administrator of the State Committee for Complex of TO CIT TO. The portal is implemented on the ""Sitex"" platform")</f>
        <v>The Portal of the services of the Tyumen region is the main categories to all categories to citizens to legal entities RUS × Clear × Catalog Service and Support for the Catalog Catalog Cataloget. The site uses the web analytics service that uses COOKIE technology to analyze user activity. Visiting this site you agree to process data for the purposes of the above. Do you have unprocessed notifications × × clean up abroad? Learn about the rules for the safe return of homewear to know your Innproveti tax debt to online services is very simple! Support to register the Popopular Service Service 800 100-12-908 3452 56-63-30 Technical Support for the Mistress of the Evaluable Situations Department of the Department of Life Service Service Service Service Service Project Project Podportal Togv. Bernator -Channel Property Self -Government of Portal Heads © 2010 - 2023 Government The Tyumen Region Administrator of the State Committee for Complex of TO CIT TO. The portal is implemented on the "Sitex" platform</v>
      </c>
    </row>
    <row r="320">
      <c r="A320" s="1" t="s">
        <v>1006</v>
      </c>
      <c r="B320" s="1" t="s">
        <v>1039</v>
      </c>
      <c r="D320" s="1">
        <v>12.0</v>
      </c>
      <c r="E320" s="4" t="s">
        <v>1040</v>
      </c>
      <c r="F320" s="1" t="s">
        <v>16</v>
      </c>
      <c r="G320" s="1" t="s">
        <v>1039</v>
      </c>
      <c r="H320" s="4" t="s">
        <v>1041</v>
      </c>
      <c r="I320" s="2">
        <v>1.0</v>
      </c>
      <c r="J320" s="5" t="str">
        <f>IFERROR(__xludf.DUMMYFUNCTION("GOOGLETRANSLATE(A320)"),"public services")</f>
        <v>public services</v>
      </c>
      <c r="K320" s="6" t="str">
        <f>IFERROR(__xludf.DUMMYFUNCTION("GOOGLETRANSLATE(B320)"),"Portal of public services of the Stavropol Territory")</f>
        <v>Portal of public services of the Stavropol Territory</v>
      </c>
      <c r="L320" s="5" t="str">
        <f>IFERROR(__xludf.DUMMYFUNCTION("GOOGLETRANSLATE(C320)"),"#VALUE!")</f>
        <v>#VALUE!</v>
      </c>
      <c r="M320" s="5" t="str">
        <f>IFERROR(__xludf.DUMMYFUNCTION("GOOGLETRANSLATE(G320)"),"Portal of public services of the Stavropol Territory")</f>
        <v>Portal of public services of the Stavropol Territory</v>
      </c>
    </row>
    <row r="321">
      <c r="A321" s="1" t="s">
        <v>1006</v>
      </c>
      <c r="B321" s="1" t="s">
        <v>1042</v>
      </c>
      <c r="D321" s="1">
        <v>13.0</v>
      </c>
      <c r="E321" s="4" t="s">
        <v>1043</v>
      </c>
      <c r="F321" s="1" t="s">
        <v>16</v>
      </c>
      <c r="G321" s="1" t="s">
        <v>1044</v>
      </c>
      <c r="H321" s="4" t="s">
        <v>1045</v>
      </c>
      <c r="I321" s="2">
        <v>1.0</v>
      </c>
      <c r="J321" s="5" t="str">
        <f>IFERROR(__xludf.DUMMYFUNCTION("GOOGLETRANSLATE(A321)"),"public services")</f>
        <v>public services</v>
      </c>
      <c r="K321" s="6" t="str">
        <f>IFERROR(__xludf.DUMMYFUNCTION("GOOGLETRANSLATE(B321)"),"Regional portal of the services of the Kamchatka Territory")</f>
        <v>Regional portal of the services of the Kamchatka Territory</v>
      </c>
      <c r="L321" s="5" t="str">
        <f>IFERROR(__xludf.DUMMYFUNCTION("GOOGLETRANSLATE(C321)"),"#VALUE!")</f>
        <v>#VALUE!</v>
      </c>
      <c r="M321" s="5" t="str">
        <f>IFERROR(__xludf.DUMMYFUNCTION("GOOGLETRANSLATE(G321)"),"The regional portal of the services of the Kamchatka Territory for the work of the portal needs JavaScript your browser is outdated and its support will be discontinued in mid -2020. It is recommended to use another browser (for example, Chrome Yandex.B. "&amp;"Browser) to use the correct work with this portal. Все категорииВсе категорииФизические лицаЮридические лица    Версия для слабовидящих  Выберите районРегиональный портал услуг Камчатского краяКаталог услугНовостиПомощь и поддержкаОплатаОбратная связьВойт"&amp;"иРегистрация2                Найдена ошибка на порталеРазвернутьУведомления для гостейCвернуть                    Найдена ошибка на портале                    Если обнаружили ошибку на портале или у Вас есть предложения то просим направить через форму обр"&amp;"атной связи. Test notification 2 is just an example of a test notification for checking the notification change timer. And now it is also an extended text of the test notice to check the multi -line output of the text of this notification! Hooray! Everyth"&amp;"ing will be fine! × Cleaning example: Record for vaccination by the registration of a vehicle under the contract ... Puts to the winter shift on November 10, 2023 on the portal of state and municipal services of the Kamchatka Territory starts the sale of "&amp;"trips to the suburban stationary children's camps ""Albatros"" and ""Wave"" to the winter shift. Participants of their own and their families can apply for a land plot by participants in a special military operation and their families can apply for regist"&amp;"ration for the provision of land plots on the portal of state and municipal services of Kamchatka Kraapopular Service and tourism health care of the formation of social order and benefit. Time -it -trials. Loading can take up for some time loading, it can"&amp;" take it for some time loading it can take up for some time loading, it can take some time loading for some time, it can take some time the CARE COMPARITHOTO SHOUSE CARKENT CAN TREE ALL CARENS OF ALL CARENTS COMPLETAROSE CAN TREE CARTALOSE CAN TAKE SALLPA"&amp;"RITARY AND SUPPORTION OF THE COMPLETIES AND SUPPORTION © Portal of state and Municipal services of the Kamchatka Territory 2023 AND EVEN! This site collects user metadata (cookies on IP location addresses, etc.) in accordance with the confidentiality poli"&amp;"cy. If you do not want to provide data for storage and processing please leave the site.")</f>
        <v>The regional portal of the services of the Kamchatka Territory for the work of the portal needs JavaScript your browser is outdated and its support will be discontinued in mid -2020. It is recommended to use another browser (for example, Chrome Yandex.B. Browser) to use the correct work with this portal. Все категорииВсе категорииФизические лицаЮридические лица    Версия для слабовидящих  Выберите районРегиональный портал услуг Камчатского краяКаталог услугНовостиПомощь и поддержкаОплатаОбратная связьВойтиРегистрация2                Найдена ошибка на порталеРазвернутьУведомления для гостейCвернуть                    Найдена ошибка на портале                    Если обнаружили ошибку на портале или у Вас есть предложения то просим направить через форму обратной связи. Test notification 2 is just an example of a test notification for checking the notification change timer. And now it is also an extended text of the test notice to check the multi -line output of the text of this notification! Hooray! Everything will be fine! × Cleaning example: Record for vaccination by the registration of a vehicle under the contract ... Puts to the winter shift on November 10, 2023 on the portal of state and municipal services of the Kamchatka Territory starts the sale of trips to the suburban stationary children's camps "Albatros" and "Wave" to the winter shift. Participants of their own and their families can apply for a land plot by participants in a special military operation and their families can apply for registration for the provision of land plots on the portal of state and municipal services of Kamchatka Kraapopular Service and tourism health care of the formation of social order and benefit. Time -it -trials. Loading can take up for some time loading, it can take it for some time loading it can take up for some time loading, it can take some time loading for some time, it can take some time the CARE COMPARITHOTO SHOUSE CARKENT CAN TREE ALL CARENS OF ALL CARENTS COMPLETAROSE CAN TREE CARTALOSE CAN TAKE SALLPARITARY AND SUPPORTION OF THE COMPLETIES AND SUPPORTION © Portal of state and Municipal services of the Kamchatka Territory 2023 AND EVEN! This site collects user metadata (cookies on IP location addresses, etc.) in accordance with the confidentiality policy. If you do not want to provide data for storage and processing please leave the site.</v>
      </c>
    </row>
    <row r="322">
      <c r="A322" s="1" t="s">
        <v>1006</v>
      </c>
      <c r="B322" s="1" t="s">
        <v>1046</v>
      </c>
      <c r="C322" s="1" t="s">
        <v>1047</v>
      </c>
      <c r="D322" s="1">
        <v>14.0</v>
      </c>
      <c r="E322" s="4" t="s">
        <v>1048</v>
      </c>
      <c r="F322" s="1" t="s">
        <v>16</v>
      </c>
      <c r="I322" s="2">
        <v>1.0</v>
      </c>
      <c r="J322" s="5" t="str">
        <f>IFERROR(__xludf.DUMMYFUNCTION("GOOGLETRANSLATE(A322)"),"public services")</f>
        <v>public services</v>
      </c>
      <c r="K322" s="6" t="str">
        <f>IFERROR(__xludf.DUMMYFUNCTION("GOOGLETRANSLATE(B322)"),"Portal of public services of the Tula region")</f>
        <v>Portal of public services of the Tula region</v>
      </c>
      <c r="L322" s="5" t="str">
        <f>IFERROR(__xludf.DUMMYFUNCTION("GOOGLETRANSLATE(C322)"),"State services will report them immediately after the occurrence of an event that gives the right to state support. Now informing is possible in three situations: • at birth ...")</f>
        <v>State services will report them immediately after the occurrence of an event that gives the right to state support. Now informing is possible in three situations: • at birth ...</v>
      </c>
      <c r="M322" s="5" t="str">
        <f>IFERROR(__xludf.DUMMYFUNCTION("GOOGLETRANSLATE(G322)"),"#VALUE!")</f>
        <v>#VALUE!</v>
      </c>
    </row>
    <row r="323">
      <c r="A323" s="1" t="s">
        <v>1006</v>
      </c>
      <c r="B323" s="1" t="s">
        <v>1049</v>
      </c>
      <c r="D323" s="1">
        <v>15.0</v>
      </c>
      <c r="E323" s="4" t="s">
        <v>1050</v>
      </c>
      <c r="F323" s="1" t="s">
        <v>16</v>
      </c>
      <c r="I323" s="2">
        <v>1.0</v>
      </c>
      <c r="J323" s="5" t="str">
        <f>IFERROR(__xludf.DUMMYFUNCTION("GOOGLETRANSLATE(A323)"),"public services")</f>
        <v>public services</v>
      </c>
      <c r="K323" s="6" t="str">
        <f>IFERROR(__xludf.DUMMYFUNCTION("GOOGLETRANSLATE(B323)"),"State services of the Penza region")</f>
        <v>State services of the Penza region</v>
      </c>
      <c r="L323" s="5" t="str">
        <f>IFERROR(__xludf.DUMMYFUNCTION("GOOGLETRANSLATE(C323)"),"#VALUE!")</f>
        <v>#VALUE!</v>
      </c>
      <c r="M323" s="5" t="str">
        <f>IFERROR(__xludf.DUMMYFUNCTION("GOOGLETRANSLATE(G323)"),"#VALUE!")</f>
        <v>#VALUE!</v>
      </c>
    </row>
    <row r="324">
      <c r="A324" s="1" t="s">
        <v>1006</v>
      </c>
      <c r="B324" s="1" t="s">
        <v>1051</v>
      </c>
      <c r="C324" s="1" t="s">
        <v>1052</v>
      </c>
      <c r="D324" s="1">
        <v>16.0</v>
      </c>
      <c r="E324" s="4" t="s">
        <v>1053</v>
      </c>
      <c r="F324" s="1" t="s">
        <v>16</v>
      </c>
      <c r="G324" s="1" t="s">
        <v>1054</v>
      </c>
      <c r="H324" s="4" t="s">
        <v>1055</v>
      </c>
      <c r="I324" s="2">
        <v>1.0</v>
      </c>
      <c r="J324" s="5" t="str">
        <f>IFERROR(__xludf.DUMMYFUNCTION("GOOGLETRANSLATE(A324)"),"public services")</f>
        <v>public services</v>
      </c>
      <c r="K324" s="6" t="str">
        <f>IFERROR(__xludf.DUMMYFUNCTION("GOOGLETRANSLATE(B324)"),"Rospatent. Public services")</f>
        <v>Rospatent. Public services</v>
      </c>
      <c r="L324" s="5" t="str">
        <f>IFERROR(__xludf.DUMMYFUNCTION("GOOGLETRANSLATE(C324)"),"State services: registration of intellectual property, familiarization with the documents of the application, registration of the order and transition of the exclusive law ...")</f>
        <v>State services: registration of intellectual property, familiarization with the documents of the application, registration of the order and transition of the exclusive law ...</v>
      </c>
      <c r="M324" s="5" t="str">
        <f>IFERROR(__xludf.DUMMYFUNCTION("GOOGLETRANSLATE(G324)"),"Federal Intellectual Property Service (Rospatent)-the main page of the Rospatent-Dederal Service for Intellectual Property to the application of the statement of the intellectual property of the Russian Rospatenteo Rospatenteo General Information and the "&amp;"guideline Rospatent subpersonal and the Soviet authorities giya Rospatentent Council of Planning -Statistics of the best inventions of the Years of the Years of the Consum Academy of Education of Financial Management Democents of Patent Rights and Paying "&amp;"Offons of NPA (them certain provisions) containing mandatory requirements of compliance with which are carried out as part of Rospatent of the public service for certification and registration of patent attorneys of the Rubcartol and supervision in the fi"&amp;"eld of legal protection and use of RIDs created at the expense of the budgetary allocations of the federal budgetary of the non -NPA (their individual provisions) containing mandatory requirements, assessment of compliance with compliance which is carried"&amp;" out as part of the control and supervision in the field of legal protection and use of military special and double -purpose RIDs of the NPA (their individual provisions) containing mandatory requirements of the compliance with which is carried out as par"&amp;"t of the control and supervision of legal protection and use of civil purposes of the NPA (their individuals provisions) containing mandatory requirements of compliance with which are carried out within the framework of Rospatent of the authority of the f"&amp;"ounder of educational organizations, international cooperation, regional cooperation of the law enforcement of law enforcement practice, appeal patenting a state-state patent fund for corruption of a webrallicentenes and contractual relations of the certi"&amp;"ficate of attested experts The schedule of the regulatory work of Rospatent for 2019 - 2023 scientific and educational organizations accredited as organizations that can conduct a preliminary information search and preliminary assessment of the patent cap"&amp;"acity of inventions and useful models of the NPA (their separate provisions) containing mandatory requirements for the assessment of compliance with which are carried out by the Rospatent of the public service for the accreditation of scientific and educa"&amp;"tional organizations of the consumption of intellectual property of the following или перехода исключительного праваПродление прекращение и восстановление правовой охраныВнесение изменений в государственные реестрыПризнание товарного знака общеизвестным в"&amp;" РФПубликация решений судовАттестация и регистрация патентных поверенных РФАккредитация научных и образовательных организаций в качестве организаций которые могут проводить предварительный информационный поиск и предварительную оценку патентоспособности и"&amp;"зобретений и полезных моделейДокументы и формыДокументы и формыДокументыФормы Documentation and service -information and service -information resources Rospatientative reception of open -open data from the Platformanalytic Platformanalytic Paneliculator o"&amp;"f Patent and Other Payment for the payment of Patent Duhniysk Paypoles of the House of Patent Rossiral Multimediaglossarios. Reference consultations on topical issues of users from intellectual property security for contact contacts of phones to provide c"&amp;"onsultations and certificate services for the statement 19 Documentary -Patent attorneys for frequently asked questions of the Russian government, Russian -General Information and the leadership of the Rospatent -propelled Undercontrollation institutions "&amp;"of the college and deliberative college of the Rospatenti -Planning Reporting Reports of the best inventions of the years of the year Patent right -handed pentilers and payment attorneys of the NPA (their individual provisions) containing mandatory requir"&amp;"ements for compliance with which are carried out as part of Rospatent of the public certification service and the registration of patent attorneys of the Rubontrol and supervision in the field of legal protection and the use of RIDs created by the budget "&amp;"allocations of the federal budgetary of the NPA (their individual provisions) containing mandatory requirements of the compliance with which are carried out as part of the control and supervision of legal protection and use of the military special and dou"&amp;"ble the appointment of the LPU (their individual provisions) containing mandatory requirements for compliance with which is carried out as part of control and supervision in the field of legal protection and use of civil purposes of the NPA (their individ"&amp;"ual provisions) containing mandatory requirements for compliance with which is carried out by the execution of the authority of the founder of educational organizations of the institutions of obsequious cooperation Cooperation of the Supervisory Practitio"&amp;"ner of the Law Enforcement Practical Practice Purchase Plane Patent of the Patent Fund Fundation of the Corruption Conference of the Webranial Corruption and Contractual Relations between the certified experts of the regulatory work of Rospatent for 2019-"&amp;"2023 Scientific and educational organizations accredited Conduct a preliminary information search and preliminary assessment of the patentability of inventions and useful models NPA (their separate provisions) containing mandatory requirements for complia"&amp;"nce with which is carried out as part of Rospatent of the public service for the accreditation of scientific and educational organizations of the intellectual property of intellectual property, the application with the documents Application of the disposa"&amp;"l or transition of exclusive right -handed termination and restoration of legal protection to state registration of the trademark as well -known in the Russian Federation publication decisions of navigation and registration of patent attorneys Rfakcredita"&amp;"tion of scientific and educational organizations as organizations that can carry out preliminary information search and preliminary assessment of the patent capacity of inventions and useful models and forms of documentation and service -information resou"&amp;"rces of the Federal -Penettestive Record -opened reporting Platformalcalcalcalcalcalcalcalk Patent and other departure for the payment of a patent deduct for Paying Paypois. Chambers on Patent Patent Brands of Russia-Multimedimediaglossariya-frequently as"&amp;"ked form-consulting issues of consultation on relevant issues of users of the intellectual property of telephones to provide consultations and certificates of the Russian Service 19th Rosspatente-General Information and the Guide Departmental institutions"&amp;" of the collegial and advisory authorities of the Federal Air Transport Agency of the Federal Air Transport Agency Planning -Statistics of the Great Inventions of the Years of the Years of the Couquin -Schoolbacininations of the Quality of Financial Manag"&amp;"ementing Patent Rights Paying attorneys of the NPA (their individual provisions) containing mandatory requirements for compliance with which are carried out as part of the Rospatent of the public service for certification and registration of patent attorn"&amp;"eys of the Rubcontrol and supervision in the field of legal protection and the use of RIDs created by budget allocations of the federal budgetary transmission (their individual provisions) containing mandatory requirements of compliance with which are car"&amp;"ried out as part of control and supervision in the field of legal protection and use of military special and double -purpose RIDs of the NPA (their individual provisions) containing mandatory requirements for compliance with which are carried out as part "&amp;"of the control and supervision of legal protection and use of civilian the appointment of the EPPU (their separate provisions) containing mandatory requirements for compliance with which is carried out as part of Rospatent of the authority of the founder "&amp;"of educational organizations by international cooperation by the regional cooperation of law enforcement of law enforcement practices of the appeal of a state -state patenting funding conferencing webinaries and contractual relations certified expert-sche"&amp;"dule of the regulatory work of Rospatent for 2019-2023 Scientific and educational organizations accredited as organizations that can conduct a preliminary information search and preliminary assessment of the patentability of inventions and useful models o"&amp;"f the NPA (their separate provisions) containing mandatory requirements for compliance with which are carried out by Rospatent of the public service for accreditation of scientific and educational organizations of intellectual objects ownership with docum"&amp;"ents, the application for the order or transition of exclusive right -handed to terminate and restore legal protection of changes to state registry of the trademark to be well -known to the Russian Suppest and registration of patent attorneys RFaccredatio"&amp;"n of scientific and educational organizations as organizations that may conduct a preliminary information search and preliminary evaluation Modeling and forms of documents of the document documentation and service -storage -information resources Rospatien"&amp;"tative reception of open -open data from the City City Platformanalytic Panelicalator of Patent and Other Payment Payposysk Paypois Paypoles for Patent Rossiyal Brands of Russia -Multimediaglary -Removement. Form of feedback from an some kind of consultat"&amp;"ion on topical issues of users of the intellectual property of intellectual property of contacts of phones to provide consultations and certificates of the Service of the Teek : Rospatent stimulates the creation and commercialization of developments on No"&amp;"vember 10, 2023 20: 00na, the site of the contest “My Country - My Russia” discussed the issues of protecting intellectual property on November 9, 2023 20: 00ure tooths: intellectual property becomes more and more an economic asset and object of investmen"&amp;"t on November 7, 2023 18: 09 how to submit an application through EPGU: the most relevant information on changes in the procedures for obtaining public services of Rospatent November 7, 2023 10: 20 RESPETEN Opened the exposition of regional brands on Nove"&amp;"mber 4, 2023 08: 00 Sumyanieneevebinar WIS: Marrakesh agreement Stevbinar VIS: Transition to the National Phazuema of Users of the RST! - Help make our services even more convenient and more accessible to the candidates for patent attorneys! On October 27"&amp;", 2023, a meeting of the qualification commission of Rospatentialog VIS was held: the indigenous peoples of cultural expressions and modographic examinations for certification of patent attorneys of the Russian Federation for 2024 on the dynamics of paten"&amp;"ting in the RFU on June 29, individuals will be able to register commercial signature and accessibility of public services by the Rospatrodentacalendary14 - November 16 - November 16 - November 16 - November 16 - November 16 - November 16 - November 16 - "&amp;"November 16 - November 16 2023. VI Professor Forum ""Science and Education as the basis of the development of Russia. Personnel for an innovative economy"" (Moscow) November 14, 2023. Round table: ""The introduction of artificial intelligence technology i"&amp;"n business and the state as the main trend of 2024-2030"" (Moscow) November 16 - 17, 2023. The All -Russian Forum of young inventors (V. Novgorod) November 16, 2023. ""Forum of artificial intelligence ethics: generation GPT. Red lines: https://www.aiethic"&amp;".ru/"". The ceremony of joining organizations to the Ethics Code in the field of artificial intelligence. (Moscow) November 20-21, 2023. Fair of food and healthcare products (Moscow) on November 21-24, 2023. XXIII International Scientific and Practical Co"&amp;"nference ""Kutafin Readings"" of Moscow State Law University named after O.E. Kutafina (MGUA Moscow) November 24, 2023. The award ceremony of the First Russian Prize IP Russia Awards 2023 (Moscow) on November 28 - 30, 2023. III Congress of young scientist"&amp;"s. The final of the All -Russian Competition of the Warrior ""Inventor of the Year"" (Sochi Science and Art Park ""Sirius"" Federal Territory ""Sirius"") November 29, 2023. A meeting of the Academic Council of the Federal Institute of Industrial Property "&amp;"(Moscow) on December 5 - 7, 2023. Another meeting of the administrative council of the Eurasian Patent Organization (AC EAPO) (Moscow) December 6, 2023. II Eurasian Intellectual Property Conference and Technologies ""IP Eurasia/IP India*2023"" (Moscow) De"&amp;"cember 7, 2023. XXXII International Scientific and Practical Conference ""Media Law-2023"" (UNESCO Department for the author The right of the related cultural and information rights of the Higher School of Economics Moscow) Patent Nedikak new technologies"&amp;" help control the unmanned vehicle safe? November 10, 2023 14: 03 Press on Rospatentenosta: Rospatent refuted the “confiscation” of the trademarks of Sberbank and Kalashnikov on November 3, 2023 14: 04vs News Patent of the Week Calendar Press on Rospatent"&amp;"rssSS to the subscription page is there a problem with intellectual property protection? Report to Rospatent to write an invention-male modeling modeling signal sign of the name of the place of origin of the Production Product for euchasia of the data of "&amp;"the integral microcircuits of intellectual property of intellectual property and samples of filling the penta and other dedication forms to pay for the patent duty -bylgotypois payments received by the Federal Penitentiary Patient Patent Patent Patent Pat"&amp;"hetical Persons. Patent disputes of objections and statements in the Patent Patent Patent Planning Practical Practical Practical Practice (NMPT) Pre -trial appeal of the Information Resources Conducting Conductive Experts of the certified experts on frequ"&amp;"ently asked issues (FAQ) consultations on relevant issues on the site of the site on the site of the service -state registration of the invention and the issuance of a patent for The invention of his duplicate registration of the trademark of the trademar"&amp;"k of the collective pronoun is a state -state registration of a utility model and the issuance of a patent for a useful model its duplicate registration of an industrial design and the issuance of a patent for an industrial design of its duplicate registr"&amp;"ation of a program for electronic computing machines or databases of a given indication with applications for a geographical indication of the place of origin Productive registration of an order on the agreement of the exclusive right to a trademark of th"&amp;"e validity of the patenting of the patenting of the patenting of the state registers of the inventions of useful models of industrial models of the Russian Federation to the state registers of trademarks of geographical indications of the names of places "&amp;"of origin of the goods are listed of well -known TK and also in the certificate. The transformation of the collective sign into a trademark and the defense of the scientific and educational organizations as organizations that can conduct a preliminary inf"&amp;"ormation search and preliminary assessment of the patentability of inventions and useful model information reports on the submission of documents in electronic form by the representative of the Service of the Service Service of the Service of the Control "&amp;"Service and Supervision in the Sphere of Legal Protection and Use Protection of the interests of the state in relation to the RID VSD -national cooperation • The PCT system • Madrid system • The Hague system • PPh -regional cooperation of corruption of th"&amp;"e federal budget for income and expenditures Proper institutions of the Industrial Property Academy of Intellectual Property Academy of Intellectual Property Agency Legal protection of the results of intellectual activity of a military special and dual pu"&amp;"rpose of open -open Rospatentrospatent In the system, open government, opened data from the Rospatentent Council for the quality of the quality of the financial management of the financial management of the Kupkupkukokos-Service 83-fyshealization of the G"&amp;"overnment of the Russian Federation No. 1722 are references. Gosmonitoring -Control map of the site179tys. submitted applications2 510 -patent attorneys2 296 employees of26Electronic service, a public declaration of goals and objectives for 2023 God -publ"&amp;"ic declaration of goals and objectives for 2022 Godstastic of the current security documents100 of the best inventions of the Russian -General Report Rospatententenarpatent launched a new digital platform on March29, 2022 15: 00vs of the accentuate of the"&amp;" latest renewal. Pages: 05/26/2022 12: 33VS updating the Service Service +7 (499) 240-6015rospatent@rospatent.gov.ru Consultations on general issues+7 (499) 240-5842Fips@rupto.ru Citizenship-Electronic Form of Message Strategic Communications+7 (495) 531-"&amp;"6696PRCTO.RU admission and consideration of citizens' appeals+7 (495) 531-6650 Prophetic Institutional Institute of Industrial Property Property Academy of Intellectual Property Federal Agency for the Legal Protection of the Results of Military Special an"&amp;"d Double Purpose of the Resistance of Tuismaders Systems Systems Systems Council Crowned recyclable dialogs of the formlifting mare, the Great -Great -Block -Verkhinvide -Khlokchanvide -Kholkhonalic -conferences -conferences of the Authorchimedkazanlegala"&amp;"galaegalaegalaegalaegalaegalaelectron submitted international cooperation cooperation transformation -b and pre -nyefref -industry -industrial instructions 2012-2023 Rospatentinformation about the site Write in the technical support service of the Support"&amp;"-in-hand version to turn off the picture size font font font font 1.5 augered font 2 interval between letters (Kerning): Conventional Bolsheiuy.")</f>
        <v>Federal Intellectual Property Service (Rospatent)-the main page of the Rospatent-Dederal Service for Intellectual Property to the application of the statement of the intellectual property of the Russian Rospatenteo Rospatenteo General Information and the guideline Rospatent subpersonal and the Soviet authorities giya Rospatentent Council of Planning -Statistics of the best inventions of the Years of the Years of the Consum Academy of Education of Financial Management Democents of Patent Rights and Paying Offons of NPA (them certain provisions) containing mandatory requirements of compliance with which are carried out as part of Rospatent of the public service for certification and registration of patent attorneys of the Rubcartol and supervision in the field of legal protection and use of RIDs created at the expense of the budgetary allocations of the federal budgetary of the non -NPA (their individual provisions) containing mandatory requirements, assessment of compliance with compliance which is carried out as part of the control and supervision in the field of legal protection and use of military special and double -purpose RIDs of the NPA (their individual provisions) containing mandatory requirements of the compliance with which is carried out as part of the control and supervision of legal protection and use of civil purposes of the NPA (their individuals provisions) containing mandatory requirements of compliance with which are carried out within the framework of Rospatent of the authority of the founder of educational organizations, international cooperation, regional cooperation of the law enforcement of law enforcement practice, appeal patenting a state-state patent fund for corruption of a webrallicentenes and contractual relations of the certificate of attested experts The schedule of the regulatory work of Rospatent for 2019 - 2023 scientific and educational organizations accredited as organizations that can conduct a preliminary information search and preliminary assessment of the patent capacity of inventions and useful models of the NPA (their separate provisions) containing mandatory requirements for the assessment of compliance with which are carried out by the Rospatent of the public service for the accreditation of scientific and educational organizations of the consumption of intellectual property of the following или перехода исключительного праваПродление прекращение и восстановление правовой охраныВнесение изменений в государственные реестрыПризнание товарного знака общеизвестным в РФПубликация решений судовАттестация и регистрация патентных поверенных РФАккредитация научных и образовательных организаций в качестве организаций которые могут проводить предварительный информационный поиск и предварительную оценку патентоспособности изобретений и полезных моделейДокументы и формыДокументы и формыДокументыФормы Documentation and service -information and service -information resources Rospatientative reception of open -open data from the Platformanalytic Platformanalytic Paneliculator of Patent and Other Payment for the payment of Patent Duhniysk Paypoles of the House of Patent Rossiral Multimediaglossarios. Reference consultations on topical issues of users from intellectual property security for contact contacts of phones to provide consultations and certificate services for the statement 19 Documentary -Patent attorneys for frequently asked questions of the Russian government, Russian -General Information and the leadership of the Rospatent -propelled Undercontrollation institutions of the college and deliberative college of the Rospatenti -Planning Reporting Reports of the best inventions of the years of the year Patent right -handed pentilers and payment attorneys of the NPA (their individual provisions) containing mandatory requirements for compliance with which are carried out as part of Rospatent of the public certification service and the registration of patent attorneys of the Rubontrol and supervision in the field of legal protection and the use of RIDs created by the budget allocations of the federal budgetary of the NPA (their individual provisions) containing mandatory requirements of the compliance with which are carried out as part of the control and supervision of legal protection and use of the military special and double the appointment of the LPU (their individual provisions) containing mandatory requirements for compliance with which is carried out as part of control and supervision in the field of legal protection and use of civil purposes of the NPA (their individual provisions) containing mandatory requirements for compliance with which is carried out by the execution of the authority of the founder of educational organizations of the institutions of obsequious cooperation Cooperation of the Supervisory Practitioner of the Law Enforcement Practical Practice Purchase Plane Patent of the Patent Fund Fundation of the Corruption Conference of the Webranial Corruption and Contractual Relations between the certified experts of the regulatory work of Rospatent for 2019-2023 Scientific and educational organizations accredited Conduct a preliminary information search and preliminary assessment of the patentability of inventions and useful models NPA (their separate provisions) containing mandatory requirements for compliance with which is carried out as part of Rospatent of the public service for the accreditation of scientific and educational organizations of the intellectual property of intellectual property, the application with the documents Application of the disposal or transition of exclusive right -handed termination and restoration of legal protection to state registration of the trademark as well -known in the Russian Federation publication decisions of navigation and registration of patent attorneys Rfakcreditation of scientific and educational organizations as organizations that can carry out preliminary information search and preliminary assessment of the patent capacity of inventions and useful models and forms of documentation and service -information resources of the Federal -Penettestive Record -opened reporting Platformalcalcalcalcalcalcalcalk Patent and other departure for the payment of a patent deduct for Paying Paypois. Chambers on Patent Patent Brands of Russia-Multimedimediaglossariya-frequently asked form-consulting issues of consultation on relevant issues of users of the intellectual property of telephones to provide consultations and certificates of the Russian Service 19th Rosspatente-General Information and the Guide Departmental institutions of the collegial and advisory authorities of the Federal Air Transport Agency of the Federal Air Transport Agency Planning -Statistics of the Great Inventions of the Years of the Years of the Couquin -Schoolbacininations of the Quality of Financial Managementing Patent Rights Paying attorneys of the NPA (their individual provisions) containing mandatory requirements for compliance with which are carried out as part of the Rospatent of the public service for certification and registration of patent attorneys of the Rubcontrol and supervision in the field of legal protection and the use of RIDs created by budget allocations of the federal budgetary transmission (their individual provisions) containing mandatory requirements of compliance with which are carried out as part of control and supervision in the field of legal protection and use of military special and double -purpose RIDs of the NPA (their individual provisions) containing mandatory requirements for compliance with which are carried out as part of the control and supervision of legal protection and use of civilian the appointment of the EPPU (their separate provisions) containing mandatory requirements for compliance with which is carried out as part of Rospatent of the authority of the founder of educational organizations by international cooperation by the regional cooperation of law enforcement of law enforcement practices of the appeal of a state -state patenting funding conferencing webinaries and contractual relations certified expert-schedule of the regulatory work of Rospatent for 2019-2023 Scientific and educational organizations accredited as organizations that can conduct a preliminary information search and preliminary assessment of the patentability of inventions and useful models of the NPA (their separate provisions) containing mandatory requirements for compliance with which are carried out by Rospatent of the public service for accreditation of scientific and educational organizations of intellectual objects ownership with documents, the application for the order or transition of exclusive right -handed to terminate and restore legal protection of changes to state registry of the trademark to be well -known to the Russian Suppest and registration of patent attorneys RFaccredation of scientific and educational organizations as organizations that may conduct a preliminary information search and preliminary evaluation Modeling and forms of documents of the document documentation and service -storage -information resources Rospatientative reception of open -open data from the City City Platformanalytic Panelicalator of Patent and Other Payment Payposysk Paypois Paypoles for Patent Rossiyal Brands of Russia -Multimediaglary -Removement. Form of feedback from an some kind of consultation on topical issues of users of the intellectual property of intellectual property of contacts of phones to provide consultations and certificates of the Service of the Teek : Rospatent stimulates the creation and commercialization of developments on November 10, 2023 20: 00na, the site of the contest “My Country - My Russia” discussed the issues of protecting intellectual property on November 9, 2023 20: 00ure tooths: intellectual property becomes more and more an economic asset and object of investment on November 7, 2023 18: 09 how to submit an application through EPGU: the most relevant information on changes in the procedures for obtaining public services of Rospatent November 7, 2023 10: 20 RESPETEN Opened the exposition of regional brands on November 4, 2023 08: 00 Sumyanieneevebinar WIS: Marrakesh agreement Stevbinar VIS: Transition to the National Phazuema of Users of the RST! - Help make our services even more convenient and more accessible to the candidates for patent attorneys! On October 27, 2023, a meeting of the qualification commission of Rospatentialog VIS was held: the indigenous peoples of cultural expressions and modographic examinations for certification of patent attorneys of the Russian Federation for 2024 on the dynamics of patenting in the RFU on June 29, individuals will be able to register commercial signature and accessibility of public services by the Rospatrodentacalendary14 - November 16 - November 16 - November 16 - November 16 - November 16 - November 16 - November 16 - November 16 - November 16 2023. VI Professor Forum "Science and Education as the basis of the development of Russia. Personnel for an innovative economy" (Moscow) November 14, 2023. Round table: "The introduction of artificial intelligence technology in business and the state as the main trend of 2024-2030" (Moscow) November 16 - 17, 2023. The All -Russian Forum of young inventors (V. Novgorod) November 16, 2023. "Forum of artificial intelligence ethics: generation GPT. Red lines: https://www.aiethic.ru/". The ceremony of joining organizations to the Ethics Code in the field of artificial intelligence. (Moscow) November 20-21, 2023. Fair of food and healthcare products (Moscow) on November 21-24, 2023. XXIII International Scientific and Practical Conference "Kutafin Readings" of Moscow State Law University named after O.E. Kutafina (MGUA Moscow) November 24, 2023. The award ceremony of the First Russian Prize IP Russia Awards 2023 (Moscow) on November 28 - 30, 2023. III Congress of young scientists. The final of the All -Russian Competition of the Warrior "Inventor of the Year" (Sochi Science and Art Park "Sirius" Federal Territory "Sirius") November 29, 2023. A meeting of the Academic Council of the Federal Institute of Industrial Property (Moscow) on December 5 - 7, 2023. Another meeting of the administrative council of the Eurasian Patent Organization (AC EAPO) (Moscow) December 6, 2023. II Eurasian Intellectual Property Conference and Technologies "IP Eurasia/IP India*2023" (Moscow) December 7, 2023. XXXII International Scientific and Practical Conference "Media Law-2023" (UNESCO Department for the author The right of the related cultural and information rights of the Higher School of Economics Moscow) Patent Nedikak new technologies help control the unmanned vehicle safe? November 10, 2023 14: 03 Press on Rospatentenosta: Rospatent refuted the “confiscation” of the trademarks of Sberbank and Kalashnikov on November 3, 2023 14: 04vs News Patent of the Week Calendar Press on RospatentrssSS to the subscription page is there a problem with intellectual property protection? Report to Rospatent to write an invention-male modeling modeling signal sign of the name of the place of origin of the Production Product for euchasia of the data of the integral microcircuits of intellectual property of intellectual property and samples of filling the penta and other dedication forms to pay for the patent duty -bylgotypois payments received by the Federal Penitentiary Patient Patent Patent Patent Pathetical Persons. Patent disputes of objections and statements in the Patent Patent Patent Planning Practical Practical Practical Practice (NMPT) Pre -trial appeal of the Information Resources Conducting Conductive Experts of the certified experts on frequently asked issues (FAQ) consultations on relevant issues on the site of the site on the site of the service -state registration of the invention and the issuance of a patent for The invention of his duplicate registration of the trademark of the trademark of the collective pronoun is a state -state registration of a utility model and the issuance of a patent for a useful model its duplicate registration of an industrial design and the issuance of a patent for an industrial design of its duplicate registration of a program for electronic computing machines or databases of a given indication with applications for a geographical indication of the place of origin Productive registration of an order on the agreement of the exclusive right to a trademark of the validity of the patenting of the patenting of the patenting of the state registers of the inventions of useful models of industrial models of the Russian Federation to the state registers of trademarks of geographical indications of the names of places of origin of the goods are listed of well -known TK and also in the certificate. The transformation of the collective sign into a trademark and the defense of the scientific and educational organizations as organizations that can conduct a preliminary information search and preliminary assessment of the patentability of inventions and useful model information reports on the submission of documents in electronic form by the representative of the Service of the Service Service of the Service of the Control Service and Supervision in the Sphere of Legal Protection and Use Protection of the interests of the state in relation to the RID VSD -national cooperation • The PCT system • Madrid system • The Hague system • PPh -regional cooperation of corruption of the federal budget for income and expenditures Proper institutions of the Industrial Property Academy of Intellectual Property Academy of Intellectual Property Agency Legal protection of the results of intellectual activity of a military special and dual purpose of open -open Rospatentrospatent In the system, open government, opened data from the Rospatentent Council for the quality of the quality of the financial management of the financial management of the Kupkupkukokos-Service 83-fyshealization of the Government of the Russian Federation No. 1722 are references. Gosmonitoring -Control map of the site179tys. submitted applications2 510 -patent attorneys2 296 employees of26Electronic service, a public declaration of goals and objectives for 2023 God -public declaration of goals and objectives for 2022 Godstastic of the current security documents100 of the best inventions of the Russian -General Report Rospatententenarpatent launched a new digital platform on March29, 2022 15: 00vs of the accentuate of the latest renewal. Pages: 05/26/2022 12: 33VS updating the Service Service +7 (499) 240-6015rospatent@rospatent.gov.ru Consultations on general issues+7 (499) 240-5842Fips@rupto.ru Citizenship-Electronic Form of Message Strategic Communications+7 (495) 531-6696PRCTO.RU admission and consideration of citizens' appeals+7 (495) 531-6650 Prophetic Institutional Institute of Industrial Property Property Academy of Intellectual Property Federal Agency for the Legal Protection of the Results of Military Special and Double Purpose of the Resistance of Tuismaders Systems Systems Systems Council Crowned recyclable dialogs of the formlifting mare, the Great -Great -Block -Verkhinvide -Khlokchanvide -Kholkhonalic -conferences -conferences of the Authorchimedkazanlegalagalaegalaegalaegalaegalaegalaelectron submitted international cooperation cooperation transformation -b and pre -nyefref -industry -industrial instructions 2012-2023 Rospatentinformation about the site Write in the technical support service of the Support-in-hand version to turn off the picture size font font font font 1.5 augered font 2 interval between letters (Kerning): Conventional Bolsheiuy.</v>
      </c>
    </row>
    <row r="325">
      <c r="A325" s="1" t="s">
        <v>1006</v>
      </c>
      <c r="B325" s="1" t="s">
        <v>1056</v>
      </c>
      <c r="D325" s="1">
        <v>17.0</v>
      </c>
      <c r="E325" s="4" t="s">
        <v>1057</v>
      </c>
      <c r="F325" s="1" t="s">
        <v>16</v>
      </c>
      <c r="I325" s="2">
        <v>1.0</v>
      </c>
      <c r="J325" s="5" t="str">
        <f>IFERROR(__xludf.DUMMYFUNCTION("GOOGLETRANSLATE(A325)"),"public services")</f>
        <v>public services</v>
      </c>
      <c r="K325" s="6" t="str">
        <f>IFERROR(__xludf.DUMMYFUNCTION("GOOGLETRANSLATE(B325)"),"Home - the regional portal of state and ...")</f>
        <v>Home - the regional portal of state and ...</v>
      </c>
      <c r="L325" s="5" t="str">
        <f>IFERROR(__xludf.DUMMYFUNCTION("GOOGLETRANSLATE(C325)"),"#VALUE!")</f>
        <v>#VALUE!</v>
      </c>
      <c r="M325" s="5" t="str">
        <f>IFERROR(__xludf.DUMMYFUNCTION("GOOGLETRANSLATE(G325)"),"#VALUE!")</f>
        <v>#VALUE!</v>
      </c>
    </row>
    <row r="326">
      <c r="A326" s="1" t="s">
        <v>1006</v>
      </c>
      <c r="B326" s="1" t="s">
        <v>1058</v>
      </c>
      <c r="C326" s="1" t="s">
        <v>1059</v>
      </c>
      <c r="D326" s="1">
        <v>18.0</v>
      </c>
      <c r="E326" s="4" t="s">
        <v>1060</v>
      </c>
      <c r="F326" s="1" t="s">
        <v>16</v>
      </c>
      <c r="G326" s="1" t="s">
        <v>1061</v>
      </c>
      <c r="H326" s="4" t="s">
        <v>1062</v>
      </c>
      <c r="I326" s="2">
        <v>1.0</v>
      </c>
      <c r="J326" s="5" t="str">
        <f>IFERROR(__xludf.DUMMYFUNCTION("GOOGLETRANSLATE(A326)"),"public services")</f>
        <v>public services</v>
      </c>
      <c r="K326" s="6" t="str">
        <f>IFERROR(__xludf.DUMMYFUNCTION("GOOGLETRANSLATE(B326)"),"Personal office of citizens of the Kemerovo region")</f>
        <v>Personal office of citizens of the Kemerovo region</v>
      </c>
      <c r="L326" s="5" t="str">
        <f>IFERROR(__xludf.DUMMYFUNCTION("GOOGLETRANSLATE(C326)"),"Entrance through the public service account is available only for parents, for students the opportunity will be added later. To come in. Enter through public services · Registration. Problems ...")</f>
        <v>Entrance through the public service account is available only for parents, for students the opportunity will be added later. To come in. Enter through public services · Registration. Problems ...</v>
      </c>
      <c r="M326" s="5" t="str">
        <f>IFERROR(__xludf.DUMMYFUNCTION("GOOGLETRANSLATE(G326)"),"Personal cabinet of citizens of the Kemerovo region of the wire*was made in Kuzbass ** for Kuzbass password? Possibilities of the service submitting applications for registering and enrolling children in educational institutions implementing the basic gen"&amp;"eral educational program of preschool education (kindergartens) Monitoring the movement of the queue in kindergarten submitting applications for enrolling children in educational institutions implementing the basic general educational program (school) Mon"&amp;"itoring the current and final academic performance child control of the attendance of a child of an educational institution. Obtaining relevant school news Communication with employees of an educational institution (school) submitting applications for enr"&amp;"olling children in educational institutions implementing an additional general educational program submitting an application for a certificate of personified financing, the formation of a portfolio of a student how to access the service access to the serv"&amp;"ice “Personal The office of a citizen of the Kemerovo region ”is carried out in one of two ways: with the help of a login and password received when putting a child to a queue in a kindergarten during personal reception. For students and their parents, lo"&amp;"gin/password must be obtained at school. Using the account of a unified identification and authentication system (ESIA) - details of access used for authorization on a single portal of state and municipal services. Navigator of additional education of Kuz"&amp;"bass children go to the navigator")</f>
        <v>Personal cabinet of citizens of the Kemerovo region of the wire*was made in Kuzbass ** for Kuzbass password? Possibilities of the service submitting applications for registering and enrolling children in educational institutions implementing the basic general educational program of preschool education (kindergartens) Monitoring the movement of the queue in kindergarten submitting applications for enrolling children in educational institutions implementing the basic general educational program (school) Monitoring the current and final academic performance child control of the attendance of a child of an educational institution. Obtaining relevant school news Communication with employees of an educational institution (school) submitting applications for enrolling children in educational institutions implementing an additional general educational program submitting an application for a certificate of personified financing, the formation of a portfolio of a student how to access the service access to the service “Personal The office of a citizen of the Kemerovo region ”is carried out in one of two ways: with the help of a login and password received when putting a child to a queue in a kindergarten during personal reception. For students and their parents, login/password must be obtained at school. Using the account of a unified identification and authentication system (ESIA) - details of access used for authorization on a single portal of state and municipal services. Navigator of additional education of Kuzbass children go to the navigator</v>
      </c>
    </row>
    <row r="327">
      <c r="A327" s="1" t="s">
        <v>1006</v>
      </c>
      <c r="B327" s="1" t="s">
        <v>1063</v>
      </c>
      <c r="C327" s="1" t="s">
        <v>1064</v>
      </c>
      <c r="D327" s="1">
        <v>3.0</v>
      </c>
      <c r="E327" s="4" t="s">
        <v>1065</v>
      </c>
      <c r="F327" s="1" t="s">
        <v>43</v>
      </c>
      <c r="G327" s="1" t="s">
        <v>120</v>
      </c>
      <c r="H327" s="4" t="s">
        <v>121</v>
      </c>
      <c r="I327" s="2">
        <v>2.0</v>
      </c>
      <c r="J327" s="5" t="str">
        <f>IFERROR(__xludf.DUMMYFUNCTION("GOOGLETRANSLATE(A327)"),"public services")</f>
        <v>public services</v>
      </c>
      <c r="K327" s="6" t="str">
        <f>IFERROR(__xludf.DUMMYFUNCTION("GOOGLETRANSLATE(B327)"),"Goshuvs - Applications on Google Play")</f>
        <v>Goshuvs - Applications on Google Play</v>
      </c>
      <c r="L327" s="5" t="str">
        <f>IFERROR(__xludf.DUMMYFUNCTION("GOOGLETRANSLATE(C327)"),"State services are a federal state information system developed by the Ministry of Digital Development, Communications and Mass Communications ...")</f>
        <v>State services are a federal state information system developed by the Ministry of Digital Development, Communications and Mass Communications ...</v>
      </c>
      <c r="M327" s="5" t="str">
        <f>IFERROR(__xludf.DUMMYFUNCTION("GOOGLETRANSLATE(G327)"),"Android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28">
      <c r="A328" s="1" t="s">
        <v>1006</v>
      </c>
      <c r="B328" s="1" t="s">
        <v>1066</v>
      </c>
      <c r="C328" s="1" t="s">
        <v>1067</v>
      </c>
      <c r="D328" s="1">
        <v>6.0</v>
      </c>
      <c r="E328" s="4" t="s">
        <v>1068</v>
      </c>
      <c r="F328" s="1" t="s">
        <v>43</v>
      </c>
      <c r="G328" s="1" t="s">
        <v>97</v>
      </c>
      <c r="H328" s="4" t="s">
        <v>98</v>
      </c>
      <c r="I328" s="2">
        <v>0.0</v>
      </c>
      <c r="J328" s="5" t="str">
        <f>IFERROR(__xludf.DUMMYFUNCTION("GOOGLETRANSLATE(A328)"),"public services")</f>
        <v>public services</v>
      </c>
      <c r="K328" s="6" t="str">
        <f>IFERROR(__xludf.DUMMYFUNCTION("GOOGLETRANSLATE(B328)"),"DOGS. DO - App Store")</f>
        <v>DOGS. DO - App Store</v>
      </c>
      <c r="L328" s="5" t="str">
        <f>IFERROR(__xludf.DUMMYFUNCTION("GOOGLETRANSLATE(C328)"),"State services. Dom-multifunctional free application for resolving housing and communal issues. The service is based on GIS housing and communal services and includes everything ...")</f>
        <v>State services. Dom-multifunctional free application for resolving housing and communal issues. The service is based on GIS housing and communal services and includes everything ...</v>
      </c>
      <c r="M328" s="5" t="str">
        <f>IFERROR(__xludf.DUMMYFUNCTION("GOOGLETRANSLATE(G328)"),"App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29">
      <c r="A329" s="1" t="s">
        <v>1006</v>
      </c>
      <c r="B329" s="1" t="s">
        <v>1013</v>
      </c>
      <c r="C329" s="1" t="s">
        <v>1069</v>
      </c>
      <c r="D329" s="1">
        <v>7.0</v>
      </c>
      <c r="E329" s="4" t="s">
        <v>1070</v>
      </c>
      <c r="F329" s="1" t="s">
        <v>43</v>
      </c>
      <c r="G329" s="1" t="s">
        <v>457</v>
      </c>
      <c r="H329" s="4" t="s">
        <v>458</v>
      </c>
      <c r="I329" s="2">
        <v>3.0</v>
      </c>
      <c r="J329" s="5" t="str">
        <f>IFERROR(__xludf.DUMMYFUNCTION("GOOGLETRANSLATE(A329)"),"public services")</f>
        <v>public services</v>
      </c>
      <c r="K329" s="6" t="str">
        <f>IFERROR(__xludf.DUMMYFUNCTION("GOOGLETRANSLATE(B329)"),"Public services")</f>
        <v>Public services</v>
      </c>
      <c r="L329" s="5" t="str">
        <f>IFERROR(__xludf.DUMMYFUNCTION("GOOGLETRANSLATE(C329)"),"Use public services in any region, with any religion, with different views and preferences. Services are available to everyone. Because Russia is one!")</f>
        <v>Use public services in any region, with any religion, with different views and preferences. Services are available to everyone. Because Russia is one!</v>
      </c>
      <c r="M329" s="5" t="str">
        <f>IFERROR(__xludf.DUMMYFUNCTION("GOOGLETRANSLATE(G329)"),"Telegram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Premi"&amp;"umOct 28Replies 2.0 Adjustable Link Previews Name Colors and MoreSep 22Stories in Channels View-Once Media and Morea new era of messagingTelegram for AndroidTelegram for iPhone / iPad  Telegram for Windows / Mac / LinuxBrowse more Telegram apps           "&amp;" Telegram for PC / Linux            Telegram for macOSRecent NewsGiveaways in Channels and Free PremiumChannel owners can now launch Giveaways to randomly distribute prizes among their followers. This is great if you want to promote your channel get new s"&amp;"ubscribers or reward existing…Nov 6 2023Replies 2.0 Adjustable Link Previews Name Colors and MoreToday's update lets you quote specific parts of messages when replying send your replies to other chats add quote formatting to any text…Oct 28 2023Why Telegr"&amp;"am?SimpleTelegram is so simple you already know how to use it.PrivateTelegram messages are heavily encrypted and can self-destruct.SyncedTelegram lets you access your chats from multiple devices.FastTelegram delivers messages faster than any other applica"&amp;"tion.PowerfulTelegram has no limits on the size of your media and chats.OpenTelegram has an open API and source code free for everyone.SecureTelegram keeps your messages safe from hacker attacks.SocialTelegram groups can hold up to 200000 members.Expressi"&amp;"veTelegram lets you completely customize your messenger.Telegram      Telegram is a cloud-based mobile and desktop messaging app with a focus on security and speed.    AboutFAQPrivacyPressMobile AppsiPhone/iPadAndroidMobile WebDesktop AppsPC/Mac/LinuxmacO"&amp;"SWeb-browserPlatformAPITranslationsInstant ViewAboutBlogAppsPlatformPress")</f>
        <v>Telegram Messenger EnglishBahasa IndonesiaBahasa MelayuDeutschEspañolFrançaisItalianoNederlandsO‘zbekPolskiPortuguês (Brasil)TürkçeБеларускаяРусскийУкраїнськаالعربيةفارسی한국어 TwitterHomeFAQAppsAPIProtocolRecent NewsNov 6Giveaways in Channels and Free PremiumOct 28Replies 2.0 Adjustable Link Previews Name Colors and MoreSep 22Stories in Channels View-Once Media and Morea new era of messagingTelegram for AndroidTelegram for iPhone / iPad  Telegram for Windows / Mac / LinuxBrowse more Telegram apps            Telegram for PC / Linux            Telegram for macOSRecent NewsGiveaways in Channels and Free PremiumChannel owners can now launch Giveaways to randomly distribute prizes among their followers. This is great if you want to promote your channel get new subscribers or reward existing…Nov 6 2023Replies 2.0 Adjustable Link Previews Name Colors and MoreToday's update lets you quote specific parts of messages when replying send your replies to other chats add quote formatting to any text…Oct 28 2023Why Telegram?SimpleTelegram is so simple you already know how to use it.PrivateTelegram messages are heavily encrypted and can self-destruct.SyncedTelegram lets you access your chats from multiple devices.FastTelegram delivers messages faster than any other application.PowerfulTelegram has no limits on the size of your media and chats.OpenTelegram has an open API and source code free for everyone.SecureTelegram keeps your messages safe from hacker attacks.SocialTelegram groups can hold up to 200000 members.ExpressiveTelegram lets you completely customize your messenger.Telegram      Telegram is a cloud-based mobile and desktop messaging app with a focus on security and speed.    AboutFAQPrivacyPressMobile AppsiPhone/iPadAndroidMobile WebDesktop AppsPC/Mac/LinuxmacOSWeb-browserPlatformAPITranslationsInstant ViewAboutBlogAppsPlatformPress</v>
      </c>
    </row>
    <row r="330">
      <c r="A330" s="1" t="s">
        <v>1006</v>
      </c>
      <c r="B330" s="1" t="s">
        <v>1071</v>
      </c>
      <c r="D330" s="1">
        <v>18.0</v>
      </c>
      <c r="E330" s="4" t="s">
        <v>1072</v>
      </c>
      <c r="F330" s="1" t="s">
        <v>43</v>
      </c>
      <c r="I330" s="2">
        <v>1.0</v>
      </c>
      <c r="J330" s="5" t="str">
        <f>IFERROR(__xludf.DUMMYFUNCTION("GOOGLETRANSLATE(A330)"),"public services")</f>
        <v>public services</v>
      </c>
      <c r="K330" s="6" t="str">
        <f>IFERROR(__xludf.DUMMYFUNCTION("GOOGLETRANSLATE(B330)"),"Portal of public services - St. Petersburg. Public services")</f>
        <v>Portal of public services - St. Petersburg. Public services</v>
      </c>
      <c r="L330" s="5" t="str">
        <f>IFERROR(__xludf.DUMMYFUNCTION("GOOGLETRANSLATE(C330)"),"#VALUE!")</f>
        <v>#VALUE!</v>
      </c>
      <c r="M330" s="5" t="str">
        <f>IFERROR(__xludf.DUMMYFUNCTION("GOOGLETRANSLATE(G330)"),"#VALUE!")</f>
        <v>#VALUE!</v>
      </c>
    </row>
    <row r="331">
      <c r="A331" s="1" t="s">
        <v>1006</v>
      </c>
      <c r="B331" s="1" t="s">
        <v>1073</v>
      </c>
      <c r="C331" s="1" t="s">
        <v>1074</v>
      </c>
      <c r="D331" s="1">
        <v>30.0</v>
      </c>
      <c r="E331" s="4" t="s">
        <v>1075</v>
      </c>
      <c r="F331" s="1" t="s">
        <v>43</v>
      </c>
      <c r="G331" s="1" t="s">
        <v>27</v>
      </c>
      <c r="H331" s="4" t="s">
        <v>28</v>
      </c>
      <c r="I331" s="2">
        <v>1.0</v>
      </c>
      <c r="J331" s="5" t="str">
        <f>IFERROR(__xludf.DUMMYFUNCTION("GOOGLETRANSLATE(A331)"),"public services")</f>
        <v>public services</v>
      </c>
      <c r="K331" s="6" t="str">
        <f>IFERROR(__xludf.DUMMYFUNCTION("GOOGLETRANSLATE(B331)"),"Gosuslugi")</f>
        <v>Gosuslugi</v>
      </c>
      <c r="L331" s="5" t="str">
        <f>IFERROR(__xludf.DUMMYFUNCTION("GOOGLETRANSLATE(C331)"),"The Federal State Information System ""Unified Portal of State and Municipal Services (Functions)"", commonly referred to as Gosuslugi (Russian: Госуслуги) is ...")</f>
        <v>The Federal State Information System "Unified Portal of State and Municipal Services (Functions)", commonly referred to as Gosuslugi (Russian: Госуслуги) is ...</v>
      </c>
      <c r="M331" s="5" t="str">
        <f>IFERROR(__xludf.DUMMYFUNCTION("GOOGLETRANSLATE(G331)"),"Wikipedia the free encyclopediaJump to contentMain menuMain menumove to sidebarhide		Navigation	Main pageContentsCurrent eventsRandom articleAbout WikipediaContact usDonate		Contribute	HelpLearn to editCommunity portalRecent changesUpload fileSearchSearch"&amp;"Create accountLog inPersonal tools Create account Log in		Pages for logged out editors learn moreContributionsTalkMain PageMain PageTalkEnglishReadView sourceView historyToolsToolsmove to sidebarhide		Actions	ReadView sourceView history		General	What link"&amp;"s hereRelated changesUpload fileSpecial pagesPermanent linkPage informationCite this pageGet shortened URLWikidata item		Print/export	Download as PDFPrintable version		In other projects	Wikimedia CommonsWikimedia FoundationMediaWikiMeta-WikiWikimedia Outr"&amp;"eachMultilingual WikisourceWikispeciesWikibooksWikidataWikifunctionsWikimaniaWikinewsWikiquoteWikisourceWikiversityWikivoyageWiktionaryFrom Wikipedia the free encyclopediaWelcome to Wikipediathe free encyclopedia that anyone can edit.6743657 articles in E"&amp;"nglishFrom today's featured articleAndrew Shouldice designer of TunicTunic is a 2022 action-adventure game developed by Isometricorp Games and published by Finji. It is set in a ruined fantasy world where the player controls an anthropomorphic fox on a jo"&amp;"urney to free a fox spirit trapped in a crystal. The player discovers the gameplay and setting by exploring and finding in-game pages of a manual that offers clues drawings and notes. The backstory is obscured in a constructed writing system and there are"&amp;" numerous hidden pathways. Designer Andrew Shouldice developed Tunic his first major game over seven years. The game was released for macOS Windows the Xbox One and the Xbox Series X/S in March 2022 followed by ports for the Nintendo Switch the PlayStatio"&amp;"n 4 and the PlayStation 5 in September. It received positive reviews especially for its aesthetics design and gameplay but drew some criticism for uneven difficulty and the potential for players to feel stuck. Tunic won the Outstanding Achievement for an "&amp;"Independent Game award at the 26th Annual D.I.C.E. Awards. (Full article...)Recently featured: Leonardo DiCaprioRadoje PajovićHove War MemorialArchiveBy emailMore featured articlesAboutDid you know ...Paroedura maingoka... that the gecko Paroedura maingok"&amp;"a (pictured) imitates venomous scorpions to discourage predators?... that even though the Legislative Assembly of Quebec ordered a monument of Maurice Duplessis in front of its building later premiers hid it for 16 years to avoid political tensions?... th"&amp;"at after the British premiere of Percy Grainger's suite In a Nutshell The Daily Telegraph argued that the marimba then new to the orchestra sounded inferior to the xylophone?... that a favorite of Tsar Ivan the Terrible may have killed his own father to p"&amp;"rove his loyalty to the tsar?... that BoysTown was reported as having the largest case of child abuse in Australia's history?... that James Dillon Armstrong was a Virginia state senator a delegate to West Virginia's constitutional convention and a circuit"&amp;" court judge while serving for more than 43 years as a Presbyterian church elder?... that Amrita Shah found that the introduction of television to India led to more women aspiring to become independent?... that one of the largest fishing companies of New "&amp;"Zealand started as a fish and chip shop?ArchiveStart a new articleNominate an articleIn the newsRyan BlaneyIn stock car racing Ryan Blaney (pictured) wins the NASCAR Cup Series championship.In baseball the Hanshin Tigers defeat the Orix Buffaloes to win t"&amp;"he Japan Series.An earthquake strikes Karnali Province Nepal leaving more than 150 people dead.American entrepreneur Sam Bankman-Fried is convicted on charges of fraud and money laundering over his role in the bankruptcy of cryptocurrency exchange FTX.Ong"&amp;"oing: Israel–Hamas warRussian invasion of UkrainetimelineRecent deaths: Frank BormanRyland DaviesAntoni MartíBrian BrainLea AckermannGeorge W. Owings IIINominate an articleOn this dayNovember 12Artist's impression of Rosetta with Philae1892 – William Heff"&amp;"elfinger was paid $500 by the Allegheny Athletic Association becoming the first professional American football player.1945 – Sudirman was elected the first commander-in-chief of the Indonesian Armed Forces.1970 – The deadliest tropical cyclone in history "&amp;"made landfall on the coast of East Pakistan (Bangladesh) killing at least 250000 people.1970 – The first episode of Last of the Summer Wine the longest-running television sitcom in history premiered on the BBC.2014 – The European Space Agency lander Phila"&amp;"e (artist's impression shown) touched down on 67P/Churyumov–Gerasimenko becoming the first spacecraft to land on a comet.Zhang Jing  (d. 1555)Letitia Christian Tyler (b. 1790)Ansgar Løvold  (d. 1961)Minoru Yasui (d. 1986)More anniversaries: November 11Nov"&amp;"ember 12November 13ArchiveBy emailList of days of the yearToday's featured pictureMarie Curie (1867–1934) was a Polish and naturalized-French physicist and chemist. Her groundbreaking research on radioactivity led to the discovery of two elements polonium"&amp;" and radium earning her two Nobel Prizes in physics (1903) and in chemistry (1911) becoming the first person and only woman to achieve such a feat. Her work revolutionized understanding of atomic structure and radiation laying the foundation for modern nu"&amp;"clear physics and medical radiation therapy. This photograph of Curie was taken around the 1920s.Photograph credit: Henri Manuel; restored by FMSky and BammeskRecently featured: The CenotaphBlack-tailed prairie dogWest VirginiaArchiveMore featured picture"&amp;"sOther areas of WikipediaCommunity portal – The central hub for editors with resources links tasks and announcements.Village pump – Forum for discussions about Wikipedia itself including policies and technical issues.Site news – Sources of news about Wiki"&amp;"pedia and the broader Wikimedia movement.Teahouse – Ask basic questions about using or editing Wikipedia.Help desk – Ask questions about using or editing Wikipedia.Reference desk – Ask research questions about encyclopedic topics.Content portals – A uniqu"&amp;"e way to navigate the encyclopedia.Wikipedia's sister projectsWikipedia is written by volunteer editors and hosted by the Wikimedia Foundation a non-profit organization that also hosts a range of other volunteer projects:CommonsFree media repositoryMediaW"&amp;"ikiWiki software developmentMeta-WikiWikimedia project coordinationWikibooksFree textbooks and manualsWikidataFree knowledge baseWikinewsFree-content newsWikiquoteCollection of quotationsWikisourceFree-content libraryWikispeciesDirectory of speciesWikiver"&amp;"sityFree learning toolsWikivoyageFree travel guideWiktionaryDictionary and thesaurusWikipedia languagesThis Wikipedia is written in English. Many other Wikipedias are available; some of the largest are listed below.1000000+ articlesالعربيةDeutschEspañolFr"&amp;"ançaisItalianoNederlands日本語PolskiPortuguêsРусскийSvenskaУкраїнськаTiếng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bokmålRomânăSrpskiSrpskohrvatskiSuomiTürkçe500"&amp;"00+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""https://en.wikipedia.org/w/index.p"&amp;"hp?title=Main_Page&amp;oldid=1114291180""47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MelayuNeder"&amp;"lands日本語Norsk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av"&amp;"ailable under the Creative Commons Attribution-ShareAlike License 4.0;additional terms may apply.  By using this site you agree to the Terms of Use and Privacy Policy. Wikipedia® is a registered trademark of the Wikimedia Foundation Inc. a non-profit orga"&amp;"nization.Privacy policyAbout WikipediaDisclaimersContact WikipediaCode of ConductDevelopersStatisticsCookie statementMobile viewToggle limited content width")</f>
        <v>Wikipedia the free encyclopediaJump to contentMain menuMain menumove to sidebarhide		Navigation	Main pageContentsCurrent eventsRandom articleAbout WikipediaContact usDonate		Contribute	HelpLearn to editCommunity portalRecent changesUpload fileSearchSearchCreate accountLog inPersonal tools Create account Log in		Pages for logged out editors learn moreContributionsTalkMain PageMain PageTalkEnglishReadView sourceView historyToolsToolsmove to sidebarhide		Actions	ReadView sourceView history		General	What links hereRelated changesUpload fileSpecial pagesPermanent linkPage informationCite this pageGet shortened URLWikidata item		Print/export	Download as PDFPrintable version		In other projects	Wikimedia CommonsWikimedia FoundationMediaWikiMeta-WikiWikimedia OutreachMultilingual WikisourceWikispeciesWikibooksWikidataWikifunctionsWikimaniaWikinewsWikiquoteWikisourceWikiversityWikivoyageWiktionaryFrom Wikipedia the free encyclopediaWelcome to Wikipediathe free encyclopedia that anyone can edit.6743657 articles in EnglishFrom today's featured articleAndrew Shouldice designer of TunicTunic is a 2022 action-adventure game developed by Isometricorp Games and published by Finji. It is set in a ruined fantasy world where the player controls an anthropomorphic fox on a journey to free a fox spirit trapped in a crystal. The player discovers the gameplay and setting by exploring and finding in-game pages of a manual that offers clues drawings and notes. The backstory is obscured in a constructed writing system and there are numerous hidden pathways. Designer Andrew Shouldice developed Tunic his first major game over seven years. The game was released for macOS Windows the Xbox One and the Xbox Series X/S in March 2022 followed by ports for the Nintendo Switch the PlayStation 4 and the PlayStation 5 in September. It received positive reviews especially for its aesthetics design and gameplay but drew some criticism for uneven difficulty and the potential for players to feel stuck. Tunic won the Outstanding Achievement for an Independent Game award at the 26th Annual D.I.C.E. Awards. (Full article...)Recently featured: Leonardo DiCaprioRadoje PajovićHove War MemorialArchiveBy emailMore featured articlesAboutDid you know ...Paroedura maingoka... that the gecko Paroedura maingoka (pictured) imitates venomous scorpions to discourage predators?... that even though the Legislative Assembly of Quebec ordered a monument of Maurice Duplessis in front of its building later premiers hid it for 16 years to avoid political tensions?... that after the British premiere of Percy Grainger's suite In a Nutshell The Daily Telegraph argued that the marimba then new to the orchestra sounded inferior to the xylophone?... that a favorite of Tsar Ivan the Terrible may have killed his own father to prove his loyalty to the tsar?... that BoysTown was reported as having the largest case of child abuse in Australia's history?... that James Dillon Armstrong was a Virginia state senator a delegate to West Virginia's constitutional convention and a circuit court judge while serving for more than 43 years as a Presbyterian church elder?... that Amrita Shah found that the introduction of television to India led to more women aspiring to become independent?... that one of the largest fishing companies of New Zealand started as a fish and chip shop?ArchiveStart a new articleNominate an articleIn the newsRyan BlaneyIn stock car racing Ryan Blaney (pictured) wins the NASCAR Cup Series championship.In baseball the Hanshin Tigers defeat the Orix Buffaloes to win the Japan Series.An earthquake strikes Karnali Province Nepal leaving more than 150 people dead.American entrepreneur Sam Bankman-Fried is convicted on charges of fraud and money laundering over his role in the bankruptcy of cryptocurrency exchange FTX.Ongoing: Israel–Hamas warRussian invasion of UkrainetimelineRecent deaths: Frank BormanRyland DaviesAntoni MartíBrian BrainLea AckermannGeorge W. Owings IIINominate an articleOn this dayNovember 12Artist's impression of Rosetta with Philae1892 – William Heffelfinger was paid $500 by the Allegheny Athletic Association becoming the first professional American football player.1945 – Sudirman was elected the first commander-in-chief of the Indonesian Armed Forces.1970 – The deadliest tropical cyclone in history made landfall on the coast of East Pakistan (Bangladesh) killing at least 250000 people.1970 – The first episode of Last of the Summer Wine the longest-running television sitcom in history premiered on the BBC.2014 – The European Space Agency lander Philae (artist's impression shown) touched down on 67P/Churyumov–Gerasimenko becoming the first spacecraft to land on a comet.Zhang Jing  (d. 1555)Letitia Christian Tyler (b. 1790)Ansgar Løvold  (d. 1961)Minoru Yasui (d. 1986)More anniversaries: November 11November 12November 13ArchiveBy emailList of days of the yearToday's featured pictureMarie Curie (1867–1934) was a Polish and naturalized-French physicist and chemist. Her groundbreaking research on radioactivity led to the discovery of two elements polonium and radium earning her two Nobel Prizes in physics (1903) and in chemistry (1911) becoming the first person and only woman to achieve such a feat. Her work revolutionized understanding of atomic structure and radiation laying the foundation for modern nuclear physics and medical radiation therapy. This photograph of Curie was taken around the 1920s.Photograph credit: Henri Manuel; restored by FMSky and BammeskRecently featured: The CenotaphBlack-tailed prairie dogWest VirginiaArchiveMore featured picturesOther areas of WikipediaCommunity portal – The central hub for editors with resources links tasks and announcements.Village pump – Forum for discussions about Wikipedia itself including policies and technical issues.Site news – Sources of news about Wikipedia and the broader Wikimedia movement.Teahouse – Ask basic questions about using or editing Wikipedia.Help desk – Ask questions about using or editing Wikipedia.Reference desk – Ask research questions about encyclopedic topics.Content portals – A unique way to navigate the encyclopedia.Wikipedia's sister projectsWikipedia is written by volunteer editors and hosted by the Wikimedia Foundation a non-profit organization that also hosts a range of other volunteer projects:CommonsFree media repositoryMediaWikiWiki software developmentMeta-WikiWikimedia project coordinationWikibooksFree textbooks and manualsWikidataFree knowledge baseWikinewsFree-content newsWikiquoteCollection of quotationsWikisourceFree-content libraryWikispeciesDirectory of speciesWikiversityFree learning toolsWikivoyageFree travel guideWiktionaryDictionary and thesaurusWikipedia languagesThis Wikipedia is written in English. Many other Wikipedias are available; some of the largest are listed below.1000000+ articlesالعربيةDeutschEspañolFrançaisItalianoNederlands日本語PolskiPortuguêsРусскийSvenskaУкраїнськаTiếng Việt中文250000+ articlesBahasa IndonesiaBahasa MelayuBân-lâm-gúБългарскиCatalàČeštinaDanskEsperantoEuskaraفارسی‎עבריתՀայերեն한국어MagyarNorsk bokmålRomânăSrpskiSrpskohrvatskiSuomiTürkçe50000+ articlesAsturianuবাংলাBosanskiکوردیEestiΕλληνικάSimple EnglishFryskGaeilgeGalegoHrvatskiქართულიLatviešuLietuviųമലയാളംМакедонскиNorsk nynorskਪੰਜਾਬੀShqipSlovenčinaSlovenščinaไทยతెలుగుOʻzbekcha / ўзбекчаRetrieved from "https://en.wikipedia.org/w/index.php?title=Main_Page&amp;oldid=1114291180"47 languagesالعربيةবাংলাБългарскиBosanskiCatalàČeštinaDanskDeutschEestiΕλληνικάEspañolEsperantoEuskaraفارسیFrançaisGalego한국어HrvatskiBahasa IndonesiaItalianoעבריתქართულიLatviešuLietuviųMagyarМакедонскиBahasa MelayuNederlands日本語Norsk bokmålNorsk nynorskPolskiPortuguêsRomânăРусскийSimple EnglishSlovenčinaSlovenščinaСрпски / srpskiSrpskohrvatski / српскохрватскиSuomiSvenskaไทยTürkçeУкраїнськаTiếng Việt中文 This page was last edited on 5 October 2022 at 19:27 (UTC).Text is available under the Creative Commons Attribution-ShareAlike License 4.0;additional terms may apply.  By using this site you agree to the Terms of Use and Privacy Policy. Wikipedia® is a registered trademark of the Wikimedia Foundation Inc. a non-profit organization.Privacy policyAbout WikipediaDisclaimersContact WikipediaCode of ConductDevelopersStatisticsCookie statementMobile viewToggle limited content width</v>
      </c>
    </row>
    <row r="332">
      <c r="A332" s="1" t="s">
        <v>1146</v>
      </c>
      <c r="B332" s="1" t="s">
        <v>1147</v>
      </c>
      <c r="C332" s="1" t="s">
        <v>1148</v>
      </c>
      <c r="D332" s="1">
        <v>1.0</v>
      </c>
      <c r="E332" s="4" t="s">
        <v>1149</v>
      </c>
      <c r="F332" s="1" t="s">
        <v>16</v>
      </c>
      <c r="G332" s="1" t="s">
        <v>1150</v>
      </c>
      <c r="H332" s="4" t="s">
        <v>1151</v>
      </c>
      <c r="I332" s="2">
        <v>1.0</v>
      </c>
      <c r="J332" s="5" t="str">
        <f>IFERROR(__xludf.DUMMYFUNCTION("GOOGLETRANSLATE(A332)"),"diary RU")</f>
        <v>diary RU</v>
      </c>
      <c r="K332" s="6" t="str">
        <f>IFERROR(__xludf.DUMMYFUNCTION("GOOGLETRANSLATE(B332)"),"Diary RU")</f>
        <v>Diary RU</v>
      </c>
      <c r="L332" s="5" t="str">
        <f>IFERROR(__xludf.DUMMYFUNCTION("GOOGLETRANSLATE(C332)"),"Diary.ru - a digital educational platform that makes education in Russia high -quality and affordable! ... communication with parents. ... get closer to your ...")</f>
        <v>Diary.ru - a digital educational platform that makes education in Russia high -quality and affordable! ... communication with parents. ... get closer to your ...</v>
      </c>
      <c r="M332" s="5" t="str">
        <f>IFERROR(__xludf.DUMMYFUNCTION("GOOGLETRANSLATE(G332)"),"Diary.ruo of the company Pravda to Include to connect OO DODORA.ru - digital educational platform that makes the education of Russia high -quality and affordable! You will get access to advanced technologies for the automation of the educational process t"&amp;"o tools online - education and modern methods of communication with parents. Read more to parents closer to your child with Diary.ru! Follow the successes and hobbies of your child actively participate in the educational process together! For more details"&amp;", students Diary.ru will like it! Everything necessary for studying extracurricular work of creative victories and self -expression is always at hand. Read more to state bodies Diary.ru for education management - this is an online monitoring tool and an e"&amp;"ffective channel for the operational informing of subordinate organizations. For more details, we are every second school in Russia! 925 873 teachers 8 980 324 students 4 997 995 parents. The most active schools of the company of the company in a huskvost"&amp;"y -constituency of the preservation of the designs of the Morshoszorgans support the portal Support Support Support Russian RussianenglishespañolportuguêlPortuguê to Connect the PO information posted in the Unified Educational Network ""Diary.ru"" permitt"&amp;"ed for children who have reached the age of six years in accordance with the st. 8 &amp; nbsp; Federal Law No. 436 dated 12/29/2010 Pol-Using Agreement © 2007-2023 LLC DODIKE.RO")</f>
        <v>Diary.ruo of the company Pravda to Include to connect OO DODORA.ru - digital educational platform that makes the education of Russia high -quality and affordable! You will get access to advanced technologies for the automation of the educational process to tools online - education and modern methods of communication with parents. Read more to parents closer to your child with Diary.ru! Follow the successes and hobbies of your child actively participate in the educational process together! For more details, students Diary.ru will like it! Everything necessary for studying extracurricular work of creative victories and self -expression is always at hand. Read more to state bodies Diary.ru for education management - this is an online monitoring tool and an effective channel for the operational informing of subordinate organizations. For more details, we are every second school in Russia! 925 873 teachers 8 980 324 students 4 997 995 parents. The most active schools of the company of the company in a huskvosty -constituency of the preservation of the designs of the Morshoszorgans support the portal Support Support Support Russian RussianenglishespañolportuguêlPortuguê to Connect the PO information posted in the Unified Educational Network "Diary.ru" permitted for children who have reached the age of six years in accordance with the st. 8 &amp; nbsp; Federal Law No. 436 dated 12/29/2010 Pol-Using Agreement © 2007-2023 LLC DODIKE.RO</v>
      </c>
    </row>
    <row r="333">
      <c r="A333" s="1" t="s">
        <v>1146</v>
      </c>
      <c r="B333" s="1" t="s">
        <v>1147</v>
      </c>
      <c r="C333" s="1" t="s">
        <v>1152</v>
      </c>
      <c r="D333" s="1">
        <v>2.0</v>
      </c>
      <c r="E333" s="4" t="s">
        <v>1153</v>
      </c>
      <c r="F333" s="1" t="s">
        <v>16</v>
      </c>
      <c r="G333" s="1" t="s">
        <v>34</v>
      </c>
      <c r="H333" s="4" t="s">
        <v>35</v>
      </c>
      <c r="I333" s="2">
        <v>0.0</v>
      </c>
      <c r="J333" s="5" t="str">
        <f>IFERROR(__xludf.DUMMYFUNCTION("GOOGLETRANSLATE(A333)"),"diary RU")</f>
        <v>diary RU</v>
      </c>
      <c r="K333" s="6" t="str">
        <f>IFERROR(__xludf.DUMMYFUNCTION("GOOGLETRANSLATE(B333)"),"Diary RU")</f>
        <v>Diary RU</v>
      </c>
      <c r="L333" s="5" t="str">
        <f>IFERROR(__xludf.DUMMYFUNCTION("GOOGLETRANSLATE(C333)"),"Diary.ru - a free digital educational platform for educational organizations developed by Diary.ru. | 148960 subscribers.")</f>
        <v>Diary.ru - a free digital educational platform for educational organizations developed by Diary.ru. | 148960 subscribers.</v>
      </c>
      <c r="M333" s="5" t="str">
        <f>IFERROR(__xludf.DUMMYFUNCTION("GOOGLETRANSLATE(G333)"),"VK.com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34">
      <c r="A334" s="1" t="s">
        <v>1146</v>
      </c>
      <c r="B334" s="1" t="s">
        <v>1154</v>
      </c>
      <c r="C334" s="1" t="s">
        <v>1155</v>
      </c>
      <c r="D334" s="1">
        <v>3.0</v>
      </c>
      <c r="E334" s="4" t="s">
        <v>1156</v>
      </c>
      <c r="F334" s="1" t="s">
        <v>16</v>
      </c>
      <c r="G334" s="1" t="s">
        <v>120</v>
      </c>
      <c r="H334" s="4" t="s">
        <v>121</v>
      </c>
      <c r="I334" s="2">
        <v>0.0</v>
      </c>
      <c r="J334" s="5" t="str">
        <f>IFERROR(__xludf.DUMMYFUNCTION("GOOGLETRANSLATE(A334)"),"diary RU")</f>
        <v>diary RU</v>
      </c>
      <c r="K334" s="6" t="str">
        <f>IFERROR(__xludf.DUMMYFUNCTION("GOOGLETRANSLATE(B334)"),"Diary.ru - Applications in Google Play")</f>
        <v>Diary.ru - Applications in Google Play</v>
      </c>
      <c r="L334" s="5" t="str">
        <f>IFERROR(__xludf.DUMMYFUNCTION("GOOGLETRANSLATE(C334)"),"Diary.ru - a mobile application for parents, the basic version of which complements the use of the site, and the Pro version allows you to completely abandon the site ...")</f>
        <v>Diary.ru - a mobile application for parents, the basic version of which complements the use of the site, and the Pro version allows you to completely abandon the site ...</v>
      </c>
      <c r="M334" s="5" t="str">
        <f>IFERROR(__xludf.DUMMYFUNCTION("GOOGLETRANSLATE(G334)"),"Android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35">
      <c r="A335" s="1" t="s">
        <v>1146</v>
      </c>
      <c r="B335" s="1" t="s">
        <v>1157</v>
      </c>
      <c r="C335" s="1" t="s">
        <v>1158</v>
      </c>
      <c r="D335" s="1">
        <v>4.0</v>
      </c>
      <c r="E335" s="4" t="s">
        <v>1159</v>
      </c>
      <c r="F335" s="1" t="s">
        <v>16</v>
      </c>
      <c r="G335" s="1" t="s">
        <v>97</v>
      </c>
      <c r="H335" s="4" t="s">
        <v>98</v>
      </c>
      <c r="I335" s="2">
        <v>1.0</v>
      </c>
      <c r="J335" s="5" t="str">
        <f>IFERROR(__xludf.DUMMYFUNCTION("GOOGLETRANSLATE(A335)"),"diary RU")</f>
        <v>diary RU</v>
      </c>
      <c r="K335" s="6" t="str">
        <f>IFERROR(__xludf.DUMMYFUNCTION("GOOGLETRANSLATE(B335)"),"Dnevnik.ru 4+ - App Store - Apple")</f>
        <v>Dnevnik.ru 4+ - App Store - Apple</v>
      </c>
      <c r="L335" s="5" t="str">
        <f>IFERROR(__xludf.DUMMYFUNCTION("GOOGLETRANSLATE(C335)"),"Diary.ru - a mobile application for students and their parents, the basic version of which complements the use of the site, and the Pro version allows you to completely ...")</f>
        <v>Diary.ru - a mobile application for students and their parents, the basic version of which complements the use of the site, and the Pro version allows you to completely ...</v>
      </c>
      <c r="M335" s="5" t="str">
        <f>IFERROR(__xludf.DUMMYFUNCTION("GOOGLETRANSLATE(G335)"),"App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36">
      <c r="A336" s="1" t="s">
        <v>1146</v>
      </c>
      <c r="B336" s="1" t="s">
        <v>1160</v>
      </c>
      <c r="C336" s="1" t="s">
        <v>1161</v>
      </c>
      <c r="D336" s="1">
        <v>5.0</v>
      </c>
      <c r="E336" s="4" t="s">
        <v>1162</v>
      </c>
      <c r="F336" s="1" t="s">
        <v>16</v>
      </c>
      <c r="G336" s="1" t="s">
        <v>120</v>
      </c>
      <c r="H336" s="4" t="s">
        <v>121</v>
      </c>
      <c r="I336" s="2">
        <v>0.0</v>
      </c>
      <c r="J336" s="5" t="str">
        <f>IFERROR(__xludf.DUMMYFUNCTION("GOOGLETRANSLATE(A336)"),"diary RU")</f>
        <v>diary RU</v>
      </c>
      <c r="K336" s="6" t="str">
        <f>IFERROR(__xludf.DUMMYFUNCTION("GOOGLETRANSLATE(B336)"),"Dnevnik.ru - Apps on Google Play")</f>
        <v>Dnevnik.ru - Apps on Google Play</v>
      </c>
      <c r="L336" s="5" t="str">
        <f>IFERROR(__xludf.DUMMYFUNCTION("GOOGLETRANSLATE(C336)"),"Diary.ru - a mobile application for parents, the basic version of which complements the use of the site, and the Pro version allows you to completely abandon the site and ...")</f>
        <v>Diary.ru - a mobile application for parents, the basic version of which complements the use of the site, and the Pro version allows you to completely abandon the site and ...</v>
      </c>
      <c r="M336" s="5" t="str">
        <f>IFERROR(__xludf.DUMMYFUNCTION("GOOGLETRANSLATE(G336)"),"Android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37">
      <c r="A337" s="1" t="s">
        <v>1146</v>
      </c>
      <c r="B337" s="1" t="s">
        <v>1163</v>
      </c>
      <c r="D337" s="1">
        <v>6.0</v>
      </c>
      <c r="E337" s="4" t="s">
        <v>1164</v>
      </c>
      <c r="F337" s="1" t="s">
        <v>16</v>
      </c>
      <c r="G337" s="1" t="s">
        <v>97</v>
      </c>
      <c r="H337" s="4" t="s">
        <v>98</v>
      </c>
      <c r="I337" s="2">
        <v>1.0</v>
      </c>
      <c r="J337" s="5" t="str">
        <f>IFERROR(__xludf.DUMMYFUNCTION("GOOGLETRANSLATE(A337)"),"diary RU")</f>
        <v>diary RU</v>
      </c>
      <c r="K337" s="6" t="str">
        <f>IFERROR(__xludf.DUMMYFUNCTION("GOOGLETRANSLATE(B337)"),"Dark Magazine.ru 4+ - App Store - Apple")</f>
        <v>Dark Magazine.ru 4+ - App Store - Apple</v>
      </c>
      <c r="L337" s="5" t="str">
        <f>IFERROR(__xludf.DUMMYFUNCTION("GOOGLETRANSLATE(C337)"),"#VALUE!")</f>
        <v>#VALUE!</v>
      </c>
      <c r="M337" s="5" t="str">
        <f>IFERROR(__xludf.DUMMYFUNCTION("GOOGLETRANSLATE(G337)"),"App Store - AppleAppleStoreMaciPadiPhoneWatchVisionAirPodsTV &amp; HomeEntertainmentAccessoriesSupport0+						App Store					Local Nav Open MenuLocal Nav Close MenuAbout the App StoreDeveloping for the App StoreOpen the app  Open the app  App StoreThe apps you"&amp;" love.From a place you can trust.For over a decade the App Store has proved to be a safe and trusted place to discover and download apps. But the App Store is more than just a storefront — it’s an innovative destination focused on bringing you amazing exp"&amp;"eriences. And a big part of those experiences is ensuring that the apps we offer are held to the highest standards for privacy security and content. Because we offer nearly two million apps — and we want you to feel good about using every single one of th"&amp;"em.Designed for discovery.Stories and collections that inform help and inspire. Updated daily.More about Stories and collections that inform help and inspire. Updated daily.Stories and collections that inform help and inspire. Updated daily.Original stori"&amp;"es by our editorial team bring you everything from exclusive world premieres to behind-the-scenes interviews. Tap the Today tab and read about influential developers and game creators learn a few tips and tricks or see how apps are changing how people wor"&amp;"k play and live.Visit the Today tabOver 20K stories and counting.Curated by experts. Handpicked for you.More about Curated by experts. Handpicked for you.Curated by experts.Handpicked for you. With thousands of apps added to the App Store every week there"&amp;"’s always something new to check out. To help you discover the apps stories and games you’re sure to love our team of full-time editors offers personalized suggestions based on your preferences and previous purchases.Stream Jungle Cruise Today on Disney+*"&amp;"NewExplore in-app events like movie premieres gaming competitions and livestreams.More about Explore in-app events like movie premieres gaming competitions and livestreams.Explore in-app events like movie premieres gaming competitions and livestreams.Disc"&amp;"over events on the Today Games and Apps tabs on the App Store. Or find them via search and on app product pages.Discover amazing apps with a rich search experience.More about Discover amazing apps with a rich search experience.Discover amazing apps with a"&amp;" rich search experience.Our comprehensive search feature offers suggestions and helpful hints and provides results with in‑line video previews editorial stories tips and tricks and lists.1.8M apps available worldwide.175 storefronts in over 40 languages.O"&amp;"ver 150 expert editors worldwide.Get the details on every app.More about Get the details on every app.Get the details on every app.App product pages give you the information you need when deciding what to download. From more videos to rankings and reviews"&amp;" there are loads of ways to help you pick the app that’s right for you.Privacy and security.Built into everything we do.Security for every app. At every level.More about Security for every app. At every level.Security for every app.At every level.We ensur"&amp;"e that apps come from known sources are free of known malware and haven’t been tampered with at the time of installation or launch.100% of apps are automatically screened for known malware.Over 16K apps use Apple health technologies like HealthKit CareKit"&amp;" and ResearchKit designed to protect patient privacy.You choose what data to share. And with whom.More about You choose what data to share. And with whom.You choose what data to share. And with whom.Each app is required to ask for your permission so you c"&amp;"an choose what data to share. The first time a third‑party app wants to access your information — like your location contacts calendars or photos — you receive an alert. Even if you grant access once you can revoke it later. We also ensure that apps are d"&amp;"enied access to certain sensitive data on your device are unable to modify your device or OS and are prohibited from obtaining complete access to your data.Over 215K submissions rejected last year for violating privacy guidelines.Apps can’t pull your data"&amp;" from other apps.More about Apps can’t pull your data from other apps.Apps can’t pull your data from other apps.System-level protections prevent an app from accessing data from other apps without your explicit permission.Dedicated to trust and safety.Apps"&amp;" must adhere to our guidelines.More about Apps must adhere to our guidelines.Apps must adhere to our guidelines.When you download an app it should work as promised. Which is why human App Reviewers ensure that the apps on the App Store adhere to our stric"&amp;"t app review standards. Our App Store Review Guidelines require apps to be safe provide a good user experience comply with our privacy rules secure devices from malware and threats and use approved business models. Learn more about the App Store Review Gu"&amp;"idelinesEvery week over 500 dedicated experts around the world review over 100K apps.Over 1M submissions rejected for objectionable harmful unsafe or illegal content.You should never have to worry about inappropriate content.More about You should never ha"&amp;"ve to worry about inappropriate content.You should never have to worry about inappropriate content.We strongly support all points of view being represented on the App Store. But we also take steps to make sure apps are respectful to users with differing o"&amp;"pinions and we reject apps with any content or behavior that we believe is over the line — especially when it puts children at risk. Every app has an assigned age rating so parents can determine what is appropriate for their children.No surprise purchases"&amp;".More about No surprise purchases.No surprise purchases. Apps must follow an approved business model and clearly show you the price tell you what you get with your purchase and explain subscription-renewal terms up front. Apple sends a receipt each time y"&amp;"ou use our in‑app purchase feature and you can also view those purchases and subscriptions in your account. So you won’t get bills out of the blue.Every day moderators review worldwide App Store charts for quality and accuracy.In 2020 we removed over 80M "&amp;"user reviews that were considered spam.We have removed over 2.3M apps because they haven’t been updated or don’t work on our latest OS releases.Hardware and software. Powering amazing experiences together by design.Apps help unlock the full potential of y"&amp;"our Apple devices.More about Apps help unlock the full potential of your Apple devices.Apps help unlock the full potentialof your Apple devices.Apple products use industry-leading technology to bring apps to life — so you can experience more of the amazin"&amp;"g things your devices are capable of. Thanks to hardware and software designed to work together you get more out of your apps — from things you take for granted like supersmooth scrolling to seeing how a new sofa might look in your living room before you "&amp;"buy it.We help app developers take advantage of our latest hardware technologies.More about We help app developers take advantage of our latest hardware technologies.We help app developers take advantageof our latest hardware technologies.We give develope"&amp;"rs the tools and support to build cutting‑edge technologies into their apps right away — which means they’re yours to enjoy right away. Like when an app uses Face ID or Touch ID for secure access — while keeping the underlying authentication data from you"&amp;"r face or fingerprint private. Or when a game controller syncs up easily with a new game on your iPhone. And with our innovations in augmented reality and machine learning you’ll be seeing even more amazing features in the years to come.Download with conf"&amp;"idence.Make any app yours. Instantly.More about Make any app yours. Instantly.Make any app yours. Instantly.Our world‑class distribution platforms reach over 1.5 billion devices worldwide allowing users to buy and download apps without lags or drags. When"&amp;" you download a universal app on one device it automatically appears on your other devices. And if you upgrade to a new device your apps go with you — no need to redownload as long as your apps stay up to date.Over 900K apps have secure payment technologi"&amp;"es like Apple Pay and StoreKit for goods and services.Purchase safely and securely.More about Purchase safely and securely.Purchase safely and securely.App Store purchases are safe and simple so you can start playing gaming reading — or just doing — right"&amp;" away. Create a secure account with your preferred payment method on file and it’s easily accessible across your devices and the web. Your account is protected by two‑factor authentication ensuring that the only person who can access your account is you —"&amp;" even if someone else knows your password. And more than 250000 apps tap into the advanced technologies of Touch ID and Face ID built right into your devices giving you an additional layer of security.Problem with an app? Easily report it from the App Sto"&amp;"re.More about Problem with an app? Easily report it from the App Store.Problem with an app? Easily report it from the App Store.In the unlikely event that you have a problem you can report it directly from the app product page on the App Store.Need a refu"&amp;"nd? AppleCare has your back.More about Need a refund? AppleCare has your back.Need a refund? AppleCare has your back.Visit Apple Support online or use the Apple Support app to request a refund for App Store purchases.More than 4B apps distributed each day"&amp;" from data centers running on 100% renewable energy.Over 195 local payment methods and 45 currencies supported.Check out what’s happening on the App Store.Visit the App StoreVisit the App StoreNews about the App Store.See all Newsroom articlesApple Footer"&amp;"* Disney+ subscription required. Must be at least 18 to subscribe.AppleApp StoreShop and LearnShop and Learn+StoreMaciPadiPhoneWatchVisionAirPodsTV &amp; HomeAirTagAccessoriesGift CardsApple WalletApple Wallet+WalletApple CardApple PayApple CashAccountAccoun"&amp;"t+Manage Your Apple IDApple Store AccountiCloud.comEntertainmentEntertainment+Apple OneApple TV+Apple MusicApple ArcadeApple Fitness+Apple News+Apple PodcastsApple BooksApp StoreApple StoreApple Store+Find a StoreGenius BarToday at AppleApple CampApple St"&amp;"ore AppCertified RefurbishedApple Trade InFinancingCarrier Deals at AppleOrder StatusShopping HelpFor BusinessFor Business+Apple and BusinessShop for BusinessFor EducationFor Education+Apple and EducationShop for K-12Shop for CollegeFor HealthcareFor Heal"&amp;"thcare+Apple in HealthcareHealth on Apple WatchHealth Records on iPhoneFor GovernmentFor Government+Shop for GovernmentShop for Veterans and MilitaryApple ValuesApple Values+AccessibilityEducationEnvironmentInclusion and DiversityPrivacyRacial Equity and "&amp;"JusticeSupplier ResponsibilityAbout AppleAbout Apple+NewsroomApple LeadershipCareer OpportunitiesInvestorsEthics &amp; ComplianceEventsContact Apple			More ways to shop: Find an Apple Store or other retailer near you. Or call 1-800-MY-APPLE.United StatesCopyr"&amp;"ight ©								2023				 Apple Inc. All rights reserved.			Privacy PolicyTerms of UseSales and RefundsLegalSite Map")</f>
        <v>App Store - AppleAppleStoreMaciPadiPhoneWatchVisionAirPodsTV &amp; HomeEntertainmentAccessoriesSupport0+						App Store					Local Nav Open MenuLocal Nav Close MenuAbout the App StoreDeveloping for the App StoreOpen the app  Open the app  App StoreThe apps you love.From a place you can trust.For over a decade the App Store has proved to be a safe and trusted place to discover and download apps. But the App Store is more than just a storefront — it’s an innovative destination focused on bringing you amazing experiences. And a big part of those experiences is ensuring that the apps we offer are held to the highest standards for privacy security and content. Because we offer nearly two million apps — and we want you to feel good about using every single one of them.Designed for discovery.Stories and collections that inform help and inspire. Updated daily.More about Stories and collections that inform help and inspire. Updated daily.Stories and collections that inform help and inspire. Updated daily.Original stories by our editorial team bring you everything from exclusive world premieres to behind-the-scenes interviews. Tap the Today tab and read about influential developers and game creators learn a few tips and tricks or see how apps are changing how people work play and live.Visit the Today tabOver 20K stories and counting.Curated by experts. Handpicked for you.More about Curated by experts. Handpicked for you.Curated by experts.Handpicked for you. With thousands of apps added to the App Store every week there’s always something new to check out. To help you discover the apps stories and games you’re sure to love our team of full-time editors offers personalized suggestions based on your preferences and previous purchases.Stream Jungle Cruise Today on Disney+*NewExplore in-app events like movie premieres gaming competitions and livestreams.More about Explore in-app events like movie premieres gaming competitions and livestreams.Explore in-app events like movie premieres gaming competitions and livestreams.Discover events on the Today Games and Apps tabs on the App Store. Or find them via search and on app product pages.Discover amazing apps with a rich search experience.More about Discover amazing apps with a rich search experience.Discover amazing apps with a rich search experience.Our comprehensive search feature offers suggestions and helpful hints and provides results with in‑line video previews editorial stories tips and tricks and lists.1.8M apps available worldwide.175 storefronts in over 40 languages.Over 150 expert editors worldwide.Get the details on every app.More about Get the details on every app.Get the details on every app.App product pages give you the information you need when deciding what to download. From more videos to rankings and reviews there are loads of ways to help you pick the app that’s right for you.Privacy and security.Built into everything we do.Security for every app. At every level.More about Security for every app. At every level.Security for every app.At every level.We ensure that apps come from known sources are free of known malware and haven’t been tampered with at the time of installation or launch.100% of apps are automatically screened for known malware.Over 16K apps use Apple health technologies like HealthKit CareKit and ResearchKit designed to protect patient privacy.You choose what data to share. And with whom.More about You choose what data to share. And with whom.You choose what data to share. And with whom.Each app is required to ask for your permission so you can choose what data to share. The first time a third‑party app wants to access your information — like your location contacts calendars or photos — you receive an alert. Even if you grant access once you can revoke it later. We also ensure that apps are denied access to certain sensitive data on your device are unable to modify your device or OS and are prohibited from obtaining complete access to your data.Over 215K submissions rejected last year for violating privacy guidelines.Apps can’t pull your data from other apps.More about Apps can’t pull your data from other apps.Apps can’t pull your data from other apps.System-level protections prevent an app from accessing data from other apps without your explicit permission.Dedicated to trust and safety.Apps must adhere to our guidelines.More about Apps must adhere to our guidelines.Apps must adhere to our guidelines.When you download an app it should work as promised. Which is why human App Reviewers ensure that the apps on the App Store adhere to our strict app review standards. Our App Store Review Guidelines require apps to be safe provide a good user experience comply with our privacy rules secure devices from malware and threats and use approved business models. Learn more about the App Store Review GuidelinesEvery week over 500 dedicated experts around the world review over 100K apps.Over 1M submissions rejected for objectionable harmful unsafe or illegal content.You should never have to worry about inappropriate content.More about You should never have to worry about inappropriate content.You should never have to worry about inappropriate content.We strongly support all points of view being represented on the App Store. But we also take steps to make sure apps are respectful to users with differing opinions and we reject apps with any content or behavior that we believe is over the line — especially when it puts children at risk. Every app has an assigned age rating so parents can determine what is appropriate for their children.No surprise purchases.More about No surprise purchases.No surprise purchases. Apps must follow an approved business model and clearly show you the price tell you what you get with your purchase and explain subscription-renewal terms up front. Apple sends a receipt each time you use our in‑app purchase feature and you can also view those purchases and subscriptions in your account. So you won’t get bills out of the blue.Every day moderators review worldwide App Store charts for quality and accuracy.In 2020 we removed over 80M user reviews that were considered spam.We have removed over 2.3M apps because they haven’t been updated or don’t work on our latest OS releases.Hardware and software. Powering amazing experiences together by design.Apps help unlock the full potential of your Apple devices.More about Apps help unlock the full potential of your Apple devices.Apps help unlock the full potentialof your Apple devices.Apple products use industry-leading technology to bring apps to life — so you can experience more of the amazing things your devices are capable of. Thanks to hardware and software designed to work together you get more out of your apps — from things you take for granted like supersmooth scrolling to seeing how a new sofa might look in your living room before you buy it.We help app developers take advantage of our latest hardware technologies.More about We help app developers take advantage of our latest hardware technologies.We help app developers take advantageof our latest hardware technologies.We give developers the tools and support to build cutting‑edge technologies into their apps right away — which means they’re yours to enjoy right away. Like when an app uses Face ID or Touch ID for secure access — while keeping the underlying authentication data from your face or fingerprint private. Or when a game controller syncs up easily with a new game on your iPhone. And with our innovations in augmented reality and machine learning you’ll be seeing even more amazing features in the years to come.Download with confidence.Make any app yours. Instantly.More about Make any app yours. Instantly.Make any app yours. Instantly.Our world‑class distribution platforms reach over 1.5 billion devices worldwide allowing users to buy and download apps without lags or drags. When you download a universal app on one device it automatically appears on your other devices. And if you upgrade to a new device your apps go with you — no need to redownload as long as your apps stay up to date.Over 900K apps have secure payment technologies like Apple Pay and StoreKit for goods and services.Purchase safely and securely.More about Purchase safely and securely.Purchase safely and securely.App Store purchases are safe and simple so you can start playing gaming reading — or just doing — right away. Create a secure account with your preferred payment method on file and it’s easily accessible across your devices and the web. Your account is protected by two‑factor authentication ensuring that the only person who can access your account is you — even if someone else knows your password. And more than 250000 apps tap into the advanced technologies of Touch ID and Face ID built right into your devices giving you an additional layer of security.Problem with an app? Easily report it from the App Store.More about Problem with an app? Easily report it from the App Store.Problem with an app? Easily report it from the App Store.In the unlikely event that you have a problem you can report it directly from the app product page on the App Store.Need a refund? AppleCare has your back.More about Need a refund? AppleCare has your back.Need a refund? AppleCare has your back.Visit Apple Support online or use the Apple Support app to request a refund for App Store purchases.More than 4B apps distributed each day from data centers running on 100% renewable energy.Over 195 local payment methods and 45 currencies supported.Check out what’s happening on the App Store.Visit the App StoreVisit the App StoreNews about the App Store.See all Newsroom articlesApple Footer* Disney+ subscription required. Must be at least 18 to subscribe.AppleApp StoreShop and LearnShop and Learn+StoreMaciPadiPhoneWatchVisionAirPodsTV &amp; HomeAirTagAccessoriesGift CardsApple WalletApple Wallet+WalletApple CardApple PayApple CashAccountAccount+Manage Your Apple IDApple Store AccountiCloud.comEntertainmentEntertainment+Apple OneApple TV+Apple MusicApple ArcadeApple Fitness+Apple News+Apple PodcastsApple BooksApp StoreApple StoreApple Store+Find a StoreGenius BarToday at AppleApple CampApple Store AppCertified RefurbishedApple Trade InFinancingCarrier Deals at AppleOrder StatusShopping HelpFor BusinessFor Business+Apple and BusinessShop for BusinessFor EducationFor Education+Apple and EducationShop for K-12Shop for CollegeFor HealthcareFor Healthcare+Apple in HealthcareHealth on Apple WatchHealth Records on iPhoneFor GovernmentFor Government+Shop for GovernmentShop for Veterans and MilitaryApple ValuesApple Values+AccessibilityEducationEnvironmentInclusion and DiversityPrivacyRacial Equity and JusticeSupplier ResponsibilityAbout AppleAbout Apple+NewsroomApple LeadershipCareer OpportunitiesInvestorsEthics &amp; ComplianceEventsContact Apple			More ways to shop: Find an Apple Store or other retailer near you. Or call 1-800-MY-APPLE.United StatesCopyright ©								2023				 Apple Inc. All rights reserved.			Privacy PolicyTerms of UseSales and RefundsLegalSite Map</v>
      </c>
    </row>
    <row r="338">
      <c r="A338" s="1" t="s">
        <v>1146</v>
      </c>
      <c r="B338" s="1" t="s">
        <v>1165</v>
      </c>
      <c r="C338" s="1" t="s">
        <v>1166</v>
      </c>
      <c r="D338" s="1">
        <v>7.0</v>
      </c>
      <c r="E338" s="4" t="s">
        <v>1167</v>
      </c>
      <c r="F338" s="1" t="s">
        <v>16</v>
      </c>
      <c r="G338" s="1" t="s">
        <v>1168</v>
      </c>
      <c r="H338" s="4" t="s">
        <v>1169</v>
      </c>
      <c r="I338" s="2">
        <v>1.0</v>
      </c>
      <c r="J338" s="5" t="str">
        <f>IFERROR(__xludf.DUMMYFUNCTION("GOOGLETRANSLATE(A338)"),"diary RU")</f>
        <v>diary RU</v>
      </c>
      <c r="K338" s="6" t="str">
        <f>IFERROR(__xludf.DUMMYFUNCTION("GOOGLETRANSLATE(B338)"),"RU Diary - Personal Account Pupil: Entrance to my ...")</f>
        <v>RU Diary - Personal Account Pupil: Entrance to my ...</v>
      </c>
      <c r="L338" s="5" t="str">
        <f>IFERROR(__xludf.DUMMYFUNCTION("GOOGLETRANSLATE(C338)"),"Dnevnik.ru allows teachers to organize distance learning and transfer to the electronic form “paper” aspects of their work, parents - monitor ...")</f>
        <v>Dnevnik.ru allows teachers to organize distance learning and transfer to the electronic form “paper” aspects of their work, parents - monitor ...</v>
      </c>
      <c r="M338" s="5" t="str">
        <f>IFERROR(__xludf.DUMMYFUNCTION("GOOGLETRANSLATE(G338)"),"Compare the selection and comparison of credit cards of credit cards Car insurance Calculator Calculator and CASCO Rating of insurance companies of the credit use of credit recovery of auto -credit Credit Credit Credit Credits online bankcrodins without c"&amp;"ertificates of real estate income with poor credit history of exchange of foreign currency exchange rates NG Banking Services Banking Covers on Banning -Supervision Options Supervision Mortgage of Travelers Insurance Aparties athletes Discard Medical Insu"&amp;"rance Critical Disease Craduation from a bite tick -luggage of the house and animal overthrow daching KBMRrating of insurance companies of insurance companies. Outputs about insurance companies on insurance storage online posts on crankcases without refus"&amp;"al from bad kizima without interest -free, borrowed borrowings for the deposit of Ptszami -long -term borrowing loans of the MFOspections FOOPOTETECIPENITIONAL CRIENTS for a mortgage online family mortgage with state -cervical vehicle housing housing cons"&amp;"truction. House -refinancing mortgages in new buildings Piccalculator of a mortgage of a mortgage without initial contributions on mortgages for a young family for a young family mortgage mortgage for Banking Service Banking Card Card Credit Credit Card C"&amp;"ard Card Credit Cards with Free Service Card Credit Cards with an instant decision of the Card of Cards without Outcredit cards with delivery cards without confirming an income card of an installmentar cards with cashbacks of banking records of banking ch"&amp;"ecks about banks Board of depository investment investment deposit deposit invoice to invest money and investment Investment insurance programs for life-saving insurance of Life-rending banking records banks of bankshakhi-rating Blackracies Conducting Off"&amp;"ice of Business Service Service Universal Conductors Quillingwed Registration Business-Ling-Gallery Services Services for Markets of Changes to IP and LLC LLC IPREETISITS BANKS ON BUSINESS OF BUSINESS OF BAST CONCLUSIONS ON THE BANCHOOKSHINALINAL Skillbox"&amp;" programmakesino-School management Analyticamarketing PROTEMING to the USE and OGED development for python1-programingq testing graphic-design-designing Language Curses about courses of schools of schools of schools of schools and response and response an"&amp;"d response of companies and games. Ting experts of the Creditan investigation of the insurance of lifting aids, we will save money to compare prices and save up to 5,500 ₽ Com bosom to place prices for 1 minute to place the banks ready to give out a loan "&amp;"on the right You are conditions of a card for 10 minutes 0%insurance of an insurance for a bankprise of 500 000 ₽ Credit rating of a credit history for the absence of delays and an error -free pay -off -class, the best conditions are the best conditions f"&amp;"or tourist insurance athletes Service 9 thousand. Responsive Often searchcifers of cash registering loan loan loans for cartridges on security for car loans on the security of real estate application For creditcredites with poor bickens without a certific"&amp;"ate of launcher, liner -term accounts with monthly payments to dollarshvallete deposits for retirees in euro -ranges in the yuanahpets on the deposit of the deposit of the hen There are a suburban boat mortgage with state support for a young family of a f"&amp;"amily in new buildings in new buildings in the new building cards to the best credit card cards without refusal cards with poor kyvirtual credit card cards installments with 100 % approval by instant solutions by conding cards with delivery cards Unionpay"&amp;"cobeiding Cards Card Card Card Card Card Cards with cashback cards for a child with free service cards of Mirsa Process by the residual -concrete cards for pensioner -concern cards Unionpaycobejing debit card -bearing -based maps for cartridges without pe"&amp;"rcentage without verification Online poses on a map without refusalsayamsim for ptszams without refusal from poor kions and promotional c do in the Mfostorovannannanikalchata OSAGOOSAGO ONLYKASKAROSKAING FOR LIFE -Building Life for Mortgage Supervision of"&amp;" Real Estate from accidents of cases of civicnutic codes Redites at 0%long -term microcreditic codes through public services business architecture business -register for business accounts for ipcredit for LLC Ekweingbank guarantees of food products for a "&amp;"medical medical insurance for the GoddMS with dentistry with telemedicine insurance from bite tick -pacing from critical illness from heart attack and stroke from racin -investment service to open up the overwhelming of the Onlineis for the IPREATIVE BROK"&amp;"ROGRABLIC score for legal limits NGRACTION OF THE CONTRODUCTURENCENT PROGNITION for the exam and OGESELS - In the mobile application, Implay, Open Open Services Online Controls Contacts Checks and Contacts Insurance Consure Evaluate your credit The possib"&amp;"ilities to use the QR -codal of the installation, enter the phone camera on the QR -KODO project of the project -Partner program of the agent -user agreement Politician Politicia of the Privacy of the Setanashi Expertsai Vacancies © 2009–2023 LLC ""Reflas"&amp;"is"". When using materials, a hyperlink on sravni.ru is required. TIN 7710718303 OGRN 1087746642774. 109544 Moscow Boulevard Enthusiasts House 26th floor ""Reflasis.ru"" operates activities in the IT field: the service provides online selection services a"&amp;"s advertising organizations - partners in the Internet using COOKIE files In order to provide users with more opportunities when visiting the site sravni.ru. Read more about the conditions of use.")</f>
        <v>Compare the selection and comparison of credit cards of credit cards Car insurance Calculator Calculator and CASCO Rating of insurance companies of the credit use of credit recovery of auto -credit Credit Credit Credit Credits online bankcrodins without certificates of real estate income with poor credit history of exchange of foreign currency exchange rates NG Banking Services Banking Covers on Banning -Supervision Options Supervision Mortgage of Travelers Insurance Aparties athletes Discard Medical Insurance Critical Disease Craduation from a bite tick -luggage of the house and animal overthrow daching KBMRrating of insurance companies of insurance companies. Outputs about insurance companies on insurance storage online posts on crankcases without refusal from bad kizima without interest -free, borrowed borrowings for the deposit of Ptszami -long -term borrowing loans of the MFOspections FOOPOTETECIPENITIONAL CRIENTS for a mortgage online family mortgage with state -cervical vehicle housing housing construction. House -refinancing mortgages in new buildings Piccalculator of a mortgage of a mortgage without initial contributions on mortgages for a young family for a young family mortgage mortgage for Banking Service Banking Card Card Credit Credit Card Card Card Credit Cards with Free Service Card Credit Cards with an instant decision of the Card of Cards without Outcredit cards with delivery cards without confirming an income card of an installmentar cards with cashbacks of banking records of banking checks about banks Board of depository investment investment deposit deposit invoice to invest money and investment Investment insurance programs for life-saving insurance of Life-rending banking records banks of bankshakhi-rating Blackracies Conducting Office of Business Service Service Universal Conductors Quillingwed Registration Business-Ling-Gallery Services Services for Markets of Changes to IP and LLC LLC IPREETISITS BANKS ON BUSINESS OF BUSINESS OF BAST CONCLUSIONS ON THE BANCHOOKSHINALINAL Skillbox programmakesino-School management Analyticamarketing PROTEMING to the USE and OGED development for python1-programingq testing graphic-design-designing Language Curses about courses of schools of schools of schools of schools and response and response and response of companies and games. Ting experts of the Creditan investigation of the insurance of lifting aids, we will save money to compare prices and save up to 5,500 ₽ Com bosom to place prices for 1 minute to place the banks ready to give out a loan on the right You are conditions of a card for 10 minutes 0%insurance of an insurance for a bankprise of 500 000 ₽ Credit rating of a credit history for the absence of delays and an error -free pay -off -class, the best conditions are the best conditions for tourist insurance athletes Service 9 thousand. Responsive Often searchcifers of cash registering loan loan loans for cartridges on security for car loans on the security of real estate application For creditcredites with poor bickens without a certificate of launcher, liner -term accounts with monthly payments to dollarshvallete deposits for retirees in euro -ranges in the yuanahpets on the deposit of the deposit of the hen There are a suburban boat mortgage with state support for a young family of a family in new buildings in new buildings in the new building cards to the best credit card cards without refusal cards with poor kyvirtual credit card cards installments with 100 % approval by instant solutions by conding cards with delivery cards Unionpaycobeiding Cards Card Card Card Card Card Cards with cashback cards for a child with free service cards of Mirsa Process by the residual -concrete cards for pensioner -concern cards Unionpaycobejing debit card -bearing -based maps for cartridges without percentage without verification Online poses on a map without refusalsayamsim for ptszams without refusal from poor kions and promotional c do in the Mfostorovannannanikalchata OSAGOOSAGO ONLYKASKAROSKAING FOR LIFE -Building Life for Mortgage Supervision of Real Estate from accidents of cases of civicnutic codes Redites at 0%long -term microcreditic codes through public services business architecture business -register for business accounts for ipcredit for LLC Ekweingbank guarantees of food products for a medical medical insurance for the GoddMS with dentistry with telemedicine insurance from bite tick -pacing from critical illness from heart attack and stroke from racin -investment service to open up the overwhelming of the Onlineis for the IPREATIVE BROKROGRABLIC score for legal limits NGRACTION OF THE CONTRODUCTURENCENT PROGNITION for the exam and OGESELS - In the mobile application, Implay, Open Open Services Online Controls Contacts Checks and Contacts Insurance Consure Evaluate your credit The possibilities to use the QR -codal of the installation, enter the phone camera on the QR -KODO project of the project -Partner program of the agent -user agreement Politician Politicia of the Privacy of the Setanashi Expertsai Vacancies © 2009–2023 LLC "Reflasis". When using materials, a hyperlink on sravni.ru is required. TIN 7710718303 OGRN 1087746642774. 109544 Moscow Boulevard Enthusiasts House 26th floor "Reflasis.ru" operates activities in the IT field: the service provides online selection services as advertising organizations - partners in the Internet using COOKIE files In order to provide users with more opportunities when visiting the site sravni.ru. Read more about the conditions of use.</v>
      </c>
    </row>
    <row r="339">
      <c r="A339" s="1" t="s">
        <v>1146</v>
      </c>
      <c r="B339" s="1" t="s">
        <v>1147</v>
      </c>
      <c r="C339" s="1" t="s">
        <v>1170</v>
      </c>
      <c r="D339" s="1">
        <v>8.0</v>
      </c>
      <c r="E339" s="4" t="s">
        <v>1171</v>
      </c>
      <c r="F339" s="1" t="s">
        <v>16</v>
      </c>
      <c r="G339" s="1" t="s">
        <v>31</v>
      </c>
      <c r="H339" s="4" t="s">
        <v>32</v>
      </c>
      <c r="I339" s="2">
        <v>1.0</v>
      </c>
      <c r="J339" s="5" t="str">
        <f>IFERROR(__xludf.DUMMYFUNCTION("GOOGLETRANSLATE(A339)"),"diary RU")</f>
        <v>diary RU</v>
      </c>
      <c r="K339" s="6" t="str">
        <f>IFERROR(__xludf.DUMMYFUNCTION("GOOGLETRANSLATE(B339)"),"Diary RU")</f>
        <v>Diary RU</v>
      </c>
      <c r="L339" s="5" t="str">
        <f>IFERROR(__xludf.DUMMYFUNCTION("GOOGLETRANSLATE(C339)"),"Diary.ru-a Russian IT company in the field of educational technologies. According to its own statements, the company is engaged in the development of a single electronic ...")</f>
        <v>Diary.ru-a Russian IT company in the field of educational technologies. According to its own statements, the company is engaged in the development of a single electronic ...</v>
      </c>
      <c r="M339" s="5" t="str">
        <f>IFERROR(__xludf.DUMMYFUNCTION("GOOGLETRANSLATE(G339)"),"Wikipedia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40">
      <c r="A340" s="1" t="s">
        <v>1146</v>
      </c>
      <c r="B340" s="1" t="s">
        <v>1172</v>
      </c>
      <c r="C340" s="1" t="s">
        <v>1173</v>
      </c>
      <c r="D340" s="1">
        <v>9.0</v>
      </c>
      <c r="E340" s="4" t="s">
        <v>1174</v>
      </c>
      <c r="F340" s="1" t="s">
        <v>16</v>
      </c>
      <c r="G340" s="1" t="s">
        <v>1175</v>
      </c>
      <c r="H340" s="4" t="s">
        <v>1176</v>
      </c>
      <c r="I340" s="2">
        <v>1.0</v>
      </c>
      <c r="J340" s="5" t="str">
        <f>IFERROR(__xludf.DUMMYFUNCTION("GOOGLETRANSLATE(A340)"),"diary RU")</f>
        <v>diary RU</v>
      </c>
      <c r="K340" s="6" t="str">
        <f>IFERROR(__xludf.DUMMYFUNCTION("GOOGLETRANSLATE(B340)"),"Diary.Ru - Encyclopedia ""Knanie.vicki""")</f>
        <v>Diary.Ru - Encyclopedia "Knanie.vicki"</v>
      </c>
      <c r="L340" s="5" t="str">
        <f>IFERROR(__xludf.DUMMYFUNCTION("GOOGLETRANSLATE(C340)"),"Oct. 2023. -")</f>
        <v>Oct. 2023. -</v>
      </c>
      <c r="M340" s="5" t="str">
        <f>IFERROR(__xludf.DUMMYFUNCTION("GOOGLETRANSLATE(G340)"),"Russian Society Knowledge - holding Grants of the Lecture of Marathona Lecture Interesting Personal Personal Personal Personal Directorate of Projects of Projects of Projects of the Lecture of Lecture Social -High -Human Resources to Lecture to Lecture to"&amp;" Building the Building Partner to Expert -Metal Exhibition -Forum “Russia” to watch a broadcast 04.11 - 12.04s . - cf. Online. Tatra -Russian educational action in more detail 28.09 - 15.12 cm. - Fri -documentary films about everything on Light and the be"&amp;"st about the most interesting in our cinema. Rather, go and enjoy the viewing! More knowledge. Vikinash new project is a digital library of reliable knowledge that we create together! Details the teachers and mentor 2023 Supreme Highlights with a lecturer"&amp;" with a lecturer with a lecturerome Averbukhserebiye winner of the Olympic Games Honored Master of Sports of Russia Baranovaanovags. the hero of the USSR Hero of labor Laureate The State Prizes of the USSR and the Russian Federation Professor Surgery, the"&amp;" Marukhukovo artist of the Russian State Prize, artistic director of the Moscow Provincial Theater, actor director Beloglazovkommandir of the Special Purpose of the Vityaz Center named after the F. E. Dzerzhinsky FSVang of the Russian Federation Hero of t"&amp;"he Russian Federation of the Russian Federation Berezikova -Russian athlete in battles in the mixed styles of the Believer, Berodistan Yes “I am!” Camila Valievari -Russian skater -president Winery President of the All -Russian Federation of the Artistic "&amp;"Gymnastics School of Gymnastics Golikova President of the Chairman of the Government of the Russian Federation Gorosiyuzakanterman Grefaman Gref -chairman of PJSC Sberbancyla Drozdovodtor of Biological Sciences Honored Professor of the Moscow State Univer"&amp;"sity of Geographical Faculty of Lomonosov Member Member of the Board of Trustees of WWF Russia Telezediy Member The author of the writers of Russia more than 200 articles and 40 books of the book Demiter Dyuzhevacter Sing -film director Honored Artist of "&amp;"the Russian Federation Zakharevoder of the Department of Information and Press of the Ministry of Foreign Affairs of the Russian Russian Cargean -Russian chessman of the Caspersky General General Director of Kaspersky Lab Director of NIC ""Kurchatov Insti"&amp;"tute"" Grigory Kokotkinossian actor Theater and Cinema Teacher Acting Artistic Director of the Architect Cultural Center Bloggaranna Kuznetsovacelor of the Chairman of the State Duma, Federal Assembly of the Russian Federation of the Russian Federation of"&amp;" the Russian Federation (Vovan) Prakersershezmage Lavrov minister of the Russian Federation of the KROSS COSMETIC, Actress singer Popular Blograleki Likhachevgeneral Director State Rosatom Corporation Roman The Lobashian editor of the television channel "&amp;"""My Planet"" Maria Lvova-Belya-Authorized President of the Russian Federation for the Rights of the Childvasmimmir Mashkovo artist Oleg Tabakov People's and Honored Artist of the Russian Medinsky President of the Russian Federation, Chairman of the Russi"&amp;"an Military-Historical Society of the Government of the Russian Federation on November 113 to scientific quiz and lectures on Cosmos Acquaintance with the Amur and Sakhalin regions Useful tips for self -development - how the next day of the educational pr"&amp;"ogram of the Russian exhibition ""Russia"" was held on November 10, 2023 General Director of GLONASS JSC, Alexei Rakevich conducted an excursion trip to the Tomsk and Novgorod regions at the Russian Economic Program of the Society “Knowledge” on November "&amp;"10, 2023 History in the persons of events and facts: in the Kherson region, educational activities were held, Knowledge of the TRACH. Khrephorycalendar of the measures for project -designed therapy to the Important Rossiya Russian Assembly at VDNH 2023 Ra"&amp;"zhovtorskhovtorskupkupkupkhkupkups 99) 393-33-38 technical support: Support@ znanierussia.ru Recreation “Knowledge”: info@znanierussia.ruadre Organization: 109240 Moscow intracity territory municipal district Tagansky Nikolayamskaya D 11 Politician Privac"&amp;"y Agreement of the Russian Society “Knowledge” on the creation of the Russian Society “Knowledge” Report on the use of property for 2021 years of age of 2021 about Using property for 2022 © 2023 Russian Society ""Knowledge""")</f>
        <v>Russian Society Knowledge - holding Grants of the Lecture of Marathona Lecture Interesting Personal Personal Personal Personal Directorate of Projects of Projects of Projects of the Lecture of Lecture Social -High -Human Resources to Lecture to Lecture to Building the Building Partner to Expert -Metal Exhibition -Forum “Russia” to watch a broadcast 04.11 - 12.04s . - cf. Online. Tatra -Russian educational action in more detail 28.09 - 15.12 cm. - Fri -documentary films about everything on Light and the best about the most interesting in our cinema. Rather, go and enjoy the viewing! More knowledge. Vikinash new project is a digital library of reliable knowledge that we create together! Details the teachers and mentor 2023 Supreme Highlights with a lecturer with a lecturer with a lecturerome Averbukhserebiye winner of the Olympic Games Honored Master of Sports of Russia Baranovaanovags. the hero of the USSR Hero of labor Laureate The State Prizes of the USSR and the Russian Federation Professor Surgery, the Marukhukovo artist of the Russian State Prize, artistic director of the Moscow Provincial Theater, actor director Beloglazovkommandir of the Special Purpose of the Vityaz Center named after the F. E. Dzerzhinsky FSVang of the Russian Federation Hero of the Russian Federation of the Russian Federation Berezikova -Russian athlete in battles in the mixed styles of the Believer, Berodistan Yes “I am!” Camila Valievari -Russian skater -president Winery President of the All -Russian Federation of the Artistic Gymnastics School of Gymnastics Golikova President of the Chairman of the Government of the Russian Federation Gorosiyuzakanterman Grefaman Gref -chairman of PJSC Sberbancyla Drozdovodtor of Biological Sciences Honored Professor of the Moscow State University of Geographical Faculty of Lomonosov Member Member of the Board of Trustees of WWF Russia Telezediy Member The author of the writers of Russia more than 200 articles and 40 books of the book Demiter Dyuzhevacter Sing -film director Honored Artist of the Russian Federation Zakharevoder of the Department of Information and Press of the Ministry of Foreign Affairs of the Russian Russian Cargean -Russian chessman of the Caspersky General General Director of Kaspersky Lab Director of NIC "Kurchatov Institute" Grigory Kokotkinossian actor Theater and Cinema Teacher Acting Artistic Director of the Architect Cultural Center Bloggaranna Kuznetsovacelor of the Chairman of the State Duma, Federal Assembly of the Russian Federation of the Russian Federation of the Russian Federation (Vovan) Prakersershezmage Lavrov minister of the Russian Federation of the KROSS COSMETIC, Actress singer Popular Blograleki Likhachevgeneral Director State Rosatom Corporation Roman The Lobashian editor of the television channel "My Planet" Maria Lvova-Belya-Authorized President of the Russian Federation for the Rights of the Childvasmimmir Mashkovo artist Oleg Tabakov People's and Honored Artist of the Russian Medinsky President of the Russian Federation, Chairman of the Russian Military-Historical Society of the Government of the Russian Federation on November 113 to scientific quiz and lectures on Cosmos Acquaintance with the Amur and Sakhalin regions Useful tips for self -development - how the next day of the educational program of the Russian exhibition "Russia" was held on November 10, 2023 General Director of GLONASS JSC, Alexei Rakevich conducted an excursion trip to the Tomsk and Novgorod regions at the Russian Economic Program of the Society “Knowledge” on November 10, 2023 History in the persons of events and facts: in the Kherson region, educational activities were held, Knowledge of the TRACH. Khrephorycalendar of the measures for project -designed therapy to the Important Rossiya Russian Assembly at VDNH 2023 Razhovtorskhovtorskupkupkupkhkupkups 99) 393-33-38 technical support: Support@ znanierussia.ru Recreation “Knowledge”: info@znanierussia.ruadre Organization: 109240 Moscow intracity territory municipal district Tagansky Nikolayamskaya D 11 Politician Privacy Agreement of the Russian Society “Knowledge” on the creation of the Russian Society “Knowledge” Report on the use of property for 2021 years of age of 2021 about Using property for 2022 © 2023 Russian Society "Knowledge"</v>
      </c>
    </row>
    <row r="341">
      <c r="A341" s="1" t="s">
        <v>1146</v>
      </c>
      <c r="B341" s="1" t="s">
        <v>1177</v>
      </c>
      <c r="C341" s="1" t="s">
        <v>1178</v>
      </c>
      <c r="D341" s="1">
        <v>10.0</v>
      </c>
      <c r="E341" s="4" t="s">
        <v>1179</v>
      </c>
      <c r="F341" s="1" t="s">
        <v>16</v>
      </c>
      <c r="G341" s="1" t="s">
        <v>1180</v>
      </c>
      <c r="H341" s="4" t="s">
        <v>1181</v>
      </c>
      <c r="I341" s="2">
        <v>2.0</v>
      </c>
      <c r="J341" s="5" t="str">
        <f>IFERROR(__xludf.DUMMYFUNCTION("GOOGLETRANSLATE(A341)"),"diary RU")</f>
        <v>diary RU</v>
      </c>
      <c r="K341" s="6" t="str">
        <f>IFERROR(__xludf.DUMMYFUNCTION("GOOGLETRANSLATE(B341)"),"Company diary.ru - habr career")</f>
        <v>Company diary.ru - habr career</v>
      </c>
      <c r="L341" s="5" t="str">
        <f>IFERROR(__xludf.DUMMYFUNCTION("GOOGLETRANSLATE(C341)"),"The company ""Diary.ru"" is the profile of the employer for the Habr Career: about the company, photos of the office, contacts.")</f>
        <v>The company "Diary.ru" is the profile of the employer for the Habr Career: about the company, photos of the office, contacts.</v>
      </c>
      <c r="M341" s="5" t="str">
        <f>IFERROR(__xludf.DUMMYFUNCTION("GOOGLETRANSLATE(G341)"),"Work in the IT industry Fresh vacancies and resumes Work Search-Habr career service Habra Service IT-specialist wipes for any questions about ITPROFORENCE WORK WORK for IT specialist vehicles through the Habr Accounts for the Habr Accounts Paniiyretingzar"&amp;"payplaces by oscillator -specialists will find a job to find a job in the ITPOGAMENATYSTYNASTENT IT3 347 VACACES ONLY is already here1,167 courses for obtaining and the development of skills177 386 ₽ Middle salary in the IT segment of 678 companies are lo"&amp;"oking for employees right now01 unidyds work on the souls of the Khabra Careers Actual vacancies for all leading specializations of the IT industry-designation of the design of the design of the design of the design of Tchikot 120 000 ₽ ₽ Frontent work de"&amp;"veloper (JavaScript/React) from 180 000 ₽Simplenight work FrontenD (React.js) Developer $ 4,000 to 6,000 Bittenredomskreact Developer 20,000 to 40 000 ₽ Laboratory 365 Demolished workmiddle Froneloper (React) from 120,000 to 200 000 asonable operation of "&amp;"theBackend developer (Pyt Hon django) from 180 000 ₽- PARSERUAL WORK OFFRONTEND ENGINEER (React Material-UI Typescript) from 1,500 to 2,000 $ GARANTEXED WORK WORKSENIOR FRONELOPEROT 3,500 more vacancies HAVIBR Development: Greenatomoskvqa Engineer Manal 1"&amp;"80 000 ₽ Caudated work CQA engineering 140 000 ₽T-tsdala workcrimato functional Tester (Middle Middle+ Manual QA) in CIB (remotely) from 130,000 to 250 000 ₽ Labor 365 Inopurrent Labor Apostor 80 000 to 150 000 ₽BDEVENED WORK CALE ASSURANCEOT 50 000 000 0"&amp;"00 ₽TINKOFOFMOSKAAKA. d) from 150,000 to 400 000 ₽ Cheeleomskvautomation QA Engineer (API) from 200 000 000 ₽rem finance s.R. Automed workmiddle / senior QA Engineerot 800 to 1,600 more vacancies-surDEVOPS engineer for design employment 80 000 ley VARDISE"&amp;"D WORK WORK AND 350 000 000 ₽GAUSSED WORK WORK AND 350 000 000 ₽VKMOSKVASITE RELIABILITY ENGINEER (SRE) from 200,000 to 500 000 ₽SOKOLOVENTENDENT WORK INSISTEMENT LINUXO 200 000 ₽KillSpace DEVEVOPS-engineer in EDTECH Project 200 000 to 300,000 ley OPS Eng"&amp;"ineering 200,000 to 400 000 ₽Avanpostmoskviangener of implementation (System Administrator Skill ) from 150 000 to 170 000 ₽ more vacancieshabr administration: MVP Labelended Workproject Managerot 100,000 to 150 000 ₽quantum workit workit Project Managero"&amp;" 80 000 ₽ Service -ServableProject manager 150 000 to 200 000 to 200 000 to 200 000 to 200 000 to 200 000 to 200 000 to 200 000 to 200,000 ₽freuders -dedicated workproject Manager (with functions of Business Analyst) from 2,500 $ FUTURE SEARCHUDALE WORKSP"&amp;"ROJECT Manager / Product Managerot 120 000 to 150 000 000 ₽ Ibiumed operationProduct Owner / POV EdTech-Product 300 000 ₽dna Teaminburgproject Manager (WEB coordinator WEB -development) from 145,000 to 165 000 ₽atlasmoskvasro in atlasot 200,000 to 280,000"&amp;" ₽ Vacanciihabr Management: YOURTUNESENCE WORK WORKS/UI Designer 100 000 ₽-product-producer-Petersburgui/Ux designer 150 000 ₽ aurobed work (B2B) up to 220 000 ₽TRIDALED WORK MU Bono.digtaldnated work designer 80 000 ₽1420 -given Workmiddle Designerot 1,5"&amp;"00 contouring work SSENIOR Designer of internal grocery interfaces 150 000 ₽Redlabmoscreician designer (remotely hourly payment) from 40,000 to 80 000 ₽ Warcassihabr Design: Gravity Field Democal work P GPB / Vesna -Data Data Working up up to 200 000 ₽Cli"&amp;"ckavia Work work Engineerot 2,500 to 4,000 $ RT Misudalized workshop Billingado 65 000 ₽2Seventaganrogsystem analyst of 100,000 to 150 000 ₽MTSMS -vanity analyst in the team of cross -platform mobile applications to 250,000 000 ₽Wininam and lurk Tikot 300"&amp;" 000 ₽ProCter &amp; Gamblemoskvasenior Data Engineer / Senior Data- Engineering 280 000 ₽ more vacancies-alepix, marketing workman 1,000 to 1,500 $ UAB SoftekUDALED WORKSMARKETINGER CPA NETWORKS (DATING UNDER WW) up to 200 000 ₽future search. Marketologist 60"&amp;" 000 to 100 000 ₽PERFORMANCE Maniacsed Work Speesist Contextual Advertising Office 80 000 to 120 000 ₽ Bankirrosankt-Petersburgseo-specialist / SEO-optimizer (remotely) from 60,000 to 120 000 ₽10Holding, work-specialist for marketing and income growth (an"&amp;"alysis and management) from 100,000 to 120 000 ₽ Future SEARCHUDEN WORKS SEO SEO SEO SEO -Departure / Team LEAD SEOOT 120 000 to 150 000 ₽ Rybasankancancarburg Director for Marketing (CMO) up to 300 000 ₽ more vacancieshabr marketing: Developer1462 Vacanc"&amp;"oftware Engineer1462 Vacancy Programmer 2 Categories 915 Vetermined 68 Vacancy Developer 854 vacancies Bacckend Developer683 Vacancia Analytic607 Vacancy Analytic 500 Vacancist programmer495 Vacancyyinzhener Technologist Programist482 Vacancy DWH482 Vacan"&amp;"cy work2301 Vacancies more vacancies02 Issules are the best place is trusted by the best companies that regularly place vacancies for the IT specialists from uslamoda tech4.5897%Code the LifeSTYLEMENALEMENT TUSTIONS4.77 Professional growth4.73LUXOFT4.4 78"&amp;"9%leading global company providing Digital strategy and development services Professional growth software 4.62 Social package4.57 -component working conditions 4.56Avito4.4487%of the announcements of which is used by a third of the Russian population of R"&amp;"ussian labor 4.81 The world is better 4.74 Minor technologies 4.7 Interesting tasks 4.57VK4.3588%The meeting place of the best working conditions 4.76 Social package4.64 Professional growth4.55 Tenzor4.3383%Development of a system of business communicatio"&amp;"ns and electronic document management C&gt; 1 million user-graphic working conditions4.71 components are made by the world Better 4.49 Relations with colleagues 4.45alf-bank4.3384%digital-banking unit with colleagues4.63 compound makes the world better 4.48 "&amp;"cramary growth 4.43LALIT4.3182%Multiprophyal group of the Russian industry of the Russian industry with colleagues4.59 Command makes the world better4 .53professional growth 4.44 -jandeks4.3085%company that develops the most popular search engine in Russi"&amp;"a and dozens of other services -to -deal working conditions 4.78 social package 4.72 companies makes the world better 4.6 School of technology4.2180%company with a flexible approach to work in technological solutions and bright corporate Culture to be a c"&amp;"olleagues 4.45-composed working conditions 4.4 Modern technologies 4.4.4.4.1878%the largest wholesale supplier of consumer goods in Russian in Russian, 82 Mineral Technologies4.64 Professional growth4.55 Lig of digital economy4.1778%Group of companies tha"&amp;"t provide professional services in the field of information and digital. The technologian package4.42 compound makes the world better 4.39 Issues with colleagues 4.37miro4.8798%The Online Collaboative Whiteboarding Platforming makes the world better 4.99 "&amp;"Social packet4.99 Professional growth4.94aston (Ex. Anddersen) 4.8096%outsourcing company, oriented to develop component working conditions 4.87 professional growth4.86 modern technologies4.84 Directic Credit4.7792%of technology - this is simply clear and"&amp;" conveniently makes the world better 4.9 Professional growth4.85jetbraains4.7499% Effective tools for developers in companies Makes the world better than 5.0 School with top management5.0 Carrier growth5.0 TELEMATIC 4.7392%International Developer and Russ"&amp;"ian leader of the solutions in the field of intellectual transportation salary 4.88 Office with colleagues 4.77 Professional growth4.77 European company 4.7196%LISING Company Company makes a world better 5.0 top management 4.9 Social package4.9indrive4.69"&amp;"96%International Passenger and Freight Service with headquarters in the Mountain-Vew California makes the world better 5.0 Professional growth 4.91-compound working conditions 4.91WRIKE4.6795%American company with headquarters in California in California."&amp;" The product of the same name for the management of projectscore labor conditions 4.92 Social package4.85 generation with colleagues 4.77qiwi4.6490%Holding payment service in Russia and the countries of the CIS-Correct working conditions4.92 Professional "&amp;"growth 4.83 Modern technologies4.83Korus Consulting4.6391%One of the largest Russian I-Communist Party Interesting tasks4. 86 companies make the world better 4.79 -component working conditions 4.79revolut4.5991%Global Money Apprafting working conditions 4"&amp;".85 Social package4.85dadekvative salary4.85 Razsoft4.5891%custom -made software development and information systems of labor 4.94 Professional growth4.71SHA -MENZHMENT 4.65 RATION of companies 03 Create Professional resumes of profiles on a quarry Haber "&amp;"can get comprehensive information about your achievements. Just send the employer a link to your profile. And tell the Bolshenevyki about yourself and the education will help you find the right work. The active in communities and additional courses make t"&amp;"he profile attractive for the employer. To make up the profile04 Follow the relevant The salary allows you to find out the current salary by any specialty of the IT industry. On the day we update data on salary183 074 ₽ Middle salary on the basis of 13209"&amp;" questionnaires for the 2nd floor. 2023350 000 ₽ MAKOMUMUM160 000 ₽ MEMEDIAN50 000 ₽ minimum testing122 539 ₽ Medium salary on the basis of 2442 profiles for 2nd floor. 2023240 000 ₽Maximum 100 000 ₽ MEMEDIAN40 000 ₽ Mumadinisting161 911 ₽ Middle salary o"&amp;"n the basis of 1351 profiles for the 2nd floor. 2023313 000 ₽Maximum134 000 ₽ median50 000 ₽ minimum junction193 702 ₽ Middle salary on the basis of 2047 profiles for the 2nd floor. 2023368 000 ₽Maximum 160 000 ₽ median60 000 ₽ minimum design97 816 ₽ Mead"&amp;"s on the basis of 1375 profiles for 2-floor. 2023200 000 ₽Maximum 70 000 ₽ median30 000 ₽ minimumanalytics152 052 ₽ Meads on the basis of 2450 profiles for the 2nd floor. 2023276 000 ₽ MAKOMAKOMUMENEMENT140 000 ₽ MEMADIA52 200 ₽ minimum 105kachi of their "&amp;"skill Khabr career collected educational courses from the 100 best schools of additional education in IT development -designation of the design of the design of C ++ 126 000 ₽XYZYZ Schoolonline training. Development of games on Unity74 500 ₽Khexletonline "&amp;"training professional: Fullstack-developer213 840 ₽ Netologyonline training python from zero to Middle103 400 ₽html Academyonline Learning and CSS. Adaptive miles and automation25 900 ₽xyz schoolonline training leoper casual86 Fessions: Testing Engineer 6"&amp;"3 000 ₽ Yajandex Productumonline training engineer for testing ButkMP128 800 ₽ Contour schoolonline Training API9900 testing ₽skillboxonline Tearing Automated Testing Web applications for JavaScript42 900 ₽Tusonline Training Testing107 300 ₽ EDUSONOLLINAL"&amp;"LINAL PO60 464 ₽Kyproonline training engineer for Testing10 5 600 ₽ more Kursklermonline Training DEDEVOPS UPGRADE165 ₽ NeTology on-line training-engineer with zero148 000 ₽Tusonline learning infrastructure platform based Kubernetes95 000 ₽skillfactoryonl"&amp;"ine training DEDEVOPS-engineer98 2 150 ₽GB (Geekbrains) Online Training DEDEVOPS-Engineer: Quick Start in the profession87 454 ₽ more courses XYZ Schoolonline Training Game Projects 87 500 ₽ Caucasiacomonaline training of a production manager120 000 ₽ Sch"&amp;"ool ofonline learning ₽ EDUSONOLLINALINAL PRODUCTION OPERATION OFFICE: Enterprise Management161 200 ₽ProductStaronline Training Gruwth Hacking39 000 000 ₽ City Business Schoolonline Training AGILE in Project Management10 900 ₽ more courses XYZ Schoolonlin"&amp;"e Training TRip37 200 ₽ Nelynine training-designer96 745 ₽xyz school-lonline-ART53 800 ₽XYZYZ Schoolroneline LEAR Ozing of special effects in Houdini FX104 000 ₽xyz Schoolonline training-Undresser 800 ₽xyz Schoolonline Training anatomy of gaming character"&amp;"s 20 300 ₽xyz schoolonline training 3D characters173 500 ₽xyz schoolonline trainingConcept art81 500 ₽ Cursakens Permonline training engineer 95 000 ₽shote tutorial proceedings: data analyst data108 540 ¦ Data Scientist96 500 ₽ SSTENET Schoolonline Traini"&amp;"ng Analysis. Development of requirements for software in the group 36 000 ₽cors Academyonline Training Project Management 1C32 600 ₽ Contour school -rational training for working with data 42 000, ₽killfactoryline levies Product analytics54 960 ₽skillboxo"&amp;"nline data learning with zero109 868 ₽ ₽ courses06 Read useful articles regularly publish useful articles for a career : Studies of events, employers' ratings and much more. November 3, how much they spend on IT: Senor of the Bacendicity of Hiring on Nove"&amp;"mber 1 on November 1 on the IT market in 3 quarter 202310 events on October 31 Events for EICHARS AND IT in November 24 October 22-a new section in the Complete of Company de to work18 October Work in IT in 2023: DATSTEAM research on October 112 to make a"&amp;" vacancy to which will respond-Instruction of the Mamation on September 28 of the Events for Eichar and Recruiters in October Service27 September Prices from October 27 Special Projects25 September Pete-Project Projects 22 “We simply in Uglcons and just i"&amp;"n Uglcons and just in Ugli and Ugliors quit "" - the stories of career failures part 5 tests on September 21 on IT: 73% of experienced specialists become mentors of the Spoprojects18 September Analysts 2.07 Watchers the most useful thing we make up severa"&amp;"l times a month of mailing ratings with articles and tutorians for those who build their careers in it. Currect! Rierao service services and prices of the Mountagincam Professional contacts of the employer of the employer-API Support Service Support for t"&amp;"he Consignation with the User of the Right Propes of the Service of the LISTISTITITION OF THE STSTSETYSHYSIA OF THE SECTIONS 3347 vacancies and 259444 resumes on average 12 responses for the service of service and price of the co-manager Topi -API Service"&amp;" Support Support for Primary Projects Habrahabrq &amp; Afrylance")</f>
        <v>Work in the IT industry Fresh vacancies and resumes Work Search-Habr career service Habra Service IT-specialist wipes for any questions about ITPROFORENCE WORK WORK for IT specialist vehicles through the Habr Accounts for the Habr Accounts Paniiyretingzarpayplaces by oscillator -specialists will find a job to find a job in the ITPOGAMENATYSTYNASTENT IT3 347 VACACES ONLY is already here1,167 courses for obtaining and the development of skills177 386 ₽ Middle salary in the IT segment of 678 companies are looking for employees right now01 unidyds work on the souls of the Khabra Careers Actual vacancies for all leading specializations of the IT industry-designation of the design of the design of the design of the design of Tchikot 120 000 ₽ ₽ Frontent work developer (JavaScript/React) from 180 000 ₽Simplenight work FrontenD (React.js) Developer $ 4,000 to 6,000 Bittenredomskreact Developer 20,000 to 40 000 ₽ Laboratory 365 Demolished workmiddle Froneloper (React) from 120,000 to 200 000 asonable operation of theBackend developer (Pyt Hon django) from 180 000 ₽- PARSERUAL WORK OFFRONTEND ENGINEER (React Material-UI Typescript) from 1,500 to 2,000 $ GARANTEXED WORK WORKSENIOR FRONELOPEROT 3,500 more vacancies HAVIBR Development: Greenatomoskvqa Engineer Manal 180 000 ₽ Caudated work CQA engineering 140 000 ₽T-tsdala workcrimato functional Tester (Middle Middle+ Manual QA) in CIB (remotely) from 130,000 to 250 000 ₽ Labor 365 Inopurrent Labor Apostor 80 000 to 150 000 ₽BDEVENED WORK CALE ASSURANCEOT 50 000 000 000 ₽TINKOFOFMOSKAAKA. d) from 150,000 to 400 000 ₽ Cheeleomskvautomation QA Engineer (API) from 200 000 000 ₽rem finance s.R. Automed workmiddle / senior QA Engineerot 800 to 1,600 more vacancies-surDEVOPS engineer for design employment 80 000 ley VARDISED WORK WORK AND 350 000 000 ₽GAUSSED WORK WORK AND 350 000 000 ₽VKMOSKVASITE RELIABILITY ENGINEER (SRE) from 200,000 to 500 000 ₽SOKOLOVENTENDENT WORK INSISTEMENT LINUXO 200 000 ₽KillSpace DEVEVOPS-engineer in EDTECH Project 200 000 to 300,000 ley OPS Engineering 200,000 to 400 000 ₽Avanpostmoskviangener of implementation (System Administrator Skill ) from 150 000 to 170 000 ₽ more vacancieshabr administration: MVP Labelended Workproject Managerot 100,000 to 150 000 ₽quantum workit workit Project Managero 80 000 ₽ Service -ServableProject manager 150 000 to 200 000 to 200 000 to 200 000 to 200 000 to 200 000 to 200 000 to 200 000 to 200,000 ₽freuders -dedicated workproject Manager (with functions of Business Analyst) from 2,500 $ FUTURE SEARCHUDALE WORKSPROJECT Manager / Product Managerot 120 000 to 150 000 000 ₽ Ibiumed operationProduct Owner / POV EdTech-Product 300 000 ₽dna Teaminburgproject Manager (WEB coordinator WEB -development) from 145,000 to 165 000 ₽atlasmoskvasro in atlasot 200,000 to 280,000 ₽ Vacanciihabr Management: YOURTUNESENCE WORK WORKS/UI Designer 100 000 ₽-product-producer-Petersburgui/Ux designer 150 000 ₽ aurobed work (B2B) up to 220 000 ₽TRIDALED WORK MU Bono.digtaldnated work designer 80 000 ₽1420 -given Workmiddle Designerot 1,500 contouring work SSENIOR Designer of internal grocery interfaces 150 000 ₽Redlabmoscreician designer (remotely hourly payment) from 40,000 to 80 000 ₽ Warcassihabr Design: Gravity Field Democal work P GPB / Vesna -Data Data Working up up to 200 000 ₽Clickavia Work work Engineerot 2,500 to 4,000 $ RT Misudalized workshop Billingado 65 000 ₽2Seventaganrogsystem analyst of 100,000 to 150 000 ₽MTSMS -vanity analyst in the team of cross -platform mobile applications to 250,000 000 ₽Wininam and lurk Tikot 300 000 ₽ProCter &amp; Gamblemoskvasenior Data Engineer / Senior Data- Engineering 280 000 ₽ more vacancies-alepix, marketing workman 1,000 to 1,500 $ UAB SoftekUDALED WORKSMARKETINGER CPA NETWORKS (DATING UNDER WW) up to 200 000 ₽future search. Marketologist 60 000 to 100 000 ₽PERFORMANCE Maniacsed Work Speesist Contextual Advertising Office 80 000 to 120 000 ₽ Bankirrosankt-Petersburgseo-specialist / SEO-optimizer (remotely) from 60,000 to 120 000 ₽10Holding, work-specialist for marketing and income growth (analysis and management) from 100,000 to 120 000 ₽ Future SEARCHUDEN WORKS SEO SEO SEO SEO -Departure / Team LEAD SEOOT 120 000 to 150 000 ₽ Rybasankancancarburg Director for Marketing (CMO) up to 300 000 ₽ more vacancieshabr marketing: Developer1462 Vacancoftware Engineer1462 Vacancy Programmer 2 Categories 915 Vetermined 68 Vacancy Developer 854 vacancies Bacckend Developer683 Vacancia Analytic607 Vacancy Analytic 500 Vacancist programmer495 Vacancyyinzhener Technologist Programist482 Vacancy DWH482 Vacancy work2301 Vacancies more vacancies02 Issules are the best place is trusted by the best companies that regularly place vacancies for the IT specialists from uslamoda tech4.5897%Code the LifeSTYLEMENALEMENT TUSTIONS4.77 Professional growth4.73LUXOFT4.4 789%leading global company providing Digital strategy and development services Professional growth software 4.62 Social package4.57 -component working conditions 4.56Avito4.4487%of the announcements of which is used by a third of the Russian population of Russian labor 4.81 The world is better 4.74 Minor technologies 4.7 Interesting tasks 4.57VK4.3588%The meeting place of the best working conditions 4.76 Social package4.64 Professional growth4.55 Tenzor4.3383%Development of a system of business communications and electronic document management C&gt; 1 million user-graphic working conditions4.71 components are made by the world Better 4.49 Relations with colleagues 4.45alf-bank4.3384%digital-banking unit with colleagues4.63 compound makes the world better 4.48 cramary growth 4.43LALIT4.3182%Multiprophyal group of the Russian industry of the Russian industry with colleagues4.59 Command makes the world better4 .53professional growth 4.44 -jandeks4.3085%company that develops the most popular search engine in Russia and dozens of other services -to -deal working conditions 4.78 social package 4.72 companies makes the world better 4.6 School of technology4.2180%company with a flexible approach to work in technological solutions and bright corporate Culture to be a colleagues 4.45-composed working conditions 4.4 Modern technologies 4.4.4.4.1878%the largest wholesale supplier of consumer goods in Russian in Russian, 82 Mineral Technologies4.64 Professional growth4.55 Lig of digital economy4.1778%Group of companies that provide professional services in the field of information and digital. The technologian package4.42 compound makes the world better 4.39 Issues with colleagues 4.37miro4.8798%The Online Collaboative Whiteboarding Platforming makes the world better 4.99 Social packet4.99 Professional growth4.94aston (Ex. Anddersen) 4.8096%outsourcing company, oriented to develop component working conditions 4.87 professional growth4.86 modern technologies4.84 Directic Credit4.7792%of technology - this is simply clear and conveniently makes the world better 4.9 Professional growth4.85jetbraains4.7499% Effective tools for developers in companies Makes the world better than 5.0 School with top management5.0 Carrier growth5.0 TELEMATIC 4.7392%International Developer and Russian leader of the solutions in the field of intellectual transportation salary 4.88 Office with colleagues 4.77 Professional growth4.77 European company 4.7196%LISING Company Company makes a world better 5.0 top management 4.9 Social package4.9indrive4.6996%International Passenger and Freight Service with headquarters in the Mountain-Vew California makes the world better 5.0 Professional growth 4.91-compound working conditions 4.91WRIKE4.6795%American company with headquarters in California in California. The product of the same name for the management of projectscore labor conditions 4.92 Social package4.85 generation with colleagues 4.77qiwi4.6490%Holding payment service in Russia and the countries of the CIS-Correct working conditions4.92 Professional growth 4.83 Modern technologies4.83Korus Consulting4.6391%One of the largest Russian I-Communist Party Interesting tasks4. 86 companies make the world better 4.79 -component working conditions 4.79revolut4.5991%Global Money Apprafting working conditions 4.85 Social package4.85dadekvative salary4.85 Razsoft4.5891%custom -made software development and information systems of labor 4.94 Professional growth4.71SHA -MENZHMENT 4.65 RATION of companies 03 Create Professional resumes of profiles on a quarry Haber can get comprehensive information about your achievements. Just send the employer a link to your profile. And tell the Bolshenevyki about yourself and the education will help you find the right work. The active in communities and additional courses make the profile attractive for the employer. To make up the profile04 Follow the relevant The salary allows you to find out the current salary by any specialty of the IT industry. On the day we update data on salary183 074 ₽ Middle salary on the basis of 13209 questionnaires for the 2nd floor. 2023350 000 ₽ MAKOMUMUM160 000 ₽ MEMEDIAN50 000 ₽ minimum testing122 539 ₽ Medium salary on the basis of 2442 profiles for 2nd floor. 2023240 000 ₽Maximum 100 000 ₽ MEMEDIAN40 000 ₽ Mumadinisting161 911 ₽ Middle salary on the basis of 1351 profiles for the 2nd floor. 2023313 000 ₽Maximum134 000 ₽ median50 000 ₽ minimum junction193 702 ₽ Middle salary on the basis of 2047 profiles for the 2nd floor. 2023368 000 ₽Maximum 160 000 ₽ median60 000 ₽ minimum design97 816 ₽ Meads on the basis of 1375 profiles for 2-floor. 2023200 000 ₽Maximum 70 000 ₽ median30 000 ₽ minimumanalytics152 052 ₽ Meads on the basis of 2450 profiles for the 2nd floor. 2023276 000 ₽ MAKOMAKOMUMENEMENT140 000 ₽ MEMADIA52 200 ₽ minimum 105kachi of their skill Khabr career collected educational courses from the 100 best schools of additional education in IT development -designation of the design of the design of C ++ 126 000 ₽XYZYZ Schoolonline training. Development of games on Unity74 500 ₽Khexletonline training professional: Fullstack-developer213 840 ₽ Netologyonline training python from zero to Middle103 400 ₽html Academyonline Learning and CSS. Adaptive miles and automation25 900 ₽xyz schoolonline training leoper casual86 Fessions: Testing Engineer 63 000 ₽ Yajandex Productumonline training engineer for testing ButkMP128 800 ₽ Contour schoolonline Training API9900 testing ₽skillboxonline Tearing Automated Testing Web applications for JavaScript42 900 ₽Tusonline Training Testing107 300 ₽ EDUSONOLLINALLINAL PO60 464 ₽Kyproonline training engineer for Testing10 5 600 ₽ more Kursklermonline Training DEDEVOPS UPGRADE165 ₽ NeTology on-line training-engineer with zero148 000 ₽Tusonline learning infrastructure platform based Kubernetes95 000 ₽skillfactoryonline training DEDEVOPS-engineer98 2 150 ₽GB (Geekbrains) Online Training DEDEVOPS-Engineer: Quick Start in the profession87 454 ₽ more courses XYZ Schoolonline Training Game Projects 87 500 ₽ Caucasiacomonaline training of a production manager120 000 ₽ School ofonline learning ₽ EDUSONOLLINALINAL PRODUCTION OPERATION OFFICE: Enterprise Management161 200 ₽ProductStaronline Training Gruwth Hacking39 000 000 ₽ City Business Schoolonline Training AGILE in Project Management10 900 ₽ more courses XYZ Schoolonline Training TRip37 200 ₽ Nelynine training-designer96 745 ₽xyz school-lonline-ART53 800 ₽XYZYZ Schoolroneline LEAR Ozing of special effects in Houdini FX104 000 ₽xyz Schoolonline training-Undresser 800 ₽xyz Schoolonline Training anatomy of gaming characters 20 300 ₽xyz schoolonline training 3D characters173 500 ₽xyz schoolonline trainingConcept art81 500 ₽ Cursakens Permonline training engineer 95 000 ₽shote tutorial proceedings: data analyst data108 540 ¦ Data Scientist96 500 ₽ SSTENET Schoolonline Training Analysis. Development of requirements for software in the group 36 000 ₽cors Academyonline Training Project Management 1C32 600 ₽ Contour school -rational training for working with data 42 000, ₽killfactoryline levies Product analytics54 960 ₽skillboxonline data learning with zero109 868 ₽ ₽ courses06 Read useful articles regularly publish useful articles for a career : Studies of events, employers' ratings and much more. November 3, how much they spend on IT: Senor of the Bacendicity of Hiring on November 1 on November 1 on the IT market in 3 quarter 202310 events on October 31 Events for EICHARS AND IT in November 24 October 22-a new section in the Complete of Company de to work18 October Work in IT in 2023: DATSTEAM research on October 112 to make a vacancy to which will respond-Instruction of the Mamation on September 28 of the Events for Eichar and Recruiters in October Service27 September Prices from October 27 Special Projects25 September Pete-Project Projects 22 “We simply in Uglcons and just in Uglcons and just in Ugli and Ugliors quit " - the stories of career failures part 5 tests on September 21 on IT: 73% of experienced specialists become mentors of the Spoprojects18 September Analysts 2.07 Watchers the most useful thing we make up several times a month of mailing ratings with articles and tutorians for those who build their careers in it. Currect! Rierao service services and prices of the Mountagincam Professional contacts of the employer of the employer-API Support Service Support for the Consignation with the User of the Right Propes of the Service of the LISTISTITITION OF THE STSTSETYSHYSIA OF THE SECTIONS 3347 vacancies and 259444 resumes on average 12 responses for the service of service and price of the co-manager Topi -API Service Support Support for Primary Projects Habrahabrq &amp; Afrylance</v>
      </c>
    </row>
    <row r="342">
      <c r="A342" s="1" t="s">
        <v>1146</v>
      </c>
      <c r="B342" s="1" t="s">
        <v>1147</v>
      </c>
      <c r="D342" s="1">
        <v>11.0</v>
      </c>
      <c r="E342" s="4" t="s">
        <v>1182</v>
      </c>
      <c r="F342" s="1" t="s">
        <v>16</v>
      </c>
      <c r="G342" s="1" t="s">
        <v>273</v>
      </c>
      <c r="H342" s="4" t="s">
        <v>476</v>
      </c>
      <c r="I342" s="2">
        <v>0.0</v>
      </c>
      <c r="J342" s="5" t="str">
        <f>IFERROR(__xludf.DUMMYFUNCTION("GOOGLETRANSLATE(A342)"),"diary RU")</f>
        <v>diary RU</v>
      </c>
      <c r="K342" s="6" t="str">
        <f>IFERROR(__xludf.DUMMYFUNCTION("GOOGLETRANSLATE(B342)"),"Diary RU")</f>
        <v>Diary RU</v>
      </c>
      <c r="L342" s="5" t="str">
        <f>IFERROR(__xludf.DUMMYFUNCTION("GOOGLETRANSLATE(C342)"),"#VALUE!")</f>
        <v>#VALUE!</v>
      </c>
      <c r="M342" s="5" t="str">
        <f>IFERROR(__xludf.DUMMYFUNCTION("GOOGLETRANSLATE(G342)"),"Update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343">
      <c r="A343" s="1" t="s">
        <v>1146</v>
      </c>
      <c r="B343" s="1" t="s">
        <v>1183</v>
      </c>
      <c r="C343" s="1" t="s">
        <v>1184</v>
      </c>
      <c r="D343" s="1">
        <v>12.0</v>
      </c>
      <c r="E343" s="4" t="s">
        <v>1185</v>
      </c>
      <c r="F343" s="1" t="s">
        <v>16</v>
      </c>
      <c r="G343" s="1" t="s">
        <v>444</v>
      </c>
      <c r="H343" s="4" t="s">
        <v>445</v>
      </c>
      <c r="I343" s="2">
        <v>0.0</v>
      </c>
      <c r="J343" s="5" t="str">
        <f>IFERROR(__xludf.DUMMYFUNCTION("GOOGLETRANSLATE(A343)"),"diary RU")</f>
        <v>diary RU</v>
      </c>
      <c r="K343" s="6" t="str">
        <f>IFERROR(__xludf.DUMMYFUNCTION("GOOGLETRANSLATE(B343)"),"Dnevnik_ru - Dnevnik.ru")</f>
        <v>Dnevnik_ru - Dnevnik.ru</v>
      </c>
      <c r="L343" s="5" t="str">
        <f>IFERROR(__xludf.DUMMYFUNCTION("GOOGLETRANSLATE(C343)"),"Diary.ru announced the rating of leading regions on the use of electronic journals in schools. Details on the official website Diary.ru.")</f>
        <v>Diary.ru announced the rating of leading regions on the use of electronic journals in schools. Details on the official website Diary.ru.</v>
      </c>
      <c r="M343" s="5" t="str">
        <f>IFERROR(__xludf.DUMMYFUNCTION("GOOGLETRANSLATE(G343)"),"JavaScript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344">
      <c r="A344" s="1" t="s">
        <v>1146</v>
      </c>
      <c r="B344" s="1" t="s">
        <v>1186</v>
      </c>
      <c r="C344" s="1" t="s">
        <v>1187</v>
      </c>
      <c r="D344" s="1">
        <v>13.0</v>
      </c>
      <c r="E344" s="4" t="s">
        <v>1188</v>
      </c>
      <c r="F344" s="1" t="s">
        <v>16</v>
      </c>
      <c r="G344" s="1" t="s">
        <v>428</v>
      </c>
      <c r="H344" s="4" t="s">
        <v>429</v>
      </c>
      <c r="I344" s="2">
        <v>1.0</v>
      </c>
      <c r="J344" s="5" t="str">
        <f>IFERROR(__xludf.DUMMYFUNCTION("GOOGLETRANSLATE(A344)"),"diary RU")</f>
        <v>diary RU</v>
      </c>
      <c r="K344" s="6" t="str">
        <f>IFERROR(__xludf.DUMMYFUNCTION("GOOGLETRANSLATE(B344)"),"Diary.ru | Ok.ru")</f>
        <v>Diary.ru | Ok.ru</v>
      </c>
      <c r="L344" s="5" t="str">
        <f>IFERROR(__xludf.DUMMYFUNCTION("GOOGLETRANSLATE(C344)"),"Group Dote.ru. Diary.ru - a free digital educational platform for educational organizations developed by the resident ""Skolkovo"", ...")</f>
        <v>Group Dote.ru. Diary.ru - a free digital educational platform for educational organizations developed by the resident "Skolkovo", ...</v>
      </c>
      <c r="M344" s="5" t="str">
        <f>IFERROR(__xludf.DUMMYFUNCTION("GOOGLETRANSLATE(G344)"),"Social network classmates. Communication with friends in approx. Your place of a meeting with classmates to a version for people with disabilities. Spend the search for oxervice vk.ruchkocyaledarzadarzadakavidovidovkivk post-a-reservoir-sort-tolevo-Kontak"&amp;"othels are using cookies to improve your service for you. You can accept them or set them up on your own. To gain more information more than more emotions and bright communication! Go to OK to meet your friends and find new to chat with loved ones and int"&amp;"erestingly spend time using our entertainment services. To fulfill the qi-codelephone or email address. It is possible to enter the postparols on QR-kodun? There is no profile in Odnoklakhnikiye, the profilesmical mobility of the business of the business "&amp;"of the business of the business of the development of the COOKIEVAKACASISENISTION of the company © 2006–2023 VK / LLC VKMI uses in detail technology.")</f>
        <v>Social network classmates. Communication with friends in approx. Your place of a meeting with classmates to a version for people with disabilities. Spend the search for oxervice vk.ruchkocyaledarzadarzadakavidovidovkivk post-a-reservoir-sort-tolevo-Kontakothels are using cookies to improve your service for you. You can accept them or set them up on your own. To gain more information more than more emotions and bright communication! Go to OK to meet your friends and find new to chat with loved ones and interestingly spend time using our entertainment services. To fulfill the qi-codelephone or email address. It is possible to enter the postparols on QR-kodun? There is no profile in Odnoklakhnikiye, the profilesmical mobility of the business of the business of the business of the business of the development of the COOKIEVAKACASISENISTION of the company © 2006–2023 VK / LLC VKMI uses in detail technology.</v>
      </c>
    </row>
    <row r="345">
      <c r="A345" s="1" t="s">
        <v>1146</v>
      </c>
      <c r="B345" s="1" t="s">
        <v>1189</v>
      </c>
      <c r="C345" s="1" t="s">
        <v>1190</v>
      </c>
      <c r="D345" s="1">
        <v>14.0</v>
      </c>
      <c r="E345" s="4" t="s">
        <v>1191</v>
      </c>
      <c r="F345" s="1" t="s">
        <v>16</v>
      </c>
      <c r="I345" s="2">
        <v>1.0</v>
      </c>
      <c r="J345" s="5" t="str">
        <f>IFERROR(__xludf.DUMMYFUNCTION("GOOGLETRANSLATE(A345)"),"diary RU")</f>
        <v>diary RU</v>
      </c>
      <c r="K345" s="6" t="str">
        <f>IFERROR(__xludf.DUMMYFUNCTION("GOOGLETRANSLATE(B345)"),"Diary RU.")</f>
        <v>Diary RU.</v>
      </c>
      <c r="L345" s="5" t="str">
        <f>IFERROR(__xludf.DUMMYFUNCTION("GOOGLETRANSLATE(C345)"),"The schedule editor allows you to quickly transfer the existing school schedule to the electronic diary. Electronic diary. Each student in the diary is available ...")</f>
        <v>The schedule editor allows you to quickly transfer the existing school schedule to the electronic diary. Electronic diary. Each student in the diary is available ...</v>
      </c>
      <c r="M345" s="5" t="str">
        <f>IFERROR(__xludf.DUMMYFUNCTION("GOOGLETRANSLATE(G345)"),"#VALUE!")</f>
        <v>#VALUE!</v>
      </c>
    </row>
    <row r="346">
      <c r="A346" s="1" t="s">
        <v>1146</v>
      </c>
      <c r="B346" s="1" t="s">
        <v>1192</v>
      </c>
      <c r="D346" s="1">
        <v>15.0</v>
      </c>
      <c r="E346" s="4" t="s">
        <v>1193</v>
      </c>
      <c r="F346" s="1" t="s">
        <v>16</v>
      </c>
      <c r="I346" s="2">
        <v>1.0</v>
      </c>
      <c r="J346" s="5" t="str">
        <f>IFERROR(__xludf.DUMMYFUNCTION("GOOGLETRANSLATE(A346)"),"diary RU")</f>
        <v>diary RU</v>
      </c>
      <c r="K346" s="6" t="str">
        <f>IFERROR(__xludf.DUMMYFUNCTION("GOOGLETRANSLATE(B346)"),"Reviews about dnevnik.ru - School educational network")</f>
        <v>Reviews about dnevnik.ru - School educational network</v>
      </c>
      <c r="L346" s="5" t="str">
        <f>IFERROR(__xludf.DUMMYFUNCTION("GOOGLETRANSLATE(C346)"),"#VALUE!")</f>
        <v>#VALUE!</v>
      </c>
      <c r="M346" s="5" t="str">
        <f>IFERROR(__xludf.DUMMYFUNCTION("GOOGLETRANSLATE(G346)"),"#VALUE!")</f>
        <v>#VALUE!</v>
      </c>
    </row>
    <row r="347">
      <c r="A347" s="1" t="s">
        <v>1146</v>
      </c>
      <c r="B347" s="1" t="s">
        <v>1194</v>
      </c>
      <c r="C347" s="1" t="s">
        <v>1195</v>
      </c>
      <c r="D347" s="1">
        <v>16.0</v>
      </c>
      <c r="E347" s="4" t="s">
        <v>1196</v>
      </c>
      <c r="F347" s="1" t="s">
        <v>16</v>
      </c>
      <c r="G347" s="1" t="s">
        <v>541</v>
      </c>
      <c r="H347" s="4" t="s">
        <v>542</v>
      </c>
      <c r="I347" s="2">
        <v>2.0</v>
      </c>
      <c r="J347" s="5" t="str">
        <f>IFERROR(__xludf.DUMMYFUNCTION("GOOGLETRANSLATE(A347)"),"diary RU")</f>
        <v>diary RU</v>
      </c>
      <c r="K347" s="6" t="str">
        <f>IFERROR(__xludf.DUMMYFUNCTION("GOOGLETRANSLATE(B347)"),"dnevnik.ru | reviews")</f>
        <v>dnevnik.ru | reviews</v>
      </c>
      <c r="L347" s="5" t="str">
        <f>IFERROR(__xludf.DUMMYFUNCTION("GOOGLETRANSLATE(C347)"),"A site for monitoring assessments by parents, which cannot be entered. When electronic diaries were introduced at my daughter’s school, many parents began to resent. I ...")</f>
        <v>A site for monitoring assessments by parents, which cannot be entered. When electronic diaries were introduced at my daughter’s school, many parents began to resent. I ...</v>
      </c>
      <c r="M347" s="5" t="str">
        <f>IFERROR(__xludf.DUMMYFUNCTION("GOOGLETRANSLATE(G347)"),"  IRECOMMMEND.RU | Review the recall of beauty and healthy is a chronicled-hungry-nuclear-nickelitarous-eating-eater-mowing review of 6 hours 24 hours-day / D.E. dreadlocks / Safe dreadlocks12.11.202301: 061 +12 photos realized that without dreadlocks I n"&amp;"o longer perceive myself, hello! I dreamed about dreadlocks for a long time, but forever there was no money for this hairstyle. And then I went to work, money appeared, but in my pedagogical world there was no place for such a self -expression. Last year,"&amp;" on vacation, she decided on Afrokoschiki. The House of Strakhs VDNH Moscowkitt154573012.202300: 302 +12 Photo House of Fear New An attraction at VDNH will tell you what is inside and share impressions. Hello readers of my review and lovers of unusual imp"&amp;"ressions. Finally, I visited a new attraction at VDNH called ""House of Fear."" He attracted my attention for a long time in 2023 so that at the moment it is a novelty. KDV Fun Ban Cake Cute LI12.11.202303: 071 +18 Photos are the most popular and famous "&amp;"🎂 in our city! With huge pieces of bananas inside 🍌🍰 I’ll tell you how the taste of the Fun Ban cake has changed brighter in six months and how many times the price has grown in a year ... I buy this cake already 4 or 5 times from June 2022 and now I d"&amp;"ecided: why not write review? The network in which it is sold, known throughout Russia, photos and my impressions may come in handy. So I’ll tell you what I think about the KDV biscuit cake (KDV) Fun Ban. Express Contractor Gliss Kur Oil Nutritive Omega-9"&amp;"+ hair maruls in need of nutritiondelovaja11.11.202323: 58+ 1 photo, it is better to spend 300 rubles 1 time for this air conditioner than to spend more than 1000 for several worthless sprays from other markets. I already had sprays -Contributions from gl"&amp;"eam gleam and this is the best that I tried for hair from this segment. I was convinced more than once on experience. Schwarzkopf for a long time for a long time known to me, a manufacturer of care products for hair from youth from youth is exactly famili"&amp;"ar with him, and this is exactly 20 years. Lalique L'amor Lalique Irina78711.202323: 071 +3 photos luxurious innocent and attractive so that I end 4 backlogs of my sun! I have a large collection of aromas but this I repeat this fourth time. Oda Femininity"&amp;" Tender assertiveness innocent seduction on the verge of a slap in the face for a careless look. The aroma is beautiful, it will like it if you like train and powder aromas. A solution for intravenous and intramuscular administration of Solopharm Ketorola"&amp;"c-Solofarm 30 mg/million is useful11.11.202323: 282 +15 photos will relieve pain with endometriosis and not only accurately everyone! Here you will learn about my experience of using this drug. All my life I had very painful menstruation. On a 10-point sc"&amp;"ale, all 9 points. Sometimes the condition reached the fact that I almost cut down from the intensity of pain. The tonic The Saem Calamansi Pore Freshner Yulchenka M12.11.202303: 07 +6 The photo lightly healed the healing - which he did not do! And in the"&amp;"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Пл"&amp;"аток Palantini Артикул 10992476Степанида112.11.202301:08 2 +10 фото Очень I plan to give a gentle and affectionate handkerchief a man to blame a man. I did not acquire a beautiful dress of fuchsia for myself. And I had already visited it at one event and "&amp;"painted it. But a month later I will speak in a duet with a bard and already made up that I would show up in my pink outfit again The duet involves a similarity in stage costumes. Chocolatean St. Petersburgdinka_sale11.11.202323: 421 +11 photos of a large"&amp;" selection of interesting dishes. Good day to everyone who looked at everyone. I just love chocolate, although the prices there are not the most democratic. But still my loved ones are there. True, from time to time they disappear from the menu. Jennifer "&amp;"Lopez Live Luxeevgeny 5335312.11.202301: 14za bottle 5 for the aroma for solid two -time perfume was not particularly needed. My gaze caught on the bottle. Beautiful bright chic. And I ordered the aroma. Perfume in the tester version without a box. The ar"&amp;"oma was not really impressed. A cheap unpleasant sharp. Such aromas were popular in 90. Evalar cellulose microcrystalline MCC Ankir-Bvita8512.11.202302: 481 The principle of action is easy to lose weight: the tablet swells in the stomach and does not eat "&amp;"much. That's why you are very not bad. For everyone, I remembered another drug that I tried for weight loss: Pullose MCC Evalar in tablets. Well, that I haven’t tried for this business now, now I wouldn’t do that. Previously, they found out in the pharmac"&amp;"y how trite does not sound. And immediately without leaving the counter ... Palette of eyelid shadows Maqpro Cream Shadows Primaire 10 colors Fard Cremejusthelly12.11.202301: 20+30 photos Play the artist? An indispensable product for those who want divers"&amp;"ity in the Fard Creme makeup attracted me with the opportunity to use them as substrates for color matte shades of creating their colors - endless creativity. Palette of shadows in this color layout is the most universal palette Fard Creme and the manufac"&amp;"turer has a lot of them. Show also a response tuning jubanutkablondi111.202321: 158 +8 photos I am glad that I made powdery lips - very natural and convenient. It’s a pity that my main problem still did not solve Hello everyone! Nature did not endow me wi"&amp;"th beautiful lips and at the beginning of this year I finally made the desired procedure for increasing. My next step was powdery spraying and this procedure was more likely than a whim ... Failure departure (manicure) at home from Paris 11.10.11.202323: "&amp;"491 +8 photos of a salon manicure of the house. How to make the nails to yourself so that they do not differ from the work of the master? I welcome everyone! I wanted to share my story about how to make nails on your own no worse than in the cabin. There "&amp;"are a lot of reasons to start doing manicure for himself: someone wants to save time or money, someone does not trust the masters worries for sterility and so on and so on. ATLASTRide boots warm grandmothers with heart_sia11.11.202318: 391 +7 Photo girls "&amp;"""Goodbye youth"" grandmothers or just felt boots. I bought it for work, but I am ready to go at home, a handful gift for the New Year 🌟 Devichniki Hello to find high -quality warm and cool outward shoes for me is hard for me. I am ready for hours to loo"&amp;"k for her on the Internet until I find what I really like. I love not quite the same as everyone sometimes prefer some zest in shoes. Brect systems / braces / orthodontic scobytanyushka_11.11.202316: 4822 +9 photo installation of h4 braces at 38 years old"&amp;". Will there be a result and is it worth installing? (The review will be supplemented with the beginning of treatment 04/04/2023 GMOi teeth were bored from childhood. Large jaws were bored with childhood. There were attempts to fix with plates but did not"&amp;" ask. Different reasons and fears did not allow me to do their teeth earlier. Chizhik chain of stores 111.11.202306: 375: 375 +26 photos were there 3 times, but the goods have already appeared that I will buy hello to this store every trip! Recently, a ne"&amp;"w Chizhik supermarket has been opened in the area. This store refers to the type of Lighthouse of the Boar of Dobrozo. This is not is that my favorite stores but once a month I like to wander there. I always find something necessary and useful at pleasant"&amp;" prices. Coloring hair in the AIRTOUCHOKOKEANA Z11.11.202317: 274 +11 photos and this is AIRTOUCH? My experience of fashionable coloring, the process is worn out as it is worn Hi. Today I will share my opinion with you whether it is worth making the fashi"&amp;"onable coloring technique of eirtach. I have a negative experience of hair dyeing in the cabin so I most often color myself. Operation for peritotonyus 300911.11.202309: 3821 peritonitis Resuscitation consequences good afternoon! More recently .. with sha"&amp;"king hands, I searched and read any information and reviews about people who had undergone an operation to remove appendix and peritonitis and today I want to leave my feedback! Smart Column Yandex Station Minikristinatret10.11.202323: 321 +13 photos - an"&amp;"d do you like to read fairy tales? Once Alice asked. After dad just read his son a fairy tale. Does the column eavesdrop on? My opinion. Hi all. We bought a column of Alice after the birth of a son. I noticed that the baby falls asleep well under the whit"&amp;"e noise. And I did not want to lose my phone for the time of his sleep. And since relatives gave money. I wanted to buy something necessary. And all sorts of obligatory things have long been bought. Biorevitalization of the area of ​​the face and neck inj"&amp;"ectionkakady11.11.202308: 3911 +3 photos The most useless waste of money in my life. The procedure after which it got worse How many have been living for 27 years so much and a neighboring with circles under the eyes: very thin skin and nasolacence were i"&amp;"nherited by inheritance. From 13 years I have been trying to fight this: cream masks of masks but genetics can not be deceived. Syndrome (2023 Film) Sveta Chereshkina 11/11/202313: 34 2 +10 photos Syndrome - a specific film. Many will not like it, but you"&amp;" need to watch. Do not read reviews and reviews of the film ""Syndrome"". You will definitely encounter a spoiler one way or another. It is best to watch the movie Syndrome as a completely unprepared viewer. What is the film Syndrome about? Description of"&amp;" KinoPoisk General Information: We are all different people unfortunately imperfect. Modi gift store chain stores 1111.11.202319: 322 +33 photos Five for the best calculation for the New Year receives Modi! I'll show you what to buy for a gift! The New Ye"&amp;"ar mood begins in November. Many stores are already trying on New Year's jewelry, unfortunately, so so. I have a foreboding that this year I will be surprised by those from whom you do not expect. Miracles of decoration. AppStartolea_9511.11.202322: 093 +"&amp;"9 photo Earnings on the Internet. I take out more per day than I earn for 500+ reviews on the Airek. When are the tasks and you can get more? Good afternoon. The AppStart application is not the first application for downloading applications where I earn m"&amp;"y “penny”. Now all the money earned on the Internet, including this site of reviews and this application that brings me at least not big but I put it off here. Show another review of the reviewcrass Minskyulia130712.11.202306: 281 +11 photos 🍕🍔 Bolshoy "&amp;"selection of dishes stylish design and successful location. Fudmall ""Concors"" is a great place where you can eat deliciously to wait for your train to have a good time with friends or just relax after the shopping last month I visited the beautiful Mins"&amp;"k. The city is amazing beautiful and modern. It's nice to watch how it becomes better every year. In particular, new institutions are opening here. So on the top floor of the Galileo shopping center there is a huge Fudmall Concors. Means of the D/Treatmen"&amp;"t of a cold and influenza CJSC CJSC Mrn MrppferonSherstobitovasvetlana12.11.202306: 27+3 photos with our allergicians, hello hello! When an ARVI occurs in mom and child, you buy all the improvised means. Yes, and this constant advertising on TV. Eh it wou"&amp;"ld be better to use old and proven recipes for grandmothers. Our deplorable experience of use. Soft toy Trudi seal art. 11776609Marylovely0512.11.202306: 26+6 photos of a charming seal that has been with me for many years. I saw this toy in the store at t"&amp;"he age of 16 and I fell in love with it very much and later they gave me money for it that I was very happy. Since then, this teddy seal is with me in life. Groats are semolina ""Tender"" Veronika koljuchka12.11.202306: 25+2 photo ordinary semolina clean."&amp;" Soft welcome to everyone in a new review! Today I have semolina. I am not a consumer of this cereal. Yes, I cook but do not eat practically. But mom loves so that there is always at home. Another purchase is a semolina ""tender"" from the brand passim. V"&amp;"ariety m, that is, it is soft - from soft varieties of wheat. Pepper seasoning steak grill and barbecue12.11.202306: 24+6 photos Fragrant but unsaturated seasoning. And the mill that misses whole spices without grinding. Hi all! Where to buy I bought this"&amp;" seasoning in a regular supermarket. Something like 180-150 rubles is very inexpensive. Appearance of a glass bottle in the form of a sand clock. The label indicates all the information about the seasoning - the composition of the manufacturer. Canned oli"&amp;"ves Maestro de Olivadina69anid 11.202305: 39 giant olives with a giant bone bought to try such olives in Magnet when the price has decreased greatly because the expiration date was suitable. Really large juicy good olives with a large bone. It would be be"&amp;"tter if the same fillings were laid when they make stuffed olives))) Well, in general, the product is quite tasty. Filodendron Birkin Natalia 020712.11.202305: 28+1 photo I share experience for a beautiful and non -whimsical plant. I will never part with "&amp;"him. Hi all!! Filodendron Birkin is such an interesting and beautiful indoor plant with white striped patterns on dark green wax leaves that really look spectacular. I’ll tell you how to care for it, this plant is growing for two years. The northern islan"&amp;"ds of the Neva Delta on the ship ""Koryushka"" St. Petersburgirin Fadeenkova 11/12/202305: 17 1 +36 photos rolled on a comfortable boat along the Neva. Observing the sunset 😌 Hello dear friends! Today I have a review on the tour ""Northern Islands of the"&amp;" Neva Delts on the ship"" Kuryushka ""in St. Petersburg. On the day when we walked on the statement of the island and then doused in the Koryushka restaurant - closer in the evening we went to ride the ship with an excursion. Hormonal drugs Akrikhin Comfo"&amp;"derm knyura_xitrova12.11.202305: 15 times I have come across atopic dermatitis, it knows how important it is to choose my remedy. Comfordems exactly it. Hello girls! 3 months I used a corticosteroid from time to time and here is my verdict: Comfoderm K fo"&amp;"r the atopic baby what I need. It is only when the child has an exacerbation. The Tornado ""Storm"" Energy drink Weeldees12.11.202305: 09, which is classic -biased in front of us, the most classic taste is the legendary combination of chimose and sugar - "&amp;"Tornado Storm Energetic is the same budgetary drink that all loves more like ""Lemonada"" and not as a tonic effect of the effect from it you will not wait - only the sugar content in ... is not a wooferzisse12.11.202305: 091 +3 photo country of badly - a"&amp;" fairy tale or a terrible dream? The tale of a boy who did not want to help her grandmother. Is there an instructive moment? Hello everyone! I reviewed the old Soviet cartoons some repeatedly and some discovered for myself for the first time. And I rememb"&amp;"ered another cartoon about the bad thing that I definitely looked and decided to find him on YouTube. Nipple-dummy Dr. Brown's Silicone Night Advantage Tatyana_0412.11.202305: 00+3 photos luminous in the darkness of the nipple ... 🌌hm let's try! All pros"&amp;" and cons. Where and for how much to buy? My eldest child sucked the nipples for long only 2-3 months after birth. When he began to spit out the very first nipple, Then I took the nipple of another company with the other form again spat out. The non -ster"&amp;"oidal anti -inflammatory agent of Medorb CJSC IbuprofenPro100MASHA12.11.202304: 45+1 photo from pain helped weakly and in the stomach caused severity and then became normal. The most strange ibuprofen that I have met. The headache is never by the way, but"&amp;" on the day when I had to buy this packaging of Ibuprofen, it was just at the wrong time. On the way to another city, to see a doctor on the bus, my head was hellishly. The Karamazov brothers (2008 film) lu.n.12.11.202304: 33+35 photos ""Brothers Karamazo"&amp;"v""-the surprisingly good film of 2009 I got to watch some adaptation of Dostoevsky but the ""brothers Karamazov"" Soviet production did not want to watch it firstly I, I I saw many times and secondly, and the main thing was never lying to this film, alth"&amp;"ough the actors were wonderful and it seemed in the text, but there was always a feeling ... Evening dress Lord Bear Black Mini Corset Article WB 176480930930NEGATIVE CARROT12.11.202304: 131 +13 photos of vintage - bandage The dress is a corset. Almost th"&amp;"e perfect little black crime ❤ Hello dear readers everyone) once again acted like a real girl and spent money on a dress. I didn’t have to look particularly - I didn’t have to - soon the new year is I need a reason?) I can say a clash with a dress by acci"&amp;"dent - I chose another dress and here ... Hair balm Royal Samples Cosmetics Nourishing balm with keratin and valuable oils to restore for recovery Dry damaged and brittle hair Evgushka211012.11.202304: 00 1st -hearted balm. My love of good time of day. No"&amp;"t so long ago I purchased hair balm from the Royal Samples brand after experience decided to write a review. Acquaintance with the brand. Honestly, this brand never knew. And did not pay attention to him. After I found information about him. House of Ada "&amp;"LLC: Karmayklov mansion (2023 Film) Voina12.11.202303: 59+7 photos “Karmayklov mansion”: Hello night in the house! About the film the plot in the center of the plot is a group of friends who decided to spend the night in an old mansion where ghosts live i"&amp;"n rumors. However, they soon understand that rumors do not lie and they have to face real evil. Fight/Heat (1995 Film) Konstt7812.11.202303: 57+3 photos Classic police action. He who did not look he lost a lot. This is a militant already 1995. The old anc"&amp;"ient bearded but so cool. At first glance, a movie about bandits and cops but in fact is not - it is about people. Some of them are bad (robbing banks kill their fellow citizens) other good (catch bad ones). Abrek (TV series 2023) Kitt154573012.11.202303:"&amp;" 55+12 photo series ""Abrek"" 2023-dog battles Hunting for young girls-many cruel scenes. My impressions of this series. Hello readers of my review. Recently, a rather unusual series called ""Abrek"" has only five episodes in it. And a completely unusual "&amp;"plot is heavy and psychological terms, and besides, there are many frankly cruel moments in it. After reading the official description, I became interested. Axon Tambovst.d12.11.202303: 10+6 photos how I was disappointed in this construction store ... Hel"&amp;"lo everyone! Since the start of repairs in my mother’s apartment, we began to be purchased in Axon. Then bonuses seductive then delivery is free to our remote microdistrict. And in principle, everything in this store arranged for me, although small (unple"&amp;"asant) incidents sometimes happened. Payment for the authors as soon as possible the issues of support for the support of the rule of law enforcement on monetization to the representatives of branding are allowed only with the written permission of the Si"&amp;"te Administration. For the issues of the site, write to info@irecommed.ru. Policy of the confidentiality directory on the site in the VKOL version of the mobile version")</f>
        <v>  IRECOMMMEND.RU | Review the recall of beauty and healthy is a chronicled-hungry-nuclear-nickelitarous-eating-eater-mowing review of 6 hours 24 hours-day / D.E. dreadlocks / Safe dreadlocks12.11.202301: 061 +12 photos realized that without dreadlocks I no longer perceive myself, hello! I dreamed about dreadlocks for a long time, but forever there was no money for this hairstyle. And then I went to work, money appeared, but in my pedagogical world there was no place for such a self -expression. Last year, on vacation, she decided on Afrokoschiki. The House of Strakhs VDNH Moscowkitt154573012.202300: 302 +12 Photo House of Fear New An attraction at VDNH will tell you what is inside and share impressions. Hello readers of my review and lovers of unusual impressions. Finally, I visited a new attraction at VDNH called "House of Fear." He attracted my attention for a long time in 2023 so that at the moment it is a novelty. KDV Fun Ban Cake Cute LI12.11.202303: 071 +18 Photos are the most popular and famous 🎂 in our city! With huge pieces of bananas inside 🍌🍰 I’ll tell you how the taste of the Fun Ban cake has changed brighter in six months and how many times the price has grown in a year ... I buy this cake already 4 or 5 times from June 2022 and now I decided: why not write review? The network in which it is sold, known throughout Russia, photos and my impressions may come in handy. So I’ll tell you what I think about the KDV biscuit cake (KDV) Fun Ban. Express Contractor Gliss Kur Oil Nutritive Omega-9+ hair maruls in need of nutritiondelovaja11.11.202323: 58+ 1 photo, it is better to spend 300 rubles 1 time for this air conditioner than to spend more than 1000 for several worthless sprays from other markets. I already had sprays -Contributions from gleam gleam and this is the best that I tried for hair from this segment. I was convinced more than once on experience. Schwarzkopf for a long time for a long time known to me, a manufacturer of care products for hair from youth from youth is exactly familiar with him, and this is exactly 20 years. Lalique L'amor Lalique Irina78711.202323: 071 +3 photos luxurious innocent and attractive so that I end 4 backlogs of my sun! I have a large collection of aromas but this I repeat this fourth time. Oda Femininity Tender assertiveness innocent seduction on the verge of a slap in the face for a careless look. The aroma is beautiful, it will like it if you like train and powder aromas. A solution for intravenous and intramuscular administration of Solopharm Ketorolac-Solofarm 30 mg/million is useful11.11.202323: 282 +15 photos will relieve pain with endometriosis and not only accurately everyone! Here you will learn about my experience of using this drug. All my life I had very painful menstruation. On a 10-point scale, all 9 points. Sometimes the condition reached the fact that I almost cut down from the intensity of pain. The tonic The Saem Calamansi Pore Freshner Yulchenka M12.11.202303: 07 +6 The photo lightly healed the healing - which he did not do! And in the composition of the component from depression and insomnia 😳 Hello! Эра увлажняющих тоников в моей жизни сменилась эрой средств от акне(( Тонер для лица Calamansi Pore Freshner от The Saem. Цена: 850 рублей за 270 мл на Вайлдберис (артикул 158189586). Платок Palantini Артикул 10992476Степанида112.11.202301:08 2 +10 фото Очень I plan to give a gentle and affectionate handkerchief a man to blame a man. I did not acquire a beautiful dress of fuchsia for myself. And I had already visited it at one event and painted it. But a month later I will speak in a duet with a bard and already made up that I would show up in my pink outfit again The duet involves a similarity in stage costumes. Chocolatean St. Petersburgdinka_sale11.11.202323: 421 +11 photos of a large selection of interesting dishes. Good day to everyone who looked at everyone. I just love chocolate, although the prices there are not the most democratic. But still my loved ones are there. True, from time to time they disappear from the menu. Jennifer Lopez Live Luxeevgeny 5335312.11.202301: 14za bottle 5 for the aroma for solid two -time perfume was not particularly needed. My gaze caught on the bottle. Beautiful bright chic. And I ordered the aroma. Perfume in the tester version without a box. The aroma was not really impressed. A cheap unpleasant sharp. Such aromas were popular in 90. Evalar cellulose microcrystalline MCC Ankir-Bvita8512.11.202302: 481 The principle of action is easy to lose weight: the tablet swells in the stomach and does not eat much. That's why you are very not bad. For everyone, I remembered another drug that I tried for weight loss: Pullose MCC Evalar in tablets. Well, that I haven’t tried for this business now, now I wouldn’t do that. Previously, they found out in the pharmacy how trite does not sound. And immediately without leaving the counter ... Palette of eyelid shadows Maqpro Cream Shadows Primaire 10 colors Fard Cremejusthelly12.11.202301: 20+30 photos Play the artist? An indispensable product for those who want diversity in the Fard Creme makeup attracted me with the opportunity to use them as substrates for color matte shades of creating their colors - endless creativity. Palette of shadows in this color layout is the most universal palette Fard Creme and the manufacturer has a lot of them. Show also a response tuning jubanutkablondi111.202321: 158 +8 photos I am glad that I made powdery lips - very natural and convenient. It’s a pity that my main problem still did not solve Hello everyone! Nature did not endow me with beautiful lips and at the beginning of this year I finally made the desired procedure for increasing. My next step was powdery spraying and this procedure was more likely than a whim ... Failure departure (manicure) at home from Paris 11.10.11.202323: 491 +8 photos of a salon manicure of the house. How to make the nails to yourself so that they do not differ from the work of the master? I welcome everyone! I wanted to share my story about how to make nails on your own no worse than in the cabin. There are a lot of reasons to start doing manicure for himself: someone wants to save time or money, someone does not trust the masters worries for sterility and so on and so on. ATLASTRide boots warm grandmothers with heart_sia11.11.202318: 391 +7 Photo girls "Goodbye youth" grandmothers or just felt boots. I bought it for work, but I am ready to go at home, a handful gift for the New Year 🌟 Devichniki Hello to find high -quality warm and cool outward shoes for me is hard for me. I am ready for hours to look for her on the Internet until I find what I really like. I love not quite the same as everyone sometimes prefer some zest in shoes. Brect systems / braces / orthodontic scobytanyushka_11.11.202316: 4822 +9 photo installation of h4 braces at 38 years old. Will there be a result and is it worth installing? (The review will be supplemented with the beginning of treatment 04/04/2023 GMOi teeth were bored from childhood. Large jaws were bored with childhood. There were attempts to fix with plates but did not ask. Different reasons and fears did not allow me to do their teeth earlier. Chizhik chain of stores 111.11.202306: 375: 375 +26 photos were there 3 times, but the goods have already appeared that I will buy hello to this store every trip! Recently, a new Chizhik supermarket has been opened in the area. This store refers to the type of Lighthouse of the Boar of Dobrozo. This is not is that my favorite stores but once a month I like to wander there. I always find something necessary and useful at pleasant prices. Coloring hair in the AIRTOUCHOKOKEANA Z11.11.202317: 274 +11 photos and this is AIRTOUCH? My experience of fashionable coloring, the process is worn out as it is worn Hi. Today I will share my opinion with you whether it is worth making the fashionable coloring technique of eirtach. I have a negative experience of hair dyeing in the cabin so I most often color myself. Operation for peritotonyus 300911.11.202309: 3821 peritonitis Resuscitation consequences good afternoon! More recently .. with shaking hands, I searched and read any information and reviews about people who had undergone an operation to remove appendix and peritonitis and today I want to leave my feedback! Smart Column Yandex Station Minikristinatret10.11.202323: 321 +13 photos - and do you like to read fairy tales? Once Alice asked. After dad just read his son a fairy tale. Does the column eavesdrop on? My opinion. Hi all. We bought a column of Alice after the birth of a son. I noticed that the baby falls asleep well under the white noise. And I did not want to lose my phone for the time of his sleep. And since relatives gave money. I wanted to buy something necessary. And all sorts of obligatory things have long been bought. Biorevitalization of the area of ​​the face and neck injectionkakady11.11.202308: 3911 +3 photos The most useless waste of money in my life. The procedure after which it got worse How many have been living for 27 years so much and a neighboring with circles under the eyes: very thin skin and nasolacence were inherited by inheritance. From 13 years I have been trying to fight this: cream masks of masks but genetics can not be deceived. Syndrome (2023 Film) Sveta Chereshkina 11/11/202313: 34 2 +10 photos Syndrome - a specific film. Many will not like it, but you need to watch. Do not read reviews and reviews of the film "Syndrome". You will definitely encounter a spoiler one way or another. It is best to watch the movie Syndrome as a completely unprepared viewer. What is the film Syndrome about? Description of KinoPoisk General Information: We are all different people unfortunately imperfect. Modi gift store chain stores 1111.11.202319: 322 +33 photos Five for the best calculation for the New Year receives Modi! I'll show you what to buy for a gift! The New Year mood begins in November. Many stores are already trying on New Year's jewelry, unfortunately, so so. I have a foreboding that this year I will be surprised by those from whom you do not expect. Miracles of decoration. AppStartolea_9511.11.202322: 093 +9 photo Earnings on the Internet. I take out more per day than I earn for 500+ reviews on the Airek. When are the tasks and you can get more? Good afternoon. The AppStart application is not the first application for downloading applications where I earn my “penny”. Now all the money earned on the Internet, including this site of reviews and this application that brings me at least not big but I put it off here. Show another review of the reviewcrass Minskyulia130712.11.202306: 281 +11 photos 🍕🍔 Bolshoy selection of dishes stylish design and successful location. Fudmall "Concors" is a great place where you can eat deliciously to wait for your train to have a good time with friends or just relax after the shopping last month I visited the beautiful Minsk. The city is amazing beautiful and modern. It's nice to watch how it becomes better every year. In particular, new institutions are opening here. So on the top floor of the Galileo shopping center there is a huge Fudmall Concors. Means of the D/Treatment of a cold and influenza CJSC CJSC Mrn MrppferonSherstobitovasvetlana12.11.202306: 27+3 photos with our allergicians, hello hello! When an ARVI occurs in mom and child, you buy all the improvised means. Yes, and this constant advertising on TV. Eh it would be better to use old and proven recipes for grandmothers. Our deplorable experience of use. Soft toy Trudi seal art. 11776609Marylovely0512.11.202306: 26+6 photos of a charming seal that has been with me for many years. I saw this toy in the store at the age of 16 and I fell in love with it very much and later they gave me money for it that I was very happy. Since then, this teddy seal is with me in life. Groats are semolina "Tender" Veronika koljuchka12.11.202306: 25+2 photo ordinary semolina clean. Soft welcome to everyone in a new review! Today I have semolina. I am not a consumer of this cereal. Yes, I cook but do not eat practically. But mom loves so that there is always at home. Another purchase is a semolina "tender" from the brand passim. Variety m, that is, it is soft - from soft varieties of wheat. Pepper seasoning steak grill and barbecue12.11.202306: 24+6 photos Fragrant but unsaturated seasoning. And the mill that misses whole spices without grinding. Hi all! Where to buy I bought this seasoning in a regular supermarket. Something like 180-150 rubles is very inexpensive. Appearance of a glass bottle in the form of a sand clock. The label indicates all the information about the seasoning - the composition of the manufacturer. Canned olives Maestro de Olivadina69anid 11.202305: 39 giant olives with a giant bone bought to try such olives in Magnet when the price has decreased greatly because the expiration date was suitable. Really large juicy good olives with a large bone. It would be better if the same fillings were laid when they make stuffed olives))) Well, in general, the product is quite tasty. Filodendron Birkin Natalia 020712.11.202305: 28+1 photo I share experience for a beautiful and non -whimsical plant. I will never part with him. Hi all!! Filodendron Birkin is such an interesting and beautiful indoor plant with white striped patterns on dark green wax leaves that really look spectacular. I’ll tell you how to care for it, this plant is growing for two years. The northern islands of the Neva Delta on the ship "Koryushka" St. Petersburgirin Fadeenkova 11/12/202305: 17 1 +36 photos rolled on a comfortable boat along the Neva. Observing the sunset 😌 Hello dear friends! Today I have a review on the tour "Northern Islands of the Neva Delts on the ship" Kuryushka "in St. Petersburg. On the day when we walked on the statement of the island and then doused in the Koryushka restaurant - closer in the evening we went to ride the ship with an excursion. Hormonal drugs Akrikhin Comfoderm knyura_xitrova12.11.202305: 15 times I have come across atopic dermatitis, it knows how important it is to choose my remedy. Comfordems exactly it. Hello girls! 3 months I used a corticosteroid from time to time and here is my verdict: Comfoderm K for the atopic baby what I need. It is only when the child has an exacerbation. The Tornado "Storm" Energy drink Weeldees12.11.202305: 09, which is classic -biased in front of us, the most classic taste is the legendary combination of chimose and sugar - Tornado Storm Energetic is the same budgetary drink that all loves more like "Lemonada" and not as a tonic effect of the effect from it you will not wait - only the sugar content in ... is not a wooferzisse12.11.202305: 091 +3 photo country of badly - a fairy tale or a terrible dream? The tale of a boy who did not want to help her grandmother. Is there an instructive moment? Hello everyone! I reviewed the old Soviet cartoons some repeatedly and some discovered for myself for the first time. And I remembered another cartoon about the bad thing that I definitely looked and decided to find him on YouTube. Nipple-dummy Dr. Brown's Silicone Night Advantage Tatyana_0412.11.202305: 00+3 photos luminous in the darkness of the nipple ... 🌌hm let's try! All pros and cons. Where and for how much to buy? My eldest child sucked the nipples for long only 2-3 months after birth. When he began to spit out the very first nipple, Then I took the nipple of another company with the other form again spat out. The non -steroidal anti -inflammatory agent of Medorb CJSC IbuprofenPro100MASHA12.11.202304: 45+1 photo from pain helped weakly and in the stomach caused severity and then became normal. The most strange ibuprofen that I have met. The headache is never by the way, but on the day when I had to buy this packaging of Ibuprofen, it was just at the wrong time. On the way to another city, to see a doctor on the bus, my head was hellishly. The Karamazov brothers (2008 film) lu.n.12.11.202304: 33+35 photos "Brothers Karamazov"-the surprisingly good film of 2009 I got to watch some adaptation of Dostoevsky but the "brothers Karamazov" Soviet production did not want to watch it firstly I, I I saw many times and secondly, and the main thing was never lying to this film, although the actors were wonderful and it seemed in the text, but there was always a feeling ... Evening dress Lord Bear Black Mini Corset Article WB 176480930930NEGATIVE CARROT12.11.202304: 131 +13 photos of vintage - bandage The dress is a corset. Almost the perfect little black crime ❤ Hello dear readers everyone) once again acted like a real girl and spent money on a dress. I didn’t have to look particularly - I didn’t have to - soon the new year is I need a reason?) I can say a clash with a dress by accident - I chose another dress and here ... Hair balm Royal Samples Cosmetics Nourishing balm with keratin and valuable oils to restore for recovery Dry damaged and brittle hair Evgushka211012.11.202304: 00 1st -hearted balm. My love of good time of day. Not so long ago I purchased hair balm from the Royal Samples brand after experience decided to write a review. Acquaintance with the brand. Honestly, this brand never knew. And did not pay attention to him. After I found information about him. House of Ada LLC: Karmayklov mansion (2023 Film) Voina12.11.202303: 59+7 photos “Karmayklov mansion”: Hello night in the house! About the film the plot in the center of the plot is a group of friends who decided to spend the night in an old mansion where ghosts live in rumors. However, they soon understand that rumors do not lie and they have to face real evil. Fight/Heat (1995 Film) Konstt7812.11.202303: 57+3 photos Classic police action. He who did not look he lost a lot. This is a militant already 1995. The old ancient bearded but so cool. At first glance, a movie about bandits and cops but in fact is not - it is about people. Some of them are bad (robbing banks kill their fellow citizens) other good (catch bad ones). Abrek (TV series 2023) Kitt154573012.11.202303: 55+12 photo series "Abrek" 2023-dog battles Hunting for young girls-many cruel scenes. My impressions of this series. Hello readers of my review. Recently, a rather unusual series called "Abrek" has only five episodes in it. And a completely unusual plot is heavy and psychological terms, and besides, there are many frankly cruel moments in it. After reading the official description, I became interested. Axon Tambovst.d12.11.202303: 10+6 photos how I was disappointed in this construction store ... Hello everyone! Since the start of repairs in my mother’s apartment, we began to be purchased in Axon. Then bonuses seductive then delivery is free to our remote microdistrict. And in principle, everything in this store arranged for me, although small (unpleasant) incidents sometimes happened. Payment for the authors as soon as possible the issues of support for the support of the rule of law enforcement on monetization to the representatives of branding are allowed only with the written permission of the Site Administration. For the issues of the site, write to info@irecommed.ru. Policy of the confidentiality directory on the site in the VKOL version of the mobile version</v>
      </c>
    </row>
    <row r="348">
      <c r="A348" s="1" t="s">
        <v>1146</v>
      </c>
      <c r="B348" s="1" t="s">
        <v>1146</v>
      </c>
      <c r="D348" s="1">
        <v>17.0</v>
      </c>
      <c r="E348" s="4" t="s">
        <v>1197</v>
      </c>
      <c r="F348" s="1" t="s">
        <v>16</v>
      </c>
      <c r="G348" s="1" t="s">
        <v>309</v>
      </c>
      <c r="H348" s="4" t="s">
        <v>310</v>
      </c>
      <c r="I348" s="2">
        <v>1.0</v>
      </c>
      <c r="J348" s="5" t="str">
        <f>IFERROR(__xludf.DUMMYFUNCTION("GOOGLETRANSLATE(A348)"),"diary RU")</f>
        <v>diary RU</v>
      </c>
      <c r="K348" s="6" t="str">
        <f>IFERROR(__xludf.DUMMYFUNCTION("GOOGLETRANSLATE(B348)"),"diary RU")</f>
        <v>diary RU</v>
      </c>
      <c r="L348" s="5" t="str">
        <f>IFERROR(__xludf.DUMMYFUNCTION("GOOGLETRANSLATE(C348)"),"#VALUE!")</f>
        <v>#VALUE!</v>
      </c>
      <c r="M348" s="5" t="str">
        <f>IFERROR(__xludf.DUMMYFUNCTION("GOOGLETRANSLATE(G348)"),"Google Chrome - The Fast &amp; Secure Web Browser Built to be Yours         Google uses cookies to deliver its services to personalize ads and to analyze traffic. You can adjust your privacy controls anytime in your  Google settings or read our cookie policy."&amp;"Ok got itMenuMenuicon chrome logoJump to contentHomeThe Browser by GoogleFeatures              icon-expand-featuresOverviewGoogle address barPassword checkSyncDark modeTabsArticles for youExtensionsSafety              icon-expand-featuresPrivacy on the we"&amp;"bSupport              icon-expand-featuresHelpful tips for ChromeSupport              Get ChromeDownload Chromeclose drawericon chrome logoHomeThe Browser by GoogleFeatures              icon-expand-featuresOverviewGoogle address barPassword checkSyncDark "&amp;"modeTabsArticles for youExtensionsSafety              icon-expand-featuresPrivacy on the webSupport              icon-expand-featuresHelpful tips for ChromeSupport              Get ChromeDownload ChromeFastSafeYoursBy GoogleDownload                    The"&amp;" browser  built to be                   f                  a                  s                  t                  s                  a                  f                  e                  y                  o                  u                  r     "&amp;"             sPause animationPlay animationGet ChromeDownload ChromeFor Windows 10 32-bit.I want to update ChromeFor Windows 11/10 64-bit.I want to update ChromeFor Windows XP/VistaThis device won’t receive updates because Google Chrome no longer supports"&amp;" your operating system.For Windows 8.1/8/7 32-bitThis device won’t receive updates because Google Chrome no longer supports your operating system.For Windows 8.1/8/7 64-bitThis device won’t receive updates because Google Chrome no longer supports your ope"&amp;"rating system.For macOS 10.15 or later.I want to update ChromeThis computer will no longer receive Google Chrome updates because macOS 10.6 - 10.12 are no longer supported.This computer will no longer receive Google Chrome updates because macOS 10.6 - 10."&amp;"12 are no longer supported.This computer will no longer receive Google Chrome updates because macOS 10.6 - 10.12 are no longer supported.This computer will no longer receive Google Chrome updates because macOS 10.6 - 10.12 are no longer supported.For macO"&amp;"S 10.13/10.14This device won’t receive updates because Google Chrome no longer supports your operating system.Debian/Ubuntu/Fedora/openSUSE.I want to update                 Chrome              I want to update ChromeLearn how to                 update    "&amp;"          I want to update ChromeSet Google Chrome as my default browserHelp make Google Chrome better by automatically sending usage statistics and crash reports to Google.                What are crash reports?Help make Google Chrome better by automatic"&amp;"ally sending usage statistics and crash reports to Google.                What are crash reports?Help make Google Chrome better by automatically sending usage statistics and crash reports to Google.                What are crash reports?Help make Google C"&amp;"hrome better by automatically sending usage statistics and crash reports to Google.                What are crash reports?Set Google Chrome as my default browserHelp make Google Chrome better by automatically sending usage statistics and crash reports to "&amp;"Google.                What are crash reports?Help make Google Chrome better by automatically sending usage statistics and crash reports to Google.                What are crash reports?Help make Google Chrome better by automatically sending usage statist"&amp;"ics and crash reports to Google.                What are crash reports?Help make Google Chrome better by automatically sending usage statistics and crash reports to Google.                What are crash reports?Set Google Chrome as my default browserHelp "&amp;"make Google Chrome better by automatically sending usage statistics and crash reports to Google.                What are crash reports?Set Google Chrome as my default browserHelp make Google Chrome better by automatically sending usage statistics and cras"&amp;"h reports to Google.                What are crash reports?Set Google Chrome as my default browserHelp make Google Chrome better by automatically sending usage statistics and crash reports to Google.                What are crash reports?By downloading Ch"&amp;"rome you agree to the Google Terms of Service and Chrome and ChromeOS Additional Terms of ServiceBy downloading Chrome you agree to the Google Terms of Service and Chrome and ChromeOS Additional Terms of ServiceBy downloading Chrome you agree to the Googl"&amp;"e Terms of Service and Chrome and ChromeOS Additional Terms of ServiceBy downloading Chrome you agree to the Google Terms of Service and Chrome and ChromeOS Additional Terms of ServiceBy downloading Chrome you agree to the Google Terms of Service and Chro"&amp;"me and ChromeOS Additional Terms of ServiceBy downloading Chrome you agree to the Google Terms of Service and Chrome and ChromeOS Additional Terms of ServiceBy downloading Chrome you agree to the Google Terms of Service and Chrome and ChromeOS Additional "&amp;"Terms of ServiceBy downloading Chrome you agree to the Google Terms of Service and Chrome and ChromeOS Additional Terms of ServiceBy downloading Chrome you agree to the Google Terms of Service and Chrome and ChromeOS Additional Terms of ServiceBy download"&amp;"ing Chrome you agree to the Google Terms of Service and Chrome and ChromeOS Additional Terms of ServiceBy downloading Chrome you agree to the Google Terms of Service and Chrome and ChromeOS Additional Terms of ServiceBy downloading Chrome you agree to the"&amp;" Google Terms of Service and Chrome and ChromeOS Additional Terms of ServiceBy downloading Chrome you agree to the Google Terms of Service and Chrome and ChromeOS Additional Terms of ServiceBy downloading Chrome you agree to the Google Terms of Service an"&amp;"d Chrome and ChromeOS Additional Terms of ServiceBy downloading Chrome you agree to the Google Terms of Service and Chrome and ChromeOS Additional Terms of ServiceBy downloading Chrome you agree to the Google Terms of Service and Chrome and ChromeOS Addit"&amp;"ional Terms of ServiceBy downloading Chrome you agree to the Google Terms of Service and Chrome and ChromeOS Additional Terms of ServiceBy downloading Chrome you agree to the Google Terms of Service and Chrome and ChromeOS Additional Terms of ServiceBy do"&amp;"wnloading Chrome you agree to the Google Terms of Service and Chrome and ChromeOS Additional Terms of ServiceBy downloading Chrome you agree to the Google Terms of Service and Chrome and ChromeOS Additional Terms of ServiceScroll for                 more "&amp;"                   The             f            a            s            t   way to do things online          Prioritize performance              Chrome is built for performance. Optimize your experience with features like Energy Saver and Memory Saver. "&amp;"     Stay on top of tabs              Chrome has tools to help you manage the tabs you’re not quite ready to close. Group label and color code your tabs to stay organized and work faster.      Optimized for your device              Chrome is built to work"&amp;" with your device across platforms. That means a smooth experience on whatever you’re working with.      Scan for the  Chrome app          Automatic updates              There’s a new Chrome update every four weeks making it easy to have the newest featur"&amp;"es and a faster safer browser.      Prioritize performance              Chrome is built for performance. Optimize your experience with features like Energy Saver and Memory Saver.      Stay on top of tabs              Chrome has tools to help you manage t"&amp;"he tabs you’re not quite ready to close. Group label and color code your tabs to stay organized and work faster.      Optimized for your device              Chrome is built to work with your device across platforms. That means a smooth experience on whate"&amp;"ver you’re working with.      Scan for the  Chrome app          Automatic updates              There’s a new Chrome update every four weeks making it easy to have the newest features and a faster safer browser.       Stay             s            a       "&amp;"     f            e   while you browse          Stay             s            a            f            ewhile you browse          PASSWORD MANAGER          Use strong passwords on every site.              Chrome has Google Password Manager built in which"&amp;" makes it simple to save manage and protect your passwords online. It also helps you create stronger passwords for every account you use.      ENHANCED SAFE BROWSING          Browse with the confidence that you're staying safer online.              Chrome"&amp;"'s Safe Browsing warns you about malware or phishing attacks. Turn on Enhanced Safe Browsing for even more safety protections.      SAFETY CHECK          Check your safety level in real time with just one click.              Chrome's Safety Check confirms"&amp;" the overall security and privacy of your browsing experience including your saved passwords extensions and settings. If something needs attention Chrome will help you fix it.      PRIVACY GUIDE          Keep your privacy under your control with easy-to-u"&amp;"se settings.              Chrome makes it easy to understand exactly what you’re sharing online and who you’re sharing it with. Simply use the Privacy Guide a step-by-step tour of your privacy settings.       Make it             y            o            "&amp;"u            r            s   and take it with you          Make it             y            o            u            r            s   and take it with you          Customize your Chrome    Personalize your web browser with themes dark mode and other opt"&amp;"ions built just for you.      Browse across devices    Sign in to Chrome on any device to access your bookmarks saved passwords and more.      Save time with autofill    Use Chrome to save addresses passwords and more to quickly autofill your details.    "&amp;"  Customize your Chrome    Personalize your web browser with themes dark mode and other options built just for you.      Browse across devices    Sign in to Chrome on any device to access your bookmarks saved passwords and more.      Save time with autofi"&amp;"ll    Use Chrome to save addresses passwords and more to quickly autofill your details.      Extend your experience              From shopping and entertainment to productivity find extensions to improve your experience in the Chrome Web Store.       The "&amp;"browser             b            u            i            l            tby Google      GOOGLE AI          Access AI superpowers while you browse.                  Google is integrating artificial intelligence to make our products more useful. We use AI f"&amp;"or features like Search Google Translate and more and we’re innovating new technologies responsibly.      Google Search          The search bar you love built right in.              Access a world of knowledge at your fingertips. Check the weather solve m"&amp;"ath equations and get instant search results all contained inside your browser’s address bar.      GOOGLE WORKSPACE          Get things done with or without Wi-Fi.          Get things done in Gmail Google Docs Google Slides Google Sheets Google Translate "&amp;"and Google Drive even without an internet connection.Frequently asked questionsHow do I install Chrome?To install Chrome simply download the installation file then look for it in your downloads folder. Open the file and follow the instructions. Once Chrom"&amp;"e is installed you can delete the install file. Learn more about downloading Chrome here.Does Chrome work on my operating system?Chrome is compatible with devices that run Windows and Mac operating systems provided they meet the minimum system requirement"&amp;"s. In order to install Chrome and receive adequate support you must meet the system requirements. Learn more about using Chrome on your device.How do I make Chrome my default browser?You can set Chrome as your default browser on Windows or Mac operating s"&amp;"ystems as well as your iPhone iPad or Android device. When you set Chrome as your default browser any link you click will automatically open in Chrome. Find specific instructions for your device here.What are Chrome's safety settings?Chrome uses cutting-e"&amp;"dge safety and security features to help you manage your safety. Use Safety Check to instantly audit for compromised passwords safe browsing status and any available Chrome updates. Learn more about safety and security on Chrome.      Take your browser wi"&amp;"th you    Download Chrome on your mobile device or tablet and sign into your account for the same browser experience everywhere.Get ChromeDownload Chrome      Scan for the  Chrome app     Follow usYoutubeTwitterFacebook              Chrome FamilyOther Pla"&amp;"tformsChromebooks              Chromecast                            EnterpriseDownload Chrome                 Browser              Chrome Browser for                 Enterprise              Chrome                 Devices              ChromeOS            "&amp;"  Google                 Cloud              Google                 Workspace                            EducationGoogle Chrome                 Browser              Devices              Web                 Store                            Dev and PartnersC"&amp;"hromium              ChromeOS              Chrome Web                 Store              Chrome                 Experiments              Chrome BetaChrome DevChrome Canary              Stay ConnectedGoogle Chrome                 Blog              Update C"&amp;"hromeChrome                 Help              Chrome TipsGooglePrivacy and TermsAbout GoogleGoogle ProductsHelpHelpChange language or regionCatalà - EspanyaDansk - DanmarkDeutsch - DeutschlandEesti - EestiEnglish - AustraliaEnglish - CanadaEnglish - Unite"&amp;"d KingdomEnglish - Hong Kong SAR ChinaEnglish - IrelandEnglish - IndiaEnglish - PhilippinesEnglish - PakistanEnglish - SingaporeEnglish - United StatesEspañol - LatinoaméricaEspañol - EspañaEspañol - Estados UnidosFilipino - PilipinasFrançais - CanadaFran"&amp;"çais - FranceHrvatski - HrvatskaIndonesia - IndonesiaItaliano - ItaliaLatviešu - LatvijaLietuvių - LietuvaMagyar - MagyarországMelayu - MalaysiaNederlands - NederlandNorsk Bokmål - NorgePolski - PolskaPortuguês - PortugalPortuguês - BrasilRomână - România"&amp;"Slovenčina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السعوديةف"&amp;"ارسیहिन्दी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syst"&amp;"em.For Windows 8.1/8/7 32-bitThis device won’t receive updates because Google Chrome no longer supports your operating system.For Windows 8.1/8/7 64-bitThis device won’t receive updates because Google Chrome no longer supports your operating system.Get Ch"&amp;"rome for MacFor macOS 10.15 or later.This computer will no longer receive Google Chrome updates because macOS 10.6 - 10.12 are no longer supported.This computer will no longer receive Google Chrome updates because macOS 10.6 - 10.12 are no longer supporte"&amp;"d.This computer will no longer receive Google Chrome updates because macOS 10.6 - 10.12 are no longer supported.This computer will no longer receive Google Chrome updates because macOS 10.6 - 10.12 are no longer supported.For macOS 10.13/10.14This device "&amp;"won’t receive updates because Google Chrome no longer supports your operating system.Get Chrome for LinuxDebian/Ubuntu/Fedora/openSUSE.Please select your download package:64 bit .deb (For Debian/Ubuntu)64 bit .rpm (For Fedora/openSUSE)Not Debian/Ubuntu or"&amp;" Fedora/openSUSE? There may be a community-supported version for your distribution. See Linux Chromium packagesGet Chrome for iOSGet Chrome for chromeOSGet Chrome for androidSet Google Chrome as my default browserHelp make Google Chrome better by automati"&amp;"cally sending usage statistics and crash reports to Google.                What are crash reports?Note: Installing Google Chrome will add the Google repository so your system will automatically keep Google Chrome up to date. If you don’t want Google's rep"&amp;"ository do “sudo touch /etc/default/google-chrome” before installing the package.By downloading Chrome you agree to the Google Terms of Service and Chrome and ChromeOS Additional Terms of ServiceAccept and installAccept and installAccept and installGet Ch"&amp;"romeDownload for phone or tabletAndroidiOSDownload for another desktop OSWindows 11/10 64-bitWindows 10 32-bitmacOS 10.15 or laterLinuxFrozen versionsWindows XPWindows VistaWindows 8.1/8/7 32-bitWindows 8.1/8/7 64-bitMac 10.6 - 10.8Mac 10.9Mac 10.10Mac 10"&amp;".11 - 10.12Mac 10.13 - 10.14Looks like you’re already using Chrome browser. Nice!The device you have runs on ChromeOS which already has Chrome browser built-in. No need to manually install or update it — with automatic updates you’ll always get the latest"&amp;" version. Learn more about automatic updates.Looking for Chrome for a different operating system?See the full list of supported operating systems.")</f>
        <v>Google Chrome - The Fast &amp; Secure Web Browser Built to be Yours         Google uses cookies to deliver its services to personalize ads and to analyze traffic. You can adjust your privacy controls anytime in your  Google settings or read our cookie policy.Ok got itMenuMenuicon chrome logoJump to contentHomeThe Browser by GoogleFeatures              icon-expand-featuresOverviewGoogle address barPassword checkSyncDark modeTabsArticles for youExtensionsSafety              icon-expand-featuresPrivacy on the webSupport              icon-expand-featuresHelpful tips for ChromeSupport              Get ChromeDownload Chromeclose drawericon chrome logoHomeThe Browser by GoogleFeatures              icon-expand-featuresOverviewGoogle address barPassword checkSyncDark modeTabsArticles for youExtensionsSafety              icon-expand-featuresPrivacy on the webSupport              icon-expand-featuresHelpful tips for ChromeSupport              Get ChromeDownload ChromeFastSafeYoursBy GoogleDownload                    The browser  built to be                   f                  a                  s                  t                  s                  a                  f                  e                  y                  o                  u                  r                  sPause animationPlay animationGet ChromeDownload ChromeFor Windows 10 32-bit.I want to update ChromeFor Windows 11/10 64-bit.I want to update ChromeFor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system.For macOS 10.15 or later.I want to update ChromeThis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system.Debian/Ubuntu/Fedora/openSUSE.I want to update                 Chrome              I want to update ChromeLearn how to                 update              I want to update ChromeSet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reports?Set Google Chrome as my default browserHelp make Google Chrome better by automatically sending usage statistics and crash reports to Google.                What are crash reports?By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ServiceBy downloading Chrome you agree to the Google Terms of Service and Chrome and ChromeOS Additional Terms of ServiceScroll for                 more                    The             f            a            s            t   way to do things online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Prioritize performance              Chrome is built for performance. Optimize your experience with features like Energy Saver and Memory Saver.      Stay on top of tabs              Chrome has tools to help you manage the tabs you’re not quite ready to close. Group label and color code your tabs to stay organized and work faster.      Optimized for your device              Chrome is built to work with your device across platforms. That means a smooth experience on whatever you’re working with.      Scan for the  Chrome app          Automatic updates              There’s a new Chrome update every four weeks making it easy to have the newest features and a faster safer browser.       Stay             s            a            f            e   while you browse          Stay             s            a            f            ewhile you browse          PASSWORD MANAGER          Use strong passwords on every site.              Chrome has Google Password Manager built in which makes it simple to save manage and protect your passwords online. It also helps you create stronger passwords for every account you use.      ENHANCED SAFE BROWSING          Browse with the confidence that you're staying safer online.              Chrome's Safe Browsing warns you about malware or phishing attacks. Turn on Enhanced Safe Browsing for even more safety protections.      SAFETY CHECK          Check your safety level in real time with just one click.              Chrome's Safety Check confirms the overall security and privacy of your browsing experience including your saved passwords extensions and settings. If something needs attention Chrome will help you fix it.      PRIVACY GUIDE          Keep your privacy under your control with easy-to-use settings.              Chrome makes it easy to understand exactly what you’re sharing online and who you’re sharing it with. Simply use the Privacy Guide a step-by-step tour of your privacy settings.       Make it             y            o            u            r            s   and take it with you          Make it             y            o            u            r            s   and take it with you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Customize your Chrome    Personalize your web browser with themes dark mode and other options built just for you.      Browse across devices    Sign in to Chrome on any device to access your bookmarks saved passwords and more.      Save time with autofill    Use Chrome to save addresses passwords and more to quickly autofill your details.      Extend your experience              From shopping and entertainment to productivity find extensions to improve your experience in the Chrome Web Store.       The browser             b            u            i            l            tby Google      GOOGLE AI          Access AI superpowers while you browse.                  Google is integrating artificial intelligence to make our products more useful. We use AI for features like Search Google Translate and more and we’re innovating new technologies responsibly.      Google Search          The search bar you love built right in.              Access a world of knowledge at your fingertips. Check the weather solve math equations and get instant search results all contained inside your browser’s address bar.      GOOGLE WORKSPACE          Get things done with or without Wi-Fi.          Get things done in Gmail Google Docs Google Slides Google Sheets Google Translate and Google Drive even without an internet connection.Frequently asked questionsHow do I install Chrome?To install Chrome simply download the installation file then look for it in your downloads folder. Open the file and follow the instructions. Once Chrome is installed you can delete the install file. Learn more about downloading Chrome here.Does Chrome work on my operating system?Chrome is compatible with devices that run Windows and Mac operating systems provided they meet the minimum system requirements. In order to install Chrome and receive adequate support you must meet the system requirements. Learn more about using Chrome on your device.How do I make Chrome my default browser?You can set Chrome as your default browser on Windows or Mac operating systems as well as your iPhone iPad or Android device. When you set Chrome as your default browser any link you click will automatically open in Chrome. Find specific instructions for your device here.What are Chrome's safety settings?Chrome uses cutting-edge safety and security features to help you manage your safety. Use Safety Check to instantly audit for compromised passwords safe browsing status and any available Chrome updates. Learn more about safety and security on Chrome.      Take your browser with you    Download Chrome on your mobile device or tablet and sign into your account for the same browser experience everywhere.Get ChromeDownload Chrome      Scan for the  Chrome app     Follow usYoutubeTwitterFacebook              Chrome FamilyOther PlatformsChromebooks              Chromecast                            EnterpriseDownload Chrome                 Browser              Chrome Browser for                 Enterprise              Chrome                 Devices              ChromeOS              Google                 Cloud              Google                 Workspace                            EducationGoogle Chrome                 Browser              Devices              Web                 Store                            Dev and PartnersChromium              ChromeOS              Chrome Web                 Store              Chrome                 Experiments              Chrome BetaChrome DevChrome Canary              Stay ConnectedGoogle Chrome                 Blog              Update ChromeChrome                 Help              Chrome TipsGooglePrivacy and TermsAbout GoogleGoogle ProductsHelpHelpChange language or regionCatalà - EspanyaDansk - DanmarkDeutsch - DeutschlandEesti - EestiEnglish - AustraliaEnglish - CanadaEnglish - United KingdomEnglish - Hong Kong SAR ChinaEnglish - IrelandEnglish - IndiaEnglish - PhilippinesEnglish - PakistanEnglish - SingaporeEnglish - United StatesEspañol - LatinoaméricaEspañol - EspañaEspañol - Estados UnidosFilipino - PilipinasFrançais - CanadaFrançais - FranceHrvatski - HrvatskaIndonesia - IndonesiaItaliano - ItaliaLatviešu - LatvijaLietuvių - LietuvaMagyar - MagyarországMelayu - MalaysiaNederlands - NederlandNorsk Bokmål - NorgePolski - PolskaPortuguês - PortugalPortuguês - BrasilRomână - RomâniaSlovenčina - SlovenskoSlovenščina - SlovenijaSuomi - SuomiSvenska - SverigeTiếng Việt - Việt NamTürkçe - TürkiyeČeština - ČeskoΕλληνικά - ΕλλάδαБългарски - БългарияРусский - РоссияСрпски - СрбијаУкраїнська - Українаעבריתالعربية - المملكة العربية السعوديةفارسیहिन्दी - भारतไทย - ไทย中文 - 中国中文 - 中国香港特别行政区中文 - 台灣日本語 - 日本한국어 - 대한민국Get Chrome for WindowsFor Windows 10 32-bit.For Windows 11/10 64-bit.For Windows XP/VistaThis device won’t receive updates because Google Chrome no longer supports your operating system.For Windows 8.1/8/7 32-bitThis device won’t receive updates because Google Chrome no longer supports your operating system.For Windows 8.1/8/7 64-bitThis device won’t receive updates because Google Chrome no longer supports your operating system.Get Chrome for MacFor macOS 10.15 or later.This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supported.This computer will no longer receive Google Chrome updates because macOS 10.6 - 10.12 are no longer supported.For macOS 10.13/10.14This device won’t receive updates because Google Chrome no longer supports your operating system.Get Chrome for LinuxDebian/Ubuntu/Fedora/openSUSE.Please select your download package:64 bit .deb (For Debian/Ubuntu)64 bit .rpm (For Fedora/openSUSE)Not Debian/Ubuntu or Fedora/openSUSE? There may be a community-supported version for your distribution. See Linux Chromium packagesGet Chrome for iOSGet Chrome for chromeOSGet Chrome for androidSet Google Chrome as my default browserHelp make Google Chrome better by automatically sending usage statistics and crash reports to Google.                What are crash reports?Note: Installing Google Chrome will add the Google repository so your system will automatically keep Google Chrome up to date. If you don’t want Google's repository do “sudo touch /etc/default/google-chrome” before installing the package.By downloading Chrome you agree to the Google Terms of Service and Chrome and ChromeOS Additional Terms of ServiceAccept and installAccept and installAccept and installGet ChromeDownload for phone or tabletAndroidiOSDownload for another desktop OSWindows 11/10 64-bitWindows 10 32-bitmacOS 10.15 or laterLinuxFrozen versionsWindows XPWindows VistaWindows 8.1/8/7 32-bitWindows 8.1/8/7 64-bitMac 10.6 - 10.8Mac 10.9Mac 10.10Mac 10.11 - 10.12Mac 10.13 - 10.14Looks like you’re already using Chrome browser. Nice!The device you have runs on ChromeOS which already has Chrome browser built-in. No need to manually install or update it — with automatic updates you’ll always get the latest version. Learn more about automatic updates.Looking for Chrome for a different operating system?See the full list of supported operating systems.</v>
      </c>
    </row>
    <row r="349">
      <c r="A349" s="1" t="s">
        <v>1146</v>
      </c>
      <c r="B349" s="1" t="s">
        <v>1198</v>
      </c>
      <c r="C349" s="1" t="s">
        <v>1173</v>
      </c>
      <c r="D349" s="1">
        <v>22.0</v>
      </c>
      <c r="E349" s="4" t="s">
        <v>1199</v>
      </c>
      <c r="F349" s="1" t="s">
        <v>16</v>
      </c>
      <c r="G349" s="1" t="s">
        <v>120</v>
      </c>
      <c r="H349" s="4" t="s">
        <v>121</v>
      </c>
      <c r="I349" s="2">
        <v>0.0</v>
      </c>
      <c r="J349" s="5" t="str">
        <f>IFERROR(__xludf.DUMMYFUNCTION("GOOGLETRANSLATE(A349)"),"diary RU")</f>
        <v>diary RU</v>
      </c>
      <c r="K349" s="6" t="str">
        <f>IFERROR(__xludf.DUMMYFUNCTION("GOOGLETRANSLATE(B349)"),"Magazine Diary.ru - Applications in Google Play")</f>
        <v>Magazine Diary.ru - Applications in Google Play</v>
      </c>
      <c r="L349" s="5" t="str">
        <f>IFERROR(__xludf.DUMMYFUNCTION("GOOGLETRANSLATE(C349)"),"Oct. 2023. -")</f>
        <v>Oct. 2023. -</v>
      </c>
      <c r="M349" s="5" t="str">
        <f>IFERROR(__xludf.DUMMYFUNCTION("GOOGLETRANSLATE(G349)"),"Android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50">
      <c r="A350" s="1" t="s">
        <v>1146</v>
      </c>
      <c r="B350" s="1" t="s">
        <v>1200</v>
      </c>
      <c r="C350" s="1" t="s">
        <v>1201</v>
      </c>
      <c r="D350" s="1">
        <v>2.0</v>
      </c>
      <c r="E350" s="4" t="s">
        <v>1153</v>
      </c>
      <c r="F350" s="1" t="s">
        <v>43</v>
      </c>
      <c r="G350" s="1" t="s">
        <v>34</v>
      </c>
      <c r="H350" s="4" t="s">
        <v>35</v>
      </c>
      <c r="I350" s="2">
        <v>0.0</v>
      </c>
      <c r="J350" s="5" t="str">
        <f>IFERROR(__xludf.DUMMYFUNCTION("GOOGLETRANSLATE(A350)"),"diary RU")</f>
        <v>diary RU</v>
      </c>
      <c r="K350" s="6" t="str">
        <f>IFERROR(__xludf.DUMMYFUNCTION("GOOGLETRANSLATE(B350)"),"Diary.ru - VKontakte")</f>
        <v>Diary.ru - VKontakte</v>
      </c>
      <c r="L350" s="5" t="str">
        <f>IFERROR(__xludf.DUMMYFUNCTION("GOOGLETRANSLATE(C350)"),"Description: Diary.ru - a free digital educational platform for educational organizations developed by Diary.ru.")</f>
        <v>Description: Diary.ru - a free digital educational platform for educational organizations developed by Diary.ru.</v>
      </c>
      <c r="M350" s="5" t="str">
        <f>IFERROR(__xludf.DUMMYFUNCTION("GOOGLETRANSLATE(G350)"),"VK.com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51">
      <c r="A351" s="1" t="s">
        <v>1146</v>
      </c>
      <c r="B351" s="1" t="s">
        <v>1202</v>
      </c>
      <c r="C351" s="1" t="s">
        <v>1170</v>
      </c>
      <c r="D351" s="1">
        <v>7.0</v>
      </c>
      <c r="E351" s="4" t="s">
        <v>1171</v>
      </c>
      <c r="F351" s="1" t="s">
        <v>43</v>
      </c>
      <c r="G351" s="1" t="s">
        <v>31</v>
      </c>
      <c r="H351" s="4" t="s">
        <v>32</v>
      </c>
      <c r="I351" s="2">
        <v>1.0</v>
      </c>
      <c r="J351" s="5" t="str">
        <f>IFERROR(__xludf.DUMMYFUNCTION("GOOGLETRANSLATE(A351)"),"diary RU")</f>
        <v>diary RU</v>
      </c>
      <c r="K351" s="6" t="str">
        <f>IFERROR(__xludf.DUMMYFUNCTION("GOOGLETRANSLATE(B351)"),"DiNewnite.ru - Wikipedia")</f>
        <v>DiNewnite.ru - Wikipedia</v>
      </c>
      <c r="L351" s="5" t="str">
        <f>IFERROR(__xludf.DUMMYFUNCTION("GOOGLETRANSLATE(C351)"),"Diary.ru-a Russian IT company in the field of educational technologies. According to its own statements, the company is engaged in the development of a single electronic ...")</f>
        <v>Diary.ru-a Russian IT company in the field of educational technologies. According to its own statements, the company is engaged in the development of a single electronic ...</v>
      </c>
      <c r="M351" s="5" t="str">
        <f>IFERROR(__xludf.DUMMYFUNCTION("GOOGLETRANSLATE(G351)"),"Wikipedia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52">
      <c r="A352" s="1" t="s">
        <v>1146</v>
      </c>
      <c r="B352" s="1" t="s">
        <v>1203</v>
      </c>
      <c r="C352" s="1" t="s">
        <v>1184</v>
      </c>
      <c r="D352" s="1">
        <v>8.0</v>
      </c>
      <c r="E352" s="4" t="s">
        <v>1185</v>
      </c>
      <c r="F352" s="1" t="s">
        <v>43</v>
      </c>
      <c r="G352" s="1" t="s">
        <v>444</v>
      </c>
      <c r="H352" s="4" t="s">
        <v>445</v>
      </c>
      <c r="I352" s="2">
        <v>0.0</v>
      </c>
      <c r="J352" s="5" t="str">
        <f>IFERROR(__xludf.DUMMYFUNCTION("GOOGLETRANSLATE(A352)"),"diary RU")</f>
        <v>diary RU</v>
      </c>
      <c r="K352" s="6" t="str">
        <f>IFERROR(__xludf.DUMMYFUNCTION("GOOGLETRANSLATE(B352)"),"Dnevnik.ru (@dnevnik_ru) / X")</f>
        <v>Dnevnik.ru (@dnevnik_ru) / X</v>
      </c>
      <c r="L352" s="5" t="str">
        <f>IFERROR(__xludf.DUMMYFUNCTION("GOOGLETRANSLATE(C352)"),"Diary.ru announced the rating of leading regions on the use of electronic journals in schools. Details on the official website Diary.ru.")</f>
        <v>Diary.ru announced the rating of leading regions on the use of electronic journals in schools. Details on the official website Diary.ru.</v>
      </c>
      <c r="M352" s="5" t="str">
        <f>IFERROR(__xludf.DUMMYFUNCTION("GOOGLETRANSLATE(G352)"),"JavaScript is not available.We’ve detected that JavaScript is disabled in this browser. Please enable JavaScript or switch to a supported browser to continue using twitter.com. You can see a list of supported browsers in our Help Center.Help CenterTerms o"&amp;"f ServicePrivacy PolicyCookie PolicyImprintAds info      © 2023 X Corp.    Something went wrong but don’t fret — let’s give it another shot.Try again")</f>
        <v>JavaScript is not available.We’ve detected that JavaScript is disabled in this browser. Please enable JavaScript or switch to a supported browser to continue using twitter.com. You can see a list of supported browsers in our Help Center.Help CenterTerms of ServicePrivacy PolicyCookie PolicyImprintAds info      © 2023 X Corp.    Something went wrong but don’t fret — let’s give it another shot.Try again</v>
      </c>
    </row>
    <row r="353">
      <c r="A353" s="1" t="s">
        <v>1146</v>
      </c>
      <c r="B353" s="1" t="s">
        <v>1204</v>
      </c>
      <c r="C353" s="1" t="s">
        <v>1173</v>
      </c>
      <c r="D353" s="1">
        <v>9.0</v>
      </c>
      <c r="E353" s="4" t="s">
        <v>1174</v>
      </c>
      <c r="F353" s="1" t="s">
        <v>43</v>
      </c>
      <c r="G353" s="1" t="s">
        <v>1175</v>
      </c>
      <c r="H353" s="4" t="s">
        <v>1176</v>
      </c>
      <c r="I353" s="2">
        <v>1.0</v>
      </c>
      <c r="J353" s="5" t="str">
        <f>IFERROR(__xludf.DUMMYFUNCTION("GOOGLETRANSLATE(A353)"),"diary RU")</f>
        <v>diary RU</v>
      </c>
      <c r="K353" s="6" t="str">
        <f>IFERROR(__xludf.DUMMYFUNCTION("GOOGLETRANSLATE(B353)"),"Diary.ru - Russian Society Knowledge")</f>
        <v>Diary.ru - Russian Society Knowledge</v>
      </c>
      <c r="L353" s="5" t="str">
        <f>IFERROR(__xludf.DUMMYFUNCTION("GOOGLETRANSLATE(C353)"),"Oct. 2023. -")</f>
        <v>Oct. 2023. -</v>
      </c>
      <c r="M353" s="5" t="str">
        <f>IFERROR(__xludf.DUMMYFUNCTION("GOOGLETRANSLATE(G353)"),"Russian Society Knowledge - holding Grants of the Lecture of Marathona Lecture Interesting Personal Personal Personal Personal Directorate of Projects of Projects of Projects of the Lecture of Lecture Social -High -Human Resources to Lecture to Lecture to"&amp;" Building the Building Partner to Expert -Metal Exhibition -Forum “Russia” to watch a broadcast 04.11 - 12.04s . - cf. Online. Tatra -Russian educational action in more detail 28.09 - 15.12 cm. - Fri -documentary films about everything on Light and the be"&amp;"st about the most interesting in our cinema. Rather, go and enjoy the viewing! More knowledge. Vikinash new project is a digital library of reliable knowledge that we create together! Details the teachers and mentor 2023 Supreme Highlights with a lecturer"&amp;" with a lecturer with a lecturerome Averbukhserebiye winner of the Olympic Games Honored Master of Sports of Russia Baranovaanovags. the hero of the USSR Hero of labor Laureate The State Prizes of the USSR and the Russian Federation Professor Surgery, the"&amp;" Marukhukovo artist of the Russian State Prize, artistic director of the Moscow Provincial Theater, actor director Beloglazovkommandir of the Special Purpose of the Vityaz Center named after the F. E. Dzerzhinsky FSVang of the Russian Federation Hero of t"&amp;"he Russian Federation of the Russian Federation Berezikova -Russian athlete in battles in the mixed styles of the Believer, Berodistan Yes “I am!” Camila Valievari -Russian skater -president Winery President of the All -Russian Federation of the Artistic "&amp;"Gymnastics School of Gymnastics Golikova President of the Chairman of the Government of the Russian Federation Gorosiyuzakanterman Grefaman Gref -chairman of PJSC Sberbancyla Drozdovodtor of Biological Sciences Honored Professor of the Moscow State Univer"&amp;"sity of Geographical Faculty of Lomonosov Member Member of the Board of Trustees of WWF Russia Telezediy Member The author of the writers of Russia more than 200 articles and 40 books of the book Demiter Dyuzhevacter Sing -film director Honored Artist of "&amp;"the Russian Federation Zakharevoder of the Department of Information and Press of the Ministry of Foreign Affairs of the Russian Russian Cargean -Russian chessman of the Caspersky General General Director of Kaspersky Lab Director of NIC ""Kurchatov Insti"&amp;"tute"" Grigory Kokotkinossian actor Theater and Cinema Teacher Acting Artistic Director of the Architect Cultural Center Bloggaranna Kuznetsovacelor of the Chairman of the State Duma, Federal Assembly of the Russian Federation of the Russian Federation of"&amp;" the Russian Federation (Vovan) Prakersershezmage Lavrov minister of the Russian Federation of the KROSS COSMETIC, Actress singer Popular Blograleki Likhachevgeneral Director State Rosatom Corporation Roman The Lobashian editor of the television channel "&amp;"""My Planet"" Maria Lvova-Belya-Authorized President of the Russian Federation for the Rights of the Childvasmimmir Mashkovo artist Oleg Tabakov People's and Honored Artist of the Russian Medinsky President of the Russian Federation, Chairman of the Russi"&amp;"an Military-Historical Society of the Government of the Russian Federation on November 113 to scientific quiz and lectures on Cosmos Acquaintance with the Amur and Sakhalin regions Useful tips for self -development - how the next day of the educational pr"&amp;"ogram of the Russian exhibition ""Russia"" was held on November 10, 2023 General Director of GLONASS JSC, Alexei Rakevich conducted an excursion trip to the Tomsk and Novgorod regions at the Russian Economic Program of the Society “Knowledge” on November "&amp;"10, 2023 History in the persons of events and facts: in the Kherson region, educational activities were held, Knowledge of the TRACH. Khrephorycalendar of the measures for project -designed therapy to the Important Rossiya Russian Assembly at VDNH 2023 Ra"&amp;"zhovtorskhovtorskupkupkupkhkupkups 99) 393-33-38 technical support: Support@ znanierussia.ru Recreation “Knowledge”: info@znanierussia.ruadre Organization: 109240 Moscow intracity territory municipal district Tagansky Nikolayamskaya D 11 Politician Privac"&amp;"y Agreement of the Russian Society “Knowledge” on the creation of the Russian Society “Knowledge” Report on the use of property for 2021 years of age of 2021 about Using property for 2022 © 2023 Russian Society ""Knowledge""")</f>
        <v>Russian Society Knowledge - holding Grants of the Lecture of Marathona Lecture Interesting Personal Personal Personal Personal Directorate of Projects of Projects of Projects of the Lecture of Lecture Social -High -Human Resources to Lecture to Lecture to Building the Building Partner to Expert -Metal Exhibition -Forum “Russia” to watch a broadcast 04.11 - 12.04s . - cf. Online. Tatra -Russian educational action in more detail 28.09 - 15.12 cm. - Fri -documentary films about everything on Light and the best about the most interesting in our cinema. Rather, go and enjoy the viewing! More knowledge. Vikinash new project is a digital library of reliable knowledge that we create together! Details the teachers and mentor 2023 Supreme Highlights with a lecturer with a lecturer with a lecturerome Averbukhserebiye winner of the Olympic Games Honored Master of Sports of Russia Baranovaanovags. the hero of the USSR Hero of labor Laureate The State Prizes of the USSR and the Russian Federation Professor Surgery, the Marukhukovo artist of the Russian State Prize, artistic director of the Moscow Provincial Theater, actor director Beloglazovkommandir of the Special Purpose of the Vityaz Center named after the F. E. Dzerzhinsky FSVang of the Russian Federation Hero of the Russian Federation of the Russian Federation Berezikova -Russian athlete in battles in the mixed styles of the Believer, Berodistan Yes “I am!” Camila Valievari -Russian skater -president Winery President of the All -Russian Federation of the Artistic Gymnastics School of Gymnastics Golikova President of the Chairman of the Government of the Russian Federation Gorosiyuzakanterman Grefaman Gref -chairman of PJSC Sberbancyla Drozdovodtor of Biological Sciences Honored Professor of the Moscow State University of Geographical Faculty of Lomonosov Member Member of the Board of Trustees of WWF Russia Telezediy Member The author of the writers of Russia more than 200 articles and 40 books of the book Demiter Dyuzhevacter Sing -film director Honored Artist of the Russian Federation Zakharevoder of the Department of Information and Press of the Ministry of Foreign Affairs of the Russian Russian Cargean -Russian chessman of the Caspersky General General Director of Kaspersky Lab Director of NIC "Kurchatov Institute" Grigory Kokotkinossian actor Theater and Cinema Teacher Acting Artistic Director of the Architect Cultural Center Bloggaranna Kuznetsovacelor of the Chairman of the State Duma, Federal Assembly of the Russian Federation of the Russian Federation of the Russian Federation (Vovan) Prakersershezmage Lavrov minister of the Russian Federation of the KROSS COSMETIC, Actress singer Popular Blograleki Likhachevgeneral Director State Rosatom Corporation Roman The Lobashian editor of the television channel "My Planet" Maria Lvova-Belya-Authorized President of the Russian Federation for the Rights of the Childvasmimmir Mashkovo artist Oleg Tabakov People's and Honored Artist of the Russian Medinsky President of the Russian Federation, Chairman of the Russian Military-Historical Society of the Government of the Russian Federation on November 113 to scientific quiz and lectures on Cosmos Acquaintance with the Amur and Sakhalin regions Useful tips for self -development - how the next day of the educational program of the Russian exhibition "Russia" was held on November 10, 2023 General Director of GLONASS JSC, Alexei Rakevich conducted an excursion trip to the Tomsk and Novgorod regions at the Russian Economic Program of the Society “Knowledge” on November 10, 2023 History in the persons of events and facts: in the Kherson region, educational activities were held, Knowledge of the TRACH. Khrephorycalendar of the measures for project -designed therapy to the Important Rossiya Russian Assembly at VDNH 2023 Razhovtorskhovtorskupkupkupkhkupkups 99) 393-33-38 technical support: Support@ znanierussia.ru Recreation “Knowledge”: info@znanierussia.ruadre Organization: 109240 Moscow intracity territory municipal district Tagansky Nikolayamskaya D 11 Politician Privacy Agreement of the Russian Society “Knowledge” on the creation of the Russian Society “Knowledge” Report on the use of property for 2021 years of age of 2021 about Using property for 2022 © 2023 Russian Society "Knowledge"</v>
      </c>
    </row>
    <row r="354">
      <c r="A354" s="1" t="s">
        <v>1146</v>
      </c>
      <c r="B354" s="1" t="s">
        <v>1205</v>
      </c>
      <c r="C354" s="1" t="s">
        <v>1206</v>
      </c>
      <c r="D354" s="1">
        <v>11.0</v>
      </c>
      <c r="E354" s="4" t="s">
        <v>1207</v>
      </c>
      <c r="F354" s="1" t="s">
        <v>43</v>
      </c>
      <c r="G354" s="1" t="s">
        <v>448</v>
      </c>
      <c r="H354" s="4" t="s">
        <v>449</v>
      </c>
      <c r="I354" s="2">
        <v>1.0</v>
      </c>
      <c r="J354" s="5" t="str">
        <f>IFERROR(__xludf.DUMMYFUNCTION("GOOGLETRANSLATE(A354)"),"diary RU")</f>
        <v>diary RU</v>
      </c>
      <c r="K354" s="6" t="str">
        <f>IFERROR(__xludf.DUMMYFUNCTION("GOOGLETRANSLATE(B354)"),"Vacancies of the company Diary.ru - Work in St.")</f>
        <v>Vacancies of the company Diary.ru - Work in St.</v>
      </c>
      <c r="L354" s="5" t="str">
        <f>IFERROR(__xludf.DUMMYFUNCTION("GOOGLETRANSLATE(C354)"),"Work in the company Dote.ru. Information about the company and all open vacancies in St. Petersburg, Moscow.")</f>
        <v>Work in the company Dote.ru. Information about the company and all open vacancies in St. Petersburg, Moscow.</v>
      </c>
      <c r="M354" s="5" t="str">
        <f>IFERROR(__xludf.DUMMYFUNCTION("GOOGLETRANSLATE(G354)"),"Work in Moscow Search for personnel and publishing vacancies - HH.ru. Working with our site, you need to include JavaScript in your browser. Curi -mosquito -workers, ready -made resumes -wise advice, help, work to make a resumes -winging system finding an"&amp;" employee 65,757 425 haste1 4102 vacancies2 088 561 compliance with the phone so that employers can offer you work to confirm to confirm that you do not introduce the text from the picture: the other text of the text “continue” you confirm that you are fa"&amp;"miliarized with the “Agreement on the provision of assistance in employment (Offer)” Vacancies of the day of the day 7649 Vacanceism of the house83707 Vacancies 72000 to 89 000 000 ₽Rabotahr Moscow employee restaurant 50,000 to 70000 ₽ Dododo pizza (DPM N"&amp;"orth) Moskvalichny assistant psychologist 50,000 to 250,000 ₽ Guphanina Alina Borisovna Moskovaristat 74000 to 91000 ₽ Fleet Moscow Administrator in the hot yogi -2000 to 50,000 ₽Bikram .ru Yoga Moskvalichny driver 100,000 to 120,000 ₽ Hihitrova Anastasia"&amp;" Viktorovna Moskvannoye seller-cashier/Administrator 60,000 ₽ Bukhaev Yusup Sydemyeva Moskvypskor (guard) in the clinic 80,000 to 80,000 ₽ Krapetvei ₽ Defeditrum 87 000 to 121000 ₽rabotahr Moscow Moscow 60,000 to 140,000 ₽ Bukhaev Yusup Saidemeyeva Moscow"&amp;" -Semey driver to 1,20,000 to 140,000 ₽ INSITS Moskovo View all work in the Moscow Automobile Administrative Personnel Safe and Medium Management of the Raw Personnel Management Service -Schools Logiiiscence of entertainment of mass mediamarketing adverti"&amp;"sing PRMMedicin pharmaceuticals Education Production Service Service Service Production Service Maintenance Worker Personnel Trade Trade Clubs Fitness Salons Beauty Strategia Investment Consulting Storestroe Real Estate Sports Transportation Transportuisc"&amp;"ent Hotel Restaurant Management by personnel Training and Office of the Emergenary Gholoset in the rating 000 000 and more work in November with daily payments-welding November with a salary of 150 000 ₽ Vacancia November for managers with a salary of 150"&amp;" 000 ₽, not to spoil the impression of themselves with activity in social networks, to become an accountant from scratch ""R-Farm"": to live a full life and benefit people ""Pentorochka"": how to become the owner of a business and workshop for programmers"&amp;" for engineering for engineering for engineering for engineering The sales manager for directorship for administrator work for marketer work for design will be designed for lawyers in other cities in the Zagoryansk work in Moscow work in prompt work in lo"&amp;"ng -term work in driving work in shopatin work in Bobrov work in Mytishchkhnich work in the Khimki -work in Russia, most of the life of almost every of us. But nothing forever: it happens that one day you have to change the place of work and plunge with y"&amp;"our head in search of vacancies - I want to find a good alternative to the current position. Often when changing work, we think not only about changing the company but also about changing professional activities. And it is at these moments that the questi"&amp;"on arises: “How to find a good job in Moscow now? And most importantly, what should this work be? ”Showing it completely to solve such issues easily and quickly just go to hh.ru! On our website you can always find out the latest labor market news and also"&amp;" study a fresh review of salaries with which it is easy to evaluate what Positions should be aiming. If you have already determined the vacancies of which specialties you are interested in only you can create a resume and start searching for a dream work!"&amp;" It is most convenient to look for a job using our vacancies catalog: by clicking in the mouse, you will get a list of relevant and high -quality vacancies in the Moscow or other region of Russia. But this is not the only option for searching for work. On"&amp;" our site you can create an attractive resume and vacancies will begin to flock to you! And having combined both of these methods, you can get the fastest and most importantly effective way to search for work! Create a summary of the application vacancies"&amp;" answers to responses and access to a resume - always at your fingertips. Just enter the phone camera on the QR-CODDHUNTERO company of the company's vacancies for the site of the personal data of personal data-safety Headhunteretika and complianceheadHunt"&amp;"er Apartneadhunter of the provision of the service of the use of the site and articles of labor in the company of Russian serial workshops SE for applicants for reservations Service Prophorus. Processing Summies Summary for you to work for a production ca"&amp;"lendar expert recommendation with a young specialist for young specialists of the School School School Upon -residents of employees, consonant of the company, by professionals, near the metro notification in the Messengeryswitch to English © 2023 Hadhante"&amp;"r LLC, HH.ru information resource applies (information technologies for the provision of information on the systematization and analysis of information related to the preferences of users of the Internet. Russian Federation) Today on the site 1410102 vaca"&amp;"ncies 65757425 resume 2088561 Company and in a week 3611017 invitations subscribe to the Push notifications of HH.ru now subscribe now")</f>
        <v>Work in Moscow Search for personnel and publishing vacancies - HH.ru. Working with our site, you need to include JavaScript in your browser. Curi -mosquito -workers, ready -made resumes -wise advice, help, work to make a resumes -winging system finding an employee 65,757 425 haste1 4102 vacancies2 088 561 compliance with the phone so that employers can offer you work to confirm to confirm that you do not introduce the text from the picture: the other text of the text “continue” you confirm that you are familiarized with the “Agreement on the provision of assistance in employment (Offer)” Vacancies of the day of the day 7649 Vacanceism of the house83707 Vacancies 72000 to 89 000 000 ₽Rabotahr Moscow employee restaurant 50,000 to 70000 ₽ Dododo pizza (DPM North) Moskvalichny assistant psychologist 50,000 to 250,000 ₽ Guphanina Alina Borisovna Moskovaristat 74000 to 91000 ₽ Fleet Moscow Administrator in the hot yogi -2000 to 50,000 ₽Bikram .ru Yoga Moskvalichny driver 100,000 to 120,000 ₽ Hihitrova Anastasia Viktorovna Moskvannoye seller-cashier/Administrator 60,000 ₽ Bukhaev Yusup Sydemyeva Moskvypskor (guard) in the clinic 80,000 to 80,000 ₽ Krapetvei ₽ Defeditrum 87 000 to 121000 ₽rabotahr Moscow Moscow 60,000 to 140,000 ₽ Bukhaev Yusup Saidemeyeva Moscow -Semey driver to 1,20,000 to 140,000 ₽ INSITS Moskovo View all work in the Moscow Automobile Administrative Personnel Safe and Medium Management of the Raw Personnel Management Service -Schools Logiiiscence of entertainment of mass mediamarketing advertising PRMMedicin pharmaceuticals Education Production Service Service Service Production Service Maintenance Worker Personnel Trade Trade Clubs Fitness Salons Beauty Strategia Investment Consulting Storestroe Real Estate Sports Transportation Transportuiscent Hotel Restaurant Management by personnel Training and Office of the Emergenary Gholoset in the rating 000 000 and more work in November with daily payments-welding November with a salary of 150 000 ₽ Vacancia November for managers with a salary of 150 000 ₽, not to spoil the impression of themselves with activity in social networks, to become an accountant from scratch "R-Farm": to live a full life and benefit people "Pentorochka": how to become the owner of a business and workshop for programmers for engineering for engineering for engineering for engineering The sales manager for directorship for administrator work for marketer work for design will be designed for lawyers in other cities in the Zagoryansk work in Moscow work in prompt work in long -term work in driving work in shopatin work in Bobrov work in Mytishchkhnich work in the Khimki -work in Russia, most of the life of almost every of us. But nothing forever: it happens that one day you have to change the place of work and plunge with your head in search of vacancies - I want to find a good alternative to the current position. Often when changing work, we think not only about changing the company but also about changing professional activities. And it is at these moments that the question arises: “How to find a good job in Moscow now? And most importantly, what should this work be? ”Showing it completely to solve such issues easily and quickly just go to hh.ru! On our website you can always find out the latest labor market news and also study a fresh review of salaries with which it is easy to evaluate what Positions should be aiming. If you have already determined the vacancies of which specialties you are interested in only you can create a resume and start searching for a dream work! It is most convenient to look for a job using our vacancies catalog: by clicking in the mouse, you will get a list of relevant and high -quality vacancies in the Moscow or other region of Russia. But this is not the only option for searching for work. On our site you can create an attractive resume and vacancies will begin to flock to you! And having combined both of these methods, you can get the fastest and most importantly effective way to search for work! Create a summary of the application vacancies answers to responses and access to a resume - always at your fingertips. Just enter the phone camera on the QR-CODDHUNTERO company of the company's vacancies for the site of the personal data of personal data-safety Headhunteretika and complianceheadHunter Apartneadhunter of the provision of the service of the use of the site and articles of labor in the company of Russian serial workshops SE for applicants for reservations Service Prophorus. Processing Summies Summary for you to work for a production calendar expert recommendation with a young specialist for young specialists of the School School School Upon -residents of employees, consonant of the company, by professionals, near the metro notification in the Messengeryswitch to English © 2023 Hadhanter LLC, HH.ru information resource applies (information technologies for the provision of information on the systematization and analysis of information related to the preferences of users of the Internet. Russian Federation) Today on the site 1410102 vacancies 65757425 resume 2088561 Company and in a week 3611017 invitations subscribe to the Push notifications of HH.ru now subscribe now</v>
      </c>
    </row>
    <row r="355">
      <c r="A355" s="1" t="s">
        <v>1146</v>
      </c>
      <c r="B355" s="1" t="s">
        <v>1208</v>
      </c>
      <c r="D355" s="1">
        <v>12.0</v>
      </c>
      <c r="E355" s="4" t="s">
        <v>1182</v>
      </c>
      <c r="F355" s="1" t="s">
        <v>43</v>
      </c>
      <c r="G355" s="1" t="s">
        <v>273</v>
      </c>
      <c r="H355" s="4" t="s">
        <v>476</v>
      </c>
      <c r="I355" s="2">
        <v>0.0</v>
      </c>
      <c r="J355" s="5" t="str">
        <f>IFERROR(__xludf.DUMMYFUNCTION("GOOGLETRANSLATE(A355)"),"diary RU")</f>
        <v>diary RU</v>
      </c>
      <c r="K355" s="6" t="str">
        <f>IFERROR(__xludf.DUMMYFUNCTION("GOOGLETRANSLATE(B355)"),"Diary.ru - Facebook")</f>
        <v>Diary.ru - Facebook</v>
      </c>
      <c r="L355" s="5" t="str">
        <f>IFERROR(__xludf.DUMMYFUNCTION("GOOGLETRANSLATE(C355)"),"#VALUE!")</f>
        <v>#VALUE!</v>
      </c>
      <c r="M355" s="5" t="str">
        <f>IFERROR(__xludf.DUMMYFUNCTION("GOOGLETRANSLATE(G355)"),"Update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356">
      <c r="A356" s="1" t="s">
        <v>1146</v>
      </c>
      <c r="B356" s="1" t="s">
        <v>1209</v>
      </c>
      <c r="C356" s="1" t="s">
        <v>1210</v>
      </c>
      <c r="D356" s="1">
        <v>14.0</v>
      </c>
      <c r="E356" s="4" t="s">
        <v>1211</v>
      </c>
      <c r="F356" s="1" t="s">
        <v>43</v>
      </c>
      <c r="G356" s="1" t="s">
        <v>1212</v>
      </c>
      <c r="H356" s="4" t="s">
        <v>1213</v>
      </c>
      <c r="I356" s="2">
        <v>1.0</v>
      </c>
      <c r="J356" s="5" t="str">
        <f>IFERROR(__xludf.DUMMYFUNCTION("GOOGLETRANSLATE(A356)"),"diary RU")</f>
        <v>diary RU</v>
      </c>
      <c r="K356" s="6" t="str">
        <f>IFERROR(__xludf.DUMMYFUNCTION("GOOGLETRANSLATE(B356)"),"Diary.ru - School No. 36 Veliky Novgorod")</f>
        <v>Diary.ru - School No. 36 Veliky Novgorod</v>
      </c>
      <c r="L356" s="5" t="str">
        <f>IFERROR(__xludf.DUMMYFUNCTION("GOOGLETRANSLATE(C356)"),"Diary.ru · Diary.ru - students · student diary - Diary. · Educational resources - online library contains almost all works that ...")</f>
        <v>Diary.ru · Diary.ru - students · student diary - Diary. · Educational resources - online library contains almost all works that ...</v>
      </c>
      <c r="M356" s="5" t="str">
        <f>IFERROR(__xludf.DUMMYFUNCTION("GOOGLETRANSLATE(G356)"),"School No. 36 Veliky Novgorod Site MAOU ""School No. 36"" is located at: https: //sh36-velikij-novgorod-r49.gosuslugi.ru/ Forequisitive communications for additional grades 5, grades77 -grades 9th grades10, grades1111, literature for summer reading, schoo"&amp;"l forms of SEARTIONAL behavior on the rules of road traffic on the rules of the road, security behavior at the objects of railway transportation and security measures on the reservoir in the autumn-winter duration of the use of pyrotechnicians. Little que"&amp;"stions for a minute for arriving from the territories of the DPR and LPR (legal representatives) of students in the 1st class in grade 1 in grade 10 in school-paying hot foods of primary class students Excellecontrol for the nutritional nouriseter for add"&amp;"itional education, the schedule of calls for 2022-2023 Tutorial year of distribution of consultation consultations Consults GIA - 9GIA - 11 support in development School-Mamathal supports Blackmarks for Documents to the school uniform, leave the children "&amp;"unattended the parental heart! News of the exploration of the Office of the Offenses of the Offenses of emotional dysfunction and suicidal intentions of social and pedagogical training of students of 9 11th grades for passing the examination Tactful secur"&amp;"ity of information about the educational organization Information security of the Center for Digital Education of Children “IT-Cub »The Center for Natural Science Education Derzhavin and I am the center of additional education Svetlana Borisovna -Director"&amp;" MAOU"" School No. 36 ""about School 2017, school No. 36 opened its doors for 1350 boys and girls who want to plunge into the world of possibilities of those wishing to understand and master the new one to express their own thoughts to make decisions To h"&amp;"elp each other. Nash the school is a high -tech educational institution in which technical teaching aids are combined with modern teaching technologies. This is a school in which today there is everything you need: multimedia complexes Interactive boards "&amp;"computers Plasma panels Lingapon Cabinet Developing training complexes Research laboratories and studio where a special emotionally attractive environment is created. Want to know about the school more to become a member of the construction of a modern di"&amp;"gital school? Come to study at our school! Ads! Viral hepatitis of viral hepatitis in matters and the answer healing camp of the work of the World of My Opportunities ""Dear Parents (legal representatives)! In June 1, he begins his work The school camp “T"&amp;"he World of My Opportunities” 8.30 is a meeting of children at the porch of the school. The educators will have a sign with the detachment number in which the classes that are included in this detachment will be indicated. The child has a child: replaceab"&amp;"le head cleaning shoes for records of a pencil case with accessories if the child is not a student of school No. 36, then it is necessary to bring a medical certificate. 1 detachment - students 1 A class + pre -school2 detachment - students 1B class + 1k "&amp;"class3 detachment - students 1 l class + 1 m class + students from the schools of the city4 detachment - students 2V class + 2m class5 - students 2B class + 2A class + 2l Class + 2K class + students from schools in the city6 Squad-students of 3 classes7 d"&amp;"etachment-students of 4 classes8 detachment-students of the 5th and 6th grades of the reception of children in grade 1 in 2023 in the Novgorod region !!! In order to submit an application for enrollment to the first grade on March 15 from 15:00, go to pub"&amp;"lic services on the link -www.gosuslugi.ru/600426kak submit an application on the public services website: to register or have an account on the public services website from March 15 to go to the public services website and Fill out a draft application fo"&amp;"r acceptance on March23 at 00.00 Send a notice to receive a notification to the email address. Assignment will receive from public services to a single automated system (AIS) and will be registered in the journal of accepting applications at school. Maint"&amp;"ened parents of future first -graders! Acceptance of children's education in first grade In an extraordinary and priority, having the right to preemptive admission as well as living in the fixed territory begins on March 23, 2023: at 00:00 on the public s"&amp;"ervices website from 09:00 in the MFC and at the school at a personal visit, we will inform you that the submission of applications for admission in grade 2023- 2024 academic year at the school will be held according to the schedule: 23 March 2023 from 09"&amp;".00 to 17.00 without a break of the office. 429.24 27 and March 28, 2023 - from 09.00 to 17.00 in the reception room (2nd floor). S. March 29, 2023, a full -time visit to submit applications will be carried out from 15.00 to 17.00 in the reception (2nd fl"&amp;"oor). Information on the territories assigned to schools can be found out On the sites of the management of the education of urban and municipal districts of the municipal regions of the region. How to submit an application on the public services website:"&amp;" to register or have an account on the public service website on March 15 to go to the public services website and fill out a draft application on March23 at 00.00 Send a notice to electronic The address of public services will be received from the public"&amp;" services website to a unified automated system (AIS) and will be registered in the journal of accepting applications at the school. On March 15, 2023, the Ministry of Education of the Novgorod Region will begin to work a hotline phone for children in gra"&amp;"de 1: 8,8162- 50-10-10. Monday: Friday from 09.00 to 13.00 from 14.00 to 17.00. Rupped the behavior and procedure of the population when receiving the signal ""Attention to everyone!"" Transfer of the vacation of parents (legal representatives)! Additiona"&amp;"l holidays for students of the 1st grades are transferred for the period from 06.02.02.02 .2023 to 12.02.2023 In connection with the need to conduct preventive measures to prevent influenza and acute respiratory viral infections. The holidays were agreed "&amp;"with the founder. Netnesses on March 03, 2023 rule the reception of children in the first grade in the Novgorod region on January 17, 2023, the teacher of the general enlightenment teacher of the Education was awarded The departmental reward to the teache"&amp;"r of OBZH Gennady Starunov on October 01, 2022 The new places were opened on October 1, 2022 in our school, a solemn event was held on the opening of the newly created places of additional education of children ... September 20, 2022anketing of parents of"&amp;" students of students of 8 9th grades on the organization of career guidance on May 20 2022 A guests of the fairy -tale dedicated to the cultural heritage of the Novgorod Territory and the Novgorod tales on April 26, 2022222 22 22 222222s on May 03 June 2"&amp;"022 begins to participate in the All -Russian Olympiad of schoolchildren on April 01, 2022 Office of the professional skill of the city competition of professional skills on February 15, 2022fest Val ""Visiting a fairy tale »The fairy tale is the festival"&amp;""" Visiting the Tale ""the great Ustyug! February 15, 2022 Old Microphone Project"" Golden Microphone. 3 season ”All we are coming together there are proposals for organizing the educational process or do you know how to make a school better? Write about "&amp;"the problem of the Calendar of events &lt;&lt; November 2023 &gt;&gt; PNVTSRCHTTSBVS 1 2 3 4 5 5 6 7 8 9 10 11 12 12 13 15 15 16 18 18 191 19 20 22 22 22 26 27 29 30 Useful reference all photo On the site with the consent of their owning law © MAOU ""School No. 36"" "&amp;"Creation of the site - 3xweb")</f>
        <v>School No. 36 Veliky Novgorod Site MAOU "School No. 36" is located at: https: //sh36-velikij-novgorod-r49.gosuslugi.ru/ Forequisitive communications for additional grades 5, grades77 -grades 9th grades10, grades1111, literature for summer reading, school forms of SEARTIONAL behavior on the rules of road traffic on the rules of the road, security behavior at the objects of railway transportation and security measures on the reservoir in the autumn-winter duration of the use of pyrotechnicians. Little questions for a minute for arriving from the territories of the DPR and LPR (legal representatives) of students in the 1st class in grade 1 in grade 10 in school-paying hot foods of primary class students Excellecontrol for the nutritional nouriseter for additional education, the schedule of calls for 2022-2023 Tutorial year of distribution of consultation consultations Consults GIA - 9GIA - 11 support in development School-Mamathal supports Blackmarks for Documents to the school uniform, leave the children unattended the parental heart! News of the exploration of the Office of the Offenses of the Offenses of emotional dysfunction and suicidal intentions of social and pedagogical training of students of 9 11th grades for passing the examination Tactful security of information about the educational organization Information security of the Center for Digital Education of Children “IT-Cub »The Center for Natural Science Education Derzhavin and I am the center of additional education Svetlana Borisovna -Director MAOU" School No. 36 "about School 2017, school No. 36 opened its doors for 1350 boys and girls who want to plunge into the world of possibilities of those wishing to understand and master the new one to express their own thoughts to make decisions To help each other. Nash the school is a high -tech educational institution in which technical teaching aids are combined with modern teaching technologies. This is a school in which today there is everything you need: multimedia complexes Interactive boards computers Plasma panels Lingapon Cabinet Developing training complexes Research laboratories and studio where a special emotionally attractive environment is created. Want to know about the school more to become a member of the construction of a modern digital school? Come to study at our school! Ads! Viral hepatitis of viral hepatitis in matters and the answer healing camp of the work of the World of My Opportunities "Dear Parents (legal representatives)! In June 1, he begins his work The school camp “The World of My Opportunities” 8.30 is a meeting of children at the porch of the school. The educators will have a sign with the detachment number in which the classes that are included in this detachment will be indicated. The child has a child: replaceable head cleaning shoes for records of a pencil case with accessories if the child is not a student of school No. 36, then it is necessary to bring a medical certificate. 1 detachment - students 1 A class + pre -school2 detachment - students 1B class + 1k class3 detachment - students 1 l class + 1 m class + students from the schools of the city4 detachment - students 2V class + 2m class5 - students 2B class + 2A class + 2l Class + 2K class + students from schools in the city6 Squad-students of 3 classes7 detachment-students of 4 classes8 detachment-students of the 5th and 6th grades of the reception of children in grade 1 in 2023 in the Novgorod region !!! In order to submit an application for enrollment to the first grade on March 15 from 15:00, go to public services on the link -www.gosuslugi.ru/600426kak submit an application on the public services website: to register or have an account on the public services website from March 15 to go to the public services website and Fill out a draft application for acceptance on March23 at 00.00 Send a notice to receive a notification to the email address. Assignment will receive from public services to a single automated system (AIS) and will be registered in the journal of accepting applications at school. Maintened parents of future first -graders! Acceptance of children's education in first grade In an extraordinary and priority, having the right to preemptive admission as well as living in the fixed territory begins on March 23, 2023: at 00:00 on the public services website from 09:00 in the MFC and at the school at a personal visit, we will inform you that the submission of applications for admission in grade 2023- 2024 academic year at the school will be held according to the schedule: 23 March 2023 from 09.00 to 17.00 without a break of the office. 429.24 27 and March 28, 2023 - from 09.00 to 17.00 in the reception room (2nd floor). S. March 29, 2023, a full -time visit to submit applications will be carried out from 15.00 to 17.00 in the reception (2nd floor). Information on the territories assigned to schools can be found out On the sites of the management of the education of urban and municipal districts of the municipal regions of the region. How to submit an application on the public services website: to register or have an account on the public service website on March 15 to go to the public services website and fill out a draft application on March23 at 00.00 Send a notice to electronic The address of public services will be received from the public services website to a unified automated system (AIS) and will be registered in the journal of accepting applications at the school. On March 15, 2023, the Ministry of Education of the Novgorod Region will begin to work a hotline phone for children in grade 1: 8,8162- 50-10-10. Monday: Friday from 09.00 to 13.00 from 14.00 to 17.00. Rupped the behavior and procedure of the population when receiving the signal "Attention to everyone!" Transfer of the vacation of parents (legal representatives)! Additional holidays for students of the 1st grades are transferred for the period from 06.02.02.02 .2023 to 12.02.2023 In connection with the need to conduct preventive measures to prevent influenza and acute respiratory viral infections. The holidays were agreed with the founder. Netnesses on March 03, 2023 rule the reception of children in the first grade in the Novgorod region on January 17, 2023, the teacher of the general enlightenment teacher of the Education was awarded The departmental reward to the teacher of OBZH Gennady Starunov on October 01, 2022 The new places were opened on October 1, 2022 in our school, a solemn event was held on the opening of the newly created places of additional education of children ... September 20, 2022anketing of parents of students of students of 8 9th grades on the organization of career guidance on May 20 2022 A guests of the fairy -tale dedicated to the cultural heritage of the Novgorod Territory and the Novgorod tales on April 26, 2022222 22 22 222222s on May 03 June 2022 begins to participate in the All -Russian Olympiad of schoolchildren on April 01, 2022 Office of the professional skill of the city competition of professional skills on February 15, 2022fest Val "Visiting a fairy tale »The fairy tale is the festival" Visiting the Tale "the great Ustyug! February 15, 2022 Old Microphone Project" Golden Microphone. 3 season ”All we are coming together there are proposals for organizing the educational process or do you know how to make a school better? Write about the problem of the Calendar of events &lt;&lt; November 2023 &gt;&gt; PNVTSRCHTTSBVS 1 2 3 4 5 5 6 7 8 9 10 11 12 12 13 15 15 16 18 18 191 19 20 22 22 22 26 27 29 30 Useful reference all photo On the site with the consent of their owning law © MAOU "School No. 36" Creation of the site - 3xweb</v>
      </c>
    </row>
    <row r="357">
      <c r="A357" s="1" t="s">
        <v>1146</v>
      </c>
      <c r="B357" s="1" t="s">
        <v>1214</v>
      </c>
      <c r="D357" s="1">
        <v>15.0</v>
      </c>
      <c r="E357" s="4" t="s">
        <v>1167</v>
      </c>
      <c r="F357" s="1" t="s">
        <v>43</v>
      </c>
      <c r="G357" s="1" t="s">
        <v>1168</v>
      </c>
      <c r="H357" s="4" t="s">
        <v>1169</v>
      </c>
      <c r="I357" s="2">
        <v>1.0</v>
      </c>
      <c r="J357" s="5" t="str">
        <f>IFERROR(__xludf.DUMMYFUNCTION("GOOGLETRANSLATE(A357)"),"diary RU")</f>
        <v>diary RU</v>
      </c>
      <c r="K357" s="6" t="str">
        <f>IFERROR(__xludf.DUMMYFUNCTION("GOOGLETRANSLATE(B357)"),"RU Diary - Personal Account of the student - Compare the.ru")</f>
        <v>RU Diary - Personal Account of the student - Compare the.ru</v>
      </c>
      <c r="L357" s="5" t="str">
        <f>IFERROR(__xludf.DUMMYFUNCTION("GOOGLETRANSLATE(C357)"),"#VALUE!")</f>
        <v>#VALUE!</v>
      </c>
      <c r="M357" s="5" t="str">
        <f>IFERROR(__xludf.DUMMYFUNCTION("GOOGLETRANSLATE(G357)"),"Compare the selection and comparison of credit cards of credit cards Car insurance Calculator Calculator and CASCO Rating of insurance companies of the credit use of credit recovery of auto -credit Credit Credit Credit Credits online bankcrodins without c"&amp;"ertificates of real estate income with poor credit history of exchange of foreign currency exchange rates NG Banking Services Banking Covers on Banning -Supervision Options Supervision Mortgage of Travelers Insurance Aparties athletes Discard Medical Insu"&amp;"rance Critical Disease Craduation from a bite tick -luggage of the house and animal overthrow daching KBMRrating of insurance companies of insurance companies. Outputs about insurance companies on insurance storage online posts on crankcases without refus"&amp;"al from bad kizima without interest -free, borrowed borrowings for the deposit of Ptszami -long -term borrowing loans of the MFOspections FOOPOTETECIPENITIONAL CRIENTS for a mortgage online family mortgage with state -cervical vehicle housing housing cons"&amp;"truction. House -refinancing mortgages in new buildings Piccalculator of a mortgage of a mortgage without initial contributions on mortgages for a young family for a young family mortgage mortgage for Banking Service Banking Card Card Credit Credit Card C"&amp;"ard Card Credit Cards with Free Service Card Credit Cards with an instant decision of the Card of Cards without Outcredit cards with delivery cards without confirming an income card of an installmentar cards with cashbacks of banking records of banking ch"&amp;"ecks about banks Board of depository investment investment deposit deposit invoice to invest money and investment Investment insurance programs for life-saving insurance of Life-rending banking records banks of bankshakhi-rating Blackracies Conducting Off"&amp;"ice of Business Service Service Universal Conductors Quillingwed Registration Business-Ling-Gallery Services Services for Markets of Changes to IP and LLC LLC IPREETISITS BANKS ON BUSINESS OF BUSINESS OF BAST CONCLUSIONS ON THE BANCHOOKSHINALINAL Skillbox"&amp;" programmakesino-School management Analyticamarketing PROTEMING to the USE and OGED development for python1-programingq testing graphic-design-designing Language Curses about courses of schools of schools of schools of schools and response and response an"&amp;"d response of companies and games. Ting experts of the Creditan investigation of the insurance of lifting aids, we will save money to compare prices and save up to 5,500 ₽ Com bosom to place prices for 1 minute to place the banks ready to give out a loan "&amp;"on the right You are conditions of a card for 10 minutes 0%insurance of an insurance for a bankprise of 500 000 ₽ Credit rating of a credit history for the absence of delays and an error -free pay -off -class, the best conditions are the best conditions f"&amp;"or tourist insurance athletes Service 9 thousand. Responsive Often searchcifers of cash registering loan loan loans for cartridges on security for car loans on the security of real estate application For creditcredites with poor bickens without a certific"&amp;"ate of launcher, liner -term accounts with monthly payments to dollarshvallete deposits for retirees in euro -ranges in the yuanahpets on the deposit of the deposit of the hen There are a suburban boat mortgage with state support for a young family of a f"&amp;"amily in new buildings in new buildings in the new building cards to the best credit card cards without refusal cards with poor kyvirtual credit card cards installments with 100 % approval by instant solutions by conding cards with delivery cards Unionpay"&amp;"cobeiding Cards Card Card Card Card Card Cards with cashback cards for a child with free service cards of Mirsa Process by the residual -concrete cards for pensioner -concern cards Unionpaycobejing debit card -bearing -based maps for cartridges without pe"&amp;"rcentage without verification Online poses on a map without refusalsayamsim for ptszams without refusal from poor kions and promotional c do in the Mfostorovannannanikalchata OSAGOOSAGO ONLYKASKAROSKAING FOR LIFE -Building Life for Mortgage Supervision of"&amp;" Real Estate from accidents of cases of civicnutic codes Redites at 0%long -term microcreditic codes through public services business architecture business -register for business accounts for ipcredit for LLC Ekweingbank guarantees of food products for a "&amp;"medical medical insurance for the GoddMS with dentistry with telemedicine insurance from bite tick -pacing from critical illness from heart attack and stroke from racin -investment service to open up the overwhelming of the Onlineis for the IPREATIVE BROK"&amp;"ROGRABLIC score for legal limits NGRACTION OF THE CONTRODUCTURENCENT PROGNITION for the exam and OGESELS - In the mobile application, Implay, Open Open Services Online Controls Contacts Checks and Contacts Insurance Consure Evaluate your credit The possib"&amp;"ilities to use the QR -codal of the installation, enter the phone camera on the QR -KODO project of the project -Partner program of the agent -user agreement Politician Politicia of the Privacy of the Setanashi Expertsai Vacancies © 2009–2023 LLC ""Reflas"&amp;"is"". When using materials, a hyperlink on sravni.ru is required. TIN 7710718303 OGRN 1087746642774. 109544 Moscow Boulevard Enthusiasts House 26th floor ""Reflasis.ru"" operates activities in the IT field: the service provides online selection services a"&amp;"s advertising organizations - partners in the Internet using COOKIE files In order to provide users with more opportunities when visiting the site sravni.ru. Read more about the conditions of use.")</f>
        <v>Compare the selection and comparison of credit cards of credit cards Car insurance Calculator Calculator and CASCO Rating of insurance companies of the credit use of credit recovery of auto -credit Credit Credit Credit Credits online bankcrodins without certificates of real estate income with poor credit history of exchange of foreign currency exchange rates NG Banking Services Banking Covers on Banning -Supervision Options Supervision Mortgage of Travelers Insurance Aparties athletes Discard Medical Insurance Critical Disease Craduation from a bite tick -luggage of the house and animal overthrow daching KBMRrating of insurance companies of insurance companies. Outputs about insurance companies on insurance storage online posts on crankcases without refusal from bad kizima without interest -free, borrowed borrowings for the deposit of Ptszami -long -term borrowing loans of the MFOspections FOOPOTETECIPENITIONAL CRIENTS for a mortgage online family mortgage with state -cervical vehicle housing housing construction. House -refinancing mortgages in new buildings Piccalculator of a mortgage of a mortgage without initial contributions on mortgages for a young family for a young family mortgage mortgage for Banking Service Banking Card Card Credit Credit Card Card Card Credit Cards with Free Service Card Credit Cards with an instant decision of the Card of Cards without Outcredit cards with delivery cards without confirming an income card of an installmentar cards with cashbacks of banking records of banking checks about banks Board of depository investment investment deposit deposit invoice to invest money and investment Investment insurance programs for life-saving insurance of Life-rending banking records banks of bankshakhi-rating Blackracies Conducting Office of Business Service Service Universal Conductors Quillingwed Registration Business-Ling-Gallery Services Services for Markets of Changes to IP and LLC LLC IPREETISITS BANKS ON BUSINESS OF BUSINESS OF BAST CONCLUSIONS ON THE BANCHOOKSHINALINAL Skillbox programmakesino-School management Analyticamarketing PROTEMING to the USE and OGED development for python1-programingq testing graphic-design-designing Language Curses about courses of schools of schools of schools of schools and response and response and response of companies and games. Ting experts of the Creditan investigation of the insurance of lifting aids, we will save money to compare prices and save up to 5,500 ₽ Com bosom to place prices for 1 minute to place the banks ready to give out a loan on the right You are conditions of a card for 10 minutes 0%insurance of an insurance for a bankprise of 500 000 ₽ Credit rating of a credit history for the absence of delays and an error -free pay -off -class, the best conditions are the best conditions for tourist insurance athletes Service 9 thousand. Responsive Often searchcifers of cash registering loan loan loans for cartridges on security for car loans on the security of real estate application For creditcredites with poor bickens without a certificate of launcher, liner -term accounts with monthly payments to dollarshvallete deposits for retirees in euro -ranges in the yuanahpets on the deposit of the deposit of the hen There are a suburban boat mortgage with state support for a young family of a family in new buildings in new buildings in the new building cards to the best credit card cards without refusal cards with poor kyvirtual credit card cards installments with 100 % approval by instant solutions by conding cards with delivery cards Unionpaycobeiding Cards Card Card Card Card Card Cards with cashback cards for a child with free service cards of Mirsa Process by the residual -concrete cards for pensioner -concern cards Unionpaycobejing debit card -bearing -based maps for cartridges without percentage without verification Online poses on a map without refusalsayamsim for ptszams without refusal from poor kions and promotional c do in the Mfostorovannannanikalchata OSAGOOSAGO ONLYKASKAROSKAING FOR LIFE -Building Life for Mortgage Supervision of Real Estate from accidents of cases of civicnutic codes Redites at 0%long -term microcreditic codes through public services business architecture business -register for business accounts for ipcredit for LLC Ekweingbank guarantees of food products for a medical medical insurance for the GoddMS with dentistry with telemedicine insurance from bite tick -pacing from critical illness from heart attack and stroke from racin -investment service to open up the overwhelming of the Onlineis for the IPREATIVE BROKROGRABLIC score for legal limits NGRACTION OF THE CONTRODUCTURENCENT PROGNITION for the exam and OGESELS - In the mobile application, Implay, Open Open Services Online Controls Contacts Checks and Contacts Insurance Consure Evaluate your credit The possibilities to use the QR -codal of the installation, enter the phone camera on the QR -KODO project of the project -Partner program of the agent -user agreement Politician Politicia of the Privacy of the Setanashi Expertsai Vacancies © 2009–2023 LLC "Reflasis". When using materials, a hyperlink on sravni.ru is required. TIN 7710718303 OGRN 1087746642774. 109544 Moscow Boulevard Enthusiasts House 26th floor "Reflasis.ru" operates activities in the IT field: the service provides online selection services as advertising organizations - partners in the Internet using COOKIE files In order to provide users with more opportunities when visiting the site sravni.ru. Read more about the conditions of use.</v>
      </c>
    </row>
    <row r="358">
      <c r="A358" s="1" t="s">
        <v>1146</v>
      </c>
      <c r="B358" s="1" t="s">
        <v>1147</v>
      </c>
      <c r="C358" s="1" t="s">
        <v>1215</v>
      </c>
      <c r="D358" s="1">
        <v>17.0</v>
      </c>
      <c r="E358" s="4" t="s">
        <v>1216</v>
      </c>
      <c r="F358" s="1" t="s">
        <v>43</v>
      </c>
      <c r="I358" s="2">
        <v>1.0</v>
      </c>
      <c r="J358" s="5" t="str">
        <f>IFERROR(__xludf.DUMMYFUNCTION("GOOGLETRANSLATE(A358)"),"diary RU")</f>
        <v>diary RU</v>
      </c>
      <c r="K358" s="6" t="str">
        <f>IFERROR(__xludf.DUMMYFUNCTION("GOOGLETRANSLATE(B358)"),"Diary RU")</f>
        <v>Diary RU</v>
      </c>
      <c r="L358" s="5" t="str">
        <f>IFERROR(__xludf.DUMMYFUNCTION("GOOGLETRANSLATE(C358)"),"Authorization in Diary.ru for users of the Irkutsk region · The availability of a standard or confirmed account on the public services portal (register for ...")</f>
        <v>Authorization in Diary.ru for users of the Irkutsk region · The availability of a standard or confirmed account on the public services portal (register for ...</v>
      </c>
      <c r="M358" s="5" t="str">
        <f>IFERROR(__xludf.DUMMYFUNCTION("GOOGLETRANSLATE(G358)"),"#VALUE!")</f>
        <v>#VALUE!</v>
      </c>
    </row>
    <row r="359">
      <c r="A359" s="1" t="s">
        <v>1146</v>
      </c>
      <c r="B359" s="1" t="s">
        <v>1217</v>
      </c>
      <c r="C359" s="1" t="s">
        <v>1206</v>
      </c>
      <c r="D359" s="1">
        <v>28.0</v>
      </c>
      <c r="E359" s="4" t="s">
        <v>1207</v>
      </c>
      <c r="F359" s="1" t="s">
        <v>43</v>
      </c>
      <c r="G359" s="1" t="s">
        <v>448</v>
      </c>
      <c r="H359" s="4" t="s">
        <v>449</v>
      </c>
      <c r="I359" s="2">
        <v>1.0</v>
      </c>
      <c r="J359" s="5" t="str">
        <f>IFERROR(__xludf.DUMMYFUNCTION("GOOGLETRANSLATE(A359)"),"diary RU")</f>
        <v>diary RU</v>
      </c>
      <c r="K359" s="6" t="str">
        <f>IFERROR(__xludf.DUMMYFUNCTION("GOOGLETRANSLATE(B359)"),"Vacancies of the company Diary.ru - work in St.")</f>
        <v>Vacancies of the company Diary.ru - work in St.</v>
      </c>
      <c r="L359" s="5" t="str">
        <f>IFERROR(__xludf.DUMMYFUNCTION("GOOGLETRANSLATE(C359)"),"Work in the company Dote.ru. Information about the company and all open vacancies in St. Petersburg, Moscow.")</f>
        <v>Work in the company Dote.ru. Information about the company and all open vacancies in St. Petersburg, Moscow.</v>
      </c>
      <c r="M359" s="5" t="str">
        <f>IFERROR(__xludf.DUMMYFUNCTION("GOOGLETRANSLATE(G359)"),"Work in Moscow Search for personnel and publishing vacancies - HH.ru. Working with our site, you need to include JavaScript in your browser. Curi -mosquito -workers, ready -made resumes -wise advice, help, work to make a resumes -winging system finding an"&amp;" employee 65,757 425 haste1 4102 vacancies2 088 561 compliance with the phone so that employers can offer you work to confirm to confirm that you do not introduce the text from the picture: the other text of the text “continue” you confirm that you are fa"&amp;"miliarized with the “Agreement on the provision of assistance in employment (Offer)” Vacancies of the day of the day 7649 Vacanceism of the house83707 Vacancies 72000 to 89 000 000 ₽Rabotahr Moscow employee restaurant 50,000 to 70000 ₽ Dododo pizza (DPM N"&amp;"orth) Moskvalichny assistant psychologist 50,000 to 250,000 ₽ Guphanina Alina Borisovna Moskovaristat 74000 to 91000 ₽ Fleet Moscow Administrator in the hot yogi -2000 to 50,000 ₽Bikram .ru Yoga Moskvalichny driver 100,000 to 120,000 ₽ Hihitrova Anastasia"&amp;" Viktorovna Moskvannoye seller-cashier/Administrator 60,000 ₽ Bukhaev Yusup Sydemyeva Moskvypskor (guard) in the clinic 80,000 to 80,000 ₽ Krapetvei ₽ Defeditrum 87 000 to 121000 ₽rabotahr Moscow Moscow 60,000 to 140,000 ₽ Bukhaev Yusup Saidemeyeva Moscow"&amp;" -Semey driver to 1,20,000 to 140,000 ₽ INSITS Moskovo View all work in the Moscow Automobile Administrative Personnel Safe and Medium Management of the Raw Personnel Management Service -Schools Logiiiscence of entertainment of mass mediamarketing adverti"&amp;"sing PRMMedicin pharmaceuticals Education Production Service Service Service Production Service Maintenance Worker Personnel Trade Trade Clubs Fitness Salons Beauty Strategia Investment Consulting Storestroe Real Estate Sports Transportation Transportuisc"&amp;"ent Hotel Restaurant Management by personnel Training and Office of the Emergenary Gholoset in the rating 000 000 and more work in November with daily payments-welding November with a salary of 150 000 ₽ Vacancia November for managers with a salary of 150"&amp;" 000 ₽, not to spoil the impression of themselves with activity in social networks, to become an accountant from scratch ""R-Farm"": to live a full life and benefit people ""Pentorochka"": how to become the owner of a business and workshop for programmers"&amp;" for engineering for engineering for engineering for engineering The sales manager for directorship for administrator work for marketer work for design will be designed for lawyers in other cities in the Zagoryansk work in Moscow work in prompt work in lo"&amp;"ng -term work in driving work in shopatin work in Bobrov work in Mytishchkhnich work in the Khimki -work in Russia, most of the life of almost every of us. But nothing forever: it happens that one day you have to change the place of work and plunge with y"&amp;"our head in search of vacancies - I want to find a good alternative to the current position. Often when changing work, we think not only about changing the company but also about changing professional activities. And it is at these moments that the questi"&amp;"on arises: “How to find a good job in Moscow now? And most importantly, what should this work be? ”Showing it completely to solve such issues easily and quickly just go to hh.ru! On our website you can always find out the latest labor market news and also"&amp;" study a fresh review of salaries with which it is easy to evaluate what Positions should be aiming. If you have already determined the vacancies of which specialties you are interested in only you can create a resume and start searching for a dream work!"&amp;" It is most convenient to look for a job using our vacancies catalog: by clicking in the mouse, you will get a list of relevant and high -quality vacancies in the Moscow or other region of Russia. But this is not the only option for searching for work. On"&amp;" our site you can create an attractive resume and vacancies will begin to flock to you! And having combined both of these methods, you can get the fastest and most importantly effective way to search for work! Create a summary of the application vacancies"&amp;" answers to responses and access to a resume - always at your fingertips. Just enter the phone camera on the QR-CODDHUNTERO company of the company's vacancies for the site of the personal data of personal data-safety Headhunteretika and complianceheadHunt"&amp;"er Apartneadhunter of the provision of the service of the use of the site and articles of labor in the company of Russian serial workshops SE for applicants for reservations Service Prophorus. Processing Summies Summary for you to work for a production ca"&amp;"lendar expert recommendation with a young specialist for young specialists of the School School School Upon -residents of employees, consonant of the company, by professionals, near the metro notification in the Messengeryswitch to English © 2023 Hadhante"&amp;"r LLC, HH.ru information resource applies (information technologies for the provision of information on the systematization and analysis of information related to the preferences of users of the Internet. Russian Federation) Today on the site 1410102 vaca"&amp;"ncies 65757425 resume 2088561 Company and in a week 3611017 invitations subscribe to the Push notifications of HH.ru now subscribe now")</f>
        <v>Work in Moscow Search for personnel and publishing vacancies - HH.ru. Working with our site, you need to include JavaScript in your browser. Curi -mosquito -workers, ready -made resumes -wise advice, help, work to make a resumes -winging system finding an employee 65,757 425 haste1 4102 vacancies2 088 561 compliance with the phone so that employers can offer you work to confirm to confirm that you do not introduce the text from the picture: the other text of the text “continue” you confirm that you are familiarized with the “Agreement on the provision of assistance in employment (Offer)” Vacancies of the day of the day 7649 Vacanceism of the house83707 Vacancies 72000 to 89 000 000 ₽Rabotahr Moscow employee restaurant 50,000 to 70000 ₽ Dododo pizza (DPM North) Moskvalichny assistant psychologist 50,000 to 250,000 ₽ Guphanina Alina Borisovna Moskovaristat 74000 to 91000 ₽ Fleet Moscow Administrator in the hot yogi -2000 to 50,000 ₽Bikram .ru Yoga Moskvalichny driver 100,000 to 120,000 ₽ Hihitrova Anastasia Viktorovna Moskvannoye seller-cashier/Administrator 60,000 ₽ Bukhaev Yusup Sydemyeva Moskvypskor (guard) in the clinic 80,000 to 80,000 ₽ Krapetvei ₽ Defeditrum 87 000 to 121000 ₽rabotahr Moscow Moscow 60,000 to 140,000 ₽ Bukhaev Yusup Saidemeyeva Moscow -Semey driver to 1,20,000 to 140,000 ₽ INSITS Moskovo View all work in the Moscow Automobile Administrative Personnel Safe and Medium Management of the Raw Personnel Management Service -Schools Logiiiscence of entertainment of mass mediamarketing advertising PRMMedicin pharmaceuticals Education Production Service Service Service Production Service Maintenance Worker Personnel Trade Trade Clubs Fitness Salons Beauty Strategia Investment Consulting Storestroe Real Estate Sports Transportation Transportuiscent Hotel Restaurant Management by personnel Training and Office of the Emergenary Gholoset in the rating 000 000 and more work in November with daily payments-welding November with a salary of 150 000 ₽ Vacancia November for managers with a salary of 150 000 ₽, not to spoil the impression of themselves with activity in social networks, to become an accountant from scratch "R-Farm": to live a full life and benefit people "Pentorochka": how to become the owner of a business and workshop for programmers for engineering for engineering for engineering for engineering The sales manager for directorship for administrator work for marketer work for design will be designed for lawyers in other cities in the Zagoryansk work in Moscow work in prompt work in long -term work in driving work in shopatin work in Bobrov work in Mytishchkhnich work in the Khimki -work in Russia, most of the life of almost every of us. But nothing forever: it happens that one day you have to change the place of work and plunge with your head in search of vacancies - I want to find a good alternative to the current position. Often when changing work, we think not only about changing the company but also about changing professional activities. And it is at these moments that the question arises: “How to find a good job in Moscow now? And most importantly, what should this work be? ”Showing it completely to solve such issues easily and quickly just go to hh.ru! On our website you can always find out the latest labor market news and also study a fresh review of salaries with which it is easy to evaluate what Positions should be aiming. If you have already determined the vacancies of which specialties you are interested in only you can create a resume and start searching for a dream work! It is most convenient to look for a job using our vacancies catalog: by clicking in the mouse, you will get a list of relevant and high -quality vacancies in the Moscow or other region of Russia. But this is not the only option for searching for work. On our site you can create an attractive resume and vacancies will begin to flock to you! And having combined both of these methods, you can get the fastest and most importantly effective way to search for work! Create a summary of the application vacancies answers to responses and access to a resume - always at your fingertips. Just enter the phone camera on the QR-CODDHUNTERO company of the company's vacancies for the site of the personal data of personal data-safety Headhunteretika and complianceheadHunter Apartneadhunter of the provision of the service of the use of the site and articles of labor in the company of Russian serial workshops SE for applicants for reservations Service Prophorus. Processing Summies Summary for you to work for a production calendar expert recommendation with a young specialist for young specialists of the School School School Upon -residents of employees, consonant of the company, by professionals, near the metro notification in the Messengeryswitch to English © 2023 Hadhanter LLC, HH.ru information resource applies (information technologies for the provision of information on the systematization and analysis of information related to the preferences of users of the Internet. Russian Federation) Today on the site 1410102 vacancies 65757425 resume 2088561 Company and in a week 3611017 invitations subscribe to the Push notifications of HH.ru now subscribe now</v>
      </c>
    </row>
    <row r="360">
      <c r="A360" s="1" t="s">
        <v>1146</v>
      </c>
      <c r="B360" s="1" t="s">
        <v>1147</v>
      </c>
      <c r="C360" s="1" t="s">
        <v>1210</v>
      </c>
      <c r="D360" s="1">
        <v>30.0</v>
      </c>
      <c r="E360" s="4" t="s">
        <v>1211</v>
      </c>
      <c r="F360" s="1" t="s">
        <v>43</v>
      </c>
      <c r="G360" s="1" t="s">
        <v>1212</v>
      </c>
      <c r="H360" s="4" t="s">
        <v>1213</v>
      </c>
      <c r="I360" s="2">
        <v>1.0</v>
      </c>
      <c r="J360" s="5" t="str">
        <f>IFERROR(__xludf.DUMMYFUNCTION("GOOGLETRANSLATE(A360)"),"diary RU")</f>
        <v>diary RU</v>
      </c>
      <c r="K360" s="6" t="str">
        <f>IFERROR(__xludf.DUMMYFUNCTION("GOOGLETRANSLATE(B360)"),"Diary RU")</f>
        <v>Diary RU</v>
      </c>
      <c r="L360" s="5" t="str">
        <f>IFERROR(__xludf.DUMMYFUNCTION("GOOGLETRANSLATE(C360)"),"Diary.ru · Diary.ru - students · student diary - Diary. · Educational resources - online library contains almost all works that ...")</f>
        <v>Diary.ru · Diary.ru - students · student diary - Diary. · Educational resources - online library contains almost all works that ...</v>
      </c>
      <c r="M360" s="5" t="str">
        <f>IFERROR(__xludf.DUMMYFUNCTION("GOOGLETRANSLATE(G360)"),"School No. 36 Veliky Novgorod Site MAOU ""School No. 36"" is located at: https: //sh36-velikij-novgorod-r49.gosuslugi.ru/ Forequisitive communications for additional grades 5, grades77 -grades 9th grades10, grades1111, literature for summer reading, schoo"&amp;"l forms of SEARTIONAL behavior on the rules of road traffic on the rules of the road, security behavior at the objects of railway transportation and security measures on the reservoir in the autumn-winter duration of the use of pyrotechnicians. Little que"&amp;"stions for a minute for arriving from the territories of the DPR and LPR (legal representatives) of students in the 1st class in grade 1 in grade 10 in school-paying hot foods of primary class students Excellecontrol for the nutritional nouriseter for add"&amp;"itional education, the schedule of calls for 2022-2023 Tutorial year of distribution of consultation consultations Consults GIA - 9GIA - 11 support in development School-Mamathal supports Blackmarks for Documents to the school uniform, leave the children "&amp;"unattended the parental heart! News of the exploration of the Office of the Offenses of the Offenses of emotional dysfunction and suicidal intentions of social and pedagogical training of students of 9 11th grades for passing the examination Tactful secur"&amp;"ity of information about the educational organization Information security of the Center for Digital Education of Children “IT-Cub »The Center for Natural Science Education Derzhavin and I am the center of additional education Svetlana Borisovna -Director"&amp;" MAOU"" School No. 36 ""about School 2017, school No. 36 opened its doors for 1350 boys and girls who want to plunge into the world of possibilities of those wishing to understand and master the new one to express their own thoughts to make decisions To h"&amp;"elp each other. Nash the school is a high -tech educational institution in which technical teaching aids are combined with modern teaching technologies. This is a school in which today there is everything you need: multimedia complexes Interactive boards "&amp;"computers Plasma panels Lingapon Cabinet Developing training complexes Research laboratories and studio where a special emotionally attractive environment is created. Want to know about the school more to become a member of the construction of a modern di"&amp;"gital school? Come to study at our school! Ads! Viral hepatitis of viral hepatitis in matters and the answer healing camp of the work of the World of My Opportunities ""Dear Parents (legal representatives)! In June 1, he begins his work The school camp “T"&amp;"he World of My Opportunities” 8.30 is a meeting of children at the porch of the school. The educators will have a sign with the detachment number in which the classes that are included in this detachment will be indicated. The child has a child: replaceab"&amp;"le head cleaning shoes for records of a pencil case with accessories if the child is not a student of school No. 36, then it is necessary to bring a medical certificate. 1 detachment - students 1 A class + pre -school2 detachment - students 1B class + 1k "&amp;"class3 detachment - students 1 l class + 1 m class + students from the schools of the city4 detachment - students 2V class + 2m class5 - students 2B class + 2A class + 2l Class + 2K class + students from schools in the city6 Squad-students of 3 classes7 d"&amp;"etachment-students of 4 classes8 detachment-students of the 5th and 6th grades of the reception of children in grade 1 in 2023 in the Novgorod region !!! In order to submit an application for enrollment to the first grade on March 15 from 15:00, go to pub"&amp;"lic services on the link -www.gosuslugi.ru/600426kak submit an application on the public services website: to register or have an account on the public services website from March 15 to go to the public services website and Fill out a draft application fo"&amp;"r acceptance on March23 at 00.00 Send a notice to receive a notification to the email address. Assignment will receive from public services to a single automated system (AIS) and will be registered in the journal of accepting applications at school. Maint"&amp;"ened parents of future first -graders! Acceptance of children's education in first grade In an extraordinary and priority, having the right to preemptive admission as well as living in the fixed territory begins on March 23, 2023: at 00:00 on the public s"&amp;"ervices website from 09:00 in the MFC and at the school at a personal visit, we will inform you that the submission of applications for admission in grade 2023- 2024 academic year at the school will be held according to the schedule: 23 March 2023 from 09"&amp;".00 to 17.00 without a break of the office. 429.24 27 and March 28, 2023 - from 09.00 to 17.00 in the reception room (2nd floor). S. March 29, 2023, a full -time visit to submit applications will be carried out from 15.00 to 17.00 in the reception (2nd fl"&amp;"oor). Information on the territories assigned to schools can be found out On the sites of the management of the education of urban and municipal districts of the municipal regions of the region. How to submit an application on the public services website:"&amp;" to register or have an account on the public service website on March 15 to go to the public services website and fill out a draft application on March23 at 00.00 Send a notice to electronic The address of public services will be received from the public"&amp;" services website to a unified automated system (AIS) and will be registered in the journal of accepting applications at the school. On March 15, 2023, the Ministry of Education of the Novgorod Region will begin to work a hotline phone for children in gra"&amp;"de 1: 8,8162- 50-10-10. Monday: Friday from 09.00 to 13.00 from 14.00 to 17.00. Rupped the behavior and procedure of the population when receiving the signal ""Attention to everyone!"" Transfer of the vacation of parents (legal representatives)! Additiona"&amp;"l holidays for students of the 1st grades are transferred for the period from 06.02.02.02 .2023 to 12.02.2023 In connection with the need to conduct preventive measures to prevent influenza and acute respiratory viral infections. The holidays were agreed "&amp;"with the founder. Netnesses on March 03, 2023 rule the reception of children in the first grade in the Novgorod region on January 17, 2023, the teacher of the general enlightenment teacher of the Education was awarded The departmental reward to the teache"&amp;"r of OBZH Gennady Starunov on October 01, 2022 The new places were opened on October 1, 2022 in our school, a solemn event was held on the opening of the newly created places of additional education of children ... September 20, 2022anketing of parents of"&amp;" students of students of 8 9th grades on the organization of career guidance on May 20 2022 A guests of the fairy -tale dedicated to the cultural heritage of the Novgorod Territory and the Novgorod tales on April 26, 2022222 22 22 222222s on May 03 June 2"&amp;"022 begins to participate in the All -Russian Olympiad of schoolchildren on April 01, 2022 Office of the professional skill of the city competition of professional skills on February 15, 2022fest Val ""Visiting a fairy tale »The fairy tale is the festival"&amp;""" Visiting the Tale ""the great Ustyug! February 15, 2022 Old Microphone Project"" Golden Microphone. 3 season ”All we are coming together there are proposals for organizing the educational process or do you know how to make a school better? Write about "&amp;"the problem of the Calendar of events &lt;&lt; November 2023 &gt;&gt; PNVTSRCHTTSBVS 1 2 3 4 5 5 6 7 8 9 10 11 12 12 13 15 15 16 18 18 191 19 20 22 22 22 26 27 29 30 Useful reference all photo On the site with the consent of their owning law © MAOU ""School No. 36"" "&amp;"Creation of the site - 3xweb")</f>
        <v>School No. 36 Veliky Novgorod Site MAOU "School No. 36" is located at: https: //sh36-velikij-novgorod-r49.gosuslugi.ru/ Forequisitive communications for additional grades 5, grades77 -grades 9th grades10, grades1111, literature for summer reading, school forms of SEARTIONAL behavior on the rules of road traffic on the rules of the road, security behavior at the objects of railway transportation and security measures on the reservoir in the autumn-winter duration of the use of pyrotechnicians. Little questions for a minute for arriving from the territories of the DPR and LPR (legal representatives) of students in the 1st class in grade 1 in grade 10 in school-paying hot foods of primary class students Excellecontrol for the nutritional nouriseter for additional education, the schedule of calls for 2022-2023 Tutorial year of distribution of consultation consultations Consults GIA - 9GIA - 11 support in development School-Mamathal supports Blackmarks for Documents to the school uniform, leave the children unattended the parental heart! News of the exploration of the Office of the Offenses of the Offenses of emotional dysfunction and suicidal intentions of social and pedagogical training of students of 9 11th grades for passing the examination Tactful security of information about the educational organization Information security of the Center for Digital Education of Children “IT-Cub »The Center for Natural Science Education Derzhavin and I am the center of additional education Svetlana Borisovna -Director MAOU" School No. 36 "about School 2017, school No. 36 opened its doors for 1350 boys and girls who want to plunge into the world of possibilities of those wishing to understand and master the new one to express their own thoughts to make decisions To help each other. Nash the school is a high -tech educational institution in which technical teaching aids are combined with modern teaching technologies. This is a school in which today there is everything you need: multimedia complexes Interactive boards computers Plasma panels Lingapon Cabinet Developing training complexes Research laboratories and studio where a special emotionally attractive environment is created. Want to know about the school more to become a member of the construction of a modern digital school? Come to study at our school! Ads! Viral hepatitis of viral hepatitis in matters and the answer healing camp of the work of the World of My Opportunities "Dear Parents (legal representatives)! In June 1, he begins his work The school camp “The World of My Opportunities” 8.30 is a meeting of children at the porch of the school. The educators will have a sign with the detachment number in which the classes that are included in this detachment will be indicated. The child has a child: replaceable head cleaning shoes for records of a pencil case with accessories if the child is not a student of school No. 36, then it is necessary to bring a medical certificate. 1 detachment - students 1 A class + pre -school2 detachment - students 1B class + 1k class3 detachment - students 1 l class + 1 m class + students from the schools of the city4 detachment - students 2V class + 2m class5 - students 2B class + 2A class + 2l Class + 2K class + students from schools in the city6 Squad-students of 3 classes7 detachment-students of 4 classes8 detachment-students of the 5th and 6th grades of the reception of children in grade 1 in 2023 in the Novgorod region !!! In order to submit an application for enrollment to the first grade on March 15 from 15:00, go to public services on the link -www.gosuslugi.ru/600426kak submit an application on the public services website: to register or have an account on the public services website from March 15 to go to the public services website and Fill out a draft application for acceptance on March23 at 00.00 Send a notice to receive a notification to the email address. Assignment will receive from public services to a single automated system (AIS) and will be registered in the journal of accepting applications at school. Maintened parents of future first -graders! Acceptance of children's education in first grade In an extraordinary and priority, having the right to preemptive admission as well as living in the fixed territory begins on March 23, 2023: at 00:00 on the public services website from 09:00 in the MFC and at the school at a personal visit, we will inform you that the submission of applications for admission in grade 2023- 2024 academic year at the school will be held according to the schedule: 23 March 2023 from 09.00 to 17.00 without a break of the office. 429.24 27 and March 28, 2023 - from 09.00 to 17.00 in the reception room (2nd floor). S. March 29, 2023, a full -time visit to submit applications will be carried out from 15.00 to 17.00 in the reception (2nd floor). Information on the territories assigned to schools can be found out On the sites of the management of the education of urban and municipal districts of the municipal regions of the region. How to submit an application on the public services website: to register or have an account on the public service website on March 15 to go to the public services website and fill out a draft application on March23 at 00.00 Send a notice to electronic The address of public services will be received from the public services website to a unified automated system (AIS) and will be registered in the journal of accepting applications at the school. On March 15, 2023, the Ministry of Education of the Novgorod Region will begin to work a hotline phone for children in grade 1: 8,8162- 50-10-10. Monday: Friday from 09.00 to 13.00 from 14.00 to 17.00. Rupped the behavior and procedure of the population when receiving the signal "Attention to everyone!" Transfer of the vacation of parents (legal representatives)! Additional holidays for students of the 1st grades are transferred for the period from 06.02.02.02 .2023 to 12.02.2023 In connection with the need to conduct preventive measures to prevent influenza and acute respiratory viral infections. The holidays were agreed with the founder. Netnesses on March 03, 2023 rule the reception of children in the first grade in the Novgorod region on January 17, 2023, the teacher of the general enlightenment teacher of the Education was awarded The departmental reward to the teacher of OBZH Gennady Starunov on October 01, 2022 The new places were opened on October 1, 2022 in our school, a solemn event was held on the opening of the newly created places of additional education of children ... September 20, 2022anketing of parents of students of students of 8 9th grades on the organization of career guidance on May 20 2022 A guests of the fairy -tale dedicated to the cultural heritage of the Novgorod Territory and the Novgorod tales on April 26, 2022222 22 22 222222s on May 03 June 2022 begins to participate in the All -Russian Olympiad of schoolchildren on April 01, 2022 Office of the professional skill of the city competition of professional skills on February 15, 2022fest Val "Visiting a fairy tale »The fairy tale is the festival" Visiting the Tale "the great Ustyug! February 15, 2022 Old Microphone Project" Golden Microphone. 3 season ”All we are coming together there are proposals for organizing the educational process or do you know how to make a school better? Write about the problem of the Calendar of events &lt;&lt; November 2023 &gt;&gt; PNVTSRCHTTSBVS 1 2 3 4 5 5 6 7 8 9 10 11 12 12 13 15 15 16 18 18 191 19 20 22 22 22 26 27 29 30 Useful reference all photo On the site with the consent of their owning law © MAOU "School No. 36" Creation of the site - 3xweb</v>
      </c>
    </row>
    <row r="361">
      <c r="A361" s="1" t="s">
        <v>1218</v>
      </c>
      <c r="B361" s="1" t="s">
        <v>1219</v>
      </c>
      <c r="C361" s="1" t="s">
        <v>1220</v>
      </c>
      <c r="D361" s="1">
        <v>1.0</v>
      </c>
      <c r="E361" s="4" t="s">
        <v>1221</v>
      </c>
      <c r="F361" s="1" t="s">
        <v>16</v>
      </c>
      <c r="I361" s="2">
        <v>3.0</v>
      </c>
      <c r="J361" s="5" t="str">
        <f>IFERROR(__xludf.DUMMYFUNCTION("GOOGLETRANSLATE(A361)"),"DNS")</f>
        <v>DNS</v>
      </c>
      <c r="K361" s="6" t="str">
        <f>IFERROR(__xludf.DUMMYFUNCTION("GOOGLETRANSLATE(B361)"),"DNS - online store of digital and household appliances for ...")</f>
        <v>DNS - online store of digital and household appliances for ...</v>
      </c>
      <c r="L361" s="5" t="str">
        <f>IFERROR(__xludf.DUMMYFUNCTION("GOOGLETRANSLATE(C361)"),"A large assortment of electronics, digital and household appliances, as well as home goods, well-known brands in the DNS online store at excellent prices.")</f>
        <v>A large assortment of electronics, digital and household appliances, as well as home goods, well-known brands in the DNS online store at excellent prices.</v>
      </c>
      <c r="M361" s="5" t="str">
        <f>IFERROR(__xludf.DUMMYFUNCTION("GOOGLETRANSLATE(G361)"),"#VALUE!")</f>
        <v>#VALUE!</v>
      </c>
    </row>
    <row r="362">
      <c r="A362" s="1" t="s">
        <v>1218</v>
      </c>
      <c r="B362" s="1" t="s">
        <v>1222</v>
      </c>
      <c r="C362" s="1" t="s">
        <v>1223</v>
      </c>
      <c r="D362" s="1">
        <v>2.0</v>
      </c>
      <c r="E362" s="4" t="s">
        <v>1224</v>
      </c>
      <c r="F362" s="1" t="s">
        <v>16</v>
      </c>
      <c r="G362" s="1" t="s">
        <v>34</v>
      </c>
      <c r="H362" s="4" t="s">
        <v>35</v>
      </c>
      <c r="I362" s="2">
        <v>3.0</v>
      </c>
      <c r="J362" s="5" t="str">
        <f>IFERROR(__xludf.DUMMYFUNCTION("GOOGLETRANSLATE(A362)"),"DNS")</f>
        <v>DNS</v>
      </c>
      <c r="K362" s="6" t="str">
        <f>IFERROR(__xludf.DUMMYFUNCTION("GOOGLETRANSLATE(B362)"),"DNS 2023 store chain")</f>
        <v>DNS 2023 store chain</v>
      </c>
      <c r="L362" s="5" t="str">
        <f>IFERROR(__xludf.DUMMYFUNCTION("GOOGLETRANSLATE(C362)"),"The official page of the company. DNS is one of the leaders of the digital retail of Russia. In 1998, the company opened its first computer store in the city ...")</f>
        <v>The official page of the company. DNS is one of the leaders of the digital retail of Russia. In 1998, the company opened its first computer store in the city ...</v>
      </c>
      <c r="M362" s="5" t="str">
        <f>IFERROR(__xludf.DUMMYFUNCTION("GOOGLETRANSLATE(G362)"),"VK.com | VKYour browser is out of dateThis may cause VK to work slowly or experience errors.Update your browser or install one of the following:ChromeOperaFirefox")</f>
        <v>VK.com | VKYour browser is out of dateThis may cause VK to work slowly or experience errors.Update your browser or install one of the following:ChromeOperaFirefox</v>
      </c>
    </row>
    <row r="363">
      <c r="A363" s="1" t="s">
        <v>1218</v>
      </c>
      <c r="B363" s="1" t="s">
        <v>1225</v>
      </c>
      <c r="C363" s="1" t="s">
        <v>1226</v>
      </c>
      <c r="D363" s="1">
        <v>3.0</v>
      </c>
      <c r="E363" s="4" t="s">
        <v>1227</v>
      </c>
      <c r="F363" s="1" t="s">
        <v>16</v>
      </c>
      <c r="G363" s="1" t="s">
        <v>31</v>
      </c>
      <c r="H363" s="4" t="s">
        <v>32</v>
      </c>
      <c r="I363" s="2">
        <v>1.0</v>
      </c>
      <c r="J363" s="5" t="str">
        <f>IFERROR(__xludf.DUMMYFUNCTION("GOOGLETRANSLATE(A363)"),"DNS")</f>
        <v>DNS</v>
      </c>
      <c r="K363" s="6" t="str">
        <f>IFERROR(__xludf.DUMMYFUNCTION("GOOGLETRANSLATE(B363)"),"DNS - Wikipedia")</f>
        <v>DNS - Wikipedia</v>
      </c>
      <c r="L363" s="5" t="str">
        <f>IFERROR(__xludf.DUMMYFUNCTION("GOOGLETRANSLATE(C363)"),"DNS (Eng. Domain Name System ""Demole System"") - a computer distributed system for obtaining information about domains. Most often used for ...")</f>
        <v>DNS (Eng. Domain Name System "Demole System") - a computer distributed system for obtaining information about domains. Most often used for ...</v>
      </c>
      <c r="M363" s="5" t="str">
        <f>IFERROR(__xludf.DUMMYFUNCTION("GOOGLETRANSLATE(G363)"),"Wikipedia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64">
      <c r="A364" s="1" t="s">
        <v>1218</v>
      </c>
      <c r="B364" s="1" t="s">
        <v>1228</v>
      </c>
      <c r="C364" s="1" t="s">
        <v>1229</v>
      </c>
      <c r="D364" s="1">
        <v>4.0</v>
      </c>
      <c r="E364" s="4" t="s">
        <v>1230</v>
      </c>
      <c r="F364" s="1" t="s">
        <v>16</v>
      </c>
      <c r="I364" s="2">
        <v>3.0</v>
      </c>
      <c r="J364" s="5" t="str">
        <f>IFERROR(__xludf.DUMMYFUNCTION("GOOGLETRANSLATE(A364)"),"DNS")</f>
        <v>DNS</v>
      </c>
      <c r="K364" s="6" t="str">
        <f>IFERROR(__xludf.DUMMYFUNCTION("GOOGLETRANSLATE(B364)"),"DNS shops in Vladivostok on the map")</f>
        <v>DNS shops in Vladivostok on the map</v>
      </c>
      <c r="L364" s="5" t="str">
        <f>IFERROR(__xludf.DUMMYFUNCTION("GOOGLETRANSLATE(C364)"),"DNS shops: addresses on the map, ☎ phones, sites, hours of work, ☆ reviews, photos, ⚑ Search for travel by city transport and cars.")</f>
        <v>DNS shops: addresses on the map, ☎ phones, sites, hours of work, ☆ reviews, photos, ⚑ Search for travel by city transport and cars.</v>
      </c>
      <c r="M364" s="5" t="str">
        <f>IFERROR(__xludf.DUMMYFUNCTION("GOOGLETRANSLATE(G364)"),"#VALUE!")</f>
        <v>#VALUE!</v>
      </c>
    </row>
    <row r="365">
      <c r="A365" s="1" t="s">
        <v>1218</v>
      </c>
      <c r="B365" s="1" t="s">
        <v>1231</v>
      </c>
      <c r="C365" s="1" t="s">
        <v>1232</v>
      </c>
      <c r="D365" s="1">
        <v>5.0</v>
      </c>
      <c r="E365" s="4" t="s">
        <v>1233</v>
      </c>
      <c r="F365" s="1" t="s">
        <v>16</v>
      </c>
      <c r="I365" s="2">
        <v>3.0</v>
      </c>
      <c r="J365" s="5" t="str">
        <f>IFERROR(__xludf.DUMMYFUNCTION("GOOGLETRANSLATE(A365)"),"DNS")</f>
        <v>DNS</v>
      </c>
      <c r="K365" s="6" t="str">
        <f>IFERROR(__xludf.DUMMYFUNCTION("GOOGLETRANSLATE(B365)"),"DNS stores in Tyumen on the map")</f>
        <v>DNS stores in Tyumen on the map</v>
      </c>
      <c r="L365" s="5" t="str">
        <f>IFERROR(__xludf.DUMMYFUNCTION("GOOGLETRANSLATE(C365)"),"DNS stores: Addresses on the map, ☎ phones, sites, hours of work, ☆ reviews, photos, ⚑ Search for travel by city transport and cars.")</f>
        <v>DNS stores: Addresses on the map, ☎ phones, sites, hours of work, ☆ reviews, photos, ⚑ Search for travel by city transport and cars.</v>
      </c>
      <c r="M365" s="5" t="str">
        <f>IFERROR(__xludf.DUMMYFUNCTION("GOOGLETRANSLATE(G365)"),"#VALUE!")</f>
        <v>#VALUE!</v>
      </c>
    </row>
    <row r="366">
      <c r="A366" s="1" t="s">
        <v>1218</v>
      </c>
      <c r="B366" s="1" t="s">
        <v>1234</v>
      </c>
      <c r="D366" s="1">
        <v>6.0</v>
      </c>
      <c r="E366" s="4" t="s">
        <v>1235</v>
      </c>
      <c r="F366" s="1" t="s">
        <v>16</v>
      </c>
      <c r="I366" s="2">
        <v>3.0</v>
      </c>
      <c r="J366" s="5" t="str">
        <f>IFERROR(__xludf.DUMMYFUNCTION("GOOGLETRANSLATE(A366)"),"DNS")</f>
        <v>DNS</v>
      </c>
      <c r="K366" s="6" t="str">
        <f>IFERROR(__xludf.DUMMYFUNCTION("GOOGLETRANSLATE(B366)"),"DNS (DNS) Vladivostok: Online magazine. Catalog ...")</f>
        <v>DNS (DNS) Vladivostok: Online magazine. Catalog ...</v>
      </c>
      <c r="L366" s="5" t="str">
        <f>IFERROR(__xludf.DUMMYFUNCTION("GOOGLETRANSLATE(C366)"),"#VALUE!")</f>
        <v>#VALUE!</v>
      </c>
      <c r="M366" s="5" t="str">
        <f>IFERROR(__xludf.DUMMYFUNCTION("GOOGLETRANSLATE(G366)"),"#VALUE!")</f>
        <v>#VALUE!</v>
      </c>
    </row>
    <row r="367">
      <c r="A367" s="1" t="s">
        <v>1218</v>
      </c>
      <c r="B367" s="1" t="s">
        <v>1236</v>
      </c>
      <c r="C367" s="1" t="s">
        <v>1237</v>
      </c>
      <c r="D367" s="1">
        <v>7.0</v>
      </c>
      <c r="E367" s="4" t="s">
        <v>1238</v>
      </c>
      <c r="F367" s="1" t="s">
        <v>16</v>
      </c>
      <c r="G367" s="1" t="s">
        <v>336</v>
      </c>
      <c r="H367" s="4" t="s">
        <v>453</v>
      </c>
      <c r="I367" s="2">
        <v>3.0</v>
      </c>
      <c r="J367" s="5" t="str">
        <f>IFERROR(__xludf.DUMMYFUNCTION("GOOGLETRANSLATE(A367)"),"DNS")</f>
        <v>DNS</v>
      </c>
      <c r="K367" s="6" t="str">
        <f>IFERROR(__xludf.DUMMYFUNCTION("GOOGLETRANSLATE(B367)"),"Novosibirsk addresses of DNS stores in Novosibirsk on ...")</f>
        <v>Novosibirsk addresses of DNS stores in Novosibirsk on ...</v>
      </c>
      <c r="L367" s="5" t="str">
        <f>IFERROR(__xludf.DUMMYFUNCTION("GOOGLETRANSLATE(C367)"),"Novosibirsk Addresses of DNS stores in Novosibirsk, Yandex maps: phones, hours of work, photos, inputs, reviews how to get in transport or go on foot.")</f>
        <v>Novosibirsk Addresses of DNS stores in Novosibirsk, Yandex maps: phones, hours of work, photos, inputs, reviews how to get in transport or go on foot.</v>
      </c>
      <c r="M367" s="5" t="str">
        <f>IFERROR(__xludf.DUMMYFUNCTION("GOOGLETRANSLATE(G367)"),"Oh!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368">
      <c r="A368" s="1" t="s">
        <v>1218</v>
      </c>
      <c r="B368" s="1" t="s">
        <v>1239</v>
      </c>
      <c r="C368" s="1" t="s">
        <v>1240</v>
      </c>
      <c r="D368" s="1">
        <v>8.0</v>
      </c>
      <c r="E368" s="4" t="s">
        <v>1241</v>
      </c>
      <c r="F368" s="1" t="s">
        <v>16</v>
      </c>
      <c r="G368" s="1" t="s">
        <v>1239</v>
      </c>
      <c r="H368" s="4" t="s">
        <v>1242</v>
      </c>
      <c r="I368" s="2">
        <v>3.0</v>
      </c>
      <c r="J368" s="5" t="str">
        <f>IFERROR(__xludf.DUMMYFUNCTION("GOOGLETRANSLATE(A368)"),"DNS")</f>
        <v>DNS</v>
      </c>
      <c r="K368" s="6" t="str">
        <f>IFERROR(__xludf.DUMMYFUNCTION("GOOGLETRANSLATE(B368)"),"DNS Group - DNS group of companies")</f>
        <v>DNS Group - DNS group of companies</v>
      </c>
      <c r="L368" s="5" t="str">
        <f>IFERROR(__xludf.DUMMYFUNCTION("GOOGLETRANSLATE(C368)"),"DNS Group - We do more accessible goods and services, build modern housing and logistics complexes, develop production and training centers.")</f>
        <v>DNS Group - We do more accessible goods and services, build modern housing and logistics complexes, develop production and training centers.</v>
      </c>
      <c r="M368" s="5" t="str">
        <f>IFERROR(__xludf.DUMMYFUNCTION("GOOGLETRANSLATE(G368)"),"DNS Group - DNS group of companies")</f>
        <v>DNS Group - DNS group of companies</v>
      </c>
    </row>
    <row r="369">
      <c r="A369" s="1" t="s">
        <v>1218</v>
      </c>
      <c r="B369" s="1" t="s">
        <v>1243</v>
      </c>
      <c r="C369" s="1" t="s">
        <v>1244</v>
      </c>
      <c r="D369" s="1">
        <v>9.0</v>
      </c>
      <c r="E369" s="4" t="s">
        <v>1245</v>
      </c>
      <c r="F369" s="1" t="s">
        <v>16</v>
      </c>
      <c r="G369" s="1" t="s">
        <v>1246</v>
      </c>
      <c r="H369" s="4" t="s">
        <v>1247</v>
      </c>
      <c r="I369" s="2">
        <v>3.0</v>
      </c>
      <c r="J369" s="5" t="str">
        <f>IFERROR(__xludf.DUMMYFUNCTION("GOOGLETRANSLATE(A369)"),"DNS")</f>
        <v>DNS</v>
      </c>
      <c r="K369" s="6" t="str">
        <f>IFERROR(__xludf.DUMMYFUNCTION("GOOGLETRANSLATE(B369)"),"DNS - Krasnodar")</f>
        <v>DNS - Krasnodar</v>
      </c>
      <c r="L369" s="5" t="str">
        <f>IFERROR(__xludf.DUMMYFUNCTION("GOOGLETRANSLATE(C369)"),"DNS is one of the leaders in the market for the sale of digital and household appliances in Russia. Today it is represented in more than 400 cities. In the assortment of stores you ...")</f>
        <v>DNS is one of the leaders in the market for the sale of digital and household appliances in Russia. Today it is represented in more than 400 cities. In the assortment of stores you ...</v>
      </c>
      <c r="M369" s="5" t="str">
        <f>IFERROR(__xludf.DUMMYFUNCTION("GOOGLETRANSLATE(G369)"),"Trading Quarter ""City Center"" Krasnodar st. Red 176 88612012088 | Official website of the shopping center for sale stores discounts and promotions shops and supermarkets Rest and entertainment of cafes and restaurants of shopping. Krasnodar st. Red 1761"&amp;"0: 00-22: 008 (861) 201-20-88 menus of food in the online menu-menu food in the online menu is open from 10:00 to 22:00 Krasnodar st. Red 176 8 (861) 201-20-88 Support Service for the storefisha share aedmarket School-navigation service Support to order t"&amp;"o order food in the online menu to pay for the parking lot more fascinated in more detail Hand Made Market in the City Code of City City City City City City Complete Shoping all shops stores stores. us Women to men grow where to eat children to get over t"&amp;"he service for animals to go to all categories of Afishavce events 12.11 at 16:30 Maintain your team! 12.11 at 13:00 ""Sea Battle"" on the stage of the Fudmarket !11 Bardy evening -made Friday! 05.11 Musical evening 05:00 p.m. Children's interactive ""Aut"&amp;"umn holidays!"" Festive program 04.11 First Friday November! Bard of Saturday performances in November! All promotions and discounts of the promotion buy with a huge discount! From November 7, 2023 to November 19, 2023, give comfort to your pets! From Nov"&amp;"ember 8, 2023 to January 31, 2024 Discounts at Lady and Hooligan from November 5, 2023 to November 11, 2023 Favorite goods are more profitable with the Crossroads card! From November 7, 2023 to November 14, 2023, Promusic shopping day from November 11, 20"&amp;"23 to November 12, 2023 Favorable purchases with the Crossroads card! From October 31, 2023 to November 7, 2023, terribly beautiful smiles from October 30, 2023 to November 5, 2023 GIPFEL gives 1,500 purchases from October 31, 2023 to November 6, 2023 A n"&amp;"ew set of tea mugs! From October 25, 2023 to November 5, 2023 Halloween in DNS! From October 27, 2023 to December 8, 2023 All shares on the shopping center are in more detail this place of meeting and shopping for the whole family. The City Center has a c"&amp;"ozy interior and atmosphere where you can make purchases to relax in a cafe with friends. Sign up for a newsletter to keep an eye on promotions and news to subscribe by pressing the “Subscribe” button, I give my consent to process my personal data in acco"&amp;"rdance with the Federal Law of July 27, 2006 No. 152-ФЗ “On Personal Data” on the basis and for purposes Leave your e-mail certain in accordance with the processing of personal data and we will send you interesting news and the rally to eat restaurants br"&amp;"eakfast and sweet-worshipers Fastfood food nutrition of a European cuisine cuisine cuisine / Freshi / Cocktheiliva restaurants is all more details for ordering the food online to order everything you want more and more. Food online viewing the institution"&amp;"s of VKontakteCentergorodamam in a gift! We give a bouquet! More precisely, two bouquets at once !!!! Classic - from the flowers from the “Bouquet” shop “Bouquet” flower workshop and ... centergorodically brilliantly! We begin to prepare for the New Year'"&amp;"s Eve. No, no early. You asked us to make a selection of unusual but stylish outfits - ... Centergoroda and let the whole world wait. When it is important to hide in a comfortable house - there is Home Fashion @Home_Fashion23. Textiles and utensils for .."&amp;". Centergoroda Male shopping is quick shopping! And in our “City Center” we have such a store for decisive ... Centergoroda is a smile! Seeing ... with a detailed plan for the treatment of all teeth! In the Only Dent dentistry, the “Acquaintance with the "&amp;"Doctor” campaign has started. ... Centergoroda has time to put on all the best at once. Because it got cold! And for the top you already need a blouse on a blouse of a blouse on a blouse - can we start a Centergoroda raincoat at first? Trying! Open select"&amp;" - a new seasonal menu in the ""Bread Stories"" @breadstories, I soup - pumpkin with ... centergoroda with such requests - to us. In the only place in the city where you can buy shoes or an apartment where you can delicious ... Centergoroda -plate wears n"&amp;"ot only superheroes! We present a selection of the most relevant clothes for the fall! R rainches Trengi jackets. ... Centergoroda ""Forget all you knew about tea. We go to our new"" Give Tea ""store Daikha in the city center where they know about tea, th"&amp;"is is what is neither in ... to subscribe to the Reviews of Yaroslav Artsimovich A wonderful place! You can eat deliciously and eat tasty and eat and eat tasty and eat Buy something you need. Enterly entertained. Lyona Popova is a very beautiful shopping "&amp;"center. A lot of space and this is very cool. A good selection of stores! Valentina mikhaylo is always purely beautiful scenery on the street always children's slides and attractions. Many street foods for every taste. And a variety of stores Inside Tk. O"&amp;"lga Totskaya is a great place in the city. Stores products. Very beautiful restaurants of cafes. You will have a good rest. Ooksana pu classroom in the very center of the city. Many different shops and food zone can always have a delicious snack of love o"&amp;"f Ilyins. I will especially note a free children's town and underground parking lots on which the first two hours - free! Daria Polina atmospheric shopping centers in the center of several buildings. There is a food market of a cafe with various furniture"&amp;" -sergiga biryukovs almost the only place in which a resident of Novomishastskaya for a second represents himself in Milan. Well, so nice. It is necessary for such places more places to the city - the eye exclusively caresses such a kindergarten, an excel"&amp;"lent location of the underground parking is clean and accurately. The possibility of shopping in different categories of goods. A good place to hold a meeting and lunch. Sabina of Gubiev live over the most shopping center you feel in the epicenter of an a"&amp;"ctive mini -town in e - where to take a walk there is a cute courtyard where you can have a bite to eat and issue the delivery of the beauty salons of the crossroads near the gallery and the park. Kirill 10rd The unexpected location of the shopping center"&amp;" is very beautiful. You can take a walk and celebrate the holiday in some cafe. Alexander Samoshkin I like the fact that there are many those who you often see and you can take a walk with those who you love here a good gym center FIT TUNTER CINABON Resta"&amp;"urant, etc. Reviews of the city center - this ...? A convenient place for work and meetings to watch more than the tenant in Tkkontaktyl TKREPLIL TKREPLICE Politics Political Policy of Confidentiality for the processing of personal data-specific assessmen"&amp;"t of working conditions 8 (861) 201-20-88 Call me back © 2023 The City Center Trade quarter. Lotus Plus JSC Legal address: 350020 Krasnodar Territory G.O. City of Krasnodar G. Krasnodar st. Red d. 176 pp. And office 20 development of CT")</f>
        <v>Trading Quarter "City Center" Krasnodar st. Red 176 88612012088 | Official website of the shopping center for sale stores discounts and promotions shops and supermarkets Rest and entertainment of cafes and restaurants of shopping. Krasnodar st. Red 17610: 00-22: 008 (861) 201-20-88 menus of food in the online menu-menu food in the online menu is open from 10:00 to 22:00 Krasnodar st. Red 176 8 (861) 201-20-88 Support Service for the storefisha share aedmarket School-navigation service Support to order to order food in the online menu to pay for the parking lot more fascinated in more detail Hand Made Market in the City Code of City City City City City City Complete Shoping all shops stores stores. us Women to men grow where to eat children to get over the service for animals to go to all categories of Afishavce events 12.11 at 16:30 Maintain your team! 12.11 at 13:00 "Sea Battle" on the stage of the Fudmarket !11 Bardy evening -made Friday! 05.11 Musical evening 05:00 p.m. Children's interactive "Autumn holidays!" Festive program 04.11 First Friday November! Bard of Saturday performances in November! All promotions and discounts of the promotion buy with a huge discount! From November 7, 2023 to November 19, 2023, give comfort to your pets! From November 8, 2023 to January 31, 2024 Discounts at Lady and Hooligan from November 5, 2023 to November 11, 2023 Favorite goods are more profitable with the Crossroads card! From November 7, 2023 to November 14, 2023, Promusic shopping day from November 11, 2023 to November 12, 2023 Favorable purchases with the Crossroads card! From October 31, 2023 to November 7, 2023, terribly beautiful smiles from October 30, 2023 to November 5, 2023 GIPFEL gives 1,500 purchases from October 31, 2023 to November 6, 2023 A new set of tea mugs! From October 25, 2023 to November 5, 2023 Halloween in DNS! From October 27, 2023 to December 8, 2023 All shares on the shopping center are in more detail this place of meeting and shopping for the whole family. The City Center has a cozy interior and atmosphere where you can make purchases to relax in a cafe with friends. Sign up for a newsletter to keep an eye on promotions and news to subscribe by pressing the “Subscribe” button, I give my consent to process my personal data in accordance with the Federal Law of July 27, 2006 No. 152-ФЗ “On Personal Data” on the basis and for purposes Leave your e-mail certain in accordance with the processing of personal data and we will send you interesting news and the rally to eat restaurants breakfast and sweet-worshipers Fastfood food nutrition of a European cuisine cuisine cuisine / Freshi / Cocktheiliva restaurants is all more details for ordering the food online to order everything you want more and more. Food online viewing the institutions of VKontakteCentergorodamam in a gift! We give a bouquet! More precisely, two bouquets at once !!!! Classic - from the flowers from the “Bouquet” shop “Bouquet” flower workshop and ... centergorodically brilliantly! We begin to prepare for the New Year's Eve. No, no early. You asked us to make a selection of unusual but stylish outfits - ... Centergoroda and let the whole world wait. When it is important to hide in a comfortable house - there is Home Fashion @Home_Fashion23. Textiles and utensils for ... Centergoroda Male shopping is quick shopping! And in our “City Center” we have such a store for decisive ... Centergoroda is a smile! Seeing ... with a detailed plan for the treatment of all teeth! In the Only Dent dentistry, the “Acquaintance with the Doctor” campaign has started. ... Centergoroda has time to put on all the best at once. Because it got cold! And for the top you already need a blouse on a blouse of a blouse on a blouse - can we start a Centergoroda raincoat at first? Trying! Open select - a new seasonal menu in the "Bread Stories" @breadstories, I soup - pumpkin with ... centergoroda with such requests - to us. In the only place in the city where you can buy shoes or an apartment where you can delicious ... Centergoroda -plate wears not only superheroes! We present a selection of the most relevant clothes for the fall! R rainches Trengi jackets. ... Centergoroda "Forget all you knew about tea. We go to our new" Give Tea "store Daikha in the city center where they know about tea, this is what is neither in ... to subscribe to the Reviews of Yaroslav Artsimovich A wonderful place! You can eat deliciously and eat tasty and eat and eat tasty and eat Buy something you need. Enterly entertained. Lyona Popova is a very beautiful shopping center. A lot of space and this is very cool. A good selection of stores! Valentina mikhaylo is always purely beautiful scenery on the street always children's slides and attractions. Many street foods for every taste. And a variety of stores Inside Tk. Olga Totskaya is a great place in the city. Stores products. Very beautiful restaurants of cafes. You will have a good rest. Ooksana pu classroom in the very center of the city. Many different shops and food zone can always have a delicious snack of love of Ilyins. I will especially note a free children's town and underground parking lots on which the first two hours - free! Daria Polina atmospheric shopping centers in the center of several buildings. There is a food market of a cafe with various furniture -sergiga biryukovs almost the only place in which a resident of Novomishastskaya for a second represents himself in Milan. Well, so nice. It is necessary for such places more places to the city - the eye exclusively caresses such a kindergarten, an excellent location of the underground parking is clean and accurately. The possibility of shopping in different categories of goods. A good place to hold a meeting and lunch. Sabina of Gubiev live over the most shopping center you feel in the epicenter of an active mini -town in e - where to take a walk there is a cute courtyard where you can have a bite to eat and issue the delivery of the beauty salons of the crossroads near the gallery and the park. Kirill 10rd The unexpected location of the shopping center is very beautiful. You can take a walk and celebrate the holiday in some cafe. Alexander Samoshkin I like the fact that there are many those who you often see and you can take a walk with those who you love here a good gym center FIT TUNTER CINABON Restaurant, etc. Reviews of the city center - this ...? A convenient place for work and meetings to watch more than the tenant in Tkkontaktyl TKREPLIL TKREPLICE Politics Political Policy of Confidentiality for the processing of personal data-specific assessment of working conditions 8 (861) 201-20-88 Call me back © 2023 The City Center Trade quarter. Lotus Plus JSC Legal address: 350020 Krasnodar Territory G.O. City of Krasnodar G. Krasnodar st. Red d. 176 pp. And office 20 development of CT</v>
      </c>
    </row>
    <row r="370">
      <c r="A370" s="1" t="s">
        <v>1218</v>
      </c>
      <c r="B370" s="1" t="s">
        <v>1248</v>
      </c>
      <c r="C370" s="1" t="s">
        <v>1249</v>
      </c>
      <c r="D370" s="1">
        <v>10.0</v>
      </c>
      <c r="E370" s="4" t="s">
        <v>1250</v>
      </c>
      <c r="F370" s="1" t="s">
        <v>16</v>
      </c>
      <c r="G370" s="1" t="s">
        <v>1251</v>
      </c>
      <c r="H370" s="4" t="s">
        <v>1252</v>
      </c>
      <c r="I370" s="2">
        <v>3.0</v>
      </c>
      <c r="J370" s="5" t="str">
        <f>IFERROR(__xludf.DUMMYFUNCTION("GOOGLETRANSLATE(A370)"),"DNS")</f>
        <v>DNS</v>
      </c>
      <c r="K370" s="6" t="str">
        <f>IFERROR(__xludf.DUMMYFUNCTION("GOOGLETRANSLATE(B370)"),"DNS - Novosibirsk - Zoon.ru")</f>
        <v>DNS - Novosibirsk - Zoon.ru</v>
      </c>
      <c r="L370" s="5" t="str">
        <f>IFERROR(__xludf.DUMMYFUNCTION("GOOGLETRANSLATE(C370)"),"DNS in Novosibirsk: 61 institutions with addresses, reviews and photos. The most complete catalog of institutions with photos, ☎️ and reviews, a convenient search for places on the map.")</f>
        <v>DNS in Novosibirsk: 61 institutions with addresses, reviews and photos. The most complete catalog of institutions with photos, ☎️ and reviews, a convenient search for places on the map.</v>
      </c>
      <c r="M370" s="5" t="str">
        <f>IFERROR(__xludf.DUMMYFUNCTION("GOOGLETRANSLATE(G370)"),"Novosibirsk-City map with all organizations: Reviews photo rating How to get-Zoon Moskvasankt-Petersburgovosibirskskovsanburg Kazankitimobkiybiyshzhevyzhevnitsky Novgorodchelyabinsksamaraskstov-Donufakranskodiydoybright organization Convenient selection Z"&amp;"i baby clinic Analysis of blood Maternity Hospital Home Beauty Salon and Spamsage Manicure hairdresser Makeup haircut French French Manicure Pilling to watch more car service service a vehicle vehicle tinting toning toning auto -reference STOMISSITION STA"&amp;"TE COMPETITIONAL School Preparations School of Arts Sports School Courses for Higher Education Dancing School School School School School Bar Delivery Pizza Delivery Souss Teca dog nursery Castration cat Crumpid dogs Dogs Dog Cats Watch more saunas and a "&amp;"bathhouse -Banassene you can with your food Russian bathhouse public bath. Choosing brooms Infrared sauna Turkish bath to watch more service central commissions of mobile phones repair of Washing machines repair of air conditioner repair of cartridges to "&amp;"be more Для детейДетский лагерь Детская библиотека Подготовка к школе Детский санаторий Семейная школа Детский развлекательный центр Центр детского творчества 							Смотреть больше							Развлекательные центрыПарки Бассейн Пляж Лабиринт Аквапарк Катки Ци"&amp;"рки 							Смотреть больше							Фитнес клубыТренажёрный зал Боевые искусства Аэробика Пилатес Пауэрлифтинг Кроссфит Зумба 							Смотреть больше							АптекиИнтернет-аптека Круглосуточная доставка лекарств Лекарственные препараты Home medical equipment H"&amp;"omeopathic preparations of medical devices. Production of drugs to watch more household service -a -hail transport transport and cargo transportation dry cleaning ATelier Garbage Office photo studio postmate to watch more public services traffic police Pe"&amp;"nsion funds Grants CPUSIAL PRODUCTURAL CULTISH OF THE COMPORTANCE OF AND A NOT ASSALY COMPLY COMMUNICAL GARDING COMPORTATIONAL TYLE COMPORTANT COMPITIONA State Kindergarten Watch more Holidays in rest of the rest ski resort pool skating on horseback rider"&amp;"s, exit to the lake or river sauna watch more Internet company Internet-store IT-company mobile application website IT-Autsourcing Sites Date Center View more Yoga Centuryoga for beginners Qigun kundalini yoga khatha yoga yoga online yoga nidra yoga for p"&amp;"regnant women to watch more quests quests quests for adult quests-adventures quest-yazhas quest with actors of the quest Performance to more cinema theater Otovar products delivery Tools of food and drinks of auto parts watch more real estate building of "&amp;"the hostel of the real estate agency Sale of land plots and low -rise houses renting offices renting rights of rights to watch more night pounds Party Dancings Economy Karaka Feyskontrol Watch more education college academy gymnasium lyceum watch more clo"&amp;"thing and shoes of the Internet -fields Shoes Women Adidas online women's clothing store jewelry Watch more optics-linked glasses contact lenses Color lenses online store Optics multifocal lenses Delivery Operation Repair Watch more ritual services Mork C"&amp;"remantiles Cregories Columbarium Sales of Ritual Bureau View Ritual Buke Tel Company Installation of heating and water supply and water supply systems Landscaping Landscape Design Wallets Grounds Laying Tiles Watch more Trade Centurypertmarket Business Ce"&amp;"nter Skag Comber Trade and Entrepreneous Center Business Park Viewing Tourismer Kurortion Tour operator Tour operator Guest House Hotel hostel watch more services for business equipment Newspaper bookmakership guides passenger auto and electric transport "&amp;"enterprises Publishing house Taxi rental to watch more finance Bank ATM Refinancing Insurance Company Exchange of Life Insurance Medical Insurance Medical Insurance Watch more Consumer Services Consumer Consumer Consultation Legal Consultation Supervision"&amp;" of labor disputes Notary debt, District Lquidification Enterprise Enterprise Enterprise Enterprises to Watch more reviews💬 Every day we check 20 thousand reviews and 3 thousand assessments find and delete inaccurate. Actual prices and shares⚡ on Zun, it"&amp;" is convenient to choose offers at a price. Organizations monitor their relevance and also regularly add shares. Proven experts 🙋imes on a zun 1.5 million specialists to sign or call home. These are doctors of the tutors stylists, etc. Convenient selecti"&amp;"on of places and services👌 The Zun contains detailed information about all organizations: addresses of photography services Price Service as well as rating and reviews of real visitors. 1234 Popular food Health Beauty Buying of Entertainment Repair Remem"&amp;"ber. Other Medical Barber ₽ 292 ₽ Pitsezieuria ₽ Suchesi-bar ≈ 279 ₽ Relias with hookahs 10,600 ₽ Mostomatology of polyclinic-resonance tomography (MRI) Manicure ₽ Hairy hairline 2 000 ₽ Barber Py ≈ 350 ₽ Training mudding • 1,000 ₽ Caps-rush repairwords ≈"&amp;" 500 ₽ Promotions and discounts up to 70% all shares on Zoon 55% Discount of a neurologist = 900 R 4.7 Medical Center Medical on Groupm. Oktyabrskaya Kirova 46/1 remained 1 day until November 13, 50% discount27.10 We have open day and a discount of 50% 4."&amp;"9 Center for Beauty and Health Talismanm. Birch Rocheulitsa Fedoseeva 25,0004,000 rubles. Washing nozzles at the stand 5 Autokatmasters car service. Birch Roshchanikolai Ostrovsky 249 left 18 days until November 30, the Map of Novosibirsk Organization of "&amp;"the Speecialist Democratic Demosyany Curses of Beauty and Spannes -Mesh -Mesh -Mesat Service Services and Banibovyt Service Services for Business Building Clainfittees Classical Service Center -Sum Bolsical places of oopticism of the Testiismapteracidian "&amp;"Sadyuridic services of centersitances of the company -trade centerial centerial services -priestly theater of Raratyat -transhaterapylists for repair specialist specialists in beauty and service business. -Med49/ 361 Respirement on November 11 at 8: 55m I"&amp;" liked the benevolent doctor who remarkably completed her work, that is, she carried out probing. It is worth noting that the results of the study provided me already on the next review of the reviews 50/4 of the reclamation on November 11 at 3: 37mn like"&amp;"d the internal situation and teachers. The interior is pleasant beautiful and modern also a lot of light since there are large windows. Katya and Oksana are available and clearly explained everything to the question to review the paw48/122 reviewed on Nov"&amp;"ember 11 at 1: 52VS The lovely friendly, I was well pleased, I am happy. They turned as the dog limped on a paw. The injection was made easier. They gave recommendations just to follow if something is then contacted. All the reviews were healthy! 49/223 w"&amp;"as reviewed on November 10 at 15: 52: it was in the center in the center. I turned to the therapist. The doctor quite a very pleasant girl prescribed me treatment. The situation in the center is a comfortable impression Very good Solivliv’s reviewsnibble "&amp;"Invest31/ 5 Review Meshutka Meleshko November 10 at 14: 17: 17th: 17th: I test. Just got on a rally with double income. He started with a small amount of 8000 rubles. For half a year .. It is a pity that so far there are few investment offers and diversif"&amp;"y the portfolio for all reviews4 wheels49/4 with the rechargeer on November 10 at 13: 25-high store was very pleased with prices. At UAZ Patriot took the wheels for a good price for today's times. There is no year for tires 2022 14 week to the quality of "&amp;"the claims. All reviews of the Divine 47/1 of the recondition on November 10 at 12: 01 Khoor Service! The cash register got up ended with a fiscal drive came to Delta on the same day replaced FN and made a small repair. KKM is back in service again. All r"&amp;"eviewsmax Bus20/ 3 reviews on November 10 at 11: 05 Negative review about Max Bas: if you were going to go budgetary to ride in the Sheregesh mountains for the first time. Just buy a ticket to the bus and settled in the room and roll and there’s nothing t"&amp;"o be bad by the reviews-Novosibirsk37/ 2 reviewers on November 10 at 8: 20 Personal Renault departure from Russia, of course, everyone had to get used to new realities. The price of the price has changed. For many years I have been serving my car in Avtom"&amp;"ir on Petukhov (I bought it from the manager of Dmitry) all the reviews of the transit continent40/ 3 of Izalia Protopopova on November 10 at 7: 06D -Rave TC with loyal prices and fast terms. Polite and competent employees work on the terminal in which ca"&amp;"se they can help and suggest. All reviewskarkasman45/ 1 recondition on November 10 at 4: 39, the experience of cooperation with the company ""Karkasman"": met with Vitaly discussed all my wishes for the construction of a frame house in the A-Frame style ."&amp;" Further, Alexander (designer) began the work all reviews ofrsimed49/961 of the reviewed on November 10 at 3: 44 in the medical center Beautiful design good employees and good doctor. The doctor -cardiologist was opened, we discussed all my problems and t"&amp;"he doctor gave me recommendations. All reviews of theersimed49/1054 of the Izisaalis on November 9 at 16: 42mn I liked everything, including a good doctor and friendly and very smiling girls who helped they said where to go and presented Gift to the child"&amp;". Okulista coped with very much the reviews of the Ling Deteration Detection of LJ50/ 40 Review Nezdominov November 9 at 13: 42 District record and service an excellent condition of the devices. Nedototatkinetommentature suggested checking the cashiers in"&amp;" grocery but thanks to the rapid maintenance and instruments without Comfort 20/3 of Comfort 19 November 9 on November 9 at 12:27 FOR Cautious !!! On November 8, 2022, we entered into an agreement with LLC Technology Comfort in the person of the director "&amp;"of Samokovsky Maxim Alexandrovich for the manufacture of delivery and installation of the kitchen headset of the VVSA RESPORYSIBMD47/ 163 Olesyeva Oleshava on November 9 at 11: 52 Distilled ones with a friend. Before that, many acquaintances were encoded "&amp;"here. Very impressed. We do not drink after treatment. All reviews 48/17 are reviewed Nesterov on November 9 at 7: 45 Distribution Personnel -Statement of a certain time for a certain time did not even know what the company exists in the help of issuing l"&amp;"oans, but now the time came. I already had an acting review of the construction organizations of the Novosibirsk Region40/4 Displex-54 on November 9 at 6: 39, grateful for the help in the paperwork and a competent approach. Experts are always in touch and"&amp;" help in any question. All reviews 38/2 recesses on November 8 at 21: 01 often visit this car service for maintenance. Recently, I had problems with the suspension of the car, but the master in the car service quickly corrected them in one day. I really l"&amp;"ike it as a professional in the review of the LED products ABK IC-Sib48/ 115 Reviews on November 8 at 19: 27 Non-Statatical Comforteria Lights from the LED products store are just shining! Bright and beautiful light low energy consumption and a long servi"&amp;"ce life - all that you need to create all the reviewsphydodinskaya33/ 1 reviewed on November 8 at 14: 50 very good bakery girls are beautiful friendly how much I come all the fresh hotter from the cities. I want to thank the girls for maintenance so that "&amp;"your superiors appreciated your difficult kitchens 47/5 Reviewing Markin on November 8 at 13: 05 Distribution, the appearance of the cabinet of the cabinet was a small but roomy wardrobe of the compartment here the most favorable conditions were offered. "&amp;"The order was not disappointed with the review of the Creator50/ 3 recalculation ‘Rockstar November 8 at 7: 44 -hearted company professional experts of their business. In the courtyard of the center, cool playgrounds and the children go there to a walk wi"&amp;"th the whole center - this is a certain plus. If I could have taken it, I drove BVSA reviewer service25/1 I reciteral on November 8 at 6: 33 several times about the replacement of the double -glazed window from the beginning, they said well the master too"&amp;"k you well. He will call back. Passing 3 days NOT CALLED NOT WASH I wrote for 4 I called myself again, they said, probably, all the reviews are all the reviewsinvitro38/ 13 reviewsmarin D November 8 at 4: 33 Domestism, I was surprised, I saw the score of "&amp;"this wonderful office work at the very guys. Everything is a review smile48/ 52 recitivatyana on November 8 At 2: 09, everything was very happy in the clinic and for the service, that is, an excellent professional dentist-therapist said everything in the "&amp;"case, she didn’t say nothing superfluous in the case, and she also did not see the Reviews of the Reviews of the Gross, November 7 at 22: 45 Distribution, there is all The dimensions and styles did not notice. Nedostatkivode did not notice. The commentary"&amp;" Graduate asked to write a review of the first place, I went to my daughter, I was happy with the dress, I wanted a bunch of all the retirement fund48/ 13 Review of Yermakov on November 7 at 21: 19 -considerae to compare the non -governmental pension prog"&amp;"ram at Sberbank and VTB, then at NPFs VTB profitability over the past year higher. That is why I decided to conclude an NGO agreement with NPF VTB. In addition, I like the reviews of the reviews of the SCC48/ 27 Reviews of November 7 at 19: 14 commentarie"&amp;"s were here for legal support of the transaction when purchasing an apartment in the secondary market. They also helped with checking all the necessary documents. Specialists are very sensible to the Gramvs reviewer Service49/ 57 Reviews of Reviews on Nov"&amp;"ember 7 at 17: 46 in the car service I was immediately accepted and promptly did it all the most! Employees quickly replaced the corrugation because she had already rotted. Previously addressed to the full replacement of Glushitayniegsydtl39/ 11 Rights Zi"&amp;"nazinaid Mirkin on November 7 at 15: 59 combinations recently, a very modern laboratory confirmation of paternity liked the attentive attitude of the personnel, a professional and qualitative approach to servicing a review of the removal, 39 reviews of th"&amp;"e reviewer, on November 7 at 12: 10 compensation of the noblest place for dinema That they drove fed the seller well well. The environment of the Uyutovs reviews Akvasvasvis30/ 1 Review on November 7 at 11: 31 companies is not reliable. The promised time "&amp;"does not come. They asked you to come to eliminate non -service in the well: they feed breakfast. 2022 of October, the month is still yields. Reviews54 Center for the sale of goods and services On disinfectment of disinfecting deratization15/ 1, review -K"&amp;"ilia on November 7 at 9: 54th fools, they promise a guarantee for the service, they come, they say, they say a neglected case after the second processing, give a guarantee - in fact 1.11.2023 I ordered processing - 4.11.2023 - went to the VVSA RESPORTSY S"&amp;"SROTICAL massage Heat50/ 25 reviewsmaxim Gavrilov on November 7 at 6: 49 Distribution of the service of the Service of the Nedostatkina discovered the salon of erotic massage of the heat. This real paradise rested more than ever. Programs helped me a lot "&amp;"with Viskovsaeasy STOM48/ 59 Reviewer Malysheva November 7 at 0: 16 Distribution, the sensitivity of the doctorship of the doctorship was easily! A very polite personnel-handsome doctor who gently drilled my ill-fated tooth nervous system did not suffer f"&amp;"rom a reviewmaria-ra 20/1 review of on November 6 at 18: 55, I bought herring fillets in a jar, I didn’t look at the shelf life of the house when I cut it and I realized that the taste is strange. I looked and the term went out on September 24. The store "&amp;"Directorate You Cavse reviewsovita Verde49/ 13 Putsovdiana Prepasova on November 6 at 17: 31commenting periodically I contact the clinic for cosmetic procedures. Basically, I devote a greater choice of droppers. To maintain a healthy look of skin and body"&amp;". The effects of the reviewtrum-Service50/ 6 are harmless and the effect on November 6 at 14: 47 something was with the screen on the phone could not deal with the husband. They gave it to the service center quickly found the reason and eliminated on the "&amp;"same day they did not take it expensive. I advise you to reviewdelta48/ 54 of the reviewel R November 6 at 14: 36 District, they came to meet the warmth helped to quickly take shape and sent immediately to the X -ray. Nedeostatki, the place of operation w"&amp;"as a little when the anesthesia went down to be patient. Now the final -foster of beauty 36/1 reviewer is finished on November 6 at 14: 12th in full delight. Manicure Bliss! Thanks to Vera !!! All the reviews of Eximer46/ 99 Reviews Svetlano Demchenko on "&amp;"November 6 at 5: 01 compensation has already been operating for three years as their daughters were operating their eyes here - they conducted scleroplasty. And a year ago, she finally made LKZ (femo lasik) since due to scleroplasty myopia stopped the bac"&amp;"k of the back of the lifesaver50/ 26 Respiring Korotkov on November 5 at 20: 28 SPASIBO Huge for all personnel ""Lifle stick""! I see a 5 -year -old child that he has progress in learning! Employees taught a lot! My child goes with pleasure for classes be"&amp;"cause everything is reviewed byTOP47/ 122 Options on November 5 at 19: 58 Distributions are taught! Interesting classes! Good place! Good price! Disadvantage of the Academy TOP! Thanks to this Academy, my son has learned many things. 1 Review of November "&amp;"5 at 16: 20th day, I finally reached the recall of this wonderful studio .. Julia is a big fellow in terms of achieving the result on request, my main difficulty (like most girls) belly Boka Ivse Reviews 46/19 Review November 5 at 14 : 06 District clinic."&amp;" I thought for a long time what to do with a vascular mesh and a rosation on my face and turned to the clinic of Altik and the doctor N.I. The doctor carefully listened to me and developed a plan for LVSE PROPROFOFO-MED27/ 1 REMODAMARA Fedorovna on Novemb"&amp;"er 5 at 6: 17 PRESTION TOMENTION. Your Admin Julia does not know how to communicate with clients. Very rude and boorish attitude. In connection with an acute illness, I asked me to take it to Lorus urgently where I was received by Disgavzetoktor40/ 11 Req"&amp;"uest Stepanov on November 4 at 15: 34 Distributor trying to portray the participation of the personnel. 11, 11, the Dr. Yorka 3 years old, was poorly analyzed and preliminary diagnosis of all reviews / 2 Izmarvanovna November 4 at 10: 20 Varrymny steam. !"&amp;"! On a memorial table when ordering borsch with meat, a stew of yellow color with 3 plastics of Kutya potatoes according to the 80g menu was served. They submitted less than 80 grams per 4 people with goulash with a back of the review PROPROKOVEVA M.A.50/"&amp;" 1 Review of November 4 at 6: 43 Landing specialist. Inspires trust. She held a consultation for my mother (they traveled together, because my mother is a pensioner and does not particularly understand anything). Mom and I was satisfied. Immediately at th"&amp;"e CDU consultation reviewsreborn44/ 21 Review of Petrishen on November 3 at 17: 43Dostosiyat, the monitor is simply a young man of the house -study of the Office. I contacted the Reborn service monitor took the next day everything works. I am very pleased"&amp;" with the report of the servy of the review of Dr. Sholokhov39/17 of the reviewsovladimyr November 3 at 12: 23 Distribution of the services of the service of the service of the Service -Statement of the Commerculture Hello! I want to share my experience. "&amp;"I was in the clinic of Dr. Sholokhov on Blefaroplasty of the upper and lower eyelids. The result is very removal classical school49/16 of the reviews of November 3 in 12: November 3 at 12: November 3 at 12: November 3 at 12: November 3 at 12 09 I like an "&amp;"individual approach and a good attitude towards students. If a problem arises in the classroom, then employees delve into it do not lower it from their hands, that is, they are included in the process and help children. To all the reviews of the student50"&amp;"/ 13 Reviews of November 3 at 10: 55 in dentistry I liked what I consulted made an X-ray to all the questions answered all questions. I turned my gum with acute pain. The doctor looked at Skavs Pensus50/ 3 S. Opavladimyr S. November 3 at 10: 06 really lik"&amp;"ed it. It seems that the video turned out better than it was on the cassette. I recommend it. All reviewsmart Motors30/ 1 purebaccontan on November 3 at 9: 37 will work the angry crooks. The day before the purchase of the Kalina Brake pedal, I was notifie"&amp;"d that it costs 150 rubles. I had to pay 350 rubles in the fact of purchase. On Vitrvs, a review of 2448/6 Review of Daniel on November 3 at 8: 24 Distribution of professionalism and accuracy in a hard -to -the -style of the Commentary, I actually work in"&amp;" the company of Nanny 24 and I am very comfortable at work. The management is responsive and all the reviews of eximer49/48 of the reviewslaris K. November 2 at 22: 30 commentary on her child to correct vision with glasses. After the phone recorded, they "&amp;"called before the day the visit was warned so that they would not forget. The head doctor took us. The clinic is a small offvce review of the Aurum47/ 57 reviews of Malakhov on November 2 at 22: 30 commentaries we have been here for the first time we have"&amp;" been here for the first time. I like quality good service always do everything clearly in terms of time. All reviews of impeccable manicure EMI42/ 73 of the review on November 2 at 17: 37 Distribution dreamed of undergoing training in EMI. The dream that"&amp;" she chose the online form! It is convenient that at any convenient time I can start learning. The teaching takes place in a very convenient application. PBCA of the reviewship49/ 43 is recalled on November 2 at 16: 23, I was satisfied with the work of a "&amp;"competent doctor who created comfortable conditions for me. The specialist conducted treatment and seized channels. All reviews of the Century47/ 3 Sharova recuscition on November 2 at 15: 55 Personable installations of new doors. The neighbors already as"&amp;"ked where exactly we purchased them) Thank you already recommended you so that the new customers are waiting for them) all the reviews 36/77 Reviews Svetlan on November 2 At 13:48 compartment, everything was fine with the child. We liked cheese soups and "&amp;"pizza very tasty. All reviews of theConCONCERT 5423/3 Izaanastasia Timkina on November 2 at 13: 05 Dobroy all the day. More than six months have passed as the concert has been canceled for tickets have not yet been returned. They feed breakfasts do not re"&amp;"spond to the telephone excuse “I’m busy working” All reviews of theultimax Service25/ 1 Pisierge Mikhailovich. November 2 at 12:30 reflective service, like a boorish attitude towards customers. I drove to change the oil demanded to knock down the snow on "&amp;"their sink. They simply refused to knock down the snow by saying that they could only “wash the car” all the reviews of the Service34/ 1 recruiter on November 2 at 12: 05 Baby -Robbery Service. After their rebout, a processor burned out after a few days. "&amp;"Moreover, when handing over for repairs, they assured me that everything would be fine. But although it is written in their act that the guarantee extends to TolVSE -Limp49/ 10 Review of the Review on November 2 at 12: 00 we go because the child likes the"&amp;" classes ""Young speaker"" what is the main thing for me. The lessons are held in a mild form, therefore, the child is happy to go and performs tasks. I chose the School of Potovsa Reviewsibwill50/ 1 Review of November 2 at 11: 30 MNE I liked everything v"&amp;"isually including the layout. I turned to the company because someone prompted me to this idea and managers Marina and Dima are well done! Marina quickly and clearly did everything, and Dimvs's reviews of the reviews of Merk on November 2 at 11: 11 will b"&amp;"e observed in this clinic for a couple of years with all our pets. Professional approach: nothing more is prescribed to the patients and their owners. Thank you so much! All the response -made boom20/ 1 reviewgulnara is on November 2 at 8: 28 ordered the "&amp;"cabinet of the compartment when they went to collect the tone of different doors at the snow -white and the second -hand said they said and now they change and now they change it and now Every Thursday they promise and they can’t bring a review of the ped"&amp;"icure50/ 1 psychalris on November 2 at 7: 25 hijacking. / 79 Reviews of November 2 at 5: 51, the peeling and Thai massage came to the capsule. Masters are very pleasant and sociable. They provided good care. All procedures were completed with high quality"&amp;". I was satisfied. Be sure to PVCE REMARUPARUS30/ 10 Reviewed November 2 at 4: 19: I am a very good sanatorium I put 5 stars delight. Very kind and understanding honey. staff. Very worthy treatment, including the Dead Sea basin, is a vocational complex of"&amp;" professional reviews of the Dental Clinic46/ 13 reviewsergea on November 1 at 21: 27m I liked the doctor Ekaterina a related soul, therefore I trust her in all clinics. He took advantage of the treatment of caries. In the service, the quality and speed a"&amp;"re comfortable and comfortable conditions and the attitude of the Pobvs is a response -target bar49/ 3 recallioner on November 1 at 21: 19 excessively everything was very cool at the level. I had a massage master of massage, I have been coming an individu"&amp;"al approach to the quality of massage for the first time. I made the back of the master Ilya completely consultir to the background Park50/ 1 Semenova on November 1 at 21: 00 reads that the apartment is the type of housing that they usually take for rent,"&amp;" but in such a place I myself would not mind living. I have to work from here - 10 minutes on foot. Here is everything nearby: oats reviewspuls-auto48/ 49 reviewsergea November 1 at 20: 16 in the car service, pleasant staff work! Employees correctly expla"&amp;"ined and completed work related to the electrician in the variator of the Nissan Qashqai car. I was also recommended how to properly have a review of the review-balcony43/ 45 Reviews of Firinov on November 1 at 19: 28Dostal-resistant attitude towards cust"&amp;"omer-eatstatoxyuitocoumers, which made us all our expectations. It has become a cozy and functional space where we can enjoy the reviews of the response50/ 1 Review on November 1 at 18: 52 It is very comfortable quality manicure is excellent now your regu"&amp;"lar client! All reviews-Marketing49/ 8 Reviewor Elvira on November 1 at 18: 14 weekest-stitcommentary advertising agency! Only positive emotions of the review of the Roads-group25/ 1 admission on November 1 at 17: 48 very good agency! Professionals work t"&amp;"heir business !! For many years we have been “cooperating” with Irina Mikhailovna always everything at the highest level !!! Thank you for everything !! Everything is a responsive of the Real Estate50/ 24 of the reconciliation on November 1 at 12: 39, Evg"&amp;"eny's good and responsible approach! He is very good at once again not pulling everything says well done in the case! On the recommendation of acquaintances, I applied for the sale of the apartment to be registered as a review-Siberian bus station17/ 282,"&amp;" Rizaanastasia Taeva on November 1 at 10: 46 weeks of the carrier to its passengers !!!! 08.10.2023 Bus Novosibirsk-Zarinsk (landing Lenin St.) lingered for 45 minutes then an employee of the bus station when checking Bilevsa Permatology Statology on Leni"&amp;"n Street49/164 Specialized on November 1 at 10: 29 District, I know the advantages of private traders. The non-study of the service was called. They call and offer their service specialist on Robotvs's reviews of the AutokatMaster50/ 53 recusialonor on No"&amp;"vember 1 at 8: 05m I liked everything! They set up the speed of reception and quality of work. Employees accepted even before that time I was recorded quickly performed tire fitting and balancing the wheels. The father of my TVS is a review of the Bear 24"&amp;"/214 Resalecomer October 31 at 21: 07 to turn the Siberian bear only if there are no other providers. Work support is zero. Already for several days in a row in the evening, the speed drops to 5-7MB, apparently their ancient govnovs, the result is a revie"&amp;"w of 28/5 reviewships on October 31 at 18: 23 of the 23-dusk, it could not with such an attitude of the staff. The clinic’s nodostatkieteh exists, they wind up the reviews misleading. Commentary! Do not get fooled! Reviews by Nakruvse reviewsymonako25/ 1 "&amp;"reviewer on October 31 at 16: 39 made cilia ... Irina’s “Master” ... came home, within three hours, 4 missiles of cilia fell out of one eye. The eyelashes glued-kvda I want to hang out there. It is a pity the spent time and money reviewshadusha premium fi"&amp;"tness women49/ 5 reviewsandra on October 31 at 15: 26 Proceedings are a wonderful place! Service at the highest level Comfortable stylish halls of locker rooms. A very beautiful entrance area of ​​the coffee shop where you can drink tea/coffee or a protei"&amp;"n cocktail after training. Hence the Pensyadydarvin48/ 51 Review Dmitry Yezhov October 31 at 13: 55 commentaries, the Plainers know their job. The operation took place without the consequences of the reviewshelindlindlizing50/ 3 recuscidmitry Yezhov Octob"&amp;"er 31 at 13: 51 business development of the business urgently needed an amount of 2 million. We decided with a partner that a great option would be to use the return leasing service. Turned to the company. The reviews of thezapspetstekteh25/ 1 recovery on"&amp;" October 31 at 12: 44 did not agree to the company and the office of the office would be a lifting at first raised the price for no reason (although the contract and the specification were signed) by 225tr. They brought the engine, it turned out not at al"&amp;"l that they asked Vuvs as a review of Europe44/1 Izillekander on October 31 at 12: 41 very responsive and pleasant specialist. Quickly agreed very high -quality completed his work, I was always in touch, I did not explain everything, I advised me! It was "&amp;"nice to work! A big one reviewed the Glamur35/ 1 Remember 31 on October 12: 09 I was in the women's store Glamor I liked the smiling many goods consulted and helped with the choice of reviewsyblex36/ 1 The reconcile user on October 31 at 11: 42mash was a "&amp;"Hodovka, after the accident, the expert had to be shown in it. The employee of the Center normally made a collapse-reinstall showed that the wheels left and at the end issued all the necessary all the reviews of Light48/ 3 of the reconcile on October 31 a"&amp;"t 9: 59thly made an order in this online store. The doors of good quality and prices are significantly lower than the omiting &amp; Colorlon36/ 21 Ratrapolin 31 on October 31 at 8: 39 Distribution, I just left for a terrible -pointed -core days in this store,"&amp;" I needed to consult my husband as a gift as a gift. I came across all the reviewermobot40/ 4 Opacislan Petrenko on October 31 at 7: 01-naval boiler room for the school and adjacent houses with a capacity of 900 kW was purchased in the last heating season"&amp;". The expenses were reduced by 2-25 times and the costs of buying a boiler room and installation planning the Russian Office of Russia No. 9620/ 1 Pyntomila on October 31 at 6: 28 -ahead an idiot came up with a single reference service that you have to wa"&amp;"it for an answer for more than 10 minutes. And they are not answered to the number of p/ o, the operating modes of the queue are the horror in the Mausoleum. All the review of the Park37/ 2 reconcutyana on October 31 at 6: 26, the very cool park rested wi"&amp;"th the whole family for pleasure. Interesting locations have something to see). The playground is super !!! Thank you for such a place) All reviews of the article Medical Article of the teeth: what is it like it is carried out by hygiene of the oral cavit"&amp;"y in the dentistry of reading: 3 minutes 14 seconds of views: 345 dates of publication: 01/01/2023 NEAL DAY ""Nail Day"" feel unique! Medical article of the heart : what kind of procedure are readings and contraindications of reading: 8 minutes 11 seconds"&amp;" of views: 247DATE Publications: 09/26/2023 In more detail “Old Russia”-a place where you are always waiting for you! A cozy cafe on the Avenue of the Dzerzhinsky Massenian article: what problems the doctor solves and under What symptoms and diseases you "&amp;"need to sign up for a consultation of reading: 4 minutes 21 seconds of views: 135 Data Publications: 09/28/2023 In more detail-unique dental technologies in Novosibirskma will make your smile impeccable! “Healthy people”: Medical Center for Real Assistanc"&amp;"e Care for the main value-health-Health-Health-Health Pomegranate is a European level of medical services in Novosibirsk! Dental clinic on Krasnoye Prospekt New Organizations store of cargo spare parts Avtradinvosibirsk district Verkh-Tulinsky village vil"&amp;"lage village Krasny Vostok Sovetskaya Street 62B NovosibirsksometicMathmassage_NSKDP. Kudryashovsky Viktor Petkau 32 Novosibirskkabinet hairdresser-colorist Dusi Kovalchuk 248 Novosibirsksalo Beauty Meduzaulitsa Blucher 73/1 Novosibirskmon Bonulitsa Nemir"&amp;"ovich-Danchenko 146/1 NovosibirsklazerLine_Berdskooleg 7 Berdskzo 7 Berdskzo Otupnikinika of Bogdan Khmelnitsky 1 Novosibirskmono Studio Pro_ Rresnitsyulitsa Petukhova 79 Novosibirsk Studio Records of video feeders Snegovik Production Podcast -Railway Dis"&amp;"trict 630003 Vladimir Street 2 /1 Novosibirskkadrochny agency HR Recruiterdeputsk Street 46 Novosibirsk store Auto Marts Avtomoye Street Petukhova 51BK21 Novosibirskmozzherina.muahlinine 28 Novosibirskprnsprotelocomolosomolskaya 27 Berdskstudiy on the Peo"&amp;"ple’s Ulitsenarodnaya 47 Novosibirskniel-Lukesgrist Osova 32/1 Novosibirsk Studio Cosmetologist 27/1 Novosibirsk Studio Massage on the Lazurny Ulzelazuraya 24 Novosibirskkabinet manicure and pedicure in the Iskitimivoczal 4 Iskitim studio of manicure in I"&amp;"skitimepushkina 24 Iskitim studio of beauty on the main street 49s. Lebedevo Central 49 Novosibirsknr_Geticaulis Sibiryakov-Gvardeytsy 51/1 Novosibirsk Masters. Leninskoye DNT Opin spaces 3 Novosibirskm`Egiadrien Leshen 29/1 Novosibirsk Center Dr. Ermakov"&amp;"akmunistic Street 50 Novosibirskpunkpunchte of issuing goods Yummigamishak 15 Novosibirskdenchik_v_bankenishegodskaya 27/1 Novosibirskophis Tsetti 77 Novosibirsk Studio JAZAKARY Avenue 86/2 Novosibirskholy Hell Narodnaya 8 Novosibirskhochaskhoproprospect "&amp;"of Dzerzhinsky 14/2 Novosibirskmassage cabinet Healthy spine Kirova 29 Novosibirsklook at Tatto Rozhkli Prospekt 65 Novosibirskshkoye School of emotional awareness just live Kububovaya 88 Novosibirsk Studio Smooth &amp; Solutionsrp. Linevo 4th microdistrict 9"&amp;"A Novosibirskkrikunova Lashaleksandra Chistyakova 2/1 Novosibirskna-Production Center Vector-VITAPARITARISTION 2 Novosibirskclinic BEAUTYULICA KROPOTKINA 132 Novosibirskkabinet-aesthetist Cosmasmic Soviet Taulitsa Zabalueva 96 Novosibirskkapaproskostcheva"&amp;" 74/1 Novosibirskparikmarkhmakhorerskaya Usteninina 4 Toguchinmedician center Life -Life Tula 142 Novosibirskparikmachmachmerek Laizasovite 204 K1 Iskimmax Style Studio. Verkh-Tula working 20 Novosibirsk Studio of the Beauty of Anna Sibiryakov-Gvardeytsy "&amp;"51/1 Novosibirsk Companies Auto Auto Tolmachevskaya 21A Novosibirsk Companies for the Cargo Transportation Partner Communist 2 Novosibirskshkhol Machkalyana Kirov 113 Novosibirsk Medical Medical School Kalulitsa Yesenin 67 Novosibirsk Mmedician Migration "&amp;"Central City District 630000 Military Street 21 Novosibirskmitsubishi GDI Service Street 8/14 Novosibirskzoocenter Tafiulitsa Plakhotnaya 74/1 Novosibirsk Studio No. Zeleny Boro 7 Novosibirskskinological Club Siberia-Altyprota 82 Novosibirsk Studio Bredin"&amp;"g Kos Marinosulitsa Bolshevik 103 Novosibirsk Studio Depilation Epil_magic_nskulitsa Petukhova 162 Novosibirskbuti-Studio LUKSOPHIA 18 Novosibirsk sports club Dzerzhinetszerzhinsky district 630124 Dovator street 11 Novosibirsklub swimming Aqua Swimsovet s"&amp;"treet 60b Novosibirskbrows &amp; Lash.vnvkamena 74 Novosibirsk Center MS.Dermaulitsa Mikhai La Kulagina 29/1 Novosibirsksalo Beauty July Dzerzhinsky 32 NovosibirskanabrowGurokurokamenskaya 55 Novosibirskmedician laboratory of Littekhulitsa of the Heroes of th"&amp;"e Revolution 23/1 Novosibirskkabynet Masakakiyaster Avenue 153g Novosibirsk Studio Massage LPG.figuragorsky microdistrict 8 NovosibirskBeauty Timekhov 69 K2 Novosibirskmassage Salon on Health 20 Novosibirsk Studio Correction of the Lillepshdadi 8 Novosibi"&amp;"rskkabysk Kopabits on the Kotovsky Kotovokotovsky street 17 Siberian beauty on the Marine Prospekemorskaya Prospekt 58 Novosibirsk-school-studio-Studio Glagrp. Village 18 Koltsovoofp for children of the Korokorolev 8 Novosibirskmaster Strizhekulitsa Petuk"&amp;"hova 12/4 Novosibirskkabinet massage therapist-aesthetistafedoseeva 2 Novosibirskvetliderfadeeva 66/5 Novosibirskdet Center for Correction and Speech of the Speech of the GUREVIELICA 42 Novosibirsklusinnia microdigns 32 Issecimima 32 Iskimima The extingui"&amp;"shing cabinet in the okitimeyuzhny microdistrict 55b is a look -out look. Marusino Street Gorky 42a Novosibirsksalo Beauty La Belles. Verkh-Tula Rainbow microdistrict 17/3 NovosibirskppTichkina lashessmicraion Green Bor 7 Novosibirskysky Visa Center Carro"&amp;"und Magistral 16 Novosibirsk Flower Workshop 51 Novosibirskpunch at the Weith-Station 16 Novosibirskhoreographic Studio Skittelsulitsa Pen Tukhova 95/4 NovosibirskBogini Nielielitz Michurin 12a Novosibirskrvani Burgerulitsa Dusi Kovalchuk 187 Kiosk Novosi"&amp;"birsk Shopics House on Komsomolskaya Ulitses. Bagan Komsomolskaya 38b Novosibirskpecarny Batonrp. Kochenevo School 72 Novosibirskteddy Loftsteper 15 Overcomplex of the Atlantulita Tolstoy 133 Novosibirsk Shopics Bitcomlenin 112 Tatarskvitservisulis Chaply"&amp;"gina 35 Novosibirsk Center of Pre-Supervision Preparation of the Avtodode1th Krasnogorsky lane 41a Novosibirskkofeyni WAYULIA 67 Siberian store spare parts for the career and construction equipment of ZKTLIKOV 21 Novosibirskvs organizations with reviews a"&amp;"nd rating in Novosibirskavtomakaavtosovtoskolyaerobicaearobicaeerobicaerobicaerobicaerogaban and Saunabaseynabaseynabaseynablesparoplastilogolnitsybolingurger-grier service service of the Vetapteaptegiptegiptegiptegi-Detach-DETTENTENT ENSUMENTARIC CENTERS"&amp;" SADDISServised and drinking consultation of the Maslazo-Parquesobakaraoka-Barykatkaka-presideter store stores (KT) Computed clubs of clubs inekerossfittekrug -round -loser carpilled veterinary clinics carpilled clothing and shoe round -up restaurant -rus"&amp;"tle -rustle -rustle -bonding salons and spacro -logo -round -shaped fitness fitness clubs English courses Massagerals manicaces hairdresses Hairdresses Hairdressions grain epilation of the bonding of the cerebral cerebral of household Technics stores of c"&amp;"hildren's clothing and shoes of inexpensive clothing and shoes of lower linen stores Shuvils Shopics Shops stores Sports shops Sports clothing stores Supreme shops fabric stores Flower shops, Nailing, eyelashing eyelash-club clubs with dancing Bannias. Ha"&amp;"irwoman and houses of resty-a-a-a-pilespilatespirapypyrapirsing salon reception of gynecologist entertainment of thectogenenlasticastrodomasauns and baths where you can do with their foods from the basin-sequences for delivery Floval Sports and Fitnesseri"&amp;"zation Cosemonelization of Coscustril Strage of Dogs (Gruming) Construction and Repair Railway Disvaluables of Folk consumption of consumption of glasses of vessels of the head of the head and neck services for the business services for animal services of"&amp;" laundry rooms with basic polloorography polloorography for documents STKA Salon Motorchimitable INCAL CONSTRUCTIONS ObSCISTRALS AND Gynecology Cygunzykhikhayhanytyka faces of the Personnel Schools of Dance Shugaring add a place to add access access to Or"&amp;"ganizations Help of vacancies about the ""Zoon"" media about us Zoon in other cities Blogue contacts of the error-tell us by clicking Ctrl +Enter phone: +7 (495) 660-39-16 Email: Corp@zoon.ru Address: 125252 Moscow g Chapaevsky PER HOUSE 14 FOREAR 2. OGRN"&amp;": 1157746291878 Conditions for using the confidentiality policy of ZUN LLC-an IT company that provides customers with a software license to attract customers and manage a reputation on the network due to automated modules. Zun LLC carries out activities i"&amp;"n the field of information technology. Type of activity (code): 62.09")</f>
        <v>Novosibirsk-City map with all organizations: Reviews photo rating How to get-Zoon Moskvasankt-Petersburgovosibirskskovsanburg Kazankitimobkiybiyshzhevyzhevnitsky Novgorodchelyabinsksamaraskstov-Donufakranskodiydoybright organization Convenient selection Zi baby clinic Analysis of blood Maternity Hospital Home Beauty Salon and Spamsage Manicure hairdresser Makeup haircut French French Manicure Pilling to watch more car service service a vehicle vehicle tinting toning toning auto -reference STOMISSITION STATE COMPETITIONAL School Preparations School of Arts Sports School Courses for Higher Education Dancing School School School School School Bar Delivery Pizza Delivery Souss Teca dog nursery Castration cat Crumpid dogs Dogs Dog Cats Watch more saunas and a bathhouse -Banassene you can with your food Russian bathhouse public bath. Choosing brooms Infrared sauna Turkish bath to watch more service central commissions of mobile phones repair of Washing machines repair of air conditioner repair of cartridges to be more Для детейДетский лагерь Детская библиотека Подготовка к школе Детский санаторий Семейная школа Детский развлекательный центр Центр детского творчества 							Смотреть больше							Развлекательные центрыПарки Бассейн Пляж Лабиринт Аквапарк Катки Цирки 							Смотреть больше							Фитнес клубыТренажёрный зал Боевые искусства Аэробика Пилатес Пауэрлифтинг Кроссфит Зумба 							Смотреть больше							АптекиИнтернет-аптека Круглосуточная доставка лекарств Лекарственные препараты Home medical equipment Homeopathic preparations of medical devices. Production of drugs to watch more household service -a -hail transport transport and cargo transportation dry cleaning ATelier Garbage Office photo studio postmate to watch more public services traffic police Pension funds Grants CPUSIAL PRODUCTURAL CULTISH OF THE COMPORTANCE OF AND A NOT ASSALY COMPLY COMMUNICAL GARDING COMPORTATIONAL TYLE COMPORTANT COMPITIONA State Kindergarten Watch more Holidays in rest of the rest ski resort pool skating on horseback riders, exit to the lake or river sauna watch more Internet company Internet-store IT-company mobile application website IT-Autsourcing Sites Date Center View more Yoga Centuryoga for beginners Qigun kundalini yoga khatha yoga yoga online yoga nidra yoga for pregnant women to watch more quests quests quests for adult quests-adventures quest-yazhas quest with actors of the quest Performance to more cinema theater Otovar products delivery Tools of food and drinks of auto parts watch more real estate building of the hostel of the real estate agency Sale of land plots and low -rise houses renting offices renting rights of rights to watch more night pounds Party Dancings Economy Karaka Feyskontrol Watch more education college academy gymnasium lyceum watch more clothing and shoes of the Internet -fields Shoes Women Adidas online women's clothing store jewelry Watch more optics-linked glasses contact lenses Color lenses online store Optics multifocal lenses Delivery Operation Repair Watch more ritual services Mork Cremantiles Cregories Columbarium Sales of Ritual Bureau View Ritual Buke Tel Company Installation of heating and water supply and water supply systems Landscaping Landscape Design Wallets Grounds Laying Tiles Watch more Trade Centurypertmarket Business Center Skag Comber Trade and Entrepreneous Center Business Park Viewing Tourismer Kurortion Tour operator Tour operator Guest House Hotel hostel watch more services for business equipment Newspaper bookmakership guides passenger auto and electric transport enterprises Publishing house Taxi rental to watch more finance Bank ATM Refinancing Insurance Company Exchange of Life Insurance Medical Insurance Medical Insurance Watch more Consumer Services Consumer Consumer Consultation Legal Consultation Supervision of labor disputes Notary debt, District Lquidification Enterprise Enterprise Enterprise Enterprises to Watch more reviews💬 Every day we check 20 thousand reviews and 3 thousand assessments find and delete inaccurate. Actual prices and shares⚡ on Zun, it is convenient to choose offers at a price. Organizations monitor their relevance and also regularly add shares. Proven experts 🙋imes on a zun 1.5 million specialists to sign or call home. These are doctors of the tutors stylists, etc. Convenient selection of places and services👌 The Zun contains detailed information about all organizations: addresses of photography services Price Service as well as rating and reviews of real visitors. 1234 Popular food Health Beauty Buying of Entertainment Repair Remember. Other Medical Barber ₽ 292 ₽ Pitsezieuria ₽ Suchesi-bar ≈ 279 ₽ Relias with hookahs 10,600 ₽ Mostomatology of polyclinic-resonance tomography (MRI) Manicure ₽ Hairy hairline 2 000 ₽ Barber Py ≈ 350 ₽ Training mudding • 1,000 ₽ Caps-rush repairwords ≈ 500 ₽ Promotions and discounts up to 70% all shares on Zoon 55% Discount of a neurologist = 900 R 4.7 Medical Center Medical on Groupm. Oktyabrskaya Kirova 46/1 remained 1 day until November 13, 50% discount27.10 We have open day and a discount of 50% 4.9 Center for Beauty and Health Talismanm. Birch Rocheulitsa Fedoseeva 25,0004,000 rubles. Washing nozzles at the stand 5 Autokatmasters car service. Birch Roshchanikolai Ostrovsky 249 left 18 days until November 30, the Map of Novosibirsk Organization of the Speecialist Democratic Demosyany Curses of Beauty and Spannes -Mesh -Mesh -Mesat Service Services and Banibovyt Service Services for Business Building Clainfittees Classical Service Center -Sum Bolsical places of oopticism of the Testiismapteracidian Sadyuridic services of centersitances of the company -trade centerial centerial services -priestly theater of Raratyat -transhaterapylists for repair specialist specialists in beauty and service business. -Med49/ 361 Respirement on November 11 at 8: 55m I liked the benevolent doctor who remarkably completed her work, that is, she carried out probing. It is worth noting that the results of the study provided me already on the next review of the reviews 50/4 of the reclamation on November 11 at 3: 37mn liked the internal situation and teachers. The interior is pleasant beautiful and modern also a lot of light since there are large windows. Katya and Oksana are available and clearly explained everything to the question to review the paw48/122 reviewed on November 11 at 1: 52VS The lovely friendly, I was well pleased, I am happy. They turned as the dog limped on a paw. The injection was made easier. They gave recommendations just to follow if something is then contacted. All the reviews were healthy! 49/223 was reviewed on November 10 at 15: 52: it was in the center in the center. I turned to the therapist. The doctor quite a very pleasant girl prescribed me treatment. The situation in the center is a comfortable impression Very good Solivliv’s reviewsnibble Invest31/ 5 Review Meshutka Meleshko November 10 at 14: 17: 17th: 17th: I test. Just got on a rally with double income. He started with a small amount of 8000 rubles. For half a year .. It is a pity that so far there are few investment offers and diversify the portfolio for all reviews4 wheels49/4 with the rechargeer on November 10 at 13: 25-high store was very pleased with prices. At UAZ Patriot took the wheels for a good price for today's times. There is no year for tires 2022 14 week to the quality of the claims. All reviews of the Divine 47/1 of the recondition on November 10 at 12: 01 Khoor Service! The cash register got up ended with a fiscal drive came to Delta on the same day replaced FN and made a small repair. KKM is back in service again. All reviewsmax Bus20/ 3 reviews on November 10 at 11: 05 Negative review about Max Bas: if you were going to go budgetary to ride in the Sheregesh mountains for the first time. Just buy a ticket to the bus and settled in the room and roll and there’s nothing to be bad by the reviews-Novosibirsk37/ 2 reviewers on November 10 at 8: 20 Personal Renault departure from Russia, of course, everyone had to get used to new realities. The price of the price has changed. For many years I have been serving my car in Avtomir on Petukhov (I bought it from the manager of Dmitry) all the reviews of the transit continent40/ 3 of Izalia Protopopova on November 10 at 7: 06D -Rave TC with loyal prices and fast terms. Polite and competent employees work on the terminal in which case they can help and suggest. All reviewskarkasman45/ 1 recondition on November 10 at 4: 39, the experience of cooperation with the company "Karkasman": met with Vitaly discussed all my wishes for the construction of a frame house in the A-Frame style . Further, Alexander (designer) began the work all reviews ofrsimed49/961 of the reviewed on November 10 at 3: 44 in the medical center Beautiful design good employees and good doctor. The doctor -cardiologist was opened, we discussed all my problems and the doctor gave me recommendations. All reviews of theersimed49/1054 of the Izisaalis on November 9 at 16: 42mn I liked everything, including a good doctor and friendly and very smiling girls who helped they said where to go and presented Gift to the child. Okulista coped with very much the reviews of the Ling Deteration Detection of LJ50/ 40 Review Nezdominov November 9 at 13: 42 District record and service an excellent condition of the devices. Nedototatkinetommentature suggested checking the cashiers in grocery but thanks to the rapid maintenance and instruments without Comfort 20/3 of Comfort 19 November 9 on November 9 at 12:27 FOR Cautious !!! On November 8, 2022, we entered into an agreement with LLC Technology Comfort in the person of the director of Samokovsky Maxim Alexandrovich for the manufacture of delivery and installation of the kitchen headset of the VVSA RESPORYSIBMD47/ 163 Olesyeva Oleshava on November 9 at 11: 52 Distilled ones with a friend. Before that, many acquaintances were encoded here. Very impressed. We do not drink after treatment. All reviews 48/17 are reviewed Nesterov on November 9 at 7: 45 Distribution Personnel -Statement of a certain time for a certain time did not even know what the company exists in the help of issuing loans, but now the time came. I already had an acting review of the construction organizations of the Novosibirsk Region40/4 Displex-54 on November 9 at 6: 39, grateful for the help in the paperwork and a competent approach. Experts are always in touch and help in any question. All reviews 38/2 recesses on November 8 at 21: 01 often visit this car service for maintenance. Recently, I had problems with the suspension of the car, but the master in the car service quickly corrected them in one day. I really like it as a professional in the review of the LED products ABK IC-Sib48/ 115 Reviews on November 8 at 19: 27 Non-Statatical Comforteria Lights from the LED products store are just shining! Bright and beautiful light low energy consumption and a long service life - all that you need to create all the reviewsphydodinskaya33/ 1 reviewed on November 8 at 14: 50 very good bakery girls are beautiful friendly how much I come all the fresh hotter from the cities. I want to thank the girls for maintenance so that your superiors appreciated your difficult kitchens 47/5 Reviewing Markin on November 8 at 13: 05 Distribution, the appearance of the cabinet of the cabinet was a small but roomy wardrobe of the compartment here the most favorable conditions were offered. The order was not disappointed with the review of the Creator50/ 3 recalculation ‘Rockstar November 8 at 7: 44 -hearted company professional experts of their business. In the courtyard of the center, cool playgrounds and the children go there to a walk with the whole center - this is a certain plus. If I could have taken it, I drove BVSA reviewer service25/1 I reciteral on November 8 at 6: 33 several times about the replacement of the double -glazed window from the beginning, they said well the master took you well. He will call back. Passing 3 days NOT CALLED NOT WASH I wrote for 4 I called myself again, they said, probably, all the reviews are all the reviewsinvitro38/ 13 reviewsmarin D November 8 at 4: 33 Domestism, I was surprised, I saw the score of this wonderful office work at the very guys. Everything is a review smile48/ 52 recitivatyana on November 8 At 2: 09, everything was very happy in the clinic and for the service, that is, an excellent professional dentist-therapist said everything in the case, she didn’t say nothing superfluous in the case, and she also did not see the Reviews of the Reviews of the Gross, November 7 at 22: 45 Distribution, there is all The dimensions and styles did not notice. Nedostatkivode did not notice. The commentary Graduate asked to write a review of the first place, I went to my daughter, I was happy with the dress, I wanted a bunch of all the retirement fund48/ 13 Review of Yermakov on November 7 at 21: 19 -considerae to compare the non -governmental pension program at Sberbank and VTB, then at NPFs VTB profitability over the past year higher. That is why I decided to conclude an NGO agreement with NPF VTB. In addition, I like the reviews of the reviews of the SCC48/ 27 Reviews of November 7 at 19: 14 commentaries were here for legal support of the transaction when purchasing an apartment in the secondary market. They also helped with checking all the necessary documents. Specialists are very sensible to the Gramvs reviewer Service49/ 57 Reviews of Reviews on November 7 at 17: 46 in the car service I was immediately accepted and promptly did it all the most! Employees quickly replaced the corrugation because she had already rotted. Previously addressed to the full replacement of Glushitayniegsydtl39/ 11 Rights Zinazinaid Mirkin on November 7 at 15: 59 combinations recently, a very modern laboratory confirmation of paternity liked the attentive attitude of the personnel, a professional and qualitative approach to servicing a review of the removal, 39 reviews of the reviewer, on November 7 at 12: 10 compensation of the noblest place for dinema That they drove fed the seller well well. The environment of the Uyutovs reviews Akvasvasvis30/ 1 Review on November 7 at 11: 31 companies is not reliable. The promised time does not come. They asked you to come to eliminate non -service in the well: they feed breakfast. 2022 of October, the month is still yields. Reviews54 Center for the sale of goods and services On disinfectment of disinfecting deratization15/ 1, review -Kilia on November 7 at 9: 54th fools, they promise a guarantee for the service, they come, they say, they say a neglected case after the second processing, give a guarantee - in fact 1.11.2023 I ordered processing - 4.11.2023 - went to the VVSA RESPORTSY SSROTICAL massage Heat50/ 25 reviewsmaxim Gavrilov on November 7 at 6: 49 Distribution of the service of the Service of the Nedostatkina discovered the salon of erotic massage of the heat. This real paradise rested more than ever. Programs helped me a lot with Viskovsaeasy STOM48/ 59 Reviewer Malysheva November 7 at 0: 16 Distribution, the sensitivity of the doctorship of the doctorship was easily! A very polite personnel-handsome doctor who gently drilled my ill-fated tooth nervous system did not suffer from a reviewmaria-ra 20/1 review of on November 6 at 18: 55, I bought herring fillets in a jar, I didn’t look at the shelf life of the house when I cut it and I realized that the taste is strange. I looked and the term went out on September 24. The store Directorate You Cavse reviewsovita Verde49/ 13 Putsovdiana Prepasova on November 6 at 17: 31commenting periodically I contact the clinic for cosmetic procedures. Basically, I devote a greater choice of droppers. To maintain a healthy look of skin and body. The effects of the reviewtrum-Service50/ 6 are harmless and the effect on November 6 at 14: 47 something was with the screen on the phone could not deal with the husband. They gave it to the service center quickly found the reason and eliminated on the same day they did not take it expensive. I advise you to reviewdelta48/ 54 of the reviewel R November 6 at 14: 36 District, they came to meet the warmth helped to quickly take shape and sent immediately to the X -ray. Nedeostatki, the place of operation was a little when the anesthesia went down to be patient. Now the final -foster of beauty 36/1 reviewer is finished on November 6 at 14: 12th in full delight. Manicure Bliss! Thanks to Vera !!! All the reviews of Eximer46/ 99 Reviews Svetlano Demchenko on November 6 at 5: 01 compensation has already been operating for three years as their daughters were operating their eyes here - they conducted scleroplasty. And a year ago, she finally made LKZ (femo lasik) since due to scleroplasty myopia stopped the back of the back of the lifesaver50/ 26 Respiring Korotkov on November 5 at 20: 28 SPASIBO Huge for all personnel "Lifle stick"! I see a 5 -year -old child that he has progress in learning! Employees taught a lot! My child goes with pleasure for classes because everything is reviewed byTOP47/ 122 Options on November 5 at 19: 58 Distributions are taught! Interesting classes! Good place! Good price! Disadvantage of the Academy TOP! Thanks to this Academy, my son has learned many things. 1 Review of November 5 at 16: 20th day, I finally reached the recall of this wonderful studio .. Julia is a big fellow in terms of achieving the result on request, my main difficulty (like most girls) belly Boka Ivse Reviews 46/19 Review November 5 at 14 : 06 District clinic. I thought for a long time what to do with a vascular mesh and a rosation on my face and turned to the clinic of Altik and the doctor N.I. The doctor carefully listened to me and developed a plan for LVSE PROPROFOFO-MED27/ 1 REMODAMARA Fedorovna on November 5 at 6: 17 PRESTION TOMENTION. Your Admin Julia does not know how to communicate with clients. Very rude and boorish attitude. In connection with an acute illness, I asked me to take it to Lorus urgently where I was received by Disgavzetoktor40/ 11 Request Stepanov on November 4 at 15: 34 Distributor trying to portray the participation of the personnel. 11, 11, the Dr. Yorka 3 years old, was poorly analyzed and preliminary diagnosis of all reviews / 2 Izmarvanovna November 4 at 10: 20 Varrymny steam. !! On a memorial table when ordering borsch with meat, a stew of yellow color with 3 plastics of Kutya potatoes according to the 80g menu was served. They submitted less than 80 grams per 4 people with goulash with a back of the review PROPROKOVEVA M.A.50/ 1 Review of November 4 at 6: 43 Landing specialist. Inspires trust. She held a consultation for my mother (they traveled together, because my mother is a pensioner and does not particularly understand anything). Mom and I was satisfied. Immediately at the CDU consultation reviewsreborn44/ 21 Review of Petrishen on November 3 at 17: 43Dostosiyat, the monitor is simply a young man of the house -study of the Office. I contacted the Reborn service monitor took the next day everything works. I am very pleased with the report of the servy of the review of Dr. Sholokhov39/17 of the reviewsovladimyr November 3 at 12: 23 Distribution of the services of the service of the service of the Service -Statement of the Commerculture Hello! I want to share my experience. I was in the clinic of Dr. Sholokhov on Blefaroplasty of the upper and lower eyelids. The result is very removal classical school49/16 of the reviews of November 3 in 12: November 3 at 12: November 3 at 12: November 3 at 12: November 3 at 12 09 I like an individual approach and a good attitude towards students. If a problem arises in the classroom, then employees delve into it do not lower it from their hands, that is, they are included in the process and help children. To all the reviews of the student50/ 13 Reviews of November 3 at 10: 55 in dentistry I liked what I consulted made an X-ray to all the questions answered all questions. I turned my gum with acute pain. The doctor looked at Skavs Pensus50/ 3 S. Opavladimyr S. November 3 at 10: 06 really liked it. It seems that the video turned out better than it was on the cassette. I recommend it. All reviewsmart Motors30/ 1 purebaccontan on November 3 at 9: 37 will work the angry crooks. The day before the purchase of the Kalina Brake pedal, I was notified that it costs 150 rubles. I had to pay 350 rubles in the fact of purchase. On Vitrvs, a review of 2448/6 Review of Daniel on November 3 at 8: 24 Distribution of professionalism and accuracy in a hard -to -the -style of the Commentary, I actually work in the company of Nanny 24 and I am very comfortable at work. The management is responsive and all the reviews of eximer49/48 of the reviewslaris K. November 2 at 22: 30 commentary on her child to correct vision with glasses. After the phone recorded, they called before the day the visit was warned so that they would not forget. The head doctor took us. The clinic is a small offvce review of the Aurum47/ 57 reviews of Malakhov on November 2 at 22: 30 commentaries we have been here for the first time we have been here for the first time. I like quality good service always do everything clearly in terms of time. All reviews of impeccable manicure EMI42/ 73 of the review on November 2 at 17: 37 Distribution dreamed of undergoing training in EMI. The dream that she chose the online form! It is convenient that at any convenient time I can start learning. The teaching takes place in a very convenient application. PBCA of the reviewship49/ 43 is recalled on November 2 at 16: 23, I was satisfied with the work of a competent doctor who created comfortable conditions for me. The specialist conducted treatment and seized channels. All reviews of the Century47/ 3 Sharova recuscition on November 2 at 15: 55 Personable installations of new doors. The neighbors already asked where exactly we purchased them) Thank you already recommended you so that the new customers are waiting for them) all the reviews 36/77 Reviews Svetlan on November 2 At 13:48 compartment, everything was fine with the child. We liked cheese soups and pizza very tasty. All reviews of theConCONCERT 5423/3 Izaanastasia Timkina on November 2 at 13: 05 Dobroy all the day. More than six months have passed as the concert has been canceled for tickets have not yet been returned. They feed breakfasts do not respond to the telephone excuse “I’m busy working” All reviews of theultimax Service25/ 1 Pisierge Mikhailovich. November 2 at 12:30 reflective service, like a boorish attitude towards customers. I drove to change the oil demanded to knock down the snow on their sink. They simply refused to knock down the snow by saying that they could only “wash the car” all the reviews of the Service34/ 1 recruiter on November 2 at 12: 05 Baby -Robbery Service. After their rebout, a processor burned out after a few days. Moreover, when handing over for repairs, they assured me that everything would be fine. But although it is written in their act that the guarantee extends to TolVSE -Limp49/ 10 Review of the Review on November 2 at 12: 00 we go because the child likes the classes "Young speaker" what is the main thing for me. The lessons are held in a mild form, therefore, the child is happy to go and performs tasks. I chose the School of Potovsa Reviewsibwill50/ 1 Review of November 2 at 11: 30 MNE I liked everything visually including the layout. I turned to the company because someone prompted me to this idea and managers Marina and Dima are well done! Marina quickly and clearly did everything, and Dimvs's reviews of the reviews of Merk on November 2 at 11: 11 will be observed in this clinic for a couple of years with all our pets. Professional approach: nothing more is prescribed to the patients and their owners. Thank you so much! All the response -made boom20/ 1 reviewgulnara is on November 2 at 8: 28 ordered the cabinet of the compartment when they went to collect the tone of different doors at the snow -white and the second -hand said they said and now they change and now they change it and now Every Thursday they promise and they can’t bring a review of the pedicure50/ 1 psychalris on November 2 at 7: 25 hijacking. / 79 Reviews of November 2 at 5: 51, the peeling and Thai massage came to the capsule. Masters are very pleasant and sociable. They provided good care. All procedures were completed with high quality. I was satisfied. Be sure to PVCE REMARUPARUS30/ 10 Reviewed November 2 at 4: 19: I am a very good sanatorium I put 5 stars delight. Very kind and understanding honey. staff. Very worthy treatment, including the Dead Sea basin, is a vocational complex of professional reviews of the Dental Clinic46/ 13 reviewsergea on November 1 at 21: 27m I liked the doctor Ekaterina a related soul, therefore I trust her in all clinics. He took advantage of the treatment of caries. In the service, the quality and speed are comfortable and comfortable conditions and the attitude of the Pobvs is a response -target bar49/ 3 recallioner on November 1 at 21: 19 excessively everything was very cool at the level. I had a massage master of massage, I have been coming an individual approach to the quality of massage for the first time. I made the back of the master Ilya completely consultir to the background Park50/ 1 Semenova on November 1 at 21: 00 reads that the apartment is the type of housing that they usually take for rent, but in such a place I myself would not mind living. I have to work from here - 10 minutes on foot. Here is everything nearby: oats reviewspuls-auto48/ 49 reviewsergea November 1 at 20: 16 in the car service, pleasant staff work! Employees correctly explained and completed work related to the electrician in the variator of the Nissan Qashqai car. I was also recommended how to properly have a review of the review-balcony43/ 45 Reviews of Firinov on November 1 at 19: 28Dostal-resistant attitude towards customer-eatstatoxyuitocoumers, which made us all our expectations. It has become a cozy and functional space where we can enjoy the reviews of the response50/ 1 Review on November 1 at 18: 52 It is very comfortable quality manicure is excellent now your regular client! All reviews-Marketing49/ 8 Reviewor Elvira on November 1 at 18: 14 weekest-stitcommentary advertising agency! Only positive emotions of the review of the Roads-group25/ 1 admission on November 1 at 17: 48 very good agency! Professionals work their business !! For many years we have been “cooperating” with Irina Mikhailovna always everything at the highest level !!! Thank you for everything !! Everything is a responsive of the Real Estate50/ 24 of the reconciliation on November 1 at 12: 39, Evgeny's good and responsible approach! He is very good at once again not pulling everything says well done in the case! On the recommendation of acquaintances, I applied for the sale of the apartment to be registered as a review-Siberian bus station17/ 282, Rizaanastasia Taeva on November 1 at 10: 46 weeks of the carrier to its passengers !!!! 08.10.2023 Bus Novosibirsk-Zarinsk (landing Lenin St.) lingered for 45 minutes then an employee of the bus station when checking Bilevsa Permatology Statology on Lenin Street49/164 Specialized on November 1 at 10: 29 District, I know the advantages of private traders. The non-study of the service was called. They call and offer their service specialist on Robotvs's reviews of the AutokatMaster50/ 53 recusialonor on November 1 at 8: 05m I liked everything! They set up the speed of reception and quality of work. Employees accepted even before that time I was recorded quickly performed tire fitting and balancing the wheels. The father of my TVS is a review of the Bear 24/214 Resalecomer October 31 at 21: 07 to turn the Siberian bear only if there are no other providers. Work support is zero. Already for several days in a row in the evening, the speed drops to 5-7MB, apparently their ancient govnovs, the result is a review of 28/5 reviewships on October 31 at 18: 23 of the 23-dusk, it could not with such an attitude of the staff. The clinic’s nodostatkieteh exists, they wind up the reviews misleading. Commentary! Do not get fooled! Reviews by Nakruvse reviewsymonako25/ 1 reviewer on October 31 at 16: 39 made cilia ... Irina’s “Master” ... came home, within three hours, 4 missiles of cilia fell out of one eye. The eyelashes glued-kvda I want to hang out there. It is a pity the spent time and money reviewshadusha premium fitness women49/ 5 reviewsandra on October 31 at 15: 26 Proceedings are a wonderful place! Service at the highest level Comfortable stylish halls of locker rooms. A very beautiful entrance area of ​​the coffee shop where you can drink tea/coffee or a protein cocktail after training. Hence the Pensyadydarvin48/ 51 Review Dmitry Yezhov October 31 at 13: 55 commentaries, the Plainers know their job. The operation took place without the consequences of the reviewshelindlindlizing50/ 3 recuscidmitry Yezhov October 31 at 13: 51 business development of the business urgently needed an amount of 2 million. We decided with a partner that a great option would be to use the return leasing service. Turned to the company. The reviews of thezapspetstekteh25/ 1 recovery on October 31 at 12: 44 did not agree to the company and the office of the office would be a lifting at first raised the price for no reason (although the contract and the specification were signed) by 225tr. They brought the engine, it turned out not at all that they asked Vuvs as a review of Europe44/1 Izillekander on October 31 at 12: 41 very responsive and pleasant specialist. Quickly agreed very high -quality completed his work, I was always in touch, I did not explain everything, I advised me! It was nice to work! A big one reviewed the Glamur35/ 1 Remember 31 on October 12: 09 I was in the women's store Glamor I liked the smiling many goods consulted and helped with the choice of reviewsyblex36/ 1 The reconcile user on October 31 at 11: 42mash was a Hodovka, after the accident, the expert had to be shown in it. The employee of the Center normally made a collapse-reinstall showed that the wheels left and at the end issued all the necessary all the reviews of Light48/ 3 of the reconcile on October 31 at 9: 59thly made an order in this online store. The doors of good quality and prices are significantly lower than the omiting &amp; Colorlon36/ 21 Ratrapolin 31 on October 31 at 8: 39 Distribution, I just left for a terrible -pointed -core days in this store, I needed to consult my husband as a gift as a gift. I came across all the reviewermobot40/ 4 Opacislan Petrenko on October 31 at 7: 01-naval boiler room for the school and adjacent houses with a capacity of 900 kW was purchased in the last heating season. The expenses were reduced by 2-25 times and the costs of buying a boiler room and installation planning the Russian Office of Russia No. 9620/ 1 Pyntomila on October 31 at 6: 28 -ahead an idiot came up with a single reference service that you have to wait for an answer for more than 10 minutes. And they are not answered to the number of p/ o, the operating modes of the queue are the horror in the Mausoleum. All the review of the Park37/ 2 reconcutyana on October 31 at 6: 26, the very cool park rested with the whole family for pleasure. Interesting locations have something to see). The playground is super !!! Thank you for such a place) All reviews of the article Medical Article of the teeth: what is it like it is carried out by hygiene of the oral cavity in the dentistry of reading: 3 minutes 14 seconds of views: 345 dates of publication: 01/01/2023 NEAL DAY "Nail Day" feel unique! Medical article of the heart : what kind of procedure are readings and contraindications of reading: 8 minutes 11 seconds of views: 247DATE Publications: 09/26/2023 In more detail “Old Russia”-a place where you are always waiting for you! A cozy cafe on the Avenue of the Dzerzhinsky Massenian article: what problems the doctor solves and under What symptoms and diseases you need to sign up for a consultation of reading: 4 minutes 21 seconds of views: 135 Data Publications: 09/28/2023 In more detail-unique dental technologies in Novosibirskma will make your smile impeccable! “Healthy people”: Medical Center for Real Assistance Care for the main value-health-Health-Health-Health Pomegranate is a European level of medical services in Novosibirsk! Dental clinic on Krasnoye Prospekt New Organizations store of cargo spare parts Avtradinvosibirsk district Verkh-Tulinsky village village village Krasny Vostok Sovetskaya Street 62B NovosibirsksometicMathmassage_NSKDP. Kudryashovsky Viktor Petkau 32 Novosibirskkabinet hairdresser-colorist Dusi Kovalchuk 248 Novosibirsksalo Beauty Meduzaulitsa Blucher 73/1 Novosibirskmon Bonulitsa Nemirovich-Danchenko 146/1 NovosibirsklazerLine_Berdskooleg 7 Berdskzo 7 Berdskzo Otupnikinika of Bogdan Khmelnitsky 1 Novosibirskmono Studio Pro_ Rresnitsyulitsa Petukhova 79 Novosibirsk Studio Records of video feeders Snegovik Production Podcast -Railway District 630003 Vladimir Street 2 /1 Novosibirskkadrochny agency HR Recruiterdeputsk Street 46 Novosibirsk store Auto Marts Avtomoye Street Petukhova 51BK21 Novosibirskmozzherina.muahlinine 28 Novosibirskprnsprotelocomolosomolskaya 27 Berdskstudiy on the People’s Ulitsenarodnaya 47 Novosibirskniel-Lukesgrist Osova 32/1 Novosibirsk Studio Cosmetologist 27/1 Novosibirsk Studio Massage on the Lazurny Ulzelazuraya 24 Novosibirskkabinet manicure and pedicure in the Iskitimivoczal 4 Iskitim studio of manicure in Iskitimepushkina 24 Iskitim studio of beauty on the main street 49s. Lebedevo Central 49 Novosibirsknr_Geticaulis Sibiryakov-Gvardeytsy 51/1 Novosibirsk Masters. Leninskoye DNT Opin spaces 3 Novosibirskm`Egiadrien Leshen 29/1 Novosibirsk Center Dr. Ermakovakmunistic Street 50 Novosibirskpunkpunchte of issuing goods Yummigamishak 15 Novosibirskdenchik_v_bankenishegodskaya 27/1 Novosibirskophis Tsetti 77 Novosibirsk Studio JAZAKARY Avenue 86/2 Novosibirskholy Hell Narodnaya 8 Novosibirskhochaskhoproprospect of Dzerzhinsky 14/2 Novosibirskmassage cabinet Healthy spine Kirova 29 Novosibirsklook at Tatto Rozhkli Prospekt 65 Novosibirskshkoye School of emotional awareness just live Kububovaya 88 Novosibirsk Studio Smooth &amp; Solutionsrp. Linevo 4th microdistrict 9A Novosibirskkrikunova Lashaleksandra Chistyakova 2/1 Novosibirskna-Production Center Vector-VITAPARITARISTION 2 Novosibirskclinic BEAUTYULICA KROPOTKINA 132 Novosibirskkabinet-aesthetist Cosmasmic Soviet Taulitsa Zabalueva 96 Novosibirskkapaproskostcheva 74/1 Novosibirskparikmarkhmakhorerskaya Usteninina 4 Toguchinmedician center Life -Life Tula 142 Novosibirskparikmachmachmerek Laizasovite 204 K1 Iskimmax Style Studio. Verkh-Tula working 20 Novosibirsk Studio of the Beauty of Anna Sibiryakov-Gvardeytsy 51/1 Novosibirsk Companies Auto Auto Tolmachevskaya 21A Novosibirsk Companies for the Cargo Transportation Partner Communist 2 Novosibirskshkhol Machkalyana Kirov 113 Novosibirsk Medical Medical School Kalulitsa Yesenin 67 Novosibirsk Mmedician Migration Central City District 630000 Military Street 21 Novosibirskmitsubishi GDI Service Street 8/14 Novosibirskzoocenter Tafiulitsa Plakhotnaya 74/1 Novosibirsk Studio No. Zeleny Boro 7 Novosibirskskinological Club Siberia-Altyprota 82 Novosibirsk Studio Breding Kos Marinosulitsa Bolshevik 103 Novosibirsk Studio Depilation Epil_magic_nskulitsa Petukhova 162 Novosibirskbuti-Studio LUKSOPHIA 18 Novosibirsk sports club Dzerzhinetszerzhinsky district 630124 Dovator street 11 Novosibirsklub swimming Aqua Swimsovet street 60b Novosibirskbrows &amp; Lash.vnvkamena 74 Novosibirsk Center MS.Dermaulitsa Mikhai La Kulagina 29/1 Novosibirsksalo Beauty July Dzerzhinsky 32 NovosibirskanabrowGurokurokamenskaya 55 Novosibirskmedician laboratory of Littekhulitsa of the Heroes of the Revolution 23/1 Novosibirskkabynet Masakakiyaster Avenue 153g Novosibirsk Studio Massage LPG.figuragorsky microdistrict 8 NovosibirskBeauty Timekhov 69 K2 Novosibirskmassage Salon on Health 20 Novosibirsk Studio Correction of the Lillepshdadi 8 Novosibirskkabysk Kopabits on the Kotovsky Kotovokotovsky street 17 Siberian beauty on the Marine Prospekemorskaya Prospekt 58 Novosibirsk-school-studio-Studio Glagrp. Village 18 Koltsovoofp for children of the Korokorolev 8 Novosibirskmaster Strizhekulitsa Petukhova 12/4 Novosibirskkabinet massage therapist-aesthetistafedoseeva 2 Novosibirskvetliderfadeeva 66/5 Novosibirskdet Center for Correction and Speech of the Speech of the GUREVIELICA 42 Novosibirsklusinnia microdigns 32 Issecimima 32 Iskimima The extinguishing cabinet in the okitimeyuzhny microdistrict 55b is a look -out look. Marusino Street Gorky 42a Novosibirsksalo Beauty La Belles. Verkh-Tula Rainbow microdistrict 17/3 NovosibirskppTichkina lashessmicraion Green Bor 7 Novosibirskysky Visa Center Carround Magistral 16 Novosibirsk Flower Workshop 51 Novosibirskpunch at the Weith-Station 16 Novosibirskhoreographic Studio Skittelsulitsa Pen Tukhova 95/4 NovosibirskBogini Nielielitz Michurin 12a Novosibirskrvani Burgerulitsa Dusi Kovalchuk 187 Kiosk Novosibirsk Shopics House on Komsomolskaya Ulitses. Bagan Komsomolskaya 38b Novosibirskpecarny Batonrp. Kochenevo School 72 Novosibirskteddy Loftsteper 15 Overcomplex of the Atlantulita Tolstoy 133 Novosibirsk Shopics Bitcomlenin 112 Tatarskvitservisulis Chaplygina 35 Novosibirsk Center of Pre-Supervision Preparation of the Avtodode1th Krasnogorsky lane 41a Novosibirskkofeyni WAYULIA 67 Siberian store spare parts for the career and construction equipment of ZKTLIKOV 21 Novosibirskvs organizations with reviews and rating in Novosibirskavtomakaavtosovtoskolyaerobicaearobicaeerobicaerobicaerobicaerogaban and Saunabaseynabaseynabaseynablesparoplastilogolnitsybolingurger-grier service service of the Vetapteaptegiptegiptegiptegi-Detach-DETTENTENT ENSUMENTARIC CENTERS SADDISServised and drinking consultation of the Maslazo-Parquesobakaraoka-Barykatkaka-presideter store stores (KT) Computed clubs of clubs inekerossfittekrug -round -loser carpilled veterinary clinics carpilled clothing and shoe round -up restaurant -rustle -rustle -rustle -bonding salons and spacro -logo -round -shaped fitness fitness clubs English courses Massagerals manicaces hairdresses Hairdresses Hairdressions grain epilation of the bonding of the cerebral cerebral of household Technics stores of children's clothing and shoes of inexpensive clothing and shoes of lower linen stores Shuvils Shopics Shops stores Sports shops Sports clothing stores Supreme shops fabric stores Flower shops, Nailing, eyelashing eyelash-club clubs with dancing Bannias. Hairwoman and houses of resty-a-a-a-pilespilatespirapypyrapirsing salon reception of gynecologist entertainment of thectogenenlasticastrodomasauns and baths where you can do with their foods from the basin-sequences for delivery Floval Sports and Fitnesserization Cosemonelization of Coscustril Strage of Dogs (Gruming) Construction and Repair Railway Disvaluables of Folk consumption of consumption of glasses of vessels of the head of the head and neck services for the business services for animal services of laundry rooms with basic polloorography polloorography for documents STKA Salon Motorchimitable INCAL CONSTRUCTIONS ObSCISTRALS AND Gynecology Cygunzykhikhayhanytyka faces of the Personnel Schools of Dance Shugaring add a place to add access access to Organizations Help of vacancies about the "Zoon" media about us Zoon in other cities Blogue contacts of the error-tell us by clicking Ctrl +Enter phone: +7 (495) 660-39-16 Email: Corp@zoon.ru Address: 125252 Moscow g Chapaevsky PER HOUSE 14 FOREAR 2. OGRN: 1157746291878 Conditions for using the confidentiality policy of ZUN LLC-an IT company that provides customers with a software license to attract customers and manage a reputation on the network due to automated modules. Zun LLC carries out activities in the field of information technology. Type of activity (code): 62.09</v>
      </c>
    </row>
    <row r="371">
      <c r="A371" s="1" t="s">
        <v>1218</v>
      </c>
      <c r="B371" s="1" t="s">
        <v>1253</v>
      </c>
      <c r="C371" s="1" t="s">
        <v>1254</v>
      </c>
      <c r="D371" s="1">
        <v>11.0</v>
      </c>
      <c r="E371" s="4" t="s">
        <v>1255</v>
      </c>
      <c r="F371" s="1" t="s">
        <v>16</v>
      </c>
      <c r="I371" s="2">
        <v>3.0</v>
      </c>
      <c r="J371" s="5" t="str">
        <f>IFERROR(__xludf.DUMMYFUNCTION("GOOGLETRANSLATE(A371)"),"DNS")</f>
        <v>DNS</v>
      </c>
      <c r="K371" s="6" t="str">
        <f>IFERROR(__xludf.DUMMYFUNCTION("GOOGLETRANSLATE(B371)"),"DNS store in Novosibirsk - Swamp")</f>
        <v>DNS store in Novosibirsk - Swamp</v>
      </c>
      <c r="L371" s="5" t="str">
        <f>IFERROR(__xludf.DUMMYFUNCTION("GOOGLETRANSLATE(C371)"),"The DNS store in Novosibirsk at the Novosibirsk Region, Bolotnoye, Ul 50 years of October, D 1, how to get, prices, phone number, rating, work schedule.")</f>
        <v>The DNS store in Novosibirsk at the Novosibirsk Region, Bolotnoye, Ul 50 years of October, D 1, how to get, prices, phone number, rating, work schedule.</v>
      </c>
      <c r="M371" s="5" t="str">
        <f>IFERROR(__xludf.DUMMYFUNCTION("GOOGLETRANSLATE(G371)"),"#VALUE!")</f>
        <v>#VALUE!</v>
      </c>
    </row>
    <row r="372">
      <c r="A372" s="1" t="s">
        <v>1218</v>
      </c>
      <c r="B372" s="1" t="s">
        <v>1256</v>
      </c>
      <c r="C372" s="1" t="s">
        <v>1257</v>
      </c>
      <c r="D372" s="1">
        <v>12.0</v>
      </c>
      <c r="E372" s="4" t="s">
        <v>1258</v>
      </c>
      <c r="F372" s="1" t="s">
        <v>16</v>
      </c>
      <c r="G372" s="1" t="s">
        <v>1259</v>
      </c>
      <c r="H372" s="4" t="s">
        <v>1260</v>
      </c>
      <c r="I372" s="2">
        <v>3.0</v>
      </c>
      <c r="J372" s="5" t="str">
        <f>IFERROR(__xludf.DUMMYFUNCTION("GOOGLETRANSLATE(A372)"),"DNS")</f>
        <v>DNS</v>
      </c>
      <c r="K372" s="6" t="str">
        <f>IFERROR(__xludf.DUMMYFUNCTION("GOOGLETRANSLATE(B372)"),"DNS Shop in St. Petersburg - Addresses on the map and reviews")</f>
        <v>DNS Shop in St. Petersburg - Addresses on the map and reviews</v>
      </c>
      <c r="L372" s="5" t="str">
        <f>IFERROR(__xludf.DUMMYFUNCTION("GOOGLETRANSLATE(C372)"),"DNS Shop addresses in St. Petersburg ... Bad! The store has good sellers, delivery is very bad. The manager transfers to the courier, the courier mumbles nothing to say ...")</f>
        <v>DNS Shop addresses in St. Petersburg ... Bad! The store has good sellers, delivery is very bad. The manager transfers to the courier, the courier mumbles nothing to say ...</v>
      </c>
      <c r="M372" s="5" t="str">
        <f>IFERROR(__xludf.DUMMYFUNCTION("GOOGLETRANSLATE(G372)"),"Directory of St. Petersburg-Phones and addresses of organizations of St. Petersburg menus of St. Petersburg St. Petersburgarogrossiyakosiakanblargograd Voronezh Ekaterinburg Irkutsk Krasnoyarsk Moscow Nizhny Novgorod Novosibirsk Omsk Perm Ryazan Samara Sa"&amp;"mara Saratov Saratov Smolen SK Togliatti Tula Tyumen Ufa Chelyabinsk all cities of Russia Dnipro Zaporozhye Kiev Lviv Odessa Kharkov all the cities of Ukraine Almaty Karaganda Kostanay Nur Sultan (Astana) Pavlodar Ust-Kamenogorsk All cities of Kazakhstan "&amp;"Brest Grodsk Grodsk Minsk Mogilev all cities Belarus Motor Showsalons Banks Veterinary clinic clinic stores of furniture Medical centers Remes Lones Beauty of taxi service Dental clinics insurance companies Construction companies Trade centers of travel a"&amp;"gency fitness Clubs of dry cleaning schools of foreign languages ​​Jewelry stores all reference books Find the School of Organizations St. Petersburg-Popular Paul Subskavtosalones470 Auto Service663 Auto-School 332 Driving Agencies Pharmacies15 Rent of sp"&amp;"ecial equipment471 Ateliers for sewing clothing620 banks128 bars18 basins6 accounting courses74 Bureau of translations 208 Bicycle stores186 Veterinary pharmacies183 Veterinary clinics271 Wine stores169 Gymnasium112 Gynecological clinics171 Hypermarkets1 "&amp;"Fe242 Cinemas80 Cleaning companies 22 Bookstores310 Computer stores Children's clothing195 Toy stores544 Skin stores and fur stores kitchen 628 stores furniture255 Lower underwear stores 695 Shoes Schools312 Clothing stores553 Gifts Gifts 560 stores I nee"&amp;"dle it 282 Slate shops525 SPRIEDS OF SPIRITS 386 Shops 95 Shoes and discs505 Power tool stores MFC62 stretch ceilings538 bakery71 Plastic windows137 Plastic surgery 116 Sushi-bars клубы305 Химчистки92 Центры йоги9 Чайные магазины330 Шиномонтаж139 Школы ин"&amp;"остранных языков515 Школы танцев542 Ювелирные магазины684 Юридические компании92 Автобизнес Бытовая техника Госучреждения Детские товары Досуг и развлечения Другие организации Здоровье и спорт Информационные технологии Искусство Магазины Мебель Медицина М"&amp;"ода и красота Недвижимость Образование Одежда и обувь Охрана и безопасность Полиграфия Предметы интерьера Products of food manufacturers and suppliers Other services Advertising Services Restaurants Restaurants and Cafe Social Organizations Reference and "&amp;"Media Construction Construction materials Telecommunications goods for home transport tourism and rest services for animal services for the population Services Electronics Legal Services St. Petersburg Service Petershofa58 In St. Petersburg Boxberry 274 r"&amp;"eviews Boxberry H&amp;M 17 reviews H&amp;M intimissimi 22 INTIMISSIMI LAMODA 370 reviews Lamoda Love Republic 2 reviews Love Republic Nike Obi 112 reviews OBII OSTIN 124 reviews of Ostin Rendez Vous 115 Reviews Rendez Vous Reserved 132 Reserved SPSR- Express 432 "&amp;"SPSR-Express SunLight 706 reviews SunLight Tommy Hilfiger 2 Excavigns Tommy Hilfiger Zara 33 Zara Alfa Bank 696 Reviews Alfa Auchan 384 Excitage Beeline 624 review Gazelkin 84 Gazelkin Gazelkin Gazelkin Gazelkin Gazelkin Permarket Okay 424 review hypermar"&amp;"ket Oksa Gloria Jeans 96 reviews Gloria Jeans Tenser COMP 234 RECRESS TOGARTOVKOF DECHEL 166 Reviews DECHEL MIR 549 Reviews Children's world daughters Sons 624 Dishenta Son Comus 57 Reviews Coffee House 119 Reviews Coffee House Haus Lenta 428 Lyuroa Merle"&amp;"n 617 Reviews Merlen Merlen Merlen Merlen Merlen Merlen Merlen Video Shop Shop 6 reviews store Leonardo stores 585 Gold 108 reviews stores 585 Gold magnet 662 Magnit Magnit Moscow Jewelry Plant 383 REMOMS Moscow Jewelry Plant First Bit 53 Rive Gosh 447 Re"&amp;"views Rive Rive Rivf Rosselkhozbank 281 Reviews Rosselzbank Sberbank 967 Reviews Sberbank Sberbank SDAK ​​164 7 Reviews SDEK Citylink 535 Reviews Citylink Sportmaster 315 reviews Sportmaster Tausovichkof 188 Reviews Taxovichkof your 316 reviews of your re"&amp;"views 19 reviews Palych's 467 reviews Surname Eldorado 516 reviews Eldorado Reviews about the companies of St. Petersburg Popular Section Makers of Medicine Medicine Medicine Medicine Details and shoes Repair transportation tutorials and rest Information "&amp;"Policy Confidentiality Regions+ Add Communication company use the mailing address: mail@kitabi.ru")</f>
        <v>Directory of St. Petersburg-Phones and addresses of organizations of St. Petersburg menus of St. Petersburg St. Petersburgarogrossiyakosiakanblargograd Voronezh Ekaterinburg Irkutsk Krasnoyarsk Moscow Nizhny Novgorod Novosibirsk Omsk Perm Ryazan Samara Samara Saratov Saratov Smolen SK Togliatti Tula Tyumen Ufa Chelyabinsk all cities of Russia Dnipro Zaporozhye Kiev Lviv Odessa Kharkov all the cities of Ukraine Almaty Karaganda Kostanay Nur Sultan (Astana) Pavlodar Ust-Kamenogorsk All cities of Kazakhstan Brest Grodsk Grodsk Minsk Mogilev all cities Belarus Motor Showsalons Banks Veterinary clinic clinic stores of furniture Medical centers Remes Lones Beauty of taxi service Dental clinics insurance companies Construction companies Trade centers of travel agency fitness Clubs of dry cleaning schools of foreign languages ​​Jewelry stores all reference books Find the School of Organizations St. Petersburg-Popular Paul Subskavtosalones470 Auto Service663 Auto-School 332 Driving Agencies Pharmacies15 Rent of special equipment471 Ateliers for sewing clothing620 banks128 bars18 basins6 accounting courses74 Bureau of translations 208 Bicycle stores186 Veterinary pharmacies183 Veterinary clinics271 Wine stores169 Gymnasium112 Gynecological clinics171 Hypermarkets1 Fe242 Cinemas80 Cleaning companies 22 Bookstores310 Computer stores Children's clothing195 Toy stores544 Skin stores and fur stores kitchen 628 stores furniture255 Lower underwear stores 695 Shoes Schools312 Clothing stores553 Gifts Gifts 560 stores I needle it 282 Slate shops525 SPRIEDS OF SPIRITS 386 Shops 95 Shoes and discs505 Power tool stores MFC62 stretch ceilings538 bakery71 Plastic windows137 Plastic surgery 116 Sushi-bars клубы305 Химчистки92 Центры йоги9 Чайные магазины330 Шиномонтаж139 Школы иностранных языков515 Школы танцев542 Ювелирные магазины684 Юридические компании92 Автобизнес Бытовая техника Госучреждения Детские товары Досуг и развлечения Другие организации Здоровье и спорт Информационные технологии Искусство Магазины Мебель Медицина Мода и красота Недвижимость Образование Одежда и обувь Охрана и безопасность Полиграфия Предметы интерьера Products of food manufacturers and suppliers Other services Advertising Services Restaurants Restaurants and Cafe Social Organizations Reference and Media Construction Construction materials Telecommunications goods for home transport tourism and rest services for animal services for the population Services Electronics Legal Services St. Petersburg Service Petershofa58 In St. Petersburg Boxberry 274 reviews Boxberry H&amp;M 17 reviews H&amp;M intimissimi 22 INTIMISSIMI LAMODA 370 reviews Lamoda Love Republic 2 reviews Love Republic Nike Obi 112 reviews OBII OSTIN 124 reviews of Ostin Rendez Vous 115 Reviews Rendez Vous Reserved 132 Reserved SPSR- Express 432 SPSR-Express SunLight 706 reviews SunLight Tommy Hilfiger 2 Excavigns Tommy Hilfiger Zara 33 Zara Alfa Bank 696 Reviews Alfa Auchan 384 Excitage Beeline 624 review Gazelkin 84 Gazelkin Gazelkin Gazelkin Gazelkin Gazelkin Permarket Okay 424 review hypermarket Oksa Gloria Jeans 96 reviews Gloria Jeans Tenser COMP 234 RECRESS TOGARTOVKOF DECHEL 166 Reviews DECHEL MIR 549 Reviews Children's world daughters Sons 624 Dishenta Son Comus 57 Reviews Coffee House 119 Reviews Coffee House Haus Lenta 428 Lyuroa Merlen 617 Reviews Merlen Merlen Merlen Merlen Merlen Merlen Merlen Video Shop Shop 6 reviews store Leonardo stores 585 Gold 108 reviews stores 585 Gold magnet 662 Magnit Magnit Moscow Jewelry Plant 383 REMOMS Moscow Jewelry Plant First Bit 53 Rive Gosh 447 Reviews Rive Rive Rivf Rosselkhozbank 281 Reviews Rosselzbank Sberbank 967 Reviews Sberbank Sberbank SDAK ​​164 7 Reviews SDEK Citylink 535 Reviews Citylink Sportmaster 315 reviews Sportmaster Tausovichkof 188 Reviews Taxovichkof your 316 reviews of your reviews 19 reviews Palych's 467 reviews Surname Eldorado 516 reviews Eldorado Reviews about the companies of St. Petersburg Popular Section Makers of Medicine Medicine Medicine Medicine Details and shoes Repair transportation tutorials and rest Information Policy Confidentiality Regions+ Add Communication company use the mailing address: mail@kitabi.ru</v>
      </c>
    </row>
    <row r="373">
      <c r="A373" s="1" t="s">
        <v>1218</v>
      </c>
      <c r="B373" s="1" t="s">
        <v>1261</v>
      </c>
      <c r="C373" s="1" t="s">
        <v>1262</v>
      </c>
      <c r="D373" s="1">
        <v>13.0</v>
      </c>
      <c r="E373" s="4" t="s">
        <v>1263</v>
      </c>
      <c r="F373" s="1" t="s">
        <v>16</v>
      </c>
      <c r="G373" s="1" t="s">
        <v>1264</v>
      </c>
      <c r="H373" s="4" t="s">
        <v>1265</v>
      </c>
      <c r="I373" s="2">
        <v>1.0</v>
      </c>
      <c r="J373" s="5" t="str">
        <f>IFERROR(__xludf.DUMMYFUNCTION("GOOGLETRANSLATE(A373)"),"DNS")</f>
        <v>DNS</v>
      </c>
      <c r="K373" s="6" t="str">
        <f>IFERROR(__xludf.DUMMYFUNCTION("GOOGLETRANSLATE(B373)"),"DNS Settings with registrars - Tilda Help Center")</f>
        <v>DNS Settings with registrars - Tilda Help Center</v>
      </c>
      <c r="L373" s="5" t="str">
        <f>IFERROR(__xludf.DUMMYFUNCTION("GOOGLETRANSLATE(C373)"),"For a domain that needs to be configured, find the “DNS” control section. Click “+Add another entry” and select the type of recording A. Click on the IKNOKA with ...")</f>
        <v>For a domain that needs to be configured, find the “DNS” control section. Click “+Add another entry” and select the type of recording A. Click on the IKNOKA with ...</v>
      </c>
      <c r="M373" s="5" t="str">
        <f>IFERROR(__xludf.DUMMYFUNCTION("GOOGLETRANSLATE(G373)"),"Reference Center Reference Center for the work of the work of the workload is arranged tilditioning a new pages of the page of the page in another accommodation of the page order and httpskak to buy a domain to connect the domain on the DNS of Tilda Instr"&amp;"uctions for the popular registration assignment when connecting domaining HTTPS (SSL serience ) How to make mail for domaining site -site -site site Domenashapa Site and basement -heading pinting page https. HTTPS creation of packet -editing pages to make"&amp;" menicacious references to the page Publishing a pages of a page to other peremilory work with the cover version of the site sitagid on seo -pooppantimization of the SEOPOPPIPPICAL SAVICIAL SAM ookkak make a blog gearing aids the target add a search for a"&amp;" deliberate gap and soft carrier to save the page in the pdfkak Create a template -cuttage to make online -S Write out of the “List of Pages” Clickable Email and the television collection of the site in social networks input of data of the loading data an"&amp;"d scrolls to change the color of the icon tilda icons-storenitanneter and receiving payment of commodities for goods for goods with a basket of payment systems for payment systems of order Sorry without payment of online sale of one product With the choic"&amp;"e of parameterians, delivery of delivery products for purchase air cassub form of datamailGoogle acceptance tables tablechimpgoogle FormssendgridsENEGETRESPONSPONINISENISENISENEMAMAMAMAMAGAPHAROMONBIROCHOL MtelegramslackzapiernotiontrellosalesalesForcehub"&amp;"spotSendinbluepipedrive data redignment for server scripts toasts Siteakak Statistics Stagandexagoogle Analytics Send data on vilian EBookpixel VKontaktegoogle Tag Managerseogid on Seozero Block. Highly Continclical Designing Modular Mesh -Gorgery Clay An"&amp;"imation -step -haired animation -enemigger animation of the figmazor designer. Lettering of mailing trifles and payment plans for auto -casual -cave -free payments for the payment of Personal to Business are more than more developing aircraft. Plugin for "&amp;"WordPress INFECTIONS INFORMATIONS INSCRIPENDENDENAROCOLOKENTRARY SETAMS STRICTIONAL PROPRENLELLALINE-MARDINGRIDZERO BLOCK DISTRICTOR Tilder Tilda Detailed Instructions for Functions Frequently asked questions of an introductory tour and useful links Searc"&amp;"h sections start work How Tilda is arranged DOMEN TILDOME DOMEN TILDIOSHKI DO DO NOME DOMENT Show everything → Site settings of the hat and basement fonts ⭐️ The main page of the folder editing of the siteafavicon (icon in the tab) show everything → Page "&amp;"editing how to make menus with the covers of the mobile version of the mobile version with the page ⭐️ show everything → online store → online store → online store Online store and receiving payments ⭐️ Work with the basket catalog and adding goods to the"&amp;" options and options for goods of payment systems ⭐️ Delivery services show everything → Forms of data acceptance setting ⭐️ Emailda CRM ⭐️Google Gratitude tables show all → Statistics of the site built-in static static stations site ⭐️ Statistics of onli"&amp;"ne store Yandex.Metricias Google Analyticss Division Google Tag Managerpixel Facebook show everything → SEO guide for Seo ⭐️ How to add a site in Google and Yandexpanel SEO Recommendations for the site ⭐️ Curlier Tags h1 h2 h3kak add keywords show everyth"&amp;"ing → Zero Block Starting work Knowledgeable accountukak download invoice With Personal on Business, it is more to show more sites → Streams and News How to make a blogging streams on the site ⭐️Seo setting post -ogle AMP and Yandex.Troboding comments to "&amp;"posts show everything → Designer of letters Presentation of the Designer of Letters Creation and Submission of Salmages of Sending Sending Subjects for the Code Show everything with a paid mailing list → Developers Insert Code insertion to the code page i"&amp;"n the Head Setexport Siteapi Sitaapi Sinection Store Street Store on Webhook Plagin for WordPress show everything → Popular queries How to Connect your Domencake to Move your Made On Tildkak. Connect the HTTPS protocol. To add the phavicon (site icon for "&amp;"Browser)? How to connect forms how to add a link to a specific place on the page you can see changes after publication, create a page to copy a page to improve SEO how to make your block using zero Blocks insert a html-kodkak adjust the mobile version to "&amp;"make menus to convert a standard block into zero Block how to make the Internet to make the Internet -Sagingde to see examples of site sites to work in Tildekak to change the Personal tariff for Busryskak to pay to cashless questions and answers → Video t"&amp;"utorials → Video tutorials → How to make one-page site 35:12 How to make an online store 26:24 How to make a multi-page site 20:30 how to make a blog 16: 10 Step -by -step animation in Tilda 11:44 Work in the editor began to work how to work in a text edi"&amp;"tor how to configure the form how to make a site menu how to configure a hat and basement zero Block in a live broadcast of step -by -step animation rubber layout of the site how to transfer a mock -up from a graphic editor Tilda has a difficult animation"&amp;" in Zero Block Settings of the site how to connect data reception services multilingual site on Tilde how to configure the basket how to add goods options on how to make convenient navigation on the site how to work in Tilda CRM design a site grid on Tild"&amp;"a: how to put a visual order as a designer on tilda To receive the first orders of the site typographic on Tilda where the designer on Tilda Put the portfolio show more video → Find the designer in Tilda Experts to find a proven artist for your project, f"&amp;"ill out the brief at the Tilda Experts site and get the responses of relevant experts. Read more → Tilda Education → Educational Journal of the Platform for creating websites Tilda Publinging. Practical design and marketing guidelines for digital projects"&amp;". Creation of Landing Page Free online contribution that will teach to create effective planting pages online marketing from scratch online educational institution that will teach to work with web analytics and advance on social networks. Design in the di"&amp;"gital environment about the stages of work on web design theory of design and development Visual taste Animation in the Web Free online study from which you will learn about types of web animation and rules for its use Creation of the Site how to create a"&amp;" site. Step-by-step guide how to make an online store on your own how to make beautiful articles on Tilda Tips for creating navigation Design Chek List: Design errors where to find pictures for a site or article How to make a site cover for the choice of "&amp;"font Zero Block Marketing How to write a text for a landing SEO website promotion on Tilde Creating an e-mail mailing list How to find and fix the errors of seo Personalization of the Landering Advertising and SMM how to assemble a list of key phrases for"&amp;" playing advertising step-by-step guide for start-ups for newcomers to a step-by-step guide for launching a facebook for newcomers Promotion on social networks is more materials → Tilda.cc Tilda Education Video tutors Webinars Blog telling about the viola"&amp;"tion of rights if you think that the user Tilda Publicing violates your rights to send us through the form of support for consultations on the functions of the platform use the feedback form in your personal Cabinet or write on team@tilda.cc for accountin"&amp;"g to get closing documents or confirmation of payment - write to docs@tilda.cc make on tilda")</f>
        <v>Reference Center Reference Center for the work of the work of the workload is arranged tilditioning a new pages of the page of the page in another accommodation of the page order and httpskak to buy a domain to connect the domain on the DNS of Tilda Instructions for the popular registration assignment when connecting domaining HTTPS (SSL serience ) How to make mail for domaining site -site -site site Domenashapa Site and basement -heading pinting page https. HTTPS creation of packet -editing pages to make menicacious references to the page Publishing a pages of a page to other peremilory work with the cover version of the site sitagid on seo -pooppantimization of the SEOPOPPIPPICAL SAVICIAL SAM ookkak make a blog gearing aids the target add a search for a deliberate gap and soft carrier to save the page in the pdfkak Create a template -cuttage to make online -S Write out of the “List of Pages” Clickable Email and the television collection of the site in social networks input of data of the loading data and scrolls to change the color of the icon tilda icons-storenitanneter and receiving payment of commodities for goods for goods with a basket of payment systems for payment systems of order Sorry without payment of online sale of one product With the choice of parameterians, delivery of delivery products for purchase air cassub form of datamailGoogle acceptance tables tablechimpgoogle FormssendgridsENEGETRESPONSPONINISENISENISENEMAMAMAMAMAGAPHAROMONBIROCHOL MtelegramslackzapiernotiontrellosalesalesForcehubspotSendinbluepipedrive data redignment for server scripts toasts Siteakak Statistics Stagandexagoogle Analytics Send data on vilian EBookpixel VKontaktegoogle Tag Managerseogid on Seozero Block. Highly Continclical Designing Modular Mesh -Gorgery Clay Animation -step -haired animation -enemigger animation of the figmazor designer. Lettering of mailing trifles and payment plans for auto -casual -cave -free payments for the payment of Personal to Business are more than more developing aircraft. Plugin for WordPress INFECTIONS INFORMATIONS INSCRIPENDENDENAROCOLOKENTRARY SETAMS STRICTIONAL PROPRENLELLALINE-MARDINGRIDZERO BLOCK DISTRICTOR Tilder Tilda Detailed Instructions for Functions Frequently asked questions of an introductory tour and useful links Search sections start work How Tilda is arranged DOMEN TILDOME DOMEN TILDIOSHKI DO DO NOME DOMENT Show everything → Site settings of the hat and basement fonts ⭐️ The main page of the folder editing of the siteafavicon (icon in the tab) show everything → Page editing how to make menus with the covers of the mobile version of the mobile version with the page ⭐️ show everything → online store → online store → online store Online store and receiving payments ⭐️ Work with the basket catalog and adding goods to the options and options for goods of payment systems ⭐️ Delivery services show everything → Forms of data acceptance setting ⭐️ Emailda CRM ⭐️Google Gratitude tables show all → Statistics of the site built-in static static stations site ⭐️ Statistics of online store Yandex.Metricias Google Analyticss Division Google Tag Managerpixel Facebook show everything → SEO guide for Seo ⭐️ How to add a site in Google and Yandexpanel SEO Recommendations for the site ⭐️ Curlier Tags h1 h2 h3kak add keywords show everything → Zero Block Starting work Knowledgeable accountukak download invoice With Personal on Business, it is more to show more sites → Streams and News How to make a blogging streams on the site ⭐️Seo setting post -ogle AMP and Yandex.Troboding comments to posts show everything → Designer of letters Presentation of the Designer of Letters Creation and Submission of Salmages of Sending Sending Subjects for the Code Show everything with a paid mailing list → Developers Insert Code insertion to the code page in the Head Setexport Siteapi Sitaapi Sinection Store Street Store on Webhook Plagin for WordPress show everything → Popular queries How to Connect your Domencake to Move your Made On Tildkak. Connect the HTTPS protocol. To add the phavicon (site icon for Browser)? How to connect forms how to add a link to a specific place on the page you can see changes after publication, create a page to copy a page to improve SEO how to make your block using zero Blocks insert a html-kodkak adjust the mobile version to make menus to convert a standard block into zero Block how to make the Internet to make the Internet -Sagingde to see examples of site sites to work in Tildekak to change the Personal tariff for Busryskak to pay to cashless questions and answers → Video tutorials → Video tutorials → How to make one-page site 35:12 How to make an online store 26:24 How to make a multi-page site 20:30 how to make a blog 16: 10 Step -by -step animation in Tilda 11:44 Work in the editor began to work how to work in a text editor how to configure the form how to make a site menu how to configure a hat and basement zero Block in a live broadcast of step -by -step animation rubber layout of the site how to transfer a mock -up from a graphic editor Tilda has a difficult animation in Zero Block Settings of the site how to connect data reception services multilingual site on Tilde how to configure the basket how to add goods options on how to make convenient navigation on the site how to work in Tilda CRM design a site grid on Tilda: how to put a visual order as a designer on tilda To receive the first orders of the site typographic on Tilda where the designer on Tilda Put the portfolio show more video → Find the designer in Tilda Experts to find a proven artist for your project, fill out the brief at the Tilda Experts site and get the responses of relevant experts. Read more → Tilda Education → Educational Journal of the Platform for creating websites Tilda Publinging. Practical design and marketing guidelines for digital projects. Creation of Landing Page Free online contribution that will teach to create effective planting pages online marketing from scratch online educational institution that will teach to work with web analytics and advance on social networks. Design in the digital environment about the stages of work on web design theory of design and development Visual taste Animation in the Web Free online study from which you will learn about types of web animation and rules for its use Creation of the Site how to create a site. Step-by-step guide how to make an online store on your own how to make beautiful articles on Tilda Tips for creating navigation Design Chek List: Design errors where to find pictures for a site or article How to make a site cover for the choice of font Zero Block Marketing How to write a text for a landing SEO website promotion on Tilde Creating an e-mail mailing list How to find and fix the errors of seo Personalization of the Landering Advertising and SMM how to assemble a list of key phrases for playing advertising step-by-step guide for start-ups for newcomers to a step-by-step guide for launching a facebook for newcomers Promotion on social networks is more materials → Tilda.cc Tilda Education Video tutors Webinars Blog telling about the violation of rights if you think that the user Tilda Publicing violates your rights to send us through the form of support for consultations on the functions of the platform use the feedback form in your personal Cabinet or write on team@tilda.cc for accounting to get closing documents or confirmation of payment - write to docs@tilda.cc make on tilda</v>
      </c>
    </row>
    <row r="374">
      <c r="A374" s="1" t="s">
        <v>1218</v>
      </c>
      <c r="B374" s="1" t="s">
        <v>1266</v>
      </c>
      <c r="C374" s="1" t="s">
        <v>1267</v>
      </c>
      <c r="D374" s="1">
        <v>14.0</v>
      </c>
      <c r="E374" s="4" t="s">
        <v>1268</v>
      </c>
      <c r="F374" s="1" t="s">
        <v>16</v>
      </c>
      <c r="G374" s="1" t="s">
        <v>1269</v>
      </c>
      <c r="H374" s="4" t="s">
        <v>1270</v>
      </c>
      <c r="I374" s="2">
        <v>3.0</v>
      </c>
      <c r="J374" s="5" t="str">
        <f>IFERROR(__xludf.DUMMYFUNCTION("GOOGLETRANSLATE(A374)"),"DNS")</f>
        <v>DNS</v>
      </c>
      <c r="K374" s="6" t="str">
        <f>IFERROR(__xludf.DUMMYFUNCTION("GOOGLETRANSLATE(B374)"),"Program of profitable purchases Prozapass")</f>
        <v>Program of profitable purchases Prozapass</v>
      </c>
      <c r="L374" s="5" t="str">
        <f>IFERROR(__xludf.DUMMYFUNCTION("GOOGLETRANSLATE(C374)"),"Any product participating in the Prozapass program in stores or on DNS network sites. The number of bonuses accrued for the goods can be seen next to ...")</f>
        <v>Any product participating in the Prozapass program in stores or on DNS network sites. The number of bonuses accrued for the goods can be seen next to ...</v>
      </c>
      <c r="M374" s="5" t="str">
        <f>IFERROR(__xludf.DUMMYFUNCTION("GOOGLETRANSLATE(G374)"),"The program of profitable purchases Prozapass program of profitable purchases Prozapass are frequently asked questions why participate in the program? How to save bonuses? How to spend bonuses? What are bonuses? How to get a card? If the card is already i"&amp;"n the program? We will return part of the Prozapass program to Prozapass program. Personal bonus account. And you are pleased and we don’t feel sorry! You make purchases and automatically get bonuses for your bonus accounted bonuses. You can get a discoun"&amp;"t of up to 100% of the cost of new purchases. How to save bonuses? Get bonuses when buying a Prozapass program in stores or on network sites DNS. The redness of bonuses accrued for the goods can be seen next to the price of each product participating in t"&amp;"he Prozapass program. Immediately after registering on the site and confirming the phone number you open a bonus account and from this moment you can save bonuses. How to spend bonuses? Get discounts when purchasing a product! When buying in a store, you "&amp;"need to present a card at the checkout until the purchase is paid. Balance in your personal account to get a balance on SMS, bonuses become active 15 days after they are accrued on the card. (Read more) Bonuses should be spent within 365 calendar days fro"&amp;"m the moment of the last activity on a bonus card. (Read more) Bonuses can be spent when buying any types of goods and services, except: Gift cards for payment of insurance products payment of contributions for any types of loans for delivery services for"&amp;" the installation and dismantling of large -sized equipment. What are bonuses? 1 accumulated bonus - this is 1 ruble of discounts! Simply and without deception! How to get a card? Two simple ways to receive a bonus card Prozapass: 1. Super simple way to g"&amp;"et a card contact the sales consultant in any of the DNS 2. MEGA SIMPLEMENT MACHER A CARE OF THE SITS AND ABOUT THE MOST MOST MOST MOST MOVE NUMBER Phone. What is your phone number to the seller of any of the DNS chain stores and get a bonus card. (Read m"&amp;"ore) already has an account!? Enter the site place the order by setting the flag ""Register in the bonus program"" and you will become a participant in the bonus program. Only an individual who is 18 years old at the time of registration can receive a car"&amp;"d. If the card is already there, register on the site and copy Online bonuses! If you have already been issued in the DNS chain store Prozapass and you want to make purchases in an online store with bonuses on your card, you should register on the site an"&amp;"d confirm your phone number and place the order by setting the flag ""Register in the bonus program."" You can find out how many bonuses on your card can be in your personal account and for sellers in the chain of stores. Get service by phone number. Do n"&amp;"ot keep and do not look for a bunch of papers on the purchase of goods,")</f>
        <v>The program of profitable purchases Prozapass program of profitable purchases Prozapass are frequently asked questions why participate in the program? How to save bonuses? How to spend bonuses? What are bonuses? How to get a card? If the card is already in the program? We will return part of the Prozapass program to Prozapass program. Personal bonus account. And you are pleased and we don’t feel sorry! You make purchases and automatically get bonuses for your bonus accounted bonuses. You can get a discount of up to 100% of the cost of new purchases. How to save bonuses? Get bonuses when buying a Prozapass program in stores or on network sites DNS. The redness of bonuses accrued for the goods can be seen next to the price of each product participating in the Prozapass program. Immediately after registering on the site and confirming the phone number you open a bonus account and from this moment you can save bonuses. How to spend bonuses? Get discounts when purchasing a product! When buying in a store, you need to present a card at the checkout until the purchase is paid. Balance in your personal account to get a balance on SMS, bonuses become active 15 days after they are accrued on the card. (Read more) Bonuses should be spent within 365 calendar days from the moment of the last activity on a bonus card. (Read more) Bonuses can be spent when buying any types of goods and services, except: Gift cards for payment of insurance products payment of contributions for any types of loans for delivery services for the installation and dismantling of large -sized equipment. What are bonuses? 1 accumulated bonus - this is 1 ruble of discounts! Simply and without deception! How to get a card? Two simple ways to receive a bonus card Prozapass: 1. Super simple way to get a card contact the sales consultant in any of the DNS 2. MEGA SIMPLEMENT MACHER A CARE OF THE SITS AND ABOUT THE MOST MOST MOST MOST MOVE NUMBER Phone. What is your phone number to the seller of any of the DNS chain stores and get a bonus card. (Read more) already has an account!? Enter the site place the order by setting the flag "Register in the bonus program" and you will become a participant in the bonus program. Only an individual who is 18 years old at the time of registration can receive a card. If the card is already there, register on the site and copy Online bonuses! If you have already been issued in the DNS chain store Prozapass and you want to make purchases in an online store with bonuses on your card, you should register on the site and confirm your phone number and place the order by setting the flag "Register in the bonus program." You can find out how many bonuses on your card can be in your personal account and for sellers in the chain of stores. Get service by phone number. Do not keep and do not look for a bunch of papers on the purchase of goods,</v>
      </c>
    </row>
    <row r="375">
      <c r="A375" s="1" t="s">
        <v>1218</v>
      </c>
      <c r="B375" s="1" t="s">
        <v>1271</v>
      </c>
      <c r="D375" s="1">
        <v>15.0</v>
      </c>
      <c r="E375" s="4" t="s">
        <v>1272</v>
      </c>
      <c r="F375" s="1" t="s">
        <v>16</v>
      </c>
      <c r="G375" s="1" t="s">
        <v>1273</v>
      </c>
      <c r="H375" s="4" t="s">
        <v>1274</v>
      </c>
      <c r="I375" s="2">
        <v>3.0</v>
      </c>
      <c r="J375" s="5" t="str">
        <f>IFERROR(__xludf.DUMMYFUNCTION("GOOGLETRANSLATE(A375)"),"DNS")</f>
        <v>DNS</v>
      </c>
      <c r="K375" s="6" t="str">
        <f>IFERROR(__xludf.DUMMYFUNCTION("GOOGLETRANSLATE(B375)"),"DNS Development")</f>
        <v>DNS Development</v>
      </c>
      <c r="L375" s="5" t="str">
        <f>IFERROR(__xludf.DUMMYFUNCTION("GOOGLETRANSLATE(C375)"),"#VALUE!")</f>
        <v>#VALUE!</v>
      </c>
      <c r="M375" s="5" t="str">
        <f>IFERROR(__xludf.DUMMYFUNCTION("GOOGLETRANSLATE(G375)"),"DNS Development of the company Project -Zakopkupkakanisi on the Naskontaktyo company Pro -Kakkakakiyaptyavalis Yankovsky format -building plant Primeriadns Citizagorized settlement Garden in the School in the LCD Format Zvakavakakaksimi on Nastaktyrus /EN"&amp;"GAVALIS OF YANKOVSKY YANKOVSKY YANKOVSKY The Far East to the page of the project of the Primorye Primorye Plant in the Nadezhdinskaya torus with a capacity to 150,000 sq.m. On the page of the project-Asagorized village ready-made house in a well-maintaine"&amp;"d village on the page of the project, residential buildings-affordable housing modern technologies for construction on the project Projects of public-private partnerships School and kindergarten in the Format LCD Contact us 8 (423) 279-56 -53")</f>
        <v>DNS Development of the company Project -Zakopkupkakanisi on the Naskontaktyo company Pro -Kakkakakiyaptyavalis Yankovsky format -building plant Primeriadns Citizagorized settlement Garden in the School in the LCD Format Zvakavakakaksimi on Nastaktyrus /ENGAVALIS OF YANKOVSKY YANKOVSKY YANKOVSKY The Far East to the page of the project of the Primorye Primorye Plant in the Nadezhdinskaya torus with a capacity to 150,000 sq.m. On the page of the project-Asagorized village ready-made house in a well-maintained village on the page of the project, residential buildings-affordable housing modern technologies for construction on the project Projects of public-private partnerships School and kindergarten in the Format LCD Contact us 8 (423) 279-56 -53</v>
      </c>
    </row>
    <row r="376">
      <c r="A376" s="1" t="s">
        <v>1218</v>
      </c>
      <c r="B376" s="1" t="s">
        <v>1275</v>
      </c>
      <c r="C376" s="1" t="s">
        <v>1276</v>
      </c>
      <c r="D376" s="1">
        <v>16.0</v>
      </c>
      <c r="E376" s="4" t="s">
        <v>1277</v>
      </c>
      <c r="F376" s="1" t="s">
        <v>16</v>
      </c>
      <c r="I376" s="2">
        <v>3.0</v>
      </c>
      <c r="J376" s="5" t="str">
        <f>IFERROR(__xludf.DUMMYFUNCTION("GOOGLETRANSLATE(A376)"),"DNS")</f>
        <v>DNS</v>
      </c>
      <c r="K376" s="6" t="str">
        <f>IFERROR(__xludf.DUMMYFUNCTION("GOOGLETRANSLATE(B376)"),"DNS (DNS) - digital and household appliances - installments with ...")</f>
        <v>DNS (DNS) - digital and household appliances - installments with ...</v>
      </c>
      <c r="L376" s="5" t="str">
        <f>IFERROR(__xludf.DUMMYFUNCTION("GOOGLETRANSLATE(C376)"),"Installment up to 12 months. Without overpayments and the initial contribution on the Halva card in the DNS (DNS) - digital and household appliances - installment plan with the Halva card. Order ...")</f>
        <v>Installment up to 12 months. Without overpayments and the initial contribution on the Halva card in the DNS (DNS) - digital and household appliances - installment plan with the Halva card. Order ...</v>
      </c>
      <c r="M376" s="5" t="str">
        <f>IFERROR(__xludf.DUMMYFUNCTION("GOOGLETRANSLATE(G376)"),"#VALUE!")</f>
        <v>#VALUE!</v>
      </c>
    </row>
    <row r="377">
      <c r="A377" s="1" t="s">
        <v>1218</v>
      </c>
      <c r="B377" s="1" t="s">
        <v>1278</v>
      </c>
      <c r="C377" s="1" t="s">
        <v>1279</v>
      </c>
      <c r="D377" s="1">
        <v>17.0</v>
      </c>
      <c r="E377" s="4" t="s">
        <v>1280</v>
      </c>
      <c r="F377" s="1" t="s">
        <v>16</v>
      </c>
      <c r="G377" s="1" t="s">
        <v>1281</v>
      </c>
      <c r="H377" s="4" t="s">
        <v>1282</v>
      </c>
      <c r="I377" s="2">
        <v>1.0</v>
      </c>
      <c r="J377" s="5" t="str">
        <f>IFERROR(__xludf.DUMMYFUNCTION("GOOGLETRANSLATE(A377)"),"DNS")</f>
        <v>DNS</v>
      </c>
      <c r="K377" s="6" t="str">
        <f>IFERROR(__xludf.DUMMYFUNCTION("GOOGLETRANSLATE(B377)"),"Setting up resource records on hosting")</f>
        <v>Setting up resource records on hosting</v>
      </c>
      <c r="L377" s="5" t="str">
        <f>IFERROR(__xludf.DUMMYFUNCTION("GOOGLETRANSLATE(C377)"),"Read about the appointment of resource records in the article: What are DNS resource recordings? This instruction will suit you if you have ordered a hosting reg.ru and for domain ...")</f>
        <v>Read about the appointment of resource records in the article: What are DNS resource recordings? This instruction will suit you if you have ordered a hosting reg.ru and for domain ...</v>
      </c>
      <c r="M377" s="5" t="str">
        <f>IFERROR(__xludf.DUMMYFUNCTION("GOOGLETRANSLATE(G377)"),"Help | Reg.ru Buy Korzina open maleuphois Reg. Sitting all -storage systems and ordering hosting, and connecting the site on the hosting of reg. Rog to all -in -area server to order all classical VPSs and controls. Working with VPS to order all-up servers"&amp;" and dCDedicatedColocation to order all-SSL-SSL-SSL-SSL-to-order SSL-Service Region REG REGS REGS REGS. Payment of the funds of the funds to order the All -Partna Partnant Program Program Program Processing the All -legal issues of the Truth of the Pravda"&amp;" -calling all video certificates Popular general information about personal data and legal grounds for paying: how to set and pay for what hosting is in simple words what is a domain (domain name) Policy of Promotionality Office of Reg.ru LLC What is DNS "&amp;"in simple words to place a ready -made site on the Internet Settleing Reg.ru Lifhaki Discounts and IT news Subscribe to sign You accept the rules for mailing products domain hosting creation of sites reg. Oblako servers and DC SSL Services Services Use Ba"&amp;"se Base documents WHOIS Documents of domains of domains EDO Partners to report violation of the company Contacts Offices of Promotions and Discounts of the event Blog Reviews of customers +7 495 580 –11-11 phone in Moscow 8 800 555-34-78 Free call in Russ"&amp;"ia VK Telegram Ok Moikrug Youtube Twitter Banking card Siberpay QIWI Poshek Yumony Cash Cash Cashless Translation All Methods of payment Found a typo LLC ""Reg.ru"" Legal information and rules of use We use cookies. Having continued to work with the site,"&amp;" you agree with the policy of processing personal data and the rules for using the site. Well, please turn on JavaScript for the correct operation of this page. How to enable JavaScript")</f>
        <v>Help | Reg.ru Buy Korzina open maleuphois Reg. Sitting all -storage systems and ordering hosting, and connecting the site on the hosting of reg. Rog to all -in -area server to order all classical VPSs and controls. Working with VPS to order all-up servers and dCDedicatedColocation to order all-SSL-SSL-SSL-SSL-to-order SSL-Service Region REG REGS REGS REGS. Payment of the funds of the funds to order the All -Partna Partnant Program Program Program Processing the All -legal issues of the Truth of the Pravda -calling all video certificates Popular general information about personal data and legal grounds for paying: how to set and pay for what hosting is in simple words what is a domain (domain name) Policy of Promotionality Office of Reg.ru LLC What is DNS in simple words to place a ready -made site on the Internet Settleing Reg.ru Lifhaki Discounts and IT news Subscribe to sign You accept the rules for mailing products domain hosting creation of sites reg. Oblako servers and DC SSL Services Services Use Base Base documents WHOIS Documents of domains of domains EDO Partners to report violation of the company Contacts Offices of Promotions and Discounts of the event Blog Reviews of customers +7 495 580 –11-11 phone in Moscow 8 800 555-34-78 Free call in Russia VK Telegram Ok Moikrug Youtube Twitter Banking card Siberpay QIWI Poshek Yumony Cash Cash Cashless Translation All Methods of payment Found a typo LLC "Reg.ru" Legal information and rules of use We use cookies. Having continued to work with the site, you agree with the policy of processing personal data and the rules for using the site. Well, please turn on JavaScript for the correct operation of this page. How to enable JavaScript</v>
      </c>
    </row>
    <row r="378">
      <c r="A378" s="1" t="s">
        <v>1218</v>
      </c>
      <c r="B378" s="1" t="s">
        <v>1283</v>
      </c>
      <c r="C378" s="1" t="s">
        <v>1284</v>
      </c>
      <c r="D378" s="1">
        <v>3.0</v>
      </c>
      <c r="E378" s="4" t="s">
        <v>1285</v>
      </c>
      <c r="F378" s="1" t="s">
        <v>43</v>
      </c>
      <c r="G378" s="1" t="s">
        <v>1286</v>
      </c>
      <c r="H378" s="4" t="s">
        <v>1287</v>
      </c>
      <c r="I378" s="2">
        <v>3.0</v>
      </c>
      <c r="J378" s="5" t="str">
        <f>IFERROR(__xludf.DUMMYFUNCTION("GOOGLETRANSLATE(A378)"),"DNS")</f>
        <v>DNS</v>
      </c>
      <c r="K378" s="6" t="str">
        <f>IFERROR(__xludf.DUMMYFUNCTION("GOOGLETRANSLATE(B378)"),"Public DNS | Google for Developers")</f>
        <v>Public DNS | Google for Developers</v>
      </c>
      <c r="L378" s="5" t="str">
        <f>IFERROR(__xludf.DUMMYFUNCTION("GOOGLETRANSLATE(C378)"),"A free, global DNS resolution service that you can use as an alternative to your current DNS provider.")</f>
        <v>A free, global DNS resolution service that you can use as an alternative to your current DNS provider.</v>
      </c>
      <c r="M378" s="5" t="str">
        <f>IFERROR(__xludf.DUMMYFUNCTION("GOOGLETRANSLATE(G378)"),"Google for Developers - from AI and Cloud to Mobile and Web    Products      Develop                      Android                                          Chrome                                          ChromeOS                                          Cl"&amp;"oud                                          Firebase                                          Flutter                                          Google Assistant                                          Google Maps Platform                                 "&amp;"         Google Workspace                                          TensorFlow                                          YouTube                    Grow                      Firebase                                          Google Ads                       "&amp;"                   Google Analytics                                          Google Play                                          Search                                          Web Push and Notification APIs                    Earn                      A"&amp;"dMob                                          Google Ads API                                          Google Pay                                          Google Play Billing                                          Interactive Media Ads                   "&amp;"     Solutions          Events          Learn          Community      Groups                      Google Developer Groups                                          Google Developer Student Clubs                                          Women Techmakers    "&amp;"                                      Google Developer Experts                                          Tech Equity Collective                    Programs                      Accelerator                                          Solution Challenge        "&amp;"                                  DevFest                    Stories                      All Stories                        Developer Profile          Blog      EnglishDeutschEspañolEspañol – América LatinaFrançaisIndonesiaItalianoPolskiPortuguês – Brasi"&amp;"lTiếng ViệtTürkçeРусскийעבריתالعربيّةفارسیहिंदीবাংলাภาษาไทย中文 – 简体中文 – 繁體日本語한국어Sign in      Products         More         Solutions         Events         Learn         Community         More         Developer Profile         Blog         Develop       "&amp;"  Android         Chrome         ChromeOS         Cloud         Firebase         Flutter         Google Assistant         Google Maps Platform         Google Workspace         TensorFlow         YouTube         Grow         Firebase         Google Ads    "&amp;"     Google Analytics         Google Play         Search         Web Push and Notification APIs         Earn         AdMob         Google Ads API         Google Pay         Google Play Billing         Interactive Media Ads         Groups         Google De"&amp;"veloper Groups         Google Developer Student Clubs         Women Techmakers         Google Developer Experts         Tech Equity Collective         Programs         Accelerator         Solution Challenge         DevFest         Stories         All Stor"&amp;"ies    Connect with fellow devs and learn how to build with Google. Find a DevFest near you.             Google for Developers                    Products                            Stay organized with collections                            Save and categ"&amp;"orize content based on your preferences.                          Build smartership faster                        Unlock creativity and simplify your workflow with open integrated solutions.           I'm building for:    Mobile    arrow_forward    Web   "&amp;" arrow_forward    AI    arrow_forward    Cloud    arrow_forward                  Start building today            Android Modern tools to help you build experiences that people love across every Android device.Google Cloud Build apps faster make smarter bu"&amp;"siness decisions and            connect people everywhere.TensorFlow An end-to-end platform that makes it easy to build and            deploy ML models in any environment.Chrome Modern tools and features that help you build high-quality            web exp"&amp;"eriences.Google Play Grow your business improve app quality engage your            audience and earn revenue.Firebase An app development platform that helps you build and grow            apps and games users love.PaLM An easy and safe API to experiment wi"&amp;"th Google's large language models.MakerSuite Quickly prototype generative AI applications in a browser - no ML expertise or coding required.Flutter Build test and deploy beautiful web mobile desktop and            embedded apps from one codebase.Google Ad"&amp;"s Promote your website products and app to the right users            with Google Ads.Kaggle A platform to share machine learning data sets explore and            build models and compete in competitions.Angular The web development framework for building "&amp;"the future.View all developer products                  Trending news                        Apply to the Indie Games Accelerator                    Get mentorship and training to power your game's growth on Google Play. Apply to the 10-week accelerator f"&amp;"or high-potential indie game studios.          Learn more            Join DevFest 2023                    Explore hands-on learning and technical talks. Find a DevFest near you.          Learn more            MakerSuite is now available in 180 countries  "&amp;"                  Sign up now to prototype AI applications with the PaLM 2 language model.          Learn moreWhat's new in Android            Android Studio Giraffe is now stable                    Featuring updates to Live Edit Compose animation preview"&amp;"s a new Device Explorer and more.          Download now            Find an event                    Grow your knowledge through online and in-person developer events.          View events            Improve technical skills                    Keep up with"&amp;" Google technology. Sharpen skills and master new ones.          Start learning            Join a community                    Meet a diverse network no matter where you are on your developer journey.          Explore communities                  Follow G"&amp;"oogle for Developers                              YouTube            Subscribe to join a community of creative developers and learn the latest in Google technology.Learn more                  Instagram            Follow and discover developer resources co"&amp;"mmunity events and inspirational stories.Learn more                  LinkedIn            Join a community of creative developers and learn how to use the latest in technology. Learn more                  X            Join the conversation to discover the "&amp;"latest developer tools resources events and announcements.Learn moreConnect                                  Blog                                                      Instagram                                                      LinkedIn                 "&amp;"                                     Twitter                                                                                              YouTube                    Programs                                  Women Techmakers                                "&amp;"                      Google Developer Groups                                                      Google Developer Experts                                                      Accelerators                                                                  "&amp;"                            Google Developer Student Clubs                    Developer consoles                                  Google API Console                                                      Google Cloud Platform Console                        "&amp;"                              Google Play Console                                                      Firebase Console                                                      Actions on Google Console                                                      Cas"&amp;"t SDK Developer Console                                                                                              Chrome Web Store Dashboard                              Android                  Chrome                  Firebase                  Google "&amp;"Cloud Platform                  All products                  Terms                  Privacy        Sign up for the Google for Developers newsletter          Subscribe        EnglishDeutschEspañolEspañol – América LatinaFrançaisIndonesiaItalianoPolskiPort"&amp;"uguês – BrasilTiếng ViệtTürkçeРусскийעבריתالعربيّةفارسیहिंदीবাংলাภาษาไทย中文 – 简体中文 – 繁體日本語한국어")</f>
        <v>Google for Developers - from AI and Cloud to Mobile and Web    Products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Solutions          Events          Learn          Community      Groups                      Google Developer Groups                                          Google Developer Student Clubs                                          Women Techmakers                                          Google Developer Experts                                          Tech Equity Collective                    Programs                      Accelerator                                          Solution Challenge                                          DevFest                    Stories                      All Stories                        Developer Profile          Blog      EnglishDeutschEspañolEspañol – América LatinaFrançaisIndonesiaItalianoPolskiPortuguês – BrasilTiếng ViệtTürkçeРусскийעבריתالعربيّةفارسیहिंदीবাংলাภาษาไทย中文 – 简体中文 – 繁體日本語한국어Sign in      Products         More         Solutions         Events         Learn         Community         More         Developer Profile         Blog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Groups         Google Developer Groups         Google Developer Student Clubs         Women Techmakers         Google Developer Experts         Tech Equity Collective         Programs         Accelerator         Solution Challenge         DevFest         Stories         All Stories    Connect with fellow devs and learn how to build with Google. Find a DevFest near you.             Google for Developers                    Products                            Stay organized with collections                            Save and categorize content based on your preferences.                          Build smartership faster                        Unlock creativity and simplify your workflow with open integrated solutions.           I'm building for:    Mobile    arrow_forward    Web    arrow_forward    AI    arrow_forward    Cloud    arrow_forward                  Start building today            Android Modern tools to help you build experiences that people love across every Android device.Google Cloud Build apps faster make smarter business decisions and            connect people everywhere.TensorFlow An end-to-end platform that makes it easy to build and            deploy ML models in any environment.Chrome Modern tools and features that help you build high-quality            web experiences.Google Play Grow your business improve app quality engage your            audience and earn revenue.Firebase An app development platform that helps you build and grow            apps and games users love.PaLM An easy and safe API to experiment with Google's large language models.MakerSuite Quickly prototype generative AI applications in a browser - no ML expertise or coding required.Flutter Build test and deploy beautiful web mobile desktop and            embedded apps from one codebase.Google Ads Promote your website products and app to the right users            with Google Ads.Kaggle A platform to share machine learning data sets explore and            build models and compete in competitions.Angular The web development framework for building the future.View all developer products                  Trending news                        Apply to the Indie Games Accelerator                    Get mentorship and training to power your game's growth on Google Play. Apply to the 10-week accelerator for high-potential indie game studios.          Learn more            Join DevFest 2023                    Explore hands-on learning and technical talks. Find a DevFest near you.          Learn more            MakerSuite is now available in 180 countries                    Sign up now to prototype AI applications with the PaLM 2 language model.          Learn moreWhat's new in Android            Android Studio Giraffe is now stable                    Featuring updates to Live Edit Compose animation previews a new Device Explorer and more.          Download now            Find an event                    Grow your knowledge through online and in-person developer events.          View events            Improve technical skills                    Keep up with Google technology. Sharpen skills and master new ones.          Start learning            Join a community                    Meet a diverse network no matter where you are on your developer journey.          Explore communities                  Follow Google for Developers                              YouTube            Subscribe to join a community of creative developers and learn the latest in Google technology.Learn more                  Instagram            Follow and discover developer resources community events and inspirational stories.Learn more                  LinkedIn            Join a community of creative developers and learn how to use the latest in technology. Learn more                  X            Join the conversation to discover the latest developer tools resources events and announcements.Learn moreConnect                                  Blog                                                      Instagram                                                      LinkedIn                                                      Twitter                                                                                              YouTube                    Programs                                  Women Techmakers                                                      Google Developer Groups                                                      Google Developer Experts                                                      Accelerators                                                                                              Google Developer Student Clubs                    Developer consoles                                  Google API Console                                                      Google Cloud Platform Console                                                      Google Play Console                                                      Firebase Console                                                      Actions on Google Console                                                      Cast SDK Developer Console                                                                                              Chrome Web Store Dashboard                              Android                  Chrome                  Firebase                  Google Cloud Platform                  All products                  Terms                  Privacy        Sign up for the Google for Developers newsletter          Subscribe        EnglishDeutschEspañolEspañol – América LatinaFrançaisIndonesiaItalianoPolskiPortuguês – BrasilTiếng ViệtTürkçeРусскийעבריתالعربيّةفارسیहिंदीবাংলাภาษาไทย中文 – 简体中文 – 繁體日本語한국어</v>
      </c>
    </row>
    <row r="379">
      <c r="A379" s="1" t="s">
        <v>1218</v>
      </c>
      <c r="B379" s="1" t="s">
        <v>1288</v>
      </c>
      <c r="C379" s="1" t="s">
        <v>1289</v>
      </c>
      <c r="D379" s="1">
        <v>4.0</v>
      </c>
      <c r="E379" s="4" t="s">
        <v>1290</v>
      </c>
      <c r="F379" s="1" t="s">
        <v>43</v>
      </c>
      <c r="G379" s="1" t="s">
        <v>1286</v>
      </c>
      <c r="H379" s="4" t="s">
        <v>1287</v>
      </c>
      <c r="I379" s="2">
        <v>3.0</v>
      </c>
      <c r="J379" s="5" t="str">
        <f>IFERROR(__xludf.DUMMYFUNCTION("GOOGLETRANSLATE(A379)"),"DNS")</f>
        <v>DNS</v>
      </c>
      <c r="K379" s="6" t="str">
        <f>IFERROR(__xludf.DUMMYFUNCTION("GOOGLETRANSLATE(B379)"),"Get Started | Public DNS")</f>
        <v>Get Started | Public DNS</v>
      </c>
      <c r="L379" s="5" t="str">
        <f>IFERROR(__xludf.DUMMYFUNCTION("GOOGLETRANSLATE(C379)"),"Configure your network settings to use Google Public DNS. When you use Google Public DNS, you are changing your DNS ""switchboard"" operator from your ISP to ...")</f>
        <v>Configure your network settings to use Google Public DNS. When you use Google Public DNS, you are changing your DNS "switchboard" operator from your ISP to ...</v>
      </c>
      <c r="M379" s="5" t="str">
        <f>IFERROR(__xludf.DUMMYFUNCTION("GOOGLETRANSLATE(G379)"),"Google for Developers - from AI and Cloud to Mobile and Web    Products      Develop                      Android                                          Chrome                                          ChromeOS                                          Cl"&amp;"oud                                          Firebase                                          Flutter                                          Google Assistant                                          Google Maps Platform                                 "&amp;"         Google Workspace                                          TensorFlow                                          YouTube                    Grow                      Firebase                                          Google Ads                       "&amp;"                   Google Analytics                                          Google Play                                          Search                                          Web Push and Notification APIs                    Earn                      A"&amp;"dMob                                          Google Ads API                                          Google Pay                                          Google Play Billing                                          Interactive Media Ads                   "&amp;"     Solutions          Events          Learn          Community      Groups                      Google Developer Groups                                          Google Developer Student Clubs                                          Women Techmakers    "&amp;"                                      Google Developer Experts                                          Tech Equity Collective                    Programs                      Accelerator                                          Solution Challenge        "&amp;"                                  DevFest                    Stories                      All Stories                        Developer Profile          Blog      EnglishDeutschEspañolEspañol – América LatinaFrançaisIndonesiaItalianoPolskiPortuguês – Brasi"&amp;"lTiếng ViệtTürkçeРусскийעבריתالعربيّةفارسیहिंदीবাংলাภาษาไทย中文 – 简体中文 – 繁體日本語한국어Sign in      Products         More         Solutions         Events         Learn         Community         More         Developer Profile         Blog         Develop       "&amp;"  Android         Chrome         ChromeOS         Cloud         Firebase         Flutter         Google Assistant         Google Maps Platform         Google Workspace         TensorFlow         YouTube         Grow         Firebase         Google Ads    "&amp;"     Google Analytics         Google Play         Search         Web Push and Notification APIs         Earn         AdMob         Google Ads API         Google Pay         Google Play Billing         Interactive Media Ads         Groups         Google De"&amp;"veloper Groups         Google Developer Student Clubs         Women Techmakers         Google Developer Experts         Tech Equity Collective         Programs         Accelerator         Solution Challenge         DevFest         Stories         All Stor"&amp;"ies    Connect with fellow devs and learn how to build with Google. Find a DevFest near you.             Google for Developers                    Products                            Stay organized with collections                            Save and categ"&amp;"orize content based on your preferences.                          Build smartership faster                        Unlock creativity and simplify your workflow with open integrated solutions.           I'm building for:    Mobile    arrow_forward    Web   "&amp;" arrow_forward    AI    arrow_forward    Cloud    arrow_forward                  Start building today            Android Modern tools to help you build experiences that people love across every Android device.Google Cloud Build apps faster make smarter bu"&amp;"siness decisions and            connect people everywhere.TensorFlow An end-to-end platform that makes it easy to build and            deploy ML models in any environment.Chrome Modern tools and features that help you build high-quality            web exp"&amp;"eriences.Google Play Grow your business improve app quality engage your            audience and earn revenue.Firebase An app development platform that helps you build and grow            apps and games users love.PaLM An easy and safe API to experiment wi"&amp;"th Google's large language models.MakerSuite Quickly prototype generative AI applications in a browser - no ML expertise or coding required.Flutter Build test and deploy beautiful web mobile desktop and            embedded apps from one codebase.Google Ad"&amp;"s Promote your website products and app to the right users            with Google Ads.Kaggle A platform to share machine learning data sets explore and            build models and compete in competitions.Angular The web development framework for building "&amp;"the future.View all developer products                  Trending news                        Apply to the Indie Games Accelerator                    Get mentorship and training to power your game's growth on Google Play. Apply to the 10-week accelerator f"&amp;"or high-potential indie game studios.          Learn more            Join DevFest 2023                    Explore hands-on learning and technical talks. Find a DevFest near you.          Learn more            MakerSuite is now available in 180 countries  "&amp;"                  Sign up now to prototype AI applications with the PaLM 2 language model.          Learn moreWhat's new in Android            Android Studio Giraffe is now stable                    Featuring updates to Live Edit Compose animation preview"&amp;"s a new Device Explorer and more.          Download now            Find an event                    Grow your knowledge through online and in-person developer events.          View events            Improve technical skills                    Keep up with"&amp;" Google technology. Sharpen skills and master new ones.          Start learning            Join a community                    Meet a diverse network no matter where you are on your developer journey.          Explore communities                  Follow G"&amp;"oogle for Developers                              YouTube            Subscribe to join a community of creative developers and learn the latest in Google technology.Learn more                  Instagram            Follow and discover developer resources co"&amp;"mmunity events and inspirational stories.Learn more                  LinkedIn            Join a community of creative developers and learn how to use the latest in technology. Learn more                  X            Join the conversation to discover the "&amp;"latest developer tools resources events and announcements.Learn moreConnect                                  Blog                                                      Instagram                                                      LinkedIn                 "&amp;"                                     Twitter                                                                                              YouTube                    Programs                                  Women Techmakers                                "&amp;"                      Google Developer Groups                                                      Google Developer Experts                                                      Accelerators                                                                  "&amp;"                            Google Developer Student Clubs                    Developer consoles                                  Google API Console                                                      Google Cloud Platform Console                        "&amp;"                              Google Play Console                                                      Firebase Console                                                      Actions on Google Console                                                      Cas"&amp;"t SDK Developer Console                                                                                              Chrome Web Store Dashboard                              Android                  Chrome                  Firebase                  Google "&amp;"Cloud Platform                  All products                  Terms                  Privacy        Sign up for the Google for Developers newsletter          Subscribe        EnglishDeutschEspañolEspañol – América LatinaFrançaisIndonesiaItalianoPolskiPort"&amp;"uguês – BrasilTiếng ViệtTürkçeРусскийעבריתالعربيّةفارسیहिंदीবাংলাภาษาไทย中文 – 简体中文 – 繁體日本語한국어")</f>
        <v>Google for Developers - from AI and Cloud to Mobile and Web    Products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Solutions          Events          Learn          Community      Groups                      Google Developer Groups                                          Google Developer Student Clubs                                          Women Techmakers                                          Google Developer Experts                                          Tech Equity Collective                    Programs                      Accelerator                                          Solution Challenge                                          DevFest                    Stories                      All Stories                        Developer Profile          Blog      EnglishDeutschEspañolEspañol – América LatinaFrançaisIndonesiaItalianoPolskiPortuguês – BrasilTiếng ViệtTürkçeРусскийעבריתالعربيّةفارسیहिंदीবাংলাภาษาไทย中文 – 简体中文 – 繁體日本語한국어Sign in      Products         More         Solutions         Events         Learn         Community         More         Developer Profile         Blog         Develop         Android         Chrome         ChromeOS         Cloud         Firebase         Flutter         Google Assistant         Google Maps Platform         Google Workspace         TensorFlow         YouTube         Grow         Firebase         Google Ads         Google Analytics         Google Play         Search         Web Push and Notification APIs         Earn         AdMob         Google Ads API         Google Pay         Google Play Billing         Interactive Media Ads         Groups         Google Developer Groups         Google Developer Student Clubs         Women Techmakers         Google Developer Experts         Tech Equity Collective         Programs         Accelerator         Solution Challenge         DevFest         Stories         All Stories    Connect with fellow devs and learn how to build with Google. Find a DevFest near you.             Google for Developers                    Products                            Stay organized with collections                            Save and categorize content based on your preferences.                          Build smartership faster                        Unlock creativity and simplify your workflow with open integrated solutions.           I'm building for:    Mobile    arrow_forward    Web    arrow_forward    AI    arrow_forward    Cloud    arrow_forward                  Start building today            Android Modern tools to help you build experiences that people love across every Android device.Google Cloud Build apps faster make smarter business decisions and            connect people everywhere.TensorFlow An end-to-end platform that makes it easy to build and            deploy ML models in any environment.Chrome Modern tools and features that help you build high-quality            web experiences.Google Play Grow your business improve app quality engage your            audience and earn revenue.Firebase An app development platform that helps you build and grow            apps and games users love.PaLM An easy and safe API to experiment with Google's large language models.MakerSuite Quickly prototype generative AI applications in a browser - no ML expertise or coding required.Flutter Build test and deploy beautiful web mobile desktop and            embedded apps from one codebase.Google Ads Promote your website products and app to the right users            with Google Ads.Kaggle A platform to share machine learning data sets explore and            build models and compete in competitions.Angular The web development framework for building the future.View all developer products                  Trending news                        Apply to the Indie Games Accelerator                    Get mentorship and training to power your game's growth on Google Play. Apply to the 10-week accelerator for high-potential indie game studios.          Learn more            Join DevFest 2023                    Explore hands-on learning and technical talks. Find a DevFest near you.          Learn more            MakerSuite is now available in 180 countries                    Sign up now to prototype AI applications with the PaLM 2 language model.          Learn moreWhat's new in Android            Android Studio Giraffe is now stable                    Featuring updates to Live Edit Compose animation previews a new Device Explorer and more.          Download now            Find an event                    Grow your knowledge through online and in-person developer events.          View events            Improve technical skills                    Keep up with Google technology. Sharpen skills and master new ones.          Start learning            Join a community                    Meet a diverse network no matter where you are on your developer journey.          Explore communities                  Follow Google for Developers                              YouTube            Subscribe to join a community of creative developers and learn the latest in Google technology.Learn more                  Instagram            Follow and discover developer resources community events and inspirational stories.Learn more                  LinkedIn            Join a community of creative developers and learn how to use the latest in technology. Learn more                  X            Join the conversation to discover the latest developer tools resources events and announcements.Learn moreConnect                                  Blog                                                      Instagram                                                      LinkedIn                                                      Twitter                                                                                              YouTube                    Programs                                  Women Techmakers                                                      Google Developer Groups                                                      Google Developer Experts                                                      Accelerators                                                                                              Google Developer Student Clubs                    Developer consoles                                  Google API Console                                                      Google Cloud Platform Console                                                      Google Play Console                                                      Firebase Console                                                      Actions on Google Console                                                      Cast SDK Developer Console                                                                                              Chrome Web Store Dashboard                              Android                  Chrome                  Firebase                  Google Cloud Platform                  All products                  Terms                  Privacy        Sign up for the Google for Developers newsletter          Subscribe        EnglishDeutschEspañolEspañol – América LatinaFrançaisIndonesiaItalianoPolskiPortuguês – BrasilTiếng ViệtTürkçeРусскийעבריתالعربيّةفارسیहिंदीবাংলাภาษาไทย中文 – 简体中文 – 繁體日本語한국어</v>
      </c>
    </row>
    <row r="380">
      <c r="A380" s="1" t="s">
        <v>1218</v>
      </c>
      <c r="B380" s="1" t="s">
        <v>1291</v>
      </c>
      <c r="C380" s="1" t="s">
        <v>1292</v>
      </c>
      <c r="D380" s="1">
        <v>6.0</v>
      </c>
      <c r="E380" s="4" t="s">
        <v>1293</v>
      </c>
      <c r="F380" s="1" t="s">
        <v>43</v>
      </c>
      <c r="G380" s="1" t="s">
        <v>1294</v>
      </c>
      <c r="H380" s="4" t="s">
        <v>1295</v>
      </c>
      <c r="I380" s="2">
        <v>3.0</v>
      </c>
      <c r="J380" s="5" t="str">
        <f>IFERROR(__xludf.DUMMYFUNCTION("GOOGLETRANSLATE(A380)"),"DNS")</f>
        <v>DNS</v>
      </c>
      <c r="K380" s="6" t="str">
        <f>IFERROR(__xludf.DUMMYFUNCTION("GOOGLETRANSLATE(B380)"),"What is DNS? | How DNS works")</f>
        <v>What is DNS? | How DNS works</v>
      </c>
      <c r="L380" s="5" t="str">
        <f>IFERROR(__xludf.DUMMYFUNCTION("GOOGLETRANSLATE(C380)"),"DNS, or the domain name system, is the phonebook of the Internet, connecting web browsers with websites. Learn more about how DNS works and what DNS servers ...")</f>
        <v>DNS, or the domain name system, is the phonebook of the Internet, connecting web browsers with websites. Learn more about how DNS works and what DNS servers ...</v>
      </c>
      <c r="M380" s="5" t="str">
        <f>IFERROR(__xludf.DUMMYFUNCTION("GOOGLETRANSLATE(G380)"),"Cloudflare - The Web Performance &amp; Security Company | CloudflareSolutionsBy needBy industryPublic interestNeed help choosing?Contact SalesProductsOur productsFor your employeesFor apps and infrastructureFor developersConsumer servicesNeed help choosing?Vi"&amp;"ew What's NewContact SalesPricingOur plans &amp; pricingEnterprise planCompare all plansNeed help choosing?View FAQsContact SalesResourcesDocumentationGetting StartedApplication SecurityApplication ServicesZero Trust ServicesNetwork ServicesInsightsDeveloper "&amp;"PlatformAPIResource hubLearningTrends &amp; insightsBlogCloudflare TVCommunity forumGet helpContact SalesPartnersChannel &amp; alliance partnersTechnology partnersPeering portalPartner networkPartner NetworkWhy CloudflareWhy choose CloudflareLearn about Cloudflar"&amp;"eComparisonsWhy trust CloudflareResource hubBlogEnterprise level servicesExplore case studiesContact SalesSign upSign upUnder attack?Under attack?Log inLog inSupportContact SupportHelp CenterCloudflare CommunityLost account access?Utility Nav - Sign UpSig"&amp;"n UpLog InLog Inskip to contentSales: +1 (650) 319 8930+1 (650) 319 8930SupportSign UpLog InSolutionsProductsPricingResourcesPartnersWhy CloudflareSupportUnder attack?Sales: +1 (650) 319 8930Sign upContact SalesSign upUnder attack?Log inSign Up|Log InSolu"&amp;"tionsProductsPricingResourcesPartnersWhy CloudflareSupportUnder attack?Sales: +1 (650) 319 8930Sign upContact SalesDiscover the connectivity cloudRegain control while connecting and protecting your people apps and data everywhere.Learn moreControlRegain v"&amp;"isibility and control of IT and security across on-prem public cloud SaaS and the InternetSecurityImprove security and resilience while reducing your attack surface vendor count and tool sprawlSpeedAccelerate application and network performance while rapi"&amp;"dly developing new applicationsCostReduce cost and complexity to reinvest resources in your highest prioritiesContact salesPowered by an intelligent global network our connectivity cloud is a unified platform that helps your business work deliver and inno"&amp;"vate everywhere.SASE and SSE servicesConnect and secure your employees contractors devices networks apps and data everywhere they live.Explore SASE / SSEApp and infrastructure servicesGive your digital products and services top-notch security reliability "&amp;"and performance for customers everywhere.Explore appsExplore infrastructureDeveloper servicesEasily build and deploy full-stack applications everywhere thanks to integrated compute storage and networking.Explore developer servicesWant to speak with an exp"&amp;"ert?Get in touchWhat’s newSlide 1 of 9BlogDDoS attacks surged by 65% in Q3 and included thousands of hyper-volumetric threats.Read the blogMagic Network Monitoring gives customers end-to-end visibility into all network trafficRead the blogHow Prisma saved"&amp;" 98% on distribution costs after switching to Cloudflare R2Read the blogPressRead our press release on the HTTP/2 Rapid Reset attack campaign and Cloudflare’s responseRead press releasePressNewsweek certifies Cloudflare as one of the Most Loved Workplaces"&amp;" in 2023Learn morePressCloudflare delivers single-vendor Secure Access Service Edge (SASE)Learn moreBlogWhy Cloudflare is the only post quantum-enabled Zero Trust providerRead the blogBlogEmail Security RetroScan catches the threats your security provider"&amp;" missedRead the blogBlogNow available for everyone: our free private reCAPTCHA alternativeRead the blogBlogDDoS attacks surged by 65% in Q3 and included thousands of hyper-volumetric threats.Read the blogMagic Network Monitoring gives customers end-to-end"&amp;" visibility into all network trafficRead the blogHow Prisma saved 98% on distribution costs after switching to Cloudflare R2Read the blogPressRead our press release on the HTTP/2 Rapid Reset attack campaign and Cloudflare’s responseRead press releasePress"&amp;"Newsweek certifies Cloudflare as one of the Most Loved Workplaces in 2023Learn morePressCloudflare delivers single-vendor Secure Access Service Edge (SASE)Learn moreBlogWhy Cloudflare is the only post quantum-enabled Zero Trust providerRead the blogBlogEm"&amp;"ail Security RetroScan catches the threats your security provider missedRead the blogBlogNow available for everyone: our free private reCAPTCHA alternativeRead the blogBlogDDoS attacks surged by 65% in Q3 and included thousands of hyper-volumetric threats"&amp;".Read the blogMagic Network Monitoring gives customers end-to-end visibility into all network trafficRead the blogHow Prisma saved 98% on distribution costs after switching to Cloudflare R2Read the blogPressRead our press release on the HTTP/2 Rapid Reset"&amp;" attack campaign and Cloudflare’s responseRead press releasePressNewsweek certifies Cloudflare as one of the Most Loved Workplaces in 2023Learn morePressCloudflare delivers single-vendor Secure Access Service Edge (SASE)Learn moreBlogWhy Cloudflare is the"&amp;" only post quantum-enabled Zero Trust providerRead the blogBlogEmail Security RetroScan catches the threats your security provider missedRead the blogBlogNow available for everyone: our free private reCAPTCHA alternativeRead the blogWhat analysts sayA Lea"&amp;"der in Gartner® Magic Quadrant™ for Web Application and API ProtectionGartner has recognized Cloudflare as a Leader in the 2022 ""Gartner® Magic Quadrant™ for Web Application and API Protection (WAAP)"" report that evaluated 11 vendors for their ‘ability "&amp;"to execute’ and ‘completeness of vision’Read the reportCloudflare a Leader in 2023 Forrester Wave™: Enterprise Email SecurityCloudflare tied for the top score in the strategy category and received the highest scores possible in the criteria of vision and "&amp;"innovation.Read the reportCloudflare a Leader in 2023 IDC MarketScape: Zero Trust Network AccessIDC cites Cloudflare's ""aggressive product strategy to support enterprise security needs.""Read the report30% of the Fortune 1000 rely on CloudflareSee how le"&amp;"ading enterprises regain control with CloudflareCloudflare’s connectivity cloud protects 900+ GPC websites giving them complete visibility into threats across their entire digital footprint.Read case studyCloudflare’s connectivity cloud powers Polestar’s "&amp;"global ecommerce and development operations giving them resilience during launches and promotions.Read case studySage leverages Cloudflare to improve application performance and security enhance product development secure user data and streamline their di"&amp;"gital footprint.Read case studySee all case studiesResourcesInsightsEventsNewsInsightEQT reduces complexity with Cloudflare’s connectivity cloudRead case studyInfographicHow a connectivity cloud helps restore control of security and ITView infographicVide"&amp;"oCloudflare’s CIO discusses advice on important CIO prioritiesWatch nowArticleA step-by-step roadmap for your Zero Trust security journeyRead articleArticleSecuring the AI revolutionRead articleBlogInsights from Cloudflare’s latest application security th"&amp;"reat reportRead blogContact a Cloudflare enterprise representativeGet in touchSalesEnterprise SalesBecome a PartnerContact Sales:+1 (650) 319 8930Getting StartedIndustry AnalystsPricingCase StudiesWhite PapersWebinarsLearning CenterCommunityCommunity HubB"&amp;"logProject GalileoAthenian ProjectCloudflare for CampaignsCloudflare TVDevelopersDeveloper HubCloudflare WorkersIntegrationsSupportHelp CenterCloudflare StatusComplianceGDPRTrust &amp; SafetyCompanyAbout CloudflareDiversity Equity &amp; InclusionInvestor Relation"&amp;"sOur TeamPressCareersCloudflare ConnectLogos &amp; Press KitNetwork Map© 2023 Cloudflare Inc.Privacy PolicyTerms of UseReport Security IssuesCookie PreferencesTrademark")</f>
        <v>Cloudflare - The Web Performance &amp; Security Company | CloudflareSolutionsBy needBy industryPublic interestNeed help choosing?Contact SalesProductsOur productsFor your employeesFor apps and infrastructureFor developersConsumer servicesNeed help choosing?View What's NewContact SalesPricingOur plans &amp; pricingEnterprise planCompare all plansNeed help choosing?View FAQsContact SalesResourcesDocumentationGetting StartedApplication SecurityApplication ServicesZero Trust ServicesNetwork ServicesInsightsDeveloper PlatformAPIResource hubLearningTrends &amp; insightsBlogCloudflare TVCommunity forumGet helpContact SalesPartnersChannel &amp; alliance partnersTechnology partnersPeering portalPartner networkPartner NetworkWhy CloudflareWhy choose CloudflareLearn about CloudflareComparisonsWhy trust CloudflareResource hubBlogEnterprise level servicesExplore case studiesContact SalesSign upSign upUnder attack?Under attack?Log inLog inSupportContact SupportHelp CenterCloudflare CommunityLost account access?Utility Nav - Sign UpSign UpLog InLog Inskip to contentSales: +1 (650) 319 8930+1 (650) 319 8930SupportSign UpLog InSolutionsProductsPricingResourcesPartnersWhy CloudflareSupportUnder attack?Sales: +1 (650) 319 8930Sign upContact SalesSign upUnder attack?Log inSign Up|Log InSolutionsProductsPricingResourcesPartnersWhy CloudflareSupportUnder attack?Sales: +1 (650) 319 8930Sign upContact SalesDiscover the connectivity cloudRegain control while connecting and protecting your people apps and data everywhere.Learn moreControlRegain visibility and control of IT and security across on-prem public cloud SaaS and the InternetSecurityImprove security and resilience while reducing your attack surface vendor count and tool sprawlSpeedAccelerate application and network performance while rapidly developing new applicationsCostReduce cost and complexity to reinvest resources in your highest prioritiesContact salesPowered by an intelligent global network our connectivity cloud is a unified platform that helps your business work deliver and innovate everywhere.SASE and SSE servicesConnect and secure your employees contractors devices networks apps and data everywhere they live.Explore SASE / SSEApp and infrastructure servicesGive your digital products and services top-notch security reliability and performance for customers everywhere.Explore appsExplore infrastructureDeveloper servicesEasily build and deploy full-stack applications everywhere thanks to integrated compute storage and networking.Explore developer servicesWant to speak with an expert?Get in touchWhat’s newSlide 1 of 9BlogDDoS attacks surged by 65% in Q3 and included thousands of hyper-volumetric threats.Read the blogMagic Network Monitoring gives customers end-to-end visibility into all network trafficRead the blogHow Prisma saved 98% on distribution costs after switching to Cloudflare R2Read the blogPressRead our press release on the HTTP/2 Rapid Reset attack campaign and Cloudflare’s responseRead press releasePressNewsweek certifies Cloudflare as one of the Most Loved Workplaces in 2023Learn morePressCloudflare delivers single-vendor Secure Access Service Edge (SASE)Learn moreBlogWhy Cloudflare is the only post quantum-enabled Zero Trust providerRead the blogBlogEmail Security RetroScan catches the threats your security provider missedRead the blogBlogNow available for everyone: our free private reCAPTCHA alternativeRead the blogBlogDDoS attacks surged by 65% in Q3 and included thousands of hyper-volumetric threats.Read the blogMagic Network Monitoring gives customers end-to-end visibility into all network trafficRead the blogHow Prisma saved 98% on distribution costs after switching to Cloudflare R2Read the blogPressRead our press release on the HTTP/2 Rapid Reset attack campaign and Cloudflare’s responseRead press releasePressNewsweek certifies Cloudflare as one of the Most Loved Workplaces in 2023Learn morePressCloudflare delivers single-vendor Secure Access Service Edge (SASE)Learn moreBlogWhy Cloudflare is the only post quantum-enabled Zero Trust providerRead the blogBlogEmail Security RetroScan catches the threats your security provider missedRead the blogBlogNow available for everyone: our free private reCAPTCHA alternativeRead the blogBlogDDoS attacks surged by 65% in Q3 and included thousands of hyper-volumetric threats.Read the blogMagic Network Monitoring gives customers end-to-end visibility into all network trafficRead the blogHow Prisma saved 98% on distribution costs after switching to Cloudflare R2Read the blogPressRead our press release on the HTTP/2 Rapid Reset attack campaign and Cloudflare’s responseRead press releasePressNewsweek certifies Cloudflare as one of the Most Loved Workplaces in 2023Learn morePressCloudflare delivers single-vendor Secure Access Service Edge (SASE)Learn moreBlogWhy Cloudflare is the only post quantum-enabled Zero Trust providerRead the blogBlogEmail Security RetroScan catches the threats your security provider missedRead the blogBlogNow available for everyone: our free private reCAPTCHA alternativeRead the blogWhat analysts sayA Leader in Gartner® Magic Quadrant™ for Web Application and API ProtectionGartner has recognized Cloudflare as a Leader in the 2022 "Gartner® Magic Quadrant™ for Web Application and API Protection (WAAP)" report that evaluated 11 vendors for their ‘ability to execute’ and ‘completeness of vision’Read the reportCloudflare a Leader in 2023 Forrester Wave™: Enterprise Email SecurityCloudflare tied for the top score in the strategy category and received the highest scores possible in the criteria of vision and innovation.Read the reportCloudflare a Leader in 2023 IDC MarketScape: Zero Trust Network AccessIDC cites Cloudflare's "aggressive product strategy to support enterprise security needs."Read the report30% of the Fortune 1000 rely on CloudflareSee how leading enterprises regain control with CloudflareCloudflare’s connectivity cloud protects 900+ GPC websites giving them complete visibility into threats across their entire digital footprint.Read case studyCloudflare’s connectivity cloud powers Polestar’s global ecommerce and development operations giving them resilience during launches and promotions.Read case studySage leverages Cloudflare to improve application performance and security enhance product development secure user data and streamline their digital footprint.Read case studySee all case studiesResourcesInsightsEventsNewsInsightEQT reduces complexity with Cloudflare’s connectivity cloudRead case studyInfographicHow a connectivity cloud helps restore control of security and ITView infographicVideoCloudflare’s CIO discusses advice on important CIO prioritiesWatch nowArticleA step-by-step roadmap for your Zero Trust security journeyRead articleArticleSecuring the AI revolutionRead articleBlogInsights from Cloudflare’s latest application security threat reportRead blogContact a Cloudflare enterprise representativeGet in touchSalesEnterprise SalesBecome a PartnerContact Sales:+1 (650) 319 8930Getting StartedIndustry AnalystsPricingCase StudiesWhite PapersWebinarsLearning CenterCommunityCommunity HubBlogProject GalileoAthenian ProjectCloudflare for CampaignsCloudflare TVDevelopersDeveloper HubCloudflare WorkersIntegrationsSupportHelp CenterCloudflare StatusComplianceGDPRTrust &amp; SafetyCompanyAbout CloudflareDiversity Equity &amp; InclusionInvestor RelationsOur TeamPressCareersCloudflare ConnectLogos &amp; Press KitNetwork Map© 2023 Cloudflare Inc.Privacy PolicyTerms of UseReport Security IssuesCookie PreferencesTrademark</v>
      </c>
    </row>
    <row r="381">
      <c r="A381" s="1" t="s">
        <v>1218</v>
      </c>
      <c r="B381" s="1" t="s">
        <v>1296</v>
      </c>
      <c r="C381" s="1" t="s">
        <v>1297</v>
      </c>
      <c r="D381" s="1">
        <v>7.0</v>
      </c>
      <c r="E381" s="4" t="s">
        <v>1298</v>
      </c>
      <c r="F381" s="1" t="s">
        <v>43</v>
      </c>
      <c r="G381" s="1" t="s">
        <v>1110</v>
      </c>
      <c r="H381" s="4" t="s">
        <v>1111</v>
      </c>
      <c r="I381" s="2">
        <v>3.0</v>
      </c>
      <c r="J381" s="5" t="str">
        <f>IFERROR(__xludf.DUMMYFUNCTION("GOOGLETRANSLATE(A381)"),"DNS")</f>
        <v>DNS</v>
      </c>
      <c r="K381" s="6" t="str">
        <f>IFERROR(__xludf.DUMMYFUNCTION("GOOGLETRANSLATE(B381)"),"Cloud DNS")</f>
        <v>Cloud DNS</v>
      </c>
      <c r="L381" s="5" t="str">
        <f>IFERROR(__xludf.DUMMYFUNCTION("GOOGLETRANSLATE(C381)"),"Cloud DNS. Reliable, resilient, low-latency DNS serving from Google's worldwide network with everything you need to register, manage, and serve your domains.")</f>
        <v>Cloud DNS. Reliable, resilient, low-latency DNS serving from Google's worldwide network with everything you need to register, manage, and serve your domains.</v>
      </c>
      <c r="M381" s="5" t="str">
        <f>IFERROR(__xludf.DUMMYFUNCTION("GOOGLETRANSLATE(G381)"),"Cloud Computing Services | Google CloudGet $300 in free credits and free usage of 20+ productsThe new way to cloud starts hereBuild apps fast leverage generative AI and analyze data in seconds—all with Google-grade security. Get started for freeContact sa"&amp;"lesWhat's newFor developersEventMissed the Next ‘23 keynote? Watch the broadcast on demandNew productsExplore our latest generative AI productsGenerative AI NavigatorGet gen AI recommendations for your business and industryDeveloper offerGet $300 in free "&amp;"credits and free usage of 20+ productsDeveloper CenterLearn skills build with sample code and access resourcesAI SummitLearn how to turn your ideas into apps with gen AI tools on Dec 13-14What's newEventMissed the Next ‘23 keynote? Watch the broadcast on "&amp;"demandNew productsExplore our latest generative AI productsGenerative AI NavigatorGet gen AI recommendations for your business and industryFor developersDeveloper offerGet $300 in free credits and free usage of 20+ productsDeveloper CenterLearn skills bui"&amp;"ld with sample code and access resourcesAI SummitLearn how to turn your ideas into apps with gen AI tools on Dec 13-14Choose from over 150 cutting-edge productsExplore and assess Google Cloud with free usage of over 20 products plus new customers get $300"&amp;" in free credits on signup.Get startedSee all productsAI and machine learningBuild generative AI applications quickly and responsibly—powered by Google’s most advanced technologyImprove customer service with Contact Center AI’s virtual agents and conversa"&amp;"tional AI products like Speech-to-TextBuild deploy and scale more effective AI models with our unified machine learning platform Vertex AIGet AI-powered code generation recommendations and completion across Google Cloud products from Duet AIComputeCreate "&amp;"and run customizable virtual machines with Compute Engine. For scale-out workloads Tau VMs offer 42% better price performance over comparable cloud offerings.Automatically deploy scale and manage containers with Google Kubernetes Engine or Cloud RunMigrat"&amp;"e your apps at your own pace by moving directly to virtual machines or automatically modernizing to containers—without rewriting codeStorageStore any type of data any amount of data and retrieve it as often as you’d like with object storageTransfer data w"&amp;"ith online and offline transfer solutions including Storage Transfer Service and Transfer AppliancePersistent Disk block storage is fully integrated with Google Cloud products like Compute Engine and GKEDatabasesReduce maintenance costs with fully managed"&amp;" MySQL PostgreSQL and SQL Server databasesSimplify migrations to Cloud SQL from MySQL and PostgreSQL with the Database Migration ServiceDevelop rich applications using a fully managed scalable and serverless document databaseData analyticsRun analytics at"&amp;" scale with 26%–34% lower three-year TCO on BigQuery compared to cloud data warehouse alternativesIngest process and analyze event streams in real time to make data more usefulReveal the true power of your data and bring clarity to every situation with Lo"&amp;"oker and Google CloudNetworkingHelp protect your applications and websites against denial of service and web attacks with Cloud ArmorQuickly and securely scale web and video content delivery with Cloud CDNExplore hybrid connectivity options including VPN "&amp;"peering and enterprise supportDeveloper toolsWrite debug and run cloud-native applications locally or in the cloud—quickly and easily with Cloud CodeWith Cloud Build continuously build test and deploy software across all languages and in multiple environm"&amp;"entsDeploy pre-built solution templates—with an active Google Cloud account—including dynamic websites load balanced VMs and three tier web apps.Save up to 30% over 3 years compared to other clouds with products like Anthos BigQuery and Active Assist.Requ"&amp;"est a quoteBuild and scale your startup with your first year covered by Google Cloud credits plus get support to help your startup grow.Learn more about the programSolve your business problems with our industry solutionsFrom improving retail product disco"&amp;"very to detecting bank fraud our industry solutions tackle your biggest challenges.Request a demoRetailConsumer packaged goodsFinancial servicesHealthcare and life sciencesMedia and entertainmentTelecommunicationsGamingManufacturingSupply chain and logist"&amp;"icsGovernmentEducationSee all industries9 / top 10retail companies trust Google CloudThe largest US beauty retailer easily supported a 9X growth in user traffic with Google Cloud’s highly scalable infrastructure. Discover what you can do with our retail s"&amp;"olutions.Explore retail solutionsRetailConsumer packaged goodsFinancial servicesHealthcare and life sciencesMedia and entertainmentTelecommunicationsGamingManufacturingSupply chain and logisticsGovernmentEducationSee all industriesBuild with the cloud pla"&amp;"tform designed for developersGet started with Google Cloud’s easy-to-use platform tools and APIsGet started for freeAI-powered collaboratorIntroducing Duet AI for Google CloudConsole tourGet started with Google Cloud consoleHow-toBuild tune and deploy fou"&amp;"ndation models with Vertex AIPRODUCTS SPOTLIGHTGoogle Cloud products explained in 1 minuteDiscover more developer toolsIntroducing Duet AI for Google CloudGet started with Google Cloud consoleBuild tune and deploy foundation models with Vertex AIGoogle Cl"&amp;"oud products explained in 1 minuteDiscover more developer toolsExplore technical blogs how-tos and resourcesVisit the Developer CenterStart learning Google Cloud skills at your own paceExplore developer trainingGet special invitations technical AMAs and m"&amp;"oreJoin Google Cloud InnovatorsCustomer innovation happens on Google Cloud2:55TIME gets a 360 degree view of its customers and gives the whole company access to metrics Watch the video3:15Goldman Sachs empowers its team to analyze data and scale compute p"&amp;"ower confidentlyWatch the video2:54Spotify powers the playlists of 381 million monthly listeners with Google CloudWatch the videoFrontier Development Lab in partnership with NASA analyzed a 20-year data bottleneck in 20 mins with Google Cloud AILaunch the"&amp;" demo1:55Cardinal Health saved 25% quarter over quarter by migrating to Google CloudWatch the videoLeading companies solve for innovation with Google CloudRead the EbookSee more customersCloud computing ready for businessWhether you’re migrating or alread"&amp;"y in the cloud we’ll help you modernize and digitally transform your business.Talk to usRun and build your apps anywhereAvoid vendor lock-in and speed up development with Google Cloud’s commitment to open source hybrid and multicloud.Make smarter decision"&amp;"s with the leading data platformGive anyone on your team access to business insights with advanced machine learning and analytics.Protect what's importantHelp defend your data and apps against threats and fraudulent activity with the same security technol"&amp;"ogy Google uses.Transform how your teams collaborate—from anywhereIntegrate video calling email chat and document collaboration in one place.Let’s start building your tomorrow todayGet started for freeContact salesCall our sales team844-613-7589Run on the"&amp;" industry’s cleanest cloudLearn moreGet updates with the Google Cloud newsletterSubscribemenuOverviewSolutionsProductsPricingResourcesDocsSupportContact UsDocsSupport language‪English‬‪English‬‪Deutsch‬‪Español‬‪Español (Latinoamérica)‬‪Français‬‪Indones"&amp;"ia‬‪Italiano‬‪Português (Brasil)‬‪简体中文‬‪繁體中文‬‪日本語‬‪한국어‬ConsoleSign inStart freeStart freeContact UscloseAccelerate your digital transformationWhether your business is early in its journey or well on its way to digital transformation Google Cloud can help "&amp;"solve your toughest challenges.Learn moreKey benefitsWhy Google CloudTop reasons businesses choose us.AI and MLGet enterprise-ready AI.MulticloudRun your apps wherever you need them.Global infrastructureBuild on the same infrastructure as Google.Data Clou"&amp;"dMake smarter decisions with unified data.Open cloudScale with open flexible technology.Trust and securityKeep your data secure and compliant.Productivity and collaborationConnect your teams with AI-powered apps.Reports and insightsExecutive insightsCurat"&amp;"ed C-suite perspectives.Analyst reportsRead what industry analysts say about us.WhitepapersBrowse and download popular whitepapers.Customer storiesExplore case studies and videos.closeIndustry SolutionsApplication ModernizationArtificial IntelligenceAPIs "&amp;"and ApplicationsDatabasesData CloudDigital TransformationInfrastructure ModernizationProductivity and CollaborationSecuritySmart AnalyticsStartups and SMBSee all solutionsIndustry SolutionsReduce cost increase operational agility and capture new market op"&amp;"portunities.RetailAnalytics and collaboration tools for the retail value chain.Consumer Packaged GoodsSolutions for CPG digital transformation and brand growth.Financial ServicesComputing data management and analytics tools for financial services.Healthca"&amp;"re and Life SciencesAdvance research at scale and empower healthcare innovation.Media and EntertainmentSolutions for content production and distribution operations.TelecommunicationsHybrid and multi-cloud services to deploy and monetize 5G.GamesAI-driven "&amp;"solutions to build and scale games faster.ManufacturingMigration and AI tools to optimize the manufacturing value chain.Supply Chain and LogisticsEnable sustainable efficient and resilient data-driven operations across supply chain and logistics operation"&amp;"s.GovernmentData storage AI and analytics solutions for government agencies.EducationTeaching tools to provide more engaging learning experiences.Not seeing what you're looking for?See all industry solutionsApplication ModernizationAssess plan implement a"&amp;"nd measure software practices and capabilities to modernize and simplify your organization’s business application portfolios.CAMPProgram that uses DORA to improve your software delivery capabilities.Modernize Traditional ApplicationsAnalyze categorize and"&amp;" get started with cloud migration on traditional workloads.Migrate from PaaS: Cloud Foundry OpenshiftTools for moving your existing containers into Google's managed container services.Migrate from MainframeAutomated tools and prescriptive guidance for mov"&amp;"ing your mainframe apps to the cloud.Modernize Software DeliverySoftware supply chain best practices - innerloop productivity CI/CD and S3C.DevOps Best PracticesProcesses and resources for implementing DevOps in your org.SRE PrinciplesTools and resources "&amp;"for adopting SRE in your org.Day 2 Operations for GKETools and guidance for effective GKE management and monitoring.FinOps and Optimization of GKEBest practices for running reliable performant and cost effective applications on GKE.Run Applications at the"&amp;" EdgeGuidance for localized and low latency apps on Google’s hardware agnostic edge solution.Architect for MulticloudManage workloads across multiple clouds with a consistent platform.Go ServerlessFully managed environment for developing deploying and sca"&amp;"ling apps.Artificial IntelligenceAdd intelligence and efficiency to your business with AI and machine learning.Contact Center AIAI model for speaking with customers and assisting human agents.Document AIDocument processing and data capture automated at sc"&amp;"ale.Product DiscoveryGoogle-quality search and product recommendations for retailers.APIs and ApplicationsSpeed up the pace of innovation without coding using APIs apps and automation.New Business Channels Using APIsAttract and empower an ecosystem of dev"&amp;"elopers and partners.Unlocking Legacy Applications Using APIsCloud services for extending and modernizing legacy apps.Open Banking APIxSimplify and accelerate secure delivery of open banking compliant APIs.DatabasesMigrate and manage enterprise data with "&amp;"security reliability high availability and fully managed data services.Database MigrationGuides and tools to simplify your database migration life cycle.Database ModernizationUpgrades to modernize your operational database infrastructure.Databases for Gam"&amp;"esBuild global live games with Google Cloud databases.Google Cloud DatabasesDatabase services to migrate manage and modernize data.Migrate Oracle workloads to Google CloudRehost replatform rewrite your Oracle workloads.Open Source DatabasesFully managed o"&amp;"pen source databases with enterprise-grade support.SQL Server on Google CloudOptions for running SQL Server virtual machines on Google Cloud.Data CloudUnify data across your organization with an open and simplified approach to data-driven transformation t"&amp;"hat is unmatched for speed scale and security with AI built-in.Databases SolutionsMigrate and manage enterprise data with security reliability high availability and fully managed data services.Smart Analytics SolutionsGenerate instant insights from data a"&amp;"t any scale with a serverless fully managed analytics platform that significantly simplifies analytics.AI SolutionsAdd intelligence and efficiency to your business with AI and machine learning.Data Cloud for ISVsInnovate optimize and amplify your SaaS app"&amp;"lications using Google's data and machine learning solutions such as BigQuery Looker Spanner and Vertex AI.Data Cloud AllianceAn initiative to ensure that global businesses have more seamless access and insights into the data required for digital transfor"&amp;"mation.Digital TransformationAccelerate business recovery and ensure a better future with solutions that enable hybrid and multi-cloud generate intelligent insights and keep your workers connected.Digital InnovationReimagine your operations and unlock new"&amp;" opportunities.Operational EfficiencyPrioritize investments and optimize costs.COVID-19 SolutionsGet work done more safely and securely.COVID-19 Solutions for the Healthcare IndustryHow Google is helping healthcare meet extraordinary challenges.Infrastruc"&amp;"ture ModernizationMigrate quickly with solutions for SAP VMware Windows Oracle and other workloads.Application MigrationDiscovery and analysis tools for moving to the cloud.SAP on Google CloudCertifications for running SAP applications and SAP HANA.High P"&amp;"erformance ComputingCompute storage and networking options to support any workload.Windows on Google CloudTools and partners for running Windows workloads.Data Center MigrationMigration solutions for VMs apps databases and more.Active AssistAutomatic clou"&amp;"d resource optimization and increased security.Virtual DesktopsRemote work solutions for desktops and applications (VDI &amp; DaaS).Rapid Migration Program (RaMP)End-to-end migration program to simplify your path to the cloud.Backup and Disaster RecoveryEnsur"&amp;"e your business continuity needs are met.Productivity and CollaborationChange the way teams work with solutions designed for humans and built for impact.Google WorkspaceCollaboration and productivity tools for enterprises.Google Workspace EssentialsSecure"&amp;" video meetings and modern collaboration for teams.Cloud IdentityUnified platform for IT admins to manage user devices and apps.Chrome EnterpriseChromeOS Chrome Browser and Chrome devices built for business.Cloud SearchEnterprise search for employees to q"&amp;"uickly find company information.SecurityDetect investigate and respond to online threats to help protect your business.Security Analytics and OperationsSolution for analyzing petabytes of security telemetry.Web App and API ProtectionThreat and fraud prote"&amp;"ction for your web applications and APIs.Security and Resilience FrameworkSolutions for each phase of the security and resilience life cycle.Risk and compliance as code (RCaC)Solution to modernize your governance risk and compliance function with automati"&amp;"on.Software Supply Chain SecuritySolution for improving end-to-end software supply chain security.Security FoundationRecommended products to help achieve a strong security posture.Smart AnalyticsGenerate instant insights from data at any scale with a serv"&amp;"erless fully managed analytics platform that significantly simplifies analytics.Data Warehouse ModernizationData warehouse to jumpstart your migration and unlock insights.Data Lake ModernizationServices for building and modernizing your data lake.Spark on"&amp;" Google CloudRun and write Spark where you need it serverless and integrated.Stream AnalyticsInsights from ingesting processing and analyzing event streams.Business IntelligenceSolutions for modernizing your BI stack and creating rich data experiences.Dat"&amp;"a SciencePut your data to work with Data Science on Google Cloud.Marketing AnalyticsSolutions for collecting analyzing and activating customer data.Geospatial Analytics and AISolutions for building a more prosperous and sustainable business.DatasetsData f"&amp;"rom Google public and commercial providers to enrich your analytics and AI initiatives.Startups and SMBAccelerate startup and SMB growth with tailored solutions and programs.Startup SolutionsGrow your startup and solve your toughest challenges using Googl"&amp;"e’s proven technology.Startup ProgramGet financial business and technical support to take your startup to the next level.Small and Medium BusinessExplore solutions for web hosting app development AI and analytics.Software as a ServiceBuild better SaaS pro"&amp;"ducts scale efficiently and grow your business.closeFeatured ProductsAI and Machine LearningBusiness IntelligenceComputeContainersData AnalyticsDatabasesDeveloper ToolsDistributed CloudHybrid and MulticloudIndustry SpecificIntegration ServicesManagement T"&amp;"oolsMaps and GeospatialMedia ServicesMigrationMixed RealityNetworkingOperationsProductivity and CollaborationSecurity and IdentityServerlessStorageWeb3See all products (100+)Featured ProductsCompute EngineVirtual machines running in Google’s data center.C"&amp;"loud StorageObject storage that’s secure durable and scalable.BigQueryData warehouse for business agility and insights.Cloud RunFully managed environment for running containerized apps.Google Kubernetes EngineManaged environment for running containerized "&amp;"apps.Vertex AI PlatformUnified platform for ML models and generative AI.LookerPlatform for BI data applications and embedded analytics.Apigee API ManagementManage the full life cycle of APIs anywhere with visibility and control.Cloud SQLRelational databas"&amp;"e services for MySQL PostgreSQL and SQL Server.Cloud SDKCommand-line tools and libraries for Google Cloud.Cloud CDNContent delivery network for delivering web and video.Not seeing what you're looking for?See all products (100+)AI and Machine LearningVerte"&amp;"x AI PlatformUnified platform for ML models and generative AI.Generative AI on Vertex AIBuild tune and deploy foundation models on Vertex AI.Vertex AI Search and ConversationGenerative AI apps for search and conversational AI.DialogflowLifelike conversati"&amp;"onal AI with state-of-the-art virtual agents.Natural Language AISentiment analysis and classification of unstructured text.Speech-to-TextSpeech recognition and transcription across 125 languages.Text-to-SpeechSpeech synthesis in 220+ voices and 40+ langua"&amp;"ges.Translation AILanguage detection translation and glossary support.Document AIDocument processing and data capture automated at scale.Vision AICustom and pre-trained models to detect emotion text and more.Contact Center AIAI model for speaking with cus"&amp;"tomers and assisting human agents.Not seeing what you're looking for?See all AI and machine learning productsBusiness IntelligenceLookerPlatform for BI data applications and embedded analytics.Looker StudioInteractive data suite for dashboarding reporting"&amp;" and analytics.ComputeCompute EngineVirtual machines running in Google’s data center.App EngineServerless application platform for apps and back ends.Cloud GPUsGPUs for ML scientific computing and 3D visualization.Migrate to Virtual MachinesServer and vir"&amp;"tual machine migration to Compute Engine.Spot VMsCompute instances for batch jobs and fault-tolerant workloads.BatchFully managed service for scheduling batch jobs.Sole-Tenant NodesDedicated hardware for compliance licensing and management.Bare MetalInfra"&amp;"structure to run specialized workloads on Google Cloud.RecommenderUsage recommendations for Google Cloud products and services.VMware EngineFully managed native VMware Cloud Foundation software stack.Cloud RunFully managed environment for running containe"&amp;"rized apps.Not seeing what you're looking for?See all compute productsContainersGoogle Kubernetes EngineManaged environment for running containerized apps.Cloud RunFully managed environment for running containerized apps.Cloud BuildSolution for running bu"&amp;"ild steps in a Docker container.Artifact RegistryPackage manager for build artifacts and dependencies.Cloud CodeIDE support to write run and debug Kubernetes applications.Cloud DeployFully managed continuous delivery to GKE and Cloud Run.Migrate to Contai"&amp;"nersComponents for migrating VMs into system containers on GKE.Deep Learning ContainersContainers with data science frameworks libraries and tools.KnativeComponents to create Kubernetes-native cloud-based software.Data AnalyticsBigQueryData warehouse for "&amp;"business agility and insights.LookerPlatform for BI data applications and embedded analytics.DataflowStreaming analytics for stream and batch processing.Pub/SubMessaging service for event ingestion and delivery.DataprocService for running Apache Spark and"&amp;" Apache Hadoop clusters.Cloud Data FusionData integration for building and managing data pipelines.Cloud ComposerWorkflow orchestration service built on Apache Airflow.DataprepService to prepare data for analysis and machine learning.DataplexIntelligent d"&amp;"ata fabric for unifying data management across silos.DataformBuild version control and deploy SQL workflows in BigQuery.Analytics HubService for securely and efficiently exchanging data analytics assets.Not seeing what you're looking for?See all data anal"&amp;"ytics productsDatabasesAlloyDB for PostgreSQLFully managed PostgreSQL-compatible database for enterprise workloads.Cloud SQLFully managed database for MySQL PostgreSQL and SQL Server.FirestoreCloud-native document database for building rich mobile web and"&amp;" IoT apps.Cloud SpannerCloud-native relational database with unlimited scale and 99.999% availability.Cloud BigtableCloud-native wide-column database for large-scale low-latency workloads.DatastreamServerless change data capture and replication service.Da"&amp;"tabase Migration ServiceServerless minimal downtime migrations to Cloud SQL.Developer ToolsArtifact RegistryUniversal package manager for build artifacts and dependencies.Cloud CodeIDE support to write run and debug Kubernetes applications.Cloud BuildCont"&amp;"inuous integration and continuous delivery platform.Cloud DeployFully managed continuous delivery to GKE and Cloud Run.Cloud Deployment ManagerService for creating and managing Google Cloud resources.Cloud SDKCommand-line tools and libraries for Google Cl"&amp;"oud.Cloud SchedulerCron job scheduler for task automation and management.Cloud Source RepositoriesPrivate Git repository to store manage and track code.Cloud TasksTask management service for asynchronous task execution.Cloud WorkstationsManaged and secure"&amp;" development environments in the cloud.Tools for PowerShellFull cloud control from Windows PowerShell.Not seeing what you're looking for?See all developer toolsDistributed CloudGoogle Distributed Cloud EdgeDistributed cloud services for edge workloads.Goo"&amp;"gle Distributed Cloud HostedDistributed cloud for air-gapped workloads.Hybrid and MulticloudGoogle Kubernetes EngineManaged environment for running containerized apps.Apigee API ManagementAPI management development and security platform.Migrate to Contain"&amp;"ersTool to move workloads and existing applications to GKE.Traffic DirectorTraffic control pane and management for open service mesh.Cloud BuildService for executing builds on Google Cloud infrastructure.OperationsMonitoring logging and application perfor"&amp;"mance suite.AnthosPlatform for modernizing existing apps and building new ones.Distributed CloudFully managed solutions for the edge and data centers.Industry SpecificAnti Money Laundering AIDetect suspicious potential money laundering activity with AI.Cl"&amp;"oud Healthcare APISolution for bridging existing care systems and apps on Google Cloud.Device Connect for FitbitGain a 360-degree patient view with connected Fitbit data on Google Cloud.Telecom Network AutomationReady to use cloud-native automation for te"&amp;"lecom networks.Telecom Data FabricTelecom data management and analytics with an automated approach.Telecom Subscriber InsightsIngests data to improve subscriber acquisition and retention.Spectrum Access System (SAS)Controls fundamental access to the Citiz"&amp;"ens Broadband Radio Service (CBRS).Integration ServicesApplication IntegrationConnect to 3rd party apps and enable data consistency without code.WorkflowsWorkflow orchestration for serverless products and API services.Apigee API ManagementManage the full "&amp;"life cycle of APIs anywhere with visibility and control.Cloud TasksTask management service for asynchronous task execution.Cloud SchedulerCron job scheduler for task automation and management.DataprocService for running Apache Spark and Apache Hadoop clus"&amp;"ters.Cloud Data FusionData integration for building and managing data pipelines.Cloud ComposerWorkflow orchestration service built on Apache Airflow.Pub/SubMessaging service for event ingestion and delivery.EventarcBuild an event-driven architecture that "&amp;"can connect any service.Management ToolsCloud ShellInteractive shell environment with a built-in command line.Cloud consoleWeb-based interface for managing and monitoring cloud apps.Cloud EndpointsDeployment and development management for APIs on Google C"&amp;"loud.Cloud IAMPermissions management system for Google Cloud resources.Cloud APIsProgrammatic interfaces for  Google Cloud services.Service CatalogService catalog for admins managing internal enterprise solutions.Cost ManagementTools for monitoring contro"&amp;"lling and optimizing your costs.OperationsMonitoring logging and application performance suite.Carbon FootprintDashboard to view and export Google Cloud carbon emissions reports.Config ConnectorKubernetes add-on for managing Google Cloud resources.Active "&amp;"AssistTools for easily managing performance security and cost.Not seeing what you're looking for?See all management toolsMaps and GeospatialEarth EngineGeospatial platform for Earth observation data and analysis.Google Maps PlatformCreate immersive locati"&amp;"on experiences and improve business operations.Media ServicesCloud CDNContent delivery network for serving web and video content.Live Steam APIService to convert live video and package for streaming.OpenCueOpen source render manager for visual effects and"&amp;" animation.Transcoder APIConvert video files and package them for optimized delivery.Video Stitcher APIService for dynamic or server side ad insertion.MigrationMigration CenterUnified platform for migrating and modernizing with Google Cloud.Application Mi"&amp;"grationApp migration to the cloud for low-cost refresh cycles.Migrate to Virtual MachinesComponents for migrating VMs and physical servers to Compute Engine.Cloud Foundation ToolkitReference templates for Deployment Manager and Terraform.Database Migratio"&amp;"n ServiceServerless minimal downtime migrations to Cloud SQL.Migrate to ContainersComponents for migrating VMs into system containers on GKE.BigQuery Data Transfer ServiceData import service for scheduling and moving data into BigQuery.Rapid Migration Pro"&amp;"gram (RaMP)End-to-end migration program to simplify your path to the cloud.Transfer ApplianceStorage server for moving large volumes of data to Google Cloud.Storage Transfer ServiceData transfers from online and on-premises sources to Cloud Storage.VMware"&amp;" EngineMigrate and run your VMware workloads natively on Google Cloud.Mixed RealityImmersive Stream for XRHosts renders and streams 3D and XR experiences.NetworkingCloud ArmorSecurity policies and defense against web and DDoS attacks.Cloud CDN and Media C"&amp;"DNContent delivery network for serving web and video content.Cloud DNSDomain name system for reliable and low-latency name lookups.Cloud Load BalancingService for distributing traffic across applications and regions.Cloud NATNAT service for giving private"&amp;" instances internet access.Cloud ConnectivityConnectivity options for VPN peering and enterprise needs.Network Connectivity CenterConnectivity management to help simplify and scale networks.Network Intelligence CenterNetwork monitoring verification and op"&amp;"timization platform.Network Service TiersCloud network options  based on performance availability and cost.Virtual Private CloudSingle VPC for an entire organization isolated within projects.Private Service ConnectSecure connection between your VPC and se"&amp;"rvices.Not seeing what you're looking for?See all networking productsOperationsCloud LoggingGoogle Cloud audit platform and application logs management.Cloud MonitoringInfrastructure and application health with rich metrics.Error ReportingApplication erro"&amp;"r identification and analysis.Cloud DebuggerReal-time application state inspection and in -production debugging.Cloud TraceTracing system collecting latency data from applications.Cloud ProfilerCPU and heap profiler for analyzing application performance.P"&amp;"roductivity and CollaborationAppSheetNo-code development platform to build and extend applications.Appsheet AutomationBuild automations and applications on a unified platform.Google WorkspaceCollaboration and productivity tools for individuals and organiz"&amp;"ations.Google Workspace EssentialsSecure video meetings and modern collaboration for teams.Duet AI for WorkspaceEmbeds generative AI across Workspace apps.Cloud IdentityUnified platform for IT admins to manage user devices and apps.Chrome EnterpriseChrome"&amp;" OS Chrome Browser and Chrome devices built for business.Security and IdentityCloud IAMPermissions management system for Google Cloud resources.Assured WorkloadsCompliance and security controls for sensitive workloads.Cloud Key ManagementManage encryption"&amp;" keys on Google Cloud.Confidential ComputingEncrypt data in use with Confidential VMs.Security Command CenterPlatform for defending against threats to your Google Cloud assets.Cloud Data Loss PreventionSensitive data inspection classification and redactio"&amp;"n platform.Mandiant Products and ServicesCybersecurity technology and expertise from the frontlines.Chronicle SIEMExtract signals from your security telemetry to find threats instantly.Chronicle Security OperationsDetect investigate and respond to cyber t"&amp;"hreats.Secret ManagerStore API keys passwords certificates and other sensitive data.BeyondCorp EnterpriseZero-trust access control for your internal web apps.Not seeing what you're looking for?See all security and identity productsServerlessCloud RunFully"&amp;" managed environment for running containerized apps.Cloud FunctionsPlatform for creating functions that respond to cloud events.App EngineServerless application platform for apps and back ends.WorkflowsWorkflow orchestration for serverless products and AP"&amp;"I services.API GatewayDevelop deploy secure and manage APIs with a full managed gateway.StorageCloud StorageObject storage that’s secure durable and scalable.Backup and DR ServiceService for centralized application-consistent data protection.FilestoreFile"&amp;" storage that is highly scalable and secure.Persistent DiskBlock storage for virtual machine instances running on Google Cloud.Cloud Storage for FirebaseObject storage for storing and serving user-generated content.Local SSDBlock storage that is locally a"&amp;"ttached for high-performance needs.Storage Transfer ServiceData transfers from online and on-premises sources to Cloud Storage.Web3Blockchain Node EngineFully managed node hosting for developing on the blockchain.closeSave money with our transparent appro"&amp;"ach to pricingGoogle Cloud's pay-as-you-go pricing offers automatic savings based on monthly usage and discounted rates for prepaid resources. Contact us today to get a quote.Request a quotePricing overview and toolsGoogle Cloud pricingPay only for what y"&amp;"ou use with no lock-in.Pricing calculatorCalculate your cloud savings.Google Cloud free tierExplore products with free monthly usage.Cost optimization frameworkGet best practices to optimize workload costs.Cost management toolsTools to monitor and control"&amp;" your costs.Product-specific PricingCompute EngineCloud SQLGoogle Kubernetes EngineCloud StorageBigQuerySee full price list with 100+ productscloseLearn &amp; buildGoogle Cloud Free Program$300 in free credits and 20+ free products.QuickstartsGet tutorials an"&amp;"d walkthroughs.Cloud computing basicsLearn more about cloud computing topics.BlogRead our latest product news and stories.Learning HubGrow your career with role-based learningTrainingEnroll in on-demand or classroom training.CertificationPrepare and regis"&amp;"ter for certifications.Cloud Architecture CenterGet reference architectures and best practices.ConnectInnovatorsJoin Google Cloud's developer program.Developer CenterStay in the know and stay connected.Events and webinarsBrowse upcoming and on demand even"&amp;"ts.Google Cloud CommunityAsk questions find answers and connect.Third-party tools and partnersGoogle Cloud MarketplaceDeploy ready-to-go solutions in a few clicks.Google Cloud partnersExplore benefits of working with a partner.Become a partnerJoin the Par"&amp;"tner Advantage program.closeOverviewarrow_forwardSolutionsarrow_forwardProductsarrow_forwardPricingarrow_forwardResourcesarrow_forwardDocsSupportConsoleAccelerate your digital transformationLearn moreKey benefitsWhy Google CloudAI and MLMulticloudGlobal i"&amp;"nfrastructureData CloudOpen cloudTrust and securityProductivity and collaborationReports and insightsExecutive insightsAnalyst reportsWhitepapersCustomer storiesIndustry SolutionsRetailConsumer Packaged GoodsFinancial ServicesHealthcare and Life SciencesM"&amp;"edia and EntertainmentTelecommunicationsGamesManufacturingSupply Chain and LogisticsGovernmentEducationSee all industry solutionsSee all solutionsApplication ModernizationCAMPModernize Traditional ApplicationsMigrate from PaaS: Cloud Foundry OpenshiftMigr"&amp;"ate from MainframeModernize Software DeliveryDevOps Best PracticesSRE PrinciplesDay 2 Operations for GKEFinOps and Optimization of GKERun Applications at the EdgeArchitect for MulticloudGo ServerlessArtificial IntelligenceContact Center AIDocument AIProdu"&amp;"ct DiscoveryAPIs and ApplicationsNew Business Channels Using APIsUnlocking Legacy Applications Using APIsOpen Banking APIxDatabasesDatabase MigrationDatabase ModernizationDatabases for GamesGoogle Cloud DatabasesMigrate Oracle workloads to Google CloudOpe"&amp;"n Source DatabasesSQL Server on Google CloudData CloudDatabases SolutionsSmart Analytics SolutionsAI SolutionsData Cloud for ISVsData Cloud AllianceDigital TransformationDigital InnovationOperational EfficiencyCOVID-19 SolutionsCOVID-19 Solutions for the "&amp;"Healthcare IndustryInfrastructure ModernizationApplication MigrationSAP on Google CloudHigh Performance ComputingWindows on Google CloudData Center MigrationActive AssistVirtual DesktopsRapid Migration Program (RaMP)Backup and Disaster RecoveryProductivit"&amp;"y and CollaborationGoogle WorkspaceGoogle Workspace EssentialsCloud IdentityChrome EnterpriseCloud SearchSecuritySecurity Analytics and OperationsWeb App and API ProtectionSecurity and Resilience FrameworkRisk and compliance as code (RCaC)Software Supply "&amp;"Chain SecuritySecurity FoundationSmart AnalyticsData Warehouse ModernizationData Lake ModernizationSpark on Google CloudStream AnalyticsBusiness IntelligenceData ScienceMarketing AnalyticsGeospatial Analytics and AIDatasetsStartups and SMBStartup Solution"&amp;"sStartup ProgramSmall and Medium BusinessSoftware as a ServiceFeatured ProductsCompute EngineCloud StorageBigQueryCloud RunGoogle Kubernetes EngineVertex AI PlatformLookerApigee API ManagementCloud SQLCloud SDKCloud CDNSee all products (100+)AI and Machin"&amp;"e LearningVertex AI PlatformGenerative AI on Vertex AIVertex AI Search and ConversationDialogflowNatural Language AISpeech-to-TextText-to-SpeechTranslation AIDocument AIVision AIContact Center AISee all AI and machine learning productsBusiness Intelligenc"&amp;"eLookerLooker StudioComputeCompute EngineApp EngineCloud GPUsMigrate to Virtual MachinesSpot VMsBatchSole-Tenant NodesBare MetalRecommenderVMware EngineCloud RunSee all compute productsContainersGoogle Kubernetes EngineCloud RunCloud BuildArtifact Registr"&amp;"yCloud CodeCloud DeployMigrate to ContainersDeep Learning ContainersKnativeData AnalyticsBigQueryLookerDataflowPub/SubDataprocCloud Data FusionCloud ComposerDataprepDataplexDataformAnalytics HubSee all data analytics productsDatabasesAlloyDB for PostgreSQ"&amp;"LCloud SQLFirestoreCloud SpannerCloud BigtableDatastreamDatabase Migration ServiceDeveloper ToolsArtifact RegistryCloud CodeCloud BuildCloud DeployCloud Deployment ManagerCloud SDKCloud SchedulerCloud Source RepositoriesCloud TasksCloud WorkstationsTools "&amp;"for PowerShellSee all developer toolsDistributed CloudGoogle Distributed Cloud EdgeGoogle Distributed Cloud HostedHybrid and MulticloudGoogle Kubernetes EngineApigee API ManagementMigrate to ContainersTraffic DirectorCloud BuildOperationsAnthosDistributed"&amp;" CloudIndustry SpecificAnti Money Laundering AICloud Healthcare APIDevice Connect for FitbitTelecom Network AutomationTelecom Data FabricTelecom Subscriber InsightsSpectrum Access System (SAS)Integration ServicesApplication IntegrationWorkflowsApigee API "&amp;"ManagementCloud TasksCloud SchedulerDataprocCloud Data FusionCloud ComposerPub/SubEventarcManagement ToolsCloud ShellCloud consoleCloud EndpointsCloud IAMCloud APIsService CatalogCost ManagementOperationsCarbon FootprintConfig ConnectorActive AssistSee al"&amp;"l management toolsMaps and GeospatialEarth EngineGoogle Maps PlatformMedia ServicesCloud CDNLive Steam APIOpenCueTranscoder APIVideo Stitcher APIMigrationMigration CenterApplication MigrationMigrate to Virtual MachinesCloud Foundation ToolkitDatabase Migr"&amp;"ation ServiceMigrate to ContainersBigQuery Data Transfer ServiceRapid Migration Program (RaMP)Transfer ApplianceStorage Transfer ServiceVMware EngineMixed RealityImmersive Stream for XRNetworkingCloud ArmorCloud CDN and Media CDNCloud DNSCloud Load Balanc"&amp;"ingCloud NATCloud ConnectivityNetwork Connectivity CenterNetwork Intelligence CenterNetwork Service TiersVirtual Private CloudPrivate Service ConnectSee all networking productsOperationsCloud LoggingCloud MonitoringError ReportingCloud DebuggerCloud Trace"&amp;"Cloud ProfilerProductivity and CollaborationAppSheetAppsheet AutomationGoogle WorkspaceGoogle Workspace EssentialsDuet AI for WorkspaceCloud IdentityChrome EnterpriseSecurity and IdentityCloud IAMAssured WorkloadsCloud Key ManagementConfidential Computing"&amp;"Security Command CenterCloud Data Loss PreventionMandiant Products and ServicesChronicle SIEMChronicle Security OperationsSecret ManagerBeyondCorp EnterpriseSee all security and identity productsServerlessCloud RunCloud FunctionsApp EngineWorkflowsAPI Gat"&amp;"ewayStorageCloud StorageBackup and DR ServiceFilestorePersistent DiskCloud Storage for FirebaseLocal SSDStorage Transfer ServiceWeb3Blockchain Node EngineSave money with our transparent approach to pricingRequest a quotePricing overview and toolsGoogle Cl"&amp;"oud pricingPricing calculatorGoogle Cloud free tierCost optimization frameworkCost management toolsProduct-specific PricingCompute EngineCloud SQLGoogle Kubernetes EngineCloud StorageBigQuerySee full price list with 100+ productsLearn &amp; buildGoogle Cloud "&amp;"Free ProgramQuickstartsCloud computing basicsBlogLearning HubTrainingCertificationCloud Architecture CenterConnectInnovatorsDeveloper CenterEvents and webinarsGoogle Cloud CommunityThird-party tools and partnersGoogle Cloud MarketplaceGoogle Cloud partner"&amp;"sBecome a partnerWhy GoogleChoosing Google CloudTrust and securityOpen cloudMulticloudGlobal infrastructureCustomers and case studiesAnalyst reportsWhitepapersBlogProducts and pricingGoogle Cloud pricingGoogle Workspace pricingSee all productsSolutionsInf"&amp;"rastructure modernizationDatabasesApplication modernizationSmart analyticsArtificial IntelligenceSecurityProductivity &amp; work transformationIndustry solutionsDevOps solutionsSmall business solutionsSee all solutionsResourcesGoogle Cloud documentationGoogle"&amp;" Cloud quickstartsGoogle Cloud MarketplaceLearn about cloud computingSupportCode samplesCloud Architecture CenterTrainingCertificationsGoogle DevelopersGoogle Cloud for StartupsSystem statusRelease NotesEngageContact salesFind a PartnerBecome a PartnerEve"&amp;"ntsPodcastsDeveloper CenterPress CornerGoogle Cloud on YouTubeGoogle Cloud Tech on YouTubeFollow on TwitterJoin User ResearchWe're hiring. Join Google Cloud!Google Cloud CommunityAbout GooglePrivacySite termsGoogle Cloud termsOur third decade of climate a"&amp;"ction: join usSign up for the Google Cloud newsletterSubscribe language‪English‬‪English‬‪Deutsch‬‪Español‬‪Español (Latinoamérica)‬‪Français‬‪Indonesia‬‪Italiano‬‪Português (Brasil)‬‪简体中文‬‪繁體中文‬‪日本語‬‪한국어‬")</f>
        <v>Cloud Computing Services | Google CloudGet $300 in free credits and free usage of 20+ productsThe new way to cloud starts hereBuild apps fast leverage generative AI and analyze data in seconds—all with Google-grade security. Get started for freeContact salesWhat's newFor developersEventMissed the Next ‘23 keynote? Watch the broadcast on demandNew productsExplore our latest generative AI productsGenerative AI NavigatorGet gen AI recommendations for your business and industryDeveloper offerGet $300 in free credits and free usage of 20+ productsDeveloper CenterLearn skills build with sample code and access resourcesAI SummitLearn how to turn your ideas into apps with gen AI tools on Dec 13-14What's newEventMissed the Next ‘23 keynote? Watch the broadcast on demandNew productsExplore our latest generative AI productsGenerative AI NavigatorGet gen AI recommendations for your business and industryFor developersDeveloper offerGet $300 in free credits and free usage of 20+ productsDeveloper CenterLearn skills build with sample code and access resourcesAI SummitLearn how to turn your ideas into apps with gen AI tools on Dec 13-14Choose from over 150 cutting-edge productsExplore and assess Google Cloud with free usage of over 20 products plus new customers get $300 in free credits on signup.Get startedSee all productsAI and machine learningBuild generative AI applications quickly and responsibly—powered by Google’s most advanced technologyImprove customer service with Contact Center AI’s virtual agents and conversational AI products like Speech-to-TextBuild deploy and scale more effective AI models with our unified machine learning platform Vertex AIGet AI-powered code generation recommendations and completion across Google Cloud products from Duet AIComputeCreate and run customizable virtual machines with Compute Engine. For scale-out workloads Tau VMs offer 42% better price performance over comparable cloud offerings.Automatically deploy scale and manage containers with Google Kubernetes Engine or Cloud RunMigrate your apps at your own pace by moving directly to virtual machines or automatically modernizing to containers—without rewriting codeStorageStore any type of data any amount of data and retrieve it as often as you’d like with object storageTransfer data with online and offline transfer solutions including Storage Transfer Service and Transfer AppliancePersistent Disk block storage is fully integrated with Google Cloud products like Compute Engine and GKEDatabasesReduce maintenance costs with fully managed MySQL PostgreSQL and SQL Server databasesSimplify migrations to Cloud SQL from MySQL and PostgreSQL with the Database Migration ServiceDevelop rich applications using a fully managed scalable and serverless document databaseData analyticsRun analytics at scale with 26%–34% lower three-year TCO on BigQuery compared to cloud data warehouse alternativesIngest process and analyze event streams in real time to make data more usefulReveal the true power of your data and bring clarity to every situation with Looker and Google CloudNetworkingHelp protect your applications and websites against denial of service and web attacks with Cloud ArmorQuickly and securely scale web and video content delivery with Cloud CDNExplore hybrid connectivity options including VPN peering and enterprise supportDeveloper toolsWrite debug and run cloud-native applications locally or in the cloud—quickly and easily with Cloud CodeWith Cloud Build continuously build test and deploy software across all languages and in multiple environmentsDeploy pre-built solution templates—with an active Google Cloud account—including dynamic websites load balanced VMs and three tier web apps.Save up to 30% over 3 years compared to other clouds with products like Anthos BigQuery and Active Assist.Request a quoteBuild and scale your startup with your first year covered by Google Cloud credits plus get support to help your startup grow.Learn more about the programSolve your business problems with our industry solutionsFrom improving retail product discovery to detecting bank fraud our industry solutions tackle your biggest challenges.Request a demoRetailConsumer packaged goodsFinancial servicesHealthcare and life sciencesMedia and entertainmentTelecommunicationsGamingManufacturingSupply chain and logisticsGovernmentEducationSee all industries9 / top 10retail companies trust Google CloudThe largest US beauty retailer easily supported a 9X growth in user traffic with Google Cloud’s highly scalable infrastructure. Discover what you can do with our retail solutions.Explore retail solutionsRetailConsumer packaged goodsFinancial servicesHealthcare and life sciencesMedia and entertainmentTelecommunicationsGamingManufacturingSupply chain and logisticsGovernmentEducationSee all industriesBuild with the cloud platform designed for developersGet started with Google Cloud’s easy-to-use platform tools and APIsGet started for freeAI-powered collaboratorIntroducing Duet AI for Google CloudConsole tourGet started with Google Cloud consoleHow-toBuild tune and deploy foundation models with Vertex AIPRODUCTS SPOTLIGHTGoogle Cloud products explained in 1 minuteDiscover more developer toolsIntroducing Duet AI for Google CloudGet started with Google Cloud consoleBuild tune and deploy foundation models with Vertex AIGoogle Cloud products explained in 1 minuteDiscover more developer toolsExplore technical blogs how-tos and resourcesVisit the Developer CenterStart learning Google Cloud skills at your own paceExplore developer trainingGet special invitations technical AMAs and moreJoin Google Cloud InnovatorsCustomer innovation happens on Google Cloud2:55TIME gets a 360 degree view of its customers and gives the whole company access to metrics Watch the video3:15Goldman Sachs empowers its team to analyze data and scale compute power confidentlyWatch the video2:54Spotify powers the playlists of 381 million monthly listeners with Google CloudWatch the videoFrontier Development Lab in partnership with NASA analyzed a 20-year data bottleneck in 20 mins with Google Cloud AILaunch the demo1:55Cardinal Health saved 25% quarter over quarter by migrating to Google CloudWatch the videoLeading companies solve for innovation with Google CloudRead the EbookSee more customersCloud computing ready for businessWhether you’re migrating or already in the cloud we’ll help you modernize and digitally transform your business.Talk to usRun and build your apps anywhereAvoid vendor lock-in and speed up development with Google Cloud’s commitment to open source hybrid and multicloud.Make smarter decisions with the leading data platformGive anyone on your team access to business insights with advanced machine learning and analytics.Protect what's importantHelp defend your data and apps against threats and fraudulent activity with the same security technology Google uses.Transform how your teams collaborate—from anywhereIntegrate video calling email chat and document collaboration in one place.Let’s start building your tomorrow todayGet started for freeContact salesCall our sales team844-613-7589Run on the industry’s cleanest cloudLearn moreGet updates with the Google Cloud newsletterSubscribemenuOverviewSolutionsProductsPricingResourcesDocsSupportContact UsDocsSupport language‪English‬‪English‬‪Deutsch‬‪Español‬‪Español (Latinoamérica)‬‪Français‬‪Indonesia‬‪Italiano‬‪Português (Brasil)‬‪简体中文‬‪繁體中文‬‪日本語‬‪한국어‬ConsoleSign inStart freeStart freeContact UscloseAccelerate your digital transformationWhether your business is early in its journey or well on its way to digital transformation Google Cloud can help solve your toughest challenges.Learn moreKey benefitsWhy Google CloudTop reasons businesses choose us.AI and MLGet enterprise-ready AI.MulticloudRun your apps wherever you need them.Global infrastructureBuild on the same infrastructure as Google.Data CloudMake smarter decisions with unified data.Open cloudScale with open flexible technology.Trust and securityKeep your data secure and compliant.Productivity and collaborationConnect your teams with AI-powered apps.Reports and insightsExecutive insightsCurated C-suite perspectives.Analyst reportsRead what industry analysts say about us.WhitepapersBrowse and download popular whitepapers.Customer storiesExplore case studies and videos.closeIndustry SolutionsApplication ModernizationArtificial IntelligenceAPIs and ApplicationsDatabasesData CloudDigital TransformationInfrastructure ModernizationProductivity and CollaborationSecuritySmart AnalyticsStartups and SMBSee all solutionsIndustry SolutionsReduce cost increase operational agility and capture new market opportunities.RetailAnalytics and collaboration tools for the retail value chain.Consumer Packaged GoodsSolutions for CPG digital transformation and brand growth.Financial ServicesComputing data management and analytics tools for financial services.Healthcare and Life SciencesAdvance research at scale and empower healthcare innovation.Media and EntertainmentSolutions for content production and distribution operations.TelecommunicationsHybrid and multi-cloud services to deploy and monetize 5G.GamesAI-driven solutions to build and scale games faster.ManufacturingMigration and AI tools to optimize the manufacturing value chain.Supply Chain and LogisticsEnable sustainable efficient and resilient data-driven operations across supply chain and logistics operations.GovernmentData storage AI and analytics solutions for government agencies.EducationTeaching tools to provide more engaging learning experiences.Not seeing what you're looking for?See all industry solutionsApplication ModernizationAssess plan implement and measure software practices and capabilities to modernize and simplify your organization’s business application portfolios.CAMPProgram that uses DORA to improve your software delivery capabilities.Modernize Traditional ApplicationsAnalyze categorize and get started with cloud migration on traditional workloads.Migrate from PaaS: Cloud Foundry OpenshiftTools for moving your existing containers into Google's managed container services.Migrate from MainframeAutomated tools and prescriptive guidance for moving your mainframe apps to the cloud.Modernize Software DeliverySoftware supply chain best practices - innerloop productivity CI/CD and S3C.DevOps Best PracticesProcesses and resources for implementing DevOps in your org.SRE PrinciplesTools and resources for adopting SRE in your org.Day 2 Operations for GKETools and guidance for effective GKE management and monitoring.FinOps and Optimization of GKEBest practices for running reliable performant and cost effective applications on GKE.Run Applications at the EdgeGuidance for localized and low latency apps on Google’s hardware agnostic edge solution.Architect for MulticloudManage workloads across multiple clouds with a consistent platform.Go ServerlessFully managed environment for developing deploying and scaling apps.Artificial IntelligenceAdd intelligence and efficiency to your business with AI and machine learning.Contact Center AIAI model for speaking with customers and assisting human agents.Document AIDocument processing and data capture automated at scale.Product DiscoveryGoogle-quality search and product recommendations for retailers.APIs and ApplicationsSpeed up the pace of innovation without coding using APIs apps and automation.New Business Channels Using APIsAttract and empower an ecosystem of developers and partners.Unlocking Legacy Applications Using APIsCloud services for extending and modernizing legacy apps.Open Banking APIxSimplify and accelerate secure delivery of open banking compliant APIs.DatabasesMigrate and manage enterprise data with security reliability high availability and fully managed data services.Database MigrationGuides and tools to simplify your database migration life cycle.Database ModernizationUpgrades to modernize your operational database infrastructure.Databases for GamesBuild global live games with Google Cloud databases.Google Cloud DatabasesDatabase services to migrate manage and modernize data.Migrate Oracle workloads to Google CloudRehost replatform rewrite your Oracle workloads.Open Source DatabasesFully managed open source databases with enterprise-grade support.SQL Server on Google CloudOptions for running SQL Server virtual machines on Google Cloud.Data CloudUnify data across your organization with an open and simplified approach to data-driven transformation that is unmatched for speed scale and security with AI built-in.Databases SolutionsMigrate and manage enterprise data with security reliability high availability and fully managed data services.Smart Analytics SolutionsGenerate instant insights from data at any scale with a serverless fully managed analytics platform that significantly simplifies analytics.AI SolutionsAdd intelligence and efficiency to your business with AI and machine learning.Data Cloud for ISVsInnovate optimize and amplify your SaaS applications using Google's data and machine learning solutions such as BigQuery Looker Spanner and Vertex AI.Data Cloud AllianceAn initiative to ensure that global businesses have more seamless access and insights into the data required for digital transformation.Digital TransformationAccelerate business recovery and ensure a better future with solutions that enable hybrid and multi-cloud generate intelligent insights and keep your workers connected.Digital InnovationReimagine your operations and unlock new opportunities.Operational EfficiencyPrioritize investments and optimize costs.COVID-19 SolutionsGet work done more safely and securely.COVID-19 Solutions for the Healthcare IndustryHow Google is helping healthcare meet extraordinary challenges.Infrastructure ModernizationMigrate quickly with solutions for SAP VMware Windows Oracle and other workloads.Application MigrationDiscovery and analysis tools for moving to the cloud.SAP on Google CloudCertifications for running SAP applications and SAP HANA.High Performance ComputingCompute storage and networking options to support any workload.Windows on Google CloudTools and partners for running Windows workloads.Data Center MigrationMigration solutions for VMs apps databases and more.Active AssistAutomatic cloud resource optimization and increased security.Virtual DesktopsRemote work solutions for desktops and applications (VDI &amp; DaaS).Rapid Migration Program (RaMP)End-to-end migration program to simplify your path to the cloud.Backup and Disaster RecoveryEnsure your business continuity needs are met.Productivity and CollaborationChange the way teams work with solutions designed for humans and built for impact.Google WorkspaceCollaboration and productivity tools for enterprises.Google Workspace EssentialsSecure video meetings and modern collaboration for teams.Cloud IdentityUnified platform for IT admins to manage user devices and apps.Chrome EnterpriseChromeOS Chrome Browser and Chrome devices built for business.Cloud SearchEnterprise search for employees to quickly find company information.SecurityDetect investigate and respond to online threats to help protect your business.Security Analytics and OperationsSolution for analyzing petabytes of security telemetry.Web App and API ProtectionThreat and fraud protection for your web applications and APIs.Security and Resilience FrameworkSolutions for each phase of the security and resilience life cycle.Risk and compliance as code (RCaC)Solution to modernize your governance risk and compliance function with automation.Software Supply Chain SecuritySolution for improving end-to-end software supply chain security.Security FoundationRecommended products to help achieve a strong security posture.Smart AnalyticsGenerate instant insights from data at any scale with a serverless fully managed analytics platform that significantly simplifies analytics.Data Warehouse ModernizationData warehouse to jumpstart your migration and unlock insights.Data Lake ModernizationServices for building and modernizing your data lake.Spark on Google CloudRun and write Spark where you need it serverless and integrated.Stream AnalyticsInsights from ingesting processing and analyzing event streams.Business IntelligenceSolutions for modernizing your BI stack and creating rich data experiences.Data SciencePut your data to work with Data Science on Google Cloud.Marketing AnalyticsSolutions for collecting analyzing and activating customer data.Geospatial Analytics and AISolutions for building a more prosperous and sustainable business.DatasetsData from Google public and commercial providers to enrich your analytics and AI initiatives.Startups and SMBAccelerate startup and SMB growth with tailored solutions and programs.Startup SolutionsGrow your startup and solve your toughest challenges using Google’s proven technology.Startup ProgramGet financial business and technical support to take your startup to the next level.Small and Medium BusinessExplore solutions for web hosting app development AI and analytics.Software as a ServiceBuild better SaaS products scale efficiently and grow your business.closeFeatured ProductsAI and Machine LearningBusiness IntelligenceComputeContainersData AnalyticsDatabasesDeveloper ToolsDistributed CloudHybrid and MulticloudIndustry SpecificIntegration ServicesManagement ToolsMaps and GeospatialMedia ServicesMigrationMixed RealityNetworkingOperationsProductivity and CollaborationSecurity and IdentityServerlessStorageWeb3See all products (100+)Featured ProductsCompute EngineVirtual machines running in Google’s data center.Cloud StorageObject storage that’s secure durable and scalable.BigQueryData warehouse for business agility and insights.Cloud RunFully managed environment for running containerized apps.Google Kubernetes EngineManaged environment for running containerized apps.Vertex AI PlatformUnified platform for ML models and generative AI.LookerPlatform for BI data applications and embedded analytics.Apigee API ManagementManage the full life cycle of APIs anywhere with visibility and control.Cloud SQLRelational database services for MySQL PostgreSQL and SQL Server.Cloud SDKCommand-line tools and libraries for Google Cloud.Cloud CDNContent delivery network for delivering web and video.Not seeing what you're looking for?See all products (100+)AI and Machine LearningVertex AI PlatformUnified platform for ML models and generative AI.Generative AI on Vertex AIBuild tune and deploy foundation models on Vertex AI.Vertex AI Search and ConversationGenerative AI apps for search and conversational AI.DialogflowLifelike conversational AI with state-of-the-art virtual agents.Natural Language AISentiment analysis and classification of unstructured text.Speech-to-TextSpeech recognition and transcription across 125 languages.Text-to-SpeechSpeech synthesis in 220+ voices and 40+ languages.Translation AILanguage detection translation and glossary support.Document AIDocument processing and data capture automated at scale.Vision AICustom and pre-trained models to detect emotion text and more.Contact Center AIAI model for speaking with customers and assisting human agents.Not seeing what you're looking for?See all AI and machine learning productsBusiness IntelligenceLookerPlatform for BI data applications and embedded analytics.Looker StudioInteractive data suite for dashboarding reporting and analytics.ComputeCompute EngineVirtual machines running in Google’s data center.App EngineServerless application platform for apps and back ends.Cloud GPUsGPUs for ML scientific computing and 3D visualization.Migrate to Virtual MachinesServer and virtual machine migration to Compute Engine.Spot VMsCompute instances for batch jobs and fault-tolerant workloads.BatchFully managed service for scheduling batch jobs.Sole-Tenant NodesDedicated hardware for compliance licensing and management.Bare MetalInfrastructure to run specialized workloads on Google Cloud.RecommenderUsage recommendations for Google Cloud products and services.VMware EngineFully managed native VMware Cloud Foundation software stack.Cloud RunFully managed environment for running containerized apps.Not seeing what you're looking for?See all compute productsContainersGoogle Kubernetes EngineManaged environment for running containerized apps.Cloud RunFully managed environment for running containerized apps.Cloud BuildSolution for running build steps in a Docker container.Artifact RegistryPackage manager for build artifacts and dependencies.Cloud CodeIDE support to write run and debug Kubernetes applications.Cloud DeployFully managed continuous delivery to GKE and Cloud Run.Migrate to ContainersComponents for migrating VMs into system containers on GKE.Deep Learning ContainersContainers with data science frameworks libraries and tools.KnativeComponents to create Kubernetes-native cloud-based software.Data AnalyticsBigQueryData warehouse for business agility and insights.LookerPlatform for BI data applications and embedded analytics.DataflowStreaming analytics for stream and batch processing.Pub/SubMessaging service for event ingestion and delivery.DataprocService for running Apache Spark and Apache Hadoop clusters.Cloud Data FusionData integration for building and managing data pipelines.Cloud ComposerWorkflow orchestration service built on Apache Airflow.DataprepService to prepare data for analysis and machine learning.DataplexIntelligent data fabric for unifying data management across silos.DataformBuild version control and deploy SQL workflows in BigQuery.Analytics HubService for securely and efficiently exchanging data analytics assets.Not seeing what you're looking for?See all data analytics productsDatabasesAlloyDB for PostgreSQLFully managed PostgreSQL-compatible database for enterprise workloads.Cloud SQLFully managed database for MySQL PostgreSQL and SQL Server.FirestoreCloud-native document database for building rich mobile web and IoT apps.Cloud SpannerCloud-native relational database with unlimited scale and 99.999% availability.Cloud BigtableCloud-native wide-column database for large-scale low-latency workloads.DatastreamServerless change data capture and replication service.Database Migration ServiceServerless minimal downtime migrations to Cloud SQL.Developer ToolsArtifact RegistryUniversal package manager for build artifacts and dependencies.Cloud CodeIDE support to write run and debug Kubernetes applications.Cloud BuildContinuous integration and continuous delivery platform.Cloud DeployFully managed continuous delivery to GKE and Cloud Run.Cloud Deployment ManagerService for creating and managing Google Cloud resources.Cloud SDKCommand-line tools and libraries for Google Cloud.Cloud SchedulerCron job scheduler for task automation and management.Cloud Source RepositoriesPrivate Git repository to store manage and track code.Cloud TasksTask management service for asynchronous task execution.Cloud WorkstationsManaged and secure development environments in the cloud.Tools for PowerShellFull cloud control from Windows PowerShell.Not seeing what you're looking for?See all developer toolsDistributed CloudGoogle Distributed Cloud EdgeDistributed cloud services for edge workloads.Google Distributed Cloud HostedDistributed cloud for air-gapped workloads.Hybrid and MulticloudGoogle Kubernetes EngineManaged environment for running containerized apps.Apigee API ManagementAPI management development and security platform.Migrate to ContainersTool to move workloads and existing applications to GKE.Traffic DirectorTraffic control pane and management for open service mesh.Cloud BuildService for executing builds on Google Cloud infrastructure.OperationsMonitoring logging and application performance suite.AnthosPlatform for modernizing existing apps and building new ones.Distributed CloudFully managed solutions for the edge and data centers.Industry SpecificAnti Money Laundering AIDetect suspicious potential money laundering activity with AI.Cloud Healthcare APISolution for bridging existing care systems and apps on Google Cloud.Device Connect for FitbitGain a 360-degree patient view with connected Fitbit data on Google Cloud.Telecom Network AutomationReady to use cloud-native automation for telecom networks.Telecom Data FabricTelecom data management and analytics with an automated approach.Telecom Subscriber InsightsIngests data to improve subscriber acquisition and retention.Spectrum Access System (SAS)Controls fundamental access to the Citizens Broadband Radio Service (CBRS).Integration ServicesApplication IntegrationConnect to 3rd party apps and enable data consistency without code.WorkflowsWorkflow orchestration for serverless products and API services.Apigee API ManagementManage the full life cycle of APIs anywhere with visibility and control.Cloud TasksTask management service for asynchronous task execution.Cloud SchedulerCron job scheduler for task automation and management.DataprocService for running Apache Spark and Apache Hadoop clusters.Cloud Data FusionData integration for building and managing data pipelines.Cloud ComposerWorkflow orchestration service built on Apache Airflow.Pub/SubMessaging service for event ingestion and delivery.EventarcBuild an event-driven architecture that can connect any service.Management ToolsCloud ShellInteractive shell environment with a built-in command line.Cloud consoleWeb-based interface for managing and monitoring cloud apps.Cloud EndpointsDeployment and development management for APIs on Google Cloud.Cloud IAMPermissions management system for Google Cloud resources.Cloud APIsProgrammatic interfaces for  Google Cloud services.Service CatalogService catalog for admins managing internal enterprise solutions.Cost ManagementTools for monitoring controlling and optimizing your costs.OperationsMonitoring logging and application performance suite.Carbon FootprintDashboard to view and export Google Cloud carbon emissions reports.Config ConnectorKubernetes add-on for managing Google Cloud resources.Active AssistTools for easily managing performance security and cost.Not seeing what you're looking for?See all management toolsMaps and GeospatialEarth EngineGeospatial platform for Earth observation data and analysis.Google Maps PlatformCreate immersive location experiences and improve business operations.Media ServicesCloud CDNContent delivery network for serving web and video content.Live Steam APIService to convert live video and package for streaming.OpenCueOpen source render manager for visual effects and animation.Transcoder APIConvert video files and package them for optimized delivery.Video Stitcher APIService for dynamic or server side ad insertion.MigrationMigration CenterUnified platform for migrating and modernizing with Google Cloud.Application MigrationApp migration to the cloud for low-cost refresh cycles.Migrate to Virtual MachinesComponents for migrating VMs and physical servers to Compute Engine.Cloud Foundation ToolkitReference templates for Deployment Manager and Terraform.Database Migration ServiceServerless minimal downtime migrations to Cloud SQL.Migrate to ContainersComponents for migrating VMs into system containers on GKE.BigQuery Data Transfer ServiceData import service for scheduling and moving data into BigQuery.Rapid Migration Program (RaMP)End-to-end migration program to simplify your path to the cloud.Transfer ApplianceStorage server for moving large volumes of data to Google Cloud.Storage Transfer ServiceData transfers from online and on-premises sources to Cloud Storage.VMware EngineMigrate and run your VMware workloads natively on Google Cloud.Mixed RealityImmersive Stream for XRHosts renders and streams 3D and XR experiences.NetworkingCloud ArmorSecurity policies and defense against web and DDoS attacks.Cloud CDN and Media CDNContent delivery network for serving web and video content.Cloud DNSDomain name system for reliable and low-latency name lookups.Cloud Load BalancingService for distributing traffic across applications and regions.Cloud NATNAT service for giving private instances internet access.Cloud ConnectivityConnectivity options for VPN peering and enterprise needs.Network Connectivity CenterConnectivity management to help simplify and scale networks.Network Intelligence CenterNetwork monitoring verification and optimization platform.Network Service TiersCloud network options  based on performance availability and cost.Virtual Private CloudSingle VPC for an entire organization isolated within projects.Private Service ConnectSecure connection between your VPC and services.Not seeing what you're looking for?See all networking productsOperationsCloud LoggingGoogle Cloud audit platform and application logs management.Cloud MonitoringInfrastructure and application health with rich metrics.Error ReportingApplication error identification and analysis.Cloud DebuggerReal-time application state inspection and in -production debugging.Cloud TraceTracing system collecting latency data from applications.Cloud ProfilerCPU and heap profiler for analyzing application performance.Productivity and CollaborationAppSheetNo-code development platform to build and extend applications.Appsheet AutomationBuild automations and applications on a unified platform.Google WorkspaceCollaboration and productivity tools for individuals and organizations.Google Workspace EssentialsSecure video meetings and modern collaboration for teams.Duet AI for WorkspaceEmbeds generative AI across Workspace apps.Cloud IdentityUnified platform for IT admins to manage user devices and apps.Chrome EnterpriseChrome OS Chrome Browser and Chrome devices built for business.Security and IdentityCloud IAMPermissions management system for Google Cloud resources.Assured WorkloadsCompliance and security controls for sensitive workloads.Cloud Key ManagementManage encryption keys on Google Cloud.Confidential ComputingEncrypt data in use with Confidential VMs.Security Command CenterPlatform for defending against threats to your Google Cloud assets.Cloud Data Loss PreventionSensitive data inspection classification and redaction platform.Mandiant Products and ServicesCybersecurity technology and expertise from the frontlines.Chronicle SIEMExtract signals from your security telemetry to find threats instantly.Chronicle Security OperationsDetect investigate and respond to cyber threats.Secret ManagerStore API keys passwords certificates and other sensitive data.BeyondCorp EnterpriseZero-trust access control for your internal web apps.Not seeing what you're looking for?See all security and identity productsServerlessCloud RunFully managed environment for running containerized apps.Cloud FunctionsPlatform for creating functions that respond to cloud events.App EngineServerless application platform for apps and back ends.WorkflowsWorkflow orchestration for serverless products and API services.API GatewayDevelop deploy secure and manage APIs with a full managed gateway.StorageCloud StorageObject storage that’s secure durable and scalable.Backup and DR ServiceService for centralized application-consistent data protection.FilestoreFile storage that is highly scalable and secure.Persistent DiskBlock storage for virtual machine instances running on Google Cloud.Cloud Storage for FirebaseObject storage for storing and serving user-generated content.Local SSDBlock storage that is locally attached for high-performance needs.Storage Transfer ServiceData transfers from online and on-premises sources to Cloud Storage.Web3Blockchain Node EngineFully managed node hosting for developing on the blockchain.closeSave money with our transparent approach to pricingGoogle Cloud's pay-as-you-go pricing offers automatic savings based on monthly usage and discounted rates for prepaid resources. Contact us today to get a quote.Request a quotePricing overview and toolsGoogle Cloud pricingPay only for what you use with no lock-in.Pricing calculatorCalculate your cloud savings.Google Cloud free tierExplore products with free monthly usage.Cost optimization frameworkGet best practices to optimize workload costs.Cost management toolsTools to monitor and control your costs.Product-specific PricingCompute EngineCloud SQLGoogle Kubernetes EngineCloud StorageBigQuerySee full price list with 100+ productscloseLearn &amp; buildGoogle Cloud Free Program$300 in free credits and 20+ free products.QuickstartsGet tutorials and walkthroughs.Cloud computing basicsLearn more about cloud computing topics.BlogRead our latest product news and stories.Learning HubGrow your career with role-based learningTrainingEnroll in on-demand or classroom training.CertificationPrepare and register for certifications.Cloud Architecture CenterGet reference architectures and best practices.ConnectInnovatorsJoin Google Cloud's developer program.Developer CenterStay in the know and stay connected.Events and webinarsBrowse upcoming and on demand events.Google Cloud CommunityAsk questions find answers and connect.Third-party tools and partnersGoogle Cloud MarketplaceDeploy ready-to-go solutions in a few clicks.Google Cloud partnersExplore benefits of working with a partner.Become a partnerJoin the Partner Advantage program.closeOverviewarrow_forwardSolutionsarrow_forwardProductsarrow_forwardPricingarrow_forwardResourcesarrow_forwardDocsSupportConsoleAccelerate your digital transformationLearn moreKey benefitsWhy Google CloudAI and MLMulticloudGlobal infrastructureData CloudOpen cloudTrust and securityProductivity and collaborationReports and insightsExecutive insightsAnalyst reportsWhitepapersCustomer storiesIndustry SolutionsRetailConsumer Packaged GoodsFinancial ServicesHealthcare and Life SciencesMedia and EntertainmentTelecommunicationsGamesManufacturingSupply Chain and LogisticsGovernmentEducationSee all industry solutionsSee all solutionsApplication ModernizationCAMPModernize Traditional ApplicationsMigrate from PaaS: Cloud Foundry OpenshiftMigrate from MainframeModernize Software DeliveryDevOps Best PracticesSRE PrinciplesDay 2 Operations for GKEFinOps and Optimization of GKERun Applications at the EdgeArchitect for MulticloudGo ServerlessArtificial IntelligenceContact Center AIDocument AIProduct DiscoveryAPIs and ApplicationsNew Business Channels Using APIsUnlocking Legacy Applications Using APIsOpen Banking APIxDatabasesDatabase MigrationDatabase ModernizationDatabases for GamesGoogle Cloud DatabasesMigrate Oracle workloads to Google CloudOpen Source DatabasesSQL Server on Google CloudData CloudDatabases SolutionsSmart Analytics SolutionsAI SolutionsData Cloud for ISVsData Cloud AllianceDigital TransformationDigital InnovationOperational EfficiencyCOVID-19 SolutionsCOVID-19 Solutions for the Healthcare IndustryInfrastructure ModernizationApplication MigrationSAP on Google CloudHigh Performance ComputingWindows on Google CloudData Center MigrationActive AssistVirtual DesktopsRapid Migration Program (RaMP)Backup and Disaster RecoveryProductivity and CollaborationGoogle WorkspaceGoogle Workspace EssentialsCloud IdentityChrome EnterpriseCloud SearchSecuritySecurity Analytics and OperationsWeb App and API ProtectionSecurity and Resilience FrameworkRisk and compliance as code (RCaC)Software Supply Chain SecuritySecurity FoundationSmart AnalyticsData Warehouse ModernizationData Lake ModernizationSpark on Google CloudStream AnalyticsBusiness IntelligenceData ScienceMarketing AnalyticsGeospatial Analytics and AIDatasetsStartups and SMBStartup SolutionsStartup ProgramSmall and Medium BusinessSoftware as a ServiceFeatured ProductsCompute EngineCloud StorageBigQueryCloud RunGoogle Kubernetes EngineVertex AI PlatformLookerApigee API ManagementCloud SQLCloud SDKCloud CDNSee all products (100+)AI and Machine LearningVertex AI PlatformGenerative AI on Vertex AIVertex AI Search and ConversationDialogflowNatural Language AISpeech-to-TextText-to-SpeechTranslation AIDocument AIVision AIContact Center AISee all AI and machine learning productsBusiness IntelligenceLookerLooker StudioComputeCompute EngineApp EngineCloud GPUsMigrate to Virtual MachinesSpot VMsBatchSole-Tenant NodesBare MetalRecommenderVMware EngineCloud RunSee all compute productsContainersGoogle Kubernetes EngineCloud RunCloud BuildArtifact RegistryCloud CodeCloud DeployMigrate to ContainersDeep Learning ContainersKnativeData AnalyticsBigQueryLookerDataflowPub/SubDataprocCloud Data FusionCloud ComposerDataprepDataplexDataformAnalytics HubSee all data analytics productsDatabasesAlloyDB for PostgreSQLCloud SQLFirestoreCloud SpannerCloud BigtableDatastreamDatabase Migration ServiceDeveloper ToolsArtifact RegistryCloud CodeCloud BuildCloud DeployCloud Deployment ManagerCloud SDKCloud SchedulerCloud Source RepositoriesCloud TasksCloud WorkstationsTools for PowerShellSee all developer toolsDistributed CloudGoogle Distributed Cloud EdgeGoogle Distributed Cloud HostedHybrid and MulticloudGoogle Kubernetes EngineApigee API ManagementMigrate to ContainersTraffic DirectorCloud BuildOperationsAnthosDistributed CloudIndustry SpecificAnti Money Laundering AICloud Healthcare APIDevice Connect for FitbitTelecom Network AutomationTelecom Data FabricTelecom Subscriber InsightsSpectrum Access System (SAS)Integration ServicesApplication IntegrationWorkflowsApigee API ManagementCloud TasksCloud SchedulerDataprocCloud Data FusionCloud ComposerPub/SubEventarcManagement ToolsCloud ShellCloud consoleCloud EndpointsCloud IAMCloud APIsService CatalogCost ManagementOperationsCarbon FootprintConfig ConnectorActive AssistSee all management toolsMaps and GeospatialEarth EngineGoogle Maps PlatformMedia ServicesCloud CDNLive Steam APIOpenCueTranscoder APIVideo Stitcher APIMigrationMigration CenterApplication MigrationMigrate to Virtual MachinesCloud Foundation ToolkitDatabase Migration ServiceMigrate to ContainersBigQuery Data Transfer ServiceRapid Migration Program (RaMP)Transfer ApplianceStorage Transfer ServiceVMware EngineMixed RealityImmersive Stream for XRNetworkingCloud ArmorCloud CDN and Media CDNCloud DNSCloud Load BalancingCloud NATCloud ConnectivityNetwork Connectivity CenterNetwork Intelligence CenterNetwork Service TiersVirtual Private CloudPrivate Service ConnectSee all networking productsOperationsCloud LoggingCloud MonitoringError ReportingCloud DebuggerCloud TraceCloud ProfilerProductivity and CollaborationAppSheetAppsheet AutomationGoogle WorkspaceGoogle Workspace EssentialsDuet AI for WorkspaceCloud IdentityChrome EnterpriseSecurity and IdentityCloud IAMAssured WorkloadsCloud Key ManagementConfidential ComputingSecurity Command CenterCloud Data Loss PreventionMandiant Products and ServicesChronicle SIEMChronicle Security OperationsSecret ManagerBeyondCorp EnterpriseSee all security and identity productsServerlessCloud RunCloud FunctionsApp EngineWorkflowsAPI GatewayStorageCloud StorageBackup and DR ServiceFilestorePersistent DiskCloud Storage for FirebaseLocal SSDStorage Transfer ServiceWeb3Blockchain Node EngineSave money with our transparent approach to pricingRequest a quotePricing overview and toolsGoogle Cloud pricingPricing calculatorGoogle Cloud free tierCost optimization frameworkCost management toolsProduct-specific PricingCompute EngineCloud SQLGoogle Kubernetes EngineCloud StorageBigQuerySee full price list with 100+ productsLearn &amp; buildGoogle Cloud Free ProgramQuickstartsCloud computing basicsBlogLearning HubTrainingCertificationCloud Architecture CenterConnectInnovatorsDeveloper CenterEvents and webinarsGoogle Cloud CommunityThird-party tools and partnersGoogle Cloud MarketplaceGoogle Cloud partnersBecome a partnerWhy GoogleChoosing Google CloudTrust and securityOpen cloudMulticloudGlobal infrastructureCustomers and case studiesAnalyst reportsWhitepapersBlogProducts and pricingGoogle Cloud pricingGoogle Workspace pricingSee all productsSolutionsInfrastructure modernizationDatabasesApplication modernizationSmart analyticsArtificial IntelligenceSecurityProductivity &amp; work transformationIndustry solutionsDevOps solutionsSmall business solutionsSee all solutionsResourcesGoogle Cloud documentationGoogle Cloud quickstartsGoogle Cloud MarketplaceLearn about cloud computingSupportCode samplesCloud Architecture CenterTrainingCertificationsGoogle DevelopersGoogle Cloud for StartupsSystem statusRelease NotesEngageContact salesFind a PartnerBecome a PartnerEventsPodcastsDeveloper CenterPress CornerGoogle Cloud on YouTubeGoogle Cloud Tech on YouTubeFollow on TwitterJoin User ResearchWe're hiring. Join Google Cloud!Google Cloud CommunityAbout GooglePrivacySite termsGoogle Cloud termsOur third decade of climate action: join usSign up for the Google Cloud newsletterSubscribe language‪English‬‪English‬‪Deutsch‬‪Español‬‪Español (Latinoamérica)‬‪Français‬‪Indonesia‬‪Italiano‬‪Português (Brasil)‬‪简体中文‬‪繁體中文‬‪日本語‬‪한국어‬</v>
      </c>
    </row>
    <row r="382">
      <c r="A382" s="1" t="s">
        <v>1218</v>
      </c>
      <c r="B382" s="1" t="s">
        <v>1299</v>
      </c>
      <c r="C382" s="1" t="s">
        <v>1300</v>
      </c>
      <c r="D382" s="1">
        <v>8.0</v>
      </c>
      <c r="E382" s="4" t="s">
        <v>1301</v>
      </c>
      <c r="F382" s="1" t="s">
        <v>43</v>
      </c>
      <c r="G382" s="1" t="s">
        <v>1302</v>
      </c>
      <c r="H382" s="4" t="s">
        <v>1303</v>
      </c>
      <c r="I382" s="2">
        <v>3.0</v>
      </c>
      <c r="J382" s="5" t="str">
        <f>IFERROR(__xludf.DUMMYFUNCTION("GOOGLETRANSLATE(A382)"),"DNS")</f>
        <v>DNS</v>
      </c>
      <c r="K382" s="6" t="str">
        <f>IFERROR(__xludf.DUMMYFUNCTION("GOOGLETRANSLATE(B382)"),"What is DNS? – Introduction to DNS")</f>
        <v>What is DNS? – Introduction to DNS</v>
      </c>
      <c r="L382" s="5" t="str">
        <f>IFERROR(__xludf.DUMMYFUNCTION("GOOGLETRANSLATE(C382)"),"DNS, or the Domain Name System, translates human readable domain names (for example, www.amazon.com) to machine readable IP addresses (for example, 192.0.2.44).")</f>
        <v>DNS, or the Domain Name System, translates human readable domain names (for example, www.amazon.com) to machine readable IP addresses (for example, 192.0.2.44).</v>
      </c>
      <c r="M382" s="5" t="str">
        <f>IFERROR(__xludf.DUMMYFUNCTION("GOOGLETRANSLATE(G382)"),"Cloud Computing Services - Amazon Web Services (AWS) Skip to main contentClick here to return to Amazon Web Services homepageContact Us Support  English My Account  Sign In  Create an AWS Account re:InventProductsSolutionsPricingDocumentationLearnPartner "&amp;"NetworkAWS MarketplaceCustomer EnablementEventsExplore More  Close عربيBahasa IndonesiaDeutschEnglishEspañolFrançaisItalianoPortuguêsTiếng ViệtTürkçeΡусскийไทย日本語한국어中文 (简体)中文 (繁體) Close My ProfileSign out of AWS Builder IDAWS Management ConsoleAccount Set"&amp;"tingsBilling &amp; Cost ManagementSecurity CredentialsAWS Personal Health Dashboard Close Support CenterExpert HelpKnowledge CenterAWS Support OverviewAWS re:PostClick here to return to Amazon Web Services homepage  Get Started for Free   Contact Us  re:Inven"&amp;"t  Products  Solutions  Pricing  Introduction to AWS  Getting Started  Documentation  Training and Certification  Developer Center  Customer Success  Partner Network  AWS Marketplace  Support  AWS re:Post  Log into Console  Download the Mobile App  Start "&amp;"Building on AWS Today               Whether you're looking for compute power database storage content delivery or other functionality AWS has the services to help you build sophisticated applications with increased flexibility scalability and reliability "&amp;"               Get Started for Free  Explore the AWS platform cloud products and capabilities               Get started                  Try Amazon Redshift for Free               Accelerate your time to insights with fast easy and secure cloud data wareh"&amp;"ousing at scale                             Get started                  Amazon S3 Object Lambda               Add your own code to process data retrieved from Amazon S3 before returning it to an application                             Learn more         "&amp;"         AWS Skill Builder - Learn AWS by Doing AWS               Access 100+ AWS Builder Labs that sharpen your cloud skills quickly in a safe sandbox environment                             Subscribe today                 PrevNext             Start Buil"&amp;"ding With Free Tier                         Use Amazon EC2 S3 and more— free for a full year                          Launch Your First App in Minutes                         Learn AWS fundamentals and start building with short step-by-step tutorials     "&amp;"                     Enable Remote Work &amp; Learning                         Support remote employees students and contact center agents                          Amazon Lightsail                         Everything you need to get started on AWS—for a low pr"&amp;"edictable price                           Solutions                           View our AWS Solutions library                            Products                           Explore our cloud-based products                            Training &amp; Certification"&amp;"                           Learn how to build on AWS                            Customer Innovation                           Read our customer success stories                            Solutions                           View our AWS Solutions library  "&amp;"                          Products                           Explore our cloud-based products                            Training &amp; Certification                           Learn how to build on AWS                            Customer Innovation           "&amp;"                Read our customer success stories               Explore Our Solutions By Industry  Advertising &amp; Marketing                Achieve cost-efficiency for petabyte-scale analytics and single-digit millisecond latency workloads.                 "&amp;" Financial Services                Less cost. More resiliency. Explore AWS solutions across banking payments capital markets and insurance.                  Game Tech                Create computationally ridiculous games across all genres and platforms. "&amp;"                 Education                Personalize student-learning experiences access applications from anywhere and improve learning.                 View All Industries  By Technology Category  Analytics &amp; Data Lakes                Securely store ca"&amp;"tegorize and analyze all your data in one centralized repository.                  Machine Learning                Build with powerful services and platforms and the broadest machine learning framework support anywhere.                  Serverless Computi"&amp;"ng                Build and run applications and services without thinking about servers.                  Storage                Durable cost-effective options for backup disaster recovery and data archiving at petabyte scale.                 View All So"&amp;"lutions  Explore Our Products              Featured Services                            Analytics                            Cloud Financial Management                            Compute                            Containers                            Dat"&amp;"abase                            Front-End Web &amp; Mobile                            Internet of Things                            Machine Learning                            Networking &amp; Content Delivery                            Security Identity &amp; Compl"&amp;"iance                            Serverless                            Storage              Featured Services Rank Featured Services Rank                  No products found for this category.                View All Product Categories  Service Name Servic"&amp;"e Name                  No products found for this category.                View All Analytics Products  Service Name Service Name                  No products found for this category.                View All Cloud Financial Management Products  Service N"&amp;"ame Service Name                  No products found for this category.                View All Compute Products  Service Name Service Name                  No products found for this category.                View All Containers Products  Service Name Serv"&amp;"ice Name                  No products found for this category.                View All Database Products  Featured Services Rank Featured Services Rank                  No products found for this category.                View All Front-end Web &amp; Mobile Pr"&amp;"oducts  Service Name Service Name                  No products found for this category.                View All Internet of Things Products  Service Name Service Name                  No products found for this category.                View All Machine Le"&amp;"arning Products  Service Name Service Name                  No products found for this category.                View All Networking &amp; Content Delivery Products  Service Name Service Name                  No products found for this category.               "&amp;" View All Security Identity &amp; Compliance Products  Service Name Service Name                  No products found for this category.                View All Serverless Products  Service Name Service Name                  No products found for this category."&amp;"                View All Storage Products   Training and Certification              For Builders                            For Decision Makers                           For Builders                           For developers data scientists solutions archi"&amp;"tects or anyone interested in learning how to build on AWS today                                Free Online Training                  Go from learning to doing with more than 500 free digital training courses built by AWS experts Take a Digital Course »  "&amp;"                  AWS Learning Recommendations                  Start building today with Ramp-Up guides featuring curated resources to grow your AWS knowledge Browse by Role or Solution »                    AWS Certification                  Grow your ca"&amp;"reer and business with industry-recognized credentials validating your cloud skills Learn More About AWS Certification »                For Decision Makers                           For technical and business leaders who develop cloud skills in their orga"&amp;"nization to enable innovation and transformation                                Upskill Your Teams                  Explore best practices to empower your teams with comprehensive training and certification programs Read the E-book»                    Vir"&amp;"tual Classroom Training                  Accelerate your cloud transformation with training from AWS experts familiar with your AWS use cases Learn More »                    AWS Certified Staff                  Learn how AWS Certification can help your or"&amp;"ganizations achieve business outcomes Download Whitepaper »   Powering Customer Innovation             Featured Customer Innovations                          Advertising &amp; Marketing                          Aerospace &amp; Satellite                          A"&amp;"griculture                          Automotive                          Education                          Energy                          Financial Services                          Government                          Healthcare &amp; Life Sciences          "&amp;"                Manufacturing                          Media &amp; Entertainment                          Retail | Consumer Packaged Goods                          Travel &amp; Hospitality             Customer Name Customer Name                 No products found "&amp;"for this category.               View All Customer Stories  Customer Name Customer Name                 No products found for this category.               View All Advertising &amp; Marketing Customer Stories  Customer Name Customer Name                 No pr"&amp;"oducts found for this category.               View All Aerospace &amp; Satellite Customer Stories  Customer Name Customer Name                 No products found for this category.               View All Agriculture Customer Stories  Customer Name Customer Nam"&amp;"e                 No products found for this category.               View All Automotive Customer Stories  Customer Name Customer Name                 No products found for this category.               View All Education Customer Stories  Customer Name Cu"&amp;"stomer Name                 No products found for this category.               View All Energy Customer Stories  Customer Name Customer Name                 No products found for this category.               View All Financial Services Customer Stories  C"&amp;"ustomer Name Customer Name                 No products found for this category.               View All Government Stories  Customer Name Customer Name                 No products found for this category.               View All Healthcare &amp; Life Sciences C"&amp;"ustomer Stories  Customer Name Customer Name                 No products found for this category.               View All Manufacturing Customer Stories  Customer Name Customer Name                 No products found for this category.               View Al"&amp;"l Media &amp; Entertainment Customer Stories  Customer Name Customer Name                 No products found for this category.               View All Retail &amp; Consumer Goods Customer Stories  Customer Name Customer Name                 No products found for t"&amp;"his category.               View All Travel &amp; Hospitality Customer Stories   Engineered for the Most Demanding Requirements              Secure                           Comprehensive security capabilities to satisfy the most demanding requirements.      "&amp;"                      Compliant                           Rich controls auditing and broad security accreditations.                            Hybrid                           Build hybrid architectures that extend your on-premises infrastructure to the C"&amp;"loud.                            Scalable                           Access as much or as little as you need and scale up and down as required with only a few minutes notice.               Global Network of AWS Regions          The AWS Cloud spans 102 Avai"&amp;"lability Zones within 32 geographic regions around the world with announced plans for 15 more Availability Zones and 5 more AWS Regions in Canada Germany Malaysia New Zealand and Thailand.          Skip Map  List view              Regions                 "&amp;"          Coming Soon              Learn more about AWS Regions  Close             Analyst Reports                       Read what top analysts such as Gartner and IDC are saying about AWS                        AWS Training                       Free dig"&amp;"ital courses to help you develop your skills                        AWS Partner Network                       Join AWS Partner Network to build and grow your cloud business                        The Amazon Builders' Library                       Learn ho"&amp;"w Amazon builds and operates software from the builders themselves              Sign In to the Console  Learn About AWSWhat Is AWS?What Is Cloud Computing?AWS Inclusion Diversity &amp; EquityWhat Is DevOps?What Is a Container?What Is a Data Lake?What is Gener"&amp;"ative AI?AWS Cloud SecurityWhat's NewBlogsPress Releases Resources for AWSGetting StartedTraining and CertificationAWS Solutions LibraryArchitecture CenterProduct and Technical FAQsAnalyst ReportsAWS Partners Developers on AWSDeveloper CenterSDKs &amp; Tools."&amp;"NET on AWSPython on AWSJava on AWSPHP on AWSJavaScript on AWS HelpContact UsGet Expert HelpFile a Support TicketAWS re:PostKnowledge CenterAWS Support OverviewLegalAWS Careers  Create an AWS Account                  Amazon is an Equal Opportunity Employer"&amp;":          Minority / Women / Disability / Veteran / Gender Identity / Sexual Orientation / Age.LanguageعربيBahasa IndonesiaDeutschEnglishEspañolFrançaisItalianoPortuguêsTiếng ViệtTürkçeΡусскийไทย日本語한국어中文 (简体)中文 (繁體)Privacy|Site Terms| Cookie Preferences "&amp;"|© 2023 Amazon Web Services Inc. or its affiliates. All rights reserved. Ending Support for Internet Explorer Got it        AWS support for Internet Explorer ends on 07/31/2022. Supported browsers are Chrome Firefox Edge and Safari.       Learn more »Got "&amp;"it")</f>
        <v>Cloud Computing Services - Amazon Web Services (AWS) Skip to main contentClick here to return to Amazon Web Services homepageContact Us Support  English My Account  Sign In  Create an AWS Account re:InventProductsSolutionsPricingDocumentationLearnPartner NetworkAWS MarketplaceCustomer EnablementEventsExplore More  Close عربيBahasa IndonesiaDeutschEnglishEspañolFrançaisItalianoPortuguêsTiếng ViệtTürkçeΡусскийไทย日本語한국어中文 (简体)中文 (繁體) Close My ProfileSign out of AWS Builder IDAWS Management ConsoleAccount SettingsBilling &amp; Cost ManagementSecurity CredentialsAWS Personal Health Dashboard Close Support CenterExpert HelpKnowledge CenterAWS Support OverviewAWS re:PostClick here to return to Amazon Web Services homepage  Get Started for Free   Contact Us  re:Invent  Products  Solutions  Pricing  Introduction to AWS  Getting Started  Documentation  Training and Certification  Developer Center  Customer Success  Partner Network  AWS Marketplace  Support  AWS re:Post  Log into Console  Download the Mobile App  Start Building on AWS Today               Whether you're looking for compute power database storage content delivery or other functionality AWS has the services to help you build sophisticated applications with increased flexibility scalability and reliability                Get Started for Free  Explore the AWS platform cloud products and capabilities               Get started                  Try Amazon Redshift for Free               Accelerate your time to insights with fast easy and secure cloud data warehousing at scale                             Get started                  Amazon S3 Object Lambda               Add your own code to process data retrieved from Amazon S3 before returning it to an application                             Learn more                  AWS Skill Builder - Learn AWS by Doing AWS               Access 100+ AWS Builder Labs that sharpen your cloud skills quickly in a safe sandbox environment                             Subscribe today                 PrevNext             Start Building With Free Tier                         Use Amazon EC2 S3 and more— free for a full year                          Launch Your First App in Minutes                         Learn AWS fundamentals and start building with short step-by-step tutorials                          Enable Remote Work &amp; Learning                         Support remote employees students and contact center agents                          Amazon Lightsail                         Everything you need to get started on AWS—for a low predictable price                           Solutions                           View our AWS Solutions library                            Products                           Explore our cloud-based products                            Training &amp; Certification                           Learn how to build on AWS                            Customer Innovation                           Read our customer success stories                            Solutions                           View our AWS Solutions library                            Products                           Explore our cloud-based products                            Training &amp; Certification                           Learn how to build on AWS                            Customer Innovation                           Read our customer success stories               Explore Our Solutions By Industry  Advertising &amp; Marketing                Achieve cost-efficiency for petabyte-scale analytics and single-digit millisecond latency workloads.                  Financial Services                Less cost. More resiliency. Explore AWS solutions across banking payments capital markets and insurance.                  Game Tech                Create computationally ridiculous games across all genres and platforms.                  Education                Personalize student-learning experiences access applications from anywhere and improve learning.                 View All Industries  By Technology Category  Analytics &amp; Data Lakes                Securely store categorize and analyze all your data in one centralized repository.                  Machine Learning                Build with powerful services and platforms and the broadest machine learning framework support anywhere.                  Serverless Computing                Build and run applications and services without thinking about servers.                  Storage                Durable cost-effective options for backup disaster recovery and data archiving at petabyte scale.                 View All Solutions  Explore Our Products              Featured Services                            Analytics                            Cloud Financial Management                            Compute                            Containers                            Database                            Front-End Web &amp; Mobile                            Internet of Things                            Machine Learning                            Networking &amp; Content Delivery                            Security Identity &amp; Compliance                            Serverless                            Storage              Featured Services Rank Featured Services Rank                  No products found for this category.                View All Product Categories  Service Name Service Name                  No products found for this category.                View All Analytics Products  Service Name Service Name                  No products found for this category.                View All Cloud Financial Management Products  Service Name Service Name                  No products found for this category.                View All Compute Products  Service Name Service Name                  No products found for this category.                View All Containers Products  Service Name Service Name                  No products found for this category.                View All Database Products  Featured Services Rank Featured Services Rank                  No products found for this category.                View All Front-end Web &amp; Mobile Products  Service Name Service Name                  No products found for this category.                View All Internet of Things Products  Service Name Service Name                  No products found for this category.                View All Machine Learning Products  Service Name Service Name                  No products found for this category.                View All Networking &amp; Content Delivery Products  Service Name Service Name                  No products found for this category.                View All Security Identity &amp; Compliance Products  Service Name Service Name                  No products found for this category.                View All Serverless Products  Service Name Service Name                  No products found for this category.                View All Storage Products   Training and Certification              For Builders                            For Decision Makers                           For Builders                           For developers data scientists solutions architects or anyone interested in learning how to build on AWS today                                Free Online Training                  Go from learning to doing with more than 500 free digital training courses built by AWS experts Take a Digital Course »                    AWS Learning Recommendations                  Start building today with Ramp-Up guides featuring curated resources to grow your AWS knowledge Browse by Role or Solution »                    AWS Certification                  Grow your career and business with industry-recognized credentials validating your cloud skills Learn More About AWS Certification »                For Decision Makers                           For technical and business leaders who develop cloud skills in their organization to enable innovation and transformation                                Upskill Your Teams                  Explore best practices to empower your teams with comprehensive training and certification programs Read the E-book»                    Virtual Classroom Training                  Accelerate your cloud transformation with training from AWS experts familiar with your AWS use cases Learn More »                    AWS Certified Staff                  Learn how AWS Certification can help your organizations achieve business outcomes Download Whitepaper »   Powering Customer Innovation             Featured Customer Innovations                          Advertising &amp; Marketing                          Aerospace &amp; Satellite                          Agriculture                          Automotive                          Education                          Energy                          Financial Services                          Government                          Healthcare &amp; Life Sciences                          Manufacturing                          Media &amp; Entertainment                          Retail | Consumer Packaged Goods                          Travel &amp; Hospitality             Customer Name Customer Name                 No products found for this category.               View All Customer Stories  Customer Name Customer Name                 No products found for this category.               View All Advertising &amp; Marketing Customer Stories  Customer Name Customer Name                 No products found for this category.               View All Aerospace &amp; Satellite Customer Stories  Customer Name Customer Name                 No products found for this category.               View All Agriculture Customer Stories  Customer Name Customer Name                 No products found for this category.               View All Automotive Customer Stories  Customer Name Customer Name                 No products found for this category.               View All Education Customer Stories  Customer Name Customer Name                 No products found for this category.               View All Energy Customer Stories  Customer Name Customer Name                 No products found for this category.               View All Financial Services Customer Stories  Customer Name Customer Name                 No products found for this category.               View All Government Stories  Customer Name Customer Name                 No products found for this category.               View All Healthcare &amp; Life Sciences Customer Stories  Customer Name Customer Name                 No products found for this category.               View All Manufacturing Customer Stories  Customer Name Customer Name                 No products found for this category.               View All Media &amp; Entertainment Customer Stories  Customer Name Customer Name                 No products found for this category.               View All Retail &amp; Consumer Goods Customer Stories  Customer Name Customer Name                 No products found for this category.               View All Travel &amp; Hospitality Customer Stories   Engineered for the Most Demanding Requirements              Secure                           Comprehensive security capabilities to satisfy the most demanding requirements.                            Compliant                           Rich controls auditing and broad security accreditations.                            Hybrid                           Build hybrid architectures that extend your on-premises infrastructure to the Cloud.                            Scalable                           Access as much or as little as you need and scale up and down as required with only a few minutes notice.               Global Network of AWS Regions          The AWS Cloud spans 102 Availability Zones within 32 geographic regions around the world with announced plans for 15 more Availability Zones and 5 more AWS Regions in Canada Germany Malaysia New Zealand and Thailand.          Skip Map  List view              Regions                           Coming Soon              Learn more about AWS Regions  Close             Analyst Reports                       Read what top analysts such as Gartner and IDC are saying about AWS                        AWS Training                       Free digital courses to help you develop your skills                        AWS Partner Network                       Join AWS Partner Network to build and grow your cloud business                        The Amazon Builders' Library                       Learn how Amazon builds and operates software from the builders themselves              Sign In to the Console  Learn About AWSWhat Is AWS?What Is Cloud Computing?AWS Inclusion Diversity &amp; EquityWhat Is DevOps?What Is a Container?What Is a Data Lake?What is Generative AI?AWS Cloud SecurityWhat's NewBlogsPress Releases Resources for AWSGetting StartedTraining and CertificationAWS Solutions LibraryArchitecture CenterProduct and Technical FAQsAnalyst ReportsAWS Partners Developers on AWSDeveloper CenterSDKs &amp; Tools.NET on AWSPython on AWSJava on AWSPHP on AWSJavaScript on AWS HelpContact UsGet Expert HelpFile a Support TicketAWS re:PostKnowledge CenterAWS Support OverviewLegalAWS Careers  Create an AWS Account                  Amazon is an Equal Opportunity Employer:          Minority / Women / Disability / Veteran / Gender Identity / Sexual Orientation / Age.LanguageعربيBahasa IndonesiaDeutschEnglishEspañolFrançaisItalianoPortuguêsTiếng ViệtTürkçeΡусскийไทย日本語한국어中文 (简体)中文 (繁體)Privacy|Site Terms| Cookie Preferences |© 2023 Amazon Web Services Inc. or its affiliates. All rights reserved. Ending Support for Internet Explorer Got it        AWS support for Internet Explorer ends on 07/31/2022. Supported browsers are Chrome Firefox Edge and Safari.       Learn more »Got it</v>
      </c>
    </row>
    <row r="383">
      <c r="A383" s="1" t="s">
        <v>1218</v>
      </c>
      <c r="B383" s="1" t="s">
        <v>1304</v>
      </c>
      <c r="C383" s="1" t="s">
        <v>1305</v>
      </c>
      <c r="D383" s="1">
        <v>9.0</v>
      </c>
      <c r="E383" s="4" t="s">
        <v>1306</v>
      </c>
      <c r="F383" s="1" t="s">
        <v>43</v>
      </c>
      <c r="G383" s="1" t="s">
        <v>1307</v>
      </c>
      <c r="H383" s="4" t="s">
        <v>1308</v>
      </c>
      <c r="I383" s="2">
        <v>3.0</v>
      </c>
      <c r="J383" s="5" t="str">
        <f>IFERROR(__xludf.DUMMYFUNCTION("GOOGLETRANSLATE(A383)"),"DNS")</f>
        <v>DNS</v>
      </c>
      <c r="K383" s="6" t="str">
        <f>IFERROR(__xludf.DUMMYFUNCTION("GOOGLETRANSLATE(B383)"),"Quad9 | A public and free DNS service for a better security ...")</f>
        <v>Quad9 | A public and free DNS service for a better security ...</v>
      </c>
      <c r="L383" s="5" t="str">
        <f>IFERROR(__xludf.DUMMYFUNCTION("GOOGLETRANSLATE(C383)"),"An open DNS recursive service for free security and high privacy. Quad9 is a free service that replaces your default ISP or enterprise Domain Name Server ...")</f>
        <v>An open DNS recursive service for free security and high privacy. Quad9 is a free service that replaces your default ISP or enterprise Domain Name Server ...</v>
      </c>
      <c r="M383" s="5" t="str">
        <f>IFERROR(__xludf.DUMMYFUNCTION("GOOGLETRANSLATE(G383)"),"Quad9 | A public and free DNS service for a better security and privacy    Service  Service Service Addresses &amp; FeaturesThreat blockingPrivacyLocations    News  News News BlogPressMedia Kit    Support  Support Support Set up guidesFAQSearch Blocked Domain"&amp;"sGet support    About  About About Foundation CouncilTeamJobsTransparency ReportSponsorsPartners Donate ▸  en ▾ DeutschEnglishEspañolFrançaisPortuguês  IPv4 9.9.9.9 149.112.112.112             IPv6           2620:fe::fe 2620:fe::9             More options"&amp;" ▸             An open DNS recursive service for free security and high privacy Quad9 is a free service that replaces your default ISP or enterprise Domain Name Server (DNS) configuration. When your computer performs any Internet transaction that uses the"&amp;" DNS (and most transactions do) Quad9 blocks lookups of malicious host names from an up-to-the-minute list of threats. This blocking action protects your computer mobile device or IoT systems against a wide range of threats such as malware phishing spywar"&amp;"e and botnets and it can improve performance in addition to guaranteeing privacy. The Quad9 DNS service is operated by the Swiss-based Quad9 Foundation whose mission is to provide a safer and more robust Internet for everyone. Watch our short videos on ho"&amp;"w to set up Quad9 - Windows / MacOS ▸ 220M+       Average Daily Blocks           20+           Threats Intelligence Providers     200       Resolver Clusters in 90 countries     Watch our short videos on how to set up Quad9 - Windows / MacOS ▸           P"&amp;"rivacy         How Quad9 protects your privacy When your devices use Quad9 normally no data containing your IP address is ever logged in any Quad9 system. Connections can employ encryption if your system supports it and the entire Quad9 platform has been "&amp;"designed to be GDPR-compliant from the first public announcement in 2017. Read more about Quad9’s privacy ▸ Why Quad9 is dedicated to data privacy Every transaction on the Internet starts with a DNS event. This name lookup reveals critically sensitive dat"&amp;"a about the person triggering that transaction. The nature of those name lookups has created a strong and dangerous motivation for commercialization of personal data from DNS recursive resolver services. Quad9 is the only large DNS resolver with a foundin"&amp;"g charter that includes privacy as a primary goal and the Quad9 team is devoted to the concept of keeping personal data under the control of the end user.   Quad9’s organizational move to Switzerland is important for the free and open internet because it "&amp;"provides much-needed geographic and legal diversity in the open DNS resolver space. It also shows that Quad9 is actively seeking to work within the legislative framework that best serves the privacy of its users.I support the Quad9 open resolver because i"&amp;"t puts the end user first and helps build a secure and private internet without collecting – and therefore without the possibility of commercializing – users’ personal information. I believe Quad9’s philosophy of openness and transparency in handling user"&amp;"s’ data resonates strongly with the core beliefs of our community.”   Christian Kaufmann       Chairman             RIPE    I’m really impressed by the privacy architecture of Quad9.  In addition to providing great security as a DNS resolver Quad9 doesn’t"&amp;" collect or retain personal data.  Now it is relocating to Switzerland where it will become subject to the rigors of Swiss data protection law which is similar to GDPR.  In addition it obtained findings of law from the Swiss government whereby it won’t be"&amp;" required to retain personal information nor will it be subject to requests from law enforcement or national security”   Omer Tene       Vice President and Chief Knowledge Officer             International Association of Privacy Professionals             "&amp;"  Security         How Quad9 blocks malware Quad9 routes your DNS queries through a secure network of servers around the globe. The system uses threat intelligence from more than a dozen of the industry’s leading cybersecurity companies to give a real-tim"&amp;"e perspective on what websites are safe and what sites are known to include malware or other threats. If the system detects that the site you want to reach is known to be infected you’ll automatically be blocked from entry – keeping your data and computer"&amp;" safe.  Why Quad9 provides security services For the Internet to be an effective tool users must trust their ability to use online services without fear of theft fraud or misuse of their devices by criminals. Public and private network operators need prot"&amp;"ection against malicious use of infrastructure resources and attacks against their users or customers. Quad9’s mission is to improve the security and stability of the Internet to allow everyone to be less vulnerable to risks and more effective in their da"&amp;"ily online interactions.   Check to see if a domain is in the millions of  malicious domains Quad9 blocks Enter a hostname or domain name to check if it is blocked by Quad9   Search             Participate         How to use Quad9 Quad9 can be used simply"&amp;" by setting the DNS server settings for your device to the addresses given in one of our service profiles. No sign-up is required no account data needs to be given to Quad9 and there is no contract. Quad9 is free to use and collects no personal data about"&amp;" you. You can configure your router or wifi access point to distribute these settings which will extend protection to all the elements on your local network including IoT devices many of which otherwise would not have any anti-malware defenses.  Why parti"&amp;"cipate? Quad9 is a not-for-profit organization relying on grants and partnerships with commercial and non-commercial sources and from individuals. Your use of Quad9 may prevent a ransomware attack prevent your bank account from being compromised or protec"&amp;"t your laptop from being used as part of an illicit criminal attack on others. All of these potential protections and many millions of other interventions have a direct savings result for you your business or organization and the companies you rely on suc"&amp;"h as banks and e-commerce firms. We hope that this understanding may inspire you to donate to Quad9 as an individual or with a corporate sponsorship. Donate ▸  Quad9c/o SWITCHWerdstrasse 28004 ZürichSwitzerland Major sponsors ◂▸         This work is licen"&amp;"sed under a                  CC BY-NC SA 4.0 License")</f>
        <v>Quad9 | A public and free DNS service for a better security and privacy    Service  Service Service Addresses &amp; FeaturesThreat blockingPrivacyLocations    News  News News BlogPressMedia Kit    Support  Support Support Set up guidesFAQSearch Blocked DomainsGet support    About  About About Foundation CouncilTeamJobsTransparency ReportSponsorsPartners Donate ▸  en ▾ DeutschEnglishEspañolFrançaisPortuguês  IPv4 9.9.9.9 149.112.112.112             IPv6           2620:fe::fe 2620:fe::9             More options ▸             An open DNS recursive service for free security and high privacy Quad9 is a free service that replaces your default ISP or enterprise Domain Name Server (DNS) configuration. When your computer performs any Internet transaction that uses the DNS (and most transactions do) Quad9 blocks lookups of malicious host names from an up-to-the-minute list of threats. This blocking action protects your computer mobile device or IoT systems against a wide range of threats such as malware phishing spyware and botnets and it can improve performance in addition to guaranteeing privacy. The Quad9 DNS service is operated by the Swiss-based Quad9 Foundation whose mission is to provide a safer and more robust Internet for everyone. Watch our short videos on how to set up Quad9 - Windows / MacOS ▸ 220M+       Average Daily Blocks           20+           Threats Intelligence Providers     200       Resolver Clusters in 90 countries     Watch our short videos on how to set up Quad9 - Windows / MacOS ▸           Privacy         How Quad9 protects your privacy When your devices use Quad9 normally no data containing your IP address is ever logged in any Quad9 system. Connections can employ encryption if your system supports it and the entire Quad9 platform has been designed to be GDPR-compliant from the first public announcement in 2017. Read more about Quad9’s privacy ▸ Why Quad9 is dedicated to data privacy Every transaction on the Internet starts with a DNS event. This name lookup reveals critically sensitive data about the person triggering that transaction. The nature of those name lookups has created a strong and dangerous motivation for commercialization of personal data from DNS recursive resolver services. Quad9 is the only large DNS resolver with a founding charter that includes privacy as a primary goal and the Quad9 team is devoted to the concept of keeping personal data under the control of the end user.   Quad9’s organizational move to Switzerland is important for the free and open internet because it provides much-needed geographic and legal diversity in the open DNS resolver space. It also shows that Quad9 is actively seeking to work within the legislative framework that best serves the privacy of its users.I support the Quad9 open resolver because it puts the end user first and helps build a secure and private internet without collecting – and therefore without the possibility of commercializing – users’ personal information. I believe Quad9’s philosophy of openness and transparency in handling users’ data resonates strongly with the core beliefs of our community.”   Christian Kaufmann       Chairman             RIPE    I’m really impressed by the privacy architecture of Quad9.  In addition to providing great security as a DNS resolver Quad9 doesn’t collect or retain personal data.  Now it is relocating to Switzerland where it will become subject to the rigors of Swiss data protection law which is similar to GDPR.  In addition it obtained findings of law from the Swiss government whereby it won’t be required to retain personal information nor will it be subject to requests from law enforcement or national security”   Omer Tene       Vice President and Chief Knowledge Officer             International Association of Privacy Professionals               Security         How Quad9 blocks malware Quad9 routes your DNS queries through a secure network of servers around the globe. The system uses threat intelligence from more than a dozen of the industry’s leading cybersecurity companies to give a real-time perspective on what websites are safe and what sites are known to include malware or other threats. If the system detects that the site you want to reach is known to be infected you’ll automatically be blocked from entry – keeping your data and computer safe.  Why Quad9 provides security services For the Internet to be an effective tool users must trust their ability to use online services without fear of theft fraud or misuse of their devices by criminals. Public and private network operators need protection against malicious use of infrastructure resources and attacks against their users or customers. Quad9’s mission is to improve the security and stability of the Internet to allow everyone to be less vulnerable to risks and more effective in their daily online interactions.   Check to see if a domain is in the millions of  malicious domains Quad9 blocks Enter a hostname or domain name to check if it is blocked by Quad9   Search             Participate         How to use Quad9 Quad9 can be used simply by setting the DNS server settings for your device to the addresses given in one of our service profiles. No sign-up is required no account data needs to be given to Quad9 and there is no contract. Quad9 is free to use and collects no personal data about you. You can configure your router or wifi access point to distribute these settings which will extend protection to all the elements on your local network including IoT devices many of which otherwise would not have any anti-malware defenses.  Why participate? Quad9 is a not-for-profit organization relying on grants and partnerships with commercial and non-commercial sources and from individuals. Your use of Quad9 may prevent a ransomware attack prevent your bank account from being compromised or protect your laptop from being used as part of an illicit criminal attack on others. All of these potential protections and many millions of other interventions have a direct savings result for you your business or organization and the companies you rely on such as banks and e-commerce firms. We hope that this understanding may inspire you to donate to Quad9 as an individual or with a corporate sponsorship. Donate ▸  Quad9c/o SWITCHWerdstrasse 28004 ZürichSwitzerland Major sponsors ◂▸         This work is licensed under a                  CC BY-NC SA 4.0 License</v>
      </c>
    </row>
    <row r="384">
      <c r="A384" s="1" t="s">
        <v>1218</v>
      </c>
      <c r="B384" s="1" t="s">
        <v>1309</v>
      </c>
      <c r="C384" s="1" t="s">
        <v>1310</v>
      </c>
      <c r="D384" s="1">
        <v>10.0</v>
      </c>
      <c r="E384" s="4" t="s">
        <v>1311</v>
      </c>
      <c r="F384" s="1" t="s">
        <v>43</v>
      </c>
      <c r="G384" s="1" t="s">
        <v>1312</v>
      </c>
      <c r="H384" s="4" t="s">
        <v>1313</v>
      </c>
      <c r="I384" s="2">
        <v>3.0</v>
      </c>
      <c r="J384" s="5" t="str">
        <f>IFERROR(__xludf.DUMMYFUNCTION("GOOGLETRANSLATE(A384)"),"DNS")</f>
        <v>DNS</v>
      </c>
      <c r="K384" s="6" t="str">
        <f>IFERROR(__xludf.DUMMYFUNCTION("GOOGLETRANSLATE(B384)"),"DNS Lookup Tool")</f>
        <v>DNS Lookup Tool</v>
      </c>
      <c r="L384" s="5" t="str">
        <f>IFERROR(__xludf.DUMMYFUNCTION("GOOGLETRANSLATE(C384)"),"The DNS lookup is done directly against the domain's authoritative name server, so changes to DNS Records should show up instantly. By default, the DNS ...")</f>
        <v>The DNS lookup is done directly against the domain's authoritative name server, so changes to DNS Records should show up instantly. By default, the DNS ...</v>
      </c>
      <c r="M384" s="5" t="str">
        <f>IFERROR(__xludf.DUMMYFUNCTION("GOOGLETRANSLATE(G384)"),"MX Lookup Tool - Check your DNS MX Records online - MxToolbox                    Javascript is disabled. Javascript is required for this site.                Fix the ProblemMX Lookup                    Domain Name                Solve Email Delivery Probl"&amp;"emsABOUT MX LOOKUP  This test will list MX records for a domain in priority order. The MX lookup is done directly against the domain's authoritative name server so changes to MX Records should show up instantly. You can click Diagnostics  which will conne"&amp;"ct to the mail server verify reverse DNS records perform a simple Open Relay check and measure response time performance. You may also check each MX record (IP Address) against 105 DNS based blacklists . (Commonly called RBLs DNSBLs)                      "&amp;"    Your IP is: |                         ContactTerms &amp; ConditionsSite MapSecurityAPIPrivacy                        Phone: (866)-MXTOOLBOX / (866)-698-6652 |                     © Copyright 2004-2021 MXToolBox Inc All                    rights reserved. "&amp;"US Patents 10839353 B2 &amp; 11461738 B2                        burritos@banana-pancakes.combraunstrowman@banana-pancakes.comfinnbalor@banana-pancakes.comricflair@banana-pancakes.comrandysavage@banana-pancakes.comMxToolBox has been UpdatedRefresh Page×       "&amp;"             Sign-InSign in insteadEmail Address:Do you have an MxToolbox.com password?No I am a new user:Your Name:Password:Telephone:Company:Title:ExecutiveSystem AdministratorEmail AdministratorIT ManagerMarketing ManagerSmall Business OwnerConsultantO"&amp;"ther – Please SpecifyYes I have a password.Forgot your password?TermsWe respect your privacyAlready have an account?Sign Up insteadEmail:Password:TermsWe respect your privacy")</f>
        <v>MX Lookup Tool - Check your DNS MX Records online - MxToolbox                    Javascript is disabled. Javascript is required for this site.                Fix the ProblemMX Lookup                    Domain Name                Solve Email Delivery ProblemsABOUT MX LOOKUP  This test will list MX records for a domain in priority order. The MX lookup is done directly against the domain's authoritative name server so changes to MX Records should show up instantly. You can click Diagnostics  which will connect to the mail server verify reverse DNS records perform a simple Open Relay check and measure response time performance. You may also check each MX record (IP Address) against 105 DNS based blacklists . (Commonly called RBLs DNSBLs)                          Your IP is: |                         ContactTerms &amp; ConditionsSite MapSecurityAPIPrivacy                        Phone: (866)-MXTOOLBOX / (866)-698-6652 |                     © Copyright 2004-2021 MXToolBox Inc All                    rights reserved. US Patents 10839353 B2 &amp; 11461738 B2                        burritos@banana-pancakes.combraunstrowman@banana-pancakes.comfinnbalor@banana-pancakes.comricflair@banana-pancakes.comrandysavage@banana-pancakes.comMxToolBox has been UpdatedRefresh Page×                    Sign-InSign in insteadEmail Address:Do you have an MxToolbox.com password?No I am a new user:Your Name:Password:Telephone:Company:Title:ExecutiveSystem AdministratorEmail AdministratorIT ManagerMarketing ManagerSmall Business OwnerConsultantOther – Please SpecifyYes I have a password.Forgot your password?TermsWe respect your privacyAlready have an account?Sign Up insteadEmail:Password:TermsWe respect your privacy</v>
      </c>
    </row>
    <row r="385">
      <c r="A385" s="1" t="s">
        <v>1218</v>
      </c>
      <c r="B385" s="1" t="s">
        <v>1314</v>
      </c>
      <c r="C385" s="1" t="s">
        <v>1315</v>
      </c>
      <c r="D385" s="1">
        <v>11.0</v>
      </c>
      <c r="E385" s="4" t="s">
        <v>1316</v>
      </c>
      <c r="F385" s="1" t="s">
        <v>43</v>
      </c>
      <c r="G385" s="1" t="s">
        <v>1317</v>
      </c>
      <c r="H385" s="4" t="s">
        <v>1318</v>
      </c>
      <c r="I385" s="2">
        <v>3.0</v>
      </c>
      <c r="J385" s="5" t="str">
        <f>IFERROR(__xludf.DUMMYFUNCTION("GOOGLETRANSLATE(A385)"),"DNS")</f>
        <v>DNS</v>
      </c>
      <c r="K385" s="6" t="str">
        <f>IFERROR(__xludf.DUMMYFUNCTION("GOOGLETRANSLATE(B385)"),"DNS leak test")</f>
        <v>DNS leak test</v>
      </c>
      <c r="L385" s="5" t="str">
        <f>IFERROR(__xludf.DUMMYFUNCTION("GOOGLETRANSLATE(C385)"),"DNSleaktest.com offers a simple test to determine if you DNS requests are being leaked which may represent a critical privacy threat. The test takes only a ...")</f>
        <v>DNSleaktest.com offers a simple test to determine if you DNS requests are being leaked which may represent a critical privacy threat. The test takes only a ...</v>
      </c>
      <c r="M385" s="5" t="str">
        <f>IFERROR(__xludf.DUMMYFUNCTION("GOOGLETRANSLATE(G385)"),"DNS leak testWhat is a DNS leak?What are transparent DNS proxies?How to fix a DNS leakHello 208.75.19.153from Ann Arbor United StatesWhats the difference?Privacy policy | IVPN Limited")</f>
        <v>DNS leak testWhat is a DNS leak?What are transparent DNS proxies?How to fix a DNS leakHello 208.75.19.153from Ann Arbor United StatesWhats the difference?Privacy policy | IVPN Limited</v>
      </c>
    </row>
    <row r="386">
      <c r="A386" s="1" t="s">
        <v>1218</v>
      </c>
      <c r="B386" s="1" t="s">
        <v>1319</v>
      </c>
      <c r="C386" s="1" t="s">
        <v>1320</v>
      </c>
      <c r="D386" s="1">
        <v>12.0</v>
      </c>
      <c r="E386" s="4" t="s">
        <v>1321</v>
      </c>
      <c r="F386" s="1" t="s">
        <v>43</v>
      </c>
      <c r="G386" s="1" t="s">
        <v>1322</v>
      </c>
      <c r="H386" s="4" t="s">
        <v>1323</v>
      </c>
      <c r="I386" s="2">
        <v>3.0</v>
      </c>
      <c r="J386" s="5" t="str">
        <f>IFERROR(__xludf.DUMMYFUNCTION("GOOGLETRANSLATE(A386)"),"DNS")</f>
        <v>DNS</v>
      </c>
      <c r="K386" s="6" t="str">
        <f>IFERROR(__xludf.DUMMYFUNCTION("GOOGLETRANSLATE(B386)"),"DNS Made Easy | Fast and Most Reliable Provider")</f>
        <v>DNS Made Easy | Fast and Most Reliable Provider</v>
      </c>
      <c r="L386" s="5" t="str">
        <f>IFERROR(__xludf.DUMMYFUNCTION("GOOGLETRANSLATE(C386)"),"DNS Made Easy is a top provider that offers best DNS management services and tools. Sign up for free and enjoy the fastest and most reliable managed DNS.")</f>
        <v>DNS Made Easy is a top provider that offers best DNS management services and tools. Sign up for free and enjoy the fastest and most reliable managed DNS.</v>
      </c>
      <c r="M386" s="5" t="str">
        <f>IFERROR(__xludf.DUMMYFUNCTION("GOOGLETRANSLATE(G386)"),"DNS Made Easy | Fast and Most Reliable Provider ServicesManaged DNS Services• DNS Failover• ANAME Records• Global Traffic DirectorSecondary DNSDNS AnalyticsReal-Time Traffic AnomalyMail ServicesDomain RegistrationTechnologyNetworkIndustry Leading Speeds"&amp;"Rest APIDynamic DNSThird Party IntegrationAffiliate ProgramEnterprisePricingResources  What is DNS?Subnet Mask Cheat SheetBlogBlog ArchivesTutorialsStatusFAQAbout   Our StoryCareersPoliciesContact UsLogin   Control PanelAnalyticsFree TrialBook DemoProd"&amp;"ucts Managed DNS ServicesDNS FailoverANAME RecordsGlobal Traffic DirectorSecondary DNSDNS AnalyticsMail ServicesDomain RegistrationTechnologyNetworkIndustry Leading SpeedRest APIDynamic DNSThird Party IntegrationAffiliate ProgramPricingEnterpriseResourc"&amp;"esWhat is DNS?Subnet Mask Cheat SheetBlogTutorialsStatusFAQAboutOur StoryCareersPoliciesContact UsLoginStart Free TrialDNS Performance and DNS Uptime LeaderDigicert dns trust manager offers premium managed dnsServicesManaged DNS Services• DNS Failover•"&amp;" ANAME Records• Global Traffic DirectorSecondary DNSDNS AnalyticsReal-Time Traffic AnomalyMail ServicesDomain RegistrationTechnologyNetworkIndustry Leading SpeedsRest APIDynamic DNSThird Party IntegrationAffiliate ProgramEnterprisePricingResources  What"&amp;" is DNS?Subnet Mask Cheat SheetBlogBlog ArchivesTutorialsStatusFAQAbout   Our StoryCareersPoliciesContact UsLogin   Control PanelAnalyticsFree TrialBook DemoProducts Managed DNS ServicesDNS FailoverANAME RecordsGlobal Traffic DirectorSecondary DNSDNS A"&amp;"nalyticsMail ServicesDomain RegistrationTechnologyNetworkIndustry Leading SpeedRest APIDynamic DNSThird Party IntegrationAffiliate ProgramPricingEnterpriseResourcesWhat is DNS?Subnet Mask Cheat SheetBlogTutorialsStatusFAQAboutOur StoryCareersPoliciesCo"&amp;"ntact UsLoginStart Free TrialOur mission is to provide ground-breaking traffic management solutions to organizations that require increased uptime enhanced performance and that want to eliminate IT department workload and stress. For over 20 years we have"&amp;" enabled the world's largest brands to achieve lucrative success. We provide next-generation solutions that exceed demands of our partners.Schedule a DemoStart Free TrialCORE PILLARS OF SUCCESSNeed Enterprise Monitoring?Fully automated real time alerts sm"&amp;"art routing and location checks Monitoring Services30 Day Free DNS TrialReceive unlimited queries DNS analytics and failover for 3 domains.Learn MorePricingDNS Pricing PlansYou have the ability to upgrade and scale to meet any of your organization's growt"&amp;"h requirements.FREE TRIALFREEFor 30 DaysPurchaseDNS-5$18.75 / month$225 Billed AnnuallyPurchase5 Domains1500 Records5M Queries /mo1 Failover Record5 Query Logs Two Factor Auth100% SLA-backedSee FeaturesDNS-25$56.25 / month$675 Billed AnnuallyPurchase25 Do"&amp;"mains7500 Records25M Queries /mo5 Failover Records10 Query Logs /moTwo Factor Auth100% SLA-backedDNS AnalyticsSee FeaturesDNS-50$175 / monthor $2100 Billed AnnuallyPurchase50 Domains15000 Records50M Queries /mo10 Failover Records25 Query Logs /mo1 Global "&amp;"Traffic Director (GTD)3 Factor Auth100% SLA-backedDNS AnalyticsDNSSECSee FeaturesEnterpriseContact usfor pricingGet Custom QuoteScalable PricingWhite Glove SupportDedicated Support TeamWhite Glove MigrationQuarterly Account ReviewsEscalated Support Respon"&amp;"se Times24/7/365 SupportEnterprise MonitoringDNS Video SupportFeature RequestsBook Strategy CallNeed more advanced features?DigiCert Constellix DNS offers advanced permissions with speed based decisions real time alerts advanced GeoDNS MultiCDN and weight"&amp;"ed round robin. If your organization requires advanced features for your enterprise domains:‍Contact for QuoteBook Strategy CallCompare DNS Plan ServicesFeatureDNS-5$14.50/moDNS-25$45/moDNS-50$145/moEnterpriseCustomPurchasePurchasePurchaseContact UsDomain"&amp;"s52550CustomMonthly Queries5 Million25 Million50 MillionCustomMonthly Records1500750015000CustomMonthly Query Logs51025CustomFailover Records1510CustomGlobal Traffic Director Included001CustomPlan FeaturesPlan FeaturesPlan FeaturesGet a DemoCompare DNS Pl"&amp;"an FeaturesDNS-5 and DNS-25 are billed annually. DNS-50 can be billed monthly or annually.FeatureDNS-5$18.75 /moDNS-25$56.25 /moDNS-50$175 /moEnterprisePurchasePurchasePurchaseContact UsTwo Factor AuthenticationThree Factor Authentication100% SLA-backedDN"&amp;"S AnalyticsRest API AccessDNSSECSAML/SSO (setup fee)Geo Load Balancing (GTD)Add-OnSee Add-OnsSee Add-OnsSee Add-OnsGet a DemoAdd-On PricingDNS-5 and DNS-25 are billed annually. DNS-50 can be billed monthly or annually.FeatureDNS-5DNS-25DNS-50EnterprisePur"&amp;"chasePurchasePurchaseContact UsFailover Records (each)$2.50 /month$2.50 /month$2.50 /month$2.50 /monthAdditional Queries (per million)$2 /month$.48 /month$.48 /monthAdditional Domains (each)$1 /month$1 /month$1 /monthGlobal Traffic Director (each)$660 /ye"&amp;"ar$660 /year$540 /year$540 /yearAdditional Users (each)$14.95 /year$14.95 /year$14.95 /yearAnomaly Detection (World)$50 /month$50 /month$50 /monthMigration Assistance$250/hour$150/ hrIncludedBusiness Hour Phone Support $150 /hourIncludedIncludedDedicated "&amp;"Vanity IP Address$300 /year$300 /yearPremium Support$1000 /yearIncludedDNS SupportDNS SupportDNS SupportGet a DemoDNS SupportDNS-5 and DNS-25 are billed annually. DNS-50 can be billed monthly or annually.SupportDNS-5DNS-25DNS-50EnterprisePurchasePurchaseP"&amp;"urchaseContact UsAccount Ticket SetupDedicated Account RepresentativeBusiness Hour Live Phone SupportLive Chat SupportLive Video SupportLearning LabsPrivate WebinarsRoad Map Requests24/7/365 SupportPrivate Sandbox Account AccessAdvantagesbuilt on the fast"&amp;"est most reliable network‍FREE TRIALFREEFor 30 DaysPurchaseSecure DNS NetworkOur network and infrastructure was expertly designed to withstand any attack based on scale and complexity. Seasoned DNS administrators with 20+ years of experience ensure reliab"&amp;"le infrastructure. We are able to guarantee 100% DNS uptime to all of our clients. No other DNS provider has the resources to ensure 100% uptime for your organization.Learn MoreIndustry Leading SpeedDigiCert DNS Trust Manager is consistently ranked as the"&amp;" world's fastest DNS provider according to third party network monitoring firms. We understand that fast DNS resolution is of utmost importance to your brand and that is why we dedicate more resources to our DNS network than any other provider in the indu"&amp;"stry.Learn MoreAdvanced AnalyticsUnderstanding your DNS data and having the necessary tools to quickly diagnose problems is essential to your organization's success. With our advanced analytics solutions you can keep your websites running efficiently.Lear"&amp;"n MoreOutage Free GuaranteedOur exceptional DNS solutions and unrivaled network infrastructure give us the ability to offer 100% uptime without incident. Providing you with peace of mind and elite performance.Learn MoreREST API Automation through code to "&amp;"tightly integrate DNS with your organization's growth. Perform the core functions of the DigiCert DNS GUI control panel but programmatically! Even advanced services like Global Traffic Director HTTP Redirection and Failover can all be configured through R"&amp;"EST.Learn MoreTraffic Performance MonitoringOur DNS solutions use proprietary artificial intelligence / machine learning to provide real-time anomaly detection of your DNS traffic. This unique solution provides alerts that will save your organization from"&amp;" costly outages and performance issues.Learn MoreTop-Rated Enterprise SupportOur support team is extensively trained to provide the highest level of support in the industry. Continuing education is provided to our engineers regarding the evolving internet"&amp;" landscape. We solve complex issues for our clients with ease.Learn MoreThird-Party IntegrationsWith a multitude of integrations available your team can reduce manual tasks workload stress and errors. Developed by DevOps engineers with over 20 years of tr"&amp;"affic management expertise.Learn MoreNEED Next-Level Services?Book Strategy DemoNeed advanced services &amp; customized solutions? Schedule a customized demo and a free POC account.Derek SeymourTrusted by the world's largest brandsServicesManaged DNS Service"&amp;"s• DNS Failover• ANAME Records• Global Traffic DirectorSecondary DNSDNS AnalyticsReal-Time Traffic AnomalyMail ServicesDomain RegistrationTechnologyNetworkIndustry Leading SpeedsRest APIDynamic DNSThird Party IntegrationAffiliate ProgramEnterprisePricing"&amp;"Resources  What is DNS?Subnet Mask Cheat SheetBlogBlog ArchivesTutorialsStatusFAQAbout   Our StoryCareersPoliciesContact UsLogin   Control PanelAnalyticsFree TrialBook DemoProducts Managed DNS ServicesDNS FailoverANAME RecordsGlobal Traffic DirectorSe"&amp;"condary DNSDNS AnalyticsMail ServicesDomain RegistrationTechnologyNetworkIndustry Leading SpeedRest APIDynamic DNSThird Party IntegrationAffiliate ProgramPricingEnterpriseResourcesWhat is DNS?Subnet Mask Cheat SheetBlogTutorialsStatusFAQAboutOur StoryC"&amp;"areersPoliciesContact UsLoginStart Free TrialWHAT Our Clients SAYWe Keep Brands OnlineServing over 30000 global organizations millions of domains worldwide and 180+ billion queries per day""Consistently and widely outperforms other providers""After extens"&amp;"ive research and tests among top DNS vendors we've concluded that DigiCert DNS Trust Manager consistently and widely outperforms other providers. We highly recommend web providers to switch.Derek SeymourDerek Seymour""Superb tech support... powerful API"""&amp;"We are extremely satisfied with the fail over options the API access and the superb tech support. I would specially recommend the service to any startup or										medium size business that don't want to worry about DNS to try the service and to the big "&amp;"companies to try the powerful										API and fell in love with it.Armando AndradeArmando Andrade""I really like the Automatic DNS Failover &amp; System Monitoring"" I really love DNS Made Easy. When I make a change to any record in any of my domains that ch"&amp;"ange is instantly propagated										to all of their servers and I really like the Automatic DNS Failover &amp; System Monitoring. Iulian HalacIulian Halac""The best value in our IT budget"" Hands down DNSMadeEasy represents the best value in our IT budget. "&amp;"Rarely (in any industry!) do you find a company with										an offering that is as good (if not better) than their competitors yet costs hundreds to thousands of times less.										Amazing job in all facets guys you should be proud of the company you'"&amp;"ve built!Dan PlaksonDan PlaksonAUTOMATIONIntegrationsDigiCert DNS services can be easily integrated into any existing product or service to automate infrastructure deployment through code. Powered by our world renowned REST API .Manage your DNS records ac"&amp;"ross multiple providers.Get startedRuby API ClientRuby library for DigiCert DNS API.Get startedDomain automation plus integrations with over 500 third-party apps.Get startedChef CookbookGeneric DNS record cookbook that supports pluggable DNS providers.Get"&amp;" startedManage hundreds of cloud servicesGet startedRead moreBlogLatest Industry NewsBlogJune 2 2023Managed Authoritative DNS in 2023: Unleashing Performance and SecurityLearn MoreBlogJune 2 2023Enhancing Resilience and Performance with Secondary DNS: Lev"&amp;"eraging DigiCert DNS Trust Manager for Organizational SuccessLearn MoreBlogJune 2 2023Understanding the Key Differences Between Authoritative DNS and Recursive DNSLearn MoreBlogJune 2 2023Streamlining DNS Management for Cost Savings with DigiCert DNS Trus"&amp;"t ManagerLearn MoreBlogMay 17 2023Optimizing TTL for DNS Records for Improved PerformanceLearn MoreBlogMay 17 2023CNAME Flattening: Unlocking the Power of ANAME Records for Efficient Domain PointingLearn MoreWant a Proof of Concept?Start your free (no cre"&amp;"dit card required) 30-day trial and have access to the fastest and most reliable DNS in the world.‍Yep it really is that easy.Start Free TrialServicesManaged DNS ServicesSecondary DNSDNS AnalyticsMail ServicesTechnologyIndustry Leading SpeedsNetworkREST A"&amp;"PIDynamic DNSThird-Party IntegrationsAffiliate ProgramAboutOur StoryCareersContact UsBlogPoliciesDigital AssetsUtility PagesWhat is DNS?Subnet Mask Cheat SheetTutorialsStatusFAQContactsales@dnsmadeeasy.com+1 703.880.309511490 Commerce Park Dr Ste 140Resto"&amp;"n Virginia 20191 USA© 2023 DigiCert Inc. All rights reserved.Social MediaFacebookTwitterYouTubeLinkedInProductsDNS DNS ManagementFailoverLoad BalancingGeo IP ServicesANAME RecordsCNAME RecordsSee All FeaturesDNS AnalyticsQuery Reports and StatisticsReal-T"&amp;"ime LogsReal-Time Traffic Anomaly DetectionMonitoringPerformance MonitoringReal User MonitoringCDN Performance ReportsSolutionsMulti-CDN ManagementLatency Load Balancing - Round RobinTraffic Steering Load BalancerGlobal Load BalancingAPI Devops &amp; Automati"&amp;"onDisaster Recovery Plan PricingProducts PricingGet a Custom QuotePricing CalculatorPricing FAQsLearnConstellix Blog / NewsEducational ResourcesWhat is DNSWhat is GeoDNS?IP Anycast+Video DemosPress ReleasesToolsBuilt-In IntegrationsDNS Lookup ToolTracerou"&amp;"te ToolSubnet Mask Cheat SheetDNS Records Cheat SheetOutage Calculator ToolQPS CalculatorCompare DNSCompare DNS ProvidersAmazon Route 53CloudFlareMicrosoft AzureNS1DYN OracleGoogle CloudNeustar / UltraDNSFree vs Paid DNSSee All FeaturesCompare OutagesOuta"&amp;"ge PreventionWhy ConstellixPremium SupportPartnership ProgramSupportWeb SupportIntegrationsDNS MigrationKnowledge BaseContact UsDNS StatusFAQPoliciesSign UpBook DemoLoginUser ManagementDNSSonarAnalyticsBilling")</f>
        <v>DNS Made Easy | Fast and Most Reliable Provider ServicesManaged DNS Services• DNS Failover• ANAME Records• Global Traffic DirectorSecondary DNSDNS AnalyticsReal-Time Traffic AnomalyMail ServicesDomain RegistrationTechnologyNetworkIndustry Leading SpeedsRest APIDynamic DNSThird Party IntegrationAffiliate ProgramEnterprisePricingResources  What is DNS?Subnet Mask Cheat SheetBlogBlog ArchivesTutorialsStatusFAQAbout   Our StoryCareersPoliciesContact UsLogin   Control PanelAnalyticsFree TrialBook DemoProducts Managed DNS ServicesDNS FailoverANAME RecordsGlobal Traffic DirectorSecondary DNSDNS AnalyticsMail ServicesDomain RegistrationTechnologyNetworkIndustry Leading SpeedRest APIDynamic DNSThird Party IntegrationAffiliate ProgramPricingEnterpriseResourcesWhat is DNS?Subnet Mask Cheat SheetBlogTutorialsStatusFAQAboutOur StoryCareersPoliciesContact UsLoginStart Free TrialDNS Performance and DNS Uptime LeaderDigicert dns trust manager offers premium managed dnsServicesManaged DNS Services• DNS Failover• ANAME Records• Global Traffic DirectorSecondary DNSDNS AnalyticsReal-Time Traffic AnomalyMail ServicesDomain RegistrationTechnologyNetworkIndustry Leading SpeedsRest APIDynamic DNSThird Party IntegrationAffiliate ProgramEnterprisePricingResources  What is DNS?Subnet Mask Cheat SheetBlogBlog ArchivesTutorialsStatusFAQAbout   Our StoryCareersPoliciesContact UsLogin   Control PanelAnalyticsFree TrialBook DemoProducts Managed DNS ServicesDNS FailoverANAME RecordsGlobal Traffic DirectorSecondary DNSDNS AnalyticsMail ServicesDomain RegistrationTechnologyNetworkIndustry Leading SpeedRest APIDynamic DNSThird Party IntegrationAffiliate ProgramPricingEnterpriseResourcesWhat is DNS?Subnet Mask Cheat SheetBlogTutorialsStatusFAQAboutOur StoryCareersPoliciesContact UsLoginStart Free TrialOur mission is to provide ground-breaking traffic management solutions to organizations that require increased uptime enhanced performance and that want to eliminate IT department workload and stress. For over 20 years we have enabled the world's largest brands to achieve lucrative success. We provide next-generation solutions that exceed demands of our partners.Schedule a DemoStart Free TrialCORE PILLARS OF SUCCESSNeed Enterprise Monitoring?Fully automated real time alerts smart routing and location checks Monitoring Services30 Day Free DNS TrialReceive unlimited queries DNS analytics and failover for 3 domains.Learn MorePricingDNS Pricing PlansYou have the ability to upgrade and scale to meet any of your organization's growth requirements.FREE TRIALFREEFor 30 DaysPurchaseDNS-5$18.75 / month$225 Billed AnnuallyPurchase5 Domains1500 Records5M Queries /mo1 Failover Record5 Query Logs Two Factor Auth100% SLA-backedSee FeaturesDNS-25$56.25 / month$675 Billed AnnuallyPurchase25 Domains7500 Records25M Queries /mo5 Failover Records10 Query Logs /moTwo Factor Auth100% SLA-backedDNS AnalyticsSee FeaturesDNS-50$175 / monthor $2100 Billed AnnuallyPurchase50 Domains15000 Records50M Queries /mo10 Failover Records25 Query Logs /mo1 Global Traffic Director (GTD)3 Factor Auth100% SLA-backedDNS AnalyticsDNSSECSee FeaturesEnterpriseContact usfor pricingGet Custom QuoteScalable PricingWhite Glove SupportDedicated Support TeamWhite Glove MigrationQuarterly Account ReviewsEscalated Support Response Times24/7/365 SupportEnterprise MonitoringDNS Video SupportFeature RequestsBook Strategy CallNeed more advanced features?DigiCert Constellix DNS offers advanced permissions with speed based decisions real time alerts advanced GeoDNS MultiCDN and weighted round robin. If your organization requires advanced features for your enterprise domains:‍Contact for QuoteBook Strategy CallCompare DNS Plan ServicesFeatureDNS-5$14.50/moDNS-25$45/moDNS-50$145/moEnterpriseCustomPurchasePurchasePurchaseContact UsDomains52550CustomMonthly Queries5 Million25 Million50 MillionCustomMonthly Records1500750015000CustomMonthly Query Logs51025CustomFailover Records1510CustomGlobal Traffic Director Included001CustomPlan FeaturesPlan FeaturesPlan FeaturesGet a DemoCompare DNS Plan FeaturesDNS-5 and DNS-25 are billed annually. DNS-50 can be billed monthly or annually.FeatureDNS-5$18.75 /moDNS-25$56.25 /moDNS-50$175 /moEnterprisePurchasePurchasePurchaseContact UsTwo Factor AuthenticationThree Factor Authentication100% SLA-backedDNS AnalyticsRest API AccessDNSSECSAML/SSO (setup fee)Geo Load Balancing (GTD)Add-OnSee Add-OnsSee Add-OnsSee Add-OnsGet a DemoAdd-On PricingDNS-5 and DNS-25 are billed annually. DNS-50 can be billed monthly or annually.FeatureDNS-5DNS-25DNS-50EnterprisePurchasePurchasePurchaseContact UsFailover Records (each)$2.50 /month$2.50 /month$2.50 /month$2.50 /monthAdditional Queries (per million)$2 /month$.48 /month$.48 /monthAdditional Domains (each)$1 /month$1 /month$1 /monthGlobal Traffic Director (each)$660 /year$660 /year$540 /year$540 /yearAdditional Users (each)$14.95 /year$14.95 /year$14.95 /yearAnomaly Detection (World)$50 /month$50 /month$50 /monthMigration Assistance$250/hour$150/ hrIncludedBusiness Hour Phone Support $150 /hourIncludedIncludedDedicated Vanity IP Address$300 /year$300 /yearPremium Support$1000 /yearIncludedDNS SupportDNS SupportDNS SupportGet a DemoDNS SupportDNS-5 and DNS-25 are billed annually. DNS-50 can be billed monthly or annually.SupportDNS-5DNS-25DNS-50EnterprisePurchasePurchasePurchaseContact UsAccount Ticket SetupDedicated Account RepresentativeBusiness Hour Live Phone SupportLive Chat SupportLive Video SupportLearning LabsPrivate WebinarsRoad Map Requests24/7/365 SupportPrivate Sandbox Account AccessAdvantagesbuilt on the fastest most reliable network‍FREE TRIALFREEFor 30 DaysPurchaseSecure DNS NetworkOur network and infrastructure was expertly designed to withstand any attack based on scale and complexity. Seasoned DNS administrators with 20+ years of experience ensure reliable infrastructure. We are able to guarantee 100% DNS uptime to all of our clients. No other DNS provider has the resources to ensure 100% uptime for your organization.Learn MoreIndustry Leading SpeedDigiCert DNS Trust Manager is consistently ranked as the world's fastest DNS provider according to third party network monitoring firms. We understand that fast DNS resolution is of utmost importance to your brand and that is why we dedicate more resources to our DNS network than any other provider in the industry.Learn MoreAdvanced AnalyticsUnderstanding your DNS data and having the necessary tools to quickly diagnose problems is essential to your organization's success. With our advanced analytics solutions you can keep your websites running efficiently.Learn MoreOutage Free GuaranteedOur exceptional DNS solutions and unrivaled network infrastructure give us the ability to offer 100% uptime without incident. Providing you with peace of mind and elite performance.Learn MoreREST API Automation through code to tightly integrate DNS with your organization's growth. Perform the core functions of the DigiCert DNS GUI control panel but programmatically! Even advanced services like Global Traffic Director HTTP Redirection and Failover can all be configured through REST.Learn MoreTraffic Performance MonitoringOur DNS solutions use proprietary artificial intelligence / machine learning to provide real-time anomaly detection of your DNS traffic. This unique solution provides alerts that will save your organization from costly outages and performance issues.Learn MoreTop-Rated Enterprise SupportOur support team is extensively trained to provide the highest level of support in the industry. Continuing education is provided to our engineers regarding the evolving internet landscape. We solve complex issues for our clients with ease.Learn MoreThird-Party IntegrationsWith a multitude of integrations available your team can reduce manual tasks workload stress and errors. Developed by DevOps engineers with over 20 years of traffic management expertise.Learn MoreNEED Next-Level Services?Book Strategy DemoNeed advanced services &amp; customized solutions? Schedule a customized demo and a free POC account.Derek SeymourTrusted by the world's largest brandsServicesManaged DNS Services• DNS Failover• ANAME Records• Global Traffic DirectorSecondary DNSDNS AnalyticsReal-Time Traffic AnomalyMail ServicesDomain RegistrationTechnologyNetworkIndustry Leading SpeedsRest APIDynamic DNSThird Party IntegrationAffiliate ProgramEnterprisePricingResources  What is DNS?Subnet Mask Cheat SheetBlogBlog ArchivesTutorialsStatusFAQAbout   Our StoryCareersPoliciesContact UsLogin   Control PanelAnalyticsFree TrialBook DemoProducts Managed DNS ServicesDNS FailoverANAME RecordsGlobal Traffic DirectorSecondary DNSDNS AnalyticsMail ServicesDomain RegistrationTechnologyNetworkIndustry Leading SpeedRest APIDynamic DNSThird Party IntegrationAffiliate ProgramPricingEnterpriseResourcesWhat is DNS?Subnet Mask Cheat SheetBlogTutorialsStatusFAQAboutOur StoryCareersPoliciesContact UsLoginStart Free TrialWHAT Our Clients SAYWe Keep Brands OnlineServing over 30000 global organizations millions of domains worldwide and 180+ billion queries per day"Consistently and widely outperforms other providers"After extensive research and tests among top DNS vendors we've concluded that DigiCert DNS Trust Manager consistently and widely outperforms other providers. We highly recommend web providers to switch.Derek SeymourDerek Seymour"Superb tech support... powerful API"We are extremely satisfied with the fail over options the API access and the superb tech support. I would specially recommend the service to any startup or										medium size business that don't want to worry about DNS to try the service and to the big companies to try the powerful										API and fell in love with it.Armando AndradeArmando Andrade"I really like the Automatic DNS Failover &amp; System Monitoring" I really love DNS Made Easy. When I make a change to any record in any of my domains that change is instantly propagated										to all of their servers and I really like the Automatic DNS Failover &amp; System Monitoring. Iulian HalacIulian Halac"The best value in our IT budget" Hands down DNSMadeEasy represents the best value in our IT budget. Rarely (in any industry!) do you find a company with										an offering that is as good (if not better) than their competitors yet costs hundreds to thousands of times less.										Amazing job in all facets guys you should be proud of the company you've built!Dan PlaksonDan PlaksonAUTOMATIONIntegrationsDigiCert DNS services can be easily integrated into any existing product or service to automate infrastructure deployment through code. Powered by our world renowned REST API .Manage your DNS records across multiple providers.Get startedRuby API ClientRuby library for DigiCert DNS API.Get startedDomain automation plus integrations with over 500 third-party apps.Get startedChef CookbookGeneric DNS record cookbook that supports pluggable DNS providers.Get startedManage hundreds of cloud servicesGet startedRead moreBlogLatest Industry NewsBlogJune 2 2023Managed Authoritative DNS in 2023: Unleashing Performance and SecurityLearn MoreBlogJune 2 2023Enhancing Resilience and Performance with Secondary DNS: Leveraging DigiCert DNS Trust Manager for Organizational SuccessLearn MoreBlogJune 2 2023Understanding the Key Differences Between Authoritative DNS and Recursive DNSLearn MoreBlogJune 2 2023Streamlining DNS Management for Cost Savings with DigiCert DNS Trust ManagerLearn MoreBlogMay 17 2023Optimizing TTL for DNS Records for Improved PerformanceLearn MoreBlogMay 17 2023CNAME Flattening: Unlocking the Power of ANAME Records for Efficient Domain PointingLearn MoreWant a Proof of Concept?Start your free (no credit card required) 30-day trial and have access to the fastest and most reliable DNS in the world.‍Yep it really is that easy.Start Free TrialServicesManaged DNS ServicesSecondary DNSDNS AnalyticsMail ServicesTechnologyIndustry Leading SpeedsNetworkREST APIDynamic DNSThird-Party IntegrationsAffiliate ProgramAboutOur StoryCareersContact UsBlogPoliciesDigital AssetsUtility PagesWhat is DNS?Subnet Mask Cheat SheetTutorialsStatusFAQContactsales@dnsmadeeasy.com+1 703.880.309511490 Commerce Park Dr Ste 140Reston Virginia 20191 USA© 2023 DigiCert Inc. All rights reserved.Social MediaFacebookTwitterYouTubeLinkedInProductsDNS DNS ManagementFailoverLoad BalancingGeo IP ServicesANAME RecordsCNAME RecordsSee All FeaturesDNS AnalyticsQuery Reports and StatisticsReal-Time LogsReal-Time Traffic Anomaly DetectionMonitoringPerformance MonitoringReal User MonitoringCDN Performance ReportsSolutionsMulti-CDN ManagementLatency Load Balancing - Round RobinTraffic Steering Load BalancerGlobal Load BalancingAPI Devops &amp; AutomationDisaster Recovery Plan PricingProducts PricingGet a Custom QuotePricing CalculatorPricing FAQsLearnConstellix Blog / NewsEducational ResourcesWhat is DNSWhat is GeoDNS?IP Anycast+Video DemosPress ReleasesToolsBuilt-In IntegrationsDNS Lookup ToolTraceroute ToolSubnet Mask Cheat SheetDNS Records Cheat SheetOutage Calculator ToolQPS CalculatorCompare DNSCompare DNS ProvidersAmazon Route 53CloudFlareMicrosoft AzureNS1DYN OracleGoogle CloudNeustar / UltraDNSFree vs Paid DNSSee All FeaturesCompare OutagesOutage PreventionWhy ConstellixPremium SupportPartnership ProgramSupportWeb SupportIntegrationsDNS MigrationKnowledge BaseContact UsDNS StatusFAQPoliciesSign UpBook DemoLoginUser ManagementDNSSonarAnalyticsBilling</v>
      </c>
    </row>
    <row r="387">
      <c r="A387" s="1" t="s">
        <v>1218</v>
      </c>
      <c r="B387" s="1" t="s">
        <v>1324</v>
      </c>
      <c r="C387" s="1" t="s">
        <v>1325</v>
      </c>
      <c r="D387" s="1">
        <v>13.0</v>
      </c>
      <c r="E387" s="4" t="s">
        <v>1326</v>
      </c>
      <c r="F387" s="1" t="s">
        <v>43</v>
      </c>
      <c r="G387" s="1" t="s">
        <v>1327</v>
      </c>
      <c r="H387" s="4" t="s">
        <v>1328</v>
      </c>
      <c r="I387" s="2">
        <v>3.0</v>
      </c>
      <c r="J387" s="5" t="str">
        <f>IFERROR(__xludf.DUMMYFUNCTION("GOOGLETRANSLATE(A387)"),"DNS")</f>
        <v>DNS</v>
      </c>
      <c r="K387" s="6" t="str">
        <f>IFERROR(__xludf.DUMMYFUNCTION("GOOGLETRANSLATE(B387)"),"GRC's | DNS Nameserver Performance Benchmark")</f>
        <v>GRC's | DNS Nameserver Performance Benchmark</v>
      </c>
      <c r="L387" s="5" t="str">
        <f>IFERROR(__xludf.DUMMYFUNCTION("GOOGLETRANSLATE(C387)"),"GRC's DNS Benchmark performs a detailed analysis and comparison of the operational performance and reliability of any set of up to 200 DNS nameservers ( ...")</f>
        <v>GRC's DNS Benchmark performs a detailed analysis and comparison of the operational performance and reliability of any set of up to 200 DNS nameservers ( ...</v>
      </c>
      <c r="M387" s="5" t="str">
        <f>IFERROR(__xludf.DUMMYFUNCTION("GOOGLETRANSLATE(G387)"),"  Home of Gibson Research Corporation   Purchasing Sales Support Technical Support Contact Us Blogs Twitter &amp; RSS Privacy Policy Steve's Projects Page Steve's Old Resume General information What SpinRite Does User testimonials S.M.A.R.T. Monitor Purchase "&amp;"SpinRite FAQ Demo Videos Knowledgebase: B04E Knowledgebase: SATA Knowledgebase: BIOS SpinRite v5.0 pages ShieldsUP! Certificate Revocation Password Haystacks HTTPS Fingerprints Security Now! DNS Spoofability Test Perfect Passwords PPP Passwords Tech TV vi"&amp;"deo clips Newsgroup DiscussionsSQRLSecurity» InSpectre Securable Leaktest Shoot the messenger Unplug n' Pray DCOMbobulator MouseTrap MouseTrapCmdUtilities» ValiDrive InControl ReadSpeed DNS Benchmark InitDisk Never 10  (no upgrade) Wizmo ID Serve ClicKey "&amp;"Free &amp; Clear IDentity (ASPI)Obsolete» FIX-CIH TIP (trouble in paradise) OptOut XPdite NoShare LetShare PatchworkGeneral» Malware Repository SQRL Login Technology EV SSL/TLS Certificates Ultra-high entropy PRNG Pure CSS web menus NAT router security PDA ma"&amp;"x battery lifePending» GRC NetFilter TrustPuppyHistorical» Worm wars of 2001 File downloader spying Sub-pixel font rendering Earthlink browser tag ZIP &amp; JAZ click of deathDormant» OpenVPN The Assimilator ASPI MEHealth» Health Homepage The Low Carb Choice "&amp;"Vitamin D Healthy Sleep Formula Zeo Sleep Manager ProSQRL PDP-8 Computers TrueCrypt Repository Big Number Calculator The Quiet Canine  Gibson Research Corporation Proudly AnnouncesThe industry's #1 hard drive data recoverysoftware is NOW COMPATIBLE with N"&amp;"TFSFAT Linux and ALL OTHER file systems!And the exclusive home of . . .More than 106852742 shields tested!To proceed click the logos or select from the menu above.")</f>
        <v>  Home of Gibson Research Corporation   Purchasing Sales Support Technical Support Contact Us Blogs Twitter &amp; RSS Privacy Policy Steve's Projects Page Steve's Old Resume General information What SpinRite Does User testimonials S.M.A.R.T. Monitor Purchase SpinRite FAQ Demo Videos Knowledgebase: B04E Knowledgebase: SATA Knowledgebase: BIOS SpinRite v5.0 pages ShieldsUP! Certificate Revocation Password Haystacks HTTPS Fingerprints Security Now! DNS Spoofability Test Perfect Passwords PPP Passwords Tech TV video clips Newsgroup DiscussionsSQRLSecurity» InSpectre Securable Leaktest Shoot the messenger Unplug n' Pray DCOMbobulator MouseTrap MouseTrapCmdUtilities» ValiDrive InControl ReadSpeed DNS Benchmark InitDisk Never 10  (no upgrade) Wizmo ID Serve ClicKey Free &amp; Clear IDentity (ASPI)Obsolete» FIX-CIH TIP (trouble in paradise) OptOut XPdite NoShare LetShare PatchworkGeneral» Malware Repository SQRL Login Technology EV SSL/TLS Certificates Ultra-high entropy PRNG Pure CSS web menus NAT router security PDA max battery lifePending» GRC NetFilter TrustPuppyHistorical» Worm wars of 2001 File downloader spying Sub-pixel font rendering Earthlink browser tag ZIP &amp; JAZ click of deathDormant» OpenVPN The Assimilator ASPI MEHealth» Health Homepage The Low Carb Choice Vitamin D Healthy Sleep Formula Zeo Sleep Manager ProSQRL PDP-8 Computers TrueCrypt Repository Big Number Calculator The Quiet Canine  Gibson Research Corporation Proudly AnnouncesThe industry's #1 hard drive data recoverysoftware is NOW COMPATIBLE with NTFSFAT Linux and ALL OTHER file systems!And the exclusive home of . . .More than 106852742 shields tested!To proceed click the logos or select from the menu above.</v>
      </c>
    </row>
    <row r="388">
      <c r="A388" s="1" t="s">
        <v>1218</v>
      </c>
      <c r="B388" s="1" t="s">
        <v>1329</v>
      </c>
      <c r="C388" s="1" t="s">
        <v>1330</v>
      </c>
      <c r="D388" s="1">
        <v>14.0</v>
      </c>
      <c r="E388" s="4" t="s">
        <v>1331</v>
      </c>
      <c r="F388" s="1" t="s">
        <v>43</v>
      </c>
      <c r="G388" s="1" t="s">
        <v>1332</v>
      </c>
      <c r="H388" s="4" t="s">
        <v>1333</v>
      </c>
      <c r="I388" s="2">
        <v>3.0</v>
      </c>
      <c r="J388" s="5" t="str">
        <f>IFERROR(__xludf.DUMMYFUNCTION("GOOGLETRANSLATE(A388)"),"DNS")</f>
        <v>DNS</v>
      </c>
      <c r="K388" s="6" t="str">
        <f>IFERROR(__xludf.DUMMYFUNCTION("GOOGLETRANSLATE(B388)"),"DNS Propagation Checker - Global DNS Testing Tool")</f>
        <v>DNS Propagation Checker - Global DNS Testing Tool</v>
      </c>
      <c r="L388" s="5" t="str">
        <f>IFERROR(__xludf.DUMMYFUNCTION("GOOGLETRANSLATE(C388)"),"whatsmydns.net is a free online tool that lets you quickly and easily perform a DNS lookup to check DNS propagation and see information of any domain from DNS ...")</f>
        <v>whatsmydns.net is a free online tool that lets you quickly and easily perform a DNS lookup to check DNS propagation and see information of any domain from DNS ...</v>
      </c>
      <c r="M388" s="5" t="str">
        <f>IFERROR(__xludf.DUMMYFUNCTION("GOOGLETRANSLATE(G388)"),"DNS Propagation Checker - Global DNS Testing ToolAAAAACNAMEMXNSPTRSOASRVTXTCAA                                Expected Value:                             Search                Donate            United StatesLoading...-United StatesLoading...-United States"&amp;"Loading...-United StatesLoading...-United StatesLoading...-CanadaLoading...-MexicoLoading...-BrazilLoading...-SpainLoading...-United KingdomLoading...-FranceLoading...-NetherlandsLoading...-GermanyLoading...-SwitzerlandLoading...-ItalyLoading...-South Afr"&amp;"icaLoading...-TurkeyLoading...-RussiaLoading...-PakistanLoading...-IndiaLoading...-ThailandLoading...-MalaysiaLoading...-SingaporeLoading...-ChinaLoading...-South KoreaLoading...-JapanLoading...-AustraliaLoading...-AustraliaLoading...-DNS Propagation Chec"&amp;"kerwhatsmydns.net lets you instantly perform a DNS lookup to check a domain name's current IP address and DNS record information against multiple nameservers located in different parts of the world.                                        ← back to map vie"&amp;"w                                    ...Global DNS Checker - How to check DNS propagationwhatsmydns.net is a free online tool that lets you quickly and easily perform a DNS lookup to check DNS propagation and see information of any domain from DNS servers"&amp;" located in many countries all around the world.You can test changes made to new or existing domains and see if they have been updated correctly without the need to manually query remote servers. This gives you immediate insight into how users globally ma"&amp;"y be resolving DNS records for your website email or other online service.Many operating systems include DNS tools to check DNS records manually for diagnosing problems. However using these tools can be complicated and difficult to understand for non-tech"&amp;"nical people which is why the whatsmydns.net DNS checker was created to help with quickly checking DNS propagation.whatsmydns.net makes the process of performing global DNS checks easy by maintaining a range of DNS servers to perform lookups with. These r"&amp;"esults are then parsed and displayed on a map so that results are easier to understand at a glance. Individual lookup results can be seen in detail by selecting a server location from the list or clicking on the map markers once a search has been complete"&amp;"d.What is DNS and how does it work?The Domain Name System (known as DNS) is a system used to convert a name (like www.google.com) into an IP address (like 192.168.2.1). These addresses are used by computers to communicate with each other on the internet. "&amp;"Most people find remembering names much easier than numbers so DNS makes this process easy.When you visit a website your computer phone or tablet will first check your local DNS cache for the corresponding IP address. If your device has not recently looke"&amp;"d up this website then it will need to ask your configured DNS server which will forward the request on to the DNS server responsible for managing the records. This process is known as a DNS lookup request.Once the IP address is known it is stored locally"&amp;" for a set period of time known as the Time To Live (TTL) and used to speed up future requests. Updated records will not be returned until this time has expired this can often be the cause of why DNS changes do not appear to be working right away.What is "&amp;"DNS propagation?DNS propagation is the term commonly used to check the current state of DNS results globally and is often asked about when changes made to DNS zones do not appear to be working as expected. This process can take from only a few minutes but"&amp;" often takes up to 48-72 hours and sometimes longer.While technically DNS does not propagate this is the term that people have become familiar with. DNS requests are recursively forwarded and looked up from the locally used resolver to the authoritative n"&amp;"ame server on demand and then cached to speed up future lookup requests. For this reason commonly used DNS servers of large network providers located around the world have been selected when performing DNS checks.For popular websites DNS results may be ca"&amp;"ched for people in different parts of the world using many different recursive DNS resolvers. If you have recently made changes to your configuration and the TTL has not yet expired then some people may be receiving out of date results which could mean th"&amp;"at they see an older version of your website.How long does DNS propagation take?How long DNS propagation takes usually depends on your records TTL setting. This can be anywhere from several minutes up to 48-72 hours or longer. However there are sometimes "&amp;"other reasons for a long propagation time.The main issues as to why DNS propagation can take so long are:DNS Cache - The Time to Live (TTL) is the duration in which DNS data is allowed to 'live' in the cache of a local device or DNS resolver. When this du"&amp;"ration expires the local device or server removes existing DNS information and carries out another DNS lookup to fetch new information. Higher TTL settings can often cause a delay in DNS propagation.Internet Service Providers - Your ISP also caches DNS re"&amp;"sults which allows for many users to access sites faster. For every website requested they will ask the DNS server responsible only once but return the same result for many users. Some ISPs also overlook TTL rules keeping a cached DNS record even if the T"&amp;"TL has expired. This can make DNS propagation take longer than it should.Other DNS Servers - You may not be using your ISPs DNS server if this is the case then the same issues that may be causing delays can still apply.Domain Name Registrar - When changin"&amp;"g web hosting or DNS providers for your domain it is often also required to update your authoritative name servers. These changes will need to be reflected in the corresponding TLD nameserver for your domain name. For example if you were to change the NS "&amp;"records for example.com then the .com TLD nameserver would also need to update which can cause delays in DNS propagation.How do you speed up DNS propagation?A technique used to speed up DNS propagation and prevent a delay is to lower your DNS records TTL "&amp;"a few days in advance of making any changes so that when the change is made any old records expire more quickly. Unfortunately most people who are having issues and trying to speed up DNS propagation only find this out after making changes and are wonderi"&amp;"ng why they're not seeing instant results.If you have checked DNS globally and are seeing different results locally then you may consider flushing your DNS cache or using another DNS server. As a last resort manually overriding your local DNS entries in y"&amp;"our systems hosts file can also be done but should be considered a temporary measure and only works for certain record types.What server types are used in a DNS check?There are 4 different types of DNS servers involved when performing a DNS check. Each ha"&amp;"s a different role and may not be needed at all depending on the situation having all these different server types is what contributes to DNS propagation issues.Recursive Resolver - The DNS server your device communicates with is called the recursive reso"&amp;"lver and is issued to you automatically by your ISP but can be also configured on your router or individual devices. These DNS severs are ideally located in close geographical proximity to return results as fast as possible. These servers will cache a cop"&amp;"y of the DNS results to speed up future DNS lookup requests.Root Name Server - This type of DNS server is responsible for returning the IP address of the TLD (Top Level Domain) nameserver. For instance if it is trying to resolve example.com the root name "&amp;"server returns the IP of the TLD name server that runs .com domains.TLD Name Server - This name server returns the authoritative name servers for each domain under the Top Level Domain it's responsible for.  The .com TLD name server will return results fo"&amp;"r example.com but not example.org.Authoritative Name Server - This stores DNS servers' configuration data for specific domain names.What happens when a DNS request is made?Below demonstrates the flow of events when a user requests to visit www.example.com"&amp;" in their web browser for the first time and does not yet have cached results. As you can see each step introduces the possibility of a DNS propagation delay.→ You type www.example.com into your web browser.→ Your device sends a request to your configured"&amp;" recursive resolver.→ The recursive resolver asks the root nameserver for the IP address of the TLD nameserver responsible for .com domains.← The root nameserver returns the IP address of the .com TLD nameserver to the recursive resolver.→ The recursive r"&amp;"esolver asks the .com TLD nameserver for the address of the authoritative nameserver responsible for example.com.← The .com TLD nameserver returns the IP address of the authoritative nameserver to the recursive resolver.→ The recursive resolver asks the a"&amp;"uthoritative nameserver for the IP address of www.example.com.← The authoritative nameserver returns the IP address of www.example.com to the recursive resolver.← The recursive resolver returns IP address of www.example.com to the browser.→ Your browser m"&amp;"akes a web request directly to the resolved IP address.Which DNS record types can be checked?You can check DNS propagation for common record types including:A - The most common DNS record used to point a domain to an IP address.CNAME - Also known as alias"&amp;" records they point to other DNS records. Sometimes used for subdomains like www.MX - Mail Exchanger records are used set email servers and their priority.NS - Name Server records store the authoritative nameserver.TXT - Text records are commonly used for"&amp;" configuration settings such as SPF and DKIM records.                        Additional types that can be checked which are usually used in more advanced configurations include:                        AAAA                        CAA                       "&amp;" PTR                        SOA and                        SRV.                    Make sure to check all your DNS recordsWhen checking DNS records there are often multiple record types that you need to verify are correct. For example websites sometimes i"&amp;"nclude www or other subdomains as either an A or CNAME record and email servers use the MX record type.                            Check Another Record Type ↑                        or                            Check Another Domain ↑                     "&amp;"   ...Support MeIf you find this service useful for checking DNS propagation please consider donating to help pay hosting costs and keeping the site up to date.                        Donate via PayPal                    DNS ToolsDNS CheckerDNS LookupReve"&amp;"rse DNS LookupWhat's My IP Address?DNS GuidesDNS SecurityFlush DNSHosts FileDNS LookupA Record LookupAAAA Record LookupCAA Record LookupCNAME Record LookupMX Record LookupNS Record LookupPTR Record LookupSOA Record LookupSRV Record LookupTXT Record Lookup"&amp;"Articles &amp; BlogDNS ArticlesDevelopment BlogDNS ServersGlobal DNS ServersAustralian DNS ServersFrance DNS ServersNew Zealand DNS ServersUnited Kingdom DNS ServersUnited States DNS Servers                    Browser Extension                 Chrome         "&amp;"               new                    Social MediaContactEmail: [email protected]Twitter: @whatsmydnsLegalPrivacy Policy")</f>
        <v>DNS Propagation Checker - Global DNS Testing ToolAAAAACNAMEMXNSPTRSOASRVTXTCAA                                Expected Value:                             Search                Donate            United StatesLoading...-United StatesLoading...-United StatesLoading...-United StatesLoading...-United StatesLoading...-CanadaLoading...-MexicoLoading...-BrazilLoading...-SpainLoading...-United KingdomLoading...-FranceLoading...-NetherlandsLoading...-GermanyLoading...-SwitzerlandLoading...-ItalyLoading...-South AfricaLoading...-TurkeyLoading...-RussiaLoading...-PakistanLoading...-IndiaLoading...-ThailandLoading...-MalaysiaLoading...-SingaporeLoading...-ChinaLoading...-South KoreaLoading...-JapanLoading...-AustraliaLoading...-AustraliaLoading...-DNS Propagation Checkerwhatsmydns.net lets you instantly perform a DNS lookup to check a domain name's current IP address and DNS record information against multiple nameservers located in different parts of the world.                                        ← back to map view                                    ...Global DNS Checker - How to check DNS propagationwhatsmydns.net is a free online tool that lets you quickly and easily perform a DNS lookup to check DNS propagation and see information of any domain from DNS servers located in many countries all around the world.You can test changes made to new or existing domains and see if they have been updated correctly without the need to manually query remote servers. This gives you immediate insight into how users globally may be resolving DNS records for your website email or other online service.Many operating systems include DNS tools to check DNS records manually for diagnosing problems. However using these tools can be complicated and difficult to understand for non-technical people which is why the whatsmydns.net DNS checker was created to help with quickly checking DNS propagation.whatsmydns.net makes the process of performing global DNS checks easy by maintaining a range of DNS servers to perform lookups with. These results are then parsed and displayed on a map so that results are easier to understand at a glance. Individual lookup results can be seen in detail by selecting a server location from the list or clicking on the map markers once a search has been completed.What is DNS and how does it work?The Domain Name System (known as DNS) is a system used to convert a name (like www.google.com) into an IP address (like 192.168.2.1). These addresses are used by computers to communicate with each other on the internet. Most people find remembering names much easier than numbers so DNS makes this process easy.When you visit a website your computer phone or tablet will first check your local DNS cache for the corresponding IP address. If your device has not recently looked up this website then it will need to ask your configured DNS server which will forward the request on to the DNS server responsible for managing the records. This process is known as a DNS lookup request.Once the IP address is known it is stored locally for a set period of time known as the Time To Live (TTL) and used to speed up future requests. Updated records will not be returned until this time has expired this can often be the cause of why DNS changes do not appear to be working right away.What is DNS propagation?DNS propagation is the term commonly used to check the current state of DNS results globally and is often asked about when changes made to DNS zones do not appear to be working as expected. This process can take from only a few minutes but often takes up to 48-72 hours and sometimes longer.While technically DNS does not propagate this is the term that people have become familiar with. DNS requests are recursively forwarded and looked up from the locally used resolver to the authoritative name server on demand and then cached to speed up future lookup requests. For this reason commonly used DNS servers of large network providers located around the world have been selected when performing DNS checks.For popular websites DNS results may be cached for people in different parts of the world using many different recursive DNS resolvers. If you have recently made changes to your configuration and the TTL has not yet expired then some people may be receiving out of date results which could mean that they see an older version of your website.How long does DNS propagation take?How long DNS propagation takes usually depends on your records TTL setting. This can be anywhere from several minutes up to 48-72 hours or longer. However there are sometimes other reasons for a long propagation time.The main issues as to why DNS propagation can take so long are:DNS Cache - The Time to Live (TTL) is the duration in which DNS data is allowed to 'live' in the cache of a local device or DNS resolver. When this duration expires the local device or server removes existing DNS information and carries out another DNS lookup to fetch new information. Higher TTL settings can often cause a delay in DNS propagation.Internet Service Providers - Your ISP also caches DNS results which allows for many users to access sites faster. For every website requested they will ask the DNS server responsible only once but return the same result for many users. Some ISPs also overlook TTL rules keeping a cached DNS record even if the TTL has expired. This can make DNS propagation take longer than it should.Other DNS Servers - You may not be using your ISPs DNS server if this is the case then the same issues that may be causing delays can still apply.Domain Name Registrar - When changing web hosting or DNS providers for your domain it is often also required to update your authoritative name servers. These changes will need to be reflected in the corresponding TLD nameserver for your domain name. For example if you were to change the NS records for example.com then the .com TLD nameserver would also need to update which can cause delays in DNS propagation.How do you speed up DNS propagation?A technique used to speed up DNS propagation and prevent a delay is to lower your DNS records TTL a few days in advance of making any changes so that when the change is made any old records expire more quickly. Unfortunately most people who are having issues and trying to speed up DNS propagation only find this out after making changes and are wondering why they're not seeing instant results.If you have checked DNS globally and are seeing different results locally then you may consider flushing your DNS cache or using another DNS server. As a last resort manually overriding your local DNS entries in your systems hosts file can also be done but should be considered a temporary measure and only works for certain record types.What server types are used in a DNS check?There are 4 different types of DNS servers involved when performing a DNS check. Each has a different role and may not be needed at all depending on the situation having all these different server types is what contributes to DNS propagation issues.Recursive Resolver - The DNS server your device communicates with is called the recursive resolver and is issued to you automatically by your ISP but can be also configured on your router or individual devices. These DNS severs are ideally located in close geographical proximity to return results as fast as possible. These servers will cache a copy of the DNS results to speed up future DNS lookup requests.Root Name Server - This type of DNS server is responsible for returning the IP address of the TLD (Top Level Domain) nameserver. For instance if it is trying to resolve example.com the root name server returns the IP of the TLD name server that runs .com domains.TLD Name Server - This name server returns the authoritative name servers for each domain under the Top Level Domain it's responsible for.  The .com TLD name server will return results for example.com but not example.org.Authoritative Name Server - This stores DNS servers' configuration data for specific domain names.What happens when a DNS request is made?Below demonstrates the flow of events when a user requests to visit www.example.com in their web browser for the first time and does not yet have cached results. As you can see each step introduces the possibility of a DNS propagation delay.→ You type www.example.com into your web browser.→ Your device sends a request to your configured recursive resolver.→ The recursive resolver asks the root nameserver for the IP address of the TLD nameserver responsible for .com domains.← The root nameserver returns the IP address of the .com TLD nameserver to the recursive resolver.→ The recursive resolver asks the .com TLD nameserver for the address of the authoritative nameserver responsible for example.com.← The .com TLD nameserver returns the IP address of the authoritative nameserver to the recursive resolver.→ The recursive resolver asks the authoritative nameserver for the IP address of www.example.com.← The authoritative nameserver returns the IP address of www.example.com to the recursive resolver.← The recursive resolver returns IP address of www.example.com to the browser.→ Your browser makes a web request directly to the resolved IP address.Which DNS record types can be checked?You can check DNS propagation for common record types including:A - The most common DNS record used to point a domain to an IP address.CNAME - Also known as alias records they point to other DNS records. Sometimes used for subdomains like www.MX - Mail Exchanger records are used set email servers and their priority.NS - Name Server records store the authoritative nameserver.TXT - Text records are commonly used for configuration settings such as SPF and DKIM records.                        Additional types that can be checked which are usually used in more advanced configurations include:                        AAAA                        CAA                        PTR                        SOA and                        SRV.                    Make sure to check all your DNS recordsWhen checking DNS records there are often multiple record types that you need to verify are correct. For example websites sometimes include www or other subdomains as either an A or CNAME record and email servers use the MX record type.                            Check Another Record Type ↑                        or                            Check Another Domain ↑                        ...Support MeIf you find this service useful for checking DNS propagation please consider donating to help pay hosting costs and keeping the site up to date.                        Donate via PayPal                    DNS ToolsDNS CheckerDNS LookupReverse DNS LookupWhat's My IP Address?DNS GuidesDNS SecurityFlush DNSHosts FileDNS LookupA Record LookupAAAA Record LookupCAA Record LookupCNAME Record LookupMX Record LookupNS Record LookupPTR Record LookupSOA Record LookupSRV Record LookupTXT Record LookupArticles &amp; BlogDNS ArticlesDevelopment BlogDNS ServersGlobal DNS ServersAustralian DNS ServersFrance DNS ServersNew Zealand DNS ServersUnited Kingdom DNS ServersUnited States DNS Servers                    Browser Extension                 Chrome                        new                    Social MediaContactEmail: [email protected]Twitter: @whatsmydnsLegalPrivacy Policy</v>
      </c>
    </row>
    <row r="389">
      <c r="A389" s="1" t="s">
        <v>1218</v>
      </c>
      <c r="B389" s="1" t="s">
        <v>1334</v>
      </c>
      <c r="C389" s="1" t="s">
        <v>1335</v>
      </c>
      <c r="D389" s="1">
        <v>15.0</v>
      </c>
      <c r="E389" s="4" t="s">
        <v>1336</v>
      </c>
      <c r="F389" s="1" t="s">
        <v>43</v>
      </c>
      <c r="I389" s="2">
        <v>3.0</v>
      </c>
      <c r="J389" s="5" t="str">
        <f>IFERROR(__xludf.DUMMYFUNCTION("GOOGLETRANSLATE(A389)"),"DNS")</f>
        <v>DNS</v>
      </c>
      <c r="K389" s="6" t="str">
        <f>IFERROR(__xludf.DUMMYFUNCTION("GOOGLETRANSLATE(B389)"),"What is DNS? | Domains - GoDaddy Help US")</f>
        <v>What is DNS? | Domains - GoDaddy Help US</v>
      </c>
      <c r="L389" s="5" t="str">
        <f>IFERROR(__xludf.DUMMYFUNCTION("GOOGLETRANSLATE(C389)"),"The easiest way to access your DNS is to sign in to your GoDaddy Domain Portfolio, click or tap directly on your domain name and then select DNS. You should see ...")</f>
        <v>The easiest way to access your DNS is to sign in to your GoDaddy Domain Portfolio, click or tap directly on your domain name and then select DNS. You should see ...</v>
      </c>
      <c r="M389" s="5" t="str">
        <f>IFERROR(__xludf.DUMMYFUNCTION("GOOGLETRANSLATE(G389)"),"#VALUE!")</f>
        <v>#VALUE!</v>
      </c>
    </row>
    <row r="390">
      <c r="A390" s="1" t="s">
        <v>1218</v>
      </c>
      <c r="B390" s="1" t="s">
        <v>1337</v>
      </c>
      <c r="D390" s="1">
        <v>16.0</v>
      </c>
      <c r="E390" s="4" t="s">
        <v>1338</v>
      </c>
      <c r="F390" s="1" t="s">
        <v>43</v>
      </c>
      <c r="G390" s="1" t="s">
        <v>1339</v>
      </c>
      <c r="H390" s="4" t="s">
        <v>1340</v>
      </c>
      <c r="I390" s="2">
        <v>3.0</v>
      </c>
      <c r="J390" s="5" t="str">
        <f>IFERROR(__xludf.DUMMYFUNCTION("GOOGLETRANSLATE(A390)"),"DNS")</f>
        <v>DNS</v>
      </c>
      <c r="K390" s="6" t="str">
        <f>IFERROR(__xludf.DUMMYFUNCTION("GOOGLETRANSLATE(B390)"),"Cloud Delivered Enterprise Security by OpenDNS")</f>
        <v>Cloud Delivered Enterprise Security by OpenDNS</v>
      </c>
      <c r="L390" s="5" t="str">
        <f>IFERROR(__xludf.DUMMYFUNCTION("GOOGLETRANSLATE(C390)"),"#VALUE!")</f>
        <v>#VALUE!</v>
      </c>
      <c r="M390" s="5" t="str">
        <f>IFERROR(__xludf.DUMMYFUNCTION("GOOGLETRANSLATE(G390)"),"Cloud Delivered Enterprise Security by OpenDNSSkip to contentSkip to footerOpenDNS is now part of Cisco  Learn More About CiscoEnterprisePartnersConsumerAbout UsSearchSupportLoginDashboardEnterpriseMSP &amp; PartnersConsumerAbout UsSearchSupportLoginDashboard"&amp;"Improve YourInternetEnterprise SecurityCisco Umbrella provides protection against threats on the internet such as malware phishing and ransomware. Visit umbrella.cisco.comConsumerOpenDNS is a suite of consumer products aimed at making your internet faster"&amp;" safer and more reliable.Learn moreWhy users love OpenDNSDelivers faster more reliable home internetThanks to our global data centers and peering partnerships we shorten the routes between every network and our data centers–making your internet access eve"&amp;"n faster.Helps make the web a safer placeWith filtering or pre-configured protection you can safeguard your family against adult content and more. It’s the easiest way to add parental and content filtering controls to every device in your home.Easy to set"&amp;" upGet OpenDNS up and running in your home quickly and easily. PhD in Computer Science not required. Thanks to our helpful guides and knowledge base set up is a breeze.Who We AreData Center LocationsLearn MoreCommunitySpiceworksTwitterFacebookLinkedIn© Op"&amp;"enDNS 2023208.67.222.222 · 208.67.220.220Cisco Online Privacy StatementSitemap")</f>
        <v>Cloud Delivered Enterprise Security by OpenDNSSkip to contentSkip to footerOpenDNS is now part of Cisco  Learn More About CiscoEnterprisePartnersConsumerAbout UsSearchSupportLoginDashboardEnterpriseMSP &amp; PartnersConsumerAbout UsSearchSupportLoginDashboardImprove YourInternetEnterprise SecurityCisco Umbrella provides protection against threats on the internet such as malware phishing and ransomware. Visit umbrella.cisco.comConsumerOpenDNS is a suite of consumer products aimed at making your internet faster safer and more reliable.Learn moreWhy users love OpenDNSDelivers faster more reliable home internetThanks to our global data centers and peering partnerships we shorten the routes between every network and our data centers–making your internet access even faster.Helps make the web a safer placeWith filtering or pre-configured protection you can safeguard your family against adult content and more. It’s the easiest way to add parental and content filtering controls to every device in your home.Easy to set upGet OpenDNS up and running in your home quickly and easily. PhD in Computer Science not required. Thanks to our helpful guides and knowledge base set up is a breeze.Who We AreData Center LocationsLearn MoreCommunitySpiceworksTwitterFacebookLinkedIn© OpenDNS 2023208.67.222.222 · 208.67.220.220Cisco Online Privacy StatementSitemap</v>
      </c>
    </row>
    <row r="391">
      <c r="A391" s="1" t="s">
        <v>1218</v>
      </c>
      <c r="B391" s="1" t="s">
        <v>1341</v>
      </c>
      <c r="D391" s="1">
        <v>17.0</v>
      </c>
      <c r="E391" s="4" t="s">
        <v>1342</v>
      </c>
      <c r="F391" s="1" t="s">
        <v>43</v>
      </c>
      <c r="G391" s="1" t="s">
        <v>120</v>
      </c>
      <c r="H391" s="4" t="s">
        <v>121</v>
      </c>
      <c r="I391" s="2">
        <v>1.0</v>
      </c>
      <c r="J391" s="5" t="str">
        <f>IFERROR(__xludf.DUMMYFUNCTION("GOOGLETRANSLATE(A391)"),"DNS")</f>
        <v>DNS</v>
      </c>
      <c r="K391" s="6" t="str">
        <f>IFERROR(__xludf.DUMMYFUNCTION("GOOGLETRANSLATE(B391)"),"DNS SHOP - Apps on Google Play")</f>
        <v>DNS SHOP - Apps on Google Play</v>
      </c>
      <c r="L391" s="5" t="str">
        <f>IFERROR(__xludf.DUMMYFUNCTION("GOOGLETRANSLATE(C391)"),"#VALUE!")</f>
        <v>#VALUE!</v>
      </c>
      <c r="M391" s="5" t="str">
        <f>IFERROR(__xludf.DUMMYFUNCTION("GOOGLETRANSLATE(G391)"),"Android Apps on Google Playgoogle_logo PlayGamesAppsMovies &amp; TVBooksKidsnonesearchhelp_outline Sign in with Googleplay_appsLibrary &amp; devicespaymentPayments &amp; subscriptionsreviewsMy Play activityredeemOffersPlay PasssettingsSettingsPrivacy Policy • Terms o"&amp;"f ServiceGamesAppsMovies &amp; TVBooksKidsdesktop_windowsWindowsphone_androidPhonetablet_androidTablettvTVlaptop_chromebookChromebookwatchWatchComing soonCompete with up to 120 players on Call of Duty® : Warzone™ MobileCall of Duty®: Warzone™ MobileActivision"&amp;" Publishing Inc.•In-app purchasesUpdate availableUnlock 5-star character Furina and 4-star character CharlotteEmbark on quests in the new areasGenshin ImpactCOGNOSPHERE PTE. LTD.•InstallIn-app purchasesMeet the mysterious Vigilante Cynthia in the 7th anni"&amp;"versaryLiftoff with the Wingman helicoptersMafia CityPhantix Games•InstallIn-app purchasesJust releasedSILENT HILL: Ascension – now on PC with Google Play GamesReleased 11 days agoSILENT HILL: AscensionGenvid Entertainment LLC•InstallIn-app purchasesEssen"&amp;"tialsCan you escape with your wits?Perplexing escape room puzzlersSpotlightWeekly HighlightWhat we’re playing this weekUnpackingHumble Games•$9.99 BuyEssentialsFall in love with these autumn gamesGet cozy with seasonal favoritesUpdate availableComplete ch"&amp;"allenges to unlock a new champion in the Champion PassBeat levels to earn epic rewardsRAID: Shadow LegendsPlarium Global Ltd•InstallIn-app purchasesMerge items to help Jerome and Stanley win in the Farming FrenzyEarn points with the Agricultural ShowTowns"&amp;"hipPlayrix•InstallIn-app purchasesTrendingCelebrate Hello Kitty’s birthdaySay hello to these cute gamesNow availableExplore a cinematic time travel adventureUnravel mysteries through timeReverse: 1999Bluepoch Co.Ltd.•InstallIn-app purchasesSpotlightA Q&amp;A "&amp;"with Zoe Bell from NYT GamesAll about ConnectionsNYT Games: Word Games &amp; SudokuThe New York Times Company•InstallIn-app purchasesEssentialsGames for aspiring developersHarness your creativitySpotlightThe latest and greatest on PlayPicks from the Play Edit"&amp;"orsNow availableUncover the secrets of the Forbidden TowersRescue the RealmDungeon Hunter 6GOAT Games•InstallIn-app purchasesTrendingMarvelous games for The Marvels fansTeam up and save the universeUpdate availableImmerse yourself in Greek culture with Ju"&amp;"ne in Travels Season 1Earn trip tokens and prizesJune's Journey: Hidden ObjectsWooga•InstallIn-app purchasesJust releasedFree Fire MAX – now on PC with Google Play GamesGet in on the actionFree Fire MAXGarena International I•InstallIn-app purchasesStylize"&amp;"d gamesGame of Thrones: Conquest ™Strategy4.0starSubway SurfersArcade4.6starToca Life World: Build a StoryEducational4.3starAmong UsAction3.7starFree Fire: WinterlandsAction4.1starPokémon GOAdventure4.1starMy Perfect HotelArcade4.4starMy Talking Angela 2C"&amp;"asual4.4starRoyal MatchPuzzle4.6starRace Master 3D - Car RacingRacing4.4starMatch Masters ‎- PvP Match 3Casual4.5starClash RoyaleStrategy4.2starRetro BowlSports4.7starPopular gamesMONOPOLY GO!Board4.6starGeometry Dash LiteArcade4.4starMagic Tiles 3Music3."&amp;"9starFree Fire: WinterlandsAction4.1starPokémon GOAdventure4.1starStumble GuysAction4.3star8 Ball PoolSports4.5starCandy Crush SagaCasual4.6starAsphalt 9: LegendsRacing4.5starWordscapesWord4.5starCall of Duty: Mobile Season 10Action4.3starMy Perfect Hotel"&amp;"Arcade4.4starMadden NFL 24 Mobile FootballSports4.3starMy Talking Angela 2Casual4.4starHappy Color®: Coloring BookBoard4.6starRoyal MatchPuzzle4.6starMy Talking Tom 2Casual4.3starRace Master 3D - Car RacingRacing4.4starMatch Masters ‎- PvP Match 3Casual4."&amp;"5starAmong UsAction3.7starEvents happening nowUpdate availablePoison Stun or Sleep? Will your monsters survive these riddle-like battles?A new tournament has begun! Plunge into a tournament of the ages where you will battle legendary opponents in riddle-l"&amp;"ike battles!Will the prowess of your monsters and the arsenal of your skills prove sufficient or will you call on a fellow warrior’s might to solve that last enigma?Neo MonstersZigZaGame Inc.•InstallIn-app purchasesUpdate availableLittle Prince Big Troubl"&amp;"e! Unlock a Free Champion!A new Champion Enters the Arena!Create chaos with Little Prince's crossbow and summon his Guardian to protect him! Unlock the new Champion for Free!Clash RoyaleSupercell•InstallIn-app purchasesUpdate availableKuromi invading the "&amp;"PK XD Universe! She looks like a villain but she's not!Even though she looks radical Kuromi is super cute. And along with her arrival PK XD has a lot of news. The Kuromi house has arrived with everything! And what does it look like inside? Take the opport"&amp;"unity to update your home decor with Kuromi's style and theme. Have a mischievous and charming space! For those who like dark clothes but with shades of pink and purple take advantage of the stylish looks. And don't forget to check out and play Fashion St"&amp;"ar with Kuromi's coolest clothes.PK XD: Fun friends &amp; gamesAfterverse Games•InstallIn-app purchasesUpdate availableBluey Coloring Pages for KidsOh! Coloring! Let me get my markers! Use any color you like anywhere you want! What colorful creations will you"&amp;" make?Bluey: Let's Play!Budge Studios•InstallIn-app purchasesSpongeBob is taking over with his jellyfishing and bubble floating fun!Are you ready Stumblers for some more fun with our newest SpongeBob Race map! Explore a map filled with SpongeBob-themed ea"&amp;"ster eggs and tackle the shocking Jellyfish obstacles. Don't forget about the bubble that lets you float your way to victory. Dive into the ultimate SpongeBob adventure in Stumble Guys before this epic event ends now!Stumble GuysScopely•InstallIn-app purc"&amp;"hasesEnjoy a fun virtual holiday adventure and Thanksgiving getaway at the Tizi HotelEmbark on a memorable Thanksgiving journey with Tizi Hotel Games! Our virtual hotel beach and holiday-themed adventures are here to make your holiday special. Create uniq"&amp;"ue characters unwind with a fun stay at the hotel soak in the sun and play on the beach and immerse yourself in the spirit of the season. Role-play create heartwarming stories and celebrate Thanksgiving with joy. Experience the warmth and togetherness cre"&amp;"ate memories and celebrate in style. Happy Thanksgiving!Tizi Town - My Hotel GamesTizi Town Games•InstallIn-app purchasesEnds in 5dEnjoy a pamper day of deals and fun!Get ready to celebrate Singles' Day a day all about self-love and independence! Explore "&amp;"exclusive in-app events unlock rewards and enjoy a day that's all about you. Happy Singles' Day from Mr. Monopoly and friends!MONOPOLY GO!Scopely•InstallIn-app purchasesDiwali EventWe have new decals and new patterns inspired by Diwali to customize your a"&amp;"ircraft for a limited time!Sky Warriors: Airplane GamesWildlife Studios•InstallIn-app purchasesIt's a new season of giving in Cookie Jam!Cookie Jam's oven-fresh start to the new season! Indulge in fall flavors all November long and join in on this cozy pa"&amp;"stry perfection for sweet new rewards and prizes!Cookie Jam™ Match 3 GamesJam City Inc.•InstallIn-app purchasesMultiplayer gamesPokémon GOAdventure4.1star8 Ball PoolSports4.5starAsphalt 9: LegendsRacing4.5starCall of Duty: Mobile Season 10Action4.3starMat"&amp;"ch Masters ‎- PvP Match 3Casual4.5starClash RoyaleStrategy4.2starEA SPORTS FC™ Mobile SoccerSports4.4starEvony: The King's ReturnStrategy3.6starSupreme Duelist StickmanAction4.6starInfinity 8 Ball™ Pool KingSports4.4starMinecraftArcade4.5star$6.99Block Cr"&amp;"aft 3D：Building GameArcade4.3starFree Fire: WinterlandsAction4.1starSimulation gamesMy Perfect HotelArcade4.4starMy Talking Angela 2Casual4.4starAvatar World: City LifeRole Playing4.7starToca Boca JrEducational4.1starTownshipCasual4.7starSolar SmashSimula"&amp;"tion4.6starBluey: Let's Play!Casual4.1starMinecraftArcade4.5star$6.99Block Craft 3D：Building GameArcade4.3starIdle Miner Tycoon: Gold &amp; CashSimulation4.5starMy Singing MonstersMusic4.8starSpongeBob Adventures: In A JamNew•Simulation4.4starPouCasual4.4star"&amp;"Casual gamesRoyal MatchPuzzle4.6starMatch Masters ‎- PvP Match 3Casual4.5starRetro BowlSports4.7starAvatar World: City LifeRole Playing4.7starEA SPORTS FC™ Mobile SoccerSports4.4starClash RoyaleStrategy4.2starGoogle PlayPlay PassPlay PointsGift cardsRedee"&amp;"mRefund policyKids &amp; familyParent GuideFamily sharingTerms of ServicePrivacyAbout Google PlayDevelopersGoogle StoreUnited States (English (United States))")</f>
        <v>Android Apps on Google Playgoogle_logo PlayGamesAppsMovies &amp; TVBooksKidsnonesearchhelp_outline Sign in with Googleplay_appsLibrary &amp; devicespaymentPayments &amp; subscriptionsreviewsMy Play activityredeemOffersPlay PasssettingsSettingsPrivacy Policy • Terms of ServiceGamesAppsMovies &amp; TVBooksKidsdesktop_windowsWindowsphone_androidPhonetablet_androidTablettvTVlaptop_chromebookChromebookwatchWatchComing soonCompete with up to 120 players on Call of Duty® : Warzone™ MobileCall of Duty®: Warzone™ MobileActivision Publishing Inc.•In-app purchasesUpdate availableUnlock 5-star character Furina and 4-star character CharlotteEmbark on quests in the new areasGenshin ImpactCOGNOSPHERE PTE. LTD.•InstallIn-app purchasesMeet the mysterious Vigilante Cynthia in the 7th anniversaryLiftoff with the Wingman helicoptersMafia CityPhantix Games•InstallIn-app purchasesJust releasedSILENT HILL: Ascension – now on PC with Google Play GamesReleased 11 days agoSILENT HILL: AscensionGenvid Entertainment LLC•InstallIn-app purchasesEssentialsCan you escape with your wits?Perplexing escape room puzzlersSpotlightWeekly HighlightWhat we’re playing this weekUnpackingHumble Games•$9.99 BuyEssentialsFall in love with these autumn gamesGet cozy with seasonal favoritesUpdate availableComplete challenges to unlock a new champion in the Champion PassBeat levels to earn epic rewardsRAID: Shadow LegendsPlarium Global Ltd•InstallIn-app purchasesMerge items to help Jerome and Stanley win in the Farming FrenzyEarn points with the Agricultural ShowTownshipPlayrix•InstallIn-app purchasesTrendingCelebrate Hello Kitty’s birthdaySay hello to these cute gamesNow availableExplore a cinematic time travel adventureUnravel mysteries through timeReverse: 1999Bluepoch Co.Ltd.•InstallIn-app purchasesSpotlightA Q&amp;A with Zoe Bell from NYT GamesAll about ConnectionsNYT Games: Word Games &amp; SudokuThe New York Times Company•InstallIn-app purchasesEssentialsGames for aspiring developersHarness your creativitySpotlightThe latest and greatest on PlayPicks from the Play EditorsNow availableUncover the secrets of the Forbidden TowersRescue the RealmDungeon Hunter 6GOAT Games•InstallIn-app purchasesTrendingMarvelous games for The Marvels fansTeam up and save the universeUpdate availableImmerse yourself in Greek culture with June in Travels Season 1Earn trip tokens and prizesJune's Journey: Hidden ObjectsWooga•InstallIn-app purchasesJust releasedFree Fire MAX – now on PC with Google Play GamesGet in on the actionFree Fire MAXGarena International I•InstallIn-app purchasesStylized gamesGame of Thrones: Conquest ™Strategy4.0starSubway SurfersArcade4.6starToca Life World: Build a StoryEducational4.3starAmong UsAction3.7starFree Fire: WinterlandsAction4.1starPokémon GOAdventure4.1starMy Perfect HotelArcade4.4starMy Talking Angela 2Casual4.4starRoyal MatchPuzzle4.6starRace Master 3D - Car RacingRacing4.4starMatch Masters ‎- PvP Match 3Casual4.5starClash RoyaleStrategy4.2starRetro BowlSports4.7starPopular gamesMONOPOLY GO!Board4.6starGeometry Dash LiteArcade4.4starMagic Tiles 3Music3.9starFree Fire: WinterlandsAction4.1starPokémon GOAdventure4.1starStumble GuysAction4.3star8 Ball PoolSports4.5starCandy Crush SagaCasual4.6starAsphalt 9: LegendsRacing4.5starWordscapesWord4.5starCall of Duty: Mobile Season 10Action4.3starMy Perfect HotelArcade4.4starMadden NFL 24 Mobile FootballSports4.3starMy Talking Angela 2Casual4.4starHappy Color®: Coloring BookBoard4.6starRoyal MatchPuzzle4.6starMy Talking Tom 2Casual4.3starRace Master 3D - Car RacingRacing4.4starMatch Masters ‎- PvP Match 3Casual4.5starAmong UsAction3.7starEvents happening nowUpdate availablePoison Stun or Sleep? Will your monsters survive these riddle-like battles?A new tournament has begun! Plunge into a tournament of the ages where you will battle legendary opponents in riddle-like battles!Will the prowess of your monsters and the arsenal of your skills prove sufficient or will you call on a fellow warrior’s might to solve that last enigma?Neo MonstersZigZaGame Inc.•InstallIn-app purchasesUpdate availableLittle Prince Big Trouble! Unlock a Free Champion!A new Champion Enters the Arena!Create chaos with Little Prince's crossbow and summon his Guardian to protect him! Unlock the new Champion for Free!Clash RoyaleSupercell•InstallIn-app purchasesUpdate availableKuromi invading the PK XD Universe! She looks like a villain but she's not!Even though she looks radical Kuromi is super cute. And along with her arrival PK XD has a lot of news. The Kuromi house has arrived with everything! And what does it look like inside? Take the opportunity to update your home decor with Kuromi's style and theme. Have a mischievous and charming space! For those who like dark clothes but with shades of pink and purple take advantage of the stylish looks. And don't forget to check out and play Fashion Star with Kuromi's coolest clothes.PK XD: Fun friends &amp; gamesAfterverse Games•InstallIn-app purchasesUpdate availableBluey Coloring Pages for KidsOh! Coloring! Let me get my markers! Use any color you like anywhere you want! What colorful creations will you make?Bluey: Let's Play!Budge Studios•InstallIn-app purchasesSpongeBob is taking over with his jellyfishing and bubble floating fun!Are you ready Stumblers for some more fun with our newest SpongeBob Race map! Explore a map filled with SpongeBob-themed easter eggs and tackle the shocking Jellyfish obstacles. Don't forget about the bubble that lets you float your way to victory. Dive into the ultimate SpongeBob adventure in Stumble Guys before this epic event ends now!Stumble GuysScopely•InstallIn-app purchasesEnjoy a fun virtual holiday adventure and Thanksgiving getaway at the Tizi HotelEmbark on a memorable Thanksgiving journey with Tizi Hotel Games! Our virtual hotel beach and holiday-themed adventures are here to make your holiday special. Create unique characters unwind with a fun stay at the hotel soak in the sun and play on the beach and immerse yourself in the spirit of the season. Role-play create heartwarming stories and celebrate Thanksgiving with joy. Experience the warmth and togetherness create memories and celebrate in style. Happy Thanksgiving!Tizi Town - My Hotel GamesTizi Town Games•InstallIn-app purchasesEnds in 5dEnjoy a pamper day of deals and fun!Get ready to celebrate Singles' Day a day all about self-love and independence! Explore exclusive in-app events unlock rewards and enjoy a day that's all about you. Happy Singles' Day from Mr. Monopoly and friends!MONOPOLY GO!Scopely•InstallIn-app purchasesDiwali EventWe have new decals and new patterns inspired by Diwali to customize your aircraft for a limited time!Sky Warriors: Airplane GamesWildlife Studios•InstallIn-app purchasesIt's a new season of giving in Cookie Jam!Cookie Jam's oven-fresh start to the new season! Indulge in fall flavors all November long and join in on this cozy pastry perfection for sweet new rewards and prizes!Cookie Jam™ Match 3 GamesJam City Inc.•InstallIn-app purchasesMultiplayer gamesPokémon GOAdventure4.1star8 Ball PoolSports4.5starAsphalt 9: LegendsRacing4.5starCall of Duty: Mobile Season 10Action4.3starMatch Masters ‎- PvP Match 3Casual4.5starClash RoyaleStrategy4.2starEA SPORTS FC™ Mobile SoccerSports4.4starEvony: The King's ReturnStrategy3.6starSupreme Duelist StickmanAction4.6starInfinity 8 Ball™ Pool KingSports4.4starMinecraftArcade4.5star$6.99Block Craft 3D：Building GameArcade4.3starFree Fire: WinterlandsAction4.1starSimulation gamesMy Perfect HotelArcade4.4starMy Talking Angela 2Casual4.4starAvatar World: City LifeRole Playing4.7starToca Boca JrEducational4.1starTownshipCasual4.7starSolar SmashSimulation4.6starBluey: Let's Play!Casual4.1starMinecraftArcade4.5star$6.99Block Craft 3D：Building GameArcade4.3starIdle Miner Tycoon: Gold &amp; CashSimulation4.5starMy Singing MonstersMusic4.8starSpongeBob Adventures: In A JamNew•Simulation4.4starPouCasual4.4starCasual gamesRoyal MatchPuzzle4.6starMatch Masters ‎- PvP Match 3Casual4.5starRetro BowlSports4.7starAvatar World: City LifeRole Playing4.7starEA SPORTS FC™ Mobile SoccerSports4.4starClash RoyaleStrategy4.2starGoogle PlayPlay PassPlay PointsGift cardsRedeemRefund policyKids &amp; familyParent GuideFamily sharingTerms of ServicePrivacyAbout Google PlayDevelopersGoogle StoreUnited States (English (United States))</v>
      </c>
    </row>
    <row r="392">
      <c r="A392" s="1" t="s">
        <v>1218</v>
      </c>
      <c r="B392" s="1" t="s">
        <v>1343</v>
      </c>
      <c r="C392" s="1" t="s">
        <v>1344</v>
      </c>
      <c r="D392" s="1">
        <v>29.0</v>
      </c>
      <c r="E392" s="4" t="s">
        <v>1345</v>
      </c>
      <c r="F392" s="1" t="s">
        <v>43</v>
      </c>
      <c r="G392" s="1" t="s">
        <v>1346</v>
      </c>
      <c r="H392" s="4" t="s">
        <v>1347</v>
      </c>
      <c r="I392" s="2">
        <v>3.0</v>
      </c>
      <c r="J392" s="5" t="str">
        <f>IFERROR(__xludf.DUMMYFUNCTION("GOOGLETRANSLATE(A392)"),"DNS")</f>
        <v>DNS</v>
      </c>
      <c r="K392" s="6" t="str">
        <f>IFERROR(__xludf.DUMMYFUNCTION("GOOGLETRANSLATE(B392)"),"DNS Performance - Compare the speed and uptime of ...")</f>
        <v>DNS Performance - Compare the speed and uptime of ...</v>
      </c>
      <c r="L392" s="5" t="str">
        <f>IFERROR(__xludf.DUMMYFUNCTION("GOOGLETRANSLATE(C392)"),"Compare the speed and uptime of enterprise and commercial DNS services.")</f>
        <v>Compare the speed and uptime of enterprise and commercial DNS services.</v>
      </c>
      <c r="M392" s="5" t="str">
        <f>IFERROR(__xludf.DUMMYFUNCTION("GOOGLETRANSLATE(G392)"),"DNS Performance - Compare the speed and uptime of enterprise and commercial DNS services | DNSPerfToggle navigationMENUCLOSEGet premiumDNS Performance &amp; UptimeAuthoritative DNS ProvidersPublic DNS ResolversDNS Root ServersDNS Providers All DNS ProvidersTo"&amp;"ols DNS Propagation checkerDNS Speed BenchmarkNetworkGet premiumDNS Performance Analytics and ComparisonFind the fastest and most reliable DNS for free based on millions of testsData powered by:How we measure DNS PerformanceAll DNS providers are tested ev"&amp;"ery minute from 200+ locations globally. All tests are over IPv4 with a 1-second timeout. The public data is updated once per hour but contact us for real-time data.Authoritative DNS providersPublic DNS resolversDNS Root ServersDNS ProvidersLocation:World"&amp;"Period:Last 30 daysType:Raw Performance                            Resolver                                Simulation                            UptimeQualityFilters DNS ResolversLocation:WorldPeriod:Last 30 daysType:Raw Performance                       "&amp;"     UptimeQualityFilters DNS Root ServersLocation:WorldPeriod:Last 30 daysType:Raw PerformanceUptimeQualityFilters  Find out when DNSPerf and CDNPerf release new features and toolsWe rarely send messages only when we have important news to share. No spam"&amp;" or annoying emails.We rarely send messages only when we have important news to share. No spam or annoying emails.Our other projects:Get in touch will@perfops.netMedia© 2020 PerfOps Sp z.o.o. All rights reserved.")</f>
        <v>DNS Performance - Compare the speed and uptime of enterprise and commercial DNS services | DNSPerfToggle navigationMENUCLOSEGet premiumDNS Performance &amp; UptimeAuthoritative DNS ProvidersPublic DNS ResolversDNS Root ServersDNS Providers All DNS ProvidersTools DNS Propagation checkerDNS Speed BenchmarkNetworkGet premiumDNS Performance Analytics and ComparisonFind the fastest and most reliable DNS for free based on millions of testsData powered by:How we measure DNS PerformanceAll DNS providers are tested every minute from 200+ locations globally. All tests are over IPv4 with a 1-second timeout. The public data is updated once per hour but contact us for real-time data.Authoritative DNS providersPublic DNS resolversDNS Root ServersDNS ProvidersLocation:WorldPeriod:Last 30 daysType:Raw Performance                            Resolver                                Simulation                            UptimeQualityFilters DNS ResolversLocation:WorldPeriod:Last 30 daysType:Raw Performance                            UptimeQualityFilters DNS Root ServersLocation:WorldPeriod:Last 30 daysType:Raw PerformanceUptimeQualityFilters  Find out when DNSPerf and CDNPerf release new features and toolsWe rarely send messages only when we have important news to share. No spam or annoying emails.We rarely send messages only when we have important news to share. No spam or annoying emails.Our other projects:Get in touch will@perfops.netMedia© 2020 PerfOps Sp z.o.o. All rights reserved.</v>
      </c>
    </row>
    <row r="393">
      <c r="A393" s="1" t="s">
        <v>1218</v>
      </c>
      <c r="B393" s="1" t="s">
        <v>1348</v>
      </c>
      <c r="C393" s="1" t="s">
        <v>1349</v>
      </c>
      <c r="D393" s="1">
        <v>34.0</v>
      </c>
      <c r="E393" s="4" t="s">
        <v>1350</v>
      </c>
      <c r="F393" s="1" t="s">
        <v>43</v>
      </c>
      <c r="I393" s="2">
        <v>3.0</v>
      </c>
      <c r="J393" s="5" t="str">
        <f>IFERROR(__xludf.DUMMYFUNCTION("GOOGLETRANSLATE(A393)"),"DNS")</f>
        <v>DNS</v>
      </c>
      <c r="K393" s="6" t="str">
        <f>IFERROR(__xludf.DUMMYFUNCTION("GOOGLETRANSLATE(B393)"),"the Internet's Fastest, Privacy-First DNS Resolver - WARP")</f>
        <v>the Internet's Fastest, Privacy-First DNS Resolver - WARP</v>
      </c>
      <c r="L393" s="5" t="str">
        <f>IFERROR(__xludf.DUMMYFUNCTION("GOOGLETRANSLATE(C393)"),"Setup on Android · Open System Preferences. · Search for DNS Servers and select it from the dropdown. · Click the + button to add a DNS Server and enter 1.1.1.1 ...")</f>
        <v>Setup on Android · Open System Preferences. · Search for DNS Servers and select it from the dropdown. · Click the + button to add a DNS Server and enter 1.1.1.1 ...</v>
      </c>
      <c r="M393" s="5" t="str">
        <f>IFERROR(__xludf.DUMMYFUNCTION("GOOGLETRANSLATE(G393)"),"#VALUE!")</f>
        <v>#VALUE!</v>
      </c>
    </row>
    <row r="394">
      <c r="A394" s="1" t="s">
        <v>1351</v>
      </c>
      <c r="B394" s="1" t="s">
        <v>1352</v>
      </c>
      <c r="C394" s="1" t="s">
        <v>1353</v>
      </c>
      <c r="D394" s="1">
        <v>1.0</v>
      </c>
      <c r="E394" s="4" t="s">
        <v>1354</v>
      </c>
      <c r="F394" s="1" t="s">
        <v>16</v>
      </c>
      <c r="G394" s="1" t="s">
        <v>31</v>
      </c>
      <c r="H394" s="4" t="s">
        <v>32</v>
      </c>
      <c r="I394" s="2">
        <v>2.0</v>
      </c>
      <c r="J394" s="5" t="str">
        <f>IFERROR(__xludf.DUMMYFUNCTION("GOOGLETRANSLATE(A394)"),"Inna Churikova")</f>
        <v>Inna Churikova</v>
      </c>
      <c r="K394" s="6" t="str">
        <f>IFERROR(__xludf.DUMMYFUNCTION("GOOGLETRANSLATE(B394)"),"Churikova, Inna Mikhailovna")</f>
        <v>Churikova, Inna Mikhailovna</v>
      </c>
      <c r="L394" s="5" t="str">
        <f>IFERROR(__xludf.DUMMYFUNCTION("GOOGLETRANSLATE(C394)"),"Inna Mikhailovna Churikova (October 5, 1943, Belebey, Bashkir ASSR - January 14, 2023, Moscow) - Sovetskaya and Russian actress theater and cinema; ...")</f>
        <v>Inna Mikhailovna Churikova (October 5, 1943, Belebey, Bashkir ASSR - January 14, 2023, Moscow) - Sovetskaya and Russian actress theater and cinema; ...</v>
      </c>
      <c r="M394" s="5" t="str">
        <f>IFERROR(__xludf.DUMMYFUNCTION("GOOGLETRANSLATE(G394)"),"Wikipedia is a free encyclopedias of the Wikipedia - free encyclopediato stable version of April 1, 2023. Remember to navigate to search for a Wikipedia Encyclopedia that everyone can edit. 57 articles in Russian. Create an article -elected article - High"&amp;" unhealthy gates at the entrance to Shinto shrines, a recognizable symbol of syntosintoism Shinto (Jap. 神道 Shinto: “Way of the Gods”) is the traditional polytheistic religion of Japan based on the animistic beliefs of the ancient Japanese. The objects of "&amp;"worship are kami - numerous deities and souls of the dead; Kami can stand behind natural objects. Shintoism has a developed temple system and a number of rituals common to many synthoids. At the same time, there are no complex theology of ethical prescrip"&amp;"tions and canonized scripture. Synthoists value manuscripts “Kodziki” (712) “Nikhon Shoki” (720) and some other creators of which documented the details of the mythology and rituals of the ancient Japanese. The worship of kami can take place in sanctuarie"&amp;"s (Dzinja). The architecture of Shinto temples was able to maintain the main features despite the influence of Buddhism. The duties of Cannus (priests) include the departure of rituals to maintain temples and hold the holidays (Matsuri). The churches also"&amp;" serve women who play the role of assistants. For synthoidism, religious practices and not a doctrine play a paramount role. Shintoists interact with kami through prayers (nirito) and offers. In the course of his life, a person is filled with Kabara (bad)"&amp;". To get rid of it, you need to go through the rituals of purification - Misogi or Harae. An important part of Shintoism is Matsuri that are calculated by thousands. The largest of them collect up to hundreds of thousands of spectators. Religions experien"&amp;"ced a significant influence of Buddhism after its penetration into Japan around the VI century BC. e. Buddhist temples were built closely with Shinto, many syncretic teachings united Shinto and Buddhist traditions. There was even an opinion that Shintoism"&amp;" for a long time was only a branch of Buddhism. In the future, Shintoism experienced the influence of Kokugak's ideas that proclaimed the uniqueness and superiority of Japanese culture. Supporters of the movement investigated syntosism trying to highlight"&amp;" the ancient Japanese elements in it and make it part of the national revival. The ideas of Kokugaku were put into practice after the restoration of Meiji, Its elements are reflected in known mangs and anime and also appear in computer games. Reading 1836"&amp;" selected articles of the Statesdidatata, a patterned subtract of the camaronepid postcard with the image of the battle of Kamaron. Unknown author. Generation under Kamaron (Spanish Batalla de Camarón) or Cameron (Fr. Bataille de Camerone)- the battle bet"&amp;"ween the company of the French foreign legion and the Mexican troops during the French intervention in Mexico that occurred on April 30, 1863 near the Mexican village of Kamaron- De-Gededa (now Verakrus) and lasted more than 10 hours. The patrol of legion"&amp;"naires with a number of 65 people at the head of which was Captain Jean Danju and Lieutenants Napoleon Wilen [FR] and Cleman Mode [FR] was attacked by the superior forces of the Mexican army. The legionnaires repelled two attacks of the Mexicans and retre"&amp;"ated in Asenda Kamaron, taking up defense there. They refused the proposal to surrender and joined the battle. During the day, they repelled attacks of superior enemy forces numbering up to 2 thousand people. Read 4589 good articles of the Statikandis, a "&amp;"statTomatic image of the subsequent list of the list of heads of the SSSID-Docial-Medial List of the Government Chapters of the Nigerd-Emergent Listing Distribution School of Calove-Salary Callestarm -Hersi against the background of the evening Nizaak Cap"&amp;"e May [en] In New Jersey against the backdrop of the evening, the non-bore of the template of new materials, do you know? Hava Abdisomali human rights activist (on ill.) Saved about 90,000 people. and Mandarin Lai-on-luna. The Persians had its own farmole"&amp;"s and Leon. Samama, the first part of the trilogy, perhaps the first part of the trilogy. The festive procession on St. Stefan's Day in the city of Dingl of the British Islands began with a hunting for the urticiper (on Ill. ). The developers of Crash Ban"&amp;"dicoot called their project “a game about the ass of Sonic”. Non -Zealand farmers suffered from exploding trousers. The site of female nudity and sex in the cinema is not pornographic. The Medial of the Guard Davisedic Medal (on ill.) The Confederative st"&amp;"ates of America was made by a Catholic priest from Mexican coins. The worshiping crazy head served for three days in prison for refusing to go to military service. Sezanne recognized himself in the insane artist Balzac. In the modern opera, everything is "&amp;"pronounced not at all as it is written. To provide an architectural examination with the temporary events of the Actual in Gaza (hostages) of Russia's invasion of Ukraine to Ukraine (November) World Championships (sambo · Cryak) | The recently deceased Co"&amp;"stapremir-minister of Portugal Antoniu Kosta (on the ill.) Fired due to corruption investigation. At least 153 people took away the lives in Nepal. The release of the Groll group The Beatles “Now and the” song was created using John Lennon's artificial in"&amp;"telligence based on the archive demos of the NASA “Lucy” performed a pass by the asteroid (152830) Dankinesh of the first mission's goal, that the asteroid is double and the satellite asteroid consists of two contacting parts representing a contact dual s"&amp;"ystem. Pakistan began a massive deportation Afgantsev. Golden Ball Held to France Football by Lionel Messi (among men) and Aitan Bonmati (among women). Frontary current events of the Candidatyrechwright, this day is November Battle of Guadalcanal930 - the"&amp;" oldest parliament in the world - Icelandic alting168 - Lesisto - Lesisto Fer Showles from Wisconsin patented the writing machine1888 - at the festival of printers in Lille performed by the working choir, the “International” 1927 was first sounded - Leo T"&amp;"rotsky was excluded from the CPSU (b) 1941 - the Red Army first used the skiers for attacks on the freezing German troops1942 - the marine battle of Guadalkanal began (on Photo) 1944 - British Air Force, using the special bombs “Tolbo”, sank the German ba"&amp;"ttleship “Tirpitz” 1982 - the General of the Central Committee of the CPSU, after the death of Leonid Brezhnev, was elected Yuri Andropov Revitov Read the Templar Work of the week -imprisoned all those who wish to take part in the work on the University o"&amp;"f the Oxford Regional Committee of the CPSU as well as also Chinese patriotic songs. {{{Oxford University}} {{Chinese patriotic songs}} Also participate in the ""Tanzani week."" Candidaty -testing of the template is located on the servers of the Vikimedia"&amp;" Foundation - a non -profit organization also providing a number of other projectovikioslovikiyaslovyglovyglovystviki nickname Textbooks of Tekstovikinovoi Library news Storage Media-Filovykigid Putor-for-casual knowledge of the Knowledge Base Viddovikids"&amp;" Biological Tydimeta-Viki Coordination of the Mosema-Disaders Vicki-Modelovka-https://ru.wikipedia.org/w/index.php?title=129560842sk : Wikipedia: Pages with an hourly cleansed Cashshtigation Personal tools did not introduce the system accounting records o"&amp;"f the INSURE -WITHER -WITHOUGHTENSENCED VESSESSION OF CHOOK CODISTICTIONSHICHOUSHIPENAVIASHING PASSENTION OF POLYSISE OF EMPLOY OF THE EVENSIONARY WITHING OF THE MISTOMISE OF THE MISTOMICACE OF THE MISTOMPECACE OF THE EXPERTISHING OF PARTS OF PARTS SPARIS"&amp;"SIPARESS SPIRITIONS. Reference of page to page to the page to be reduced by the abbreviated URL address of Wikidannya/Exporting as a pdfversion for printing other projects vi-wikimedia found-dimensional-vikimedia Outreach-language vikidian-in-chief tztivi"&amp;"kimaniykinikinovikovikovikovikovikovikovikovikoviki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한"&amp;"국어 lietuviųlatviešunedsnorsk Bokmóliroronepolskiportuguuffuguxromânăsaha Voysrpski / srpskisvenskatürksetatari / tatarç Ukrainian ếng việt 中文 This page was last edited on April 1, 2023 at 04: 13. indicating authorship-with the preservation of conditions ”"&amp;"(CC by-SA); In some cases, additional conditions can act. See the conditions of use. Wikipedia® - a registered trademark of the non -profit organization Vikimedia Foundation (Wikimedia Foundation Inc.) Policy of Privacy Policy of Vikipediotis from liabili"&amp;"ty with namikodex behaviors of the design of the design of the design of the cuckold version")</f>
        <v>Wikipedia is a free encyclopedias of the Wikipedia - free encyclopediato stable version of April 1, 2023. Remember to navigate to search for a Wikipedia Encyclopedia that everyone can edit. 57 articles in Russian. Create an article -elected article - High unhealthy gates at the entrance to Shinto shrines, a recognizable symbol of syntosintoism Shinto (Jap. 神道 Shinto: “Way of the Gods”) is the traditional polytheistic religion of Japan based on the animistic beliefs of the ancient Japanese. The objects of worship are kami - numerous deities and souls of the dead; Kami can stand behind natural objects. Shintoism has a developed temple system and a number of rituals common to many synthoids. At the same time, there are no complex theology of ethical prescriptions and canonized scripture. Synthoists value manuscripts “Kodziki” (712) “Nikhon Shoki” (720) and some other creators of which documented the details of the mythology and rituals of the ancient Japanese. The worship of kami can take place in sanctuaries (Dzinja). The architecture of Shinto temples was able to maintain the main features despite the influence of Buddhism. The duties of Cannus (priests) include the departure of rituals to maintain temples and hold the holidays (Matsuri). The churches also serve women who play the role of assistants. For synthoidism, religious practices and not a doctrine play a paramount role. Shintoists interact with kami through prayers (nirito) and offers. In the course of his life, a person is filled with Kabara (bad). To get rid of it, you need to go through the rituals of purification - Misogi or Harae. An important part of Shintoism is Matsuri that are calculated by thousands. The largest of them collect up to hundreds of thousands of spectators. Religions experienced a significant influence of Buddhism after its penetration into Japan around the VI century BC. e. Buddhist temples were built closely with Shinto, many syncretic teachings united Shinto and Buddhist traditions. There was even an opinion that Shintoism for a long time was only a branch of Buddhism. In the future, Shintoism experienced the influence of Kokugak's ideas that proclaimed the uniqueness and superiority of Japanese culture. Supporters of the movement investigated syntosism trying to highlight the ancient Japanese elements in it and make it part of the national revival. The ideas of Kokugaku were put into practice after the restoration of Meiji, Its elements are reflected in known mangs and anime and also appear in computer games. Reading 1836 selected articles of the Statesdidatata, a patterned subtract of the camaronepid postcard with the image of the battle of Kamaron. Unknown author. Generation under Kamaron (Spanish Batalla de Camarón) or Cameron (Fr. Bataille de Camerone)- the battle between the company of the French foreign legion and the Mexican troops during the French intervention in Mexico that occurred on April 30, 1863 near the Mexican village of Kamaron- De-Gededa (now Verakrus) and lasted more than 10 hours. The patrol of legionnaires with a number of 65 people at the head of which was Captain Jean Danju and Lieutenants Napoleon Wilen [FR] and Cleman Mode [FR] was attacked by the superior forces of the Mexican army. The legionnaires repelled two attacks of the Mexicans and retreated in Asenda Kamaron, taking up defense there. They refused the proposal to surrender and joined the battle. During the day, they repelled attacks of superior enemy forces numbering up to 2 thousand people. Read 4589 good articles of the Statikandis, a statTomatic image of the subsequent list of the list of heads of the SSSID-Docial-Medial List of the Government Chapters of the Nigerd-Emergent Listing Distribution School of Calove-Salary Callestarm -Hersi against the background of the evening Nizaak Cape May [en] In New Jersey against the backdrop of the evening, the non-bore of the template of new materials, do you know? Hava Abdisomali human rights activist (on ill.) Saved about 90,000 people. and Mandarin Lai-on-luna. The Persians had its own farmoles and Leon. Samama, the first part of the trilogy, perhaps the first part of the trilogy. The festive procession on St. Stefan's Day in the city of Dingl of the British Islands began with a hunting for the urticiper (on Ill. ). The developers of Crash Bandicoot called their project “a game about the ass of Sonic”. Non -Zealand farmers suffered from exploding trousers. The site of female nudity and sex in the cinema is not pornographic. The Medial of the Guard Davisedic Medal (on ill.) The Confederative states of America was made by a Catholic priest from Mexican coins. The worshiping crazy head served for three days in prison for refusing to go to military service. Sezanne recognized himself in the insane artist Balzac. In the modern opera, everything is pronounced not at all as it is written. To provide an architectural examination with the temporary events of the Actual in Gaza (hostages) of Russia's invasion of Ukraine to Ukraine (November) World Championships (sambo · Cryak) | The recently deceased Costapremir-minister of Portugal Antoniu Kosta (on the ill.) Fired due to corruption investigation. At least 153 people took away the lives in Nepal. The release of the Groll group The Beatles “Now and the” song was created using John Lennon's artificial intelligence based on the archive demos of the NASA “Lucy” performed a pass by the asteroid (152830) Dankinesh of the first mission's goal, that the asteroid is double and the satellite asteroid consists of two contacting parts representing a contact dual system. Pakistan began a massive deportation Afgantsev. Golden Ball Held to France Football by Lionel Messi (among men) and Aitan Bonmati (among women). Frontary current events of the Candidatyrechwright, this day is November Battle of Guadalcanal930 - the oldest parliament in the world - Icelandic alting168 - Lesisto - Lesisto Fer Showles from Wisconsin patented the writing machine1888 - at the festival of printers in Lille performed by the working choir, the “International” 1927 was first sounded - Leo Trotsky was excluded from the CPSU (b) 1941 - the Red Army first used the skiers for attacks on the freezing German troops1942 - the marine battle of Guadalkanal began (on Photo) 1944 - British Air Force, using the special bombs “Tolbo”, sank the German battleship “Tirpitz” 1982 - the General of the Central Committee of the CPSU, after the death of Leonid Brezhnev, was elected Yuri Andropov Revitov Read the Templar Work of the week -imprisoned all those who wish to take part in the work on the University of the Oxford Regional Committee of the CPSU as well as also Chinese patriotic songs. {{{Oxford University}} {{Chinese patriotic songs}} Also participate in the "Tanzani week." Candidaty -testing of the template is located on the servers of the Vikimedia Foundation - a non -profit organization also providing a number of other projectovikioslovikiyaslovyglovyglovystviki nickname Textbooks of Tekstovikinovoi Library news Storage Media-Filovykigid Putor-for-casual knowledge of the Knowledge Base Viddovikids Biological Tydimeta-Viki Coordination of the Mosema-Disaders Vicki-Modelovka-https://ru.wikipedia.org/w/index.php?title=129560842sk : Wikipedia: Pages with an hourly cleansed Cashshtigation Personal tools did not introduce the system accounting records of the INSURE -WITHER -WITHOUGHTENSENCED VESSESSION OF CHOOK CODISTICTIONSHICHOUSHIPENAVIASHING PASSENTION OF POLYSISE OF EMPLOY OF THE EVENSIONARY WITHING OF THE MISTOMISE OF THE MISTOMICACE OF THE MISTOMPECACE OF THE EXPERTISHING OF PARTS OF PARTS SPARISSIPARESS SPIRITIONS. Reference of page to page to the page to be reduced by the abbreviated URL address of Wikidannya/Exporting as a pdfversion for printing other projects vi-wikimedia found-dimensional-vikimedia Outreach-language vikidian-in-chief tztivikimaniykinikinovikovikovikovikovikovikovikovikoviki -vertical -vetistygizygivistyar is other languages ​​الل# affaycancancancancancancabashlarblard (Tarashkevitz) Blgarskinokhinchiychihiӑtinštinach. Oleesti فاoffrançais £רית magyar հ t ქართული ქართული қ 한국어 lietuviųlatviešunedsnorsk Bokmóliroronepolskiportuguuffuguxromânăsaha Voysrpski / srpskisvenskatürksetatari / tatarç Ukrainian ếng việt 中文 This page was last edited on April 1, 2023 at 04: 13. indicating authorship-with the preservation of conditions ”(CC by-SA); In some cases, additional conditions can act. See the conditions of use. Wikipedia® - a registered trademark of the non -profit organization Vikimedia Foundation (Wikimedia Foundation Inc.) Policy of Privacy Policy of Vikipediotis from liability with namikodex behaviors of the design of the design of the design of the cuckold version</v>
      </c>
    </row>
    <row r="395">
      <c r="A395" s="1" t="s">
        <v>1351</v>
      </c>
      <c r="B395" s="1" t="s">
        <v>1355</v>
      </c>
      <c r="C395" s="1" t="s">
        <v>1356</v>
      </c>
      <c r="D395" s="1">
        <v>2.0</v>
      </c>
      <c r="E395" s="4" t="s">
        <v>1357</v>
      </c>
      <c r="F395" s="1" t="s">
        <v>16</v>
      </c>
      <c r="G395" s="1" t="s">
        <v>336</v>
      </c>
      <c r="H395" s="4" t="s">
        <v>337</v>
      </c>
      <c r="I395" s="2">
        <v>1.0</v>
      </c>
      <c r="J395" s="5" t="str">
        <f>IFERROR(__xludf.DUMMYFUNCTION("GOOGLETRANSLATE(A395)"),"Inna Churikova")</f>
        <v>Inna Churikova</v>
      </c>
      <c r="K395" s="6" t="str">
        <f>IFERROR(__xludf.DUMMYFUNCTION("GOOGLETRANSLATE(B395)"),"Inna Churikova: films, biography, family, ...")</f>
        <v>Inna Churikova: films, biography, family, ...</v>
      </c>
      <c r="L395" s="5" t="str">
        <f>IFERROR(__xludf.DUMMYFUNCTION("GOOGLETRANSLATE(C395)"),"Inna Churikova. Date of birth: October 5, 1943. Actress, actress dubbing, screenwriter. The best films: the same Munchausen, idiot, beginning, Moscow saga, ...")</f>
        <v>Inna Churikova. Date of birth: October 5, 1943. Actress, actress dubbing, screenwriter. The best films: the same Munchausen, idiot, beginning, Moscow saga, ...</v>
      </c>
      <c r="M395" s="5" t="str">
        <f>IFERROR(__xludf.DUMMYFUNCTION("GOOGLETRANSLATE(G395)"),"Oh! Confirm that you sent the requests and not Robonym very sorry, but the requests from your device are similar to automatic. Why could this happen? You have a disabled performance by JavaScript. By pressing you will be aimed at an additional check. How "&amp;"to enable JavaScript? I'm not robot to continue SSMARTCAPTCHA by Yandex CloudSmartcaptcha need user checks, please use the feedback form")</f>
        <v>Oh! Confirm that you sent the requests and not Robonym very sorry, but the requests from your device are similar to automatic. Why could this happen? You have a disabled performance by JavaScript. By pressing you will be aimed at an additional check. How to enable JavaScript? I'm not robot to continue SSMARTCAPTCHA by Yandex CloudSmartcaptcha need user checks, please use the feedback form</v>
      </c>
    </row>
    <row r="396">
      <c r="A396" s="1" t="s">
        <v>1351</v>
      </c>
      <c r="B396" s="1" t="s">
        <v>1358</v>
      </c>
      <c r="D396" s="1">
        <v>3.0</v>
      </c>
      <c r="E396" s="4" t="s">
        <v>1359</v>
      </c>
      <c r="F396" s="1" t="s">
        <v>16</v>
      </c>
      <c r="G396" s="1" t="s">
        <v>1360</v>
      </c>
      <c r="H396" s="4" t="s">
        <v>1361</v>
      </c>
      <c r="I396" s="2">
        <v>1.0</v>
      </c>
      <c r="J396" s="5" t="str">
        <f>IFERROR(__xludf.DUMMYFUNCTION("GOOGLETRANSLATE(A396)"),"Inna Churikova")</f>
        <v>Inna Churikova</v>
      </c>
      <c r="K396" s="6" t="str">
        <f>IFERROR(__xludf.DUMMYFUNCTION("GOOGLETRANSLATE(B396)"),"Inna Churikova - actress - biography")</f>
        <v>Inna Churikova - actress - biography</v>
      </c>
      <c r="L396" s="5" t="str">
        <f>IFERROR(__xludf.DUMMYFUNCTION("GOOGLETRANSLATE(C396)"),"#VALUE!")</f>
        <v>#VALUE!</v>
      </c>
      <c r="M396" s="5" t="str">
        <f>IFERROR(__xludf.DUMMYFUNCTION("GOOGLETRANSLATE(G396)"),"����-�����.�� - �������� ������ �������� ����� ������� ���� � ������ ��������������� �������������� ������������� ����������������������������������� ������������������������������������������ ��������� �� ���������������� �� ��������������� �������������"&amp;"���������������������� ����������� ������������������ �������������������� ��� ����������������� � �������������� ������������������ ��� �������-���������������� ������� ���������������������� ��������������� ������������������ � ���������� �������� �����"&amp;"���������� ���������� ������������������� ����������������� ��������������� ������������������������ ������������ ��������������� ���������� ��������� ���������������� ������������������� ������������������� ������ ������������ �������� �������������� ���"&amp;"�������������� ���������������� ������������� �������� ������������������ ���������� ���������� ������������������� ����������������� ������������� ���������������������� �����������������������-������������������������� �������������������� ������������ "&amp;"� ������������������ �������������� ������������ �� ���������������� ���������� ����������������� ������� ���������������������������������������������������������������������������������-������������������������-������������������������ �����������������"&amp;"������� ������������-�������������������� ������������� ������ � ����������������� �����-���������������� ������������ �������� ��������������� ������������ ������� ������������������� ������������������� ��������������������������������� �� ����������� �"&amp;"�������������� ������������������������������������������ ����������-���� � ������������ �� ����������������� ���� ���� ��������� ���� ���� ���� �� ���������������� �������������� ������������� ����������� ����������� ������������������������� �������� ��"&amp;" ���������������� �� �������������������� ������������������������������������������� �� ������������ ������ ������: ����� ������� ������ ������� ������� � ������ �� ��� ����������� ���� � �������: ��������� �������� �� ������ ���������������� �1�: ��� ��"&amp;"������� ������� �� ������� � �������������� ��������� ��������� ��� ������ ����� ������� ����� �������� ��� ����� ����� � ������ ��������: ������� ������� ����� �� ������Okko ������� ����������� ����������� ��� ���������� �������� �������������� �������� "&amp;"� ���������� �������� ������� � �������� �������������� ������������� � ����� IFFI������� ���� &gt;&gt;11 ���������� � ������ ������� � ��� ������� ���� ������ ����� �� ������� ����� The Legend of Zelda11 ������������ ��������� ��������� ��� ������ ����� ������"&amp;"�� ������� ������� �� ��� ��� ������ � �������11 ������������-�������� ��������� ����� �����������: ������� ������� ������� � ��� �������� ��������� 9 �������������� ������� START11 �������� ����� �������� ��� ����� ����� � ������ ��������: ������� ������"&amp;"� ����� �� ������� ����� ����������� �� ������� ����� �� ����� ���� � �������� ��������� ��������� ��-������11 ����������� ����������� � ��������� ������ �������� �� ���� ����� �� ��������10 ������Okko ������� ����������� ����������� ��� ���������� ������"&amp;"�� �������10 ������������������� �������� ������� ����������� � ������� �������� ��������� 26 ������10 �������������� ���� �����: ������ ����� ������� ���������� ����� � �������� �������� ������1 �������������������� &gt;&gt;����� ������ ������ ������������ ���"&amp;"��: �������� ����� � ������ ����� ������ ������ ������������������: ���� ��������� ������ ������ � ���� ����������� ��������: ���� ��������� ����� ������ � ���������� �������������� ������� �������� ������������ ����������������� ������ ���� ����� �������"&amp;"���� �������� ���� �� ������ People�������� &gt;&gt;7 ����������� ��������: ���� ���� ����� ""�����"" � ��������� ��������� �� ��������������������� ����� � � ������ ��� ��û ������������� ����� � ������ ������-������������� ����1 �����������6 ������������ �����"&amp;"��: ����� ��� ������� ��� ��� � ������ ��� �� ������� � ������� � �� �� ������������� � ��������� ��� ���������� ��������� � � ������ ��������� ������� ����� ����� ������� ����� ��� �� ��������� �������� � ������������ ������� ������� ����� ����������� � "&amp;"�����5 ������������3 ����������� �����������: �� ����� ����� ���������� � �������� ������� ���� ����� �� ���� ���� ������� �� �� ��� �� ������������������ � �������� � � �������� �������� ��������� �������� � ������� � ������� � ���������� ������ �� �����"&amp;"�� � ����� �������2 �����������2 �������������� ��������: �� ����� ������ ������� �� ������������ � � ������ ������ ���������� � �����. ����� �� �������� ������������ �������� �������� ���������� � �������� ������� ������� ��������� � �������� ����������2"&amp;"2 �������������� ��������: �� ��� ��� ��� ��������� �����������5 ������������20 ����������� �������: �� ������� �� ������ ������ ��� ��� �������� ������ ��� � � ��������� �������� ��� ��� �� ����2 �����������17 ����������� ����: �� ��������� ������� �����"&amp;"�� ��� ����������� � ����� ���������� ����� ������������� � ������������ ��������7 ������������12 ������������ ���������: ���� ���� ��������� ������� ������ �������������2 ���������������� �������� &gt;&gt;������ �������. ����� �2��������� ���� ������� �� �����"&amp;"� � ������ � ������������� ������� �������� ����� ������ � ��� ���������� � ������� �� ������� ���������� � �����������   (2 �����������)������� ��������. ������� �� ���������� ���������� 3�. ������� �� ����� ����������������������: ���������� � ��������."&amp;" ������� � ����������� ����������������� ������ �����������������: ������� ������� ������� � ��� ������������� ���� &gt;&gt;����� ������������ �������������� 2023����� �� ��� ���������������� 2023������. ����������� ��������� 2022����������� 1787. �������������"&amp;"���� ����� ��������� ����������������� 2023�������� ������������ ������� ����� �������� ���� ����� � ���������������� 2023������� � �������������� ����� ����������� ���������� ����������� 2023��� ������� ������-2������� �������� ���������� 2023��������� �"&amp;"������������ 2023��� ������ � ������� &gt;&gt;�������� &gt;&gt;10 �������������� �1�: ��� ��������� ������� �� ������� � ����������������� ���������� � ���� ���������� ������� � ������ ���� ������������2 �����������10 ���������������� �����: ������� ���� � ����������"&amp;"��������� ������ ��� �������� �����������1 �����������9 ������������� ����: � ������� ���� � ������� �������������� �� ���������� ��������� �������8 ���������� ���������: ������� ��� ������������?��������� ����������� ���� ������ �������� ������� ������� "&amp;"����������3 �����������5 ������������� ��������� �����: �������� ���� ���� ����� ����1 �����������5 ����������� ����������: ����� ��������1 �����������4 ����������� ��������� �����: ������� ������3 �����������2 �������������� ���������: ��� ����� �� ��� �"&amp;" �� ������������10 ������ ���� �� ����� ���������� ������ ������.9 ������ ���� �� ����� ������� ������ ������������.����� �������� &gt;&gt;11 ������������� ������ ������: ����� ������� ������ ������� ������� � ������ �� ��� ���������������������� ������ � ��� �"&amp;"�� ����������� �������� �����9 ���������������� ��������: �����-������������ ��������?������������ ������ � ���� � �����2 �����������8 ������������� � �� ����������: ������ �������� �����������. ��� ��� ����?����� ����� �������� � ��� ��������?7 ���������"&amp;"��� �������: ��������� ����������� ����������� ��������� ����� ���������� ����������� ����� 1980-�21 �����������6 ���������������: ���� ����� � ����12 ������������6 ���������������� �����������: ��� ��������� �������� � �������10 ������������4 �����������"&amp;"� ������ �� ���������������: ����� ��������� ������������ ������ ����� ������!�31 ������������� ��� ��û: �� ��� ������� ������� ������ �����������?6 ������������������� ���� &gt;&gt;7 ����������� � �����: ����-��� � ���� � ��������20 �������� ��� �� 2017 ������"&amp;"������3 �������������� ������: ������ ������� ����� ������ � ��������� ����� ������������� ��������� ��������-������ ������ �� ������ ����-�����.��31 ���������������� �� ����: ������ 300 �������� �� ��� ������ ������������������� �������� � ������� ��� ��"&amp;"������� ������ ��������3 �����������31 ���������� �������: ���������-��������������� ����� �������������� �������� ������ ������ ������ ��������� � ������ � ������ �������� � ����1 �����������30 ������������ ��������� ����� � ����� ����� �������� ������ �"&amp;"������� � ��� 10 ������� ������3 �����������30 ����������������� ��� � ������� ���: ���������������� ����� ������� ������� ��� ����2 �����������26 ������������ �������: ����������� ������ ���� � �������7 ������������25 �������Party Like a Russian: ��� ���"&amp;"� � ������� ������������ ����������� ��������� ��������3 ������������������� �������12 ������������ ������������� ��������������� ������10 ������PREMIER���� ����� ������������10 ������Apple TV+������ �� ������14 ������START��������� ������14 ������OKKO���"&amp;"��� ������14 ������Netflix����� ��������� �������14 ������PREMIER�������� ���15 ������Disney+������16 ������Netflix""������"": �������� ��������17 ������Disney+����� �������� ���� �� ���17 ������Netflix��������� &gt;&gt;11 ������������ ������ ���� ����� �������"&amp;"���� �������� ���� �� ������ People������ �������� ��������� �������11 ����������� ������ ������ ������������ �����: �������� ����� � ������ ����� ������ ������ �������������� ���������� ����� �������������11 �����������������: ���� ��������� ������ �����"&amp;"� � ���� ������������� ������� ������ ������. ����� �� ���������10 ������������ ��������: ���� ��������� ����� ������ � ���������� ������������������ �������� ������ OK! Awards ������� ��� �������1 �����������10 ����������� ������� �������� ������������ �"&amp;"����������18 ������������10 ����������� ���������� ����������� � ������� ���������10 ����������� ���� � ���� ��������� �� ����� ����� ������!�9 ��������������� ������: ������ ���������� ����� ��������� � ��������� �������������� �������� &gt;&gt;������� �������"&amp;"���������� �������������� ����������������� ��������������� ��������������� ����������� ����������������� ������������� ������������� ������������ ��������������� ����� ����������� ���������� ����������� ���������� ���������� ���������� 12 ������ &gt;&gt;������"&amp;"� ������ &gt;&gt;7 ������������� ��������� ������� �������� � ����� �������� �������� ���������� ������������ ������� ��������� �������� ����� ����� ��������� � ����� �������� ���������21 ���������������� ������� ������ ����� ������ ������ ����� �������� �� ���"&amp;"������� ��������� �� �������� ������������ � ���������� ������ ���������� ������� ����������� � �������������� 20 ��� ������ ������� ��� ���������� �������� ������ � �������� ��������1 �����������30 ��������������� ��� 13 � 30� ��������� � �������� ������"&amp;"��� ������ ��� ��������� �������� ������ ��������� ���� �������� � ���� ����3 �����������17 ������������� ����� � ������ ������������ ��������� ������� ������������ ��������� ��������� ���������������� ���� ����� ���������� ������� �����������5 ����������"&amp;"��10 �������������� ������ �������������� � ����� ��������� �� ����� ������ ������ ������� �������6 ������������8 ��������� ������ ����� ������� ������� ��������� ������ � ������ � ��������� ��� ��������6 ������������5 �������������� ������������� � �����"&amp;" ������ � ����-���� ������� ���������2 �����������29 ���������������� ���������� �������� �������� � ��������� ������ ������� �������� ���������� �������7 ��������������������� &gt;&gt;27 ��������������� �� ����� ����� ��������� � �������� ����: ����� ���������"&amp;" ���-2023����� ����������� ���������� �� ������� ��������� ������������ � ���� ����6 ������������19 ����������� ���� � ���� �����: ��� �� ��������� � ��������� ��� ��� ��� ����� ������� ������������� �� 189 ������ �������������� ������������� ������� � 33"&amp;"-� ��� ������� � �����-����������: � 20 �� 28 �������1 �����������11 ������������� ���� �� ���������� ����: ������� ��������� ������ � � ����� ��������������� ������ ������� ������ ������ ����������2 ������������������ ����������� &gt;&gt;11 �������������: ����"&amp;"�� ������11 ������ 22:00 ���1 �����������10 ������������������: ���� ��������� �����?� ���� � 10 �� 11 ������ 02:05 viju TV1000 �������2 �����������9 �������������������: �� ���9 ������ 18:50 viju TV1000 �������1 ������������������� &gt;&gt;8 ���������� �������"&amp;"����� ������ ���� ����� � �������� ��������� �� ���������� ��������� ���������������� � ������������ ������� ������ �����4 �����������-����: �������: ��� ����������� ����������� �������� FLCL?�������� ��� ��� ����� ������� ���� ������?�������� ���� &gt;&gt;11 �"&amp;"�������� ���� � �������: ��������� �������� �� ������ �������������������� ��������� ������ � �������� � �������� ���������24 ��������������� ������� � ������ ��������� ��� �������������: �������� ����� ���� � �� ��������� ������ ������ �� ��������� �����"&amp;"� ������1 ������������������� �� ��������� &gt;&gt;29 �������������� ����� ��� �������: �������� � ������� �������� ����� ����� ������ ������ �������� ��������� �������� ����������1 �����������19 ������������� �� �������: ������ ���������� ������������ ��������"&amp;"� �� ����� ������ ���������� ������ � ������� �����4 ������������ 2006-2023 kino-teatr.ru������������� ����� kino-teatr.ru �������� ������ � �������������� �������� � ��������� ����������������� ������������������� ���������������������")</f>
        <v>����-�����.�� - �������� ������ �������� ����� ������� ���� � ������ ��������������� �������������� ������������� ����������������������������������� ������������������������������������������ ��������� �� ���������������� �� ��������������� ����������������������������������� ����������� ������������������ �������������������� ��� ����������������� � �������������� ������������������ ��� �������-���������������� ������� ���������������������� ��������������� ������������������ � ���������� �������� ��������������� ���������� ������������������� ����������������� ��������������� ������������������������ ������������ ��������������� ���������� ��������� ���������������� ������������������� ������������������� ������ ������������ �������� �������������� ����������������� ���������������� ������������� �������� ������������������ ���������� ���������� ������������������� ����������������� ������������� ���������������������� �����������������������-������������������������� �������������������� ������������ � ������������������ �������������� ������������ �� ���������������� ���������� ����������������� ������� ���������������������������������������������������������������������������������-������������������������-������������������������ ������������������������ ������������-�������������������� ������������� ������ � ����������������� �����-���������������� ������������ �������� ��������������� ������������ ������� ������������������� ������������������� ��������������������������������� �� ����������� ��������������� ������������������������������������������ ����������-���� � ������������ �� ����������������� ���� ���� ��������� ���� ���� ���� �� ���������������� �������������� ������������� ����������� ����������� ������������������������� �������� �� ���������������� �� �������������������� ������������������������������������������� �� ������������ ������ ������: ����� ������� ������ ������� ������� � ������ �� ��� ����������� ���� � �������: ��������� �������� �� ������ ���������������� �1�: ��� ��������� ������� �� ������� � �������������� ��������� ��������� ��� ������ ����� ������� ����� �������� ��� ����� ����� � ������ ��������: ������� ������� ����� �� ������Okko ������� ����������� ����������� ��� ���������� �������� �������������� �������� � ���������� �������� ������� � �������� �������������� ������������� � ����� IFFI������� ���� &gt;&gt;11 ���������� � ������ ������� � ��� ������� ���� ������ ����� �� ������� ����� The Legend of Zelda11 ������������ ��������� ��������� ��� ������ ����� �������� ������� ������� �� ��� ��� ������ � �������11 ������������-�������� ��������� ����� �����������: ������� ������� ������� � ��� �������� ��������� 9 �������������� ������� START11 �������� ����� �������� ��� ����� ����� � ������ ��������: ������� ������� ����� �� ������� ����� ����������� �� ������� ����� �� ����� ���� � �������� ��������� ��������� ��-������11 ����������� ����������� � ��������� ������ �������� �� ���� ����� �� ��������10 ������Okko ������� ����������� ����������� ��� ���������� �������� �������10 ������������������� �������� ������� ����������� � ������� �������� ��������� 26 ������10 �������������� ���� �����: ������ ����� ������� ���������� ����� � �������� �������� ������1 �������������������� &gt;&gt;����� ������ ������ ������������ �����: �������� ����� � ������ ����� ������ ������ ������������������: ���� ��������� ������ ������ � ���� ����������� ��������: ���� ��������� ����� ������ � ���������� �������������� ������� �������� ������������ ����������������� ������ ���� ����� ����������� �������� ���� �� ������ People�������� &gt;&gt;7 ����������� ��������: ���� ���� ����� "�����" � ��������� ��������� �� ��������������������� ����� � � ������ ��� ��û ������������� ����� � ������ ������-������������� ����1 �����������6 ������������ �������: ����� ��� ������� ��� ��� � ������ ��� �� ������� � ������� � �� �� ������������� � ��������� ��� ���������� ��������� � � ������ ��������� ������� ����� ����� ������� ����� ��� �� ��������� �������� � ������������ ������� ������� ����� ����������� � �����5 ������������3 ����������� �����������: �� ����� ����� ���������� � �������� ������� ���� ����� �� ���� ���� ������� �� �� ��� �� ������������������ � �������� � � �������� �������� ��������� �������� � ������� � ������� � ���������� ������ �� ������� � ����� �������2 �����������2 �������������� ��������: �� ����� ������ ������� �� ������������ � � ������ ������ ���������� � �����. ����� �� �������� ������������ �������� �������� ���������� � �������� ������� ������� ��������� � �������� ����������22 �������������� ��������: �� ��� ��� ��� ��������� �����������5 ������������20 ����������� �������: �� ������� �� ������ ������ ��� ��� �������� ������ ��� � � ��������� �������� ��� ��� �� ����2 �����������17 ����������� ����: �� ��������� ������� ������� ��� ����������� � ����� ���������� ����� ������������� � ������������ ��������7 ������������12 ������������ ���������: ���� ���� ��������� ������� ������ �������������2 ���������������� �������� &gt;&gt;������ �������. ����� �2��������� ���� ������� �� ������ � ������ � ������������� ������� �������� ����� ������ � ��� ���������� � ������� �� ������� ���������� � �����������   (2 �����������)������� ��������. ������� �� ���������� ���������� 3�. ������� �� ����� ����������������������: ���������� � ��������. ������� � ����������� ����������������� ������ �����������������: ������� ������� ������� � ��� ������������� ���� &gt;&gt;����� ������������ �������������� 2023����� �� ��� ���������������� 2023������. ����������� ��������� 2022����������� 1787. ����������������� ����� ��������� ����������������� 2023�������� ������������ ������� ����� �������� ���� ����� � ���������������� 2023������� � �������������� ����� ����������� ���������� ����������� 2023��� ������� ������-2������� �������� ���������� 2023��������� ������������� 2023��� ������ � ������� &gt;&gt;�������� &gt;&gt;10 �������������� �1�: ��� ��������� ������� �� ������� � ����������������� ���������� � ���� ���������� ������� � ������ ���� ������������2 �����������10 ���������������� �����: ������� ���� � ������������������� ������ ��� �������� �����������1 �����������9 ������������� ����: � ������� ���� � ������� �������������� �� ���������� ��������� �������8 ���������� ���������: ������� ��� ������������?��������� ����������� ���� ������ �������� ������� ������� ����������3 �����������5 ������������� ��������� �����: �������� ���� ���� ����� ����1 �����������5 ����������� ����������: ����� ��������1 �����������4 ����������� ��������� �����: ������� ������3 �����������2 �������������� ���������: ��� ����� �� ��� � �� ������������10 ������ ���� �� ����� ���������� ������ ������.9 ������ ���� �� ����� ������� ������ ������������.����� �������� &gt;&gt;11 ������������� ������ ������: ����� ������� ������ ������� ������� � ������ �� ��� ���������������������� ������ � ��� ��� ����������� �������� �����9 ���������������� ��������: �����-������������ ��������?������������ ������ � ���� � �����2 �����������8 ������������� � �� ����������: ������ �������� �����������. ��� ��� ����?����� ����� �������� � ��� ��������?7 ������������ �������: ��������� ����������� ����������� ��������� ����� ���������� ����������� ����� 1980-�21 �����������6 ���������������: ���� ����� � ����12 ������������6 ���������������� �����������: ��� ��������� �������� � �������10 ������������4 ������������ ������ �� ���������������: ����� ��������� ������������ ������ ����� ������!�31 ������������� ��� ��û: �� ��� ������� ������� ������ �����������?6 ������������������� ���� &gt;&gt;7 ����������� � �����: ����-��� � ���� � ��������20 �������� ��� �� 2017 ������������3 �������������� ������: ������ ������� ����� ������ � ��������� ����� ������������� ��������� ��������-������ ������ �� ������ ����-�����.��31 ���������������� �� ����: ������ 300 �������� �� ��� ������ ������������������� �������� � ������� ��� ��������� ������ ��������3 �����������31 ���������� �������: ���������-��������������� ����� �������������� �������� ������ ������ ������ ��������� � ������ � ������ �������� � ����1 �����������30 ������������ ��������� ����� � ����� ����� �������� ������ �������� � ��� 10 ������� ������3 �����������30 ����������������� ��� � ������� ���: ���������������� ����� ������� ������� ��� ����2 �����������26 ������������ �������: ����������� ������ ���� � �������7 ������������25 �������Party Like a Russian: ��� ���� � ������� ������������ ����������� ��������� ��������3 ������������������� �������12 ������������ ������������� ��������������� ������10 ������PREMIER���� ����� ������������10 ������Apple TV+������ �� ������14 ������START��������� ������14 ������OKKO������ ������14 ������Netflix����� ��������� �������14 ������PREMIER�������� ���15 ������Disney+������16 ������Netflix"������": �������� ��������17 ������Disney+����� �������� ���� �� ���17 ������Netflix��������� &gt;&gt;11 ������������ ������ ���� ����� ����������� �������� ���� �� ������ People������ �������� ��������� �������11 ����������� ������ ������ ������������ �����: �������� ����� � ������ ����� ������ ������ �������������� ���������� ����� �������������11 �����������������: ���� ��������� ������ ������ � ���� ������������� ������� ������ ������. ����� �� ���������10 ������������ ��������: ���� ��������� ����� ������ � ���������� ������������������ �������� ������ OK! Awards ������� ��� �������1 �����������10 ����������� ������� �������� ������������ �����������18 ������������10 ����������� ���������� ����������� � ������� ���������10 ����������� ���� � ���� ��������� �� ����� ����� ������!�9 ��������������� ������: ������ ���������� ����� ��������� � ��������� �������������� �������� &gt;&gt;������� ����������������� �������������� ����������������� ��������������� ��������������� ����������� ����������������� ������������� ������������� ������������ ��������������� ����� ����������� ���������� ����������� ���������� ���������� ���������� 12 ������ &gt;&gt;������� ������ &gt;&gt;7 ������������� ��������� ������� �������� � ����� �������� �������� ���������� ������������ ������� ��������� �������� ����� ����� ��������� � ����� �������� ���������21 ���������������� ������� ������ ����� ������ ������ ����� �������� �� ���������� ��������� �� �������� ������������ � ���������� ������ ���������� ������� ����������� � �������������� 20 ��� ������ ������� ��� ���������� �������� ������ � �������� ��������1 �����������30 ��������������� ��� 13 � 30� ��������� � �������� ��������� ������ ��� ��������� �������� ������ ��������� ���� �������� � ���� ����3 �����������17 ������������� ����� � ������ ������������ ��������� ������� ������������ ��������� ��������� ���������������� ���� ����� ���������� ������� �����������5 ������������10 �������������� ������ �������������� � ����� ��������� �� ����� ������ ������ ������� �������6 ������������8 ��������� ������ ����� ������� ������� ��������� ������ � ������ � ��������� ��� ��������6 ������������5 �������������� ������������� � ����� ������ � ����-���� ������� ���������2 �����������29 ���������������� ���������� �������� �������� � ��������� ������ ������� �������� ���������� �������7 ��������������������� &gt;&gt;27 ��������������� �� ����� ����� ��������� � �������� ����: ����� ��������� ���-2023����� ����������� ���������� �� ������� ��������� ������������ � ���� ����6 ������������19 ����������� ���� � ���� �����: ��� �� ��������� � ��������� ��� ��� ��� ����� ������� ������������� �� 189 ������ �������������� ������������� ������� � 33-� ��� ������� � �����-����������: � 20 �� 28 �������1 �����������11 ������������� ���� �� ���������� ����: ������� ��������� ������ � � ����� ��������������� ������ ������� ������ ������ ����������2 ������������������ ����������� &gt;&gt;11 �������������: ������ ������11 ������ 22:00 ���1 �����������10 ������������������: ���� ��������� �����?� ���� � 10 �� 11 ������ 02:05 viju TV1000 �������2 �����������9 �������������������: �� ���9 ������ 18:50 viju TV1000 �������1 ������������������� &gt;&gt;8 ���������� ������������ ������ ���� ����� � �������� ��������� �� ���������� ��������� ���������������� � ������������ ������� ������ �����4 �����������-����: �������: ��� ����������� ����������� �������� FLCL?�������� ��� ��� ����� ������� ���� ������?�������� ���� &gt;&gt;11 ��������� ���� � �������: ��������� �������� �� ������ �������������������� ��������� ������ � �������� � �������� ���������24 ��������������� ������� � ������ ��������� ��� �������������: �������� ����� ���� � �� ��������� ������ ������ �� ��������� ������ ������1 ������������������� �� ��������� &gt;&gt;29 �������������� ����� ��� �������: �������� � ������� �������� ����� ����� ������ ������ �������� ��������� �������� ����������1 �����������19 ������������� �� �������: ������ ���������� ������������ ��������� �� ����� ������ ���������� ������ � ������� �����4 ������������ 2006-2023 kino-teatr.ru������������� ����� kino-teatr.ru �������� ������ � �������������� �������� � ��������� ����������������� ������������������� ���������������������</v>
      </c>
    </row>
    <row r="397">
      <c r="A397" s="1" t="s">
        <v>1351</v>
      </c>
      <c r="B397" s="1" t="s">
        <v>1362</v>
      </c>
      <c r="C397" s="1" t="s">
        <v>1363</v>
      </c>
      <c r="D397" s="1">
        <v>4.0</v>
      </c>
      <c r="E397" s="4" t="s">
        <v>1364</v>
      </c>
      <c r="F397" s="1" t="s">
        <v>16</v>
      </c>
      <c r="G397" s="1" t="s">
        <v>246</v>
      </c>
      <c r="H397" s="4" t="s">
        <v>247</v>
      </c>
      <c r="I397" s="2">
        <v>1.0</v>
      </c>
      <c r="J397" s="5" t="str">
        <f>IFERROR(__xludf.DUMMYFUNCTION("GOOGLETRANSLATE(A397)"),"Inna Churikova")</f>
        <v>Inna Churikova</v>
      </c>
      <c r="K397" s="6" t="str">
        <f>IFERROR(__xludf.DUMMYFUNCTION("GOOGLETRANSLATE(B397)"),"The biography of Inna Churikova")</f>
        <v>The biography of Inna Churikova</v>
      </c>
      <c r="L397" s="5" t="str">
        <f>IFERROR(__xludf.DUMMYFUNCTION("GOOGLETRANSLATE(C397)"),"Jan 14. 2023. -")</f>
        <v>Jan 14. 2023. -</v>
      </c>
      <c r="M397" s="5" t="str">
        <f>IFERROR(__xludf.DUMMYFUNCTION("GOOGLETRANSLATE(G397)"),"News in Russia and the world - Taspom, you use an outdated browser to work correctly, download the fresh version of the TASS.ru website, you agree using the cookies files that are indicated in the Personal Data House processing policy, rejected the financ"&amp;"ing project of the US government without the help of Kievites of Russia can make free travel to free travel The place of rest for children from large families of the US Armed Forces crashed in the eastern part of the Mediterranean Sea of ​​Mediterranean e"&amp;"xhibition-forum ""Russia"" of the Palestinian-Israeli conflict of Gaza entered over 850 trucks with humanitarian aid of Israel, announced the destruction of more than 150 tunnels and underground objects of Hamasarmia of Israel In Syriavo, she reported a l"&amp;"oss of communications with her employees in the Ashfa hospital in the Gazaisspaker of Congress proposed financing the government without the help of Kyivauarmia Israeli hit the cell of the Hzbollah missiles and threw humanitarian aid from the air for the "&amp;"field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человекаИндик"&amp;"аторырынкаНефть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NAT"&amp;"O Secretary General proposed to accept Ukraine into an alliance without the territories of the Ryazan region lost the case of 19 wagons from the rails expert stated that in Russia the mortality from pneumonia was located on a pre -ovate day of the day of "&amp;"the day of the day of the day. And they hid Russian films of the 20th century on the regiment where scientists are looking for a new house for all mankind Partner special projects on the way: about life about travel and about themselves. Four interviews f"&amp;"or the 20th anniversary of the Range Gonk of Ikonk, the 150th anniversary of Sergei Rachmaninovakak, chose the sovereign in Russia and chose Mikhail Romanovo, Li Vulcans to destroy their lives on the planetary. The study of the ice of ice saved people dur"&amp;"ing the blockade of the Leningradistory of the Complement of the Imperial train in 1888 in 1888 in 1888, they find and returned home the remains of the remains Heroes of the Stalingrad Battle of the Women's Movement in the Russian Holy of Construction of "&amp;"the famous Stalin Skolotok, which caused a rare eclipse on Yamal? How did houses on the bottom of the Black Sea of ​​Early Soviet Architecture examine all special projects of the Central Centernsk-Spectornsk prophylaxes in the Novosibirsk Region of Sverdl"&amp;"ovsk region. : Results work and Plansko incidence of diabetes mellitus in the Novosibirsk Region MSCOSTICIAL-BROGED PUSHRASTIC PROPECTION OF PUSHKINSKAYA Winter in social networks criticized Biden for the use of hints after laying Italy's wreath of the ci"&amp;"rcus and for several hours walked around the city of the Pskov Region in the DTP, three people of the Brazil championship were killed Due to the mass fight of the fans at the box, the game almost killed the game. “Krasnodar” and “Zenit” divided glasses in"&amp;" the RPL leaders match to see the material shutdown the adblock launch of the PNIPE created an accurate model of the influence of industrial dust on the health of Indonesia people for the first time in 60 years, the rare animal plastics from 13 countries "&amp;"discovered hundreds of harmful subsidiary, capable of making a fertile soil lunctural computer Helped to physicists to accelerate the algorithms of combinatorial optimization by the algorithm, American physicists have developed scientists who reported the"&amp;" causes of mass death of rare seals in the Caspian in 2022 in 2022 to treat the renal complications of the lupus Wolf passed the second phase of St. Petersburg tests created an analogue of glass -shaped rocks for medicine -scientists revealed the differen"&amp;"ces in the speed of aging cells from different parts Rnauki They said that over the year, the number of young scientists in Russia of the MES of the MIS rebukes has developed a charger for electric cars in domestic Pakpneumonia. What you need to know Nori"&amp;"lnikel intends to restore nature around the Novosibirsk factories, they have received a promising for the treatment of neuroblastyu Adygea project to manage a group of drones based on the other materials to the rest of the materials © Information Agency o"&amp;"f the TASS -Media Registration No. 03247 was issued by the State Committee on April 02, 1999. Russian Federation in Press. Sing-handed publications may contain information intended for users under 16 years old. In the information resource, recommending te"&amp;"chnologies are applied.")</f>
        <v>News in Russia and the world - Taspom, you use an outdated browser to work correctly, download the fresh version of the TASS.ru website, you agree using the cookies files that are indicated in the Personal Data House processing policy, rejected the financing project of the US government without the help of Kievites of Russia can make free travel to free travel The place of rest for children from large families of the US Armed Forces crashed in the eastern part of the Mediterranean Sea of ​​Mediterranean exhibition-forum "Russia" of the Palestinian-Israeli conflict of Gaza entered over 850 trucks with humanitarian aid of Israel, announced the destruction of more than 150 tunnels and underground objects of Hamasarmia of Israel In Syriavo, she reported a loss of communications with her employees in the Ashfa hospital in the Gazaisspaker of Congress proposed financing the government without the help of Kyivauarmia Israeli hit the cell of the Hzbollah missiles and threw humanitarian aid from the air for the field hospital in the Gazeman: Israel destroyed Israel около 20 боевиков занимавших ключевые должности в ХАМАСОстин обсудил с Умеровым планы на очередную встречу в формате РамштайнВ Приангарье при столкновении поезда с грузовиком погибли три человекаИндикаторырынкаНефть Brent$7987+000Доллар (ЦБ РФ)9205+012Евро (ЦБ РФ)9832-009ПопулярноеСамолет ВС США потерпел крушение в The eastern part of the Mediterranean SeaWP: the coordinator of the undermining of the Northern Streams was a colonel of the NATO, the NATO Secretary General proposed to accept Ukraine into an alliance without the territories of the Ryazan region lost the case of 19 wagons from the rails expert stated that in Russia the mortality from pneumonia was located on a pre -ovate day of the day of the day of the day of the day. And they hid Russian films of the 20th century on the regiment where scientists are looking for a new house for all mankind Partner special projects on the way: about life about travel and about themselves. Four interviews for the 20th anniversary of the Range Gonk of Ikonk, the 150th anniversary of Sergei Rachmaninovakak, chose the sovereign in Russia and chose Mikhail Romanovo, Li Vulcans to destroy their lives on the planetary. The study of the ice of ice saved people during the blockade of the Leningradistory of the Complement of the Imperial train in 1888 in 1888 in 1888, they find and returned home the remains of the remains Heroes of the Stalingrad Battle of the Women's Movement in the Russian Holy of Construction of the famous Stalin Skolotok, which caused a rare eclipse on Yamal? How did houses on the bottom of the Black Sea of ​​Early Soviet Architecture examine all special projects of the Central Centernsk-Spectornsk prophylaxes in the Novosibirsk Region of Sverdlovsk region. : Results work and Plansko incidence of diabetes mellitus in the Novosibirsk Region MSCOSTICIAL-BROGED PUSHRASTIC PROPECTION OF PUSHKINSKAYA Winter in social networks criticized Biden for the use of hints after laying Italy's wreath of the circus and for several hours walked around the city of the Pskov Region in the DTP, three people of the Brazil championship were killed Due to the mass fight of the fans at the box, the game almost killed the game. “Krasnodar” and “Zenit” divided glasses in the RPL leaders match to see the material shutdown the adblock launch of the PNIPE created an accurate model of the influence of industrial dust on the health of Indonesia people for the first time in 60 years, the rare animal plastics from 13 countries discovered hundreds of harmful subsidiary, capable of making a fertile soil lunctural computer Helped to physicists to accelerate the algorithms of combinatorial optimization by the algorithm, American physicists have developed scientists who reported the causes of mass death of rare seals in the Caspian in 2022 in 2022 to treat the renal complications of the lupus Wolf passed the second phase of St. Petersburg tests created an analogue of glass -shaped rocks for medicine -scientists revealed the differences in the speed of aging cells from different parts Rnauki They said that over the year, the number of young scientists in Russia of the MES of the MIS rebukes has developed a charger for electric cars in domestic Pakpneumonia. What you need to know Norilnikel intends to restore nature around the Novosibirsk factories, they have received a promising for the treatment of neuroblastyu Adygea project to manage a group of drones based on the other materials to the rest of the materials © Information Agency of the TASS -Media Registration No. 03247 was issued by the State Committee on April 02, 1999. Russian Federation in Press. Sing-handed publications may contain information intended for users under 16 years old. In the information resource, recommending technologies are applied.</v>
      </c>
    </row>
    <row r="398">
      <c r="A398" s="1" t="s">
        <v>1351</v>
      </c>
      <c r="B398" s="1" t="s">
        <v>1365</v>
      </c>
      <c r="D398" s="1">
        <v>5.0</v>
      </c>
      <c r="E398" s="4" t="s">
        <v>1366</v>
      </c>
      <c r="F398" s="1" t="s">
        <v>16</v>
      </c>
      <c r="G398" s="1" t="s">
        <v>1367</v>
      </c>
      <c r="H398" s="4" t="s">
        <v>1368</v>
      </c>
      <c r="I398" s="2">
        <v>1.0</v>
      </c>
      <c r="J398" s="5" t="str">
        <f>IFERROR(__xludf.DUMMYFUNCTION("GOOGLETRANSLATE(A398)"),"Inna Churikova")</f>
        <v>Inna Churikova</v>
      </c>
      <c r="K398" s="6" t="str">
        <f>IFERROR(__xludf.DUMMYFUNCTION("GOOGLETRANSLATE(B398)"),"Inna Churikova")</f>
        <v>Inna Churikova</v>
      </c>
      <c r="L398" s="5" t="str">
        <f>IFERROR(__xludf.DUMMYFUNCTION("GOOGLETRANSLATE(C398)"),"#VALUE!")</f>
        <v>#VALUE!</v>
      </c>
      <c r="M398" s="5" t="str">
        <f>IFERROR(__xludf.DUMMYFUNCTION("GOOGLETRANSLATE(G398)"),"The latest news of the show business of Russia and the world of biography of horoscopes stars is 24 Sumerovostybiography of theigorus-Sopakynod and the Sadopopro-Directory-Business-Business November11, 2023 15: 19th and hundreds of letters: how Efremov si"&amp;"ts in a colony and celebrates the anniversary of the next news and hundreds of letters: how Efremov sits in colony and notes the anniversary - BUSINESS November11, 2023 15: 19 Avatar, the second season of the Avatar show: New Rules New Participants New Me"&amp;"mber of the Jury-Business November 8, 2023 11: 33 Member Olympic champion Oleg Protopropropor Sports5, 2023 14: 25 Shchou-Business November 19, 2023 11: 11: 11: 11: 11: 11: The second season of the Avatar show was launched: New Rules New Participants New "&amp;"Member of the Jury Following News and Hundreds of Letters: How Efremov sits in a colony and celebrates the Jubilee-Business on November11, 2023 15: 19 Avatar show: New Rules New Participants New Member Jurisha-Business November 8, 2023 11: 33 Meter Olympi"&amp;"c champion Oleg Protopropropor Sports5 on November5, 2023. 14: 25 Sports5, 2023 14: 25 Muman champion Oleg Protopopovlynoye news and hundreds of letters: how Efremov sits in a colony and celebrates the anniversary-business on November11 2023 The second se"&amp;"ason of the Avatar show was launched: New Rules New Participants New Member of the Jury-Business, November 8, 2023 11: 33 Member Olympic champion Oleg Protopropropor Sports5, 2023 14: 25 Ceobratevs, a celebrity of Asmustravel threats and divorce: Kristina"&amp;" Asmus first said what turned out to be turned out Filming in the “text” Mikhail Efremovtort and hundreds of letters: how Efremov sits in a colony and celebrates the anniversary of theBackstreet Boys to find out who got the image of Trubadur in the “Avata"&amp;"r” show “Superstar!” The love story of Igor Novzhiev and his wife Alla “Avatar-Show” Sports guy Nightingale -born: we are trying to reveal the identity of this participation in the last news-business of the threat and divorce: Kristina Asmus first told ho"&amp;"w the shooting in the “text” of the show-businesswheel and hundreds of letters turned out: how Efremov sits in the colony and celebrates the anniversary-Khait from the “quartet and” became the father in the “quartet” 52 years old business on October 26, 2"&amp;"023 in Moscow, said goodbye to the Anfisa Rezovka, on October25, 2023, the star of the series ""Soldiers"" Ivan Zhidkov marries the student-business on October25, 2023. Dyanya Milokhin showed traces of beating in Tbilisi-Business on October 22, 2023 Tukta"&amp;"mysheva She answered by the end of the quarry of the sports on October 22, 2023. In the store of the sneakers of Nikita Efremov, he was served as a boss on October 22, 2023. Svetlan Razin admitted that she made seven abortions-business on October22, 2023."&amp;" Show-business, we’ll find out who got the image of Trubadur in the Avatar show99 On November 2023, the New Baronavirus strain is already in Russia: what is known about Pyoleshow-Business on November 8, 2023, the “blue light” washing: what will be the TV "&amp;"show in 2023 and why it requires the abolition on November8, 2023, the Gonkkong Kong Found in Russia: symptoms and symptoms and symptoms and symptoms The danger to the health of theshow business on November 8, 2023, the second season of the Avatar show wa"&amp;"s launched: new rules new participants new member of the Jury-Business Office of Love Igor Nadzhiev and his wife Allyshou-Business on October21, 2023 13: 58 times Malibu divorced shortly after the Wedding House of the Olympic champion Anfisa The cutting f"&amp;"arm on October 21, 2023 The results of the show “Voice. No children ""show business on October21, 2023, Svetlina, Svetlichnaya is treated for pneumonia and loses memory-Smisha-Business on October 19, 2023 Actor of the Kalambur show Sergey Glashkovo19, 202"&amp;"3, 2023, 2023 Schuu-Business Sports Businessman: We are trying to reveal the identity This participant in November 7, 2023 What is the Ministry of Happiness: the initiative of Matvienko and the World Practice-Business on October26, 2023, the young manista"&amp;" Ponomarenko revealed the reason for the hospitalization of the show-business on October26, 2023, the Kravovets discovered Pugacheva’s taxes for the “royal apartments” on the kympyu-business on October 26, 2023 “Miss Russia” Anna Linnikova came out to mar"&amp;"ry the business on October25, 2023. “The baby was taken from his mother: Ilya Sobolev and his wife and infants were almost expelled from the aircraft-business, we were giving the image of Sadko in the show“ Avatar ”show business on October25, 2023 “The sk"&amp;"irt did not lift up”: Andrei Gubin is outraged by the accusations of the singer Sharuhoshu-Business on October25, 2023, Nalia stormed the lover in Spain-Business on October 22, 2023, the Samoilova’s children were approved for the main roles in the new ser"&amp;"ial reciprocate of weekly fresh news to sign up for the expenses of the Business Economics of the Commercial Economics and Economics. Traveling and household carriers and opticha projectinformation About project-terraklamavakakan-dimensional consistency s"&amp;"ite Political Political Policy Cookie-Filter, Freshly Fresh News Subscribing in Social Schools: Found a typo? Help fix it! Highlight it and click Ctrl + Enterorphus in social networks: © 24smi.org 2010 - 2022. Using copyright materials that belong to 24sm"&amp;"i.org is possible only with a direct active link to the source. The editors are not responsible for the reliability of the information contained in advertisements. Category of Internet resource 18+")</f>
        <v>The latest news of the show business of Russia and the world of biography of horoscopes stars is 24 Sumerovostybiography of theigorus-Sopakynod and the Sadopopro-Directory-Business-Business November11, 2023 15: 19th and hundreds of letters: how Efremov sits in a colony and celebrates the anniversary of the next news and hundreds of letters: how Efremov sits in colony and notes the anniversary - BUSINESS November11, 2023 15: 19 Avatar, the second season of the Avatar show: New Rules New Participants New Member of the Jury-Business November 8, 2023 11: 33 Member Olympic champion Oleg Protopropropor Sports5, 2023 14: 25 Shchou-Business November 19, 2023 11: 11: 11: 11: 11: 11: The second season of the Avatar show was launched: New Rules New Participants New Member of the Jury Following News and Hundreds of Letters: How Efremov sits in a colony and celebrates the Jubilee-Business on November11, 2023 15: 19 Avatar show: New Rules New Participants New Member Jurisha-Business November 8, 2023 11: 33 Meter Olympic champion Oleg Protopropropor Sports5 on November5, 2023. 14: 25 Sports5, 2023 14: 25 Muman champion Oleg Protopopovlynoye news and hundreds of letters: how Efremov sits in a colony and celebrates the anniversary-business on November11 2023 The second season of the Avatar show was launched: New Rules New Participants New Member of the Jury-Business, November 8, 2023 11: 33 Member Olympic champion Oleg Protopropropor Sports5, 2023 14: 25 Ceobratevs, a celebrity of Asmustravel threats and divorce: Kristina Asmus first said what turned out to be turned out Filming in the “text” Mikhail Efremovtort and hundreds of letters: how Efremov sits in a colony and celebrates the anniversary of theBackstreet Boys to find out who got the image of Trubadur in the “Avatar” show “Superstar!” The love story of Igor Novzhiev and his wife Alla “Avatar-Show” Sports guy Nightingale -born: we are trying to reveal the identity of this participation in the last news-business of the threat and divorce: Kristina Asmus first told how the shooting in the “text” of the show-businesswheel and hundreds of letters turned out: how Efremov sits in the colony and celebrates the anniversary-Khait from the “quartet and” became the father in the “quartet” 52 years old business on October 26, 2023 in Moscow, said goodbye to the Anfisa Rezovka, on October25, 2023, the star of the series "Soldiers" Ivan Zhidkov marries the student-business on October25, 2023. Dyanya Milokhin showed traces of beating in Tbilisi-Business on October 22, 2023 Tuktamysheva She answered by the end of the quarry of the sports on October 22, 2023. In the store of the sneakers of Nikita Efremov, he was served as a boss on October 22, 2023. Svetlan Razin admitted that she made seven abortions-business on October22, 2023. Show-business, we’ll find out who got the image of Trubadur in the Avatar show99 On November 2023, the New Baronavirus strain is already in Russia: what is known about Pyoleshow-Business on November 8, 2023, the “blue light” washing: what will be the TV show in 2023 and why it requires the abolition on November8, 2023, the Gonkkong Kong Found in Russia: symptoms and symptoms and symptoms and symptoms The danger to the health of theshow business on November 8, 2023, the second season of the Avatar show was launched: new rules new participants new member of the Jury-Business Office of Love Igor Nadzhiev and his wife Allyshou-Business on October21, 2023 13: 58 times Malibu divorced shortly after the Wedding House of the Olympic champion Anfisa The cutting farm on October 21, 2023 The results of the show “Voice. No children "show business on October21, 2023, Svetlina, Svetlichnaya is treated for pneumonia and loses memory-Smisha-Business on October 19, 2023 Actor of the Kalambur show Sergey Glashkovo19, 2023, 2023, 2023 Schuu-Business Sports Businessman: We are trying to reveal the identity This participant in November 7, 2023 What is the Ministry of Happiness: the initiative of Matvienko and the World Practice-Business on October26, 2023, the young manista Ponomarenko revealed the reason for the hospitalization of the show-business on October26, 2023, the Kravovets discovered Pugacheva’s taxes for the “royal apartments” on the kympyu-business on October 26, 2023 “Miss Russia” Anna Linnikova came out to marry the business on October25, 2023. “The baby was taken from his mother: Ilya Sobolev and his wife and infants were almost expelled from the aircraft-business, we were giving the image of Sadko in the show“ Avatar ”show business on October25, 2023 “The skirt did not lift up”: Andrei Gubin is outraged by the accusations of the singer Sharuhoshu-Business on October25, 2023, Nalia stormed the lover in Spain-Business on October 22, 2023, the Samoilova’s children were approved for the main roles in the new serial reciprocate of weekly fresh news to sign up for the expenses of the Business Economics of the Commercial Economics and Economics. Traveling and household carriers and opticha projectinformation About project-terraklamavakakan-dimensional consistency site Political Political Policy Cookie-Filter, Freshly Fresh News Subscribing in Social Schools: Found a typo? Help fix it! Highlight it and click Ctrl + Enterorphus in social networks: © 24smi.org 2010 - 2022. Using copyright materials that belong to 24smi.org is possible only with a direct active link to the source. The editors are not responsible for the reliability of the information contained in advertisements. Category of Internet resource 18+</v>
      </c>
    </row>
    <row r="399">
      <c r="A399" s="1" t="s">
        <v>1351</v>
      </c>
      <c r="B399" s="1" t="s">
        <v>1369</v>
      </c>
      <c r="C399" s="1" t="s">
        <v>1370</v>
      </c>
      <c r="D399" s="1">
        <v>6.0</v>
      </c>
      <c r="E399" s="4" t="s">
        <v>1371</v>
      </c>
      <c r="F399" s="1" t="s">
        <v>16</v>
      </c>
      <c r="G399" s="1" t="s">
        <v>1372</v>
      </c>
      <c r="H399" s="4" t="s">
        <v>1373</v>
      </c>
      <c r="I399" s="2">
        <v>1.0</v>
      </c>
      <c r="J399" s="5" t="str">
        <f>IFERROR(__xludf.DUMMYFUNCTION("GOOGLETRANSLATE(A399)"),"Inna Churikova")</f>
        <v>Inna Churikova</v>
      </c>
      <c r="K399" s="6" t="str">
        <f>IFERROR(__xludf.DUMMYFUNCTION("GOOGLETRANSLATE(B399)"),"Churikova Inna Mikhailovna - biography of the actress, ...")</f>
        <v>Churikova Inna Mikhailovna - biography of the actress, ...</v>
      </c>
      <c r="L399" s="5" t="str">
        <f>IFERROR(__xludf.DUMMYFUNCTION("GOOGLETRANSLATE(C399)"),"June 13. 2023. -")</f>
        <v>June 13. 2023. -</v>
      </c>
      <c r="M399" s="5" t="str">
        <f>IFERROR(__xludf.DUMMYFUNCTION("GOOGLETRANSLATE(G399)"),"Culture.rf. The portal of the cultural heritage of the traditions of the peoples of Russia Afishapushkinskaya Kartovki -adoption online spectacles of the holidays may like the name of fishing. Artistic crafts of Russia. The names of the 20th century Broad"&amp;"casts of the broadcasting of transformations of the archives of the transmission transactions for translating stroke Squarerings can like the gyeslspetskotvsa special projects of the Kart Cartuced question of the day of the day of the day of the museums o"&amp;"f museums on the map: Virgin forests of comic stations about the movie movie Ty about the movie collection of film Babiography of actors and directors might like the car Museumsuy about museums and collections of the museum -to -house collection of arts o"&amp;"f museum collections of artists and Collectors may like the 5 manor's estates where it is worth visiting autumn musicians about music munsers of online puzzles of musical works and concerting concert halls of musicians and performing collective collective"&amp;" -concerts of the schematic; the birth of a red chapochteravso about the theaters of the theatrical collection about the theaters about the theaters about the theaters about the theaters Tactelaibiography of actors and the director of the theaters may lik"&amp;"e the Khrustal Turandot Crystal Crystal Ball in honor of Inna Churikoviteraturituravo about the literature of classical literature on Russian literature, collections on the literary theme of writers and the critic -bibliotexes of the Russian Russian poetr"&amp;"y may like the Ukrainians are burning: writers who have burned their works on the traditions of Russia's traditions about the traditions of Russia and ritual -religious heritage. MA Cultures and club -to -the -season inherits can appeal to the Suriece of "&amp;"the absurdity and useful architecture about the architecture of the Architecture catalogs about Architecture of the architects of architecturebiography of the architects of the Russian Termminins might like 5 ancient churches of different branches of Chri"&amp;"stian education about the formation of online artists about the art and science of lectures of lectures and public educational institutions tests Testers may like the Soviet legendary -forming artistic associations of Russian artism Zhniki supported each "&amp;"other searched for new styles and rebelled against the classic canons of the day of the day of the day -folklorine The modern language of the Tsar Alexei Mikhailovich is called the Tishahm? Daria Fedosovale of the Portal “Culture.rf” Publication: Ar-Nuvo "&amp;"or Ar-Deco? Guess the architectural style of a photograph of the music about music, poets wrote about the arfs of jazz and the works of Beethoven's publication that “experienced everyone and everyone who had experienced everyone and all ""How"" Red Moscow"&amp;" ""became one of the main Soviet aromatic confronters and lectures by Yuri Temirkanovo listening to the works of Shostakovich Khachaturian and Rachmaninov, a tour: are you versed in the poem? Distinguish the Katren from Verlibra and the pair rhyme - from "&amp;"the ring -sewer in Russia: from folk medicine to curses of the Oblast of Obel. From unclean power and conspiracies for love, Moscow skyscrapers of the beginning of the 20th century were built why they were afraid and when they began to call the cloudrezam"&amp;"ation of a tie: old medicinal diseases treated the amethyst of black peppers and the secret of the gland of the reindeer of Kondraty Ryleylyuboval Lyrics to the emperor and a song about the Yermak in the work of the poet-decibistan riya of one ballet: """&amp;""" Bayader ”as the scenes of the earthquake have disappeared from the performance and what does the“ HPP -2 ”revolutionary -horsemeum have the exhibition“ Cup Cup in the Combine of the Cup. In the direction of Rozanova »On November 10, the Culture of Mosc"&amp;"ow hosts the international exhibition-forum“ Russia ”on November 9, Culture News, the Congress“ Cultural Heritage of Uzbekistan ”-the Foundation of the New Renaissance” On November 8, the Russian Cultiva of the Humanities “Culture around us” is held on th"&amp;"e Russian Cultural News of the Humanities ” On November 7 Culture Culture News Creative Awards 2023, it completes the receipt of applications 3 November Employes interesting exhibitions on November 1 on November 1 Sign up for the newsletter of the Culture"&amp;". Films Lectures Concerts and Playlive15 November November 14:00 ""Museum routes of Russia."" Strategic session November 17: 0010 stories from the ""bad apartment"" Museum Museum Bulgakova on Bolshaya Sadovaya22 November 19: 00 Tyu does not become the Mem"&amp;"oinemkaluga Regional Philharmonic 26 November 19: 00k 150th anniversary of S. Rachmaninov “Opera Alekho” Kaluga Regional Philharmonic November 12: 00 Rhi-Baren-Black Theater Decree 08: 00 Persons “Tales of Naga Nyagans” Nyagansky Theater TR young Viewer N"&amp;"ovember 112 November 07: 00lecting “On the 75th anniversary of the conference on the study of the productive forces of Kuzbass” Department of the history of the Kuzbass State Local Lore Museum November 08:00 “As a Koschey Immortal in Vasilisa” Kansky Dram"&amp;"a Theater Catalogs Zapelovkino1899999999999999676 Handsuits1676 Handsuits 276 Hands 75 lectures of Russia347 mixtmuzia5474 Reviewsliterature722 2245 -placed creative laboratories of Russia, reduced classes for people with disabilities in all Strange Code:"&amp;" works for schoolchildren, book performances and architectural monumental creative laboratories of Russia -ores for people with disabilities throughout the strange code: works for students of the book and architectural monuments of the Project project of "&amp;"traveler: the image of India in the Russian artistan of unexpected miracles nye pearlsprooproterkta The Museum of Music Instruments of different eras is unusual objects and ancient interiors of the Afishalivespetsproektykinukinomazykazykazykazykazykazykaz"&amp;"ykatytotraliterachitecture formation ""Culture.rf"" - a humanitarian educational project dedicated to the culture of Russia. We talk about interesting and significant events and people in the history of literature of the Music of the Theater Music, as wel"&amp;"l as about folk traditions and monuments of our nature in the format of educational articles of interviews of news tests and in any modern Internet format. Culture. All rights are protected by contacts-mail: cultrf@mkrf.ru, the typos? Ctrl+Enterterialpric"&amp;"ation and copying of materials from the portal Active hyperlink is required")</f>
        <v>Culture.rf. The portal of the cultural heritage of the traditions of the peoples of Russia Afishapushkinskaya Kartovki -adoption online spectacles of the holidays may like the name of fishing. Artistic crafts of Russia. The names of the 20th century Broadcasts of the broadcasting of transformations of the archives of the transmission transactions for translating stroke Squarerings can like the gyeslspetskotvsa special projects of the Kart Cartuced question of the day of the day of the day of the museums of museums on the map: Virgin forests of comic stations about the movie movie Ty about the movie collection of film Babiography of actors and directors might like the car Museumsuy about museums and collections of the museum -to -house collection of arts of museum collections of artists and Collectors may like the 5 manor's estates where it is worth visiting autumn musicians about music munsers of online puzzles of musical works and concerting concert halls of musicians and performing collective collective -concerts of the schematic; the birth of a red chapochteravso about the theaters of the theatrical collection about the theaters about the theaters about the theaters about the theaters Tactelaibiography of actors and the director of the theaters may like the Khrustal Turandot Crystal Crystal Ball in honor of Inna Churikoviteraturituravo about the literature of classical literature on Russian literature, collections on the literary theme of writers and the critic -bibliotexes of the Russian Russian poetry may like the Ukrainians are burning: writers who have burned their works on the traditions of Russia's traditions about the traditions of Russia and ritual -religious heritage. MA Cultures and club -to -the -season inherits can appeal to the Suriece of the absurdity and useful architecture about the architecture of the Architecture catalogs about Architecture of the architects of architecturebiography of the architects of the Russian Termminins might like 5 ancient churches of different branches of Christian education about the formation of online artists about the art and science of lectures of lectures and public educational institutions tests Testers may like the Soviet legendary -forming artistic associations of Russian artism Zhniki supported each other searched for new styles and rebelled against the classic canons of the day of the day of the day -folklorine The modern language of the Tsar Alexei Mikhailovich is called the Tishahm? Daria Fedosovale of the Portal “Culture.rf” Publication: Ar-Nuvo or Ar-Deco? Guess the architectural style of a photograph of the music about music, poets wrote about the arfs of jazz and the works of Beethoven's publication that “experienced everyone and everyone who had experienced everyone and all "How" Red Moscow "became one of the main Soviet aromatic confronters and lectures by Yuri Temirkanovo listening to the works of Shostakovich Khachaturian and Rachmaninov, a tour: are you versed in the poem? Distinguish the Katren from Verlibra and the pair rhyme - from the ring -sewer in Russia: from folk medicine to curses of the Oblast of Obel. From unclean power and conspiracies for love, Moscow skyscrapers of the beginning of the 20th century were built why they were afraid and when they began to call the cloudrezamation of a tie: old medicinal diseases treated the amethyst of black peppers and the secret of the gland of the reindeer of Kondraty Ryleylyuboval Lyrics to the emperor and a song about the Yermak in the work of the poet-decibistan riya of one ballet: "" Bayader ”as the scenes of the earthquake have disappeared from the performance and what does the“ HPP -2 ”revolutionary -horsemeum have the exhibition“ Cup Cup in the Combine of the Cup. In the direction of Rozanova »On November 10, the Culture of Moscow hosts the international exhibition-forum“ Russia ”on November 9, Culture News, the Congress“ Cultural Heritage of Uzbekistan ”-the Foundation of the New Renaissance” On November 8, the Russian Cultiva of the Humanities “Culture around us” is held on the Russian Cultural News of the Humanities ” On November 7 Culture Culture News Creative Awards 2023, it completes the receipt of applications 3 November Employes interesting exhibitions on November 1 on November 1 Sign up for the newsletter of the Culture. Films Lectures Concerts and Playlive15 November November 14:00 "Museum routes of Russia." Strategic session November 17: 0010 stories from the "bad apartment" Museum Museum Bulgakova on Bolshaya Sadovaya22 November 19: 00 Tyu does not become the Memoinemkaluga Regional Philharmonic 26 November 19: 00k 150th anniversary of S. Rachmaninov “Opera Alekho” Kaluga Regional Philharmonic November 12: 00 Rhi-Baren-Black Theater Decree 08: 00 Persons “Tales of Naga Nyagans” Nyagansky Theater TR young Viewer November 112 November 07: 00lecting “On the 75th anniversary of the conference on the study of the productive forces of Kuzbass” Department of the history of the Kuzbass State Local Lore Museum November 08:00 “As a Koschey Immortal in Vasilisa” Kansky Drama Theater Catalogs Zapelovkino1899999999999999676 Handsuits1676 Handsuits 276 Hands 75 lectures of Russia347 mixtmuzia5474 Reviewsliterature722 2245 -placed creative laboratories of Russia, reduced classes for people with disabilities in all Strange Code: works for schoolchildren, book performances and architectural monumental creative laboratories of Russia -ores for people with disabilities throughout the strange code: works for students of the book and architectural monuments of the Project project of traveler: the image of India in the Russian artistan of unexpected miracles nye pearlsprooproterkta The Museum of Music Instruments of different eras is unusual objects and ancient interiors of the Afishalivespetsproektykinukinomazykazykazykazykazykazykazykatytotraliterachitecture formation "Culture.rf" - a humanitarian educational project dedicated to the culture of Russia. We talk about interesting and significant events and people in the history of literature of the Music of the Theater Music, as well as about folk traditions and monuments of our nature in the format of educational articles of interviews of news tests and in any modern Internet format. Culture. All rights are protected by contacts-mail: cultrf@mkrf.ru, the typos? Ctrl+Enterterialprication and copying of materials from the portal Active hyperlink is required</v>
      </c>
    </row>
    <row r="400">
      <c r="A400" s="1" t="s">
        <v>1351</v>
      </c>
      <c r="B400" s="1" t="s">
        <v>1374</v>
      </c>
      <c r="C400" s="1" t="s">
        <v>1375</v>
      </c>
      <c r="D400" s="1">
        <v>7.0</v>
      </c>
      <c r="E400" s="4" t="s">
        <v>1376</v>
      </c>
      <c r="F400" s="1" t="s">
        <v>16</v>
      </c>
      <c r="G400" s="1" t="s">
        <v>1377</v>
      </c>
      <c r="H400" s="4" t="s">
        <v>1378</v>
      </c>
      <c r="I400" s="2">
        <v>1.0</v>
      </c>
      <c r="J400" s="5" t="str">
        <f>IFERROR(__xludf.DUMMYFUNCTION("GOOGLETRANSLATE(A400)"),"Inna Churikova")</f>
        <v>Inna Churikova</v>
      </c>
      <c r="K400" s="6" t="str">
        <f>IFERROR(__xludf.DUMMYFUNCTION("GOOGLETRANSLATE(B400)"),"Inna Churikova biography, photo, personal life, ...")</f>
        <v>Inna Churikova biography, photo, personal life, ...</v>
      </c>
      <c r="L400" s="5" t="str">
        <f>IFERROR(__xludf.DUMMYFUNCTION("GOOGLETRANSLATE(C400)"),"Inna Churikova - without exaggeration, the great Russian actress, wife and muse of the talented director Gleb Panfilov and the prima of the legendary theater Lenkom. This ...")</f>
        <v>Inna Churikova - without exaggeration, the great Russian actress, wife and muse of the talented director Gleb Panfilov and the prima of the legendary theater Lenkom. This ...</v>
      </c>
      <c r="M400" s="5" t="str">
        <f>IFERROR(__xludf.DUMMYFUNCTION("GOOGLETRANSLATE(G400)"),"Find out everything. News of the day all the main news of the day for today, for today, the business of interest-busiastology menu ▼ toggle navigation show business interesting biographies Films Tests Forum Astrology Lunar calendar names in Russia in the "&amp;"world of incident, Learn all-Khanna explained why the children were born not in the Russian State Duma Andrei Svintsov Create a special tax regime “Live and release” for the reservoirs: Eva Polna told about the new album15 famous people who abandoned the "&amp;"citizenship of the Russian Federation Ivanushki published a rare archival video and explained why their group became the legendary group “Ivanushki International” for 29 years now It remains afloat, despite many musical directions of the domestic world wh"&amp;"o overwhelmed the world ... 3547 -year -old12 Russian stars who openly talk about their psyche problems constantly abode under the strongest psychological pressure. They have to cope with the onslaught of colleagues emanating from producers ... 11254 DELE"&amp;"CAL CARK will lie: 6 successful and 6 disastrous plastic surgery of celebrities, the desire to become better for a person. However, in the weather behind the ideal appearance, it is very easy to get out of the way and forget about their uniqueness .... 12"&amp;"1554-day-Khanna explained why they were born not in Russia, the singer admitted that the decision to give birth to children abroad was conscious and was made in advance. 3583 DELEASHING SHOULD SHOULD BUSTICAL News of the Day of News of Russiav Mirav-Prosp"&amp;"ection-Business-Glaces deceived 300 people, promising them furniture from IKEA, the entrepreneur registered the Love IKEA VRN company and claimed that the goods of the company that had left Russia, who had left Russia, have been able to import from Russia"&amp;" and ... 2187 Dalemoskovsky blogger in her apartment of the courier 36-year-old Anton Dudkov I ordered a bag for 500 thousand rubles on the Internet, but when they brought it the goods remained unhappy. The blogger decided that he was brought ... 2432 Dai"&amp;"leev of the Moscow Region was attacked by a “fighter with a zombie” the incident occurred in Lyubertsy. At first, a person who behaves inappropriately in black clothes attacked a woman with a child and then on the law enforcement officers .... 2330 Dailee"&amp;"v, the son of a famous theater director, was about the heir to the theater director and screenwriter Inna Abramova. A young man who fell out of the window discovered a passerby on the street. The place was called ... 26512 An interesting 8 things on a dat"&amp;"e that are good in theory, but they are bad in practice how to behave on a date what to do and what to talk about - these issues worry everyone who is waiting for a meeting and anticipating pleasant communication ... The signs that you are unpleasant to t"&amp;"he interlocutor, a person can not always or want to demonstrate hostility to the interlocutor but true feelings can be recognized thanks to the language of gestures of the manner ... 5109561, 7 unusual pancakes on Shrovetide, pancakes on Shrovetide, you w"&amp;"on’t be surprised, but on the holiday you want to try something new. These unusual recipes will help improve the mood on the eve of ... 5506095 Hays to be saved from a hangover if you are already drunk dizziness blurred reason and deterioration of orienta"&amp;"tion - the first signs of the upcoming morning hangover can be recognized during the feast .... 415976 An interesting factory is 4 pairs of zodiac signs are true friend A friend until the very end ❤️ Pales who remain correct throughout life - a rather rar"&amp;"e phenomenon in the modern world. Too many around the possibilities and temptations ... 370342830 Dailelus and hatred: what signs of the zodiac pulls to each other, but they are not fate to be such a relationship in which passion and hatred are in an equa"&amp;"l position. These couples constantly swear the hate hate each other and insanely ... 580515836 Dodalemes of these 4 zodiac signs will never leave the family over the men of these signs of these signs - first of all. However, do not confuse this list with "&amp;"a rating of fidelity. Some signs appearing in this material ... 317835675 Figure 4 of the most caring zodiac sign sincerely caring and indifferent people are very rare in our lives. The meaning of their existence lies somewhere outside their ego, they wan"&amp;"t to do ... 55824983 More articles of the articles, well, do you know celebrities? Check yourself! Some celebrities go to all kinds of tricks to hide the complexes about growth: the heels are hidden platforms unusual cut of clothing ... 211325518 Dailecap"&amp;"al: what is your salary in the world of Russian stars? The life of Russian celebrities is not only astronomical fees, but also the corresponding costs. 135461328, as far as you are a sexist so far in America and Europe, feminism is already perceived as an"&amp;" integral and even everyday part of the information agenda, Russia is slightly behind ... 13202026 Daileysoro will the uprising of cars begin? The test on the potential threat of artificial intelligence was warned by Stephen Hawking and Ilon Musk, but art"&amp;"ificial intelligence (hereinafter II) is still far from ... 1177992 gender of tests of the test of the current situation in Cryptomir Maxim Kurbangaleev spoke about the “crypto-sample” and about the situation in the market in the market in the market in t"&amp;"he market 2022. NFT-marketplace Opensea reduces employees by 20%... 958 gender and order jewelry online: useful advice to customers, the modern global network has long ceased to be a storage of information, turning into a set of convenient tools without w"&amp;"hich it is difficult ... 3145 Daileyecaks to understand the characteristics of diamonds for 5 minutes? Buying a diamond or jewelry with it is always an investment since such jewelry is transmitted from generation to generation. Therefore ... 5143 -Basic l"&amp;"ending rules: different categories of borrowers, any credit institution puts forward its requirements for potential borrowers. Someone has these requirements more strictly for someone-more loyal. 39999th-release releases of companies of Malyshev education"&amp;" 4.6albert Philosa Place of birth5.4andry Khozher what kind of Feofan in life, Feofan, how much became popular, all about the character7.1 Ododkb5.2 on the day a day For you, we select the reliable fresh news of the day about everything that happened toda"&amp;"y in Russia and in the world: Politics Economics Culture Sports Finance of the incident facts from the life of your favorite idols and answers to questions that excite you. The latest news of the day with experts and photo materials. Keep your hand on the"&amp;" pulse of world news along with the information portal to find out! Find out the whole of Russia in the world of public and the Factress releases of the Besestestesmnetiforumo company, the company Political Policy Political Association of Law is protected"&amp;". Copying and use of full materials is prohibited. Stead quoting is possible only if hyperlinks on the site uznayvse.ru")</f>
        <v>Find out everything. News of the day all the main news of the day for today, for today, the business of interest-busiastology menu ▼ toggle navigation show business interesting biographies Films Tests Forum Astrology Lunar calendar names in Russia in the world of incident, Learn all-Khanna explained why the children were born not in the Russian State Duma Andrei Svintsov Create a special tax regime “Live and release” for the reservoirs: Eva Polna told about the new album15 famous people who abandoned the citizenship of the Russian Federation Ivanushki published a rare archival video and explained why their group became the legendary group “Ivanushki International” for 29 years now It remains afloat, despite many musical directions of the domestic world who overwhelmed the world ... 3547 -year -old12 Russian stars who openly talk about their psyche problems constantly abode under the strongest psychological pressure. They have to cope with the onslaught of colleagues emanating from producers ... 11254 DELECAL CARK will lie: 6 successful and 6 disastrous plastic surgery of celebrities, the desire to become better for a person. However, in the weather behind the ideal appearance, it is very easy to get out of the way and forget about their uniqueness .... 121554-day-Khanna explained why they were born not in Russia, the singer admitted that the decision to give birth to children abroad was conscious and was made in advance. 3583 DELEASHING SHOULD SHOULD BUSTICAL News of the Day of News of Russiav Mirav-Prospection-Business-Glaces deceived 300 people, promising them furniture from IKEA, the entrepreneur registered the Love IKEA VRN company and claimed that the goods of the company that had left Russia, who had left Russia, have been able to import from Russia and ... 2187 Dalemoskovsky blogger in her apartment of the courier 36-year-old Anton Dudkov I ordered a bag for 500 thousand rubles on the Internet, but when they brought it the goods remained unhappy. The blogger decided that he was brought ... 2432 Daileev of the Moscow Region was attacked by a “fighter with a zombie” the incident occurred in Lyubertsy. At first, a person who behaves inappropriately in black clothes attacked a woman with a child and then on the law enforcement officers .... 2330 Daileev, the son of a famous theater director, was about the heir to the theater director and screenwriter Inna Abramova. A young man who fell out of the window discovered a passerby on the street. The place was called ... 26512 An interesting 8 things on a date that are good in theory, but they are bad in practice how to behave on a date what to do and what to talk about - these issues worry everyone who is waiting for a meeting and anticipating pleasant communication ... The signs that you are unpleasant to the interlocutor, a person can not always or want to demonstrate hostility to the interlocutor but true feelings can be recognized thanks to the language of gestures of the manner ... 5109561, 7 unusual pancakes on Shrovetide, pancakes on Shrovetide, you won’t be surprised, but on the holiday you want to try something new. These unusual recipes will help improve the mood on the eve of ... 5506095 Hays to be saved from a hangover if you are already drunk dizziness blurred reason and deterioration of orientation - the first signs of the upcoming morning hangover can be recognized during the feast .... 415976 An interesting factory is 4 pairs of zodiac signs are true friend A friend until the very end ❤️ Pales who remain correct throughout life - a rather rare phenomenon in the modern world. Too many around the possibilities and temptations ... 370342830 Dailelus and hatred: what signs of the zodiac pulls to each other, but they are not fate to be such a relationship in which passion and hatred are in an equal position. These couples constantly swear the hate hate each other and insanely ... 580515836 Dodalemes of these 4 zodiac signs will never leave the family over the men of these signs of these signs - first of all. However, do not confuse this list with a rating of fidelity. Some signs appearing in this material ... 317835675 Figure 4 of the most caring zodiac sign sincerely caring and indifferent people are very rare in our lives. The meaning of their existence lies somewhere outside their ego, they want to do ... 55824983 More articles of the articles, well, do you know celebrities? Check yourself! Some celebrities go to all kinds of tricks to hide the complexes about growth: the heels are hidden platforms unusual cut of clothing ... 211325518 Dailecapal: what is your salary in the world of Russian stars? The life of Russian celebrities is not only astronomical fees, but also the corresponding costs. 135461328, as far as you are a sexist so far in America and Europe, feminism is already perceived as an integral and even everyday part of the information agenda, Russia is slightly behind ... 13202026 Daileysoro will the uprising of cars begin? The test on the potential threat of artificial intelligence was warned by Stephen Hawking and Ilon Musk, but artificial intelligence (hereinafter II) is still far from ... 1177992 gender of tests of the test of the current situation in Cryptomir Maxim Kurbangaleev spoke about the “crypto-sample” and about the situation in the market in the market in the market in the market 2022. NFT-marketplace Opensea reduces employees by 20%... 958 gender and order jewelry online: useful advice to customers, the modern global network has long ceased to be a storage of information, turning into a set of convenient tools without which it is difficult ... 3145 Daileyecaks to understand the characteristics of diamonds for 5 minutes? Buying a diamond or jewelry with it is always an investment since such jewelry is transmitted from generation to generation. Therefore ... 5143 -Basic lending rules: different categories of borrowers, any credit institution puts forward its requirements for potential borrowers. Someone has these requirements more strictly for someone-more loyal. 39999th-release releases of companies of Malyshev education 4.6albert Philosa Place of birth5.4andry Khozher what kind of Feofan in life, Feofan, how much became popular, all about the character7.1 Ododkb5.2 on the day a day For you, we select the reliable fresh news of the day about everything that happened today in Russia and in the world: Politics Economics Culture Sports Finance of the incident facts from the life of your favorite idols and answers to questions that excite you. The latest news of the day with experts and photo materials. Keep your hand on the pulse of world news along with the information portal to find out! Find out the whole of Russia in the world of public and the Factress releases of the Besestestesmnetiforumo company, the company Political Policy Political Association of Law is protected. Copying and use of full materials is prohibited. Stead quoting is possible only if hyperlinks on the site uznayvse.ru</v>
      </c>
    </row>
    <row r="401">
      <c r="A401" s="1" t="s">
        <v>1351</v>
      </c>
      <c r="B401" s="1" t="s">
        <v>1352</v>
      </c>
      <c r="C401" s="1" t="s">
        <v>1379</v>
      </c>
      <c r="D401" s="1">
        <v>8.0</v>
      </c>
      <c r="E401" s="4" t="s">
        <v>1380</v>
      </c>
      <c r="F401" s="1" t="s">
        <v>16</v>
      </c>
      <c r="G401" s="1" t="s">
        <v>1175</v>
      </c>
      <c r="H401" s="4" t="s">
        <v>1176</v>
      </c>
      <c r="I401" s="2">
        <v>1.0</v>
      </c>
      <c r="J401" s="5" t="str">
        <f>IFERROR(__xludf.DUMMYFUNCTION("GOOGLETRANSLATE(A401)"),"Inna Churikova")</f>
        <v>Inna Churikova</v>
      </c>
      <c r="K401" s="6" t="str">
        <f>IFERROR(__xludf.DUMMYFUNCTION("GOOGLETRANSLATE(B401)"),"Churikova, Inna Mikhailovna")</f>
        <v>Churikova, Inna Mikhailovna</v>
      </c>
      <c r="L401" s="5" t="str">
        <f>IFERROR(__xludf.DUMMYFUNCTION("GOOGLETRANSLATE(C401)"),"July 11. 2023. -")</f>
        <v>July 11. 2023. -</v>
      </c>
      <c r="M401" s="5" t="str">
        <f>IFERROR(__xludf.DUMMYFUNCTION("GOOGLETRANSLATE(G401)"),"Russian Society Knowledge - holding Grants of the Lecture of Marathona Lecture Interesting Personal Personal Personal Personal Directorate of Projects of Projects of Projects of the Lecture of Lecture Social -High -Human Resources to Lecture to Lecture to"&amp;" Building the Building Partner to Expert -Metal Exhibition -Forum “Russia” to watch a broadcast 04.11 - 12.04s . - cf. Online. Tatra -Russian educational action in more detail 28.09 - 15.12 cm. - Fri -documentary films about everything on Light and the be"&amp;"st about the most interesting in our cinema. Rather, go and enjoy the viewing! More knowledge. Vikinash new project is a digital library of reliable knowledge that we create together! Details the teachers and mentor 2023 Supreme Highlights with a lecturer"&amp;" with a lecturer with a lecturerome Averbukhserebiye winner of the Olympic Games Honored Master of Sports of Russia Baranovaanovags. the hero of the USSR Hero of labor Laureate The State Prizes of the USSR and the Russian Federation Professor Surgery, the"&amp;" Marukhukovo artist of the Russian State Prize, artistic director of the Moscow Provincial Theater, actor director Beloglazovkommandir of the Special Purpose of the Vityaz Center named after the F. E. Dzerzhinsky FSVang of the Russian Federation Hero of t"&amp;"he Russian Federation of the Russian Federation Berezikova -Russian athlete in battles in the mixed styles of the Believer, Berodistan Yes “I am!” Camila Valievari -Russian skater -president Winery President of the All -Russian Federation of the Artistic "&amp;"Gymnastics School of Gymnastics Golikova President of the Chairman of the Government of the Russian Federation Gorosiyuzakanterman Grefaman Gref -chairman of PJSC Sberbancyla Drozdovodtor of Biological Sciences Honored Professor of the Moscow State Univer"&amp;"sity of Geographical Faculty of Lomonosov Member Member of the Board of Trustees of WWF Russia Telezediy Member The author of the writers of Russia more than 200 articles and 40 books of the book Demiter Dyuzhevacter Sing -film director Honored Artist of "&amp;"the Russian Federation Zakharevoder of the Department of Information and Press of the Ministry of Foreign Affairs of the Russian Russian Cargean -Russian chessman of the Caspersky General General Director of Kaspersky Lab Director of NIC ""Kurchatov Insti"&amp;"tute"" Grigory Kokotkinossian actor Theater and Cinema Teacher Acting Artistic Director of the Architect Cultural Center Bloggaranna Kuznetsovacelor of the Chairman of the State Duma, Federal Assembly of the Russian Federation of the Russian Federation of"&amp;" the Russian Federation (Vovan) Prakersershezmage Lavrov minister of the Russian Federation of the KROSS COSMETIC, Actress singer Popular Blograleki Likhachevgeneral Director State Rosatom Corporation Roman The Lobashian editor of the television channel "&amp;"""My Planet"" Maria Lvova-Belya-Authorized President of the Russian Federation for the Rights of the Childvasmimmir Mashkovo artist Oleg Tabakov People's and Honored Artist of the Russian Medinsky President of the Russian Federation, Chairman of the Russi"&amp;"an Military-Historical Society of the Government of the Russian Federation on November 113 to scientific quiz and lectures on Cosmos Acquaintance with the Amur and Sakhalin regions Useful tips for self -development - how the next day of the educational pr"&amp;"ogram of the Russian exhibition ""Russia"" was held on November 10, 2023 General Director of GLONASS JSC, Alexei Rakevich conducted an excursion trip to the Tomsk and Novgorod regions at the Russian Economic Program of the Society “Knowledge” on November "&amp;"10, 2023 History in the persons of events and facts: in the Kherson region, educational activities were held, Knowledge of the TRACH. Khrephorycalendar of the measures for project -designed therapy to the Important Rossiya Russian Assembly at VDNH 2023 Ra"&amp;"zhovtorskhovtorskupkupkupkhkupkups 99) 393-33-38 technical support: Support@ znanierussia.ru Recreation “Knowledge”: info@znanierussia.ruadre Organization: 109240 Moscow intracity territory municipal district Tagansky Nikolayamskaya D 11 Politician Privac"&amp;"y Agreement of the Russian Society “Knowledge” on the creation of the Russian Society “Knowledge” Report on the use of property for 2021 years of age of 2021 about Using property for 2022 © 2023 Russian Society ""Knowledge""")</f>
        <v>Russian Society Knowledge - holding Grants of the Lecture of Marathona Lecture Interesting Personal Personal Personal Personal Directorate of Projects of Projects of Projects of the Lecture of Lecture Social -High -Human Resources to Lecture to Lecture to Building the Building Partner to Expert -Metal Exhibition -Forum “Russia” to watch a broadcast 04.11 - 12.04s . - cf. Online. Tatra -Russian educational action in more detail 28.09 - 15.12 cm. - Fri -documentary films about everything on Light and the best about the most interesting in our cinema. Rather, go and enjoy the viewing! More knowledge. Vikinash new project is a digital library of reliable knowledge that we create together! Details the teachers and mentor 2023 Supreme Highlights with a lecturer with a lecturer with a lecturerome Averbukhserebiye winner of the Olympic Games Honored Master of Sports of Russia Baranovaanovags. the hero of the USSR Hero of labor Laureate The State Prizes of the USSR and the Russian Federation Professor Surgery, the Marukhukovo artist of the Russian State Prize, artistic director of the Moscow Provincial Theater, actor director Beloglazovkommandir of the Special Purpose of the Vityaz Center named after the F. E. Dzerzhinsky FSVang of the Russian Federation Hero of the Russian Federation of the Russian Federation Berezikova -Russian athlete in battles in the mixed styles of the Believer, Berodistan Yes “I am!” Camila Valievari -Russian skater -president Winery President of the All -Russian Federation of the Artistic Gymnastics School of Gymnastics Golikova President of the Chairman of the Government of the Russian Federation Gorosiyuzakanterman Grefaman Gref -chairman of PJSC Sberbancyla Drozdovodtor of Biological Sciences Honored Professor of the Moscow State University of Geographical Faculty of Lomonosov Member Member of the Board of Trustees of WWF Russia Telezediy Member The author of the writers of Russia more than 200 articles and 40 books of the book Demiter Dyuzhevacter Sing -film director Honored Artist of the Russian Federation Zakharevoder of the Department of Information and Press of the Ministry of Foreign Affairs of the Russian Russian Cargean -Russian chessman of the Caspersky General General Director of Kaspersky Lab Director of NIC "Kurchatov Institute" Grigory Kokotkinossian actor Theater and Cinema Teacher Acting Artistic Director of the Architect Cultural Center Bloggaranna Kuznetsovacelor of the Chairman of the State Duma, Federal Assembly of the Russian Federation of the Russian Federation of the Russian Federation (Vovan) Prakersershezmage Lavrov minister of the Russian Federation of the KROSS COSMETIC, Actress singer Popular Blograleki Likhachevgeneral Director State Rosatom Corporation Roman The Lobashian editor of the television channel "My Planet" Maria Lvova-Belya-Authorized President of the Russian Federation for the Rights of the Childvasmimmir Mashkovo artist Oleg Tabakov People's and Honored Artist of the Russian Medinsky President of the Russian Federation, Chairman of the Russian Military-Historical Society of the Government of the Russian Federation on November 113 to scientific quiz and lectures on Cosmos Acquaintance with the Amur and Sakhalin regions Useful tips for self -development - how the next day of the educational program of the Russian exhibition "Russia" was held on November 10, 2023 General Director of GLONASS JSC, Alexei Rakevich conducted an excursion trip to the Tomsk and Novgorod regions at the Russian Economic Program of the Society “Knowledge” on November 10, 2023 History in the persons of events and facts: in the Kherson region, educational activities were held, Knowledge of the TRACH. Khrephorycalendar of the measures for project -designed therapy to the Important Rossiya Russian Assembly at VDNH 2023 Razhovtorskhovtorskupkupkupkhkupkups 99) 393-33-38 technical support: Support@ znanierussia.ru Recreation “Knowledge”: info@znanierussia.ruadre Organization: 109240 Moscow intracity territory municipal district Tagansky Nikolayamskaya D 11 Politician Privacy Agreement of the Russian Society “Knowledge” on the creation of the Russian Society “Knowledge” Report on the use of property for 2021 years of age of 2021 about Using property for 2022 © 2023 Russian Society "Knowledge"</v>
      </c>
    </row>
    <row r="402">
      <c r="A402" s="1" t="s">
        <v>1351</v>
      </c>
      <c r="B402" s="1" t="s">
        <v>1381</v>
      </c>
      <c r="C402" s="1" t="s">
        <v>1382</v>
      </c>
      <c r="D402" s="1">
        <v>9.0</v>
      </c>
      <c r="E402" s="4" t="s">
        <v>1383</v>
      </c>
      <c r="F402" s="1" t="s">
        <v>16</v>
      </c>
      <c r="G402" s="1" t="s">
        <v>1384</v>
      </c>
      <c r="H402" s="4" t="s">
        <v>1385</v>
      </c>
      <c r="I402" s="2">
        <v>1.0</v>
      </c>
      <c r="J402" s="5" t="str">
        <f>IFERROR(__xludf.DUMMYFUNCTION("GOOGLETRANSLATE(A402)"),"Inna Churikova")</f>
        <v>Inna Churikova</v>
      </c>
      <c r="K402" s="6" t="str">
        <f>IFERROR(__xludf.DUMMYFUNCTION("GOOGLETRANSLATE(B402)"),"Inna Churikova: biography, photo")</f>
        <v>Inna Churikova: biography, photo</v>
      </c>
      <c r="L402" s="5" t="str">
        <f>IFERROR(__xludf.DUMMYFUNCTION("GOOGLETRANSLATE(C402)"),"Inna Churikova graduated from the Higher Theater School named after M. S. Shchepkin. Since 1965 - actress of the Moscow Theater of a young spectator, since 1968 she worked under contracts ...")</f>
        <v>Inna Churikova graduated from the Higher Theater School named after M. S. Shchepkin. Since 1965 - actress of the Moscow Theater of a young spectator, since 1968 she worked under contracts ...</v>
      </c>
      <c r="M402" s="5" t="str">
        <f>IFERROR(__xludf.DUMMYFUNCTION("GOOGLETRANSLATE(G402)"),"Cinema Mail.ru-films TV shows and television shows from the most popular online kinotar.ruchkhtama Mirodoklassnikvakovkontaktegryznakottaktegryno-namilogracoblakoblakovk combox projects of project-owned vehicle Verkhradradravotrachmodrodrahmodravrinindr 2"&amp;"023 / Rossiya, Traileler schedule and tickets for a pursuit of Tickets of absolute evil 2023 / Sweden to watch the Onlanininteriyuyuyuyeuria about the stargament Sopelnik: ""They said to me:"" You are a cadet. "" It’s good but I am also an actor ”reversin"&amp;"g the Frost of Revelation Asti Detective with Petrenko: what to see the now on the now on the new curious series of autumn that you could miss the films and the TV series see online) The musicalistoric biliography of the musical westwormltfilmults of the "&amp;"Detective Detective Angaanimeeerotics Surfrali -Great -Britishbielarmaniagiacongindiadaliytaliytaliytaliytaliyanadanakanadarakanadaeraeraciac -navigan -naviganiyashtyzhevyaniyanyanodyan -brigade reserves of the Republic of Emergencies Republican Nibazilia"&amp;"vivevvengriyavstriyavstriyanlandlandyanorium -Ryumyamyranirail Portugalia -Balogaria -Bariylannaya Zealania -earnings of the Greek Iranioslaviayslandiyelyuks (China) Colombiaefilippinings -ahopurliworvykhorvaghorvaghorvashkurvatygorvasiyraziyazhorvasiyraz"&amp;"iyazhorvasiyraziyazhorvasiyraziyazhorvasiyraziyazhorvasiyraziyazhorvasiyazyazyazhorvasiyraziyazykhorvasiyraziyazykubarvasiyazhorsiyamisiyamisiyamisiyazykhorvasiyraziyazykubarvasiyazyzhegarvaga Eniyaniykataroeeeeeeeehipetruglivawanmarocmacomalia-di-zerovie"&amp;"tnetnetnetnetnetnamper-publics Macedoniabosniya and Herzegovinatunisuzubekanesenesyelakisyninkiyanzaniholypakistaniyapanigeriyapuerto-riocyracia Arabician Republican Lankalbaniya Chernogorogoriyazauda Arabi-Restinsky territory of Sosenelafganamalviyakosta"&amp;"-rykakakambojabaldeshikionokkopopremieurmiadi-drama-drama-crimminel-sorcinthic-bribantastic-family-domestic-domestic-domestic anemults of auyazyanian Mobiography-mushroom-sesques-shows of children of the sportswordserndl adultsharossiyssirossiyasssrossiys"&amp;"sirossiyssorfranium-veliciterathylarmania-enytalia-nytaliasapaniacanadanadanakanadauhuka-navigation-navigation stormsytimeksikasikasikasikasyliacylombiyarvasyanoderlanderlanderlanderlanderlanderlanderlanderlandyanierlands New Zealandfinlandyazrailosraillo"&amp;"srailovakiyavayvan (China) Czech Republican Evelapormiadugaliawa-Armenia Afrixingasingasyapurpouricalslandia (up to 26 episodes) medium (26-100 episodes) long (101-250 episodes) very long (more than 250 episodes) all the status of ideas ended with the end"&amp;" of ideas. KI: Popular films of the latest Film -Russian film -based TV showing TV shows more recommendations, we recommend it is recommended to watch the films of the """" Surgery -nostbrad Pitt, with the new beloved Bezrukov believes that children need "&amp;"to be brought up with the help of arthromanic Sukachev in the longing for Mikhail Efremov ""Eths"" Returned Efremov. UDO: NEWS CEOPECRISTINA Asmus spoke about Difficult shootings after a fracture of the footage of the film “Mufas: King Leo” was transferre"&amp;"d to December 2024 Aronofski will be shot about Ilon Maskapremeres “Deadpool” and “Captain America” were transferred due to the strike of the acting company de Niro in the trial of ex-heads of the Pomo Podski with Bogomolov Peresild with daughters and oth"&amp;"ers for premierertur Sopelnik: “They said to me:“ You are a cadet. ” It’s also good but I am the actor ”Asmus touching Menshikov on her birthday, Burkovsky, Burkovsky, sells tickets for her birthday, Vladimir Mashkova, received the USA citizen Universal a"&amp;"ccidentally revealed the release date of SRAK 5"" Daddy's daughters ""presented a new series with its participation in Todorenko Polish appeared in the first trailer ""Christmas tree"" Star of ""Daddy's daughters"" spoke about the wisdom of Efremov in the"&amp;" colony of Efremov in the anniversary colony, Gaidulyan Mutsenets and the other stars at the premiere of the filmyapolin Gagarin, a slender figure in Kupanniknemuzhenets, spoke why she chose the acting profession -like. His state Zak Efron admitted that M"&amp;"atthew Permegollewood actors would like to play the strike of the “matchmakers” to take the cinema because of the spitz’s position on their cerebrospinal spitz, frank photo69-year-old Lyubov Uspenskaya showed the figure in the Kupalnikuraskiye Details of "&amp;"the filming of the new “Chronicle of Narnia”, the author of the religious anime was justified before The indignant fanatamyes of the news of the King's tsaryasch swamp/ 2023/1 h. 48 min. Drada thriller Detective Crimelpo with pike command/ 2023/1 h. 55 mi"&amp;"n. Adventures of fantasic -incurossia/ 2023/1 h. 46 min. Min. Triller adventure fantastic history of Canada/ 2023MULS Mypopular collapsing trailerybaba Frost and the secret of the New Year-Treatyle-headed 2-Tiremer-Tireler (English) Fir-trees 10 Tyzerorec"&amp;"epts of love of ghost trailers: Ice Empireer-Trailer (Eng.) Drunted girlfriend (English) Hero of our diluted trailers-family Plantraler (Angle) were born today. 88 years from the day Birth of Kelly1929-198294 since the birth of Hateaui 41 Godraian Gosling"&amp;"43 year -haharvi Stevelia Kovalchuk41 year old is the film """" Loven Karteshegodnya (12.11.2023 Sunday) Tomorrow (11/13/2023 Monetalist) 15/14) .11.2023 (Wednesday) 16.11.2023 ( Thursday) 11.11.2023 (Friday) 11/18/2023 (Saturday) 11.11.2023 (Sunday) 11/2"&amp;"0/2023 (Monday) 11/21/2023 (Tuesday) 11.12.2023 (Wednesday) 11/23/2023 (Thursday) 11/24/2023 (Friday) (Friday) 11/25/2023 (Saturday) The whole day -system and the night00: 0009: 0018: 0003: 00 only sessions in 2DLSO SENESS in my 3DStoria Viewing online fi"&amp;"lms of tweeting and tickets online the best films of the film awards Nkiserials Online the best serial-kencalercalendar of serial-high-techltellotellodellytrygramonlogramonline tv-chosen central central films and serial-casual canine and show-business alt"&amp;"ogethers of interviews of red-red prayer They were born ecabula of the company advertising to cancel the technologies of the recommendations for the use of the use of the Materials of the Handle &lt;Div Class = ""JS-Module"" Data-Module = ""Slotmodel"" Data-"&amp;"View = ""SlotView.674812"" Data-BrandsaFety = "" 0 ""&gt; &lt; /div&gt;")</f>
        <v>Cinema Mail.ru-films TV shows and television shows from the most popular online kinotar.ruchkhtama Mirodoklassnikvakovkontaktegryznakottaktegryno-namilogracoblakoblakovk combox projects of project-owned vehicle Verkhradradravotrachmodrodrahmodravrinindr 2023 / Rossiya, Traileler schedule and tickets for a pursuit of Tickets of absolute evil 2023 / Sweden to watch the Onlanininteriyuyuyuyeuria about the stargament Sopelnik: "They said to me:" You are a cadet. " It’s good but I am also an actor ”reversing the Frost of Revelation Asti Detective with Petrenko: what to see the now on the now on the new curious series of autumn that you could miss the films and the TV series see online) The musicalistoric biliography of the musical westwormltfilmults of the Detective Detective Angaanimeeerotics Surfrali -Great -Britishbielarmaniagiacongindiadaliytaliytaliytaliytaliyanadanakanadarakanadaeraeraciac -navigan -naviganiyashtyzhevyaniyanyanodyan -brigade reserves of the Republic of Emergencies Republican Nibaziliavivevvengriyavstriyavstriyanlandlandyanorium -Ryumyamyranirail Portugalia -Balogaria -Bariylannaya Zealania -earnings of the Greek Iranioslaviayslandiyelyuks (China) Colombiaefilippinings -ahopurliworvykhorvaghorvaghorvashkurvatygorvasiyraziyazhorvasiyraziyazhorvasiyraziyazhorvasiyraziyazhorvasiyraziyazhorvasiyraziyazhorvasiyazyazyazhorvasiyraziyazykhorvasiyraziyazykubarvasiyazhorsiyamisiyamisiyamisiyazykhorvasiyraziyazykubarvasiyazyzhegarvaga Eniyaniykataroeeeeeeeehipetruglivawanmarocmacomalia-di-zerovietnetnetnetnetnetnamper-publics Macedoniabosniya and Herzegovinatunisuzubekanesenesyelakisyninkiyanzaniholypakistaniyapanigeriyapuerto-riocyracia Arabician Republican Lankalbaniya Chernogorogoriyazauda Arabi-Restinsky territory of Sosenelafganamalviyakosta-rykakakambojabaldeshikionokkopopremieurmiadi-drama-drama-crimminel-sorcinthic-bribantastic-family-domestic-domestic-domestic anemults of auyazyanian Mobiography-mushroom-sesques-shows of children of the sportswordserndl adultsharossiyssirossiyasssrossiyssirossiyssorfranium-veliciterathylarmania-enytalia-nytaliasapaniacanadanadanakanadauhuka-navigation-navigation stormsytimeksikasikasikasikasyliacylombiyarvasyanoderlanderlanderlanderlanderlanderlanderlanderlandyanierlands New Zealandfinlandyazrailosraillosrailovakiyavayvan (China) Czech Republican Evelapormiadugaliawa-Armenia Afrixingasingasyapurpouricalslandia (up to 26 episodes) medium (26-100 episodes) long (101-250 episodes) very long (more than 250 episodes) all the status of ideas ended with the end of ideas. KI: Popular films of the latest Film -Russian film -based TV showing TV shows more recommendations, we recommend it is recommended to watch the films of the "" Surgery -nostbrad Pitt, with the new beloved Bezrukov believes that children need to be brought up with the help of arthromanic Sukachev in the longing for Mikhail Efremov "Eths" Returned Efremov. UDO: NEWS CEOPECRISTINA Asmus spoke about Difficult shootings after a fracture of the footage of the film “Mufas: King Leo” was transferred to December 2024 Aronofski will be shot about Ilon Maskapremeres “Deadpool” and “Captain America” were transferred due to the strike of the acting company de Niro in the trial of ex-heads of the Pomo Podski with Bogomolov Peresild with daughters and others for premierertur Sopelnik: “They said to me:“ You are a cadet. ” It’s also good but I am the actor ”Asmus touching Menshikov on her birthday, Burkovsky, Burkovsky, sells tickets for her birthday, Vladimir Mashkova, received the USA citizen Universal accidentally revealed the release date of SRAK 5" Daddy's daughters "presented a new series with its participation in Todorenko Polish appeared in the first trailer "Christmas tree" Star of "Daddy's daughters" spoke about the wisdom of Efremov in the colony of Efremov in the anniversary colony, Gaidulyan Mutsenets and the other stars at the premiere of the filmyapolin Gagarin, a slender figure in Kupanniknemuzhenets, spoke why she chose the acting profession -like. His state Zak Efron admitted that Matthew Permegollewood actors would like to play the strike of the “matchmakers” to take the cinema because of the spitz’s position on their cerebrospinal spitz, frank photo69-year-old Lyubov Uspenskaya showed the figure in the Kupalnikuraskiye Details of the filming of the new “Chronicle of Narnia”, the author of the religious anime was justified before The indignant fanatamyes of the news of the King's tsaryasch swamp/ 2023/1 h. 48 min. Drada thriller Detective Crimelpo with pike command/ 2023/1 h. 55 min. Adventures of fantasic -incurossia/ 2023/1 h. 46 min. Min. Triller adventure fantastic history of Canada/ 2023MULS Mypopular collapsing trailerybaba Frost and the secret of the New Year-Treatyle-headed 2-Tiremer-Tireler (English) Fir-trees 10 Tyzerorecepts of love of ghost trailers: Ice Empireer-Trailer (Eng.) Drunted girlfriend (English) Hero of our diluted trailers-family Plantraler (Angle) were born today. 88 years from the day Birth of Kelly1929-198294 since the birth of Hateaui 41 Godraian Gosling43 year -haharvi Stevelia Kovalchuk41 year old is the film "" Loven Karteshegodnya (12.11.2023 Sunday) Tomorrow (11/13/2023 Monetalist) 15/14) .11.2023 (Wednesday) 16.11.2023 ( Thursday) 11.11.2023 (Friday) 11/18/2023 (Saturday) 11.11.2023 (Sunday) 11/20/2023 (Monday) 11/21/2023 (Tuesday) 11.12.2023 (Wednesday) 11/23/2023 (Thursday) 11/24/2023 (Friday) (Friday) 11/25/2023 (Saturday) The whole day -system and the night00: 0009: 0018: 0003: 00 only sessions in 2DLSO SENESS in my 3DStoria Viewing online films of tweeting and tickets online the best films of the film awards Nkiserials Online the best serial-kencalercalendar of serial-high-techltellotellodellytrygramonlogramonline tv-chosen central central films and serial-casual canine and show-business altogethers of interviews of red-red prayer They were born ecabula of the company advertising to cancel the technologies of the recommendations for the use of the use of the Materials of the Handle &lt;Div Class = "JS-Module" Data-Module = "Slotmodel" Data-View = "SlotView.674812" Data-BrandsaFety = " 0 "&gt; &lt; /div&gt;</v>
      </c>
    </row>
    <row r="403">
      <c r="A403" s="1" t="s">
        <v>1351</v>
      </c>
      <c r="B403" s="1" t="s">
        <v>1386</v>
      </c>
      <c r="C403" s="1" t="s">
        <v>1363</v>
      </c>
      <c r="D403" s="1">
        <v>10.0</v>
      </c>
      <c r="E403" s="4" t="s">
        <v>1387</v>
      </c>
      <c r="F403" s="1" t="s">
        <v>16</v>
      </c>
      <c r="I403" s="2">
        <v>1.0</v>
      </c>
      <c r="J403" s="5" t="str">
        <f>IFERROR(__xludf.DUMMYFUNCTION("GOOGLETRANSLATE(A403)"),"Inna Churikova")</f>
        <v>Inna Churikova</v>
      </c>
      <c r="K403" s="6" t="str">
        <f>IFERROR(__xludf.DUMMYFUNCTION("GOOGLETRANSLATE(B403)"),"Biography of Inna Churikova - RIA Novosti, 01/14/2023")</f>
        <v>Biography of Inna Churikova - RIA Novosti, 01/14/2023</v>
      </c>
      <c r="L403" s="5" t="str">
        <f>IFERROR(__xludf.DUMMYFUNCTION("GOOGLETRANSLATE(C403)"),"Jan 14. 2023. -")</f>
        <v>Jan 14. 2023. -</v>
      </c>
      <c r="M403" s="5" t="str">
        <f>IFERROR(__xludf.DUMMYFUNCTION("GOOGLETRANSLATE(G403)"),"#VALUE!")</f>
        <v>#VALUE!</v>
      </c>
    </row>
    <row r="404">
      <c r="A404" s="1" t="s">
        <v>1351</v>
      </c>
      <c r="B404" s="1" t="s">
        <v>1388</v>
      </c>
      <c r="D404" s="1">
        <v>6.0</v>
      </c>
      <c r="E404" s="4" t="s">
        <v>1366</v>
      </c>
      <c r="F404" s="1" t="s">
        <v>43</v>
      </c>
      <c r="G404" s="1" t="s">
        <v>1367</v>
      </c>
      <c r="H404" s="4" t="s">
        <v>1368</v>
      </c>
      <c r="I404" s="2">
        <v>1.0</v>
      </c>
      <c r="J404" s="5" t="str">
        <f>IFERROR(__xludf.DUMMYFUNCTION("GOOGLETRANSLATE(A404)"),"Inna Churikova")</f>
        <v>Inna Churikova</v>
      </c>
      <c r="K404" s="6" t="str">
        <f>IFERROR(__xludf.DUMMYFUNCTION("GOOGLETRANSLATE(B404)"),"Inna Churikova - biography, personal life, photo, ...")</f>
        <v>Inna Churikova - biography, personal life, photo, ...</v>
      </c>
      <c r="L404" s="5" t="str">
        <f>IFERROR(__xludf.DUMMYFUNCTION("GOOGLETRANSLATE(C404)"),"#VALUE!")</f>
        <v>#VALUE!</v>
      </c>
      <c r="M404" s="5" t="str">
        <f>IFERROR(__xludf.DUMMYFUNCTION("GOOGLETRANSLATE(G404)"),"The latest news of the show business of Russia and the world of biography of horoscopes stars is 24 Sumerovostybiography of theigorus-Sopakynod and the Sadopopro-Directory-Business-Business November11, 2023 15: 19th and hundreds of letters: how Efremov si"&amp;"ts in a colony and celebrates the anniversary of the next news and hundreds of letters: how Efremov sits in colony and notes the anniversary - BUSINESS November11, 2023 15: 19 Avatar, the second season of the Avatar show: New Rules New Participants New Me"&amp;"mber of the Jury-Business November 8, 2023 11: 33 Member Olympic champion Oleg Protopropropor Sports5, 2023 14: 25 Shchou-Business November 19, 2023 11: 11: 11: 11: 11: 11: The second season of the Avatar show was launched: New Rules New Participants New "&amp;"Member of the Jury Following News and Hundreds of Letters: How Efremov sits in a colony and celebrates the Jubilee-Business on November11, 2023 15: 19 Avatar show: New Rules New Participants New Member Jurisha-Business November 8, 2023 11: 33 Meter Olympi"&amp;"c champion Oleg Protopropropor Sports5 on November5, 2023. 14: 25 Sports5, 2023 14: 25 Muman champion Oleg Protopopovlynoye news and hundreds of letters: how Efremov sits in a colony and celebrates the anniversary-business on November11 2023 The second se"&amp;"ason of the Avatar show was launched: New Rules New Participants New Member of the Jury-Business, November 8, 2023 11: 33 Member Olympic champion Oleg Protopropropor Sports5, 2023 14: 25 Ceobratevs, a celebrity of Asmustravel threats and divorce: Kristina"&amp;" Asmus first said what turned out to be turned out Filming in the “text” Mikhail Efremovtort and hundreds of letters: how Efremov sits in a colony and celebrates the anniversary of theBackstreet Boys to find out who got the image of Trubadur in the “Avata"&amp;"r” show “Superstar!” The love story of Igor Novzhiev and his wife Alla “Avatar-Show” Sports guy Nightingale -born: we are trying to reveal the identity of this participation in the last news-business of the threat and divorce: Kristina Asmus first told ho"&amp;"w the shooting in the “text” of the show-businesswheel and hundreds of letters turned out: how Efremov sits in the colony and celebrates the anniversary-Khait from the “quartet and” became the father in the “quartet” 52 years old business on October 26, 2"&amp;"023 in Moscow, said goodbye to the Anfisa Rezovka, on October25, 2023, the star of the series ""Soldiers"" Ivan Zhidkov marries the student-business on October25, 2023. Dyanya Milokhin showed traces of beating in Tbilisi-Business on October 22, 2023 Tukta"&amp;"mysheva She answered by the end of the quarry of the sports on October 22, 2023. In the store of the sneakers of Nikita Efremov, he was served as a boss on October 22, 2023. Svetlan Razin admitted that she made seven abortions-business on October22, 2023."&amp;" Show-business, we’ll find out who got the image of Trubadur in the Avatar show99 On November 2023, the New Baronavirus strain is already in Russia: what is known about Pyoleshow-Business on November 8, 2023, the “blue light” washing: what will be the TV "&amp;"show in 2023 and why it requires the abolition on November8, 2023, the Gonkkong Kong Found in Russia: symptoms and symptoms and symptoms and symptoms The danger to the health of theshow business on November 8, 2023, the second season of the Avatar show wa"&amp;"s launched: new rules new participants new member of the Jury-Business Office of Love Igor Nadzhiev and his wife Allyshou-Business on October21, 2023 13: 58 times Malibu divorced shortly after the Wedding House of the Olympic champion Anfisa The cutting f"&amp;"arm on October 21, 2023 The results of the show “Voice. No children ""show business on October21, 2023, Svetlina, Svetlichnaya is treated for pneumonia and loses memory-Smisha-Business on October 19, 2023 Actor of the Kalambur show Sergey Glashkovo19, 202"&amp;"3, 2023, 2023 Schuu-Business Sports Businessman: We are trying to reveal the identity This participant in November 7, 2023 What is the Ministry of Happiness: the initiative of Matvienko and the World Practice-Business on October26, 2023, the young manista"&amp;" Ponomarenko revealed the reason for the hospitalization of the show-business on October26, 2023, the Kravovets discovered Pugacheva’s taxes for the “royal apartments” on the kympyu-business on October 26, 2023 “Miss Russia” Anna Linnikova came out to mar"&amp;"ry the business on October25, 2023. “The baby was taken from his mother: Ilya Sobolev and his wife and infants were almost expelled from the aircraft-business, we were giving the image of Sadko in the show“ Avatar ”show business on October25, 2023 “The sk"&amp;"irt did not lift up”: Andrei Gubin is outraged by the accusations of the singer Sharuhoshu-Business on October25, 2023, Nalia stormed the lover in Spain-Business on October 22, 2023, the Samoilova’s children were approved for the main roles in the new ser"&amp;"ial reciprocate of weekly fresh news to sign up for the expenses of the Business Economics of the Commercial Economics and Economics. Traveling and household carriers and opticha projectinformation About project-terraklamavakakan-dimensional consistency s"&amp;"ite Political Political Policy Cookie-Filter, Freshly Fresh News Subscribing in Social Schools: Found a typo? Help fix it! Highlight it and click Ctrl + Enterorphus in social networks: © 24smi.org 2010 - 2022. Using copyright materials that belong to 24sm"&amp;"i.org is possible only with a direct active link to the source. The editors are not responsible for the reliability of the information contained in advertisements. Category of Internet resource 18+")</f>
        <v>The latest news of the show business of Russia and the world of biography of horoscopes stars is 24 Sumerovostybiography of theigorus-Sopakynod and the Sadopopro-Directory-Business-Business November11, 2023 15: 19th and hundreds of letters: how Efremov sits in a colony and celebrates the anniversary of the next news and hundreds of letters: how Efremov sits in colony and notes the anniversary - BUSINESS November11, 2023 15: 19 Avatar, the second season of the Avatar show: New Rules New Participants New Member of the Jury-Business November 8, 2023 11: 33 Member Olympic champion Oleg Protopropropor Sports5, 2023 14: 25 Shchou-Business November 19, 2023 11: 11: 11: 11: 11: 11: The second season of the Avatar show was launched: New Rules New Participants New Member of the Jury Following News and Hundreds of Letters: How Efremov sits in a colony and celebrates the Jubilee-Business on November11, 2023 15: 19 Avatar show: New Rules New Participants New Member Jurisha-Business November 8, 2023 11: 33 Meter Olympic champion Oleg Protopropropor Sports5 on November5, 2023. 14: 25 Sports5, 2023 14: 25 Muman champion Oleg Protopopovlynoye news and hundreds of letters: how Efremov sits in a colony and celebrates the anniversary-business on November11 2023 The second season of the Avatar show was launched: New Rules New Participants New Member of the Jury-Business, November 8, 2023 11: 33 Member Olympic champion Oleg Protopropropor Sports5, 2023 14: 25 Ceobratevs, a celebrity of Asmustravel threats and divorce: Kristina Asmus first said what turned out to be turned out Filming in the “text” Mikhail Efremovtort and hundreds of letters: how Efremov sits in a colony and celebrates the anniversary of theBackstreet Boys to find out who got the image of Trubadur in the “Avatar” show “Superstar!” The love story of Igor Novzhiev and his wife Alla “Avatar-Show” Sports guy Nightingale -born: we are trying to reveal the identity of this participation in the last news-business of the threat and divorce: Kristina Asmus first told how the shooting in the “text” of the show-businesswheel and hundreds of letters turned out: how Efremov sits in the colony and celebrates the anniversary-Khait from the “quartet and” became the father in the “quartet” 52 years old business on October 26, 2023 in Moscow, said goodbye to the Anfisa Rezovka, on October25, 2023, the star of the series "Soldiers" Ivan Zhidkov marries the student-business on October25, 2023. Dyanya Milokhin showed traces of beating in Tbilisi-Business on October 22, 2023 Tuktamysheva She answered by the end of the quarry of the sports on October 22, 2023. In the store of the sneakers of Nikita Efremov, he was served as a boss on October 22, 2023. Svetlan Razin admitted that she made seven abortions-business on October22, 2023. Show-business, we’ll find out who got the image of Trubadur in the Avatar show99 On November 2023, the New Baronavirus strain is already in Russia: what is known about Pyoleshow-Business on November 8, 2023, the “blue light” washing: what will be the TV show in 2023 and why it requires the abolition on November8, 2023, the Gonkkong Kong Found in Russia: symptoms and symptoms and symptoms and symptoms The danger to the health of theshow business on November 8, 2023, the second season of the Avatar show was launched: new rules new participants new member of the Jury-Business Office of Love Igor Nadzhiev and his wife Allyshou-Business on October21, 2023 13: 58 times Malibu divorced shortly after the Wedding House of the Olympic champion Anfisa The cutting farm on October 21, 2023 The results of the show “Voice. No children "show business on October21, 2023, Svetlina, Svetlichnaya is treated for pneumonia and loses memory-Smisha-Business on October 19, 2023 Actor of the Kalambur show Sergey Glashkovo19, 2023, 2023, 2023 Schuu-Business Sports Businessman: We are trying to reveal the identity This participant in November 7, 2023 What is the Ministry of Happiness: the initiative of Matvienko and the World Practice-Business on October26, 2023, the young manista Ponomarenko revealed the reason for the hospitalization of the show-business on October26, 2023, the Kravovets discovered Pugacheva’s taxes for the “royal apartments” on the kympyu-business on October 26, 2023 “Miss Russia” Anna Linnikova came out to marry the business on October25, 2023. “The baby was taken from his mother: Ilya Sobolev and his wife and infants were almost expelled from the aircraft-business, we were giving the image of Sadko in the show“ Avatar ”show business on October25, 2023 “The skirt did not lift up”: Andrei Gubin is outraged by the accusations of the singer Sharuhoshu-Business on October25, 2023, Nalia stormed the lover in Spain-Business on October 22, 2023, the Samoilova’s children were approved for the main roles in the new serial reciprocate of weekly fresh news to sign up for the expenses of the Business Economics of the Commercial Economics and Economics. Traveling and household carriers and opticha projectinformation About project-terraklamavakakan-dimensional consistency site Political Political Policy Cookie-Filter, Freshly Fresh News Subscribing in Social Schools: Found a typo? Help fix it! Highlight it and click Ctrl + Enterorphus in social networks: © 24smi.org 2010 - 2022. Using copyright materials that belong to 24smi.org is possible only with a direct active link to the source. The editors are not responsible for the reliability of the information contained in advertisements. Category of Internet resource 18+</v>
      </c>
    </row>
    <row r="405">
      <c r="A405" s="1" t="s">
        <v>1351</v>
      </c>
      <c r="B405" s="1" t="s">
        <v>1389</v>
      </c>
      <c r="C405" s="1" t="s">
        <v>1390</v>
      </c>
      <c r="D405" s="1">
        <v>10.0</v>
      </c>
      <c r="E405" s="4" t="s">
        <v>1391</v>
      </c>
      <c r="F405" s="1" t="s">
        <v>43</v>
      </c>
      <c r="G405" s="1" t="s">
        <v>135</v>
      </c>
      <c r="H405" s="4" t="s">
        <v>136</v>
      </c>
      <c r="I405" s="2">
        <v>1.0</v>
      </c>
      <c r="J405" s="5" t="str">
        <f>IFERROR(__xludf.DUMMYFUNCTION("GOOGLETRANSLATE(A405)"),"Inna Churikova")</f>
        <v>Inna Churikova</v>
      </c>
      <c r="K405" s="6" t="str">
        <f>IFERROR(__xludf.DUMMYFUNCTION("GOOGLETRANSLATE(B405)"),"The star of the changeable era: like Inna Churikova all ...")</f>
        <v>The star of the changeable era: like Inna Churikova all ...</v>
      </c>
      <c r="L405" s="5" t="str">
        <f>IFERROR(__xludf.DUMMYFUNCTION("GOOGLETRANSLATE(C405)"),"15 Jan. 2023. -")</f>
        <v>15 Jan. 2023. -</v>
      </c>
      <c r="M405" s="5" t="str">
        <f>IFERROR(__xludf.DUMMYFUNCTION("GOOGLETRANSLATE(G405)"),"Forbes.ru | The main thing about billionaires of finance business and investments in Russia and the Unfortunate Mirek does not work without JavaScript. Please turn on JavaScript in your browser settings. Categories Ratings Podkasta Video Life Woman Sport "&amp;"to enter our channel in Telegram The most important thing about finance investments of business and technology subscription 20 hours of Nazadstartenjaden Alexander Kidhek or honor: like US presidency candidates to read their states to read his career and "&amp;"their business startup: investment of morgores By subscription and biobank for dogs, finances are Kalmyk anomaly: where and why in Russia there is a surge of registration of businessmen Forbes Woman Children's billions: can the state solve the problem of "&amp;"debt on alimony, the deputies solved the children who were waited by the parents' parents-the appropriate bill was introduced to the State Duma. The problem has long been rushed: the total alimony debt exceeds 156 billion rubles. Lawyer Partner of Family "&amp;"Law and Inheritance Planning BGP Litigation Victoria Dergunova argues that it can actually resolve the disappointing situation with the payments for children billionaires a week of the billionaire: Durov Durov Savior “Boat” for Michelson Pavel Durov spent"&amp;" $ 200,000 10,000 premium -Subscribes at Telegram, the former Chelsea player John Obi Mikel told how Roman Abramovich helped the liberation of his stolen father assistant to the US Secretary of State on Jeffrey Payatt’s energy, and the Arctic LNG-2 projec"&amp;"t, Leonid Mordashov, fell under the sanctions of Great Britain A. Deripaska offered the country a new holiday. In the Forbes Diges on the most important events of the week with the participation of the largest Russian businessmen Formanbes Sport 30 of the"&amp;" most valuable personal brands of Russian athletes-2023. FORBES Rating FORBES Sport editorial office editorial office of Forbes Opinions of the border in relations: What Putin showed to Kazakhstan, the institution himself explained: that it is clear from "&amp;"Putin’s decrees to trade foreign promotions abroad technology that the TELEGRAM blocking due to riots at the Makhachkalai Landsengings are the best employers of Russia- 2023. Forbes rating in the new rating of the best employers in Russia included 125 com"&amp;"panies. According to the methodology developed in 2021, we evaluated the participants according to the main elements of the ESG-packets and did not assign them places in the distribution of them in four groups: “Platinum” “Gold” “Silver” and “Bronze” Opin"&amp;"ions of the time to draw up the time: why do technological companies seek to The sale of the autumn of 2023 was rich in news about IPO in the Russian IT industry: this is the return of Softline to the Moscow Exchange and the sensational placement of Astra"&amp;" and plans to enter the IPO developer of automated Banking Systems “Diasoft” and the car sharing service “Delibral”. Director of Investbank Aspring Capital Anna Aralova in a Forbes column argues why this year there is a surge in the activity of companies "&amp;"from the TMT sector (Technology Technology Telecom), who want to attract new investors, but in most cases a different path is selected - through the M&amp;Mania transactions, stuck delivery: as in the conditions Sanctions to get the equipment ordered in the U"&amp;"nited States Elena Stuart Business Market does not believe: why does oil prices are not growing, although Russia limits export of finances of the State Duma approved the increase in business fines 25 times for the withdrawal of his career and its business"&amp;" why it was covered by Adam Neumannese WeWORK and the business. Who suffered from this Forbes Woman, the girls did not sit in the tower: what kind of intimate life in Russia was sexual life in Russia was not at all the same as we imagine it. It turns out "&amp;"women could burn from the “divorce of the flesh” to choose their own husbands on their own and did not always store chastity. Forbes Woman editor Kogehershyn Sagieva talked with the co -author of the book “Intimate Rus'. Life without a house-building sin "&amp;"of love and witchcraft ”Natalya Seregina about how women actually lived in the pre-Petrine era, billionaires Welcome to the Bunker of billionaires: the top-9 new neighbors of Jeff Bezos in early November, the founder of Amazon, Jeff Bezos announced that h"&amp;"e was moving to Florida and Now it will live on the private island of Indian Cry. This place is known as the Bunker of the billionaires and is considered one of the safest in the world - it is almost impossible to get there the island is closed. Bezos's n"&amp;"eighbors will be Ivanka Trump (Donald Trump's daughter), American football star Tom Brady and Emir Katar. In the Forbes photo gallery, some remarkable inhabitants of the “billionaire bunker” are a career and its business cold calculation: as the “30 to 30"&amp;"” nominee, more than $ 55 million to smart refrigerators, Maria Shakirova, editors of the Forbes investments froze: what are the consequences of Western sanctions against the SPb Exchange Business as The transformation of a preferential mortgage into cons"&amp;"tant subsidies led to a price imbalance of a mortgage of mortgage in Russia in October, almost 20% of Delimulars wants to attract up to 10 billion rubles during the IPO in the spring of 2024, the Delibral car sharing service can conduct an IPO at the Mosb"&amp;"irzh next spring . As it became known to Forbes, the company plans to get from 25 billion to 10 billion rubles and the money can be used to implement an investment program that includes the purchase of 7,000 cars. The sale of shares of Delimulam will be t"&amp;"he cheapest way to attract money to the company and the primary offer of car sharing paper can be held with a re-signing along the upper border of the assessment of the entire company at 60-90 billion rubles, taking into account the debt, awaits the debt."&amp;" A peculiarity of placement will be a political background-preparation for an IPO will be held against the backdrop of the presidential election campaign of food security mini-scoop: when the Russians begin to eat flies and whom they already feed the gove"&amp;"rnment recognized the breeding of the fly Black Lion with a special type of agricultural activity. For example, the owner of the Damate group, Naum Babaev, took up business in flies. An insect can become a source of alternative protein and valuable fat as"&amp;" well as components of new antimicrobial drugs. Where products from flies are already used and we will eat them - the Forbesics for transferring capital abroad is increasingly being understood by Vadim Pogusyan, the investment author opened there, the inv"&amp;"estigation from Russia created the Business Payers system of the Business Leaders of the best employers of Forbes “2023 Forbeslife“ One big terrible thing ”: what Matthew Perry writes about in his memoirs“ I first learned about what it is - to fight with "&amp;"such addiction and be able to survive, ”writes actress Lisa Kudrau in the preface to Matthew Perry Most. Famous for the role of Cendler Bing in the series ""Friends"". In September, the Bombbor publishing house “Friends of Favorite and one Big Terrible th"&amp;"ing” was published on October 29, he was found dead in his house in Los Angeles. Forbes Life publishes an excerpt from memoirs of opinion on a chance of transit: what will happen to the export of Russian gas through Ukraine, Ukraine declares the rejection"&amp;" of the transit of Russian gas after 2024. However, the economic observer Kirill Rodionov believes that the issue cannot be considered resolved. The cessation of transit can lead to an even greater gas deficit in the European market and the deepening of t"&amp;"he industrial recession that has already begun in the EU countries. Given the dependence of Ukraine on European financial assistance, the chance of extending the transit agreement is quite great business how business works in the cities of the Moscow Regi"&amp;"on with the lowest business activity of technology thunderstorms: why are cyberrics grow and how their insurance is a native of Arzamas-16 founded the Poison Drop and attracted network. The money of the billionaire technology to reduce the laws together: "&amp;"what is the digital code and why it is needed in Russia the need to develop a digital code (initially information) in Russia has been discussed since 2014. However, this year a new wave of discussions of the need for a document arose: the digital code was"&amp;" mentioned in the recently submitted strategy for the development of the communication industry until 2035. Viktor Naumov Professor of the Department of Information Law and Digital Technologies MGUA Managing Partner of the Office of the Law Firm NEXTONS i"&amp;"n St. Petersburg and the founder of the Preserved Culture project told what it is necessary and why it has not yet accepted it in Russia, Flood Mortgage Finances: why In 2024, buying an apartment on credit could be a luxury of September when banks issued "&amp;"966 billion rubles to borrowers for the purchase of apartments can be the last record month in the mortgage market. An increase in the key rate to 15% will raise the cost of market programs to a barrier level and will also increase the load on the federal"&amp;" budget from which the authorities subsidize the banks of the submitted income from issuing state programs. Bankers and experts of the mortgage market interviewed by Forbes are waiting for the collapse of demand at the end of 2023 and restructuring the ma"&amp;"rket in 2024. In it, a mortgage will become accessible only to certain categories of citizens by experts and their business friendly unfriendliness: how the Russians live in Bulgaria and why hope Rumak the author of the technology awakening from hibernati"&amp;"on move there: how startups have launched a career race of career and my business “I cannot afford not Live in Bali ”: Words that can simplify the life of your video Guzel Sanjapov-Forbes:“ I would like my voice to have its own voice ”Technology smoked fi"&amp;"sh and girlish tears: the most interesting process over Sam Bankman-Fried is a process on former crypto-millionaire Sam Bankman -Fried in the meeting room 26a in Nizhny Manhattan lasted a whole month and resulted in a real judicial drama writes The Wall S"&amp;"treet Journal. Forbes publishes the main thing from the material Society for cars: what will the parking lots of the future build a new parking in Europe cost € 25,000-40,000 for a machine-month. Reconstructing cheaper - you can meet € 5,000 member of the"&amp;" entrepreneur's diary: Life after marketing Polina Kozlovskaya Author Information: Contact Information Procurery of Processed Cracution in Journal of Printing Social Councils We are on social networks: Telegram Vacation Contacttube Forbes Russia on Androi"&amp;"d on the Speech Sentification: Subscribing Symbols: all at once weekly daily Name of the publication: Forbes.ru The Sete edition of Forbes.ru is registered by the Federal Service for Supervision of Information Technologies and Mass Communications Registra"&amp;"tion number and the date of the decision on registration: series EL No. FS77-82431 dated December 23, 2021. Address of the publisher : 123022 Moscow st. Zvenigorodskaya 2nd d. 13 p. 15 floor. 4 pom. X com. 1 Address address: 123022 Moscow st. Zvenigorodsk"&amp;"aya 2nd d. 13 p. 15 floor. 4 pom. X com. 1 editor-in-chief: Mazurin Nikolay Dmitrievich editorial office address: Press-release@forbes.ru phone number Editor: +7 (495) 565-32-06 On the information resource, letters of recommendation (information technolog"&amp;"ies for providing information based on the system of systematization and analysis Information related to the preferences of users of the Internet “Internet” in the Russian Federation) media2 Sparrow Infox Reprinting Materials and using them in any form, i"&amp;"ncluding in electronic media, are possible only with the written resolution of the editorial office. Forbes trademark is the exceptional property of Forbes Media Asia PTE. Limited. All rights reserved. AO ""AS RUS MEDIA"" · 2023 16+")</f>
        <v>Forbes.ru | The main thing about billionaires of finance business and investments in Russia and the Unfortunate Mirek does not work without JavaScript. Please turn on JavaScript in your browser settings. Categories Ratings Podkasta Video Life Woman Sport to enter our channel in Telegram The most important thing about finance investments of business and technology subscription 20 hours of Nazadstartenjaden Alexander Kidhek or honor: like US presidency candidates to read their states to read his career and their business startup: investment of morgores By subscription and biobank for dogs, finances are Kalmyk anomaly: where and why in Russia there is a surge of registration of businessmen Forbes Woman Children's billions: can the state solve the problem of debt on alimony, the deputies solved the children who were waited by the parents' parents-the appropriate bill was introduced to the State Duma. The problem has long been rushed: the total alimony debt exceeds 156 billion rubles. Lawyer Partner of Family Law and Inheritance Planning BGP Litigation Victoria Dergunova argues that it can actually resolve the disappointing situation with the payments for children billionaires a week of the billionaire: Durov Durov Savior “Boat” for Michelson Pavel Durov spent $ 200,000 10,000 premium -Subscribes at Telegram, the former Chelsea player John Obi Mikel told how Roman Abramovich helped the liberation of his stolen father assistant to the US Secretary of State on Jeffrey Payatt’s energy, and the Arctic LNG-2 project, Leonid Mordashov, fell under the sanctions of Great Britain A. Deripaska offered the country a new holiday. In the Forbes Diges on the most important events of the week with the participation of the largest Russian businessmen Formanbes Sport 30 of the most valuable personal brands of Russian athletes-2023. FORBES Rating FORBES Sport editorial office editorial office of Forbes Opinions of the border in relations: What Putin showed to Kazakhstan, the institution himself explained: that it is clear from Putin’s decrees to trade foreign promotions abroad technology that the TELEGRAM blocking due to riots at the Makhachkalai Landsengings are the best employers of Russia- 2023. Forbes rating in the new rating of the best employers in Russia included 125 companies. According to the methodology developed in 2021, we evaluated the participants according to the main elements of the ESG-packets and did not assign them places in the distribution of them in four groups: “Platinum” “Gold” “Silver” and “Bronze” Opinions of the time to draw up the time: why do technological companies seek to The sale of the autumn of 2023 was rich in news about IPO in the Russian IT industry: this is the return of Softline to the Moscow Exchange and the sensational placement of Astra and plans to enter the IPO developer of automated Banking Systems “Diasoft” and the car sharing service “Delibral”. Director of Investbank Aspring Capital Anna Aralova in a Forbes column argues why this year there is a surge in the activity of companies from the TMT sector (Technology Technology Telecom), who want to attract new investors, but in most cases a different path is selected - through the M&amp;Mania transactions, stuck delivery: as in the conditions Sanctions to get the equipment ordered in the United States Elena Stuart Business Market does not believe: why does oil prices are not growing, although Russia limits export of finances of the State Duma approved the increase in business fines 25 times for the withdrawal of his career and its business why it was covered by Adam Neumannese WeWORK and the business. Who suffered from this Forbes Woman, the girls did not sit in the tower: what kind of intimate life in Russia was sexual life in Russia was not at all the same as we imagine it. It turns out women could burn from the “divorce of the flesh” to choose their own husbands on their own and did not always store chastity. Forbes Woman editor Kogehershyn Sagieva talked with the co -author of the book “Intimate Rus'. Life without a house-building sin of love and witchcraft ”Natalya Seregina about how women actually lived in the pre-Petrine era, billionaires Welcome to the Bunker of billionaires: the top-9 new neighbors of Jeff Bezos in early November, the founder of Amazon, Jeff Bezos announced that he was moving to Florida and Now it will live on the private island of Indian Cry. This place is known as the Bunker of the billionaires and is considered one of the safest in the world - it is almost impossible to get there the island is closed. Bezos's neighbors will be Ivanka Trump (Donald Trump's daughter), American football star Tom Brady and Emir Katar. In the Forbes photo gallery, some remarkable inhabitants of the “billionaire bunker” are a career and its business cold calculation: as the “30 to 30” nominee, more than $ 55 million to smart refrigerators, Maria Shakirova, editors of the Forbes investments froze: what are the consequences of Western sanctions against the SPb Exchange Business as The transformation of a preferential mortgage into constant subsidies led to a price imbalance of a mortgage of mortgage in Russia in October, almost 20% of Delimulars wants to attract up to 10 billion rubles during the IPO in the spring of 2024, the Delibral car sharing service can conduct an IPO at the Mosbirzh next spring . As it became known to Forbes, the company plans to get from 25 billion to 10 billion rubles and the money can be used to implement an investment program that includes the purchase of 7,000 cars. The sale of shares of Delimulam will be the cheapest way to attract money to the company and the primary offer of car sharing paper can be held with a re-signing along the upper border of the assessment of the entire company at 60-90 billion rubles, taking into account the debt, awaits the debt. A peculiarity of placement will be a political background-preparation for an IPO will be held against the backdrop of the presidential election campaign of food security mini-scoop: when the Russians begin to eat flies and whom they already feed the government recognized the breeding of the fly Black Lion with a special type of agricultural activity. For example, the owner of the Damate group, Naum Babaev, took up business in flies. An insect can become a source of alternative protein and valuable fat as well as components of new antimicrobial drugs. Where products from flies are already used and we will eat them - the Forbesics for transferring capital abroad is increasingly being understood by Vadim Pogusyan, the investment author opened there, the investigation from Russia created the Business Payers system of the Business Leaders of the best employers of Forbes “2023 Forbeslife“ One big terrible thing ”: what Matthew Perry writes about in his memoirs“ I first learned about what it is - to fight with such addiction and be able to survive, ”writes actress Lisa Kudrau in the preface to Matthew Perry Most. Famous for the role of Cendler Bing in the series "Friends". In September, the Bombbor publishing house “Friends of Favorite and one Big Terrible thing” was published on October 29, he was found dead in his house in Los Angeles. Forbes Life publishes an excerpt from memoirs of opinion on a chance of transit: what will happen to the export of Russian gas through Ukraine, Ukraine declares the rejection of the transit of Russian gas after 2024. However, the economic observer Kirill Rodionov believes that the issue cannot be considered resolved. The cessation of transit can lead to an even greater gas deficit in the European market and the deepening of the industrial recession that has already begun in the EU countries. Given the dependence of Ukraine on European financial assistance, the chance of extending the transit agreement is quite great business how business works in the cities of the Moscow Region with the lowest business activity of technology thunderstorms: why are cyberrics grow and how their insurance is a native of Arzamas-16 founded the Poison Drop and attracted network. The money of the billionaire technology to reduce the laws together: what is the digital code and why it is needed in Russia the need to develop a digital code (initially information) in Russia has been discussed since 2014. However, this year a new wave of discussions of the need for a document arose: the digital code was mentioned in the recently submitted strategy for the development of the communication industry until 2035. Viktor Naumov Professor of the Department of Information Law and Digital Technologies MGUA Managing Partner of the Office of the Law Firm NEXTONS in St. Petersburg and the founder of the Preserved Culture project told what it is necessary and why it has not yet accepted it in Russia, Flood Mortgage Finances: why In 2024, buying an apartment on credit could be a luxury of September when banks issued 966 billion rubles to borrowers for the purchase of apartments can be the last record month in the mortgage market. An increase in the key rate to 15% will raise the cost of market programs to a barrier level and will also increase the load on the federal budget from which the authorities subsidize the banks of the submitted income from issuing state programs. Bankers and experts of the mortgage market interviewed by Forbes are waiting for the collapse of demand at the end of 2023 and restructuring the market in 2024. In it, a mortgage will become accessible only to certain categories of citizens by experts and their business friendly unfriendliness: how the Russians live in Bulgaria and why hope Rumak the author of the technology awakening from hibernation move there: how startups have launched a career race of career and my business “I cannot afford not Live in Bali ”: Words that can simplify the life of your video Guzel Sanjapov-Forbes:“ I would like my voice to have its own voice ”Technology smoked fish and girlish tears: the most interesting process over Sam Bankman-Fried is a process on former crypto-millionaire Sam Bankman -Fried in the meeting room 26a in Nizhny Manhattan lasted a whole month and resulted in a real judicial drama writes The Wall Street Journal. Forbes publishes the main thing from the material Society for cars: what will the parking lots of the future build a new parking in Europe cost € 25,000-40,000 for a machine-month. Reconstructing cheaper - you can meet € 5,000 member of the entrepreneur's diary: Life after marketing Polina Kozlovskaya Author Information: Contact Information Procurery of Processed Cracution in Journal of Printing Social Councils We are on social networks: Telegram Vacation Contacttube Forbes Russia on Android on the Speech Sentification: Subscribing Symbols: all at once weekly daily Name of the publication: Forbes.ru The Sete edition of Forbes.ru is registered by the Federal Service for Supervision of Information Technologies and Mass Communications Registration number and the date of the decision on registration: series EL No. FS77-82431 dated December 23, 2021. Address of the publisher : 123022 Moscow st. Zvenigorodskaya 2nd d. 13 p. 15 floor. 4 pom. X com. 1 Address address: 123022 Moscow st. Zvenigorodskaya 2nd d. 13 p. 15 floor. 4 pom. X com. 1 editor-in-chief: Mazurin Nikolay Dmitrievich editorial office address: Press-release@forbes.ru phone number Editor: +7 (495) 565-32-06 On the information resource, letters of recommendation (information technologies for providing information based on the system of systematization and analysis Information related to the preferences of users of the Internet “Internet” in the Russian Federation) media2 Sparrow Infox Reprinting Materials and using them in any form, including in electronic media, are possible only with the written resolution of the editorial office. Forbes trademark is the exceptional property of Forbes Media Asia PTE. Limited. All rights reserved. AO "AS RUS MEDIA" · 2023 16+</v>
      </c>
    </row>
    <row r="406">
      <c r="A406" s="1" t="s">
        <v>1351</v>
      </c>
      <c r="B406" s="1" t="s">
        <v>1392</v>
      </c>
      <c r="C406" s="1" t="s">
        <v>1393</v>
      </c>
      <c r="D406" s="1">
        <v>209.0</v>
      </c>
      <c r="E406" s="4" t="s">
        <v>1394</v>
      </c>
      <c r="F406" s="1" t="s">
        <v>43</v>
      </c>
      <c r="G406" s="1" t="s">
        <v>273</v>
      </c>
      <c r="H406" s="4" t="s">
        <v>476</v>
      </c>
      <c r="I406" s="2">
        <v>2.0</v>
      </c>
      <c r="J406" s="5" t="str">
        <f>IFERROR(__xludf.DUMMYFUNCTION("GOOGLETRANSLATE(A406)"),"Inna Churikova")</f>
        <v>Inna Churikova</v>
      </c>
      <c r="K406" s="6" t="str">
        <f>IFERROR(__xludf.DUMMYFUNCTION("GOOGLETRANSLATE(B406)"),"Inna Churikova Inna Churikova")</f>
        <v>Inna Churikova Inna Churikova</v>
      </c>
      <c r="L406" s="5" t="str">
        <f>IFERROR(__xludf.DUMMYFUNCTION("GOOGLETRANSLATE(C406)"),"Inna Churikova Inna Churikova, Moscow. Like marks: 25 408 · Discuss: 5. Inna Churikova, Russian Actress, The “Tsarina of the Stage”")</f>
        <v>Inna Churikova Inna Churikova, Moscow. Like marks: 25 408 · Discuss: 5. Inna Churikova, Russian Actress, The “Tsarina of the Stage”</v>
      </c>
      <c r="M406" s="5" t="str">
        <f>IFERROR(__xludf.DUMMYFUNCTION("GOOGLETRANSLATE(G406)"),"Update Your Browser | FacebookUpdate Your BrowserYou’re using a web browser that isn’t supported by Facebook.To get a better experience go to one of these sites and get the latest version of your preferred browser:Google ChromeMozilla FirefoxGet Facebook "&amp;"on Your PhoneStay connected anytime anywhere.")</f>
        <v>Update Your Browser | FacebookUpdate Your BrowserYou’re using a web browser that isn’t supported by Facebook.To get a better experience go to one of these sites and get the latest version of your preferred browser:Google ChromeMozilla FirefoxGet Facebook on Your PhoneStay connected anytime anywhere.</v>
      </c>
    </row>
    <row r="407">
      <c r="A407" s="1" t="s">
        <v>1351</v>
      </c>
      <c r="B407" s="1" t="s">
        <v>1395</v>
      </c>
      <c r="D407" s="1">
        <v>210.0</v>
      </c>
      <c r="E407" s="4" t="s">
        <v>1396</v>
      </c>
      <c r="F407" s="1" t="s">
        <v>43</v>
      </c>
      <c r="G407" s="1" t="s">
        <v>364</v>
      </c>
      <c r="H407" s="4" t="s">
        <v>365</v>
      </c>
      <c r="I407" s="2">
        <v>1.0</v>
      </c>
      <c r="J407" s="5" t="str">
        <f>IFERROR(__xludf.DUMMYFUNCTION("GOOGLETRANSLATE(A407)"),"Inna Churikova")</f>
        <v>Inna Churikova</v>
      </c>
      <c r="K407" s="6" t="str">
        <f>IFERROR(__xludf.DUMMYFUNCTION("GOOGLETRANSLATE(B407)"),"Inna Churikova (Inna Churikova) biography, films, ...")</f>
        <v>Inna Churikova (Inna Churikova) biography, films, ...</v>
      </c>
      <c r="L407" s="5" t="str">
        <f>IFERROR(__xludf.DUMMYFUNCTION("GOOGLETRANSLATE(C407)"),"#VALUE!")</f>
        <v>#VALUE!</v>
      </c>
      <c r="M407" s="5" t="str">
        <f>IFERROR(__xludf.DUMMYFUNCTION("GOOGLETRANSLATE(G407)"),"Афиша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202"&amp;"3 - январь 2024 МДМОт 900 ₽концертВивальди. The times of the year -Yabr 2023 - April 2024 House of Kinoot 1400 ₽6.1 Filmicatriye will be in 96 cinemas to buy a ticket -portable event of Khorkin. Show Duel November 19 at 18:00 Palace of gymnastics Irina Vi"&amp;"ner-Usmanova 1 1,500 ₽8 Epavkatinkoff City: Andy Warhol and Russian art on February 18 Jewish museum to buy a ticketfilmsindromid in 136 cinemas to the Ticketscription “Griff removed” November Bunker 450 ₽ Makers Moldhilms. Shie Mirrakkatalogi Film -expec"&amp;"ted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amp;"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amp;"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amp;"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amp;"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amp;"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amp;"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"&amp;"центр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animation-30%discord-disk"&amp;"idota Christmas trees25 and 27 The Meridian Cultural Center 400 ₽ Dinagome M-Torpedhockei on November 23 at 19:30 SKRK VTB Arena Arena - The Central Stadium Dynamo named after Yashin from 400 ₽ Dinomo M - Skykhokkey on December 25 at 19:30 SKRK VTB Arena "&amp;"- the Central Stadium Dynamo named after Yashin from 400 ₽ Dinomasm M - CSKAHOKKYAI on December 19 at 19:30 SKRK "" VTB Arena - the Central Stadium Dynamo named after Yashin from 200 ₽ ROPRODINA - Chernomoretorefutbol November 19 at 19:00 Sapsan Arenaafis"&amp;" Restaurantov10 The best restaurants in Moscow according to the version of Whereteat Moscow 202310 “Nature are 150 years old”: Evgeny Reimer about the future of the future and about the future of the future and The new restaurant ""NE"" in the atom pavili"&amp;"on on November 8 is in full swing: where to go to Sochi in November 7 November for a week: Khinkali festival Kazakh delicacies and ethnic firewalls on November7 The best restaurants of the Central Region of Russia according to the Whereteat 20234 Awards w"&amp;"ill be called the best restaurants of the capital of Krasnodar on November3 Sochi Rostov-on-Don and Gelendzhik will be held the festival of southern kitchen-eve-elays of a Syndromrill9.3ot 1100 ₽ Mayakovsky premieres 2023 January 2024 Lenkom Zakharovabori"&amp;"s Sveshnikov. Dreams of Eternity -Writers on January 14 Our artists of the Khatastastophantentesis of Afishavese7.7 Tylepyntlmenyboyevik8.8ot 1000 ₽ Rruxi -tank 2023 - January 2024 Muscovite Musical Theater KDKSKORO in Kinovsovsabiletychacamediyatyabileyb"&amp;"iletikhchik and poultry farmletfilombilets to the dream: once and for all, and for all the time-mercy-hungry, terrible sister-2ocedium collections Afishas are the most convenient way to choose how to conduct a free posting post: the main events of the wee"&amp;"k - you have to sign up the company editorial campaign Contactkitat CardiAfisha Dailypiknik Afishede. Rufisha Close -moving veteranstat. Bilet -picnovicular in terms of questioned issues, 1999–2023 LLC Afisha LLC. All rights reserved. For persons over 18 "&amp;"years old. User Agreement Policy of Confidentiality Rules for the Application of Technologies Azov Almetyevsk Anapa Angarsk Arzamas Armavir Arkhangelsk Astrakhan Achinsk Balashikha Balashikh Bataysk Beloregor Belorechensk Berdsk Bereznishk Blaguruslan Bug"&amp;"ulm Bugulma Buzulm Buzuluk Veliki Velik Verkhnyaya Pyshma Vidden Vladivostok Vladikavkaz Vladimir Volgograd Volgogonsk Volzhsky Vologda Volda Volk Vsevolozhsk Vyborg Gatchina Gornzhik Gorno-Altaysk Grozny Gubkin Gudermes Dzerzhinsk Dimitrovgrad Dmitrov Do"&amp;"lgoprudny Dubomodedovo Dubna Evpatoria Yekaterinburg Yelets Esentuki Zheleznogorsk (Krasnoyarsk) Zhukovsky Zareysk Zarenogorsk Zelenogradsky Zelenogostosvost Ivanovo Ivanovo and Ivanovo Ivanovo Zhevsk Irkutsk Istrim Istra Yoshkar-Ola Kazan Kaliningrad Kal"&amp;"uga Kamensk-Uralsky Kamyshin Kaspiysk Kemerovo Kingisepp Kirishi Kirov Kirovsk Klin Klintsov Kollets Kolpino Kolpino Komsomolsk-on-Amur Kopeysk Korolev Koryazhm Kostroma Krasnodarsk Krasnoyarsk Krasnoyarsk Kubinka Kubinka Kuznetsk Kurgan Kurgan Kursk Life"&amp;"tsk Lomonosov Lomonosovsi Luhmoi Luhmovitsa Ysuva Lytkarino Lyubertsy Magadan Magnitogorsk Maykop Makhachkala Miass Mozhaisk Moscow Murmansk Murmansk Mtsevshchi Naberezhnye Chelnye Nalran Nalchik Naro-Fominsk Nevinnomyssk Nevninome Neftekhugansk Nizhnekam"&amp;"sk Nizhny Novgorod Novolattysk Novomoskovsk Novorossiysk Novosibirsk Novocheboksarsk Novoshakhkhinsk New Urengsk November November SK Nyagan Obninsk Odintsovo Ozersk Oktyabrsky Omsk Orenburg Orekhovo-Zuevo Orsus Orsus Pavlovo Pavlovsky Posad Penza Pervour"&amp;"alsk Perm Peterhof Petrozavodsk Petropavlovsk-Kamchatsk Podolsk Poskopyevsk Pushkin Pushkin Pushkino Ramenskoye Reutov Rustov Rostov-Don Ruzan Ryazan Salavat Salevat Saransk Sevastopol Sevastopol Seversk Seversk Sergiev Sergiyev Sergiyev Sergukhov Sergukh"&amp;"ov Servor Simferopol Smolensk Sokol Solnechnogorsk Sosnovy Bor Sochi Spassk- Far Stavropol Stary Oskol Sterlitamak Stupino Surgut Syzran Taganrog Tagan Tikhvin Togvin Togliatti Tula Tula Tyumen Ulan-Uda Ulyanovsk Ust-Ilymsk Ufa Fryazino Khabarovsk Khaboks"&amp;"iysk Chelabinsk Chelyabinsk Cherkessk Chekhovsky Chi Chikhi Chi Chikha Chita Chita Chita Chita Chita. Elkovo Elestostal Elista Engels Yuzhno-Sakhalinsk Yakutsk Yalta Yaroslavl Selection Afishas Afishikalendar November 13, 2023 November 13, 2023 November 1"&amp;"4, 2023 November 15, 2023 November 16, 2023 November 17, 2023 November 18, 2023 November 19, 2023 November 21, 2023 22, 2023 November 23, 2023 November 25, 2023 27 2023 November 27 November 27 November 27 2023 November 28, 2023 November 29, 2023 November "&amp;"30, 2023 December 1, 2023 December 2, 2023 December 3, 2023 4 December 2023 5 December 2023 December 6, 2023 December 7, 2023 December 9, 2023 December 10, 2023 December 11, 2023 December 12, 2023 13 December 2023 14 December 2023 December 15, 2023 Decemb"&amp;"er 16, 2023 December 17, 2023 December 18, 2023 December 19, 2023 December 20, 2023 December 21, 2023 December 22, 2023 December 23, 2023 December 25, 2023 December 25, 2023 27 2023 27 December 28, 2023 December 29, 2023 December 30, 2023 December 31, 202"&amp;"3 January 1 January 2, 2024 January 3, 2024 January 4, 2024 January 5, 2024 January 6, 2024 January 7, 2024 January 8, 2024 January 924 January 10, 2024 January 11, 2024 January 12, 2024 January 14, 2024 January 15, 2024 January 16 January, January 16, Ja"&amp;"nuary 16 2024 January 17, 2024 January 2024 January 19, 2024 January 2024 January 21, 2024 January 22, 2024 January 23, 2024 January 24, 2024 January 25, 2024 January 26, 2024 January 28, 2024 January 29, 2024 January 30, 2024 January 2024 1 February, 202"&amp;"4 2 February 2024 February 3, 2024 February 4, 2024 February 5, 2024 February 6, 2024 February 7, 2024 February 8, 2024 February 9, 2024 February 10, 2024 February 11, 2024 February 13, 2024 February 14, 2024 February 15, 2024 February 16, 2024 17 Februar"&amp;"y 17, 2024 February 18, 2024 February 19, 2024 February 20, 2024 February 2024 February 22, 2024 February 23, 2024 2424 February 25, 2024 26 February 2024 27 2024 28 February 2024 29, 2024 March 2, 2024 March 3 March 3, 2024 4 March 2024 March 6 March Mar"&amp;"ch 6 March, March 6 March 2024 March 7, 2024 March 8, 2024 March 10 March 2024 March 11, 2024 March 12, 2024 March 13, 2024 March 14, 2024 March 15, 2024 March 16 March 17, 2024 March 18, 2024 March 19 March 2024 March 21, 2024 22 March 2024 23 23 March 2"&amp;"024 March 24, 2024 March 25, 2024 March 26, 2024 March 27, 2024 March 28, 2024 March 29, 2024 March 30, 2024 March 31, 2024 April 2 April 2, 2024 3 April, 2024 April 5, 2024 April 6, 2024 April 7, 2024 April 8, 2024 April 9, 2024 April 11 April 11, 2024 A"&amp;"pril 12, 2024 April 13, 2024 April 14, 2024 April 15, 2024 April 16, 2024 17 April 18, 2024 19 April 1924 April 2024 April 22, 2024 23 23, 2024 24 April 25 April April 25 April 25 2024 April 26 April 27 April 2024 April 28, 2024 April 29, 2024 April 30, 2"&amp;"024 May 1, 2024 May 2 May 2024 May 3, 2024 May 5 May 2024 May 6 May 2024 May 8, 2024 May 9, 2024 May 10 May 2024 11 May 2024 124 124 12 May 2024 May 13, 2024 May 14 May 15, 2024 May 16 May 2024 May 17, 2024 May 18 May 2024 May 19, 2024 May 2024 May 21, 20"&amp;"24 May 22 May 23, 2024 24 May 2024 May 25, 2024 May 27, 2024 28 May 28 May 2024 May 29, May 30, 2024 May 31, 2024 June 1, 2024 June 2, 2024 June 3, 2024 June 4, 2024 June 5, 2024 June 6 June 7, 2024 June 8, 2024 June 924 June 10 June 2024 June 12 June 13,"&amp;" 2024 June 14 June June 14 June 14 2024 June 15, 2024 June 16 June 17, 2024 June 18, 2024 June 19 June 2024 June 20, 2024 June 21, 2024 June 22 June 23, 2024 June 24, 2024 June 25, 2024 June 27, 2024 28 28 June 2024 29 June 2024 June 30, 2024 1 July 2024 "&amp;"July 2 July 3, 2024 July 4 July 5 July 2024 July 6 July 7, 2024 July 8 July 924 July 10 July 2024 July 12 July 13, 2024 July 14, 2024 July 15 July 16 July 17 July 17, 2024 July 18, 2024 July 19 July 2024 July 21, 2024 July 22 July 23, 2024 July 24, 2024 J"&amp;"uly 25, 2024 July 26 July 27, 2024 July 29, 2024 July 30, 2024 31 July, 2024 August 2, 2024 August 3 August 3 2024 August 4, 2024 August 5 August 6, 2024 August 7, 2024 August 8, 2024 August 9, 2024 August 10, 2024 August 11, 2024 August 12, 2024 August 1"&amp;"3, 2024 August 14, 2024 August 16, 2024 August 17 August 17, 2024 August 18, 2024 August 19, 2024 20 August 2024 August 21, 2024 August 22, 2024 August 23, 2024 August 24, 2024 August 25, 2024 26 August 2024 27 August 2024 28 August 29 August 29, 2024 Aug"&amp;"ust 30, 2024 August 1, 2024 September 2, 2024 September 3, 2024 4 September, 2024 September 5, 2024 September 6, 2024 September 7, 2024 on September 8, 2024 September 10, 2024 September 11, 2024 September 12, 2024 September 13, 2024 September 14, 2024 Sep"&amp;"tember 15, 2024 September 17, 2024 September 18, 2024 19 September 19, 2024 September 20, 2024 September 21, 2024 22 September 22 22 2024 September 23, 2024 September 24, 2024 September 25, 2024 on September 26, 2024 on September, 2024 28 September, 2024 "&amp;"29 September 2024 September 30, 2024 1 October 2024 October 2, 2024 October 4, 2024 5 October 2024 October 6, 2024 October 7, 2024 On October 8, 2024 9 October 2024 October 10, 2024 October 11, 2024 October 12, 2024 October 13, 2024 October 14, 2024 Octob"&amp;"er 15, 2024 October 16, 2024 October 17, 2024 October 18, 2024 October 19, 2024 October 2024, 2024 October 22, 2024 23, 2024 October 24, 2024 25 October 25 October 26, 2024 October 27, 2024 October 28, 2024 October 29, 2024 October 30, 2024 on October 202"&amp;"4 November 1, 2024 November 2, 2024 November 3, 2024 November 4, 2024 November 6, 2024 November 7, 2024 November 8, 2024 November 924 November 10 November 11 2024 November December January February March April May June July August September October today "&amp;"Tomorrow Tomorrow Week Weeks of the Months of Children")</f>
        <v>Афиша – куда сходить в Москве все развлечения и билеты на Afisha.ruМоскваКИНОТЕАТРРЕСТОРАНЫСТЕНДАПКОНЦЕРТЫВЫСТАВКИВЕЧЕРИНКИЕЛКИДЕТИСПОРТФИЛЬМОТЕКАПОДБОРКИСЕРТИФИКАТЫПУТЕВОДИТЕЛИВОЙТИстатьяСкидка 20% на билеты9.1спектакльНичего не бойся я с тобойНоябрь 2023 - январь 2024 МДМОт 900 ₽концертВивальди. The times of the year -Yabr 2023 - April 2024 House of Kinoot 1400 ₽6.1 Filmicatriye will be in 96 cinemas to buy a ticket -portable event of Khorkin. Show Duel November 19 at 18:00 Palace of gymnastics Irina Viner-Usmanova 1 1,500 ₽8 Epavkatinkoff City: Andy Warhol and Russian art on February 18 Jewish museum to buy a ticketfilmsindromid in 136 cinemas to the Ticketscription “Griff removed” November Bunker 450 ₽ Makers Moldhilms. Shie Mirrakkatalogi Film -expected premiere films of the film развлечения МосквыНоябвс12пн13вт14ср15чт16пт17сб18вс19пн20вт21ср22чт23пт24сб25вс26пн27вт28ср29чт30Декпт01сб02вс03пн04вт05ср06чт07пт08сб09вс10пн11вт12ср13чт14пт15сб16вс17пн18вт19ср20чт21пт22сб23вс24пн25вт26ср27чт28пт29сб30вс31Янвпн01вт02ср03чт04пт05сб06вс07пн08вт09ср10чт11пт12сб13вс14пн15вт16ср17чт18пт19сб20вс21пн22вт23ср24чт25пт26сб27вс28пн29вт30ср31Февчт01пт02сб03вс04пн05вт06ср07чт08пт09сб10вс11пн12вт13ср14чт15пт16сб17вс18пн19вт20ср21чт22пт23сб24вс25пн26вт27ср28чт29Мартпт01сб02вс03пн04вт05ср06чт07пт08сб09вс10пн11вт12ср13чт14пт15сб16вс17пн18вт19ср20чт21пт22сб23вс24пн25вт26ср27чт28пт29сб30вс31Апрпн01вт02ср03чт04пт05сб06вс07пн08вт09ср10чт11пт12сб13вс14пн15вт16ср17чт18пт19сб20вс21пн22вт23ср24чт25пт26сб27вс28пн29вт30Майср01чт02пт03сб04вс05пн06вт07ср08чт09пт10сб11вс12пн13вт14ср15чт16пт17сб18вс19пн20вт21ср22чт23пт24сб25вс26пн27вт28ср29чт30пт31Июньсб01вс02пн03вт04ср05чт06пт07сб08вс09пн10вт11ср12чт13пт14сб15вс16пн17вт18ср19чт20пт21сб22вс23пн24вт25ср26чт27пт28сб29вс30Июльпн01вт02ср03чт04пт05сб06вс07пн08вт09ср10чт11пт12сб13вс14пн15вт16ср17чт18пт19сб20вс21пн22вт23ср24чт25пт26сб27вс28пн29вт30ср31Авгчт01пт02сб03вс04пн05вт06ср07чт08пт09сб10вс11пн12вт13ср14чт15пт16сб17вс18пн19вт20ср21чт22пт23сб24вс25пн26вт27ср28чт29пт30сб31Сентвс01пн02вт03ср04чт05пт06сб07вс08пн09вт10ср11чт12пт13сб14вс15пн16вт17ср18чт19пт20сб21вс22пн23вт24ср25чт26пт27сб28вс29пн30Октвт01ср02чт03пт04сб05вс06пн07вт08ср09чт10пт11сб12вс13пн14вт15ср16чт17пт18сб19вс20пн21вт22ср23чт24пт25сб26вс27пн28вт29ср30чт31Ноябпт01сб02вс03пн04вт05ср06чт07пт08сб09вс10пн11вт12ср13чт14пт15сб16вс17пн18вт19ср20чт21пт22сб23вс24пн25вт26ср27чт28пт29сб30Тип мероприятияСкидкиПо популярностиВыбор АфишиДетскиеСкидкиСкидкиВсеОт 300 ₽Продавец игрушек-40%СкидкаДетские елкиДекабрь 2023 январь 2024 Культурный центр «Меридиан»От 300 ₽Буратинодо -30%СкидкаДетские елкиДекабрь 2023 январь 2024 Культурный центр «Меридиан»От 1300 ₽Моня Цацкес — знаменосец -20%discaddramatic-yard 2023-January 2024 for 2 platforms 300 ₽ Screech-bale with sand animation-30%discord-diskidota Christmas trees25 and 27 The Meridian Cultural Center 400 ₽ Dinagome M-Torpedhockei on November 23 at 19:30 SKRK VTB Arena Arena - The Central Stadium Dynamo named after Yashin from 400 ₽ Dinomo M - Skykhokkey on December 25 at 19:30 SKRK VTB Arena - the Central Stadium Dynamo named after Yashin from 400 ₽ Dinomasm M - CSKAHOKKYAI on December 19 at 19:30 SKRK " VTB Arena - the Central Stadium Dynamo named after Yashin from 200 ₽ ROPRODINA - Chernomoretorefutbol November 19 at 19:00 Sapsan Arenaafis Restaurantov10 The best restaurants in Moscow according to the version of Whereteat Moscow 202310 “Nature are 150 years old”: Evgeny Reimer about the future of the future and about the future of the future and The new restaurant "NE" in the atom pavilion on November 8 is in full swing: where to go to Sochi in November 7 November for a week: Khinkali festival Kazakh delicacies and ethnic firewalls on November7 The best restaurants of the Central Region of Russia according to the Whereteat 20234 Awards will be called the best restaurants of the capital of Krasnodar on November3 Sochi Rostov-on-Don and Gelendzhik will be held the festival of southern kitchen-eve-elays of a Syndromrill9.3ot 1100 ₽ Mayakovsky premieres 2023 January 2024 Lenkom Zakharovaboris Sveshnikov. Dreams of Eternity -Writers on January 14 Our artists of the Khatastastophantentesis of Afishavese7.7 Tylepyntlmenyboyevik8.8ot 1000 ₽ Rruxi -tank 2023 - January 2024 Muscovite Musical Theater KDKSKORO in Kinovsovsabiletychacamediyatyabileybiletikhchik and poultry farmletfilombilets to the dream: once and for all, and for all the time-mercy-hungry, terrible sister-2ocedium collections Afishas are the most convenient way to choose how to conduct a free posting post: the main events of the week - you have to sign up the company editorial campaign Contactkitat CardiAfisha Dailypiknik Afishede. Rufisha Close -moving veteranstat. Bilet -picnovicular in terms of questioned issues, 1999–2023 LLC Afisha LLC. All rights reserved. For persons over 18 years old. User Agreement Policy of Confidentiality Rules for the Application of Technologies Azov Almetyevsk Anapa Angarsk Arzamas Armavir Arkhangelsk Astrakhan Achinsk Balashikha Balashikh Bataysk Beloregor Belorechensk Berdsk Bereznishk Blaguruslan Bugulm Bugulma Buzulm Buzuluk Veliki Velik Verkhnyaya Pyshma Vidden Vladivostok Vladikavkaz Vladimir Volgograd Volgogonsk Volzhsky Vologda Volda Volk Vsevolozhsk Vyborg Gatchina Gornzhik Gorno-Altaysk Grozny Gubkin Gudermes Dzerzhinsk Dimitrovgrad Dmitrov Dolgoprudny Dubomodedovo Dubna Evpatoria Yekaterinburg Yelets Esentuki Zheleznogorsk (Krasnoyarsk) Zhukovsky Zareysk Zarenogorsk Zelenogradsky Zelenogostosvost Ivanovo Ivanovo and Ivanovo Ivanovo Zhevsk Irkutsk Istrim Istra Yoshkar-Ola Kazan Kaliningrad Kaluga Kamensk-Uralsky Kamyshin Kaspiysk Kemerovo Kingisepp Kirishi Kirov Kirovsk Klin Klintsov Kollets Kolpino Kolpino Komsomolsk-on-Amur Kopeysk Korolev Koryazhm Kostroma Krasnodarsk Krasnoyarsk Krasnoyarsk Kubinka Kubinka Kuznetsk Kurgan Kurgan Kursk Lifetsk Lomonosov Lomonosovsi Luhmoi Luhmovitsa Ysuva Lytkarino Lyubertsy Magadan Magnitogorsk Maykop Makhachkala Miass Mozhaisk Moscow Murmansk Murmansk Mtsevshchi Naberezhnye Chelnye Nalran Nalchik Naro-Fominsk Nevinnomyssk Nevninome Neftekhugansk Nizhnekamsk Nizhny Novgorod Novolattysk Novomoskovsk Novorossiysk Novosibirsk Novocheboksarsk Novoshakhkhinsk New Urengsk November November SK Nyagan Obninsk Odintsovo Ozersk Oktyabrsky Omsk Orenburg Orekhovo-Zuevo Orsus Orsus Pavlovo Pavlovsky Posad Penza Pervouralsk Perm Peterhof Petrozavodsk Petropavlovsk-Kamchatsk Podolsk Poskopyevsk Pushkin Pushkin Pushkino Ramenskoye Reutov Rustov Rostov-Don Ruzan Ryazan Salavat Salevat Saransk Sevastopol Sevastopol Seversk Seversk Sergiev Sergiyev Sergiyev Sergukhov Sergukhov Servor Simferopol Smolensk Sokol Solnechnogorsk Sosnovy Bor Sochi Spassk- Far Stavropol Stary Oskol Sterlitamak Stupino Surgut Syzran Taganrog Tagan Tikhvin Togvin Togliatti Tula Tula Tyumen Ulan-Uda Ulyanovsk Ust-Ilymsk Ufa Fryazino Khabarovsk Khaboksiysk Chelabinsk Chelyabinsk Cherkessk Chekhovsky Chi Chikhi Chi Chikha Chita Chita Chita Chita Chita. Elkovo Elestostal Elista Engels Yuzhno-Sakhalinsk Yakutsk Yalta Yaroslavl Selection Afishas Afishikalendar November 13, 2023 November 13, 2023 November 14, 2023 November 15, 2023 November 16, 2023 November 17, 2023 November 18, 2023 November 19, 2023 November 21, 2023 22, 2023 November 23, 2023 November 25, 2023 27 2023 November 27 November 27 November 27 2023 November 28, 2023 November 29, 2023 November 30, 2023 December 1, 2023 December 2, 2023 December 3, 2023 4 December 2023 5 December 2023 December 6, 2023 December 7, 2023 December 9, 2023 December 10, 2023 December 11, 2023 December 12, 2023 13 December 2023 14 December 2023 December 15, 2023 December 16, 2023 December 17, 2023 December 18, 2023 December 19, 2023 December 20, 2023 December 21, 2023 December 22, 2023 December 23, 2023 December 25, 2023 December 25, 2023 27 2023 27 December 28, 2023 December 29, 2023 December 30, 2023 December 31, 2023 January 1 January 2, 2024 January 3, 2024 January 4, 2024 January 5, 2024 January 6, 2024 January 7, 2024 January 8, 2024 January 924 January 10, 2024 January 11, 2024 January 12, 2024 January 14, 2024 January 15, 2024 January 16 January, January 16, January 16 2024 January 17, 2024 January 2024 January 19, 2024 January 2024 January 21, 2024 January 22, 2024 January 23, 2024 January 24, 2024 January 25, 2024 January 26, 2024 January 28, 2024 January 29, 2024 January 30, 2024 January 2024 1 February, 2024 2 February 2024 February 3, 2024 February 4, 2024 February 5, 2024 February 6, 2024 February 7, 2024 February 8, 2024 February 9, 2024 February 10, 2024 February 11, 2024 February 13, 2024 February 14, 2024 February 15, 2024 February 16, 2024 17 February 17, 2024 February 18, 2024 February 19, 2024 February 20, 2024 February 2024 February 22, 2024 February 23, 2024 2424 February 25, 2024 26 February 2024 27 2024 28 February 2024 29, 2024 March 2, 2024 March 3 March 3, 2024 4 March 2024 March 6 March March 6 March, March 6 March 2024 March 7, 2024 March 8, 2024 March 10 March 2024 March 11, 2024 March 12, 2024 March 13, 2024 March 14, 2024 March 15, 2024 March 16 March 17, 2024 March 18, 2024 March 19 March 2024 March 21, 2024 22 March 2024 23 23 March 2024 March 24, 2024 March 25, 2024 March 26, 2024 March 27, 2024 March 28, 2024 March 29, 2024 March 30, 2024 March 31, 2024 April 2 April 2, 2024 3 April, 2024 April 5, 2024 April 6, 2024 April 7, 2024 April 8, 2024 April 9, 2024 April 11 April 11, 2024 April 12, 2024 April 13, 2024 April 14, 2024 April 15, 2024 April 16, 2024 17 April 18, 2024 19 April 1924 April 2024 April 22, 2024 23 23, 2024 24 April 25 April April 25 April 25 2024 April 26 April 27 April 2024 April 28, 2024 April 29, 2024 April 30, 2024 May 1, 2024 May 2 May 2024 May 3, 2024 May 5 May 2024 May 6 May 2024 May 8, 2024 May 9, 2024 May 10 May 2024 11 May 2024 124 124 12 May 2024 May 13, 2024 May 14 May 15, 2024 May 16 May 2024 May 17, 2024 May 18 May 2024 May 19, 2024 May 2024 May 21, 2024 May 22 May 23, 2024 24 May 2024 May 25, 2024 May 27, 2024 28 May 28 May 2024 May 29, May 30, 2024 May 31, 2024 June 1, 2024 June 2, 2024 June 3, 2024 June 4, 2024 June 5, 2024 June 6 June 7, 2024 June 8, 2024 June 924 June 10 June 2024 June 12 June 13, 2024 June 14 June June 14 June 14 2024 June 15, 2024 June 16 June 17, 2024 June 18, 2024 June 19 June 2024 June 20, 2024 June 21, 2024 June 22 June 23, 2024 June 24, 2024 June 25, 2024 June 27, 2024 28 28 June 2024 29 June 2024 June 30, 2024 1 July 2024 July 2 July 3, 2024 July 4 July 5 July 2024 July 6 July 7, 2024 July 8 July 924 July 10 July 2024 July 12 July 13, 2024 July 14, 2024 July 15 July 16 July 17 July 17, 2024 July 18, 2024 July 19 July 2024 July 21, 2024 July 22 July 23, 2024 July 24, 2024 July 25, 2024 July 26 July 27, 2024 July 29, 2024 July 30, 2024 31 July, 2024 August 2, 2024 August 3 August 3 2024 August 4, 2024 August 5 August 6, 2024 August 7, 2024 August 8, 2024 August 9, 2024 August 10, 2024 August 11, 2024 August 12, 2024 August 13, 2024 August 14, 2024 August 16, 2024 August 17 August 17, 2024 August 18, 2024 August 19, 2024 20 August 2024 August 21, 2024 August 22, 2024 August 23, 2024 August 24, 2024 August 25, 2024 26 August 2024 27 August 2024 28 August 29 August 29, 2024 August 30, 2024 August 1, 2024 September 2, 2024 September 3, 2024 4 September, 2024 September 5, 2024 September 6, 2024 September 7, 2024 on September 8, 2024 September 10, 2024 September 11, 2024 September 12, 2024 September 13, 2024 September 14, 2024 September 15, 2024 September 17, 2024 September 18, 2024 19 September 19, 2024 September 20, 2024 September 21, 2024 22 September 22 22 2024 September 23, 2024 September 24, 2024 September 25, 2024 on September 26, 2024 on September, 2024 28 September, 2024 29 September 2024 September 30, 2024 1 October 2024 October 2, 2024 October 4, 2024 5 October 2024 October 6, 2024 October 7, 2024 On October 8, 2024 9 October 2024 October 10, 2024 October 11, 2024 October 12, 2024 October 13, 2024 October 14, 2024 October 15, 2024 October 16, 2024 October 17, 2024 October 18, 2024 October 19, 2024 October 2024, 2024 October 22, 2024 23, 2024 October 24, 2024 25 October 25 October 26, 2024 October 27, 2024 October 28, 2024 October 29, 2024 October 30, 2024 on October 2024 November 1, 2024 November 2, 2024 November 3, 2024 November 4, 2024 November 6, 2024 November 7, 2024 November 8, 2024 November 924 November 10 November 11 2024 November December January February March April May June July August September October today Tomorrow Tomorrow Week Weeks of the Months of Children</v>
      </c>
    </row>
    <row r="408">
      <c r="I408" s="2"/>
      <c r="K408" s="6"/>
    </row>
    <row r="409">
      <c r="I409" s="2"/>
      <c r="K409" s="6"/>
    </row>
    <row r="410">
      <c r="I410" s="2"/>
      <c r="K410" s="6"/>
    </row>
    <row r="411">
      <c r="I411" s="2"/>
      <c r="K411" s="6"/>
    </row>
    <row r="412">
      <c r="I412" s="2"/>
      <c r="K412" s="6"/>
    </row>
    <row r="413">
      <c r="I413" s="2"/>
      <c r="K413" s="6"/>
    </row>
    <row r="414">
      <c r="I414" s="2"/>
      <c r="K414" s="6"/>
    </row>
    <row r="415">
      <c r="I415" s="2"/>
      <c r="K415" s="6"/>
    </row>
    <row r="416">
      <c r="I416" s="2"/>
      <c r="K416" s="6"/>
    </row>
    <row r="417">
      <c r="I417" s="2"/>
      <c r="K417" s="6"/>
    </row>
    <row r="418">
      <c r="I418" s="2"/>
      <c r="K418" s="6"/>
    </row>
    <row r="419">
      <c r="I419" s="2"/>
      <c r="K419" s="6"/>
    </row>
    <row r="420">
      <c r="I420" s="2"/>
      <c r="K420" s="6"/>
    </row>
    <row r="421">
      <c r="I421" s="2"/>
      <c r="K421" s="6"/>
    </row>
    <row r="422">
      <c r="I422" s="2"/>
      <c r="K422" s="6"/>
    </row>
    <row r="423">
      <c r="I423" s="2"/>
      <c r="K423" s="6"/>
    </row>
    <row r="424">
      <c r="I424" s="2"/>
      <c r="K424" s="6"/>
    </row>
    <row r="425">
      <c r="I425" s="2"/>
      <c r="K425" s="6"/>
    </row>
    <row r="426">
      <c r="I426" s="2"/>
      <c r="K426" s="6"/>
    </row>
    <row r="427">
      <c r="I427" s="2"/>
      <c r="K427" s="6"/>
    </row>
    <row r="428">
      <c r="I428" s="2"/>
      <c r="K428" s="6"/>
    </row>
    <row r="429">
      <c r="I429" s="2"/>
      <c r="K429" s="6"/>
    </row>
    <row r="430">
      <c r="I430" s="2"/>
      <c r="K430" s="6"/>
    </row>
    <row r="431">
      <c r="I431" s="2"/>
      <c r="K431" s="6"/>
    </row>
    <row r="432">
      <c r="I432" s="2"/>
      <c r="K432" s="6"/>
    </row>
    <row r="433">
      <c r="I433" s="2"/>
      <c r="K433" s="6"/>
    </row>
    <row r="434">
      <c r="I434" s="2"/>
      <c r="K434" s="6"/>
    </row>
    <row r="435">
      <c r="I435" s="2"/>
      <c r="K435" s="6"/>
    </row>
    <row r="436">
      <c r="I436" s="2"/>
      <c r="K436" s="6"/>
    </row>
    <row r="437">
      <c r="I437" s="2"/>
      <c r="K437" s="6"/>
    </row>
    <row r="438">
      <c r="I438" s="2"/>
      <c r="K438" s="6"/>
    </row>
    <row r="439">
      <c r="I439" s="2"/>
      <c r="K439" s="6"/>
    </row>
    <row r="440">
      <c r="I440" s="2"/>
      <c r="K440" s="6"/>
    </row>
    <row r="441">
      <c r="I441" s="2"/>
      <c r="K441" s="6"/>
    </row>
    <row r="442">
      <c r="I442" s="2"/>
      <c r="K442" s="6"/>
    </row>
    <row r="443">
      <c r="I443" s="2"/>
      <c r="K443" s="6"/>
    </row>
    <row r="444">
      <c r="I444" s="2"/>
      <c r="K444" s="6"/>
    </row>
    <row r="445">
      <c r="I445" s="2"/>
      <c r="K445" s="6"/>
    </row>
    <row r="446">
      <c r="I446" s="2"/>
      <c r="K446" s="6"/>
    </row>
    <row r="447">
      <c r="I447" s="2"/>
      <c r="K447" s="6"/>
    </row>
    <row r="448">
      <c r="I448" s="2"/>
      <c r="K448" s="6"/>
    </row>
    <row r="449">
      <c r="I449" s="2"/>
      <c r="K449" s="6"/>
    </row>
    <row r="450">
      <c r="I450" s="2"/>
      <c r="K450" s="6"/>
    </row>
    <row r="451">
      <c r="I451" s="2"/>
      <c r="K451" s="6"/>
    </row>
    <row r="452">
      <c r="I452" s="2"/>
      <c r="K452" s="6"/>
    </row>
    <row r="453">
      <c r="I453" s="2"/>
      <c r="K453" s="6"/>
    </row>
    <row r="454">
      <c r="I454" s="2"/>
      <c r="K454" s="6"/>
    </row>
    <row r="455">
      <c r="I455" s="2"/>
      <c r="K455" s="6"/>
    </row>
    <row r="456">
      <c r="I456" s="2"/>
      <c r="K456" s="6"/>
    </row>
    <row r="457">
      <c r="I457" s="2"/>
      <c r="K457" s="6"/>
    </row>
    <row r="458">
      <c r="I458" s="2"/>
      <c r="K458" s="6"/>
    </row>
    <row r="459">
      <c r="I459" s="2"/>
      <c r="K459" s="6"/>
    </row>
    <row r="460">
      <c r="I460" s="2"/>
      <c r="K460" s="6"/>
    </row>
    <row r="461">
      <c r="I461" s="2"/>
      <c r="K461" s="6"/>
    </row>
    <row r="462">
      <c r="I462" s="2"/>
      <c r="K462" s="6"/>
    </row>
    <row r="463">
      <c r="I463" s="2"/>
      <c r="K463" s="6"/>
    </row>
    <row r="464">
      <c r="I464" s="2"/>
      <c r="K464" s="6"/>
    </row>
    <row r="465">
      <c r="I465" s="2"/>
      <c r="K465" s="6"/>
    </row>
    <row r="466">
      <c r="I466" s="2"/>
      <c r="K466" s="6"/>
    </row>
    <row r="467">
      <c r="I467" s="2"/>
      <c r="K467" s="6"/>
    </row>
    <row r="468">
      <c r="I468" s="2"/>
      <c r="K468" s="6"/>
    </row>
    <row r="469">
      <c r="I469" s="2"/>
      <c r="K469" s="6"/>
    </row>
    <row r="470">
      <c r="I470" s="2"/>
      <c r="K470" s="6"/>
    </row>
    <row r="471">
      <c r="I471" s="2"/>
      <c r="K471" s="6"/>
    </row>
    <row r="472">
      <c r="I472" s="2"/>
      <c r="K472" s="6"/>
    </row>
    <row r="473">
      <c r="I473" s="2"/>
      <c r="K473" s="6"/>
    </row>
    <row r="474">
      <c r="I474" s="2"/>
      <c r="K474" s="6"/>
    </row>
    <row r="475">
      <c r="I475" s="2"/>
      <c r="K475" s="6"/>
    </row>
    <row r="476">
      <c r="I476" s="2"/>
      <c r="K476" s="6"/>
    </row>
    <row r="477">
      <c r="I477" s="2"/>
      <c r="K477" s="6"/>
    </row>
    <row r="478">
      <c r="I478" s="2"/>
      <c r="K478" s="6"/>
    </row>
    <row r="479">
      <c r="I479" s="2"/>
      <c r="K479" s="6"/>
    </row>
    <row r="480">
      <c r="I480" s="2"/>
      <c r="K480" s="6"/>
    </row>
    <row r="481">
      <c r="I481" s="2"/>
      <c r="K481" s="6"/>
    </row>
    <row r="482">
      <c r="I482" s="2"/>
      <c r="K482" s="6"/>
    </row>
    <row r="483">
      <c r="I483" s="2"/>
      <c r="K483" s="6"/>
    </row>
    <row r="484">
      <c r="I484" s="2"/>
      <c r="K484" s="6"/>
    </row>
    <row r="485">
      <c r="I485" s="2"/>
      <c r="K485" s="6"/>
    </row>
    <row r="486">
      <c r="I486" s="2"/>
      <c r="K486" s="6"/>
    </row>
    <row r="487">
      <c r="I487" s="2"/>
      <c r="K487" s="6"/>
    </row>
    <row r="488">
      <c r="I488" s="2"/>
      <c r="K488" s="6"/>
    </row>
    <row r="489">
      <c r="I489" s="2"/>
      <c r="K489" s="6"/>
    </row>
    <row r="490">
      <c r="I490" s="2"/>
      <c r="K490" s="6"/>
    </row>
    <row r="491">
      <c r="I491" s="2"/>
      <c r="K491" s="6"/>
    </row>
    <row r="492">
      <c r="I492" s="2"/>
      <c r="K492" s="6"/>
    </row>
    <row r="493">
      <c r="I493" s="2"/>
      <c r="K493" s="6"/>
    </row>
    <row r="494">
      <c r="I494" s="2"/>
      <c r="K494" s="6"/>
    </row>
    <row r="495">
      <c r="I495" s="2"/>
      <c r="K495" s="6"/>
    </row>
    <row r="496">
      <c r="I496" s="2"/>
      <c r="K496" s="6"/>
    </row>
    <row r="497">
      <c r="I497" s="2"/>
      <c r="K497" s="6"/>
    </row>
    <row r="498">
      <c r="I498" s="2"/>
      <c r="K498" s="6"/>
    </row>
    <row r="499">
      <c r="I499" s="2"/>
      <c r="K499" s="6"/>
    </row>
    <row r="500">
      <c r="I500" s="2"/>
      <c r="K500" s="6"/>
    </row>
    <row r="501">
      <c r="I501" s="2"/>
      <c r="K501" s="6"/>
    </row>
    <row r="502">
      <c r="I502" s="2"/>
      <c r="K502" s="6"/>
    </row>
    <row r="503">
      <c r="I503" s="2"/>
      <c r="K503" s="6"/>
    </row>
    <row r="504">
      <c r="I504" s="2"/>
      <c r="K504" s="6"/>
    </row>
    <row r="505">
      <c r="I505" s="2"/>
      <c r="K505" s="6"/>
    </row>
    <row r="506">
      <c r="I506" s="2"/>
      <c r="K506" s="6"/>
    </row>
    <row r="507">
      <c r="I507" s="2"/>
      <c r="K507" s="6"/>
    </row>
    <row r="508">
      <c r="I508" s="2"/>
      <c r="K508" s="6"/>
    </row>
    <row r="509">
      <c r="I509" s="2"/>
      <c r="K509" s="6"/>
    </row>
    <row r="510">
      <c r="I510" s="2"/>
      <c r="K510" s="6"/>
    </row>
    <row r="511">
      <c r="I511" s="2"/>
      <c r="K511" s="6"/>
    </row>
    <row r="512">
      <c r="I512" s="2"/>
      <c r="K512" s="6"/>
    </row>
    <row r="513">
      <c r="I513" s="2"/>
      <c r="K513" s="6"/>
    </row>
    <row r="514">
      <c r="I514" s="2"/>
      <c r="K514" s="6"/>
    </row>
    <row r="515">
      <c r="I515" s="2"/>
      <c r="K515" s="6"/>
    </row>
    <row r="516">
      <c r="I516" s="2"/>
      <c r="K516" s="6"/>
    </row>
    <row r="517">
      <c r="I517" s="2"/>
      <c r="K517" s="6"/>
    </row>
    <row r="518">
      <c r="I518" s="2"/>
      <c r="K518" s="6"/>
    </row>
    <row r="519">
      <c r="I519" s="2"/>
      <c r="K519" s="6"/>
    </row>
    <row r="520">
      <c r="I520" s="2"/>
      <c r="K520" s="6"/>
    </row>
    <row r="521">
      <c r="I521" s="2"/>
      <c r="K521" s="6"/>
    </row>
    <row r="522">
      <c r="I522" s="2"/>
      <c r="K522" s="6"/>
    </row>
    <row r="523">
      <c r="I523" s="2"/>
      <c r="K523" s="6"/>
    </row>
    <row r="524">
      <c r="I524" s="2"/>
      <c r="K524" s="6"/>
    </row>
    <row r="525">
      <c r="I525" s="2"/>
      <c r="K525" s="6"/>
    </row>
    <row r="526">
      <c r="I526" s="2"/>
      <c r="K526" s="6"/>
    </row>
    <row r="527">
      <c r="I527" s="2"/>
      <c r="K527" s="6"/>
    </row>
    <row r="528">
      <c r="I528" s="2"/>
      <c r="K528" s="6"/>
    </row>
    <row r="529">
      <c r="I529" s="2"/>
      <c r="K529" s="6"/>
    </row>
    <row r="530">
      <c r="I530" s="2"/>
      <c r="K530" s="6"/>
    </row>
    <row r="531">
      <c r="I531" s="2"/>
      <c r="K531" s="6"/>
    </row>
    <row r="532">
      <c r="I532" s="2"/>
      <c r="K532" s="6"/>
    </row>
    <row r="533">
      <c r="I533" s="2"/>
      <c r="K533" s="6"/>
    </row>
    <row r="534">
      <c r="I534" s="2"/>
      <c r="K534" s="6"/>
    </row>
    <row r="535">
      <c r="I535" s="2"/>
      <c r="K535" s="6"/>
    </row>
    <row r="536">
      <c r="I536" s="2"/>
      <c r="K536" s="6"/>
    </row>
    <row r="537">
      <c r="I537" s="2"/>
      <c r="K537" s="6"/>
    </row>
    <row r="538">
      <c r="I538" s="2"/>
      <c r="K538" s="6"/>
    </row>
    <row r="539">
      <c r="I539" s="2"/>
      <c r="K539" s="6"/>
    </row>
    <row r="540">
      <c r="I540" s="2"/>
      <c r="K540" s="6"/>
    </row>
    <row r="541">
      <c r="I541" s="2"/>
      <c r="K541" s="6"/>
    </row>
    <row r="542">
      <c r="I542" s="2"/>
      <c r="K542" s="6"/>
    </row>
    <row r="543">
      <c r="I543" s="2"/>
      <c r="K543" s="6"/>
    </row>
    <row r="544">
      <c r="I544" s="2"/>
      <c r="K544" s="6"/>
    </row>
    <row r="545">
      <c r="I545" s="2"/>
      <c r="K545" s="6"/>
    </row>
    <row r="546">
      <c r="I546" s="2"/>
      <c r="K546" s="6"/>
    </row>
    <row r="547">
      <c r="I547" s="2"/>
      <c r="K547" s="6"/>
    </row>
    <row r="548">
      <c r="I548" s="2"/>
      <c r="K548" s="6"/>
    </row>
    <row r="549">
      <c r="I549" s="2"/>
      <c r="K549" s="6"/>
    </row>
    <row r="550">
      <c r="I550" s="2"/>
      <c r="K550" s="6"/>
    </row>
    <row r="551">
      <c r="I551" s="2"/>
      <c r="K551" s="6"/>
    </row>
    <row r="552">
      <c r="I552" s="2"/>
      <c r="K552" s="6"/>
    </row>
    <row r="553">
      <c r="I553" s="2"/>
      <c r="K553" s="6"/>
    </row>
    <row r="554">
      <c r="I554" s="2"/>
      <c r="K554" s="6"/>
    </row>
    <row r="555">
      <c r="I555" s="2"/>
      <c r="K555" s="6"/>
    </row>
    <row r="556">
      <c r="I556" s="2"/>
      <c r="K556" s="6"/>
    </row>
    <row r="557">
      <c r="I557" s="2"/>
      <c r="K557" s="6"/>
    </row>
    <row r="558">
      <c r="I558" s="2"/>
      <c r="K558" s="6"/>
    </row>
    <row r="559">
      <c r="I559" s="2"/>
      <c r="K559" s="6"/>
    </row>
    <row r="560">
      <c r="I560" s="2"/>
      <c r="K560" s="6"/>
    </row>
    <row r="561">
      <c r="I561" s="2"/>
      <c r="K561" s="6"/>
    </row>
    <row r="562">
      <c r="I562" s="2"/>
      <c r="K562" s="6"/>
    </row>
    <row r="563">
      <c r="I563" s="2"/>
      <c r="K563" s="6"/>
    </row>
    <row r="564">
      <c r="I564" s="2"/>
      <c r="K564" s="6"/>
    </row>
    <row r="565">
      <c r="I565" s="2"/>
      <c r="K565" s="6"/>
    </row>
    <row r="566">
      <c r="I566" s="2"/>
      <c r="K566" s="6"/>
    </row>
    <row r="567">
      <c r="I567" s="2"/>
      <c r="K567" s="6"/>
    </row>
    <row r="568">
      <c r="I568" s="2"/>
      <c r="K568" s="6"/>
    </row>
    <row r="569">
      <c r="I569" s="2"/>
      <c r="K569" s="6"/>
    </row>
    <row r="570">
      <c r="I570" s="2"/>
      <c r="K570" s="6"/>
    </row>
    <row r="571">
      <c r="I571" s="2"/>
      <c r="K571" s="6"/>
    </row>
    <row r="572">
      <c r="I572" s="2"/>
      <c r="K572" s="6"/>
    </row>
    <row r="573">
      <c r="I573" s="2"/>
      <c r="K573" s="6"/>
    </row>
    <row r="574">
      <c r="I574" s="2"/>
      <c r="K574" s="6"/>
    </row>
    <row r="575">
      <c r="I575" s="2"/>
      <c r="K575" s="6"/>
    </row>
    <row r="576">
      <c r="I576" s="2"/>
      <c r="K576" s="6"/>
    </row>
    <row r="577">
      <c r="I577" s="2"/>
      <c r="K577" s="6"/>
    </row>
    <row r="578">
      <c r="I578" s="2"/>
      <c r="K578" s="6"/>
    </row>
    <row r="579">
      <c r="I579" s="2"/>
      <c r="K579" s="6"/>
    </row>
    <row r="580">
      <c r="I580" s="2"/>
      <c r="K580" s="6"/>
    </row>
    <row r="581">
      <c r="I581" s="2"/>
      <c r="K581" s="6"/>
    </row>
    <row r="582">
      <c r="I582" s="2"/>
      <c r="K582" s="6"/>
    </row>
    <row r="583">
      <c r="I583" s="2"/>
      <c r="K583" s="6"/>
    </row>
    <row r="584">
      <c r="I584" s="2"/>
      <c r="K584" s="6"/>
    </row>
    <row r="585">
      <c r="I585" s="2"/>
      <c r="K585" s="6"/>
    </row>
    <row r="586">
      <c r="I586" s="2"/>
      <c r="K586" s="6"/>
    </row>
    <row r="587">
      <c r="I587" s="2"/>
      <c r="K587" s="6"/>
    </row>
    <row r="588">
      <c r="I588" s="2"/>
      <c r="K588" s="6"/>
    </row>
    <row r="589">
      <c r="I589" s="2"/>
      <c r="K589" s="6"/>
    </row>
    <row r="590">
      <c r="I590" s="2"/>
      <c r="K590" s="6"/>
    </row>
    <row r="591">
      <c r="I591" s="2"/>
      <c r="K591" s="6"/>
    </row>
    <row r="592">
      <c r="I592" s="2"/>
      <c r="K592" s="6"/>
    </row>
    <row r="593">
      <c r="I593" s="2"/>
      <c r="K593" s="6"/>
    </row>
    <row r="594">
      <c r="I594" s="2"/>
      <c r="K594" s="6"/>
    </row>
    <row r="595">
      <c r="I595" s="2"/>
      <c r="K595" s="6"/>
    </row>
    <row r="596">
      <c r="I596" s="2"/>
      <c r="K596" s="6"/>
    </row>
    <row r="597">
      <c r="I597" s="2"/>
      <c r="K597" s="6"/>
    </row>
    <row r="598">
      <c r="I598" s="2"/>
      <c r="K598" s="6"/>
    </row>
    <row r="599">
      <c r="I599" s="2"/>
      <c r="K599" s="6"/>
    </row>
    <row r="600">
      <c r="I600" s="2"/>
      <c r="K600" s="6"/>
    </row>
    <row r="601">
      <c r="I601" s="2"/>
      <c r="K601" s="6"/>
    </row>
    <row r="602">
      <c r="I602" s="2"/>
      <c r="K602" s="6"/>
    </row>
    <row r="603">
      <c r="I603" s="2"/>
      <c r="K603" s="6"/>
    </row>
    <row r="604">
      <c r="I604" s="2"/>
      <c r="K604" s="6"/>
    </row>
    <row r="605">
      <c r="I605" s="2"/>
      <c r="K605" s="6"/>
    </row>
    <row r="606">
      <c r="I606" s="2"/>
      <c r="K606" s="6"/>
    </row>
    <row r="607">
      <c r="I607" s="2"/>
      <c r="K607" s="6"/>
    </row>
    <row r="608">
      <c r="I608" s="2"/>
      <c r="K608" s="6"/>
    </row>
    <row r="609">
      <c r="I609" s="2"/>
      <c r="K609" s="6"/>
    </row>
    <row r="610">
      <c r="I610" s="2"/>
      <c r="K610" s="6"/>
    </row>
    <row r="611">
      <c r="I611" s="2"/>
      <c r="K611" s="6"/>
    </row>
    <row r="612">
      <c r="I612" s="2"/>
      <c r="K612" s="6"/>
    </row>
    <row r="613">
      <c r="I613" s="2"/>
      <c r="K613" s="6"/>
    </row>
    <row r="614">
      <c r="I614" s="2"/>
      <c r="K614" s="6"/>
    </row>
    <row r="615">
      <c r="I615" s="2"/>
      <c r="K615" s="6"/>
    </row>
    <row r="616">
      <c r="I616" s="2"/>
      <c r="K616" s="6"/>
    </row>
    <row r="617">
      <c r="I617" s="2"/>
      <c r="K617" s="6"/>
    </row>
    <row r="618">
      <c r="I618" s="2"/>
      <c r="K618" s="6"/>
    </row>
    <row r="619">
      <c r="I619" s="2"/>
      <c r="K619" s="6"/>
    </row>
    <row r="620">
      <c r="I620" s="2"/>
      <c r="K620" s="6"/>
    </row>
    <row r="621">
      <c r="I621" s="2"/>
      <c r="K621" s="6"/>
    </row>
    <row r="622">
      <c r="I622" s="2"/>
      <c r="K622" s="6"/>
    </row>
    <row r="623">
      <c r="I623" s="2"/>
      <c r="K623" s="6"/>
    </row>
    <row r="624">
      <c r="I624" s="2"/>
      <c r="K624" s="6"/>
    </row>
    <row r="625">
      <c r="I625" s="2"/>
      <c r="K625" s="6"/>
    </row>
    <row r="626">
      <c r="I626" s="2"/>
      <c r="K626" s="6"/>
    </row>
    <row r="627">
      <c r="I627" s="2"/>
      <c r="K627" s="6"/>
    </row>
    <row r="628">
      <c r="I628" s="2"/>
      <c r="K628" s="6"/>
    </row>
    <row r="629">
      <c r="I629" s="2"/>
      <c r="K629" s="6"/>
    </row>
    <row r="630">
      <c r="I630" s="2"/>
      <c r="K630" s="6"/>
    </row>
    <row r="631">
      <c r="I631" s="2"/>
      <c r="K631" s="6"/>
    </row>
    <row r="632">
      <c r="I632" s="2"/>
      <c r="K632" s="6"/>
    </row>
    <row r="633">
      <c r="I633" s="2"/>
      <c r="K633" s="6"/>
    </row>
    <row r="634">
      <c r="I634" s="2"/>
      <c r="K634" s="6"/>
    </row>
    <row r="635">
      <c r="I635" s="2"/>
      <c r="K635" s="6"/>
    </row>
    <row r="636">
      <c r="I636" s="2"/>
      <c r="K636" s="6"/>
    </row>
    <row r="637">
      <c r="I637" s="2"/>
      <c r="K637" s="6"/>
    </row>
    <row r="638">
      <c r="I638" s="2"/>
      <c r="K638" s="6"/>
    </row>
    <row r="639">
      <c r="I639" s="2"/>
      <c r="K639" s="6"/>
    </row>
    <row r="640">
      <c r="I640" s="2"/>
      <c r="K640" s="6"/>
    </row>
    <row r="641">
      <c r="I641" s="2"/>
      <c r="K641" s="6"/>
    </row>
    <row r="642">
      <c r="I642" s="2"/>
      <c r="K642" s="6"/>
    </row>
    <row r="643">
      <c r="I643" s="2"/>
      <c r="K643" s="6"/>
    </row>
    <row r="644">
      <c r="I644" s="2"/>
      <c r="K644" s="6"/>
    </row>
    <row r="645">
      <c r="I645" s="2"/>
      <c r="K645" s="6"/>
    </row>
    <row r="646">
      <c r="I646" s="2"/>
      <c r="K646" s="6"/>
    </row>
    <row r="647">
      <c r="I647" s="2"/>
      <c r="K647" s="6"/>
    </row>
    <row r="648">
      <c r="I648" s="2"/>
      <c r="K648" s="6"/>
    </row>
    <row r="649">
      <c r="I649" s="2"/>
      <c r="K649" s="6"/>
    </row>
    <row r="650">
      <c r="I650" s="2"/>
      <c r="K650" s="6"/>
    </row>
    <row r="651">
      <c r="I651" s="2"/>
      <c r="K651" s="6"/>
    </row>
    <row r="652">
      <c r="I652" s="2"/>
      <c r="K652" s="6"/>
    </row>
    <row r="653">
      <c r="I653" s="2"/>
      <c r="K653" s="6"/>
    </row>
    <row r="654">
      <c r="I654" s="2"/>
      <c r="K654" s="6"/>
    </row>
    <row r="655">
      <c r="I655" s="2"/>
      <c r="K655" s="6"/>
    </row>
    <row r="656">
      <c r="I656" s="2"/>
      <c r="K656" s="6"/>
    </row>
    <row r="657">
      <c r="I657" s="2"/>
      <c r="K657" s="6"/>
    </row>
    <row r="658">
      <c r="I658" s="2"/>
      <c r="K658" s="6"/>
    </row>
    <row r="659">
      <c r="I659" s="2"/>
      <c r="K659" s="6"/>
    </row>
    <row r="660">
      <c r="I660" s="2"/>
      <c r="K660" s="6"/>
    </row>
    <row r="661">
      <c r="I661" s="2"/>
      <c r="K661" s="6"/>
    </row>
    <row r="662">
      <c r="I662" s="2"/>
      <c r="K662" s="6"/>
    </row>
    <row r="663">
      <c r="I663" s="2"/>
      <c r="K663" s="6"/>
    </row>
    <row r="664">
      <c r="I664" s="2"/>
      <c r="K664" s="6"/>
    </row>
    <row r="665">
      <c r="I665" s="2"/>
      <c r="K665" s="6"/>
    </row>
    <row r="666">
      <c r="I666" s="2"/>
      <c r="K666" s="6"/>
    </row>
    <row r="667">
      <c r="I667" s="2"/>
      <c r="K667" s="6"/>
    </row>
    <row r="668">
      <c r="I668" s="2"/>
      <c r="K668" s="6"/>
    </row>
    <row r="669">
      <c r="I669" s="2"/>
      <c r="K669" s="6"/>
    </row>
    <row r="670">
      <c r="I670" s="2"/>
      <c r="K670" s="6"/>
    </row>
    <row r="671">
      <c r="I671" s="2"/>
      <c r="K671" s="6"/>
    </row>
    <row r="672">
      <c r="I672" s="2"/>
      <c r="K672" s="6"/>
    </row>
    <row r="673">
      <c r="I673" s="2"/>
      <c r="K673" s="6"/>
    </row>
    <row r="674">
      <c r="I674" s="2"/>
      <c r="K674" s="6"/>
    </row>
    <row r="675">
      <c r="I675" s="2"/>
      <c r="K675" s="6"/>
    </row>
    <row r="676">
      <c r="I676" s="2"/>
      <c r="K676" s="6"/>
    </row>
    <row r="677">
      <c r="I677" s="2"/>
      <c r="K677" s="6"/>
    </row>
    <row r="678">
      <c r="I678" s="2"/>
      <c r="K678" s="6"/>
    </row>
    <row r="679">
      <c r="I679" s="2"/>
      <c r="K679" s="6"/>
    </row>
    <row r="680">
      <c r="I680" s="2"/>
      <c r="K680" s="6"/>
    </row>
    <row r="681">
      <c r="I681" s="2"/>
      <c r="K681" s="6"/>
    </row>
    <row r="682">
      <c r="I682" s="2"/>
      <c r="K682" s="6"/>
    </row>
    <row r="683">
      <c r="I683" s="2"/>
      <c r="K683" s="6"/>
    </row>
    <row r="684">
      <c r="I684" s="2"/>
      <c r="K684" s="6"/>
    </row>
    <row r="685">
      <c r="I685" s="2"/>
      <c r="K685" s="6"/>
    </row>
    <row r="686">
      <c r="I686" s="2"/>
      <c r="K686" s="6"/>
    </row>
    <row r="687">
      <c r="I687" s="2"/>
      <c r="K687" s="6"/>
    </row>
    <row r="688">
      <c r="I688" s="2"/>
      <c r="K688" s="6"/>
    </row>
    <row r="689">
      <c r="I689" s="2"/>
      <c r="K689" s="6"/>
    </row>
    <row r="690">
      <c r="I690" s="2"/>
      <c r="K690" s="6"/>
    </row>
    <row r="691">
      <c r="I691" s="2"/>
      <c r="K691" s="6"/>
    </row>
    <row r="692">
      <c r="I692" s="2"/>
      <c r="K692" s="6"/>
    </row>
    <row r="693">
      <c r="I693" s="2"/>
      <c r="K693" s="6"/>
    </row>
    <row r="694">
      <c r="I694" s="2"/>
      <c r="K694" s="6"/>
    </row>
    <row r="695">
      <c r="I695" s="2"/>
      <c r="K695" s="6"/>
    </row>
    <row r="696">
      <c r="I696" s="2"/>
      <c r="K696" s="6"/>
    </row>
    <row r="697">
      <c r="I697" s="2"/>
      <c r="K697" s="6"/>
    </row>
    <row r="698">
      <c r="I698" s="2"/>
      <c r="K698" s="6"/>
    </row>
    <row r="699">
      <c r="I699" s="2"/>
      <c r="K699" s="6"/>
    </row>
    <row r="700">
      <c r="I700" s="2"/>
      <c r="K700" s="6"/>
    </row>
    <row r="701">
      <c r="I701" s="2"/>
      <c r="K701" s="6"/>
    </row>
    <row r="702">
      <c r="I702" s="2"/>
      <c r="K702" s="6"/>
    </row>
    <row r="703">
      <c r="I703" s="2"/>
      <c r="K703" s="6"/>
    </row>
    <row r="704">
      <c r="I704" s="2"/>
      <c r="K704" s="6"/>
    </row>
    <row r="705">
      <c r="I705" s="2"/>
      <c r="K705" s="6"/>
    </row>
    <row r="706">
      <c r="I706" s="2"/>
      <c r="K706" s="6"/>
    </row>
    <row r="707">
      <c r="I707" s="2"/>
      <c r="K707" s="6"/>
    </row>
    <row r="708">
      <c r="I708" s="2"/>
      <c r="K708" s="6"/>
    </row>
    <row r="709">
      <c r="I709" s="2"/>
      <c r="K709" s="6"/>
    </row>
    <row r="710">
      <c r="I710" s="2"/>
      <c r="K710" s="6"/>
    </row>
    <row r="711">
      <c r="I711" s="2"/>
      <c r="K711" s="6"/>
    </row>
    <row r="712">
      <c r="I712" s="2"/>
      <c r="K712" s="6"/>
    </row>
    <row r="713">
      <c r="I713" s="2"/>
      <c r="K713" s="6"/>
    </row>
    <row r="714">
      <c r="I714" s="2"/>
      <c r="K714" s="6"/>
    </row>
    <row r="715">
      <c r="I715" s="2"/>
      <c r="K715" s="6"/>
    </row>
    <row r="716">
      <c r="I716" s="2"/>
      <c r="K716" s="6"/>
    </row>
    <row r="717">
      <c r="I717" s="2"/>
      <c r="K717" s="6"/>
    </row>
    <row r="718">
      <c r="I718" s="2"/>
      <c r="K718" s="6"/>
    </row>
    <row r="719">
      <c r="I719" s="2"/>
      <c r="K719" s="6"/>
    </row>
    <row r="720">
      <c r="I720" s="2"/>
      <c r="K720" s="6"/>
    </row>
    <row r="721">
      <c r="I721" s="2"/>
      <c r="K721" s="6"/>
    </row>
    <row r="722">
      <c r="I722" s="2"/>
      <c r="K722" s="6"/>
    </row>
    <row r="723">
      <c r="I723" s="2"/>
      <c r="K723" s="6"/>
    </row>
    <row r="724">
      <c r="I724" s="2"/>
      <c r="K724" s="6"/>
    </row>
    <row r="725">
      <c r="I725" s="2"/>
      <c r="K725" s="6"/>
    </row>
    <row r="726">
      <c r="I726" s="2"/>
      <c r="K726" s="6"/>
    </row>
    <row r="727">
      <c r="I727" s="2"/>
      <c r="K727" s="6"/>
    </row>
    <row r="728">
      <c r="I728" s="2"/>
      <c r="K728" s="6"/>
    </row>
    <row r="729">
      <c r="I729" s="2"/>
      <c r="K729" s="6"/>
    </row>
    <row r="730">
      <c r="I730" s="2"/>
      <c r="K730" s="6"/>
    </row>
    <row r="731">
      <c r="I731" s="2"/>
      <c r="K731" s="6"/>
    </row>
    <row r="732">
      <c r="I732" s="2"/>
      <c r="K732" s="6"/>
    </row>
    <row r="733">
      <c r="I733" s="2"/>
      <c r="K733" s="6"/>
    </row>
    <row r="734">
      <c r="I734" s="2"/>
      <c r="K734" s="6"/>
    </row>
    <row r="735">
      <c r="I735" s="2"/>
      <c r="K735" s="6"/>
    </row>
    <row r="736">
      <c r="I736" s="2"/>
      <c r="K736" s="6"/>
    </row>
    <row r="737">
      <c r="I737" s="2"/>
      <c r="K737" s="6"/>
    </row>
    <row r="738">
      <c r="I738" s="2"/>
      <c r="K738" s="6"/>
    </row>
    <row r="739">
      <c r="I739" s="2"/>
      <c r="K739" s="6"/>
    </row>
    <row r="740">
      <c r="I740" s="2"/>
      <c r="K740" s="6"/>
    </row>
    <row r="741">
      <c r="I741" s="2"/>
      <c r="K741" s="6"/>
    </row>
    <row r="742">
      <c r="I742" s="2"/>
      <c r="K742" s="6"/>
    </row>
    <row r="743">
      <c r="I743" s="2"/>
      <c r="K743" s="6"/>
    </row>
    <row r="744">
      <c r="I744" s="2"/>
      <c r="K744" s="6"/>
    </row>
    <row r="745">
      <c r="I745" s="2"/>
      <c r="K745" s="6"/>
    </row>
    <row r="746">
      <c r="I746" s="2"/>
      <c r="K746" s="6"/>
    </row>
    <row r="747">
      <c r="I747" s="2"/>
      <c r="K747" s="6"/>
    </row>
    <row r="748">
      <c r="I748" s="2"/>
      <c r="K748" s="6"/>
    </row>
    <row r="749">
      <c r="I749" s="2"/>
      <c r="K749" s="6"/>
    </row>
    <row r="750">
      <c r="I750" s="2"/>
      <c r="K750" s="6"/>
    </row>
    <row r="751">
      <c r="I751" s="2"/>
      <c r="K751" s="6"/>
    </row>
    <row r="752">
      <c r="I752" s="2"/>
      <c r="K752" s="6"/>
    </row>
    <row r="753">
      <c r="I753" s="2"/>
      <c r="K753" s="6"/>
    </row>
    <row r="754">
      <c r="I754" s="2"/>
      <c r="K754" s="6"/>
    </row>
    <row r="755">
      <c r="I755" s="2"/>
      <c r="K755" s="6"/>
    </row>
    <row r="756">
      <c r="I756" s="2"/>
      <c r="K756" s="6"/>
    </row>
    <row r="757">
      <c r="I757" s="2"/>
      <c r="K757" s="6"/>
    </row>
    <row r="758">
      <c r="I758" s="2"/>
      <c r="K758" s="6"/>
    </row>
    <row r="759">
      <c r="I759" s="2"/>
      <c r="K759" s="6"/>
    </row>
    <row r="760">
      <c r="I760" s="2"/>
      <c r="K760" s="6"/>
    </row>
    <row r="761">
      <c r="I761" s="2"/>
      <c r="K761" s="6"/>
    </row>
    <row r="762">
      <c r="I762" s="2"/>
      <c r="K762" s="6"/>
    </row>
    <row r="763">
      <c r="I763" s="2"/>
      <c r="K763" s="6"/>
    </row>
    <row r="764">
      <c r="I764" s="2"/>
      <c r="K764" s="6"/>
    </row>
    <row r="765">
      <c r="I765" s="2"/>
      <c r="K765" s="6"/>
    </row>
    <row r="766">
      <c r="I766" s="2"/>
      <c r="K766" s="6"/>
    </row>
    <row r="767">
      <c r="I767" s="2"/>
      <c r="K767" s="6"/>
    </row>
    <row r="768">
      <c r="I768" s="2"/>
      <c r="K768" s="6"/>
    </row>
    <row r="769">
      <c r="I769" s="2"/>
      <c r="K769" s="6"/>
    </row>
    <row r="770">
      <c r="I770" s="2"/>
      <c r="K770" s="6"/>
    </row>
    <row r="771">
      <c r="I771" s="2"/>
      <c r="K771" s="6"/>
    </row>
    <row r="772">
      <c r="I772" s="2"/>
      <c r="K772" s="6"/>
    </row>
    <row r="773">
      <c r="I773" s="2"/>
      <c r="K773" s="6"/>
    </row>
    <row r="774">
      <c r="I774" s="2"/>
      <c r="K774" s="6"/>
    </row>
    <row r="775">
      <c r="I775" s="2"/>
      <c r="K775" s="6"/>
    </row>
    <row r="776">
      <c r="I776" s="2"/>
      <c r="K776" s="6"/>
    </row>
    <row r="777">
      <c r="I777" s="2"/>
      <c r="K777" s="6"/>
    </row>
    <row r="778">
      <c r="I778" s="2"/>
      <c r="K778" s="6"/>
    </row>
    <row r="779">
      <c r="I779" s="2"/>
      <c r="K779" s="6"/>
    </row>
    <row r="780">
      <c r="I780" s="2"/>
      <c r="K780" s="6"/>
    </row>
    <row r="781">
      <c r="I781" s="2"/>
      <c r="K781" s="6"/>
    </row>
    <row r="782">
      <c r="I782" s="2"/>
      <c r="K782" s="6"/>
    </row>
    <row r="783">
      <c r="I783" s="2"/>
      <c r="K783" s="6"/>
    </row>
    <row r="784">
      <c r="I784" s="2"/>
      <c r="K784" s="6"/>
    </row>
    <row r="785">
      <c r="I785" s="2"/>
      <c r="K785" s="6"/>
    </row>
    <row r="786">
      <c r="I786" s="2"/>
      <c r="K786" s="6"/>
    </row>
    <row r="787">
      <c r="I787" s="2"/>
      <c r="K787" s="6"/>
    </row>
    <row r="788">
      <c r="I788" s="2"/>
      <c r="K788" s="6"/>
    </row>
    <row r="789">
      <c r="I789" s="2"/>
      <c r="K789" s="6"/>
    </row>
    <row r="790">
      <c r="I790" s="2"/>
      <c r="K790" s="6"/>
    </row>
    <row r="791">
      <c r="I791" s="2"/>
      <c r="K791" s="6"/>
    </row>
    <row r="792">
      <c r="I792" s="2"/>
      <c r="K792" s="6"/>
    </row>
    <row r="793">
      <c r="I793" s="2"/>
      <c r="K793" s="6"/>
    </row>
    <row r="794">
      <c r="I794" s="2"/>
      <c r="K794" s="6"/>
    </row>
    <row r="795">
      <c r="I795" s="2"/>
      <c r="K795" s="6"/>
    </row>
    <row r="796">
      <c r="I796" s="2"/>
      <c r="K796" s="6"/>
    </row>
    <row r="797">
      <c r="I797" s="2"/>
      <c r="K797" s="6"/>
    </row>
    <row r="798">
      <c r="I798" s="2"/>
      <c r="K798" s="6"/>
    </row>
    <row r="799">
      <c r="I799" s="2"/>
      <c r="K799" s="6"/>
    </row>
    <row r="800">
      <c r="I800" s="2"/>
      <c r="K800" s="6"/>
    </row>
    <row r="801">
      <c r="I801" s="2"/>
      <c r="K801" s="6"/>
    </row>
    <row r="802">
      <c r="I802" s="2"/>
      <c r="K802" s="6"/>
    </row>
    <row r="803">
      <c r="I803" s="2"/>
      <c r="K803" s="6"/>
    </row>
    <row r="804">
      <c r="I804" s="2"/>
      <c r="K804" s="6"/>
    </row>
    <row r="805">
      <c r="I805" s="2"/>
      <c r="K805" s="6"/>
    </row>
    <row r="806">
      <c r="I806" s="2"/>
      <c r="K806" s="6"/>
    </row>
    <row r="807">
      <c r="I807" s="2"/>
      <c r="K807" s="6"/>
    </row>
    <row r="808">
      <c r="I808" s="2"/>
      <c r="K808" s="6"/>
    </row>
    <row r="809">
      <c r="I809" s="2"/>
      <c r="K809" s="6"/>
    </row>
    <row r="810">
      <c r="I810" s="2"/>
      <c r="K810" s="6"/>
    </row>
    <row r="811">
      <c r="I811" s="2"/>
      <c r="K811" s="6"/>
    </row>
    <row r="812">
      <c r="I812" s="2"/>
      <c r="K812" s="6"/>
    </row>
    <row r="813">
      <c r="I813" s="2"/>
      <c r="K813" s="6"/>
    </row>
    <row r="814">
      <c r="I814" s="2"/>
      <c r="K814" s="6"/>
    </row>
    <row r="815">
      <c r="I815" s="2"/>
      <c r="K815" s="6"/>
    </row>
    <row r="816">
      <c r="I816" s="2"/>
      <c r="K816" s="6"/>
    </row>
    <row r="817">
      <c r="I817" s="2"/>
      <c r="K817" s="6"/>
    </row>
    <row r="818">
      <c r="I818" s="2"/>
      <c r="K818" s="6"/>
    </row>
    <row r="819">
      <c r="I819" s="2"/>
      <c r="K819" s="6"/>
    </row>
    <row r="820">
      <c r="I820" s="2"/>
      <c r="K820" s="6"/>
    </row>
    <row r="821">
      <c r="I821" s="2"/>
      <c r="K821" s="6"/>
    </row>
    <row r="822">
      <c r="I822" s="2"/>
      <c r="K822" s="6"/>
    </row>
    <row r="823">
      <c r="I823" s="2"/>
      <c r="K823" s="6"/>
    </row>
    <row r="824">
      <c r="I824" s="2"/>
      <c r="K824" s="6"/>
    </row>
    <row r="825">
      <c r="I825" s="2"/>
      <c r="K825" s="6"/>
    </row>
    <row r="826">
      <c r="I826" s="2"/>
      <c r="K826" s="6"/>
    </row>
    <row r="827">
      <c r="I827" s="2"/>
      <c r="K827" s="6"/>
    </row>
    <row r="828">
      <c r="I828" s="2"/>
      <c r="K828" s="6"/>
    </row>
    <row r="829">
      <c r="I829" s="2"/>
      <c r="K829" s="6"/>
    </row>
    <row r="830">
      <c r="I830" s="2"/>
      <c r="K830" s="6"/>
    </row>
    <row r="831">
      <c r="I831" s="2"/>
      <c r="K831" s="6"/>
    </row>
    <row r="832">
      <c r="I832" s="2"/>
      <c r="K832" s="6"/>
    </row>
    <row r="833">
      <c r="I833" s="2"/>
      <c r="K833" s="6"/>
    </row>
    <row r="834">
      <c r="I834" s="2"/>
      <c r="K834" s="6"/>
    </row>
    <row r="835">
      <c r="I835" s="2"/>
      <c r="K835" s="6"/>
    </row>
    <row r="836">
      <c r="I836" s="2"/>
      <c r="K836" s="6"/>
    </row>
    <row r="837">
      <c r="I837" s="2"/>
      <c r="K837" s="6"/>
    </row>
    <row r="838">
      <c r="I838" s="2"/>
      <c r="K838" s="6"/>
    </row>
    <row r="839">
      <c r="I839" s="2"/>
      <c r="K839" s="6"/>
    </row>
    <row r="840">
      <c r="I840" s="2"/>
      <c r="K840" s="6"/>
    </row>
    <row r="841">
      <c r="I841" s="2"/>
      <c r="K841" s="6"/>
    </row>
    <row r="842">
      <c r="I842" s="2"/>
      <c r="K842" s="6"/>
    </row>
    <row r="843">
      <c r="I843" s="2"/>
      <c r="K843" s="6"/>
    </row>
    <row r="844">
      <c r="I844" s="2"/>
      <c r="K844" s="6"/>
    </row>
    <row r="845">
      <c r="I845" s="2"/>
      <c r="K845" s="6"/>
    </row>
    <row r="846">
      <c r="I846" s="2"/>
      <c r="K846" s="6"/>
    </row>
    <row r="847">
      <c r="I847" s="2"/>
      <c r="K847" s="6"/>
    </row>
    <row r="848">
      <c r="I848" s="2"/>
      <c r="K848" s="6"/>
    </row>
    <row r="849">
      <c r="I849" s="2"/>
      <c r="K849" s="6"/>
    </row>
    <row r="850">
      <c r="I850" s="2"/>
      <c r="K850" s="6"/>
    </row>
    <row r="851">
      <c r="I851" s="2"/>
      <c r="K851" s="6"/>
    </row>
    <row r="852">
      <c r="I852" s="2"/>
      <c r="K852" s="6"/>
    </row>
    <row r="853">
      <c r="I853" s="2"/>
      <c r="K853" s="6"/>
    </row>
    <row r="854">
      <c r="I854" s="2"/>
      <c r="K854" s="6"/>
    </row>
    <row r="855">
      <c r="I855" s="2"/>
      <c r="K855" s="6"/>
    </row>
    <row r="856">
      <c r="I856" s="2"/>
      <c r="K856" s="6"/>
    </row>
    <row r="857">
      <c r="I857" s="2"/>
      <c r="K857" s="6"/>
    </row>
    <row r="858">
      <c r="I858" s="2"/>
      <c r="K858" s="6"/>
    </row>
    <row r="859">
      <c r="I859" s="2"/>
      <c r="K859" s="6"/>
    </row>
    <row r="860">
      <c r="I860" s="2"/>
      <c r="K860" s="6"/>
    </row>
    <row r="861">
      <c r="I861" s="2"/>
      <c r="K861" s="6"/>
    </row>
    <row r="862">
      <c r="I862" s="2"/>
      <c r="K862" s="6"/>
    </row>
    <row r="863">
      <c r="I863" s="2"/>
      <c r="K863" s="6"/>
    </row>
    <row r="864">
      <c r="I864" s="2"/>
      <c r="K864" s="6"/>
    </row>
    <row r="865">
      <c r="I865" s="2"/>
      <c r="K865" s="6"/>
    </row>
    <row r="866">
      <c r="I866" s="2"/>
      <c r="K866" s="6"/>
    </row>
    <row r="867">
      <c r="I867" s="2"/>
      <c r="K867" s="6"/>
    </row>
    <row r="868">
      <c r="I868" s="2"/>
      <c r="K868" s="6"/>
    </row>
    <row r="869">
      <c r="I869" s="2"/>
      <c r="K869" s="6"/>
    </row>
    <row r="870">
      <c r="I870" s="2"/>
      <c r="K870" s="6"/>
    </row>
    <row r="871">
      <c r="I871" s="2"/>
      <c r="K871" s="6"/>
    </row>
    <row r="872">
      <c r="I872" s="2"/>
      <c r="K872" s="6"/>
    </row>
    <row r="873">
      <c r="I873" s="2"/>
      <c r="K873" s="6"/>
    </row>
    <row r="874">
      <c r="I874" s="2"/>
      <c r="K874" s="6"/>
    </row>
    <row r="875">
      <c r="I875" s="2"/>
      <c r="K875" s="6"/>
    </row>
    <row r="876">
      <c r="I876" s="2"/>
      <c r="K876" s="6"/>
    </row>
    <row r="877">
      <c r="I877" s="2"/>
      <c r="K877" s="6"/>
    </row>
    <row r="878">
      <c r="I878" s="2"/>
      <c r="K878" s="6"/>
    </row>
    <row r="879">
      <c r="I879" s="2"/>
      <c r="K879" s="6"/>
    </row>
    <row r="880">
      <c r="I880" s="2"/>
      <c r="K880" s="6"/>
    </row>
    <row r="881">
      <c r="I881" s="2"/>
      <c r="K881" s="6"/>
    </row>
    <row r="882">
      <c r="I882" s="2"/>
      <c r="K882" s="6"/>
    </row>
    <row r="883">
      <c r="I883" s="2"/>
      <c r="K883" s="6"/>
    </row>
    <row r="884">
      <c r="I884" s="2"/>
      <c r="K884" s="6"/>
    </row>
    <row r="885">
      <c r="I885" s="2"/>
      <c r="K885" s="6"/>
    </row>
    <row r="886">
      <c r="I886" s="2"/>
      <c r="K886" s="6"/>
    </row>
    <row r="887">
      <c r="I887" s="2"/>
      <c r="K887" s="6"/>
    </row>
    <row r="888">
      <c r="I888" s="2"/>
      <c r="K888" s="6"/>
    </row>
    <row r="889">
      <c r="I889" s="2"/>
      <c r="K889" s="6"/>
    </row>
    <row r="890">
      <c r="I890" s="2"/>
      <c r="K890" s="6"/>
    </row>
    <row r="891">
      <c r="I891" s="2"/>
      <c r="K891" s="6"/>
    </row>
    <row r="892">
      <c r="I892" s="2"/>
      <c r="K892" s="6"/>
    </row>
    <row r="893">
      <c r="I893" s="2"/>
      <c r="K893" s="6"/>
    </row>
    <row r="894">
      <c r="I894" s="2"/>
      <c r="K894" s="6"/>
    </row>
    <row r="895">
      <c r="I895" s="2"/>
      <c r="K895" s="6"/>
    </row>
    <row r="896">
      <c r="I896" s="2"/>
      <c r="K896" s="6"/>
    </row>
    <row r="897">
      <c r="I897" s="2"/>
      <c r="K897" s="6"/>
    </row>
    <row r="898">
      <c r="I898" s="2"/>
      <c r="K898" s="6"/>
    </row>
    <row r="899">
      <c r="I899" s="2"/>
      <c r="K899" s="6"/>
    </row>
    <row r="900">
      <c r="I900" s="2"/>
      <c r="K900" s="6"/>
    </row>
    <row r="901">
      <c r="I901" s="2"/>
      <c r="K901" s="6"/>
    </row>
    <row r="902">
      <c r="I902" s="2"/>
      <c r="K902" s="6"/>
    </row>
    <row r="903">
      <c r="I903" s="2"/>
      <c r="K903" s="6"/>
    </row>
    <row r="904">
      <c r="I904" s="2"/>
      <c r="K904" s="6"/>
    </row>
    <row r="905">
      <c r="I905" s="2"/>
      <c r="K905" s="6"/>
    </row>
    <row r="906">
      <c r="I906" s="2"/>
      <c r="K906" s="6"/>
    </row>
    <row r="907">
      <c r="I907" s="2"/>
      <c r="K907" s="6"/>
    </row>
    <row r="908">
      <c r="I908" s="2"/>
      <c r="K908" s="6"/>
    </row>
    <row r="909">
      <c r="I909" s="2"/>
      <c r="K909" s="6"/>
    </row>
    <row r="910">
      <c r="I910" s="2"/>
      <c r="K910" s="6"/>
    </row>
    <row r="911">
      <c r="I911" s="2"/>
      <c r="K911" s="6"/>
    </row>
    <row r="912">
      <c r="I912" s="2"/>
      <c r="K912" s="6"/>
    </row>
    <row r="913">
      <c r="I913" s="2"/>
      <c r="K913" s="6"/>
    </row>
    <row r="914">
      <c r="I914" s="2"/>
      <c r="K914" s="6"/>
    </row>
    <row r="915">
      <c r="I915" s="2"/>
      <c r="K915" s="6"/>
    </row>
    <row r="916">
      <c r="I916" s="2"/>
      <c r="K916" s="6"/>
    </row>
    <row r="917">
      <c r="I917" s="2"/>
      <c r="K917" s="6"/>
    </row>
    <row r="918">
      <c r="I918" s="2"/>
      <c r="K918" s="6"/>
    </row>
    <row r="919">
      <c r="I919" s="2"/>
      <c r="K919" s="6"/>
    </row>
    <row r="920">
      <c r="I920" s="2"/>
      <c r="K920" s="6"/>
    </row>
    <row r="921">
      <c r="I921" s="2"/>
      <c r="K921" s="6"/>
    </row>
    <row r="922">
      <c r="I922" s="2"/>
      <c r="K922" s="6"/>
    </row>
    <row r="923">
      <c r="I923" s="2"/>
      <c r="K923" s="6"/>
    </row>
    <row r="924">
      <c r="I924" s="2"/>
      <c r="K924" s="6"/>
    </row>
    <row r="925">
      <c r="I925" s="2"/>
      <c r="K925" s="6"/>
    </row>
    <row r="926">
      <c r="I926" s="2"/>
      <c r="K926" s="6"/>
    </row>
    <row r="927">
      <c r="I927" s="2"/>
      <c r="K927" s="6"/>
    </row>
    <row r="928">
      <c r="I928" s="2"/>
      <c r="K928" s="6"/>
    </row>
    <row r="929">
      <c r="I929" s="2"/>
      <c r="K929" s="6"/>
    </row>
    <row r="930">
      <c r="I930" s="2"/>
      <c r="K930" s="6"/>
    </row>
    <row r="931">
      <c r="I931" s="2"/>
      <c r="K931" s="6"/>
    </row>
    <row r="932">
      <c r="I932" s="2"/>
      <c r="K932" s="6"/>
    </row>
    <row r="933">
      <c r="I933" s="2"/>
      <c r="K933" s="6"/>
    </row>
    <row r="934">
      <c r="I934" s="2"/>
      <c r="K934" s="6"/>
    </row>
    <row r="935">
      <c r="I935" s="2"/>
      <c r="K935" s="6"/>
    </row>
    <row r="936">
      <c r="I936" s="2"/>
      <c r="K936" s="6"/>
    </row>
    <row r="937">
      <c r="I937" s="2"/>
      <c r="K937" s="6"/>
    </row>
    <row r="938">
      <c r="I938" s="2"/>
      <c r="K938" s="6"/>
    </row>
    <row r="939">
      <c r="I939" s="2"/>
      <c r="K939" s="6"/>
    </row>
    <row r="940">
      <c r="I940" s="2"/>
      <c r="K940" s="6"/>
    </row>
    <row r="941">
      <c r="I941" s="2"/>
      <c r="K941" s="6"/>
    </row>
    <row r="942">
      <c r="I942" s="2"/>
      <c r="K942" s="6"/>
    </row>
    <row r="943">
      <c r="I943" s="2"/>
      <c r="K943" s="6"/>
    </row>
    <row r="944">
      <c r="I944" s="2"/>
      <c r="K944" s="6"/>
    </row>
    <row r="945">
      <c r="I945" s="2"/>
      <c r="K945" s="6"/>
    </row>
    <row r="946">
      <c r="I946" s="2"/>
      <c r="K946" s="6"/>
    </row>
    <row r="947">
      <c r="I947" s="2"/>
      <c r="K947" s="6"/>
    </row>
    <row r="948">
      <c r="I948" s="2"/>
      <c r="K948" s="6"/>
    </row>
    <row r="949">
      <c r="I949" s="2"/>
      <c r="K949" s="6"/>
    </row>
    <row r="950">
      <c r="I950" s="2"/>
      <c r="K950" s="6"/>
    </row>
    <row r="951">
      <c r="I951" s="2"/>
      <c r="K951" s="6"/>
    </row>
    <row r="952">
      <c r="I952" s="2"/>
      <c r="K952" s="6"/>
    </row>
    <row r="953">
      <c r="I953" s="2"/>
      <c r="K953" s="6"/>
    </row>
    <row r="954">
      <c r="I954" s="2"/>
      <c r="K954" s="6"/>
    </row>
    <row r="955">
      <c r="I955" s="2"/>
      <c r="K955" s="6"/>
    </row>
    <row r="956">
      <c r="I956" s="2"/>
      <c r="K956" s="6"/>
    </row>
    <row r="957">
      <c r="I957" s="2"/>
      <c r="K957" s="6"/>
    </row>
    <row r="958">
      <c r="I958" s="2"/>
      <c r="K958" s="6"/>
    </row>
    <row r="959">
      <c r="I959" s="2"/>
      <c r="K959" s="6"/>
    </row>
    <row r="960">
      <c r="I960" s="2"/>
      <c r="K960" s="6"/>
    </row>
    <row r="961">
      <c r="I961" s="2"/>
      <c r="K961" s="6"/>
    </row>
    <row r="962">
      <c r="I962" s="2"/>
      <c r="K962" s="6"/>
    </row>
    <row r="963">
      <c r="I963" s="2"/>
      <c r="K963" s="6"/>
    </row>
    <row r="964">
      <c r="I964" s="2"/>
      <c r="K964" s="6"/>
    </row>
    <row r="965">
      <c r="I965" s="2"/>
      <c r="K965" s="6"/>
    </row>
    <row r="966">
      <c r="I966" s="2"/>
      <c r="K966" s="6"/>
    </row>
    <row r="967">
      <c r="I967" s="2"/>
      <c r="K967" s="6"/>
    </row>
    <row r="968">
      <c r="I968" s="2"/>
      <c r="K968" s="6"/>
    </row>
    <row r="969">
      <c r="I969" s="2"/>
      <c r="K969" s="6"/>
    </row>
    <row r="970">
      <c r="I970" s="2"/>
      <c r="K970" s="6"/>
    </row>
    <row r="971">
      <c r="I971" s="2"/>
      <c r="K971" s="6"/>
    </row>
    <row r="972">
      <c r="I972" s="2"/>
      <c r="K972" s="6"/>
    </row>
    <row r="973">
      <c r="I973" s="2"/>
      <c r="K973" s="6"/>
    </row>
    <row r="974">
      <c r="I974" s="2"/>
      <c r="K974" s="6"/>
    </row>
    <row r="975">
      <c r="I975" s="2"/>
      <c r="K975" s="6"/>
    </row>
    <row r="976">
      <c r="I976" s="2"/>
      <c r="K976" s="6"/>
    </row>
    <row r="977">
      <c r="I977" s="2"/>
      <c r="K977" s="6"/>
    </row>
    <row r="978">
      <c r="I978" s="2"/>
      <c r="K978" s="6"/>
    </row>
    <row r="979">
      <c r="I979" s="2"/>
      <c r="K979" s="6"/>
    </row>
    <row r="980">
      <c r="I980" s="2"/>
      <c r="K980" s="6"/>
    </row>
    <row r="981">
      <c r="I981" s="2"/>
      <c r="K981" s="6"/>
    </row>
    <row r="982">
      <c r="I982" s="2"/>
      <c r="K982" s="6"/>
    </row>
    <row r="983">
      <c r="I983" s="2"/>
      <c r="K983" s="6"/>
    </row>
    <row r="984">
      <c r="I984" s="2"/>
      <c r="K984" s="6"/>
    </row>
    <row r="985">
      <c r="I985" s="2"/>
      <c r="K985" s="6"/>
    </row>
    <row r="986">
      <c r="I986" s="2"/>
      <c r="K986" s="6"/>
    </row>
    <row r="987">
      <c r="I987" s="2"/>
      <c r="K987" s="6"/>
    </row>
    <row r="988">
      <c r="I988" s="2"/>
      <c r="K988" s="6"/>
    </row>
    <row r="989">
      <c r="I989" s="2"/>
      <c r="K989" s="6"/>
    </row>
    <row r="990">
      <c r="I990" s="2"/>
      <c r="K990" s="6"/>
    </row>
    <row r="991">
      <c r="I991" s="2"/>
      <c r="K991" s="6"/>
    </row>
    <row r="992">
      <c r="I992" s="2"/>
      <c r="K992" s="6"/>
    </row>
    <row r="993">
      <c r="I993" s="2"/>
      <c r="K993" s="6"/>
    </row>
    <row r="994">
      <c r="I994" s="2"/>
      <c r="K994" s="6"/>
    </row>
    <row r="995">
      <c r="I995" s="2"/>
      <c r="K995" s="6"/>
    </row>
    <row r="996">
      <c r="I996" s="2"/>
      <c r="K996" s="6"/>
    </row>
    <row r="997">
      <c r="I997" s="2"/>
      <c r="K997" s="6"/>
    </row>
    <row r="998">
      <c r="I998" s="2"/>
      <c r="K998" s="6"/>
    </row>
    <row r="999">
      <c r="I999" s="2"/>
      <c r="K999" s="6"/>
    </row>
    <row r="1000">
      <c r="I1000" s="2"/>
      <c r="K1000" s="6"/>
    </row>
    <row r="1001">
      <c r="I1001" s="2"/>
      <c r="K1001" s="6"/>
    </row>
    <row r="1002">
      <c r="I1002" s="2"/>
      <c r="K1002" s="6"/>
    </row>
    <row r="1003">
      <c r="I1003" s="2"/>
      <c r="K1003" s="6"/>
    </row>
    <row r="1004">
      <c r="I1004" s="2"/>
      <c r="K1004" s="6"/>
    </row>
    <row r="1005">
      <c r="I1005" s="2"/>
      <c r="K1005" s="6"/>
    </row>
    <row r="1006">
      <c r="I1006" s="2"/>
      <c r="K1006" s="6"/>
    </row>
    <row r="1007">
      <c r="I1007" s="2"/>
      <c r="K1007" s="6"/>
    </row>
    <row r="1008">
      <c r="I1008" s="2"/>
      <c r="K1008" s="6"/>
    </row>
    <row r="1009">
      <c r="I1009" s="2"/>
      <c r="K1009" s="6"/>
    </row>
    <row r="1010">
      <c r="I1010" s="2"/>
      <c r="K1010" s="6"/>
    </row>
    <row r="1011">
      <c r="I1011" s="2"/>
      <c r="K1011" s="6"/>
    </row>
    <row r="1012">
      <c r="I1012" s="2"/>
      <c r="K1012" s="6"/>
    </row>
    <row r="1013">
      <c r="I1013" s="2"/>
      <c r="K1013" s="6"/>
    </row>
    <row r="1014">
      <c r="I1014" s="2"/>
      <c r="K1014" s="6"/>
    </row>
    <row r="1015">
      <c r="I1015" s="2"/>
      <c r="K1015" s="6"/>
    </row>
    <row r="1016">
      <c r="I1016" s="2"/>
      <c r="K1016" s="6"/>
    </row>
    <row r="1017">
      <c r="I1017" s="2"/>
      <c r="K1017" s="6"/>
    </row>
    <row r="1018">
      <c r="I1018" s="2"/>
      <c r="K1018" s="6"/>
    </row>
    <row r="1019">
      <c r="I1019" s="2"/>
      <c r="K1019" s="6"/>
    </row>
    <row r="1020">
      <c r="I1020" s="2"/>
      <c r="K1020" s="6"/>
    </row>
    <row r="1021">
      <c r="I1021" s="9"/>
      <c r="K1021" s="6"/>
    </row>
    <row r="1022">
      <c r="I1022" s="9"/>
      <c r="K1022" s="6"/>
    </row>
  </sheetData>
  <conditionalFormatting sqref="F1:F1022 I1:I1022">
    <cfRule type="cellIs" dxfId="0" priority="1" operator="equal">
      <formula>"ru"</formula>
    </cfRule>
  </conditionalFormatting>
  <hyperlinks>
    <hyperlink r:id="rId1" ref="E2"/>
    <hyperlink r:id="rId2" ref="E3"/>
    <hyperlink r:id="rId3" ref="H3"/>
    <hyperlink r:id="rId4" ref="E4"/>
    <hyperlink r:id="rId5" ref="H4"/>
    <hyperlink r:id="rId6" ref="E5"/>
    <hyperlink r:id="rId7" ref="H5"/>
    <hyperlink r:id="rId8" ref="E6"/>
    <hyperlink r:id="rId9" ref="H6"/>
    <hyperlink r:id="rId10" ref="E7"/>
    <hyperlink r:id="rId11" ref="H7"/>
    <hyperlink r:id="rId12" ref="E8"/>
    <hyperlink r:id="rId13" ref="H8"/>
    <hyperlink r:id="rId14" ref="E9"/>
    <hyperlink r:id="rId15" ref="H9"/>
    <hyperlink r:id="rId16" ref="E10"/>
    <hyperlink r:id="rId17" ref="E11"/>
    <hyperlink r:id="rId18" ref="H11"/>
    <hyperlink r:id="rId19" ref="E12"/>
    <hyperlink r:id="rId20" ref="H12"/>
    <hyperlink r:id="rId21" ref="E13"/>
    <hyperlink r:id="rId22" ref="H13"/>
    <hyperlink r:id="rId23" ref="E14"/>
    <hyperlink r:id="rId24" ref="H14"/>
    <hyperlink r:id="rId25" ref="E15"/>
    <hyperlink r:id="rId26" ref="H15"/>
    <hyperlink r:id="rId27" ref="E16"/>
    <hyperlink r:id="rId28" ref="H16"/>
    <hyperlink r:id="rId29" ref="E17"/>
    <hyperlink r:id="rId30" ref="H17"/>
    <hyperlink r:id="rId31" ref="E18"/>
    <hyperlink r:id="rId32" ref="H18"/>
    <hyperlink r:id="rId33" ref="E19"/>
    <hyperlink r:id="rId34" ref="H19"/>
    <hyperlink r:id="rId35" ref="E20"/>
    <hyperlink r:id="rId36" ref="H20"/>
    <hyperlink r:id="rId37" ref="E21"/>
    <hyperlink r:id="rId38" ref="H21"/>
    <hyperlink r:id="rId39" ref="E22"/>
    <hyperlink r:id="rId40" ref="H22"/>
    <hyperlink r:id="rId41" ref="E23"/>
    <hyperlink r:id="rId42" ref="H23"/>
    <hyperlink r:id="rId43" ref="E24"/>
    <hyperlink r:id="rId44" ref="H24"/>
    <hyperlink r:id="rId45" ref="E25"/>
    <hyperlink r:id="rId46" ref="H25"/>
    <hyperlink r:id="rId47" ref="E26"/>
    <hyperlink r:id="rId48" ref="H26"/>
    <hyperlink r:id="rId49" ref="E27"/>
    <hyperlink r:id="rId50" ref="H27"/>
    <hyperlink r:id="rId51" ref="E28"/>
    <hyperlink r:id="rId52" ref="H28"/>
    <hyperlink r:id="rId53" ref="E29"/>
    <hyperlink r:id="rId54" ref="H29"/>
    <hyperlink r:id="rId55" ref="E30"/>
    <hyperlink r:id="rId56" ref="H30"/>
    <hyperlink r:id="rId57" ref="E31"/>
    <hyperlink r:id="rId58" ref="E32"/>
    <hyperlink r:id="rId59" ref="H32"/>
    <hyperlink r:id="rId60" ref="E33"/>
    <hyperlink r:id="rId61" ref="H33"/>
    <hyperlink r:id="rId62" ref="E34"/>
    <hyperlink r:id="rId63" ref="H34"/>
    <hyperlink r:id="rId64" ref="E35"/>
    <hyperlink r:id="rId65" ref="H35"/>
    <hyperlink r:id="rId66" ref="E36"/>
    <hyperlink r:id="rId67" ref="H36"/>
    <hyperlink r:id="rId68" ref="E37"/>
    <hyperlink r:id="rId69" ref="H37"/>
    <hyperlink r:id="rId70" ref="E38"/>
    <hyperlink r:id="rId71" ref="H38"/>
    <hyperlink r:id="rId72" ref="E39"/>
    <hyperlink r:id="rId73" ref="H39"/>
    <hyperlink r:id="rId74" ref="E40"/>
    <hyperlink r:id="rId75" ref="H40"/>
    <hyperlink r:id="rId76" ref="E41"/>
    <hyperlink r:id="rId77" ref="H41"/>
    <hyperlink r:id="rId78" ref="E42"/>
    <hyperlink r:id="rId79" ref="H42"/>
    <hyperlink r:id="rId80" ref="E43"/>
    <hyperlink r:id="rId81" ref="H43"/>
    <hyperlink r:id="rId82" ref="E44"/>
    <hyperlink r:id="rId83" ref="H44"/>
    <hyperlink r:id="rId84" ref="E45"/>
    <hyperlink r:id="rId85" ref="H45"/>
    <hyperlink r:id="rId86" ref="E46"/>
    <hyperlink r:id="rId87" ref="E47"/>
    <hyperlink r:id="rId88" ref="H47"/>
    <hyperlink r:id="rId89" ref="E48"/>
    <hyperlink r:id="rId90" ref="H48"/>
    <hyperlink r:id="rId91" ref="E49"/>
    <hyperlink r:id="rId92" ref="H49"/>
    <hyperlink r:id="rId93" ref="E50"/>
    <hyperlink r:id="rId94" ref="H50"/>
    <hyperlink r:id="rId95" ref="E51"/>
    <hyperlink r:id="rId96" ref="H51"/>
    <hyperlink r:id="rId97" ref="E52"/>
    <hyperlink r:id="rId98" ref="H52"/>
    <hyperlink r:id="rId99" ref="E53"/>
    <hyperlink r:id="rId100" ref="H53"/>
    <hyperlink r:id="rId101" ref="E54"/>
    <hyperlink r:id="rId102" ref="H54"/>
    <hyperlink r:id="rId103" ref="E55"/>
    <hyperlink r:id="rId104" ref="E56"/>
    <hyperlink r:id="rId105" ref="H56"/>
    <hyperlink r:id="rId106" ref="E57"/>
    <hyperlink r:id="rId107" ref="H57"/>
    <hyperlink r:id="rId108" ref="E58"/>
    <hyperlink r:id="rId109" ref="E59"/>
    <hyperlink r:id="rId110" ref="H59"/>
    <hyperlink r:id="rId111" ref="E60"/>
    <hyperlink r:id="rId112" ref="H60"/>
    <hyperlink r:id="rId113" ref="E61"/>
    <hyperlink r:id="rId114" ref="H61"/>
    <hyperlink r:id="rId115" ref="E62"/>
    <hyperlink r:id="rId116" ref="H62"/>
    <hyperlink r:id="rId117" ref="E63"/>
    <hyperlink r:id="rId118" ref="H63"/>
    <hyperlink r:id="rId119" ref="E64"/>
    <hyperlink r:id="rId120" ref="H64"/>
    <hyperlink r:id="rId121" ref="E65"/>
    <hyperlink r:id="rId122" ref="E66"/>
    <hyperlink r:id="rId123" ref="H66"/>
    <hyperlink r:id="rId124" ref="E67"/>
    <hyperlink r:id="rId125" ref="H67"/>
    <hyperlink r:id="rId126" ref="E68"/>
    <hyperlink r:id="rId127" ref="H68"/>
    <hyperlink r:id="rId128" ref="E69"/>
    <hyperlink r:id="rId129" ref="H69"/>
    <hyperlink r:id="rId130" ref="E70"/>
    <hyperlink r:id="rId131" ref="H70"/>
    <hyperlink r:id="rId132" ref="E71"/>
    <hyperlink r:id="rId133" ref="E72"/>
    <hyperlink r:id="rId134" ref="H72"/>
    <hyperlink r:id="rId135" ref="E73"/>
    <hyperlink r:id="rId136" ref="H73"/>
    <hyperlink r:id="rId137" ref="E74"/>
    <hyperlink r:id="rId138" ref="H74"/>
    <hyperlink r:id="rId139" ref="E75"/>
    <hyperlink r:id="rId140" ref="H75"/>
    <hyperlink r:id="rId141" ref="E76"/>
    <hyperlink r:id="rId142" ref="E77"/>
    <hyperlink r:id="rId143" ref="H77"/>
    <hyperlink r:id="rId144" ref="E78"/>
    <hyperlink r:id="rId145" ref="H78"/>
    <hyperlink r:id="rId146" ref="E79"/>
    <hyperlink r:id="rId147" ref="E80"/>
    <hyperlink r:id="rId148" ref="H80"/>
    <hyperlink r:id="rId149" ref="E81"/>
    <hyperlink r:id="rId150" ref="H81"/>
    <hyperlink r:id="rId151" ref="E82"/>
    <hyperlink r:id="rId152" ref="H82"/>
    <hyperlink r:id="rId153" ref="E83"/>
    <hyperlink r:id="rId154" ref="H83"/>
    <hyperlink r:id="rId155" ref="E84"/>
    <hyperlink r:id="rId156" ref="H84"/>
    <hyperlink r:id="rId157" ref="E85"/>
    <hyperlink r:id="rId158" ref="H85"/>
    <hyperlink r:id="rId159" ref="E86"/>
    <hyperlink r:id="rId160" ref="H86"/>
    <hyperlink r:id="rId161" ref="E87"/>
    <hyperlink r:id="rId162" ref="H87"/>
    <hyperlink r:id="rId163" ref="E88"/>
    <hyperlink r:id="rId164" ref="H88"/>
    <hyperlink r:id="rId165" ref="E89"/>
    <hyperlink r:id="rId166" ref="H89"/>
    <hyperlink r:id="rId167" ref="E90"/>
    <hyperlink r:id="rId168" ref="H90"/>
    <hyperlink r:id="rId169" ref="E91"/>
    <hyperlink r:id="rId170" ref="H91"/>
    <hyperlink r:id="rId171" ref="E92"/>
    <hyperlink r:id="rId172" ref="H92"/>
    <hyperlink r:id="rId173" ref="E93"/>
    <hyperlink r:id="rId174" ref="H93"/>
    <hyperlink r:id="rId175" ref="E94"/>
    <hyperlink r:id="rId176" ref="H94"/>
    <hyperlink r:id="rId177" ref="E95"/>
    <hyperlink r:id="rId178" ref="H95"/>
    <hyperlink r:id="rId179" ref="E96"/>
    <hyperlink r:id="rId180" ref="H96"/>
    <hyperlink r:id="rId181" ref="E97"/>
    <hyperlink r:id="rId182" ref="H97"/>
    <hyperlink r:id="rId183" ref="E98"/>
    <hyperlink r:id="rId184" ref="H98"/>
    <hyperlink r:id="rId185" ref="E99"/>
    <hyperlink r:id="rId186" ref="H99"/>
    <hyperlink r:id="rId187" ref="E100"/>
    <hyperlink r:id="rId188" ref="H100"/>
    <hyperlink r:id="rId189" ref="E101"/>
    <hyperlink r:id="rId190" ref="H101"/>
    <hyperlink r:id="rId191" ref="E102"/>
    <hyperlink r:id="rId192" ref="H102"/>
    <hyperlink r:id="rId193" ref="E103"/>
    <hyperlink r:id="rId194" ref="H103"/>
    <hyperlink r:id="rId195" ref="E104"/>
    <hyperlink r:id="rId196" ref="H104"/>
    <hyperlink r:id="rId197" ref="E105"/>
    <hyperlink r:id="rId198" ref="H105"/>
    <hyperlink r:id="rId199" ref="E106"/>
    <hyperlink r:id="rId200" ref="H106"/>
    <hyperlink r:id="rId201" ref="E107"/>
    <hyperlink r:id="rId202" ref="H107"/>
    <hyperlink r:id="rId203" ref="E108"/>
    <hyperlink r:id="rId204" ref="H108"/>
    <hyperlink r:id="rId205" ref="E109"/>
    <hyperlink r:id="rId206" ref="H109"/>
    <hyperlink r:id="rId207" ref="E110"/>
    <hyperlink r:id="rId208" ref="H110"/>
    <hyperlink r:id="rId209" ref="E111"/>
    <hyperlink r:id="rId210" ref="H111"/>
    <hyperlink r:id="rId211" ref="E112"/>
    <hyperlink r:id="rId212" ref="E113"/>
    <hyperlink r:id="rId213" ref="H113"/>
    <hyperlink r:id="rId214" ref="E114"/>
    <hyperlink r:id="rId215" ref="H114"/>
    <hyperlink r:id="rId216" ref="E115"/>
    <hyperlink r:id="rId217" ref="H115"/>
    <hyperlink r:id="rId218" ref="E116"/>
    <hyperlink r:id="rId219" ref="E117"/>
    <hyperlink r:id="rId220" ref="H117"/>
    <hyperlink r:id="rId221" ref="E118"/>
    <hyperlink r:id="rId222" ref="E119"/>
    <hyperlink r:id="rId223" ref="H119"/>
    <hyperlink r:id="rId224" ref="E120"/>
    <hyperlink r:id="rId225" ref="H120"/>
    <hyperlink r:id="rId226" ref="E121"/>
    <hyperlink r:id="rId227" ref="H121"/>
    <hyperlink r:id="rId228" ref="E122"/>
    <hyperlink r:id="rId229" ref="H122"/>
    <hyperlink r:id="rId230" ref="E123"/>
    <hyperlink r:id="rId231" ref="H123"/>
    <hyperlink r:id="rId232" ref="E124"/>
    <hyperlink r:id="rId233" ref="H124"/>
    <hyperlink r:id="rId234" ref="E125"/>
    <hyperlink r:id="rId235" ref="H125"/>
    <hyperlink r:id="rId236" ref="E126"/>
    <hyperlink r:id="rId237" ref="E127"/>
    <hyperlink r:id="rId238" ref="H127"/>
    <hyperlink r:id="rId239" ref="E128"/>
    <hyperlink r:id="rId240" ref="H128"/>
    <hyperlink r:id="rId241" ref="E129"/>
    <hyperlink r:id="rId242" ref="H129"/>
    <hyperlink r:id="rId243" ref="E130"/>
    <hyperlink r:id="rId244" ref="H130"/>
    <hyperlink r:id="rId245" ref="E131"/>
    <hyperlink r:id="rId246" ref="H131"/>
    <hyperlink r:id="rId247" ref="E132"/>
    <hyperlink r:id="rId248" ref="H132"/>
    <hyperlink r:id="rId249" ref="E133"/>
    <hyperlink r:id="rId250" ref="H133"/>
    <hyperlink r:id="rId251" ref="E134"/>
    <hyperlink r:id="rId252" ref="H134"/>
    <hyperlink r:id="rId253" ref="E135"/>
    <hyperlink r:id="rId254" ref="H135"/>
    <hyperlink r:id="rId255" ref="E136"/>
    <hyperlink r:id="rId256" ref="H136"/>
    <hyperlink r:id="rId257" ref="E137"/>
    <hyperlink r:id="rId258" ref="E138"/>
    <hyperlink r:id="rId259" ref="H138"/>
    <hyperlink r:id="rId260" ref="E139"/>
    <hyperlink r:id="rId261" ref="H139"/>
    <hyperlink r:id="rId262" ref="E140"/>
    <hyperlink r:id="rId263" ref="H140"/>
    <hyperlink r:id="rId264" ref="E141"/>
    <hyperlink r:id="rId265" ref="H141"/>
    <hyperlink r:id="rId266" ref="E142"/>
    <hyperlink r:id="rId267" ref="H142"/>
    <hyperlink r:id="rId268" ref="E143"/>
    <hyperlink r:id="rId269" ref="H143"/>
    <hyperlink r:id="rId270" ref="E144"/>
    <hyperlink r:id="rId271" ref="H144"/>
    <hyperlink r:id="rId272" ref="E145"/>
    <hyperlink r:id="rId273" ref="H145"/>
    <hyperlink r:id="rId274" ref="E146"/>
    <hyperlink r:id="rId275" ref="H146"/>
    <hyperlink r:id="rId276" ref="E147"/>
    <hyperlink r:id="rId277" ref="E148"/>
    <hyperlink r:id="rId278" ref="H148"/>
    <hyperlink r:id="rId279" ref="E149"/>
    <hyperlink r:id="rId280" ref="E150"/>
    <hyperlink r:id="rId281" ref="H150"/>
    <hyperlink r:id="rId282" ref="E151"/>
    <hyperlink r:id="rId283" ref="E152"/>
    <hyperlink r:id="rId284" ref="H152"/>
    <hyperlink r:id="rId285" ref="E153"/>
    <hyperlink r:id="rId286" ref="H153"/>
    <hyperlink r:id="rId287" ref="E154"/>
    <hyperlink r:id="rId288" ref="H154"/>
    <hyperlink r:id="rId289" ref="E155"/>
    <hyperlink r:id="rId290" ref="H155"/>
    <hyperlink r:id="rId291" ref="E156"/>
    <hyperlink r:id="rId292" ref="H156"/>
    <hyperlink r:id="rId293" ref="E157"/>
    <hyperlink r:id="rId294" ref="H157"/>
    <hyperlink r:id="rId295" ref="E158"/>
    <hyperlink r:id="rId296" ref="E159"/>
    <hyperlink r:id="rId297" ref="H159"/>
    <hyperlink r:id="rId298" ref="E160"/>
    <hyperlink r:id="rId299" ref="H160"/>
    <hyperlink r:id="rId300" ref="E161"/>
    <hyperlink r:id="rId301" ref="H161"/>
    <hyperlink r:id="rId302" ref="E162"/>
    <hyperlink r:id="rId303" ref="H162"/>
    <hyperlink r:id="rId304" ref="E163"/>
    <hyperlink r:id="rId305" ref="H163"/>
    <hyperlink r:id="rId306" ref="E164"/>
    <hyperlink r:id="rId307" ref="E165"/>
    <hyperlink r:id="rId308" ref="H165"/>
    <hyperlink r:id="rId309" ref="E166"/>
    <hyperlink r:id="rId310" ref="H166"/>
    <hyperlink r:id="rId311" ref="E167"/>
    <hyperlink r:id="rId312" ref="H167"/>
    <hyperlink r:id="rId313" ref="E168"/>
    <hyperlink r:id="rId314" ref="E169"/>
    <hyperlink r:id="rId315" ref="E170"/>
    <hyperlink r:id="rId316" ref="E171"/>
    <hyperlink r:id="rId317" ref="H171"/>
    <hyperlink r:id="rId318" ref="E172"/>
    <hyperlink r:id="rId319" ref="H172"/>
    <hyperlink r:id="rId320" ref="E173"/>
    <hyperlink r:id="rId321" ref="H173"/>
    <hyperlink r:id="rId322" ref="E174"/>
    <hyperlink r:id="rId323" ref="H174"/>
    <hyperlink r:id="rId324" ref="E175"/>
    <hyperlink r:id="rId325" ref="H175"/>
    <hyperlink r:id="rId326" ref="B176"/>
    <hyperlink r:id="rId327" ref="E176"/>
    <hyperlink r:id="rId328" ref="E177"/>
    <hyperlink r:id="rId329" ref="H177"/>
    <hyperlink r:id="rId330" ref="E178"/>
    <hyperlink r:id="rId331" ref="H178"/>
    <hyperlink r:id="rId332" ref="E179"/>
    <hyperlink r:id="rId333" ref="E180"/>
    <hyperlink r:id="rId334" ref="H180"/>
    <hyperlink r:id="rId335" ref="E181"/>
    <hyperlink r:id="rId336" ref="H181"/>
    <hyperlink r:id="rId337" ref="E182"/>
    <hyperlink r:id="rId338" ref="H182"/>
    <hyperlink r:id="rId339" ref="E183"/>
    <hyperlink r:id="rId340" ref="H183"/>
    <hyperlink r:id="rId341" ref="E184"/>
    <hyperlink r:id="rId342" ref="H184"/>
    <hyperlink r:id="rId343" ref="E185"/>
    <hyperlink r:id="rId344" ref="H185"/>
    <hyperlink r:id="rId345" ref="E186"/>
    <hyperlink r:id="rId346" ref="H186"/>
    <hyperlink r:id="rId347" ref="E187"/>
    <hyperlink r:id="rId348" ref="H187"/>
    <hyperlink r:id="rId349" ref="E188"/>
    <hyperlink r:id="rId350" ref="H188"/>
    <hyperlink r:id="rId351" ref="E189"/>
    <hyperlink r:id="rId352" ref="H189"/>
    <hyperlink r:id="rId353" ref="E190"/>
    <hyperlink r:id="rId354" ref="H190"/>
    <hyperlink r:id="rId355" ref="B191"/>
    <hyperlink r:id="rId356" ref="E191"/>
    <hyperlink r:id="rId357" ref="E192"/>
    <hyperlink r:id="rId358" ref="H192"/>
    <hyperlink r:id="rId359" ref="E193"/>
    <hyperlink r:id="rId360" ref="H193"/>
    <hyperlink r:id="rId361" ref="E194"/>
    <hyperlink r:id="rId362" ref="E195"/>
    <hyperlink r:id="rId363" ref="H195"/>
    <hyperlink r:id="rId364" ref="E196"/>
    <hyperlink r:id="rId365" ref="H196"/>
    <hyperlink r:id="rId366" ref="E197"/>
    <hyperlink r:id="rId367" ref="E198"/>
    <hyperlink r:id="rId368" ref="H198"/>
    <hyperlink r:id="rId369" ref="E199"/>
    <hyperlink r:id="rId370" ref="E200"/>
    <hyperlink r:id="rId371" ref="H200"/>
    <hyperlink r:id="rId372" ref="E201"/>
    <hyperlink r:id="rId373" ref="H201"/>
    <hyperlink r:id="rId374" ref="E202"/>
    <hyperlink r:id="rId375" ref="E203"/>
    <hyperlink r:id="rId376" ref="H203"/>
    <hyperlink r:id="rId377" ref="E204"/>
    <hyperlink r:id="rId378" ref="H204"/>
    <hyperlink r:id="rId379" ref="E205"/>
    <hyperlink r:id="rId380" ref="H205"/>
    <hyperlink r:id="rId381" ref="B206"/>
    <hyperlink r:id="rId382" ref="E206"/>
    <hyperlink r:id="rId383" ref="H206"/>
    <hyperlink r:id="rId384" ref="E207"/>
    <hyperlink r:id="rId385" ref="H207"/>
    <hyperlink r:id="rId386" ref="E208"/>
    <hyperlink r:id="rId387" ref="H208"/>
    <hyperlink r:id="rId388" ref="E209"/>
    <hyperlink r:id="rId389" ref="E210"/>
    <hyperlink r:id="rId390" ref="H210"/>
    <hyperlink r:id="rId391" ref="B211"/>
    <hyperlink r:id="rId392" ref="E211"/>
    <hyperlink r:id="rId393" ref="H211"/>
    <hyperlink r:id="rId394" ref="E212"/>
    <hyperlink r:id="rId395" ref="E213"/>
    <hyperlink r:id="rId396" ref="H213"/>
    <hyperlink r:id="rId397" ref="E214"/>
    <hyperlink r:id="rId398" ref="H214"/>
    <hyperlink r:id="rId399" ref="E215"/>
    <hyperlink r:id="rId400" ref="H215"/>
    <hyperlink r:id="rId401" ref="E216"/>
    <hyperlink r:id="rId402" ref="H216"/>
    <hyperlink r:id="rId403" ref="E217"/>
    <hyperlink r:id="rId404" ref="H217"/>
    <hyperlink r:id="rId405" ref="E218"/>
    <hyperlink r:id="rId406" ref="H218"/>
    <hyperlink r:id="rId407" ref="E219"/>
    <hyperlink r:id="rId408" ref="E220"/>
    <hyperlink r:id="rId409" ref="H220"/>
    <hyperlink r:id="rId410" ref="E221"/>
    <hyperlink r:id="rId411" ref="H221"/>
    <hyperlink r:id="rId412" ref="E222"/>
    <hyperlink r:id="rId413" ref="H222"/>
    <hyperlink r:id="rId414" ref="E223"/>
    <hyperlink r:id="rId415" ref="H223"/>
    <hyperlink r:id="rId416" ref="E224"/>
    <hyperlink r:id="rId417" ref="E225"/>
    <hyperlink r:id="rId418" ref="H225"/>
    <hyperlink r:id="rId419" ref="E226"/>
    <hyperlink r:id="rId420" ref="H226"/>
    <hyperlink r:id="rId421" ref="E227"/>
    <hyperlink r:id="rId422" ref="E228"/>
    <hyperlink r:id="rId423" ref="H228"/>
    <hyperlink r:id="rId424" ref="E229"/>
    <hyperlink r:id="rId425" ref="E230"/>
    <hyperlink r:id="rId426" ref="H230"/>
    <hyperlink r:id="rId427" ref="B231"/>
    <hyperlink r:id="rId428" ref="E231"/>
    <hyperlink r:id="rId429" ref="E232"/>
    <hyperlink r:id="rId430" ref="H232"/>
    <hyperlink r:id="rId431" ref="E233"/>
    <hyperlink r:id="rId432" ref="H233"/>
    <hyperlink r:id="rId433" ref="E234"/>
    <hyperlink r:id="rId434" ref="H234"/>
    <hyperlink r:id="rId435" ref="E235"/>
    <hyperlink r:id="rId436" ref="H235"/>
    <hyperlink r:id="rId437" ref="E236"/>
    <hyperlink r:id="rId438" ref="H236"/>
    <hyperlink r:id="rId439" ref="E237"/>
    <hyperlink r:id="rId440" ref="H237"/>
    <hyperlink r:id="rId441" ref="E238"/>
    <hyperlink r:id="rId442" ref="H238"/>
    <hyperlink r:id="rId443" ref="E239"/>
    <hyperlink r:id="rId444" ref="H239"/>
    <hyperlink r:id="rId445" ref="E240"/>
    <hyperlink r:id="rId446" ref="H240"/>
    <hyperlink r:id="rId447" ref="E241"/>
    <hyperlink r:id="rId448" ref="H241"/>
    <hyperlink r:id="rId449" ref="E242"/>
    <hyperlink r:id="rId450" ref="H242"/>
    <hyperlink r:id="rId451" ref="E243"/>
    <hyperlink r:id="rId452" ref="H243"/>
    <hyperlink r:id="rId453" ref="E244"/>
    <hyperlink r:id="rId454" ref="H244"/>
    <hyperlink r:id="rId455" ref="E245"/>
    <hyperlink r:id="rId456" ref="H245"/>
    <hyperlink r:id="rId457" ref="E246"/>
    <hyperlink r:id="rId458" ref="E247"/>
    <hyperlink r:id="rId459" ref="H247"/>
    <hyperlink r:id="rId460" ref="E248"/>
    <hyperlink r:id="rId461" ref="H248"/>
    <hyperlink r:id="rId462" ref="E249"/>
    <hyperlink r:id="rId463" ref="H249"/>
    <hyperlink r:id="rId464" ref="E250"/>
    <hyperlink r:id="rId465" ref="H250"/>
    <hyperlink r:id="rId466" ref="E251"/>
    <hyperlink r:id="rId467" ref="E252"/>
    <hyperlink r:id="rId468" ref="H252"/>
    <hyperlink r:id="rId469" ref="E253"/>
    <hyperlink r:id="rId470" ref="H253"/>
    <hyperlink r:id="rId471" ref="E254"/>
    <hyperlink r:id="rId472" ref="E255"/>
    <hyperlink r:id="rId473" ref="E256"/>
    <hyperlink r:id="rId474" ref="E257"/>
    <hyperlink r:id="rId475" ref="H257"/>
    <hyperlink r:id="rId476" ref="E258"/>
    <hyperlink r:id="rId477" ref="H258"/>
    <hyperlink r:id="rId478" ref="E259"/>
    <hyperlink r:id="rId479" ref="H259"/>
    <hyperlink r:id="rId480" ref="E260"/>
    <hyperlink r:id="rId481" ref="E261"/>
    <hyperlink r:id="rId482" ref="H261"/>
    <hyperlink r:id="rId483" ref="E262"/>
    <hyperlink r:id="rId484" ref="H262"/>
    <hyperlink r:id="rId485" ref="E263"/>
    <hyperlink r:id="rId486" ref="E264"/>
    <hyperlink r:id="rId487" ref="H264"/>
    <hyperlink r:id="rId488" ref="E265"/>
    <hyperlink r:id="rId489" ref="H265"/>
    <hyperlink r:id="rId490" ref="E266"/>
    <hyperlink r:id="rId491" ref="E267"/>
    <hyperlink r:id="rId492" ref="H267"/>
    <hyperlink r:id="rId493" ref="E268"/>
    <hyperlink r:id="rId494" ref="E269"/>
    <hyperlink r:id="rId495" ref="H269"/>
    <hyperlink r:id="rId496" ref="E270"/>
    <hyperlink r:id="rId497" ref="E271"/>
    <hyperlink r:id="rId498" ref="E272"/>
    <hyperlink r:id="rId499" ref="E273"/>
    <hyperlink r:id="rId500" ref="H273"/>
    <hyperlink r:id="rId501" ref="E274"/>
    <hyperlink r:id="rId502" ref="H274"/>
    <hyperlink r:id="rId503" ref="E275"/>
    <hyperlink r:id="rId504" ref="H275"/>
    <hyperlink r:id="rId505" ref="E276"/>
    <hyperlink r:id="rId506" ref="H276"/>
    <hyperlink r:id="rId507" ref="E277"/>
    <hyperlink r:id="rId508" ref="E278"/>
    <hyperlink r:id="rId509" ref="H278"/>
    <hyperlink r:id="rId510" ref="E279"/>
    <hyperlink r:id="rId511" ref="E280"/>
    <hyperlink r:id="rId512" ref="E281"/>
    <hyperlink r:id="rId513" ref="E282"/>
    <hyperlink r:id="rId514" ref="H282"/>
    <hyperlink r:id="rId515" ref="E283"/>
    <hyperlink r:id="rId516" ref="H283"/>
    <hyperlink r:id="rId517" ref="E284"/>
    <hyperlink r:id="rId518" ref="H284"/>
    <hyperlink r:id="rId519" ref="E285"/>
    <hyperlink r:id="rId520" ref="E286"/>
    <hyperlink r:id="rId521" ref="H286"/>
    <hyperlink r:id="rId522" ref="E287"/>
    <hyperlink r:id="rId523" ref="H287"/>
    <hyperlink r:id="rId524" ref="E288"/>
    <hyperlink r:id="rId525" ref="H288"/>
    <hyperlink r:id="rId526" ref="E289"/>
    <hyperlink r:id="rId527" ref="H289"/>
    <hyperlink r:id="rId528" ref="E290"/>
    <hyperlink r:id="rId529" ref="H290"/>
    <hyperlink r:id="rId530" ref="E291"/>
    <hyperlink r:id="rId531" ref="H291"/>
    <hyperlink r:id="rId532" ref="E292"/>
    <hyperlink r:id="rId533" ref="E293"/>
    <hyperlink r:id="rId534" ref="H293"/>
    <hyperlink r:id="rId535" ref="E294"/>
    <hyperlink r:id="rId536" ref="H294"/>
    <hyperlink r:id="rId537" ref="E295"/>
    <hyperlink r:id="rId538" ref="H295"/>
    <hyperlink r:id="rId539" ref="E296"/>
    <hyperlink r:id="rId540" ref="H296"/>
    <hyperlink r:id="rId541" ref="E297"/>
    <hyperlink r:id="rId542" ref="H297"/>
    <hyperlink r:id="rId543" ref="E298"/>
    <hyperlink r:id="rId544" ref="E299"/>
    <hyperlink r:id="rId545" ref="H299"/>
    <hyperlink r:id="rId546" ref="E300"/>
    <hyperlink r:id="rId547" ref="H300"/>
    <hyperlink r:id="rId548" ref="E301"/>
    <hyperlink r:id="rId549" ref="H301"/>
    <hyperlink r:id="rId550" ref="E302"/>
    <hyperlink r:id="rId551" ref="H302"/>
    <hyperlink r:id="rId552" ref="E303"/>
    <hyperlink r:id="rId553" ref="H303"/>
    <hyperlink r:id="rId554" ref="E304"/>
    <hyperlink r:id="rId555" ref="H304"/>
    <hyperlink r:id="rId556" ref="E305"/>
    <hyperlink r:id="rId557" ref="H305"/>
    <hyperlink r:id="rId558" ref="E306"/>
    <hyperlink r:id="rId559" ref="H306"/>
    <hyperlink r:id="rId560" ref="E307"/>
    <hyperlink r:id="rId561" ref="H307"/>
    <hyperlink r:id="rId562" ref="E308"/>
    <hyperlink r:id="rId563" ref="H308"/>
    <hyperlink r:id="rId564" ref="E309"/>
    <hyperlink r:id="rId565" ref="H309"/>
    <hyperlink r:id="rId566" ref="E310"/>
    <hyperlink r:id="rId567" ref="H310"/>
    <hyperlink r:id="rId568" ref="E311"/>
    <hyperlink r:id="rId569" ref="H311"/>
    <hyperlink r:id="rId570" ref="E312"/>
    <hyperlink r:id="rId571" ref="H312"/>
    <hyperlink r:id="rId572" ref="E313"/>
    <hyperlink r:id="rId573" ref="H313"/>
    <hyperlink r:id="rId574" ref="E314"/>
    <hyperlink r:id="rId575" ref="E315"/>
    <hyperlink r:id="rId576" ref="E316"/>
    <hyperlink r:id="rId577" ref="E317"/>
    <hyperlink r:id="rId578" ref="H317"/>
    <hyperlink r:id="rId579" ref="E318"/>
    <hyperlink r:id="rId580" ref="E319"/>
    <hyperlink r:id="rId581" ref="H319"/>
    <hyperlink r:id="rId582" ref="E320"/>
    <hyperlink r:id="rId583" ref="H320"/>
    <hyperlink r:id="rId584" ref="E321"/>
    <hyperlink r:id="rId585" ref="H321"/>
    <hyperlink r:id="rId586" ref="E322"/>
    <hyperlink r:id="rId587" ref="E323"/>
    <hyperlink r:id="rId588" ref="E324"/>
    <hyperlink r:id="rId589" ref="H324"/>
    <hyperlink r:id="rId590" ref="E325"/>
    <hyperlink r:id="rId591" ref="E326"/>
    <hyperlink r:id="rId592" ref="H326"/>
    <hyperlink r:id="rId593" ref="E327"/>
    <hyperlink r:id="rId594" ref="H327"/>
    <hyperlink r:id="rId595" ref="E328"/>
    <hyperlink r:id="rId596" ref="H328"/>
    <hyperlink r:id="rId597" ref="E329"/>
    <hyperlink r:id="rId598" ref="H329"/>
    <hyperlink r:id="rId599" ref="E330"/>
    <hyperlink r:id="rId600" ref="E331"/>
    <hyperlink r:id="rId601" ref="H331"/>
    <hyperlink r:id="rId602" ref="E332"/>
    <hyperlink r:id="rId603" ref="H332"/>
    <hyperlink r:id="rId604" ref="E333"/>
    <hyperlink r:id="rId605" ref="H333"/>
    <hyperlink r:id="rId606" ref="E334"/>
    <hyperlink r:id="rId607" ref="H334"/>
    <hyperlink r:id="rId608" ref="E335"/>
    <hyperlink r:id="rId609" ref="H335"/>
    <hyperlink r:id="rId610" ref="E336"/>
    <hyperlink r:id="rId611" ref="H336"/>
    <hyperlink r:id="rId612" ref="E337"/>
    <hyperlink r:id="rId613" ref="H337"/>
    <hyperlink r:id="rId614" ref="E338"/>
    <hyperlink r:id="rId615" ref="H338"/>
    <hyperlink r:id="rId616" ref="E339"/>
    <hyperlink r:id="rId617" ref="H339"/>
    <hyperlink r:id="rId618" ref="E340"/>
    <hyperlink r:id="rId619" ref="H340"/>
    <hyperlink r:id="rId620" ref="E341"/>
    <hyperlink r:id="rId621" ref="H341"/>
    <hyperlink r:id="rId622" ref="E342"/>
    <hyperlink r:id="rId623" ref="H342"/>
    <hyperlink r:id="rId624" ref="E343"/>
    <hyperlink r:id="rId625" ref="H343"/>
    <hyperlink r:id="rId626" ref="E344"/>
    <hyperlink r:id="rId627" ref="H344"/>
    <hyperlink r:id="rId628" ref="E345"/>
    <hyperlink r:id="rId629" ref="E346"/>
    <hyperlink r:id="rId630" ref="E347"/>
    <hyperlink r:id="rId631" ref="H347"/>
    <hyperlink r:id="rId632" ref="E348"/>
    <hyperlink r:id="rId633" ref="H348"/>
    <hyperlink r:id="rId634" ref="E349"/>
    <hyperlink r:id="rId635" ref="H349"/>
    <hyperlink r:id="rId636" ref="E350"/>
    <hyperlink r:id="rId637" ref="H350"/>
    <hyperlink r:id="rId638" ref="E351"/>
    <hyperlink r:id="rId639" ref="H351"/>
    <hyperlink r:id="rId640" ref="E352"/>
    <hyperlink r:id="rId641" ref="H352"/>
    <hyperlink r:id="rId642" ref="E353"/>
    <hyperlink r:id="rId643" ref="H353"/>
    <hyperlink r:id="rId644" ref="E354"/>
    <hyperlink r:id="rId645" ref="H354"/>
    <hyperlink r:id="rId646" ref="E355"/>
    <hyperlink r:id="rId647" ref="H355"/>
    <hyperlink r:id="rId648" ref="E356"/>
    <hyperlink r:id="rId649" ref="H356"/>
    <hyperlink r:id="rId650" ref="E357"/>
    <hyperlink r:id="rId651" ref="H357"/>
    <hyperlink r:id="rId652" ref="E358"/>
    <hyperlink r:id="rId653" ref="E359"/>
    <hyperlink r:id="rId654" ref="H359"/>
    <hyperlink r:id="rId655" ref="E360"/>
    <hyperlink r:id="rId656" ref="H360"/>
    <hyperlink r:id="rId657" ref="E361"/>
    <hyperlink r:id="rId658" ref="E362"/>
    <hyperlink r:id="rId659" ref="H362"/>
    <hyperlink r:id="rId660" ref="E363"/>
    <hyperlink r:id="rId661" ref="H363"/>
    <hyperlink r:id="rId662" ref="E364"/>
    <hyperlink r:id="rId663" ref="E365"/>
    <hyperlink r:id="rId664" ref="E366"/>
    <hyperlink r:id="rId665" ref="E367"/>
    <hyperlink r:id="rId666" ref="H367"/>
    <hyperlink r:id="rId667" ref="E368"/>
    <hyperlink r:id="rId668" ref="H368"/>
    <hyperlink r:id="rId669" ref="E369"/>
    <hyperlink r:id="rId670" ref="H369"/>
    <hyperlink r:id="rId671" ref="E370"/>
    <hyperlink r:id="rId672" ref="H370"/>
    <hyperlink r:id="rId673" ref="E371"/>
    <hyperlink r:id="rId674" ref="E372"/>
    <hyperlink r:id="rId675" ref="H372"/>
    <hyperlink r:id="rId676" ref="E373"/>
    <hyperlink r:id="rId677" ref="H373"/>
    <hyperlink r:id="rId678" ref="E374"/>
    <hyperlink r:id="rId679" ref="H374"/>
    <hyperlink r:id="rId680" ref="E375"/>
    <hyperlink r:id="rId681" ref="H375"/>
    <hyperlink r:id="rId682" ref="E376"/>
    <hyperlink r:id="rId683" ref="E377"/>
    <hyperlink r:id="rId684" ref="H377"/>
    <hyperlink r:id="rId685" ref="E378"/>
    <hyperlink r:id="rId686" ref="H378"/>
    <hyperlink r:id="rId687" ref="E379"/>
    <hyperlink r:id="rId688" ref="H379"/>
    <hyperlink r:id="rId689" ref="E380"/>
    <hyperlink r:id="rId690" ref="H380"/>
    <hyperlink r:id="rId691" ref="E381"/>
    <hyperlink r:id="rId692" ref="H381"/>
    <hyperlink r:id="rId693" ref="E382"/>
    <hyperlink r:id="rId694" ref="H382"/>
    <hyperlink r:id="rId695" ref="E383"/>
    <hyperlink r:id="rId696" ref="H383"/>
    <hyperlink r:id="rId697" ref="E384"/>
    <hyperlink r:id="rId698" ref="H384"/>
    <hyperlink r:id="rId699" ref="E385"/>
    <hyperlink r:id="rId700" ref="H385"/>
    <hyperlink r:id="rId701" ref="E386"/>
    <hyperlink r:id="rId702" ref="H386"/>
    <hyperlink r:id="rId703" ref="E387"/>
    <hyperlink r:id="rId704" ref="H387"/>
    <hyperlink r:id="rId705" ref="E388"/>
    <hyperlink r:id="rId706" ref="H388"/>
    <hyperlink r:id="rId707" ref="E389"/>
    <hyperlink r:id="rId708" ref="E390"/>
    <hyperlink r:id="rId709" ref="H390"/>
    <hyperlink r:id="rId710" ref="E391"/>
    <hyperlink r:id="rId711" ref="H391"/>
    <hyperlink r:id="rId712" ref="E392"/>
    <hyperlink r:id="rId713" ref="H392"/>
    <hyperlink r:id="rId714" ref="E393"/>
    <hyperlink r:id="rId715" ref="E394"/>
    <hyperlink r:id="rId716" ref="H394"/>
    <hyperlink r:id="rId717" ref="E395"/>
    <hyperlink r:id="rId718" ref="H395"/>
    <hyperlink r:id="rId719" ref="E396"/>
    <hyperlink r:id="rId720" ref="H396"/>
    <hyperlink r:id="rId721" ref="E397"/>
    <hyperlink r:id="rId722" ref="H397"/>
    <hyperlink r:id="rId723" ref="E398"/>
    <hyperlink r:id="rId724" ref="H398"/>
    <hyperlink r:id="rId725" ref="E399"/>
    <hyperlink r:id="rId726" ref="H399"/>
    <hyperlink r:id="rId727" ref="E400"/>
    <hyperlink r:id="rId728" ref="H400"/>
    <hyperlink r:id="rId729" ref="E401"/>
    <hyperlink r:id="rId730" ref="H401"/>
    <hyperlink r:id="rId731" ref="E402"/>
    <hyperlink r:id="rId732" ref="H402"/>
    <hyperlink r:id="rId733" ref="E403"/>
    <hyperlink r:id="rId734" ref="E404"/>
    <hyperlink r:id="rId735" ref="H404"/>
    <hyperlink r:id="rId736" ref="E405"/>
    <hyperlink r:id="rId737" ref="H405"/>
    <hyperlink r:id="rId738" ref="E406"/>
    <hyperlink r:id="rId739" ref="H406"/>
    <hyperlink r:id="rId740" ref="E407"/>
    <hyperlink r:id="rId741" ref="H407"/>
  </hyperlinks>
  <drawing r:id="rId74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2" max="2" width="16.75"/>
    <col customWidth="1" min="3" max="3" width="23.25"/>
    <col customWidth="1" min="4" max="4" width="6.88"/>
    <col customWidth="1" min="5" max="5" width="25.63"/>
    <col customWidth="1" min="6" max="6" width="5.63"/>
    <col customWidth="1" min="9" max="9" width="16.13"/>
    <col customWidth="1" min="10" max="10" width="1996.75"/>
  </cols>
  <sheetData>
    <row r="1">
      <c r="A1" s="1" t="s">
        <v>0</v>
      </c>
      <c r="B1" s="1" t="s">
        <v>1</v>
      </c>
      <c r="C1" s="1" t="s">
        <v>2</v>
      </c>
      <c r="D1" s="1" t="s">
        <v>3</v>
      </c>
      <c r="E1" s="1" t="s">
        <v>4</v>
      </c>
      <c r="F1" s="1" t="s">
        <v>5</v>
      </c>
      <c r="G1" s="2" t="s">
        <v>8</v>
      </c>
      <c r="H1" s="1" t="s">
        <v>6</v>
      </c>
      <c r="I1" s="1" t="s">
        <v>7</v>
      </c>
      <c r="J1" s="1" t="s">
        <v>3268</v>
      </c>
    </row>
    <row r="2">
      <c r="A2" s="1" t="s">
        <v>13</v>
      </c>
      <c r="B2" s="1" t="s">
        <v>14</v>
      </c>
      <c r="D2" s="1">
        <v>1.0</v>
      </c>
      <c r="E2" s="4" t="s">
        <v>15</v>
      </c>
      <c r="F2" s="1" t="s">
        <v>16</v>
      </c>
      <c r="G2" s="2">
        <v>0.0</v>
      </c>
      <c r="J2" s="1" t="s">
        <v>3269</v>
      </c>
    </row>
    <row r="3">
      <c r="A3" s="1" t="s">
        <v>13</v>
      </c>
      <c r="B3" s="1" t="s">
        <v>17</v>
      </c>
      <c r="D3" s="1">
        <v>2.0</v>
      </c>
      <c r="E3" s="4" t="s">
        <v>18</v>
      </c>
      <c r="F3" s="1" t="s">
        <v>16</v>
      </c>
      <c r="G3" s="2">
        <v>1.0</v>
      </c>
      <c r="H3" s="1" t="s">
        <v>19</v>
      </c>
      <c r="I3" s="4" t="s">
        <v>20</v>
      </c>
      <c r="J3" s="1" t="s">
        <v>3270</v>
      </c>
    </row>
    <row r="4">
      <c r="A4" s="1" t="s">
        <v>13</v>
      </c>
      <c r="B4" s="1" t="s">
        <v>21</v>
      </c>
      <c r="D4" s="1">
        <v>3.0</v>
      </c>
      <c r="E4" s="4" t="s">
        <v>22</v>
      </c>
      <c r="F4" s="1" t="s">
        <v>16</v>
      </c>
      <c r="G4" s="2">
        <v>1.0</v>
      </c>
      <c r="H4" s="1" t="s">
        <v>23</v>
      </c>
      <c r="I4" s="4" t="s">
        <v>24</v>
      </c>
      <c r="J4" s="1" t="s">
        <v>3271</v>
      </c>
    </row>
    <row r="5">
      <c r="A5" s="1" t="s">
        <v>13</v>
      </c>
      <c r="B5" s="1" t="s">
        <v>25</v>
      </c>
      <c r="D5" s="1">
        <v>4.0</v>
      </c>
      <c r="E5" s="4" t="s">
        <v>26</v>
      </c>
      <c r="F5" s="1" t="s">
        <v>16</v>
      </c>
      <c r="G5" s="2">
        <v>2.0</v>
      </c>
      <c r="H5" s="1" t="s">
        <v>27</v>
      </c>
      <c r="I5" s="4" t="s">
        <v>28</v>
      </c>
      <c r="J5" s="1" t="s">
        <v>3272</v>
      </c>
    </row>
    <row r="6">
      <c r="A6" s="1" t="s">
        <v>13</v>
      </c>
      <c r="B6" s="1" t="s">
        <v>25</v>
      </c>
      <c r="C6" s="1" t="s">
        <v>29</v>
      </c>
      <c r="D6" s="1">
        <v>5.0</v>
      </c>
      <c r="E6" s="4" t="s">
        <v>30</v>
      </c>
      <c r="F6" s="1" t="s">
        <v>16</v>
      </c>
      <c r="G6" s="2">
        <v>2.0</v>
      </c>
      <c r="H6" s="1" t="s">
        <v>31</v>
      </c>
      <c r="I6" s="4" t="s">
        <v>32</v>
      </c>
      <c r="J6" s="1" t="s">
        <v>3273</v>
      </c>
    </row>
    <row r="7">
      <c r="A7" s="1" t="s">
        <v>13</v>
      </c>
      <c r="B7" s="1" t="s">
        <v>25</v>
      </c>
      <c r="D7" s="1">
        <v>6.0</v>
      </c>
      <c r="E7" s="4" t="s">
        <v>33</v>
      </c>
      <c r="F7" s="1" t="s">
        <v>16</v>
      </c>
      <c r="G7" s="2">
        <v>3.0</v>
      </c>
      <c r="H7" s="1" t="s">
        <v>34</v>
      </c>
      <c r="I7" s="4" t="s">
        <v>35</v>
      </c>
      <c r="J7" s="1" t="s">
        <v>3274</v>
      </c>
    </row>
    <row r="8">
      <c r="A8" s="1" t="s">
        <v>13</v>
      </c>
      <c r="B8" s="1" t="s">
        <v>25</v>
      </c>
      <c r="C8" s="1" t="s">
        <v>36</v>
      </c>
      <c r="D8" s="1">
        <v>7.0</v>
      </c>
      <c r="E8" s="4" t="s">
        <v>37</v>
      </c>
      <c r="F8" s="1" t="s">
        <v>16</v>
      </c>
      <c r="G8" s="2">
        <v>1.0</v>
      </c>
      <c r="H8" s="1" t="s">
        <v>38</v>
      </c>
      <c r="I8" s="4" t="s">
        <v>39</v>
      </c>
      <c r="J8" s="1" t="s">
        <v>3275</v>
      </c>
    </row>
    <row r="9">
      <c r="A9" s="1" t="s">
        <v>13</v>
      </c>
      <c r="B9" s="1" t="s">
        <v>25</v>
      </c>
      <c r="C9" s="1" t="s">
        <v>40</v>
      </c>
      <c r="D9" s="1">
        <v>8.0</v>
      </c>
      <c r="E9" s="4" t="s">
        <v>41</v>
      </c>
      <c r="F9" s="1" t="s">
        <v>16</v>
      </c>
      <c r="G9" s="2">
        <v>1.0</v>
      </c>
      <c r="H9" s="1" t="s">
        <v>38</v>
      </c>
      <c r="I9" s="4" t="s">
        <v>39</v>
      </c>
      <c r="J9" s="1" t="s">
        <v>3276</v>
      </c>
    </row>
    <row r="10">
      <c r="A10" s="1" t="s">
        <v>13</v>
      </c>
      <c r="B10" s="1" t="s">
        <v>25</v>
      </c>
      <c r="D10" s="1">
        <v>4.0</v>
      </c>
      <c r="E10" s="4" t="s">
        <v>42</v>
      </c>
      <c r="F10" s="1" t="s">
        <v>43</v>
      </c>
      <c r="G10" s="2">
        <v>0.0</v>
      </c>
      <c r="J10" s="1" t="s">
        <v>3269</v>
      </c>
    </row>
    <row r="11">
      <c r="A11" s="1" t="s">
        <v>13</v>
      </c>
      <c r="B11" s="1" t="s">
        <v>25</v>
      </c>
      <c r="D11" s="1">
        <v>5.0</v>
      </c>
      <c r="E11" s="4" t="s">
        <v>44</v>
      </c>
      <c r="F11" s="1" t="s">
        <v>43</v>
      </c>
      <c r="G11" s="2">
        <v>1.0</v>
      </c>
      <c r="H11" s="1" t="s">
        <v>45</v>
      </c>
      <c r="I11" s="4" t="s">
        <v>46</v>
      </c>
      <c r="J11" s="1" t="s">
        <v>3272</v>
      </c>
    </row>
    <row r="12">
      <c r="A12" s="1" t="s">
        <v>13</v>
      </c>
      <c r="B12" s="1" t="s">
        <v>25</v>
      </c>
      <c r="D12" s="1">
        <v>6.0</v>
      </c>
      <c r="E12" s="4" t="s">
        <v>47</v>
      </c>
      <c r="F12" s="1" t="s">
        <v>43</v>
      </c>
      <c r="G12" s="2">
        <v>1.0</v>
      </c>
      <c r="H12" s="1" t="s">
        <v>48</v>
      </c>
      <c r="I12" s="4" t="s">
        <v>49</v>
      </c>
      <c r="J12" s="1" t="s">
        <v>3272</v>
      </c>
    </row>
    <row r="13">
      <c r="A13" s="1" t="s">
        <v>13</v>
      </c>
      <c r="B13" s="1" t="s">
        <v>25</v>
      </c>
      <c r="C13" s="1" t="s">
        <v>50</v>
      </c>
      <c r="D13" s="1">
        <v>7.0</v>
      </c>
      <c r="E13" s="4" t="s">
        <v>51</v>
      </c>
      <c r="F13" s="1" t="s">
        <v>43</v>
      </c>
      <c r="G13" s="2">
        <v>2.0</v>
      </c>
      <c r="H13" s="1" t="s">
        <v>52</v>
      </c>
      <c r="I13" s="4" t="s">
        <v>53</v>
      </c>
      <c r="J13" s="1" t="s">
        <v>3277</v>
      </c>
    </row>
    <row r="14">
      <c r="A14" s="1" t="s">
        <v>54</v>
      </c>
      <c r="B14" s="1" t="s">
        <v>55</v>
      </c>
      <c r="C14" s="1" t="s">
        <v>56</v>
      </c>
      <c r="D14" s="1">
        <v>1.0</v>
      </c>
      <c r="E14" s="4" t="s">
        <v>57</v>
      </c>
      <c r="F14" s="1" t="s">
        <v>16</v>
      </c>
      <c r="G14" s="2">
        <v>1.0</v>
      </c>
      <c r="H14" s="1" t="s">
        <v>58</v>
      </c>
      <c r="I14" s="4" t="s">
        <v>59</v>
      </c>
      <c r="J14" s="1" t="s">
        <v>3278</v>
      </c>
    </row>
    <row r="15">
      <c r="A15" s="1" t="s">
        <v>54</v>
      </c>
      <c r="B15" s="1" t="s">
        <v>60</v>
      </c>
      <c r="C15" s="1" t="s">
        <v>61</v>
      </c>
      <c r="D15" s="1">
        <v>2.0</v>
      </c>
      <c r="E15" s="4" t="s">
        <v>62</v>
      </c>
      <c r="F15" s="1" t="s">
        <v>16</v>
      </c>
      <c r="G15" s="2">
        <v>3.0</v>
      </c>
      <c r="H15" s="1" t="s">
        <v>63</v>
      </c>
      <c r="I15" s="4" t="s">
        <v>64</v>
      </c>
      <c r="J15" s="1" t="s">
        <v>3279</v>
      </c>
    </row>
    <row r="16">
      <c r="A16" s="1" t="s">
        <v>54</v>
      </c>
      <c r="B16" s="1" t="s">
        <v>65</v>
      </c>
      <c r="D16" s="1">
        <v>3.0</v>
      </c>
      <c r="E16" s="4" t="s">
        <v>66</v>
      </c>
      <c r="F16" s="1" t="s">
        <v>16</v>
      </c>
      <c r="G16" s="2">
        <v>3.0</v>
      </c>
      <c r="H16" s="1" t="s">
        <v>67</v>
      </c>
      <c r="I16" s="4" t="s">
        <v>68</v>
      </c>
      <c r="J16" s="1" t="s">
        <v>3280</v>
      </c>
    </row>
    <row r="17">
      <c r="A17" s="1" t="s">
        <v>54</v>
      </c>
      <c r="B17" s="1" t="s">
        <v>55</v>
      </c>
      <c r="D17" s="1">
        <v>4.0</v>
      </c>
      <c r="E17" s="4" t="s">
        <v>69</v>
      </c>
      <c r="F17" s="1" t="s">
        <v>16</v>
      </c>
      <c r="G17" s="2">
        <v>0.0</v>
      </c>
      <c r="H17" s="1" t="s">
        <v>31</v>
      </c>
      <c r="I17" s="4" t="s">
        <v>32</v>
      </c>
      <c r="J17" s="1" t="s">
        <v>3281</v>
      </c>
    </row>
    <row r="18">
      <c r="A18" s="1" t="s">
        <v>54</v>
      </c>
      <c r="B18" s="1" t="s">
        <v>70</v>
      </c>
      <c r="D18" s="1">
        <v>5.0</v>
      </c>
      <c r="E18" s="4" t="s">
        <v>71</v>
      </c>
      <c r="F18" s="1" t="s">
        <v>16</v>
      </c>
      <c r="G18" s="2">
        <v>1.0</v>
      </c>
      <c r="H18" s="1" t="s">
        <v>72</v>
      </c>
      <c r="I18" s="4" t="s">
        <v>73</v>
      </c>
      <c r="J18" s="1" t="s">
        <v>3282</v>
      </c>
    </row>
    <row r="19">
      <c r="A19" s="1" t="s">
        <v>54</v>
      </c>
      <c r="B19" s="1" t="s">
        <v>74</v>
      </c>
      <c r="C19" s="1" t="s">
        <v>75</v>
      </c>
      <c r="D19" s="1">
        <v>6.0</v>
      </c>
      <c r="E19" s="4" t="s">
        <v>76</v>
      </c>
      <c r="F19" s="1" t="s">
        <v>16</v>
      </c>
      <c r="G19" s="2">
        <v>2.0</v>
      </c>
      <c r="H19" s="1" t="s">
        <v>77</v>
      </c>
      <c r="I19" s="4" t="s">
        <v>78</v>
      </c>
      <c r="J19" s="1" t="s">
        <v>3283</v>
      </c>
    </row>
    <row r="20">
      <c r="A20" s="1" t="s">
        <v>54</v>
      </c>
      <c r="B20" s="1" t="s">
        <v>79</v>
      </c>
      <c r="C20" s="1" t="s">
        <v>80</v>
      </c>
      <c r="D20" s="1">
        <v>7.0</v>
      </c>
      <c r="E20" s="4" t="s">
        <v>81</v>
      </c>
      <c r="F20" s="1" t="s">
        <v>16</v>
      </c>
      <c r="G20" s="2">
        <v>1.0</v>
      </c>
      <c r="H20" s="1" t="s">
        <v>82</v>
      </c>
      <c r="I20" s="4" t="s">
        <v>83</v>
      </c>
      <c r="J20" s="1" t="s">
        <v>3284</v>
      </c>
    </row>
    <row r="21">
      <c r="A21" s="1" t="s">
        <v>54</v>
      </c>
      <c r="B21" s="1" t="s">
        <v>84</v>
      </c>
      <c r="C21" s="1" t="s">
        <v>85</v>
      </c>
      <c r="D21" s="1">
        <v>8.0</v>
      </c>
      <c r="E21" s="4" t="s">
        <v>86</v>
      </c>
      <c r="F21" s="1" t="s">
        <v>16</v>
      </c>
      <c r="G21" s="2">
        <v>2.0</v>
      </c>
      <c r="H21" s="1" t="s">
        <v>87</v>
      </c>
      <c r="I21" s="4" t="s">
        <v>88</v>
      </c>
      <c r="J21" s="1" t="s">
        <v>3285</v>
      </c>
    </row>
    <row r="22">
      <c r="A22" s="1" t="s">
        <v>54</v>
      </c>
      <c r="B22" s="1" t="s">
        <v>89</v>
      </c>
      <c r="C22" s="1" t="s">
        <v>90</v>
      </c>
      <c r="D22" s="1">
        <v>9.0</v>
      </c>
      <c r="E22" s="4" t="s">
        <v>91</v>
      </c>
      <c r="F22" s="1" t="s">
        <v>16</v>
      </c>
      <c r="G22" s="2">
        <v>2.0</v>
      </c>
      <c r="H22" s="1" t="s">
        <v>92</v>
      </c>
      <c r="I22" s="4" t="s">
        <v>93</v>
      </c>
      <c r="J22" s="1" t="s">
        <v>3286</v>
      </c>
    </row>
    <row r="23">
      <c r="A23" s="1" t="s">
        <v>54</v>
      </c>
      <c r="B23" s="1" t="s">
        <v>94</v>
      </c>
      <c r="C23" s="1" t="s">
        <v>95</v>
      </c>
      <c r="D23" s="1">
        <v>10.0</v>
      </c>
      <c r="E23" s="4" t="s">
        <v>96</v>
      </c>
      <c r="F23" s="1" t="s">
        <v>16</v>
      </c>
      <c r="G23" s="2">
        <v>0.0</v>
      </c>
      <c r="H23" s="1" t="s">
        <v>97</v>
      </c>
      <c r="I23" s="4" t="s">
        <v>98</v>
      </c>
      <c r="J23" s="1" t="s">
        <v>3287</v>
      </c>
    </row>
    <row r="24">
      <c r="A24" s="1" t="s">
        <v>54</v>
      </c>
      <c r="B24" s="1" t="s">
        <v>99</v>
      </c>
      <c r="D24" s="1">
        <v>11.0</v>
      </c>
      <c r="E24" s="4" t="s">
        <v>100</v>
      </c>
      <c r="F24" s="1" t="s">
        <v>16</v>
      </c>
      <c r="G24" s="2">
        <v>2.0</v>
      </c>
      <c r="H24" s="1" t="s">
        <v>101</v>
      </c>
      <c r="I24" s="4" t="s">
        <v>102</v>
      </c>
      <c r="J24" s="1" t="s">
        <v>3288</v>
      </c>
    </row>
    <row r="25">
      <c r="A25" s="1" t="s">
        <v>54</v>
      </c>
      <c r="B25" s="1" t="s">
        <v>103</v>
      </c>
      <c r="D25" s="1">
        <v>12.0</v>
      </c>
      <c r="E25" s="4" t="s">
        <v>104</v>
      </c>
      <c r="F25" s="1" t="s">
        <v>16</v>
      </c>
      <c r="G25" s="2">
        <v>1.0</v>
      </c>
      <c r="H25" s="1" t="s">
        <v>105</v>
      </c>
      <c r="I25" s="4" t="s">
        <v>106</v>
      </c>
      <c r="J25" s="1" t="s">
        <v>3289</v>
      </c>
    </row>
    <row r="26">
      <c r="A26" s="1" t="s">
        <v>54</v>
      </c>
      <c r="B26" s="1" t="s">
        <v>107</v>
      </c>
      <c r="C26" s="1" t="s">
        <v>108</v>
      </c>
      <c r="D26" s="1">
        <v>13.0</v>
      </c>
      <c r="E26" s="4" t="s">
        <v>109</v>
      </c>
      <c r="F26" s="1" t="s">
        <v>16</v>
      </c>
      <c r="G26" s="2">
        <v>1.0</v>
      </c>
      <c r="H26" s="1" t="s">
        <v>110</v>
      </c>
      <c r="I26" s="4" t="s">
        <v>111</v>
      </c>
      <c r="J26" s="1" t="s">
        <v>3290</v>
      </c>
    </row>
    <row r="27">
      <c r="A27" s="1" t="s">
        <v>54</v>
      </c>
      <c r="B27" s="1" t="s">
        <v>112</v>
      </c>
      <c r="C27" s="1" t="s">
        <v>113</v>
      </c>
      <c r="D27" s="1">
        <v>14.0</v>
      </c>
      <c r="E27" s="4" t="s">
        <v>114</v>
      </c>
      <c r="F27" s="1" t="s">
        <v>16</v>
      </c>
      <c r="G27" s="2">
        <v>4.0</v>
      </c>
      <c r="H27" s="1" t="s">
        <v>115</v>
      </c>
      <c r="I27" s="4" t="s">
        <v>116</v>
      </c>
      <c r="J27" s="1" t="s">
        <v>3291</v>
      </c>
    </row>
    <row r="28">
      <c r="A28" s="1" t="s">
        <v>54</v>
      </c>
      <c r="B28" s="1" t="s">
        <v>117</v>
      </c>
      <c r="C28" s="1" t="s">
        <v>118</v>
      </c>
      <c r="D28" s="1">
        <v>15.0</v>
      </c>
      <c r="E28" s="4" t="s">
        <v>119</v>
      </c>
      <c r="F28" s="1" t="s">
        <v>16</v>
      </c>
      <c r="G28" s="2">
        <v>3.0</v>
      </c>
      <c r="H28" s="1" t="s">
        <v>120</v>
      </c>
      <c r="I28" s="4" t="s">
        <v>121</v>
      </c>
      <c r="J28" s="1" t="s">
        <v>3292</v>
      </c>
    </row>
    <row r="29">
      <c r="A29" s="1" t="s">
        <v>54</v>
      </c>
      <c r="B29" s="1" t="s">
        <v>122</v>
      </c>
      <c r="C29" s="1" t="s">
        <v>123</v>
      </c>
      <c r="D29" s="1">
        <v>16.0</v>
      </c>
      <c r="E29" s="4" t="s">
        <v>124</v>
      </c>
      <c r="F29" s="1" t="s">
        <v>16</v>
      </c>
      <c r="G29" s="2">
        <v>1.0</v>
      </c>
      <c r="H29" s="1" t="s">
        <v>125</v>
      </c>
      <c r="I29" s="4" t="s">
        <v>126</v>
      </c>
      <c r="J29" s="1" t="s">
        <v>3293</v>
      </c>
    </row>
    <row r="30">
      <c r="A30" s="1" t="s">
        <v>54</v>
      </c>
      <c r="B30" s="1" t="s">
        <v>127</v>
      </c>
      <c r="D30" s="1">
        <v>17.0</v>
      </c>
      <c r="E30" s="4" t="s">
        <v>128</v>
      </c>
      <c r="F30" s="1" t="s">
        <v>16</v>
      </c>
      <c r="G30" s="2">
        <v>2.0</v>
      </c>
      <c r="H30" s="1" t="s">
        <v>129</v>
      </c>
      <c r="I30" s="4" t="s">
        <v>130</v>
      </c>
      <c r="J30" s="1" t="s">
        <v>3294</v>
      </c>
    </row>
    <row r="31">
      <c r="A31" s="1" t="s">
        <v>54</v>
      </c>
      <c r="B31" s="1" t="s">
        <v>131</v>
      </c>
      <c r="D31" s="1">
        <v>18.0</v>
      </c>
      <c r="E31" s="4" t="s">
        <v>132</v>
      </c>
      <c r="F31" s="1" t="s">
        <v>16</v>
      </c>
      <c r="G31" s="2"/>
      <c r="J31" s="1" t="s">
        <v>3269</v>
      </c>
    </row>
    <row r="32">
      <c r="A32" s="1" t="s">
        <v>54</v>
      </c>
      <c r="B32" s="1" t="s">
        <v>133</v>
      </c>
      <c r="D32" s="1">
        <v>19.0</v>
      </c>
      <c r="E32" s="4" t="s">
        <v>134</v>
      </c>
      <c r="F32" s="1" t="s">
        <v>16</v>
      </c>
      <c r="G32" s="2">
        <v>1.0</v>
      </c>
      <c r="H32" s="1" t="s">
        <v>135</v>
      </c>
      <c r="I32" s="4" t="s">
        <v>136</v>
      </c>
      <c r="J32" s="1" t="s">
        <v>3295</v>
      </c>
    </row>
    <row r="33">
      <c r="A33" s="1" t="s">
        <v>54</v>
      </c>
      <c r="B33" s="1" t="s">
        <v>137</v>
      </c>
      <c r="C33" s="1" t="s">
        <v>138</v>
      </c>
      <c r="D33" s="1">
        <v>20.0</v>
      </c>
      <c r="E33" s="4" t="s">
        <v>139</v>
      </c>
      <c r="F33" s="1" t="s">
        <v>16</v>
      </c>
      <c r="G33" s="2">
        <v>1.0</v>
      </c>
      <c r="H33" s="1" t="s">
        <v>140</v>
      </c>
      <c r="I33" s="4" t="s">
        <v>141</v>
      </c>
      <c r="J33" s="1" t="s">
        <v>3296</v>
      </c>
    </row>
    <row r="34">
      <c r="A34" s="1" t="s">
        <v>54</v>
      </c>
      <c r="B34" s="1" t="s">
        <v>142</v>
      </c>
      <c r="C34" s="1" t="s">
        <v>143</v>
      </c>
      <c r="D34" s="1">
        <v>2.0</v>
      </c>
      <c r="E34" s="4" t="s">
        <v>144</v>
      </c>
      <c r="F34" s="1" t="s">
        <v>43</v>
      </c>
      <c r="G34" s="2">
        <v>0.0</v>
      </c>
      <c r="H34" s="1" t="s">
        <v>145</v>
      </c>
      <c r="I34" s="4" t="s">
        <v>146</v>
      </c>
      <c r="J34" s="1" t="s">
        <v>3297</v>
      </c>
    </row>
    <row r="35">
      <c r="A35" s="1" t="s">
        <v>54</v>
      </c>
      <c r="B35" s="1" t="s">
        <v>147</v>
      </c>
      <c r="C35" s="1" t="s">
        <v>148</v>
      </c>
      <c r="D35" s="1">
        <v>3.0</v>
      </c>
      <c r="E35" s="4" t="s">
        <v>149</v>
      </c>
      <c r="F35" s="1" t="s">
        <v>43</v>
      </c>
      <c r="G35" s="2">
        <v>0.0</v>
      </c>
      <c r="H35" s="1" t="s">
        <v>145</v>
      </c>
      <c r="I35" s="4" t="s">
        <v>146</v>
      </c>
      <c r="J35" s="1" t="s">
        <v>3298</v>
      </c>
    </row>
    <row r="36">
      <c r="A36" s="1" t="s">
        <v>54</v>
      </c>
      <c r="B36" s="1" t="s">
        <v>55</v>
      </c>
      <c r="C36" s="1" t="s">
        <v>150</v>
      </c>
      <c r="D36" s="1">
        <v>4.0</v>
      </c>
      <c r="E36" s="4" t="s">
        <v>151</v>
      </c>
      <c r="F36" s="1" t="s">
        <v>43</v>
      </c>
      <c r="G36" s="2">
        <v>0.0</v>
      </c>
      <c r="H36" s="1" t="s">
        <v>27</v>
      </c>
      <c r="I36" s="4" t="s">
        <v>28</v>
      </c>
      <c r="J36" s="1" t="s">
        <v>3299</v>
      </c>
    </row>
    <row r="37">
      <c r="A37" s="1" t="s">
        <v>54</v>
      </c>
      <c r="B37" s="1" t="s">
        <v>152</v>
      </c>
      <c r="C37" s="1" t="s">
        <v>153</v>
      </c>
      <c r="D37" s="1">
        <v>6.0</v>
      </c>
      <c r="E37" s="4" t="s">
        <v>154</v>
      </c>
      <c r="F37" s="1" t="s">
        <v>43</v>
      </c>
      <c r="G37" s="2">
        <v>0.0</v>
      </c>
      <c r="H37" s="1" t="s">
        <v>97</v>
      </c>
      <c r="I37" s="4" t="s">
        <v>98</v>
      </c>
      <c r="J37" s="1" t="s">
        <v>3300</v>
      </c>
    </row>
    <row r="38">
      <c r="A38" s="1" t="s">
        <v>54</v>
      </c>
      <c r="B38" s="1" t="s">
        <v>155</v>
      </c>
      <c r="C38" s="1" t="s">
        <v>156</v>
      </c>
      <c r="D38" s="1">
        <v>7.0</v>
      </c>
      <c r="E38" s="4" t="s">
        <v>157</v>
      </c>
      <c r="F38" s="1" t="s">
        <v>43</v>
      </c>
      <c r="G38" s="2">
        <v>1.0</v>
      </c>
      <c r="H38" s="1" t="s">
        <v>158</v>
      </c>
      <c r="I38" s="4" t="s">
        <v>159</v>
      </c>
      <c r="J38" s="1" t="s">
        <v>3301</v>
      </c>
    </row>
    <row r="39">
      <c r="A39" s="1" t="s">
        <v>54</v>
      </c>
      <c r="B39" s="1" t="s">
        <v>160</v>
      </c>
      <c r="C39" s="1" t="s">
        <v>161</v>
      </c>
      <c r="D39" s="1">
        <v>8.0</v>
      </c>
      <c r="E39" s="4" t="s">
        <v>162</v>
      </c>
      <c r="F39" s="1" t="s">
        <v>43</v>
      </c>
      <c r="G39" s="2">
        <v>1.0</v>
      </c>
      <c r="H39" s="1" t="s">
        <v>163</v>
      </c>
      <c r="I39" s="4" t="s">
        <v>164</v>
      </c>
      <c r="J39" s="1" t="s">
        <v>3302</v>
      </c>
    </row>
    <row r="40">
      <c r="A40" s="1" t="s">
        <v>54</v>
      </c>
      <c r="B40" s="1" t="s">
        <v>165</v>
      </c>
      <c r="D40" s="1">
        <v>9.0</v>
      </c>
      <c r="E40" s="4" t="s">
        <v>166</v>
      </c>
      <c r="F40" s="1" t="s">
        <v>43</v>
      </c>
      <c r="G40" s="2">
        <v>2.0</v>
      </c>
      <c r="H40" s="1" t="s">
        <v>167</v>
      </c>
      <c r="I40" s="4" t="s">
        <v>168</v>
      </c>
      <c r="J40" s="1" t="s">
        <v>3303</v>
      </c>
    </row>
    <row r="41">
      <c r="A41" s="1" t="s">
        <v>54</v>
      </c>
      <c r="B41" s="1" t="s">
        <v>169</v>
      </c>
      <c r="D41" s="1">
        <v>10.0</v>
      </c>
      <c r="E41" s="4" t="s">
        <v>170</v>
      </c>
      <c r="F41" s="1" t="s">
        <v>43</v>
      </c>
      <c r="G41" s="2">
        <v>1.0</v>
      </c>
      <c r="H41" s="1" t="s">
        <v>171</v>
      </c>
      <c r="I41" s="4" t="s">
        <v>172</v>
      </c>
      <c r="J41" s="1" t="s">
        <v>3304</v>
      </c>
    </row>
    <row r="42">
      <c r="A42" s="1" t="s">
        <v>54</v>
      </c>
      <c r="B42" s="1" t="s">
        <v>173</v>
      </c>
      <c r="C42" s="1" t="s">
        <v>174</v>
      </c>
      <c r="D42" s="1">
        <v>11.0</v>
      </c>
      <c r="E42" s="4" t="s">
        <v>175</v>
      </c>
      <c r="F42" s="1" t="s">
        <v>43</v>
      </c>
      <c r="G42" s="2">
        <v>1.0</v>
      </c>
      <c r="H42" s="1" t="s">
        <v>176</v>
      </c>
      <c r="I42" s="4" t="s">
        <v>177</v>
      </c>
      <c r="J42" s="1" t="s">
        <v>3305</v>
      </c>
    </row>
    <row r="43">
      <c r="A43" s="1" t="s">
        <v>54</v>
      </c>
      <c r="B43" s="1" t="s">
        <v>178</v>
      </c>
      <c r="C43" s="1" t="s">
        <v>179</v>
      </c>
      <c r="D43" s="1">
        <v>12.0</v>
      </c>
      <c r="E43" s="4" t="s">
        <v>180</v>
      </c>
      <c r="F43" s="1" t="s">
        <v>43</v>
      </c>
      <c r="G43" s="2">
        <v>1.0</v>
      </c>
      <c r="H43" s="1" t="s">
        <v>181</v>
      </c>
      <c r="I43" s="4" t="s">
        <v>182</v>
      </c>
      <c r="J43" s="1" t="s">
        <v>3306</v>
      </c>
    </row>
    <row r="44">
      <c r="A44" s="1" t="s">
        <v>54</v>
      </c>
      <c r="B44" s="1" t="s">
        <v>183</v>
      </c>
      <c r="D44" s="1">
        <v>13.0</v>
      </c>
      <c r="E44" s="4" t="s">
        <v>184</v>
      </c>
      <c r="F44" s="1" t="s">
        <v>43</v>
      </c>
      <c r="G44" s="2">
        <v>1.0</v>
      </c>
      <c r="H44" s="1" t="s">
        <v>185</v>
      </c>
      <c r="I44" s="4" t="s">
        <v>186</v>
      </c>
      <c r="J44" s="1" t="s">
        <v>3307</v>
      </c>
    </row>
    <row r="45">
      <c r="A45" s="1" t="s">
        <v>54</v>
      </c>
      <c r="B45" s="1" t="s">
        <v>187</v>
      </c>
      <c r="D45" s="1">
        <v>14.0</v>
      </c>
      <c r="E45" s="4" t="s">
        <v>188</v>
      </c>
      <c r="F45" s="1" t="s">
        <v>43</v>
      </c>
      <c r="G45" s="2">
        <v>1.0</v>
      </c>
      <c r="H45" s="1" t="s">
        <v>189</v>
      </c>
      <c r="I45" s="4" t="s">
        <v>190</v>
      </c>
      <c r="J45" s="1" t="s">
        <v>3308</v>
      </c>
    </row>
    <row r="46">
      <c r="A46" s="1" t="s">
        <v>54</v>
      </c>
      <c r="B46" s="1" t="s">
        <v>55</v>
      </c>
      <c r="D46" s="1">
        <v>15.0</v>
      </c>
      <c r="E46" s="4" t="s">
        <v>191</v>
      </c>
      <c r="F46" s="1" t="s">
        <v>43</v>
      </c>
      <c r="G46" s="2"/>
      <c r="J46" s="1" t="s">
        <v>3269</v>
      </c>
    </row>
    <row r="47">
      <c r="A47" s="1" t="s">
        <v>54</v>
      </c>
      <c r="B47" s="1" t="s">
        <v>192</v>
      </c>
      <c r="C47" s="1" t="s">
        <v>179</v>
      </c>
      <c r="D47" s="1">
        <v>16.0</v>
      </c>
      <c r="E47" s="4" t="s">
        <v>193</v>
      </c>
      <c r="F47" s="1" t="s">
        <v>43</v>
      </c>
      <c r="G47" s="2">
        <v>1.0</v>
      </c>
      <c r="H47" s="1" t="s">
        <v>194</v>
      </c>
      <c r="I47" s="4" t="s">
        <v>195</v>
      </c>
      <c r="J47" s="1" t="s">
        <v>3309</v>
      </c>
    </row>
    <row r="48">
      <c r="A48" s="1" t="s">
        <v>54</v>
      </c>
      <c r="B48" s="1" t="s">
        <v>196</v>
      </c>
      <c r="C48" s="1" t="s">
        <v>179</v>
      </c>
      <c r="D48" s="1">
        <v>17.0</v>
      </c>
      <c r="E48" s="4" t="s">
        <v>197</v>
      </c>
      <c r="F48" s="1" t="s">
        <v>43</v>
      </c>
      <c r="G48" s="2">
        <v>1.0</v>
      </c>
      <c r="H48" s="1" t="s">
        <v>198</v>
      </c>
      <c r="I48" s="4" t="s">
        <v>199</v>
      </c>
      <c r="J48" s="1" t="s">
        <v>3310</v>
      </c>
    </row>
    <row r="49">
      <c r="A49" s="1" t="s">
        <v>54</v>
      </c>
      <c r="B49" s="1" t="s">
        <v>200</v>
      </c>
      <c r="D49" s="1">
        <v>18.0</v>
      </c>
      <c r="E49" s="4" t="s">
        <v>201</v>
      </c>
      <c r="F49" s="1" t="s">
        <v>43</v>
      </c>
      <c r="G49" s="2">
        <v>1.0</v>
      </c>
      <c r="H49" s="1" t="s">
        <v>202</v>
      </c>
      <c r="I49" s="4" t="s">
        <v>203</v>
      </c>
      <c r="J49" s="1" t="s">
        <v>3311</v>
      </c>
    </row>
    <row r="50">
      <c r="A50" s="1" t="s">
        <v>204</v>
      </c>
      <c r="B50" s="1" t="s">
        <v>205</v>
      </c>
      <c r="D50" s="1">
        <v>1.0</v>
      </c>
      <c r="E50" s="4" t="s">
        <v>206</v>
      </c>
      <c r="F50" s="1" t="s">
        <v>16</v>
      </c>
      <c r="G50" s="2">
        <v>0.0</v>
      </c>
      <c r="H50" s="1" t="s">
        <v>38</v>
      </c>
      <c r="I50" s="4" t="s">
        <v>39</v>
      </c>
      <c r="J50" s="1" t="s">
        <v>3312</v>
      </c>
    </row>
    <row r="51">
      <c r="A51" s="1" t="s">
        <v>204</v>
      </c>
      <c r="B51" s="1" t="s">
        <v>207</v>
      </c>
      <c r="C51" s="1" t="s">
        <v>208</v>
      </c>
      <c r="D51" s="1">
        <v>2.0</v>
      </c>
      <c r="E51" s="4" t="s">
        <v>209</v>
      </c>
      <c r="F51" s="1" t="s">
        <v>16</v>
      </c>
      <c r="G51" s="2">
        <v>0.0</v>
      </c>
      <c r="H51" s="1" t="s">
        <v>31</v>
      </c>
      <c r="I51" s="4" t="s">
        <v>32</v>
      </c>
      <c r="J51" s="1" t="s">
        <v>3313</v>
      </c>
    </row>
    <row r="52">
      <c r="A52" s="1" t="s">
        <v>204</v>
      </c>
      <c r="B52" s="1" t="s">
        <v>210</v>
      </c>
      <c r="C52" s="1" t="s">
        <v>211</v>
      </c>
      <c r="D52" s="1">
        <v>3.0</v>
      </c>
      <c r="E52" s="4" t="s">
        <v>212</v>
      </c>
      <c r="F52" s="1" t="s">
        <v>16</v>
      </c>
      <c r="G52" s="2">
        <v>3.0</v>
      </c>
      <c r="H52" s="1" t="s">
        <v>120</v>
      </c>
      <c r="I52" s="4" t="s">
        <v>121</v>
      </c>
      <c r="J52" s="1" t="s">
        <v>3314</v>
      </c>
    </row>
    <row r="53">
      <c r="A53" s="1" t="s">
        <v>204</v>
      </c>
      <c r="B53" s="1" t="s">
        <v>213</v>
      </c>
      <c r="C53" s="1" t="s">
        <v>214</v>
      </c>
      <c r="D53" s="1">
        <v>4.0</v>
      </c>
      <c r="E53" s="4" t="s">
        <v>215</v>
      </c>
      <c r="F53" s="1" t="s">
        <v>16</v>
      </c>
      <c r="G53" s="2">
        <v>1.0</v>
      </c>
      <c r="H53" s="1" t="s">
        <v>216</v>
      </c>
      <c r="I53" s="4" t="s">
        <v>217</v>
      </c>
      <c r="J53" s="1" t="s">
        <v>3315</v>
      </c>
    </row>
    <row r="54">
      <c r="A54" s="1" t="s">
        <v>204</v>
      </c>
      <c r="B54" s="1" t="s">
        <v>218</v>
      </c>
      <c r="C54" s="1" t="s">
        <v>219</v>
      </c>
      <c r="D54" s="1">
        <v>5.0</v>
      </c>
      <c r="E54" s="4" t="s">
        <v>220</v>
      </c>
      <c r="F54" s="1" t="s">
        <v>16</v>
      </c>
      <c r="G54" s="2">
        <v>5.0</v>
      </c>
      <c r="H54" s="1" t="s">
        <v>221</v>
      </c>
      <c r="I54" s="4" t="s">
        <v>222</v>
      </c>
      <c r="J54" s="1" t="s">
        <v>3316</v>
      </c>
    </row>
    <row r="55">
      <c r="A55" s="1" t="s">
        <v>204</v>
      </c>
      <c r="B55" s="1" t="s">
        <v>223</v>
      </c>
      <c r="C55" s="1" t="s">
        <v>224</v>
      </c>
      <c r="D55" s="1">
        <v>6.0</v>
      </c>
      <c r="E55" s="4" t="s">
        <v>225</v>
      </c>
      <c r="F55" s="1" t="s">
        <v>16</v>
      </c>
      <c r="G55" s="2">
        <v>5.0</v>
      </c>
      <c r="J55" s="1" t="s">
        <v>3317</v>
      </c>
    </row>
    <row r="56">
      <c r="A56" s="1" t="s">
        <v>204</v>
      </c>
      <c r="B56" s="1" t="s">
        <v>226</v>
      </c>
      <c r="D56" s="1">
        <v>7.0</v>
      </c>
      <c r="E56" s="4" t="s">
        <v>227</v>
      </c>
      <c r="F56" s="1" t="s">
        <v>16</v>
      </c>
      <c r="G56" s="2">
        <v>0.0</v>
      </c>
      <c r="H56" s="1" t="s">
        <v>228</v>
      </c>
      <c r="I56" s="4" t="s">
        <v>229</v>
      </c>
      <c r="J56" s="1" t="s">
        <v>3318</v>
      </c>
    </row>
    <row r="57">
      <c r="A57" s="1" t="s">
        <v>204</v>
      </c>
      <c r="B57" s="1" t="s">
        <v>230</v>
      </c>
      <c r="D57" s="1">
        <v>8.0</v>
      </c>
      <c r="E57" s="4" t="s">
        <v>231</v>
      </c>
      <c r="F57" s="1" t="s">
        <v>16</v>
      </c>
      <c r="G57" s="2">
        <v>0.0</v>
      </c>
      <c r="H57" s="1" t="s">
        <v>228</v>
      </c>
      <c r="I57" s="4" t="s">
        <v>229</v>
      </c>
      <c r="J57" s="1" t="s">
        <v>3319</v>
      </c>
    </row>
    <row r="58">
      <c r="A58" s="1" t="s">
        <v>204</v>
      </c>
      <c r="B58" s="1" t="s">
        <v>232</v>
      </c>
      <c r="C58" s="1" t="s">
        <v>113</v>
      </c>
      <c r="D58" s="1">
        <v>9.0</v>
      </c>
      <c r="E58" s="4" t="s">
        <v>233</v>
      </c>
      <c r="F58" s="1" t="s">
        <v>16</v>
      </c>
      <c r="G58" s="2">
        <v>5.0</v>
      </c>
      <c r="J58" s="1" t="s">
        <v>3317</v>
      </c>
    </row>
    <row r="59">
      <c r="A59" s="1" t="s">
        <v>204</v>
      </c>
      <c r="B59" s="1" t="s">
        <v>234</v>
      </c>
      <c r="D59" s="1">
        <v>10.0</v>
      </c>
      <c r="E59" s="4" t="s">
        <v>235</v>
      </c>
      <c r="F59" s="1" t="s">
        <v>16</v>
      </c>
      <c r="G59" s="2">
        <v>0.0</v>
      </c>
      <c r="H59" s="1" t="s">
        <v>228</v>
      </c>
      <c r="I59" s="4" t="s">
        <v>229</v>
      </c>
      <c r="J59" s="1" t="s">
        <v>3320</v>
      </c>
    </row>
    <row r="60">
      <c r="A60" s="1" t="s">
        <v>204</v>
      </c>
      <c r="B60" s="1" t="s">
        <v>236</v>
      </c>
      <c r="C60" s="1" t="s">
        <v>153</v>
      </c>
      <c r="D60" s="1">
        <v>11.0</v>
      </c>
      <c r="E60" s="4" t="s">
        <v>237</v>
      </c>
      <c r="F60" s="1" t="s">
        <v>16</v>
      </c>
      <c r="G60" s="2">
        <v>5.0</v>
      </c>
      <c r="H60" s="1" t="s">
        <v>238</v>
      </c>
      <c r="I60" s="4" t="s">
        <v>239</v>
      </c>
      <c r="J60" s="1" t="s">
        <v>3321</v>
      </c>
    </row>
    <row r="61">
      <c r="A61" s="1" t="s">
        <v>204</v>
      </c>
      <c r="B61" s="1" t="s">
        <v>240</v>
      </c>
      <c r="C61" s="1" t="s">
        <v>113</v>
      </c>
      <c r="D61" s="1">
        <v>12.0</v>
      </c>
      <c r="E61" s="4" t="s">
        <v>241</v>
      </c>
      <c r="F61" s="1" t="s">
        <v>16</v>
      </c>
      <c r="G61" s="2">
        <v>5.0</v>
      </c>
      <c r="H61" s="1" t="s">
        <v>242</v>
      </c>
      <c r="I61" s="4" t="s">
        <v>243</v>
      </c>
      <c r="J61" s="1" t="s">
        <v>3322</v>
      </c>
    </row>
    <row r="62">
      <c r="A62" s="1" t="s">
        <v>204</v>
      </c>
      <c r="B62" s="1" t="s">
        <v>244</v>
      </c>
      <c r="C62" s="1" t="s">
        <v>113</v>
      </c>
      <c r="D62" s="1">
        <v>13.0</v>
      </c>
      <c r="E62" s="4" t="s">
        <v>245</v>
      </c>
      <c r="F62" s="1" t="s">
        <v>16</v>
      </c>
      <c r="G62" s="2">
        <v>5.0</v>
      </c>
      <c r="H62" s="1" t="s">
        <v>246</v>
      </c>
      <c r="I62" s="4" t="s">
        <v>247</v>
      </c>
      <c r="J62" s="1" t="s">
        <v>3323</v>
      </c>
    </row>
    <row r="63">
      <c r="A63" s="1" t="s">
        <v>204</v>
      </c>
      <c r="B63" s="1" t="s">
        <v>248</v>
      </c>
      <c r="D63" s="1">
        <v>14.0</v>
      </c>
      <c r="E63" s="4" t="s">
        <v>249</v>
      </c>
      <c r="F63" s="1" t="s">
        <v>16</v>
      </c>
      <c r="G63" s="2">
        <v>2.0</v>
      </c>
      <c r="H63" s="1" t="s">
        <v>228</v>
      </c>
      <c r="I63" s="4" t="s">
        <v>229</v>
      </c>
      <c r="J63" s="1" t="s">
        <v>3324</v>
      </c>
    </row>
    <row r="64">
      <c r="A64" s="1" t="s">
        <v>204</v>
      </c>
      <c r="B64" s="1" t="s">
        <v>250</v>
      </c>
      <c r="D64" s="1">
        <v>15.0</v>
      </c>
      <c r="E64" s="4" t="s">
        <v>251</v>
      </c>
      <c r="F64" s="1" t="s">
        <v>16</v>
      </c>
      <c r="G64" s="2">
        <v>2.0</v>
      </c>
      <c r="H64" s="1" t="s">
        <v>228</v>
      </c>
      <c r="I64" s="4" t="s">
        <v>229</v>
      </c>
      <c r="J64" s="1" t="s">
        <v>3325</v>
      </c>
    </row>
    <row r="65">
      <c r="A65" s="1" t="s">
        <v>204</v>
      </c>
      <c r="B65" s="1" t="s">
        <v>252</v>
      </c>
      <c r="C65" s="1" t="s">
        <v>179</v>
      </c>
      <c r="D65" s="1">
        <v>16.0</v>
      </c>
      <c r="E65" s="4" t="s">
        <v>253</v>
      </c>
      <c r="F65" s="1" t="s">
        <v>16</v>
      </c>
      <c r="G65" s="2">
        <v>1.0</v>
      </c>
      <c r="J65" s="1" t="s">
        <v>3326</v>
      </c>
    </row>
    <row r="66">
      <c r="A66" s="1" t="s">
        <v>204</v>
      </c>
      <c r="B66" s="1" t="s">
        <v>254</v>
      </c>
      <c r="D66" s="1">
        <v>17.0</v>
      </c>
      <c r="E66" s="4" t="s">
        <v>255</v>
      </c>
      <c r="F66" s="1" t="s">
        <v>16</v>
      </c>
      <c r="G66" s="2">
        <v>0.0</v>
      </c>
      <c r="H66" s="1" t="s">
        <v>228</v>
      </c>
      <c r="I66" s="4" t="s">
        <v>229</v>
      </c>
      <c r="J66" s="1" t="s">
        <v>3327</v>
      </c>
    </row>
    <row r="67">
      <c r="A67" s="1" t="s">
        <v>204</v>
      </c>
      <c r="B67" s="1" t="s">
        <v>256</v>
      </c>
      <c r="D67" s="1">
        <v>18.0</v>
      </c>
      <c r="E67" s="4" t="s">
        <v>257</v>
      </c>
      <c r="F67" s="1" t="s">
        <v>16</v>
      </c>
      <c r="G67" s="2">
        <v>0.0</v>
      </c>
      <c r="H67" s="1" t="s">
        <v>228</v>
      </c>
      <c r="I67" s="4" t="s">
        <v>229</v>
      </c>
      <c r="J67" s="1" t="s">
        <v>3328</v>
      </c>
    </row>
    <row r="68">
      <c r="A68" s="1" t="s">
        <v>204</v>
      </c>
      <c r="B68" s="1" t="s">
        <v>258</v>
      </c>
      <c r="D68" s="1">
        <v>1.0</v>
      </c>
      <c r="E68" s="4" t="s">
        <v>259</v>
      </c>
      <c r="F68" s="1" t="s">
        <v>43</v>
      </c>
      <c r="G68" s="2">
        <v>0.0</v>
      </c>
      <c r="H68" s="1" t="s">
        <v>38</v>
      </c>
      <c r="I68" s="4" t="s">
        <v>39</v>
      </c>
      <c r="J68" s="1" t="s">
        <v>3312</v>
      </c>
    </row>
    <row r="69">
      <c r="A69" s="1" t="s">
        <v>204</v>
      </c>
      <c r="B69" s="1" t="s">
        <v>207</v>
      </c>
      <c r="C69" s="1" t="s">
        <v>260</v>
      </c>
      <c r="D69" s="1">
        <v>3.0</v>
      </c>
      <c r="E69" s="4" t="s">
        <v>261</v>
      </c>
      <c r="F69" s="1" t="s">
        <v>43</v>
      </c>
      <c r="G69" s="2">
        <v>0.0</v>
      </c>
      <c r="H69" s="1" t="s">
        <v>27</v>
      </c>
      <c r="I69" s="4" t="s">
        <v>28</v>
      </c>
      <c r="J69" s="1" t="s">
        <v>3329</v>
      </c>
    </row>
    <row r="70">
      <c r="A70" s="1" t="s">
        <v>204</v>
      </c>
      <c r="B70" s="1" t="s">
        <v>262</v>
      </c>
      <c r="C70" s="1" t="s">
        <v>263</v>
      </c>
      <c r="D70" s="1">
        <v>4.0</v>
      </c>
      <c r="E70" s="4" t="s">
        <v>264</v>
      </c>
      <c r="F70" s="1" t="s">
        <v>43</v>
      </c>
      <c r="G70" s="2">
        <v>0.0</v>
      </c>
      <c r="H70" s="1" t="s">
        <v>97</v>
      </c>
      <c r="I70" s="4" t="s">
        <v>98</v>
      </c>
      <c r="J70" s="1" t="s">
        <v>3330</v>
      </c>
    </row>
    <row r="71">
      <c r="A71" s="1" t="s">
        <v>204</v>
      </c>
      <c r="B71" s="1" t="s">
        <v>265</v>
      </c>
      <c r="C71" s="1" t="s">
        <v>266</v>
      </c>
      <c r="D71" s="1">
        <v>5.0</v>
      </c>
      <c r="E71" s="4" t="s">
        <v>267</v>
      </c>
      <c r="F71" s="1" t="s">
        <v>43</v>
      </c>
      <c r="G71" s="2">
        <v>2.0</v>
      </c>
      <c r="H71" s="1" t="s">
        <v>268</v>
      </c>
      <c r="I71" s="1" t="s">
        <v>269</v>
      </c>
      <c r="J71" s="1" t="s">
        <v>3331</v>
      </c>
    </row>
    <row r="72">
      <c r="A72" s="1" t="s">
        <v>204</v>
      </c>
      <c r="B72" s="1" t="s">
        <v>270</v>
      </c>
      <c r="C72" s="1" t="s">
        <v>271</v>
      </c>
      <c r="D72" s="1">
        <v>6.0</v>
      </c>
      <c r="E72" s="4" t="s">
        <v>272</v>
      </c>
      <c r="F72" s="1" t="s">
        <v>43</v>
      </c>
      <c r="G72" s="2">
        <v>1.0</v>
      </c>
      <c r="H72" s="1" t="s">
        <v>273</v>
      </c>
      <c r="I72" s="4" t="s">
        <v>274</v>
      </c>
      <c r="J72" s="1" t="s">
        <v>3332</v>
      </c>
    </row>
    <row r="73">
      <c r="A73" s="1" t="s">
        <v>204</v>
      </c>
      <c r="B73" s="1" t="s">
        <v>275</v>
      </c>
      <c r="C73" s="1" t="s">
        <v>276</v>
      </c>
      <c r="D73" s="1">
        <v>7.0</v>
      </c>
      <c r="E73" s="4" t="s">
        <v>277</v>
      </c>
      <c r="F73" s="1" t="s">
        <v>43</v>
      </c>
      <c r="G73" s="2">
        <v>0.0</v>
      </c>
      <c r="H73" s="1" t="s">
        <v>278</v>
      </c>
      <c r="I73" s="4" t="s">
        <v>279</v>
      </c>
      <c r="J73" s="1" t="s">
        <v>3333</v>
      </c>
    </row>
    <row r="74">
      <c r="A74" s="1" t="s">
        <v>204</v>
      </c>
      <c r="B74" s="1" t="s">
        <v>280</v>
      </c>
      <c r="C74" s="1" t="s">
        <v>281</v>
      </c>
      <c r="D74" s="1">
        <v>8.0</v>
      </c>
      <c r="E74" s="4" t="s">
        <v>282</v>
      </c>
      <c r="F74" s="1" t="s">
        <v>43</v>
      </c>
      <c r="G74" s="2">
        <v>0.0</v>
      </c>
      <c r="H74" s="1" t="s">
        <v>216</v>
      </c>
      <c r="I74" s="4" t="s">
        <v>217</v>
      </c>
      <c r="J74" s="1" t="s">
        <v>3334</v>
      </c>
    </row>
    <row r="75">
      <c r="A75" s="1" t="s">
        <v>204</v>
      </c>
      <c r="B75" s="1" t="s">
        <v>207</v>
      </c>
      <c r="D75" s="1">
        <v>9.0</v>
      </c>
      <c r="E75" s="4" t="s">
        <v>283</v>
      </c>
      <c r="F75" s="1" t="s">
        <v>43</v>
      </c>
      <c r="G75" s="2">
        <v>0.0</v>
      </c>
      <c r="H75" s="1" t="s">
        <v>284</v>
      </c>
      <c r="I75" s="4" t="s">
        <v>285</v>
      </c>
      <c r="J75" s="1" t="s">
        <v>3335</v>
      </c>
    </row>
    <row r="76">
      <c r="A76" s="1" t="s">
        <v>204</v>
      </c>
      <c r="B76" s="1" t="s">
        <v>286</v>
      </c>
      <c r="C76" s="1" t="s">
        <v>287</v>
      </c>
      <c r="D76" s="1">
        <v>10.0</v>
      </c>
      <c r="E76" s="4" t="s">
        <v>288</v>
      </c>
      <c r="F76" s="1" t="s">
        <v>43</v>
      </c>
      <c r="G76" s="2">
        <v>3.0</v>
      </c>
      <c r="J76" s="1" t="s">
        <v>207</v>
      </c>
    </row>
    <row r="77">
      <c r="A77" s="1" t="s">
        <v>204</v>
      </c>
      <c r="B77" s="1" t="s">
        <v>289</v>
      </c>
      <c r="C77" s="1" t="s">
        <v>290</v>
      </c>
      <c r="D77" s="1">
        <v>11.0</v>
      </c>
      <c r="E77" s="4" t="s">
        <v>291</v>
      </c>
      <c r="F77" s="1" t="s">
        <v>43</v>
      </c>
      <c r="G77" s="2">
        <v>0.0</v>
      </c>
      <c r="H77" s="1" t="s">
        <v>216</v>
      </c>
      <c r="I77" s="4" t="s">
        <v>217</v>
      </c>
      <c r="J77" s="1" t="s">
        <v>3336</v>
      </c>
    </row>
    <row r="78">
      <c r="A78" s="1" t="s">
        <v>204</v>
      </c>
      <c r="B78" s="1" t="s">
        <v>292</v>
      </c>
      <c r="C78" s="1" t="s">
        <v>293</v>
      </c>
      <c r="D78" s="1">
        <v>12.0</v>
      </c>
      <c r="E78" s="4" t="s">
        <v>294</v>
      </c>
      <c r="F78" s="1" t="s">
        <v>43</v>
      </c>
      <c r="G78" s="2">
        <v>0.0</v>
      </c>
      <c r="H78" s="1" t="s">
        <v>295</v>
      </c>
      <c r="I78" s="4" t="s">
        <v>296</v>
      </c>
      <c r="J78" s="1" t="s">
        <v>3337</v>
      </c>
    </row>
    <row r="79">
      <c r="A79" s="1" t="s">
        <v>204</v>
      </c>
      <c r="B79" s="1" t="s">
        <v>297</v>
      </c>
      <c r="C79" s="1" t="s">
        <v>298</v>
      </c>
      <c r="D79" s="1">
        <v>13.0</v>
      </c>
      <c r="E79" s="4" t="s">
        <v>299</v>
      </c>
      <c r="F79" s="1" t="s">
        <v>43</v>
      </c>
      <c r="G79" s="2">
        <v>1.0</v>
      </c>
      <c r="J79" s="1" t="s">
        <v>3338</v>
      </c>
    </row>
    <row r="80">
      <c r="A80" s="1" t="s">
        <v>204</v>
      </c>
      <c r="B80" s="1" t="s">
        <v>300</v>
      </c>
      <c r="D80" s="1">
        <v>14.0</v>
      </c>
      <c r="E80" s="4" t="s">
        <v>301</v>
      </c>
      <c r="F80" s="1" t="s">
        <v>43</v>
      </c>
      <c r="G80" s="2">
        <v>1.0</v>
      </c>
      <c r="H80" s="1" t="s">
        <v>302</v>
      </c>
      <c r="I80" s="4" t="s">
        <v>303</v>
      </c>
      <c r="J80" s="1" t="s">
        <v>3339</v>
      </c>
    </row>
    <row r="81">
      <c r="A81" s="1" t="s">
        <v>204</v>
      </c>
      <c r="B81" s="1" t="s">
        <v>304</v>
      </c>
      <c r="D81" s="1">
        <v>15.0</v>
      </c>
      <c r="E81" s="4" t="s">
        <v>305</v>
      </c>
      <c r="F81" s="1" t="s">
        <v>43</v>
      </c>
      <c r="G81" s="2">
        <v>1.0</v>
      </c>
      <c r="H81" s="1" t="s">
        <v>302</v>
      </c>
      <c r="I81" s="4" t="s">
        <v>303</v>
      </c>
      <c r="J81" s="1" t="s">
        <v>3340</v>
      </c>
    </row>
    <row r="82">
      <c r="A82" s="1" t="s">
        <v>204</v>
      </c>
      <c r="B82" s="1" t="s">
        <v>306</v>
      </c>
      <c r="C82" s="1" t="s">
        <v>307</v>
      </c>
      <c r="D82" s="1">
        <v>16.0</v>
      </c>
      <c r="E82" s="4" t="s">
        <v>308</v>
      </c>
      <c r="F82" s="1" t="s">
        <v>43</v>
      </c>
      <c r="G82" s="2">
        <v>3.0</v>
      </c>
      <c r="H82" s="1" t="s">
        <v>309</v>
      </c>
      <c r="I82" s="4" t="s">
        <v>310</v>
      </c>
      <c r="J82" s="1" t="s">
        <v>3341</v>
      </c>
    </row>
    <row r="83">
      <c r="A83" s="1" t="s">
        <v>204</v>
      </c>
      <c r="B83" s="1" t="s">
        <v>311</v>
      </c>
      <c r="C83" s="1" t="s">
        <v>312</v>
      </c>
      <c r="D83" s="1">
        <v>23.0</v>
      </c>
      <c r="E83" s="4" t="s">
        <v>313</v>
      </c>
      <c r="F83" s="1" t="s">
        <v>43</v>
      </c>
      <c r="G83" s="2">
        <v>1.0</v>
      </c>
      <c r="H83" s="1" t="s">
        <v>27</v>
      </c>
      <c r="I83" s="4" t="s">
        <v>28</v>
      </c>
      <c r="J83" s="1" t="s">
        <v>3342</v>
      </c>
    </row>
    <row r="84">
      <c r="A84" s="1" t="s">
        <v>204</v>
      </c>
      <c r="B84" s="1" t="s">
        <v>314</v>
      </c>
      <c r="C84" s="1" t="s">
        <v>315</v>
      </c>
      <c r="D84" s="1">
        <v>27.0</v>
      </c>
      <c r="E84" s="4" t="s">
        <v>316</v>
      </c>
      <c r="F84" s="1" t="s">
        <v>43</v>
      </c>
      <c r="G84" s="2">
        <v>1.0</v>
      </c>
      <c r="H84" s="1" t="s">
        <v>216</v>
      </c>
      <c r="I84" s="4" t="s">
        <v>217</v>
      </c>
      <c r="J84" s="1" t="s">
        <v>3343</v>
      </c>
    </row>
    <row r="85">
      <c r="A85" s="1" t="s">
        <v>204</v>
      </c>
      <c r="B85" s="1" t="s">
        <v>317</v>
      </c>
      <c r="C85" s="1" t="s">
        <v>113</v>
      </c>
      <c r="D85" s="1">
        <v>28.0</v>
      </c>
      <c r="E85" s="4" t="s">
        <v>318</v>
      </c>
      <c r="F85" s="1" t="s">
        <v>43</v>
      </c>
      <c r="G85" s="2">
        <v>0.0</v>
      </c>
      <c r="H85" s="1" t="s">
        <v>319</v>
      </c>
      <c r="I85" s="4" t="s">
        <v>320</v>
      </c>
      <c r="J85" s="1" t="s">
        <v>3344</v>
      </c>
    </row>
    <row r="86">
      <c r="A86" s="1" t="s">
        <v>204</v>
      </c>
      <c r="B86" s="1" t="s">
        <v>321</v>
      </c>
      <c r="D86" s="1">
        <v>29.0</v>
      </c>
      <c r="E86" s="4" t="s">
        <v>322</v>
      </c>
      <c r="F86" s="1" t="s">
        <v>43</v>
      </c>
      <c r="G86" s="2">
        <v>0.0</v>
      </c>
      <c r="H86" s="1" t="s">
        <v>302</v>
      </c>
      <c r="I86" s="4" t="s">
        <v>303</v>
      </c>
      <c r="J86" s="1" t="s">
        <v>3345</v>
      </c>
    </row>
    <row r="87">
      <c r="A87" s="1" t="s">
        <v>204</v>
      </c>
      <c r="B87" s="1" t="s">
        <v>323</v>
      </c>
      <c r="D87" s="1">
        <v>30.0</v>
      </c>
      <c r="E87" s="4" t="s">
        <v>324</v>
      </c>
      <c r="F87" s="1" t="s">
        <v>43</v>
      </c>
      <c r="G87" s="2">
        <v>1.0</v>
      </c>
      <c r="H87" s="1" t="s">
        <v>302</v>
      </c>
      <c r="I87" s="4" t="s">
        <v>303</v>
      </c>
      <c r="J87" s="1" t="s">
        <v>3346</v>
      </c>
    </row>
    <row r="88">
      <c r="A88" s="1" t="s">
        <v>204</v>
      </c>
      <c r="B88" s="1" t="s">
        <v>325</v>
      </c>
      <c r="C88" s="1" t="s">
        <v>326</v>
      </c>
      <c r="D88" s="1">
        <v>31.0</v>
      </c>
      <c r="E88" s="4" t="s">
        <v>327</v>
      </c>
      <c r="F88" s="1" t="s">
        <v>43</v>
      </c>
      <c r="G88" s="2">
        <v>3.0</v>
      </c>
      <c r="H88" s="1" t="s">
        <v>328</v>
      </c>
      <c r="I88" s="4" t="s">
        <v>329</v>
      </c>
      <c r="J88" s="1" t="s">
        <v>3347</v>
      </c>
    </row>
    <row r="89">
      <c r="A89" s="1" t="s">
        <v>204</v>
      </c>
      <c r="B89" s="1" t="s">
        <v>330</v>
      </c>
      <c r="D89" s="1">
        <v>32.0</v>
      </c>
      <c r="E89" s="4" t="s">
        <v>331</v>
      </c>
      <c r="F89" s="1" t="s">
        <v>43</v>
      </c>
      <c r="G89" s="2">
        <v>0.0</v>
      </c>
      <c r="H89" s="1" t="s">
        <v>302</v>
      </c>
      <c r="I89" s="4" t="s">
        <v>303</v>
      </c>
      <c r="J89" s="1" t="s">
        <v>3348</v>
      </c>
    </row>
    <row r="90">
      <c r="A90" s="1" t="s">
        <v>332</v>
      </c>
      <c r="B90" s="1" t="s">
        <v>333</v>
      </c>
      <c r="C90" s="1" t="s">
        <v>334</v>
      </c>
      <c r="D90" s="1">
        <v>1.0</v>
      </c>
      <c r="E90" s="4" t="s">
        <v>335</v>
      </c>
      <c r="F90" s="1" t="s">
        <v>16</v>
      </c>
      <c r="G90" s="2">
        <v>1.0</v>
      </c>
      <c r="H90" s="1" t="s">
        <v>336</v>
      </c>
      <c r="I90" s="4" t="s">
        <v>337</v>
      </c>
      <c r="J90" s="1" t="s">
        <v>3349</v>
      </c>
    </row>
    <row r="91">
      <c r="A91" s="1" t="s">
        <v>332</v>
      </c>
      <c r="B91" s="1" t="s">
        <v>338</v>
      </c>
      <c r="C91" s="1" t="s">
        <v>339</v>
      </c>
      <c r="D91" s="1">
        <v>2.0</v>
      </c>
      <c r="E91" s="4" t="s">
        <v>340</v>
      </c>
      <c r="F91" s="1" t="s">
        <v>16</v>
      </c>
      <c r="G91" s="2">
        <v>0.0</v>
      </c>
      <c r="H91" s="1" t="s">
        <v>31</v>
      </c>
      <c r="I91" s="4" t="s">
        <v>32</v>
      </c>
      <c r="J91" s="1" t="s">
        <v>3350</v>
      </c>
    </row>
    <row r="92">
      <c r="A92" s="1" t="s">
        <v>332</v>
      </c>
      <c r="B92" s="1" t="s">
        <v>341</v>
      </c>
      <c r="C92" s="1" t="s">
        <v>342</v>
      </c>
      <c r="D92" s="1">
        <v>3.0</v>
      </c>
      <c r="E92" s="4" t="s">
        <v>343</v>
      </c>
      <c r="F92" s="1" t="s">
        <v>16</v>
      </c>
      <c r="G92" s="2">
        <v>1.0</v>
      </c>
      <c r="H92" s="1" t="s">
        <v>344</v>
      </c>
      <c r="I92" s="4" t="s">
        <v>345</v>
      </c>
      <c r="J92" s="1" t="s">
        <v>3351</v>
      </c>
    </row>
    <row r="93">
      <c r="A93" s="1" t="s">
        <v>332</v>
      </c>
      <c r="B93" s="1" t="s">
        <v>346</v>
      </c>
      <c r="C93" s="1" t="s">
        <v>347</v>
      </c>
      <c r="D93" s="1">
        <v>4.0</v>
      </c>
      <c r="E93" s="4" t="s">
        <v>348</v>
      </c>
      <c r="F93" s="1" t="s">
        <v>16</v>
      </c>
      <c r="G93" s="2">
        <v>1.0</v>
      </c>
      <c r="H93" s="1" t="s">
        <v>349</v>
      </c>
      <c r="I93" s="4" t="s">
        <v>350</v>
      </c>
      <c r="J93" s="1" t="s">
        <v>3352</v>
      </c>
    </row>
    <row r="94">
      <c r="A94" s="1" t="s">
        <v>332</v>
      </c>
      <c r="B94" s="1" t="s">
        <v>351</v>
      </c>
      <c r="C94" s="1" t="s">
        <v>352</v>
      </c>
      <c r="D94" s="1">
        <v>5.0</v>
      </c>
      <c r="E94" s="4" t="s">
        <v>353</v>
      </c>
      <c r="F94" s="1" t="s">
        <v>16</v>
      </c>
      <c r="G94" s="2">
        <v>2.0</v>
      </c>
      <c r="H94" s="1" t="s">
        <v>354</v>
      </c>
      <c r="I94" s="4" t="s">
        <v>355</v>
      </c>
      <c r="J94" s="1" t="s">
        <v>3353</v>
      </c>
    </row>
    <row r="95">
      <c r="A95" s="1" t="s">
        <v>332</v>
      </c>
      <c r="B95" s="1" t="s">
        <v>356</v>
      </c>
      <c r="C95" s="1" t="s">
        <v>357</v>
      </c>
      <c r="D95" s="1">
        <v>6.0</v>
      </c>
      <c r="E95" s="4" t="s">
        <v>358</v>
      </c>
      <c r="F95" s="1" t="s">
        <v>16</v>
      </c>
      <c r="G95" s="2">
        <v>4.0</v>
      </c>
      <c r="H95" s="1" t="s">
        <v>359</v>
      </c>
      <c r="I95" s="4" t="s">
        <v>360</v>
      </c>
      <c r="J95" s="1" t="s">
        <v>3354</v>
      </c>
    </row>
    <row r="96">
      <c r="A96" s="1" t="s">
        <v>332</v>
      </c>
      <c r="B96" s="1" t="s">
        <v>361</v>
      </c>
      <c r="C96" s="1" t="s">
        <v>362</v>
      </c>
      <c r="D96" s="1">
        <v>7.0</v>
      </c>
      <c r="E96" s="4" t="s">
        <v>363</v>
      </c>
      <c r="F96" s="1" t="s">
        <v>16</v>
      </c>
      <c r="G96" s="2">
        <v>1.0</v>
      </c>
      <c r="H96" s="1" t="s">
        <v>364</v>
      </c>
      <c r="I96" s="4" t="s">
        <v>365</v>
      </c>
      <c r="J96" s="1" t="s">
        <v>3355</v>
      </c>
    </row>
    <row r="97">
      <c r="A97" s="1" t="s">
        <v>332</v>
      </c>
      <c r="B97" s="1" t="s">
        <v>366</v>
      </c>
      <c r="D97" s="1">
        <v>8.0</v>
      </c>
      <c r="E97" s="4" t="s">
        <v>367</v>
      </c>
      <c r="F97" s="1" t="s">
        <v>16</v>
      </c>
      <c r="G97" s="2">
        <v>1.0</v>
      </c>
      <c r="H97" s="1" t="s">
        <v>368</v>
      </c>
      <c r="I97" s="4" t="s">
        <v>369</v>
      </c>
      <c r="J97" s="1" t="s">
        <v>3356</v>
      </c>
    </row>
    <row r="98">
      <c r="A98" s="1" t="s">
        <v>332</v>
      </c>
      <c r="B98" s="1" t="s">
        <v>370</v>
      </c>
      <c r="C98" s="1" t="s">
        <v>371</v>
      </c>
      <c r="D98" s="1">
        <v>3.0</v>
      </c>
      <c r="E98" s="4" t="s">
        <v>372</v>
      </c>
      <c r="F98" s="1" t="s">
        <v>43</v>
      </c>
      <c r="G98" s="2">
        <v>0.0</v>
      </c>
      <c r="H98" s="1" t="s">
        <v>27</v>
      </c>
      <c r="I98" s="4" t="s">
        <v>28</v>
      </c>
      <c r="J98" s="1" t="s">
        <v>3357</v>
      </c>
    </row>
    <row r="99">
      <c r="A99" s="1" t="s">
        <v>332</v>
      </c>
      <c r="B99" s="1" t="s">
        <v>373</v>
      </c>
      <c r="C99" s="1" t="s">
        <v>374</v>
      </c>
      <c r="D99" s="1">
        <v>4.0</v>
      </c>
      <c r="E99" s="4" t="s">
        <v>375</v>
      </c>
      <c r="F99" s="1" t="s">
        <v>43</v>
      </c>
      <c r="G99" s="2">
        <v>1.0</v>
      </c>
      <c r="H99" s="1" t="s">
        <v>376</v>
      </c>
      <c r="I99" s="4" t="s">
        <v>377</v>
      </c>
      <c r="J99" s="1" t="s">
        <v>3358</v>
      </c>
    </row>
    <row r="100">
      <c r="A100" s="1" t="s">
        <v>332</v>
      </c>
      <c r="B100" s="1" t="s">
        <v>370</v>
      </c>
      <c r="C100" s="1" t="s">
        <v>378</v>
      </c>
      <c r="D100" s="1">
        <v>5.0</v>
      </c>
      <c r="E100" s="4" t="s">
        <v>379</v>
      </c>
      <c r="F100" s="1" t="s">
        <v>43</v>
      </c>
      <c r="G100" s="2">
        <v>1.0</v>
      </c>
      <c r="H100" s="1" t="s">
        <v>380</v>
      </c>
      <c r="I100" s="4" t="s">
        <v>381</v>
      </c>
      <c r="J100" s="1" t="s">
        <v>3359</v>
      </c>
    </row>
    <row r="101">
      <c r="A101" s="1" t="s">
        <v>332</v>
      </c>
      <c r="B101" s="1" t="s">
        <v>382</v>
      </c>
      <c r="C101" s="1" t="s">
        <v>383</v>
      </c>
      <c r="D101" s="1">
        <v>6.0</v>
      </c>
      <c r="E101" s="4" t="s">
        <v>384</v>
      </c>
      <c r="F101" s="1" t="s">
        <v>43</v>
      </c>
      <c r="G101" s="2">
        <v>1.0</v>
      </c>
      <c r="H101" s="1" t="s">
        <v>385</v>
      </c>
      <c r="I101" s="4" t="s">
        <v>386</v>
      </c>
      <c r="J101" s="1" t="s">
        <v>3360</v>
      </c>
    </row>
    <row r="102">
      <c r="A102" s="1" t="s">
        <v>332</v>
      </c>
      <c r="B102" s="1" t="s">
        <v>370</v>
      </c>
      <c r="C102" s="1" t="s">
        <v>387</v>
      </c>
      <c r="D102" s="1">
        <v>7.0</v>
      </c>
      <c r="E102" s="4" t="s">
        <v>388</v>
      </c>
      <c r="F102" s="1" t="s">
        <v>43</v>
      </c>
      <c r="G102" s="2">
        <v>1.0</v>
      </c>
      <c r="H102" s="1" t="s">
        <v>385</v>
      </c>
      <c r="I102" s="4" t="s">
        <v>386</v>
      </c>
      <c r="J102" s="1" t="s">
        <v>3361</v>
      </c>
    </row>
    <row r="103">
      <c r="A103" s="1" t="s">
        <v>332</v>
      </c>
      <c r="B103" s="1" t="s">
        <v>389</v>
      </c>
      <c r="C103" s="1" t="s">
        <v>390</v>
      </c>
      <c r="D103" s="1">
        <v>8.0</v>
      </c>
      <c r="E103" s="4" t="s">
        <v>391</v>
      </c>
      <c r="F103" s="1" t="s">
        <v>43</v>
      </c>
      <c r="G103" s="2">
        <v>1.0</v>
      </c>
      <c r="H103" s="1" t="s">
        <v>273</v>
      </c>
      <c r="I103" s="4" t="s">
        <v>274</v>
      </c>
      <c r="J103" s="1" t="s">
        <v>3362</v>
      </c>
    </row>
    <row r="104">
      <c r="A104" s="1" t="s">
        <v>332</v>
      </c>
      <c r="B104" s="1" t="s">
        <v>373</v>
      </c>
      <c r="D104" s="1">
        <v>167.0</v>
      </c>
      <c r="E104" s="4" t="s">
        <v>392</v>
      </c>
      <c r="F104" s="1" t="s">
        <v>43</v>
      </c>
      <c r="G104" s="2">
        <v>1.0</v>
      </c>
      <c r="H104" s="1" t="s">
        <v>393</v>
      </c>
      <c r="I104" s="4" t="s">
        <v>394</v>
      </c>
      <c r="J104" s="1" t="s">
        <v>3363</v>
      </c>
    </row>
    <row r="105">
      <c r="A105" s="1" t="s">
        <v>395</v>
      </c>
      <c r="B105" s="1" t="s">
        <v>396</v>
      </c>
      <c r="C105" s="1" t="s">
        <v>397</v>
      </c>
      <c r="D105" s="1">
        <v>1.0</v>
      </c>
      <c r="E105" s="4" t="s">
        <v>398</v>
      </c>
      <c r="F105" s="1" t="s">
        <v>16</v>
      </c>
      <c r="G105" s="2">
        <v>0.0</v>
      </c>
      <c r="H105" s="1" t="s">
        <v>399</v>
      </c>
      <c r="I105" s="4" t="s">
        <v>400</v>
      </c>
      <c r="J105" s="1" t="s">
        <v>3364</v>
      </c>
    </row>
    <row r="106">
      <c r="A106" s="1" t="s">
        <v>395</v>
      </c>
      <c r="B106" s="1" t="s">
        <v>401</v>
      </c>
      <c r="C106" s="1" t="s">
        <v>402</v>
      </c>
      <c r="D106" s="1">
        <v>2.0</v>
      </c>
      <c r="E106" s="4" t="s">
        <v>403</v>
      </c>
      <c r="F106" s="1" t="s">
        <v>16</v>
      </c>
      <c r="G106" s="2">
        <v>0.0</v>
      </c>
      <c r="H106" s="1" t="s">
        <v>399</v>
      </c>
      <c r="I106" s="4" t="s">
        <v>400</v>
      </c>
      <c r="J106" s="1" t="s">
        <v>3365</v>
      </c>
    </row>
    <row r="107">
      <c r="A107" s="1" t="s">
        <v>395</v>
      </c>
      <c r="B107" s="1" t="s">
        <v>404</v>
      </c>
      <c r="C107" s="1" t="s">
        <v>397</v>
      </c>
      <c r="D107" s="1">
        <v>3.0</v>
      </c>
      <c r="E107" s="4" t="s">
        <v>405</v>
      </c>
      <c r="F107" s="1" t="s">
        <v>16</v>
      </c>
      <c r="G107" s="2">
        <v>0.0</v>
      </c>
      <c r="H107" s="1" t="s">
        <v>399</v>
      </c>
      <c r="I107" s="4" t="s">
        <v>400</v>
      </c>
      <c r="J107" s="1" t="s">
        <v>3366</v>
      </c>
    </row>
    <row r="108">
      <c r="A108" s="1" t="s">
        <v>395</v>
      </c>
      <c r="B108" s="1" t="s">
        <v>406</v>
      </c>
      <c r="C108" s="1" t="s">
        <v>407</v>
      </c>
      <c r="D108" s="1">
        <v>4.0</v>
      </c>
      <c r="E108" s="4" t="s">
        <v>408</v>
      </c>
      <c r="F108" s="1" t="s">
        <v>16</v>
      </c>
      <c r="G108" s="2">
        <v>0.0</v>
      </c>
      <c r="H108" s="1" t="s">
        <v>120</v>
      </c>
      <c r="I108" s="4" t="s">
        <v>121</v>
      </c>
      <c r="J108" s="1" t="s">
        <v>3367</v>
      </c>
    </row>
    <row r="109">
      <c r="A109" s="1" t="s">
        <v>395</v>
      </c>
      <c r="B109" s="1" t="s">
        <v>409</v>
      </c>
      <c r="C109" s="1" t="s">
        <v>410</v>
      </c>
      <c r="D109" s="1">
        <v>5.0</v>
      </c>
      <c r="E109" s="4" t="s">
        <v>411</v>
      </c>
      <c r="F109" s="1" t="s">
        <v>16</v>
      </c>
      <c r="G109" s="2">
        <v>4.0</v>
      </c>
      <c r="H109" s="1" t="s">
        <v>34</v>
      </c>
      <c r="I109" s="4" t="s">
        <v>35</v>
      </c>
      <c r="J109" s="1" t="s">
        <v>3368</v>
      </c>
    </row>
    <row r="110">
      <c r="A110" s="1" t="s">
        <v>395</v>
      </c>
      <c r="B110" s="1" t="s">
        <v>412</v>
      </c>
      <c r="C110" s="1" t="s">
        <v>413</v>
      </c>
      <c r="D110" s="1">
        <v>6.0</v>
      </c>
      <c r="E110" s="4" t="s">
        <v>414</v>
      </c>
      <c r="F110" s="1" t="s">
        <v>16</v>
      </c>
      <c r="G110" s="2">
        <v>3.0</v>
      </c>
      <c r="H110" s="1" t="s">
        <v>31</v>
      </c>
      <c r="I110" s="4" t="s">
        <v>32</v>
      </c>
      <c r="J110" s="1" t="s">
        <v>3369</v>
      </c>
    </row>
    <row r="111">
      <c r="A111" s="1" t="s">
        <v>395</v>
      </c>
      <c r="B111" s="1" t="s">
        <v>415</v>
      </c>
      <c r="C111" s="1" t="s">
        <v>416</v>
      </c>
      <c r="D111" s="1">
        <v>7.0</v>
      </c>
      <c r="E111" s="4" t="s">
        <v>417</v>
      </c>
      <c r="F111" s="1" t="s">
        <v>16</v>
      </c>
      <c r="G111" s="2">
        <v>3.0</v>
      </c>
      <c r="H111" s="1" t="s">
        <v>97</v>
      </c>
      <c r="I111" s="4" t="s">
        <v>98</v>
      </c>
      <c r="J111" s="1" t="s">
        <v>3370</v>
      </c>
    </row>
    <row r="112">
      <c r="A112" s="1" t="s">
        <v>395</v>
      </c>
      <c r="B112" s="1" t="s">
        <v>418</v>
      </c>
      <c r="C112" s="1" t="s">
        <v>419</v>
      </c>
      <c r="D112" s="1">
        <v>8.0</v>
      </c>
      <c r="E112" s="4" t="s">
        <v>420</v>
      </c>
      <c r="F112" s="1" t="s">
        <v>16</v>
      </c>
      <c r="G112" s="2">
        <v>1.0</v>
      </c>
      <c r="H112" s="1" t="s">
        <v>421</v>
      </c>
      <c r="I112" s="1" t="s">
        <v>418</v>
      </c>
      <c r="J112" s="1" t="s">
        <v>3371</v>
      </c>
    </row>
    <row r="113">
      <c r="A113" s="1" t="s">
        <v>395</v>
      </c>
      <c r="B113" s="1" t="s">
        <v>422</v>
      </c>
      <c r="C113" s="1" t="s">
        <v>423</v>
      </c>
      <c r="D113" s="1">
        <v>9.0</v>
      </c>
      <c r="E113" s="4" t="s">
        <v>424</v>
      </c>
      <c r="F113" s="1" t="s">
        <v>16</v>
      </c>
      <c r="G113" s="2">
        <v>0.0</v>
      </c>
      <c r="H113" s="1" t="s">
        <v>120</v>
      </c>
      <c r="I113" s="4" t="s">
        <v>121</v>
      </c>
      <c r="J113" s="1" t="s">
        <v>3372</v>
      </c>
    </row>
    <row r="114">
      <c r="A114" s="1" t="s">
        <v>395</v>
      </c>
      <c r="B114" s="1" t="s">
        <v>425</v>
      </c>
      <c r="C114" s="1" t="s">
        <v>426</v>
      </c>
      <c r="D114" s="1">
        <v>10.0</v>
      </c>
      <c r="E114" s="4" t="s">
        <v>427</v>
      </c>
      <c r="F114" s="1" t="s">
        <v>16</v>
      </c>
      <c r="G114" s="2">
        <v>3.0</v>
      </c>
      <c r="H114" s="1" t="s">
        <v>428</v>
      </c>
      <c r="I114" s="4" t="s">
        <v>429</v>
      </c>
      <c r="J114" s="1" t="s">
        <v>3373</v>
      </c>
    </row>
    <row r="115">
      <c r="A115" s="1" t="s">
        <v>395</v>
      </c>
      <c r="B115" s="1" t="s">
        <v>430</v>
      </c>
      <c r="C115" s="1" t="s">
        <v>431</v>
      </c>
      <c r="D115" s="1">
        <v>11.0</v>
      </c>
      <c r="E115" s="4" t="s">
        <v>432</v>
      </c>
      <c r="F115" s="1" t="s">
        <v>16</v>
      </c>
      <c r="G115" s="2">
        <v>2.0</v>
      </c>
      <c r="H115" s="1" t="s">
        <v>273</v>
      </c>
      <c r="I115" s="4" t="s">
        <v>274</v>
      </c>
      <c r="J115" s="1" t="s">
        <v>3374</v>
      </c>
    </row>
    <row r="116">
      <c r="A116" s="1" t="s">
        <v>395</v>
      </c>
      <c r="B116" s="1" t="s">
        <v>433</v>
      </c>
      <c r="C116" s="1" t="s">
        <v>434</v>
      </c>
      <c r="D116" s="1">
        <v>12.0</v>
      </c>
      <c r="E116" s="4" t="s">
        <v>435</v>
      </c>
      <c r="F116" s="1" t="s">
        <v>16</v>
      </c>
      <c r="G116" s="2">
        <v>5.0</v>
      </c>
      <c r="J116" s="1" t="s">
        <v>3375</v>
      </c>
    </row>
    <row r="117">
      <c r="A117" s="1" t="s">
        <v>395</v>
      </c>
      <c r="B117" s="1" t="s">
        <v>436</v>
      </c>
      <c r="C117" s="1" t="s">
        <v>437</v>
      </c>
      <c r="D117" s="1">
        <v>13.0</v>
      </c>
      <c r="E117" s="4" t="s">
        <v>438</v>
      </c>
      <c r="F117" s="1" t="s">
        <v>16</v>
      </c>
      <c r="G117" s="2">
        <v>5.0</v>
      </c>
      <c r="H117" s="1" t="s">
        <v>38</v>
      </c>
      <c r="I117" s="4" t="s">
        <v>39</v>
      </c>
      <c r="J117" s="1" t="s">
        <v>3376</v>
      </c>
    </row>
    <row r="118">
      <c r="A118" s="1" t="s">
        <v>395</v>
      </c>
      <c r="B118" s="1" t="s">
        <v>439</v>
      </c>
      <c r="C118" s="1" t="s">
        <v>440</v>
      </c>
      <c r="D118" s="1">
        <v>14.0</v>
      </c>
      <c r="E118" s="4" t="s">
        <v>441</v>
      </c>
      <c r="F118" s="1" t="s">
        <v>16</v>
      </c>
      <c r="G118" s="2">
        <v>1.0</v>
      </c>
      <c r="J118" s="1" t="str">
        <f>IFERROR(__xludf.DUMMYFUNCTION("GOOGLETRANSLATE(C118)"),"How the leader Avito behaves · Helps the team to succeed, realizing that personal success depends on the success of the team · Trusts his colleagues, gives them his due and ...")</f>
        <v>How the leader Avito behaves · Helps the team to succeed, realizing that personal success depends on the success of the team · Trusts his colleagues, gives them his due and ...</v>
      </c>
    </row>
    <row r="119">
      <c r="A119" s="1" t="s">
        <v>395</v>
      </c>
      <c r="B119" s="1" t="s">
        <v>442</v>
      </c>
      <c r="D119" s="1">
        <v>15.0</v>
      </c>
      <c r="E119" s="4" t="s">
        <v>443</v>
      </c>
      <c r="F119" s="1" t="s">
        <v>16</v>
      </c>
      <c r="G119" s="2">
        <v>2.0</v>
      </c>
      <c r="H119" s="1" t="s">
        <v>444</v>
      </c>
      <c r="I119" s="4" t="s">
        <v>445</v>
      </c>
      <c r="J119" s="1" t="s">
        <v>3377</v>
      </c>
    </row>
    <row r="120">
      <c r="A120" s="1" t="s">
        <v>395</v>
      </c>
      <c r="B120" s="1" t="s">
        <v>446</v>
      </c>
      <c r="D120" s="1">
        <v>16.0</v>
      </c>
      <c r="E120" s="4" t="s">
        <v>447</v>
      </c>
      <c r="F120" s="1" t="s">
        <v>16</v>
      </c>
      <c r="G120" s="2">
        <v>3.0</v>
      </c>
      <c r="H120" s="1" t="s">
        <v>448</v>
      </c>
      <c r="I120" s="4" t="s">
        <v>449</v>
      </c>
      <c r="J120" s="1" t="s">
        <v>3378</v>
      </c>
    </row>
    <row r="121">
      <c r="A121" s="1" t="s">
        <v>395</v>
      </c>
      <c r="B121" s="1" t="s">
        <v>450</v>
      </c>
      <c r="C121" s="1" t="s">
        <v>451</v>
      </c>
      <c r="D121" s="1">
        <v>17.0</v>
      </c>
      <c r="E121" s="4" t="s">
        <v>452</v>
      </c>
      <c r="F121" s="1" t="s">
        <v>16</v>
      </c>
      <c r="G121" s="2">
        <v>4.0</v>
      </c>
      <c r="H121" s="1" t="s">
        <v>336</v>
      </c>
      <c r="I121" s="4" t="s">
        <v>453</v>
      </c>
      <c r="J121" s="1" t="s">
        <v>3379</v>
      </c>
    </row>
    <row r="122">
      <c r="A122" s="1" t="s">
        <v>395</v>
      </c>
      <c r="B122" s="1" t="s">
        <v>454</v>
      </c>
      <c r="C122" s="1" t="s">
        <v>455</v>
      </c>
      <c r="D122" s="1">
        <v>18.0</v>
      </c>
      <c r="E122" s="4" t="s">
        <v>456</v>
      </c>
      <c r="F122" s="1" t="s">
        <v>16</v>
      </c>
      <c r="G122" s="2">
        <v>4.0</v>
      </c>
      <c r="H122" s="1" t="s">
        <v>457</v>
      </c>
      <c r="I122" s="4" t="s">
        <v>458</v>
      </c>
      <c r="J122" s="1" t="s">
        <v>3380</v>
      </c>
    </row>
    <row r="123">
      <c r="A123" s="1" t="s">
        <v>395</v>
      </c>
      <c r="B123" s="1" t="s">
        <v>459</v>
      </c>
      <c r="C123" s="1" t="s">
        <v>460</v>
      </c>
      <c r="D123" s="1">
        <v>4.0</v>
      </c>
      <c r="E123" s="4" t="s">
        <v>461</v>
      </c>
      <c r="F123" s="1" t="s">
        <v>43</v>
      </c>
      <c r="G123" s="2">
        <v>0.0</v>
      </c>
      <c r="H123" s="1" t="s">
        <v>399</v>
      </c>
      <c r="I123" s="4" t="s">
        <v>400</v>
      </c>
      <c r="J123" s="1" t="s">
        <v>3381</v>
      </c>
    </row>
    <row r="124">
      <c r="A124" s="1" t="s">
        <v>395</v>
      </c>
      <c r="B124" s="1" t="s">
        <v>462</v>
      </c>
      <c r="C124" s="1" t="s">
        <v>407</v>
      </c>
      <c r="D124" s="1">
        <v>5.0</v>
      </c>
      <c r="E124" s="4" t="s">
        <v>408</v>
      </c>
      <c r="F124" s="1" t="s">
        <v>43</v>
      </c>
      <c r="G124" s="2">
        <v>0.0</v>
      </c>
      <c r="H124" s="1" t="s">
        <v>120</v>
      </c>
      <c r="I124" s="4" t="s">
        <v>121</v>
      </c>
      <c r="J124" s="1" t="s">
        <v>3382</v>
      </c>
    </row>
    <row r="125">
      <c r="A125" s="1" t="s">
        <v>395</v>
      </c>
      <c r="B125" s="1" t="s">
        <v>463</v>
      </c>
      <c r="D125" s="1">
        <v>9.0</v>
      </c>
      <c r="E125" s="4" t="s">
        <v>464</v>
      </c>
      <c r="F125" s="1" t="s">
        <v>43</v>
      </c>
      <c r="G125" s="2">
        <v>1.0</v>
      </c>
      <c r="H125" s="1" t="s">
        <v>465</v>
      </c>
      <c r="I125" s="4" t="s">
        <v>466</v>
      </c>
      <c r="J125" s="1" t="s">
        <v>3383</v>
      </c>
    </row>
    <row r="126">
      <c r="A126" s="1" t="s">
        <v>395</v>
      </c>
      <c r="B126" s="1" t="s">
        <v>467</v>
      </c>
      <c r="C126" s="1" t="s">
        <v>468</v>
      </c>
      <c r="D126" s="1">
        <v>11.0</v>
      </c>
      <c r="E126" s="4" t="s">
        <v>469</v>
      </c>
      <c r="F126" s="1" t="s">
        <v>43</v>
      </c>
      <c r="G126" s="2">
        <v>1.0</v>
      </c>
      <c r="J126" s="1" t="s">
        <v>468</v>
      </c>
    </row>
    <row r="127">
      <c r="A127" s="1" t="s">
        <v>395</v>
      </c>
      <c r="B127" s="1" t="s">
        <v>470</v>
      </c>
      <c r="D127" s="1">
        <v>12.0</v>
      </c>
      <c r="E127" s="4" t="s">
        <v>471</v>
      </c>
      <c r="F127" s="1" t="s">
        <v>43</v>
      </c>
      <c r="G127" s="2">
        <v>0.0</v>
      </c>
      <c r="H127" s="1" t="s">
        <v>302</v>
      </c>
      <c r="I127" s="4" t="s">
        <v>303</v>
      </c>
      <c r="J127" s="1" t="s">
        <v>3384</v>
      </c>
    </row>
    <row r="128">
      <c r="A128" s="1" t="s">
        <v>395</v>
      </c>
      <c r="B128" s="1" t="s">
        <v>472</v>
      </c>
      <c r="D128" s="1">
        <v>14.0</v>
      </c>
      <c r="E128" s="4" t="s">
        <v>473</v>
      </c>
      <c r="F128" s="1" t="s">
        <v>43</v>
      </c>
      <c r="G128" s="2">
        <v>0.0</v>
      </c>
      <c r="H128" s="1" t="s">
        <v>302</v>
      </c>
      <c r="I128" s="4" t="s">
        <v>303</v>
      </c>
      <c r="J128" s="1" t="s">
        <v>3385</v>
      </c>
    </row>
    <row r="129">
      <c r="A129" s="1" t="s">
        <v>395</v>
      </c>
      <c r="B129" s="1" t="s">
        <v>474</v>
      </c>
      <c r="D129" s="1">
        <v>15.0</v>
      </c>
      <c r="E129" s="4" t="s">
        <v>475</v>
      </c>
      <c r="F129" s="1" t="s">
        <v>43</v>
      </c>
      <c r="G129" s="2">
        <v>3.0</v>
      </c>
      <c r="H129" s="1" t="s">
        <v>273</v>
      </c>
      <c r="I129" s="4" t="s">
        <v>476</v>
      </c>
      <c r="J129" s="1" t="s">
        <v>3386</v>
      </c>
    </row>
    <row r="130">
      <c r="A130" s="1" t="s">
        <v>395</v>
      </c>
      <c r="B130" s="1" t="s">
        <v>477</v>
      </c>
      <c r="D130" s="1">
        <v>16.0</v>
      </c>
      <c r="E130" s="4" t="s">
        <v>478</v>
      </c>
      <c r="F130" s="1" t="s">
        <v>43</v>
      </c>
      <c r="G130" s="2">
        <v>3.0</v>
      </c>
      <c r="H130" s="1" t="s">
        <v>302</v>
      </c>
      <c r="I130" s="4" t="s">
        <v>303</v>
      </c>
      <c r="J130" s="1" t="s">
        <v>3387</v>
      </c>
    </row>
    <row r="131">
      <c r="A131" s="1" t="s">
        <v>395</v>
      </c>
      <c r="B131" s="1" t="s">
        <v>479</v>
      </c>
      <c r="D131" s="1">
        <v>28.0</v>
      </c>
      <c r="E131" s="4" t="s">
        <v>480</v>
      </c>
      <c r="F131" s="1" t="s">
        <v>43</v>
      </c>
      <c r="G131" s="2">
        <v>0.0</v>
      </c>
      <c r="H131" s="1" t="s">
        <v>120</v>
      </c>
      <c r="I131" s="4" t="s">
        <v>121</v>
      </c>
      <c r="J131" s="1" t="s">
        <v>3388</v>
      </c>
    </row>
    <row r="132">
      <c r="A132" s="1" t="s">
        <v>395</v>
      </c>
      <c r="B132" s="1" t="s">
        <v>481</v>
      </c>
      <c r="D132" s="1">
        <v>33.0</v>
      </c>
      <c r="E132" s="4" t="s">
        <v>482</v>
      </c>
      <c r="F132" s="1" t="s">
        <v>43</v>
      </c>
      <c r="G132" s="2">
        <v>3.0</v>
      </c>
      <c r="H132" s="1" t="s">
        <v>302</v>
      </c>
      <c r="I132" s="4" t="s">
        <v>303</v>
      </c>
      <c r="J132" s="1" t="s">
        <v>3389</v>
      </c>
    </row>
    <row r="133">
      <c r="A133" s="1" t="s">
        <v>395</v>
      </c>
      <c r="B133" s="1" t="s">
        <v>477</v>
      </c>
      <c r="D133" s="1">
        <v>35.0</v>
      </c>
      <c r="E133" s="4" t="s">
        <v>483</v>
      </c>
      <c r="F133" s="1" t="s">
        <v>43</v>
      </c>
      <c r="G133" s="2">
        <v>3.0</v>
      </c>
      <c r="H133" s="1" t="s">
        <v>302</v>
      </c>
      <c r="I133" s="4" t="s">
        <v>303</v>
      </c>
      <c r="J133" s="1" t="s">
        <v>3387</v>
      </c>
    </row>
    <row r="134">
      <c r="A134" s="1" t="s">
        <v>484</v>
      </c>
      <c r="B134" s="1" t="s">
        <v>485</v>
      </c>
      <c r="D134" s="1">
        <v>1.0</v>
      </c>
      <c r="E134" s="4" t="s">
        <v>486</v>
      </c>
      <c r="F134" s="1" t="s">
        <v>16</v>
      </c>
      <c r="G134" s="2"/>
      <c r="H134" s="1" t="s">
        <v>487</v>
      </c>
      <c r="I134" s="4" t="s">
        <v>488</v>
      </c>
      <c r="J134" s="1" t="str">
        <f>IFERROR(__xludf.DUMMYFUNCTION("GOOGLETRANSLATE(B134)"),"Wildberries-online store of fashionable clothes and shoes")</f>
        <v>Wildberries-online store of fashionable clothes and shoes</v>
      </c>
    </row>
    <row r="135">
      <c r="A135" s="1" t="s">
        <v>484</v>
      </c>
      <c r="B135" s="1" t="s">
        <v>489</v>
      </c>
      <c r="D135" s="1">
        <v>2.0</v>
      </c>
      <c r="E135" s="4" t="s">
        <v>490</v>
      </c>
      <c r="F135" s="1" t="s">
        <v>16</v>
      </c>
      <c r="G135" s="2"/>
      <c r="H135" s="1" t="s">
        <v>34</v>
      </c>
      <c r="I135" s="4" t="s">
        <v>35</v>
      </c>
      <c r="J135" s="1" t="s">
        <v>3390</v>
      </c>
    </row>
    <row r="136">
      <c r="A136" s="1" t="s">
        <v>484</v>
      </c>
      <c r="B136" s="1" t="s">
        <v>491</v>
      </c>
      <c r="D136" s="1">
        <v>3.0</v>
      </c>
      <c r="E136" s="4" t="s">
        <v>492</v>
      </c>
      <c r="F136" s="1" t="s">
        <v>16</v>
      </c>
      <c r="G136" s="2"/>
      <c r="H136" s="1" t="s">
        <v>120</v>
      </c>
      <c r="I136" s="4" t="s">
        <v>121</v>
      </c>
      <c r="J136" s="1" t="s">
        <v>3391</v>
      </c>
    </row>
    <row r="137">
      <c r="A137" s="1" t="s">
        <v>484</v>
      </c>
      <c r="B137" s="1" t="s">
        <v>493</v>
      </c>
      <c r="D137" s="1">
        <v>4.0</v>
      </c>
      <c r="E137" s="4" t="s">
        <v>494</v>
      </c>
      <c r="F137" s="1" t="s">
        <v>16</v>
      </c>
      <c r="G137" s="2"/>
      <c r="H137" s="1" t="s">
        <v>495</v>
      </c>
      <c r="I137" s="1" t="s">
        <v>496</v>
      </c>
      <c r="J137" s="1" t="s">
        <v>3392</v>
      </c>
    </row>
    <row r="138">
      <c r="A138" s="1" t="s">
        <v>484</v>
      </c>
      <c r="B138" s="1" t="s">
        <v>497</v>
      </c>
      <c r="D138" s="1">
        <v>5.0</v>
      </c>
      <c r="E138" s="4" t="s">
        <v>498</v>
      </c>
      <c r="F138" s="1" t="s">
        <v>16</v>
      </c>
      <c r="G138" s="2"/>
      <c r="H138" s="1" t="s">
        <v>31</v>
      </c>
      <c r="I138" s="4" t="s">
        <v>32</v>
      </c>
      <c r="J138" s="1" t="s">
        <v>3393</v>
      </c>
    </row>
    <row r="139">
      <c r="A139" s="1" t="s">
        <v>484</v>
      </c>
      <c r="B139" s="1" t="s">
        <v>499</v>
      </c>
      <c r="D139" s="1">
        <v>6.0</v>
      </c>
      <c r="E139" s="4" t="s">
        <v>500</v>
      </c>
      <c r="F139" s="1" t="s">
        <v>16</v>
      </c>
      <c r="G139" s="2"/>
      <c r="H139" s="1" t="s">
        <v>120</v>
      </c>
      <c r="I139" s="4" t="s">
        <v>121</v>
      </c>
      <c r="J139" s="1" t="s">
        <v>3391</v>
      </c>
    </row>
    <row r="140">
      <c r="A140" s="1" t="s">
        <v>484</v>
      </c>
      <c r="B140" s="1" t="s">
        <v>501</v>
      </c>
      <c r="D140" s="1">
        <v>7.0</v>
      </c>
      <c r="E140" s="4" t="s">
        <v>502</v>
      </c>
      <c r="F140" s="1" t="s">
        <v>16</v>
      </c>
      <c r="G140" s="2"/>
      <c r="H140" s="1" t="s">
        <v>97</v>
      </c>
      <c r="I140" s="4" t="s">
        <v>98</v>
      </c>
      <c r="J140" s="1" t="s">
        <v>3394</v>
      </c>
    </row>
    <row r="141">
      <c r="A141" s="1" t="s">
        <v>484</v>
      </c>
      <c r="B141" s="1" t="s">
        <v>503</v>
      </c>
      <c r="D141" s="1">
        <v>8.0</v>
      </c>
      <c r="E141" s="4" t="s">
        <v>504</v>
      </c>
      <c r="F141" s="1" t="s">
        <v>16</v>
      </c>
      <c r="G141" s="2"/>
      <c r="H141" s="1" t="s">
        <v>273</v>
      </c>
      <c r="I141" s="4" t="s">
        <v>274</v>
      </c>
      <c r="J141" s="1" t="s">
        <v>3395</v>
      </c>
    </row>
    <row r="142">
      <c r="A142" s="1" t="s">
        <v>484</v>
      </c>
      <c r="B142" s="1" t="s">
        <v>505</v>
      </c>
      <c r="D142" s="1">
        <v>9.0</v>
      </c>
      <c r="E142" s="4" t="s">
        <v>506</v>
      </c>
      <c r="F142" s="1" t="s">
        <v>16</v>
      </c>
      <c r="G142" s="2"/>
      <c r="H142" s="1" t="s">
        <v>38</v>
      </c>
      <c r="I142" s="4" t="s">
        <v>39</v>
      </c>
      <c r="J142" s="1" t="s">
        <v>3396</v>
      </c>
    </row>
    <row r="143">
      <c r="A143" s="1" t="s">
        <v>484</v>
      </c>
      <c r="B143" s="1" t="s">
        <v>507</v>
      </c>
      <c r="D143" s="1">
        <v>10.0</v>
      </c>
      <c r="E143" s="4" t="s">
        <v>508</v>
      </c>
      <c r="F143" s="1" t="s">
        <v>16</v>
      </c>
      <c r="G143" s="2"/>
      <c r="H143" s="1" t="s">
        <v>509</v>
      </c>
      <c r="I143" s="4" t="s">
        <v>510</v>
      </c>
      <c r="J143" s="1" t="s">
        <v>3397</v>
      </c>
    </row>
    <row r="144">
      <c r="A144" s="1" t="s">
        <v>484</v>
      </c>
      <c r="B144" s="1" t="s">
        <v>511</v>
      </c>
      <c r="D144" s="1">
        <v>11.0</v>
      </c>
      <c r="E144" s="4" t="s">
        <v>512</v>
      </c>
      <c r="F144" s="1" t="s">
        <v>16</v>
      </c>
      <c r="G144" s="2"/>
      <c r="H144" s="1" t="s">
        <v>448</v>
      </c>
      <c r="I144" s="4" t="s">
        <v>449</v>
      </c>
      <c r="J144" s="1" t="s">
        <v>3398</v>
      </c>
    </row>
    <row r="145">
      <c r="A145" s="1" t="s">
        <v>484</v>
      </c>
      <c r="B145" s="1" t="s">
        <v>513</v>
      </c>
      <c r="D145" s="1">
        <v>12.0</v>
      </c>
      <c r="E145" s="4" t="s">
        <v>514</v>
      </c>
      <c r="F145" s="1" t="s">
        <v>16</v>
      </c>
      <c r="G145" s="2"/>
      <c r="H145" s="1" t="s">
        <v>336</v>
      </c>
      <c r="I145" s="4" t="s">
        <v>515</v>
      </c>
      <c r="J145" s="1" t="s">
        <v>3399</v>
      </c>
    </row>
    <row r="146">
      <c r="A146" s="1" t="s">
        <v>484</v>
      </c>
      <c r="B146" s="1" t="s">
        <v>516</v>
      </c>
      <c r="D146" s="1">
        <v>13.0</v>
      </c>
      <c r="E146" s="4" t="s">
        <v>517</v>
      </c>
      <c r="F146" s="1" t="s">
        <v>16</v>
      </c>
      <c r="G146" s="2"/>
      <c r="H146" s="1" t="s">
        <v>273</v>
      </c>
      <c r="I146" s="4" t="s">
        <v>476</v>
      </c>
      <c r="J146" s="1" t="s">
        <v>3400</v>
      </c>
    </row>
    <row r="147">
      <c r="A147" s="1" t="s">
        <v>484</v>
      </c>
      <c r="B147" s="1" t="s">
        <v>518</v>
      </c>
      <c r="D147" s="1">
        <v>14.0</v>
      </c>
      <c r="E147" s="4" t="s">
        <v>519</v>
      </c>
      <c r="F147" s="1" t="s">
        <v>16</v>
      </c>
      <c r="G147" s="2"/>
      <c r="J147" s="1" t="s">
        <v>3269</v>
      </c>
    </row>
    <row r="148">
      <c r="A148" s="1" t="s">
        <v>484</v>
      </c>
      <c r="B148" s="1" t="s">
        <v>520</v>
      </c>
      <c r="D148" s="1">
        <v>15.0</v>
      </c>
      <c r="E148" s="4" t="s">
        <v>521</v>
      </c>
      <c r="F148" s="1" t="s">
        <v>16</v>
      </c>
      <c r="G148" s="2"/>
      <c r="H148" s="1" t="s">
        <v>522</v>
      </c>
      <c r="I148" s="4" t="s">
        <v>523</v>
      </c>
      <c r="J148" s="1" t="s">
        <v>3401</v>
      </c>
    </row>
    <row r="149">
      <c r="A149" s="1" t="s">
        <v>484</v>
      </c>
      <c r="B149" s="1" t="s">
        <v>524</v>
      </c>
      <c r="D149" s="1">
        <v>16.0</v>
      </c>
      <c r="E149" s="4" t="s">
        <v>525</v>
      </c>
      <c r="F149" s="1" t="s">
        <v>16</v>
      </c>
      <c r="G149" s="2"/>
      <c r="J149" s="1" t="s">
        <v>3269</v>
      </c>
    </row>
    <row r="150">
      <c r="A150" s="1" t="s">
        <v>484</v>
      </c>
      <c r="B150" s="1" t="s">
        <v>526</v>
      </c>
      <c r="D150" s="1">
        <v>17.0</v>
      </c>
      <c r="E150" s="4" t="s">
        <v>527</v>
      </c>
      <c r="F150" s="1" t="s">
        <v>16</v>
      </c>
      <c r="G150" s="2"/>
      <c r="H150" s="1" t="s">
        <v>528</v>
      </c>
      <c r="I150" s="4" t="s">
        <v>529</v>
      </c>
      <c r="J150" s="1" t="s">
        <v>3402</v>
      </c>
    </row>
    <row r="151">
      <c r="A151" s="1" t="s">
        <v>484</v>
      </c>
      <c r="B151" s="1" t="s">
        <v>530</v>
      </c>
      <c r="D151" s="1">
        <v>18.0</v>
      </c>
      <c r="E151" s="4" t="s">
        <v>531</v>
      </c>
      <c r="F151" s="1" t="s">
        <v>16</v>
      </c>
      <c r="G151" s="2"/>
      <c r="J151" s="1" t="s">
        <v>3269</v>
      </c>
    </row>
    <row r="152">
      <c r="A152" s="1" t="s">
        <v>484</v>
      </c>
      <c r="B152" s="1" t="s">
        <v>516</v>
      </c>
      <c r="D152" s="1">
        <v>10.0</v>
      </c>
      <c r="E152" s="4" t="s">
        <v>532</v>
      </c>
      <c r="F152" s="1" t="s">
        <v>43</v>
      </c>
      <c r="G152" s="2"/>
      <c r="H152" s="1" t="s">
        <v>273</v>
      </c>
      <c r="I152" s="4" t="s">
        <v>476</v>
      </c>
      <c r="J152" s="1" t="s">
        <v>3400</v>
      </c>
    </row>
    <row r="153">
      <c r="A153" s="1" t="s">
        <v>484</v>
      </c>
      <c r="B153" s="1" t="s">
        <v>533</v>
      </c>
      <c r="D153" s="1">
        <v>14.0</v>
      </c>
      <c r="E153" s="4" t="s">
        <v>534</v>
      </c>
      <c r="F153" s="1" t="s">
        <v>43</v>
      </c>
      <c r="G153" s="2"/>
      <c r="H153" s="1" t="s">
        <v>457</v>
      </c>
      <c r="I153" s="4" t="s">
        <v>458</v>
      </c>
      <c r="J153" s="1" t="s">
        <v>3403</v>
      </c>
    </row>
    <row r="154">
      <c r="A154" s="1" t="s">
        <v>484</v>
      </c>
      <c r="B154" s="1" t="s">
        <v>535</v>
      </c>
      <c r="D154" s="1">
        <v>15.0</v>
      </c>
      <c r="E154" s="4" t="s">
        <v>536</v>
      </c>
      <c r="F154" s="1" t="s">
        <v>43</v>
      </c>
      <c r="G154" s="2"/>
      <c r="H154" s="1" t="s">
        <v>537</v>
      </c>
      <c r="I154" s="4" t="s">
        <v>538</v>
      </c>
      <c r="J154" s="1" t="s">
        <v>3404</v>
      </c>
    </row>
    <row r="155">
      <c r="A155" s="1" t="s">
        <v>484</v>
      </c>
      <c r="B155" s="1" t="s">
        <v>539</v>
      </c>
      <c r="D155" s="1">
        <v>16.0</v>
      </c>
      <c r="E155" s="4" t="s">
        <v>540</v>
      </c>
      <c r="F155" s="1" t="s">
        <v>43</v>
      </c>
      <c r="G155" s="2"/>
      <c r="H155" s="1" t="s">
        <v>541</v>
      </c>
      <c r="I155" s="4" t="s">
        <v>542</v>
      </c>
      <c r="J155" s="1" t="s">
        <v>3405</v>
      </c>
    </row>
    <row r="156">
      <c r="A156" s="1" t="s">
        <v>484</v>
      </c>
      <c r="B156" s="1" t="s">
        <v>543</v>
      </c>
      <c r="D156" s="1">
        <v>18.0</v>
      </c>
      <c r="E156" s="4" t="s">
        <v>544</v>
      </c>
      <c r="F156" s="1" t="s">
        <v>43</v>
      </c>
      <c r="G156" s="2"/>
      <c r="H156" s="1" t="s">
        <v>135</v>
      </c>
      <c r="I156" s="4" t="s">
        <v>136</v>
      </c>
      <c r="J156" s="1" t="s">
        <v>3406</v>
      </c>
    </row>
    <row r="157">
      <c r="A157" s="1" t="s">
        <v>545</v>
      </c>
      <c r="B157" s="1" t="s">
        <v>485</v>
      </c>
      <c r="D157" s="1">
        <v>1.0</v>
      </c>
      <c r="E157" s="4" t="s">
        <v>486</v>
      </c>
      <c r="F157" s="1" t="s">
        <v>16</v>
      </c>
      <c r="G157" s="2"/>
      <c r="H157" s="1" t="s">
        <v>487</v>
      </c>
      <c r="I157" s="4" t="s">
        <v>488</v>
      </c>
      <c r="J157" s="1" t="s">
        <v>3269</v>
      </c>
    </row>
    <row r="158">
      <c r="A158" s="1" t="s">
        <v>545</v>
      </c>
      <c r="B158" s="1" t="s">
        <v>493</v>
      </c>
      <c r="D158" s="1">
        <v>2.0</v>
      </c>
      <c r="E158" s="4" t="s">
        <v>494</v>
      </c>
      <c r="F158" s="1" t="s">
        <v>16</v>
      </c>
      <c r="G158" s="2"/>
      <c r="H158" s="1" t="s">
        <v>495</v>
      </c>
      <c r="I158" s="1" t="s">
        <v>496</v>
      </c>
      <c r="J158" s="1" t="s">
        <v>3407</v>
      </c>
    </row>
    <row r="159">
      <c r="A159" s="1" t="s">
        <v>545</v>
      </c>
      <c r="B159" s="1" t="s">
        <v>499</v>
      </c>
      <c r="D159" s="1">
        <v>3.0</v>
      </c>
      <c r="E159" s="4" t="s">
        <v>500</v>
      </c>
      <c r="F159" s="1" t="s">
        <v>16</v>
      </c>
      <c r="G159" s="2"/>
      <c r="H159" s="1" t="s">
        <v>120</v>
      </c>
      <c r="I159" s="4" t="s">
        <v>121</v>
      </c>
      <c r="J159" s="1" t="s">
        <v>3408</v>
      </c>
    </row>
    <row r="160">
      <c r="A160" s="1" t="s">
        <v>545</v>
      </c>
      <c r="B160" s="1" t="s">
        <v>497</v>
      </c>
      <c r="D160" s="1">
        <v>4.0</v>
      </c>
      <c r="E160" s="4" t="s">
        <v>498</v>
      </c>
      <c r="F160" s="1" t="s">
        <v>16</v>
      </c>
      <c r="G160" s="2"/>
      <c r="H160" s="1" t="s">
        <v>31</v>
      </c>
      <c r="I160" s="4" t="s">
        <v>32</v>
      </c>
      <c r="J160" s="1" t="s">
        <v>3409</v>
      </c>
    </row>
    <row r="161">
      <c r="A161" s="1" t="s">
        <v>545</v>
      </c>
      <c r="B161" s="1" t="s">
        <v>489</v>
      </c>
      <c r="D161" s="1">
        <v>5.0</v>
      </c>
      <c r="E161" s="4" t="s">
        <v>490</v>
      </c>
      <c r="F161" s="1" t="s">
        <v>16</v>
      </c>
      <c r="G161" s="2"/>
      <c r="H161" s="1" t="s">
        <v>34</v>
      </c>
      <c r="I161" s="4" t="s">
        <v>35</v>
      </c>
      <c r="J161" s="1" t="s">
        <v>3410</v>
      </c>
    </row>
    <row r="162">
      <c r="A162" s="1" t="s">
        <v>545</v>
      </c>
      <c r="B162" s="1" t="s">
        <v>546</v>
      </c>
      <c r="D162" s="1">
        <v>6.0</v>
      </c>
      <c r="E162" s="4" t="s">
        <v>547</v>
      </c>
      <c r="F162" s="1" t="s">
        <v>16</v>
      </c>
      <c r="G162" s="2"/>
      <c r="H162" s="1" t="s">
        <v>34</v>
      </c>
      <c r="I162" s="4" t="s">
        <v>35</v>
      </c>
      <c r="J162" s="1" t="s">
        <v>3411</v>
      </c>
    </row>
    <row r="163">
      <c r="A163" s="1" t="s">
        <v>545</v>
      </c>
      <c r="B163" s="1" t="s">
        <v>548</v>
      </c>
      <c r="C163" s="1" t="s">
        <v>549</v>
      </c>
      <c r="D163" s="1">
        <v>7.0</v>
      </c>
      <c r="E163" s="4" t="s">
        <v>550</v>
      </c>
      <c r="F163" s="1" t="s">
        <v>16</v>
      </c>
      <c r="G163" s="2"/>
      <c r="H163" s="1" t="s">
        <v>336</v>
      </c>
      <c r="I163" s="4" t="s">
        <v>453</v>
      </c>
      <c r="J163" s="1" t="s">
        <v>3412</v>
      </c>
    </row>
    <row r="164">
      <c r="A164" s="1" t="s">
        <v>545</v>
      </c>
      <c r="B164" s="1" t="s">
        <v>551</v>
      </c>
      <c r="C164" s="1" t="s">
        <v>552</v>
      </c>
      <c r="D164" s="1">
        <v>8.0</v>
      </c>
      <c r="E164" s="4" t="s">
        <v>553</v>
      </c>
      <c r="F164" s="1" t="s">
        <v>16</v>
      </c>
      <c r="G164" s="2"/>
      <c r="J164" s="1" t="s">
        <v>3269</v>
      </c>
    </row>
    <row r="165">
      <c r="A165" s="1" t="s">
        <v>545</v>
      </c>
      <c r="B165" s="1" t="s">
        <v>507</v>
      </c>
      <c r="D165" s="1">
        <v>9.0</v>
      </c>
      <c r="E165" s="4" t="s">
        <v>508</v>
      </c>
      <c r="F165" s="1" t="s">
        <v>16</v>
      </c>
      <c r="G165" s="2"/>
      <c r="H165" s="1" t="s">
        <v>509</v>
      </c>
      <c r="I165" s="4" t="s">
        <v>510</v>
      </c>
      <c r="J165" s="1" t="s">
        <v>3413</v>
      </c>
    </row>
    <row r="166">
      <c r="A166" s="1" t="s">
        <v>545</v>
      </c>
      <c r="B166" s="1" t="s">
        <v>554</v>
      </c>
      <c r="C166" s="1" t="s">
        <v>555</v>
      </c>
      <c r="D166" s="1">
        <v>10.0</v>
      </c>
      <c r="E166" s="4" t="s">
        <v>556</v>
      </c>
      <c r="F166" s="1" t="s">
        <v>16</v>
      </c>
      <c r="G166" s="2"/>
      <c r="H166" s="1" t="s">
        <v>336</v>
      </c>
      <c r="I166" s="4" t="s">
        <v>515</v>
      </c>
      <c r="J166" s="1" t="s">
        <v>3414</v>
      </c>
    </row>
    <row r="167">
      <c r="A167" s="1" t="s">
        <v>545</v>
      </c>
      <c r="B167" s="1" t="s">
        <v>503</v>
      </c>
      <c r="D167" s="1">
        <v>11.0</v>
      </c>
      <c r="E167" s="4" t="s">
        <v>504</v>
      </c>
      <c r="F167" s="1" t="s">
        <v>16</v>
      </c>
      <c r="G167" s="2"/>
      <c r="H167" s="1" t="s">
        <v>273</v>
      </c>
      <c r="I167" s="4" t="s">
        <v>274</v>
      </c>
      <c r="J167" s="1" t="s">
        <v>3415</v>
      </c>
    </row>
    <row r="168">
      <c r="A168" s="1" t="s">
        <v>545</v>
      </c>
      <c r="B168" s="1" t="s">
        <v>557</v>
      </c>
      <c r="C168" s="1" t="s">
        <v>558</v>
      </c>
      <c r="D168" s="1">
        <v>12.0</v>
      </c>
      <c r="E168" s="4" t="s">
        <v>559</v>
      </c>
      <c r="F168" s="1" t="s">
        <v>16</v>
      </c>
      <c r="G168" s="2"/>
      <c r="J168" s="1" t="s">
        <v>3269</v>
      </c>
    </row>
    <row r="169">
      <c r="A169" s="1" t="s">
        <v>545</v>
      </c>
      <c r="B169" s="1" t="s">
        <v>518</v>
      </c>
      <c r="D169" s="1">
        <v>13.0</v>
      </c>
      <c r="E169" s="4" t="s">
        <v>519</v>
      </c>
      <c r="F169" s="1" t="s">
        <v>16</v>
      </c>
      <c r="G169" s="2"/>
      <c r="J169" s="1" t="s">
        <v>3269</v>
      </c>
    </row>
    <row r="170">
      <c r="A170" s="1" t="s">
        <v>545</v>
      </c>
      <c r="B170" s="1" t="s">
        <v>560</v>
      </c>
      <c r="D170" s="1">
        <v>14.0</v>
      </c>
      <c r="E170" s="4" t="s">
        <v>561</v>
      </c>
      <c r="F170" s="1" t="s">
        <v>16</v>
      </c>
      <c r="G170" s="2"/>
      <c r="J170" s="1" t="s">
        <v>3269</v>
      </c>
    </row>
    <row r="171">
      <c r="A171" s="1" t="s">
        <v>545</v>
      </c>
      <c r="B171" s="1" t="s">
        <v>562</v>
      </c>
      <c r="C171" s="1" t="s">
        <v>153</v>
      </c>
      <c r="D171" s="1">
        <v>15.0</v>
      </c>
      <c r="E171" s="4" t="s">
        <v>563</v>
      </c>
      <c r="F171" s="1" t="s">
        <v>16</v>
      </c>
      <c r="G171" s="2"/>
      <c r="H171" s="1" t="s">
        <v>564</v>
      </c>
      <c r="I171" s="4" t="s">
        <v>565</v>
      </c>
      <c r="J171" s="1" t="s">
        <v>3416</v>
      </c>
    </row>
    <row r="172">
      <c r="A172" s="1" t="s">
        <v>545</v>
      </c>
      <c r="B172" s="1" t="s">
        <v>566</v>
      </c>
      <c r="C172" s="1" t="s">
        <v>567</v>
      </c>
      <c r="D172" s="1">
        <v>16.0</v>
      </c>
      <c r="E172" s="4" t="s">
        <v>568</v>
      </c>
      <c r="F172" s="1" t="s">
        <v>16</v>
      </c>
      <c r="G172" s="2"/>
      <c r="H172" s="1" t="s">
        <v>541</v>
      </c>
      <c r="I172" s="4" t="s">
        <v>542</v>
      </c>
      <c r="J172" s="1" t="s">
        <v>3417</v>
      </c>
    </row>
    <row r="173">
      <c r="A173" s="1" t="s">
        <v>545</v>
      </c>
      <c r="B173" s="1" t="s">
        <v>501</v>
      </c>
      <c r="D173" s="1">
        <v>17.0</v>
      </c>
      <c r="E173" s="4" t="s">
        <v>502</v>
      </c>
      <c r="F173" s="1" t="s">
        <v>16</v>
      </c>
      <c r="G173" s="2"/>
      <c r="H173" s="1" t="s">
        <v>97</v>
      </c>
      <c r="I173" s="4" t="s">
        <v>98</v>
      </c>
      <c r="J173" s="1" t="s">
        <v>3418</v>
      </c>
    </row>
    <row r="174">
      <c r="A174" s="1" t="s">
        <v>545</v>
      </c>
      <c r="B174" s="1" t="s">
        <v>569</v>
      </c>
      <c r="D174" s="1">
        <v>7.0</v>
      </c>
      <c r="E174" s="4" t="s">
        <v>570</v>
      </c>
      <c r="F174" s="1" t="s">
        <v>43</v>
      </c>
      <c r="G174" s="2"/>
      <c r="H174" s="1" t="s">
        <v>120</v>
      </c>
      <c r="I174" s="4" t="s">
        <v>121</v>
      </c>
      <c r="J174" s="1" t="s">
        <v>3419</v>
      </c>
    </row>
    <row r="175">
      <c r="A175" s="1" t="s">
        <v>545</v>
      </c>
      <c r="B175" s="1" t="s">
        <v>545</v>
      </c>
      <c r="C175" s="1" t="s">
        <v>571</v>
      </c>
      <c r="D175" s="1">
        <v>11.0</v>
      </c>
      <c r="E175" s="4" t="s">
        <v>572</v>
      </c>
      <c r="F175" s="1" t="s">
        <v>43</v>
      </c>
      <c r="G175" s="2"/>
      <c r="H175" s="1" t="s">
        <v>573</v>
      </c>
      <c r="I175" s="4" t="s">
        <v>574</v>
      </c>
      <c r="J175" s="1" t="s">
        <v>3420</v>
      </c>
    </row>
    <row r="176">
      <c r="A176" s="1" t="s">
        <v>545</v>
      </c>
      <c r="B176" s="4" t="s">
        <v>575</v>
      </c>
      <c r="D176" s="1">
        <v>12.0</v>
      </c>
      <c r="E176" s="4" t="s">
        <v>576</v>
      </c>
      <c r="F176" s="1" t="s">
        <v>43</v>
      </c>
      <c r="G176" s="2"/>
      <c r="J176" s="1" t="s">
        <v>3269</v>
      </c>
    </row>
    <row r="177">
      <c r="A177" s="1" t="s">
        <v>545</v>
      </c>
      <c r="B177" s="1" t="s">
        <v>577</v>
      </c>
      <c r="D177" s="1">
        <v>13.0</v>
      </c>
      <c r="E177" s="4" t="s">
        <v>578</v>
      </c>
      <c r="F177" s="1" t="s">
        <v>43</v>
      </c>
      <c r="G177" s="2"/>
      <c r="H177" s="1" t="s">
        <v>273</v>
      </c>
      <c r="I177" s="4" t="s">
        <v>579</v>
      </c>
      <c r="J177" s="1" t="s">
        <v>3421</v>
      </c>
    </row>
    <row r="178">
      <c r="A178" s="1" t="s">
        <v>545</v>
      </c>
      <c r="B178" s="1" t="s">
        <v>505</v>
      </c>
      <c r="D178" s="1">
        <v>14.0</v>
      </c>
      <c r="E178" s="4" t="s">
        <v>506</v>
      </c>
      <c r="F178" s="1" t="s">
        <v>43</v>
      </c>
      <c r="G178" s="2"/>
      <c r="H178" s="1" t="s">
        <v>38</v>
      </c>
      <c r="I178" s="4" t="s">
        <v>39</v>
      </c>
      <c r="J178" s="1" t="s">
        <v>3422</v>
      </c>
    </row>
    <row r="179">
      <c r="A179" s="1" t="s">
        <v>545</v>
      </c>
      <c r="B179" s="1" t="s">
        <v>580</v>
      </c>
      <c r="C179" s="1" t="s">
        <v>558</v>
      </c>
      <c r="D179" s="1">
        <v>15.0</v>
      </c>
      <c r="E179" s="4" t="s">
        <v>581</v>
      </c>
      <c r="F179" s="1" t="s">
        <v>43</v>
      </c>
      <c r="G179" s="2"/>
      <c r="J179" s="1" t="s">
        <v>3269</v>
      </c>
    </row>
    <row r="180">
      <c r="A180" s="1" t="s">
        <v>545</v>
      </c>
      <c r="B180" s="1" t="s">
        <v>582</v>
      </c>
      <c r="C180" s="1" t="s">
        <v>583</v>
      </c>
      <c r="D180" s="1">
        <v>16.0</v>
      </c>
      <c r="E180" s="4" t="s">
        <v>584</v>
      </c>
      <c r="F180" s="1" t="s">
        <v>43</v>
      </c>
      <c r="G180" s="2"/>
      <c r="H180" s="1" t="s">
        <v>336</v>
      </c>
      <c r="I180" s="4" t="s">
        <v>515</v>
      </c>
      <c r="J180" s="1" t="s">
        <v>3423</v>
      </c>
    </row>
    <row r="181">
      <c r="A181" s="1" t="s">
        <v>545</v>
      </c>
      <c r="B181" s="1" t="s">
        <v>585</v>
      </c>
      <c r="C181" s="1" t="s">
        <v>586</v>
      </c>
      <c r="D181" s="1">
        <v>28.0</v>
      </c>
      <c r="E181" s="4" t="s">
        <v>587</v>
      </c>
      <c r="F181" s="1" t="s">
        <v>43</v>
      </c>
      <c r="G181" s="2"/>
      <c r="H181" s="1" t="s">
        <v>588</v>
      </c>
      <c r="I181" s="4" t="s">
        <v>589</v>
      </c>
      <c r="J181" s="1" t="s">
        <v>3424</v>
      </c>
    </row>
    <row r="182">
      <c r="A182" s="1" t="s">
        <v>590</v>
      </c>
      <c r="B182" s="1" t="s">
        <v>591</v>
      </c>
      <c r="C182" s="1" t="s">
        <v>592</v>
      </c>
      <c r="D182" s="1">
        <v>1.0</v>
      </c>
      <c r="E182" s="4" t="s">
        <v>593</v>
      </c>
      <c r="F182" s="1" t="s">
        <v>16</v>
      </c>
      <c r="G182" s="2"/>
      <c r="H182" s="1" t="s">
        <v>34</v>
      </c>
      <c r="I182" s="4" t="s">
        <v>594</v>
      </c>
      <c r="J182" s="1" t="s">
        <v>3425</v>
      </c>
    </row>
    <row r="183">
      <c r="A183" s="1" t="s">
        <v>590</v>
      </c>
      <c r="B183" s="1" t="s">
        <v>595</v>
      </c>
      <c r="D183" s="1">
        <v>2.0</v>
      </c>
      <c r="E183" s="4" t="s">
        <v>596</v>
      </c>
      <c r="F183" s="1" t="s">
        <v>16</v>
      </c>
      <c r="G183" s="2"/>
      <c r="H183" s="1" t="s">
        <v>120</v>
      </c>
      <c r="I183" s="4" t="s">
        <v>121</v>
      </c>
      <c r="J183" s="1" t="s">
        <v>3426</v>
      </c>
    </row>
    <row r="184">
      <c r="A184" s="1" t="s">
        <v>590</v>
      </c>
      <c r="B184" s="1" t="s">
        <v>597</v>
      </c>
      <c r="C184" s="1" t="s">
        <v>598</v>
      </c>
      <c r="D184" s="1">
        <v>3.0</v>
      </c>
      <c r="E184" s="4" t="s">
        <v>599</v>
      </c>
      <c r="F184" s="1" t="s">
        <v>16</v>
      </c>
      <c r="G184" s="2"/>
      <c r="H184" s="1" t="s">
        <v>31</v>
      </c>
      <c r="I184" s="4" t="s">
        <v>32</v>
      </c>
      <c r="J184" s="1" t="s">
        <v>3427</v>
      </c>
    </row>
    <row r="185">
      <c r="A185" s="1" t="s">
        <v>590</v>
      </c>
      <c r="B185" s="1" t="s">
        <v>600</v>
      </c>
      <c r="D185" s="1">
        <v>4.0</v>
      </c>
      <c r="E185" s="4" t="s">
        <v>601</v>
      </c>
      <c r="F185" s="1" t="s">
        <v>16</v>
      </c>
      <c r="G185" s="2"/>
      <c r="H185" s="1" t="s">
        <v>120</v>
      </c>
      <c r="I185" s="4" t="s">
        <v>121</v>
      </c>
      <c r="J185" s="1" t="s">
        <v>3428</v>
      </c>
    </row>
    <row r="186">
      <c r="A186" s="1" t="s">
        <v>590</v>
      </c>
      <c r="B186" s="1" t="s">
        <v>602</v>
      </c>
      <c r="D186" s="1">
        <v>5.0</v>
      </c>
      <c r="E186" s="4" t="s">
        <v>603</v>
      </c>
      <c r="F186" s="1" t="s">
        <v>16</v>
      </c>
      <c r="G186" s="2"/>
      <c r="H186" s="1" t="s">
        <v>97</v>
      </c>
      <c r="I186" s="4" t="s">
        <v>98</v>
      </c>
      <c r="J186" s="1" t="s">
        <v>3429</v>
      </c>
    </row>
    <row r="187">
      <c r="A187" s="1" t="s">
        <v>590</v>
      </c>
      <c r="B187" s="1" t="s">
        <v>604</v>
      </c>
      <c r="C187" s="1" t="s">
        <v>605</v>
      </c>
      <c r="D187" s="1">
        <v>6.0</v>
      </c>
      <c r="E187" s="4" t="s">
        <v>606</v>
      </c>
      <c r="F187" s="1" t="s">
        <v>16</v>
      </c>
      <c r="G187" s="2"/>
      <c r="H187" s="1" t="s">
        <v>604</v>
      </c>
      <c r="I187" s="4" t="s">
        <v>607</v>
      </c>
      <c r="J187" s="1" t="s">
        <v>3430</v>
      </c>
    </row>
    <row r="188">
      <c r="A188" s="1" t="s">
        <v>590</v>
      </c>
      <c r="B188" s="1" t="s">
        <v>608</v>
      </c>
      <c r="C188" s="1" t="s">
        <v>609</v>
      </c>
      <c r="D188" s="1">
        <v>7.0</v>
      </c>
      <c r="E188" s="4" t="s">
        <v>610</v>
      </c>
      <c r="F188" s="1" t="s">
        <v>16</v>
      </c>
      <c r="G188" s="2"/>
      <c r="H188" s="1" t="s">
        <v>31</v>
      </c>
      <c r="I188" s="4" t="s">
        <v>32</v>
      </c>
      <c r="J188" s="1" t="s">
        <v>3431</v>
      </c>
    </row>
    <row r="189">
      <c r="A189" s="1" t="s">
        <v>590</v>
      </c>
      <c r="B189" s="1" t="s">
        <v>611</v>
      </c>
      <c r="C189" s="1" t="s">
        <v>612</v>
      </c>
      <c r="D189" s="1">
        <v>8.0</v>
      </c>
      <c r="E189" s="4" t="s">
        <v>613</v>
      </c>
      <c r="F189" s="1" t="s">
        <v>16</v>
      </c>
      <c r="G189" s="2"/>
      <c r="H189" s="1" t="s">
        <v>614</v>
      </c>
      <c r="I189" s="4" t="s">
        <v>615</v>
      </c>
      <c r="J189" s="1" t="s">
        <v>3432</v>
      </c>
    </row>
    <row r="190">
      <c r="A190" s="1" t="s">
        <v>590</v>
      </c>
      <c r="B190" s="1" t="s">
        <v>616</v>
      </c>
      <c r="D190" s="1">
        <v>9.0</v>
      </c>
      <c r="E190" s="4" t="s">
        <v>617</v>
      </c>
      <c r="F190" s="1" t="s">
        <v>16</v>
      </c>
      <c r="G190" s="2"/>
      <c r="H190" s="1" t="s">
        <v>618</v>
      </c>
      <c r="I190" s="4" t="s">
        <v>619</v>
      </c>
      <c r="J190" s="1" t="s">
        <v>3433</v>
      </c>
    </row>
    <row r="191">
      <c r="A191" s="1" t="s">
        <v>590</v>
      </c>
      <c r="B191" s="4" t="s">
        <v>620</v>
      </c>
      <c r="D191" s="1">
        <v>10.0</v>
      </c>
      <c r="E191" s="4" t="s">
        <v>621</v>
      </c>
      <c r="F191" s="1" t="s">
        <v>16</v>
      </c>
      <c r="G191" s="2"/>
      <c r="J191" s="1" t="s">
        <v>3269</v>
      </c>
    </row>
    <row r="192">
      <c r="A192" s="1" t="s">
        <v>590</v>
      </c>
      <c r="B192" s="1" t="s">
        <v>622</v>
      </c>
      <c r="C192" s="1" t="s">
        <v>623</v>
      </c>
      <c r="D192" s="1">
        <v>11.0</v>
      </c>
      <c r="E192" s="4" t="s">
        <v>624</v>
      </c>
      <c r="F192" s="1" t="s">
        <v>16</v>
      </c>
      <c r="G192" s="2"/>
      <c r="H192" s="1" t="s">
        <v>625</v>
      </c>
      <c r="I192" s="4" t="s">
        <v>626</v>
      </c>
      <c r="J192" s="1" t="s">
        <v>3434</v>
      </c>
    </row>
    <row r="193">
      <c r="A193" s="1" t="s">
        <v>590</v>
      </c>
      <c r="B193" s="1" t="s">
        <v>627</v>
      </c>
      <c r="C193" s="1" t="s">
        <v>628</v>
      </c>
      <c r="D193" s="1">
        <v>12.0</v>
      </c>
      <c r="E193" s="4" t="s">
        <v>629</v>
      </c>
      <c r="F193" s="1" t="s">
        <v>16</v>
      </c>
      <c r="G193" s="2"/>
      <c r="H193" s="1" t="s">
        <v>630</v>
      </c>
      <c r="I193" s="4" t="s">
        <v>631</v>
      </c>
      <c r="J193" s="1" t="s">
        <v>3435</v>
      </c>
    </row>
    <row r="194">
      <c r="A194" s="1" t="s">
        <v>590</v>
      </c>
      <c r="B194" s="1" t="s">
        <v>632</v>
      </c>
      <c r="D194" s="1">
        <v>13.0</v>
      </c>
      <c r="E194" s="4" t="s">
        <v>633</v>
      </c>
      <c r="F194" s="1" t="s">
        <v>16</v>
      </c>
      <c r="G194" s="2"/>
      <c r="H194" s="1" t="s">
        <v>634</v>
      </c>
      <c r="I194" s="1" t="s">
        <v>635</v>
      </c>
      <c r="J194" s="1" t="s">
        <v>3436</v>
      </c>
    </row>
    <row r="195">
      <c r="A195" s="1" t="s">
        <v>590</v>
      </c>
      <c r="B195" s="1" t="s">
        <v>636</v>
      </c>
      <c r="C195" s="1" t="s">
        <v>637</v>
      </c>
      <c r="D195" s="1">
        <v>14.0</v>
      </c>
      <c r="E195" s="4" t="s">
        <v>638</v>
      </c>
      <c r="F195" s="1" t="s">
        <v>16</v>
      </c>
      <c r="G195" s="2"/>
      <c r="H195" s="1" t="s">
        <v>444</v>
      </c>
      <c r="I195" s="4" t="s">
        <v>445</v>
      </c>
      <c r="J195" s="1" t="s">
        <v>3437</v>
      </c>
    </row>
    <row r="196">
      <c r="A196" s="1" t="s">
        <v>590</v>
      </c>
      <c r="B196" s="1" t="s">
        <v>639</v>
      </c>
      <c r="C196" s="1" t="s">
        <v>640</v>
      </c>
      <c r="D196" s="1">
        <v>15.0</v>
      </c>
      <c r="E196" s="4" t="s">
        <v>641</v>
      </c>
      <c r="F196" s="1" t="s">
        <v>16</v>
      </c>
      <c r="G196" s="2"/>
      <c r="H196" s="1" t="s">
        <v>642</v>
      </c>
      <c r="I196" s="4" t="s">
        <v>643</v>
      </c>
      <c r="J196" s="1" t="s">
        <v>3438</v>
      </c>
    </row>
    <row r="197">
      <c r="A197" s="1" t="s">
        <v>590</v>
      </c>
      <c r="B197" s="1" t="s">
        <v>644</v>
      </c>
      <c r="D197" s="1">
        <v>16.0</v>
      </c>
      <c r="E197" s="4" t="s">
        <v>645</v>
      </c>
      <c r="F197" s="1" t="s">
        <v>16</v>
      </c>
      <c r="G197" s="2"/>
      <c r="J197" s="1" t="s">
        <v>3269</v>
      </c>
    </row>
    <row r="198">
      <c r="A198" s="1" t="s">
        <v>590</v>
      </c>
      <c r="B198" s="1" t="s">
        <v>646</v>
      </c>
      <c r="C198" s="1" t="s">
        <v>647</v>
      </c>
      <c r="D198" s="1">
        <v>17.0</v>
      </c>
      <c r="E198" s="4" t="s">
        <v>648</v>
      </c>
      <c r="F198" s="1" t="s">
        <v>16</v>
      </c>
      <c r="G198" s="2"/>
      <c r="H198" s="1" t="s">
        <v>649</v>
      </c>
      <c r="I198" s="4" t="s">
        <v>650</v>
      </c>
      <c r="J198" s="1" t="s">
        <v>3439</v>
      </c>
    </row>
    <row r="199">
      <c r="A199" s="1" t="s">
        <v>590</v>
      </c>
      <c r="B199" s="1" t="s">
        <v>651</v>
      </c>
      <c r="C199" s="1" t="s">
        <v>153</v>
      </c>
      <c r="D199" s="1">
        <v>24.0</v>
      </c>
      <c r="E199" s="4" t="s">
        <v>652</v>
      </c>
      <c r="F199" s="1" t="s">
        <v>16</v>
      </c>
      <c r="G199" s="2"/>
      <c r="J199" s="1" t="s">
        <v>3269</v>
      </c>
    </row>
    <row r="200">
      <c r="A200" s="1" t="s">
        <v>590</v>
      </c>
      <c r="B200" s="1" t="s">
        <v>653</v>
      </c>
      <c r="C200" s="1" t="s">
        <v>654</v>
      </c>
      <c r="D200" s="1">
        <v>27.0</v>
      </c>
      <c r="E200" s="4" t="s">
        <v>655</v>
      </c>
      <c r="F200" s="1" t="s">
        <v>16</v>
      </c>
      <c r="G200" s="2"/>
      <c r="H200" s="1" t="s">
        <v>656</v>
      </c>
      <c r="I200" s="4" t="s">
        <v>657</v>
      </c>
      <c r="J200" s="1" t="s">
        <v>3440</v>
      </c>
    </row>
    <row r="201">
      <c r="A201" s="1" t="s">
        <v>590</v>
      </c>
      <c r="B201" s="1" t="s">
        <v>658</v>
      </c>
      <c r="C201" s="1" t="s">
        <v>659</v>
      </c>
      <c r="D201" s="1">
        <v>33.0</v>
      </c>
      <c r="E201" s="4" t="s">
        <v>660</v>
      </c>
      <c r="F201" s="1" t="s">
        <v>16</v>
      </c>
      <c r="G201" s="2"/>
      <c r="H201" s="1" t="s">
        <v>661</v>
      </c>
      <c r="I201" s="4" t="s">
        <v>662</v>
      </c>
      <c r="J201" s="1" t="s">
        <v>3441</v>
      </c>
    </row>
    <row r="202">
      <c r="A202" s="1" t="s">
        <v>590</v>
      </c>
      <c r="B202" s="1" t="s">
        <v>663</v>
      </c>
      <c r="C202" s="1" t="s">
        <v>664</v>
      </c>
      <c r="D202" s="1">
        <v>35.0</v>
      </c>
      <c r="E202" s="4" t="s">
        <v>665</v>
      </c>
      <c r="F202" s="1" t="s">
        <v>16</v>
      </c>
      <c r="G202" s="2"/>
      <c r="J202" s="1" t="s">
        <v>3269</v>
      </c>
    </row>
    <row r="203">
      <c r="A203" s="1" t="s">
        <v>590</v>
      </c>
      <c r="B203" s="1" t="s">
        <v>666</v>
      </c>
      <c r="C203" s="1" t="s">
        <v>667</v>
      </c>
      <c r="D203" s="1">
        <v>2.0</v>
      </c>
      <c r="E203" s="4" t="s">
        <v>668</v>
      </c>
      <c r="F203" s="1" t="s">
        <v>43</v>
      </c>
      <c r="G203" s="2"/>
      <c r="H203" s="1" t="s">
        <v>120</v>
      </c>
      <c r="I203" s="4" t="s">
        <v>121</v>
      </c>
      <c r="J203" s="1" t="s">
        <v>3442</v>
      </c>
    </row>
    <row r="204">
      <c r="A204" s="1" t="s">
        <v>590</v>
      </c>
      <c r="B204" s="1" t="s">
        <v>669</v>
      </c>
      <c r="D204" s="1">
        <v>4.0</v>
      </c>
      <c r="E204" s="4" t="s">
        <v>670</v>
      </c>
      <c r="F204" s="1" t="s">
        <v>43</v>
      </c>
      <c r="G204" s="2"/>
      <c r="H204" s="1" t="s">
        <v>97</v>
      </c>
      <c r="I204" s="4" t="s">
        <v>98</v>
      </c>
      <c r="J204" s="1" t="s">
        <v>3443</v>
      </c>
    </row>
    <row r="205">
      <c r="A205" s="1" t="s">
        <v>590</v>
      </c>
      <c r="B205" s="1" t="s">
        <v>671</v>
      </c>
      <c r="C205" s="1" t="s">
        <v>672</v>
      </c>
      <c r="D205" s="1">
        <v>6.0</v>
      </c>
      <c r="E205" s="4" t="s">
        <v>673</v>
      </c>
      <c r="F205" s="1" t="s">
        <v>43</v>
      </c>
      <c r="G205" s="2"/>
      <c r="H205" s="1" t="s">
        <v>27</v>
      </c>
      <c r="I205" s="4" t="s">
        <v>28</v>
      </c>
      <c r="J205" s="1" t="s">
        <v>3444</v>
      </c>
    </row>
    <row r="206">
      <c r="A206" s="1" t="s">
        <v>590</v>
      </c>
      <c r="B206" s="4" t="s">
        <v>674</v>
      </c>
      <c r="D206" s="1">
        <v>7.0</v>
      </c>
      <c r="E206" s="4" t="s">
        <v>674</v>
      </c>
      <c r="F206" s="1" t="s">
        <v>43</v>
      </c>
      <c r="G206" s="2"/>
      <c r="H206" s="1" t="s">
        <v>34</v>
      </c>
      <c r="I206" s="4" t="s">
        <v>675</v>
      </c>
      <c r="J206" s="1" t="s">
        <v>3445</v>
      </c>
    </row>
    <row r="207">
      <c r="A207" s="1" t="s">
        <v>590</v>
      </c>
      <c r="B207" s="1" t="s">
        <v>676</v>
      </c>
      <c r="D207" s="1">
        <v>9.0</v>
      </c>
      <c r="E207" s="4" t="s">
        <v>677</v>
      </c>
      <c r="F207" s="1" t="s">
        <v>43</v>
      </c>
      <c r="G207" s="2"/>
      <c r="H207" s="1" t="s">
        <v>302</v>
      </c>
      <c r="I207" s="4" t="s">
        <v>303</v>
      </c>
      <c r="J207" s="1" t="s">
        <v>3446</v>
      </c>
    </row>
    <row r="208">
      <c r="A208" s="1" t="s">
        <v>590</v>
      </c>
      <c r="B208" s="1" t="s">
        <v>678</v>
      </c>
      <c r="D208" s="1">
        <v>11.0</v>
      </c>
      <c r="E208" s="4" t="s">
        <v>679</v>
      </c>
      <c r="F208" s="1" t="s">
        <v>43</v>
      </c>
      <c r="G208" s="2"/>
      <c r="H208" s="1" t="s">
        <v>680</v>
      </c>
      <c r="I208" s="4" t="s">
        <v>681</v>
      </c>
      <c r="J208" s="1" t="s">
        <v>3447</v>
      </c>
    </row>
    <row r="209">
      <c r="A209" s="1" t="s">
        <v>590</v>
      </c>
      <c r="B209" s="1" t="s">
        <v>682</v>
      </c>
      <c r="C209" s="1" t="s">
        <v>683</v>
      </c>
      <c r="D209" s="1">
        <v>12.0</v>
      </c>
      <c r="E209" s="4" t="s">
        <v>684</v>
      </c>
      <c r="F209" s="1" t="s">
        <v>43</v>
      </c>
      <c r="G209" s="2"/>
      <c r="H209" s="1" t="s">
        <v>634</v>
      </c>
      <c r="I209" s="1" t="s">
        <v>635</v>
      </c>
      <c r="J209" s="1" t="s">
        <v>3448</v>
      </c>
    </row>
    <row r="210">
      <c r="A210" s="1" t="s">
        <v>590</v>
      </c>
      <c r="B210" s="1" t="s">
        <v>685</v>
      </c>
      <c r="D210" s="1">
        <v>13.0</v>
      </c>
      <c r="E210" s="4" t="s">
        <v>686</v>
      </c>
      <c r="F210" s="1" t="s">
        <v>43</v>
      </c>
      <c r="G210" s="2"/>
      <c r="H210" s="1" t="s">
        <v>302</v>
      </c>
      <c r="I210" s="4" t="s">
        <v>303</v>
      </c>
      <c r="J210" s="1" t="s">
        <v>3449</v>
      </c>
    </row>
    <row r="211">
      <c r="A211" s="1" t="s">
        <v>590</v>
      </c>
      <c r="B211" s="4" t="s">
        <v>687</v>
      </c>
      <c r="D211" s="1">
        <v>16.0</v>
      </c>
      <c r="E211" s="4" t="s">
        <v>688</v>
      </c>
      <c r="F211" s="1" t="s">
        <v>43</v>
      </c>
      <c r="G211" s="2"/>
      <c r="H211" s="1" t="s">
        <v>689</v>
      </c>
      <c r="I211" s="4" t="s">
        <v>690</v>
      </c>
      <c r="J211" s="1" t="s">
        <v>3450</v>
      </c>
    </row>
    <row r="212">
      <c r="A212" s="1" t="s">
        <v>590</v>
      </c>
      <c r="B212" s="1" t="s">
        <v>691</v>
      </c>
      <c r="C212" s="1" t="s">
        <v>80</v>
      </c>
      <c r="D212" s="1">
        <v>17.0</v>
      </c>
      <c r="E212" s="4" t="s">
        <v>692</v>
      </c>
      <c r="F212" s="1" t="s">
        <v>43</v>
      </c>
      <c r="G212" s="2"/>
      <c r="J212" s="1" t="s">
        <v>3269</v>
      </c>
    </row>
    <row r="213">
      <c r="A213" s="1" t="s">
        <v>590</v>
      </c>
      <c r="B213" s="1" t="s">
        <v>693</v>
      </c>
      <c r="D213" s="1">
        <v>18.0</v>
      </c>
      <c r="E213" s="4" t="s">
        <v>694</v>
      </c>
      <c r="F213" s="1" t="s">
        <v>43</v>
      </c>
      <c r="G213" s="2"/>
      <c r="H213" s="1" t="s">
        <v>695</v>
      </c>
      <c r="I213" s="4" t="s">
        <v>696</v>
      </c>
      <c r="J213" s="1" t="s">
        <v>3451</v>
      </c>
    </row>
    <row r="214">
      <c r="A214" s="1" t="s">
        <v>590</v>
      </c>
      <c r="B214" s="1" t="s">
        <v>697</v>
      </c>
      <c r="D214" s="1">
        <v>24.0</v>
      </c>
      <c r="E214" s="4" t="s">
        <v>698</v>
      </c>
      <c r="F214" s="1" t="s">
        <v>43</v>
      </c>
      <c r="G214" s="2"/>
      <c r="H214" s="1" t="s">
        <v>302</v>
      </c>
      <c r="I214" s="4" t="s">
        <v>303</v>
      </c>
      <c r="J214" s="1" t="s">
        <v>3452</v>
      </c>
    </row>
    <row r="215">
      <c r="A215" s="1" t="s">
        <v>590</v>
      </c>
      <c r="B215" s="1" t="s">
        <v>699</v>
      </c>
      <c r="D215" s="1">
        <v>25.0</v>
      </c>
      <c r="E215" s="4" t="s">
        <v>700</v>
      </c>
      <c r="F215" s="1" t="s">
        <v>43</v>
      </c>
      <c r="G215" s="2"/>
      <c r="H215" s="1" t="s">
        <v>302</v>
      </c>
      <c r="I215" s="4" t="s">
        <v>303</v>
      </c>
      <c r="J215" s="1" t="s">
        <v>3453</v>
      </c>
    </row>
    <row r="216">
      <c r="A216" s="1" t="s">
        <v>590</v>
      </c>
      <c r="B216" s="1" t="s">
        <v>676</v>
      </c>
      <c r="D216" s="1">
        <v>26.0</v>
      </c>
      <c r="E216" s="4" t="s">
        <v>701</v>
      </c>
      <c r="F216" s="1" t="s">
        <v>43</v>
      </c>
      <c r="G216" s="2"/>
      <c r="H216" s="1" t="s">
        <v>302</v>
      </c>
      <c r="I216" s="4" t="s">
        <v>303</v>
      </c>
      <c r="J216" s="1" t="s">
        <v>3446</v>
      </c>
    </row>
    <row r="217">
      <c r="A217" s="1" t="s">
        <v>590</v>
      </c>
      <c r="B217" s="1" t="s">
        <v>702</v>
      </c>
      <c r="D217" s="1">
        <v>27.0</v>
      </c>
      <c r="E217" s="4" t="s">
        <v>703</v>
      </c>
      <c r="F217" s="1" t="s">
        <v>43</v>
      </c>
      <c r="G217" s="2"/>
      <c r="H217" s="1" t="s">
        <v>302</v>
      </c>
      <c r="I217" s="4" t="s">
        <v>303</v>
      </c>
      <c r="J217" s="1" t="s">
        <v>3454</v>
      </c>
    </row>
    <row r="218">
      <c r="A218" s="1" t="s">
        <v>590</v>
      </c>
      <c r="B218" s="1" t="s">
        <v>704</v>
      </c>
      <c r="C218" s="1" t="s">
        <v>705</v>
      </c>
      <c r="D218" s="1">
        <v>28.0</v>
      </c>
      <c r="E218" s="4" t="s">
        <v>706</v>
      </c>
      <c r="F218" s="1" t="s">
        <v>43</v>
      </c>
      <c r="G218" s="2"/>
      <c r="H218" s="1" t="s">
        <v>31</v>
      </c>
      <c r="I218" s="4" t="s">
        <v>32</v>
      </c>
      <c r="J218" s="1" t="s">
        <v>3455</v>
      </c>
    </row>
    <row r="219">
      <c r="A219" s="1" t="s">
        <v>590</v>
      </c>
      <c r="B219" s="1" t="s">
        <v>707</v>
      </c>
      <c r="C219" s="1" t="s">
        <v>708</v>
      </c>
      <c r="D219" s="1">
        <v>32.0</v>
      </c>
      <c r="E219" s="4" t="s">
        <v>709</v>
      </c>
      <c r="F219" s="1" t="s">
        <v>43</v>
      </c>
      <c r="G219" s="2"/>
      <c r="H219" s="1" t="s">
        <v>710</v>
      </c>
      <c r="I219" s="1" t="s">
        <v>711</v>
      </c>
      <c r="J219" s="1" t="s">
        <v>3456</v>
      </c>
    </row>
    <row r="220">
      <c r="A220" s="1" t="s">
        <v>712</v>
      </c>
      <c r="B220" s="1" t="s">
        <v>591</v>
      </c>
      <c r="C220" s="1" t="s">
        <v>713</v>
      </c>
      <c r="D220" s="1">
        <v>1.0</v>
      </c>
      <c r="E220" s="4" t="s">
        <v>593</v>
      </c>
      <c r="F220" s="1" t="s">
        <v>16</v>
      </c>
      <c r="G220" s="2"/>
      <c r="H220" s="1" t="s">
        <v>34</v>
      </c>
      <c r="I220" s="4" t="s">
        <v>594</v>
      </c>
      <c r="J220" s="1" t="s">
        <v>3457</v>
      </c>
    </row>
    <row r="221">
      <c r="A221" s="1" t="s">
        <v>712</v>
      </c>
      <c r="B221" s="1" t="s">
        <v>595</v>
      </c>
      <c r="C221" s="1" t="s">
        <v>714</v>
      </c>
      <c r="D221" s="1">
        <v>2.0</v>
      </c>
      <c r="E221" s="4" t="s">
        <v>596</v>
      </c>
      <c r="F221" s="1" t="s">
        <v>16</v>
      </c>
      <c r="G221" s="2"/>
      <c r="H221" s="1" t="s">
        <v>120</v>
      </c>
      <c r="I221" s="4" t="s">
        <v>121</v>
      </c>
      <c r="J221" s="1" t="s">
        <v>3458</v>
      </c>
    </row>
    <row r="222">
      <c r="A222" s="1" t="s">
        <v>712</v>
      </c>
      <c r="B222" s="1" t="s">
        <v>597</v>
      </c>
      <c r="C222" s="1" t="s">
        <v>598</v>
      </c>
      <c r="D222" s="1">
        <v>3.0</v>
      </c>
      <c r="E222" s="4" t="s">
        <v>599</v>
      </c>
      <c r="F222" s="1" t="s">
        <v>16</v>
      </c>
      <c r="G222" s="2"/>
      <c r="H222" s="1" t="s">
        <v>31</v>
      </c>
      <c r="I222" s="4" t="s">
        <v>32</v>
      </c>
      <c r="J222" s="1" t="s">
        <v>3459</v>
      </c>
    </row>
    <row r="223">
      <c r="A223" s="1" t="s">
        <v>712</v>
      </c>
      <c r="B223" s="1" t="s">
        <v>602</v>
      </c>
      <c r="C223" s="1" t="s">
        <v>715</v>
      </c>
      <c r="D223" s="1">
        <v>4.0</v>
      </c>
      <c r="E223" s="4" t="s">
        <v>603</v>
      </c>
      <c r="F223" s="1" t="s">
        <v>16</v>
      </c>
      <c r="G223" s="2"/>
      <c r="H223" s="1" t="s">
        <v>97</v>
      </c>
      <c r="I223" s="4" t="s">
        <v>98</v>
      </c>
      <c r="J223" s="1" t="s">
        <v>3460</v>
      </c>
    </row>
    <row r="224">
      <c r="A224" s="1" t="s">
        <v>712</v>
      </c>
      <c r="B224" s="1" t="s">
        <v>716</v>
      </c>
      <c r="D224" s="1">
        <v>5.0</v>
      </c>
      <c r="E224" s="4" t="s">
        <v>717</v>
      </c>
      <c r="F224" s="1" t="s">
        <v>16</v>
      </c>
      <c r="G224" s="2"/>
      <c r="J224" s="1" t="s">
        <v>3269</v>
      </c>
    </row>
    <row r="225">
      <c r="A225" s="1" t="s">
        <v>712</v>
      </c>
      <c r="B225" s="1" t="s">
        <v>636</v>
      </c>
      <c r="C225" s="1" t="s">
        <v>718</v>
      </c>
      <c r="D225" s="1">
        <v>6.0</v>
      </c>
      <c r="E225" s="4" t="s">
        <v>638</v>
      </c>
      <c r="F225" s="1" t="s">
        <v>16</v>
      </c>
      <c r="G225" s="2"/>
      <c r="H225" s="1" t="s">
        <v>444</v>
      </c>
      <c r="I225" s="4" t="s">
        <v>445</v>
      </c>
      <c r="J225" s="1" t="s">
        <v>3461</v>
      </c>
    </row>
    <row r="226">
      <c r="A226" s="1" t="s">
        <v>712</v>
      </c>
      <c r="B226" s="1" t="s">
        <v>719</v>
      </c>
      <c r="D226" s="1">
        <v>7.0</v>
      </c>
      <c r="E226" s="4" t="s">
        <v>655</v>
      </c>
      <c r="F226" s="1" t="s">
        <v>16</v>
      </c>
      <c r="G226" s="2"/>
      <c r="H226" s="1" t="s">
        <v>656</v>
      </c>
      <c r="I226" s="4" t="s">
        <v>657</v>
      </c>
      <c r="J226" s="1" t="s">
        <v>3462</v>
      </c>
    </row>
    <row r="227">
      <c r="A227" s="1" t="s">
        <v>712</v>
      </c>
      <c r="B227" s="1" t="s">
        <v>720</v>
      </c>
      <c r="C227" s="1" t="s">
        <v>721</v>
      </c>
      <c r="D227" s="1">
        <v>8.0</v>
      </c>
      <c r="E227" s="4" t="s">
        <v>722</v>
      </c>
      <c r="F227" s="1" t="s">
        <v>16</v>
      </c>
      <c r="G227" s="2"/>
      <c r="J227" s="1" t="s">
        <v>3269</v>
      </c>
    </row>
    <row r="228">
      <c r="A228" s="1" t="s">
        <v>712</v>
      </c>
      <c r="B228" s="1" t="s">
        <v>723</v>
      </c>
      <c r="C228" s="1" t="s">
        <v>724</v>
      </c>
      <c r="D228" s="1">
        <v>9.0</v>
      </c>
      <c r="E228" s="4" t="s">
        <v>725</v>
      </c>
      <c r="F228" s="1" t="s">
        <v>16</v>
      </c>
      <c r="G228" s="2"/>
      <c r="H228" s="1" t="s">
        <v>726</v>
      </c>
      <c r="I228" s="4" t="s">
        <v>727</v>
      </c>
      <c r="J228" s="1" t="s">
        <v>3463</v>
      </c>
    </row>
    <row r="229">
      <c r="A229" s="1" t="s">
        <v>712</v>
      </c>
      <c r="B229" s="1" t="s">
        <v>728</v>
      </c>
      <c r="C229" s="1" t="s">
        <v>729</v>
      </c>
      <c r="D229" s="1">
        <v>10.0</v>
      </c>
      <c r="E229" s="4" t="s">
        <v>730</v>
      </c>
      <c r="F229" s="1" t="s">
        <v>16</v>
      </c>
      <c r="G229" s="2"/>
      <c r="H229" s="1" t="s">
        <v>731</v>
      </c>
      <c r="I229" s="1" t="s">
        <v>732</v>
      </c>
      <c r="J229" s="1" t="s">
        <v>3464</v>
      </c>
    </row>
    <row r="230">
      <c r="A230" s="1" t="s">
        <v>712</v>
      </c>
      <c r="B230" s="1" t="s">
        <v>733</v>
      </c>
      <c r="D230" s="1">
        <v>11.0</v>
      </c>
      <c r="E230" s="4" t="s">
        <v>734</v>
      </c>
      <c r="F230" s="1" t="s">
        <v>16</v>
      </c>
      <c r="G230" s="2"/>
      <c r="H230" s="1" t="s">
        <v>228</v>
      </c>
      <c r="I230" s="4" t="s">
        <v>229</v>
      </c>
      <c r="J230" s="1" t="s">
        <v>3465</v>
      </c>
    </row>
    <row r="231">
      <c r="A231" s="1" t="s">
        <v>712</v>
      </c>
      <c r="B231" s="4" t="s">
        <v>620</v>
      </c>
      <c r="D231" s="1">
        <v>12.0</v>
      </c>
      <c r="E231" s="4" t="s">
        <v>621</v>
      </c>
      <c r="F231" s="1" t="s">
        <v>16</v>
      </c>
      <c r="G231" s="2"/>
      <c r="J231" s="1" t="s">
        <v>3269</v>
      </c>
    </row>
    <row r="232">
      <c r="A232" s="1" t="s">
        <v>712</v>
      </c>
      <c r="B232" s="1" t="s">
        <v>735</v>
      </c>
      <c r="C232" s="1" t="s">
        <v>736</v>
      </c>
      <c r="D232" s="1">
        <v>13.0</v>
      </c>
      <c r="E232" s="4" t="s">
        <v>737</v>
      </c>
      <c r="F232" s="1" t="s">
        <v>16</v>
      </c>
      <c r="G232" s="2"/>
      <c r="H232" s="1" t="s">
        <v>738</v>
      </c>
      <c r="I232" s="4" t="s">
        <v>739</v>
      </c>
      <c r="J232" s="1" t="s">
        <v>3466</v>
      </c>
    </row>
    <row r="233">
      <c r="A233" s="1" t="s">
        <v>712</v>
      </c>
      <c r="B233" s="1" t="s">
        <v>740</v>
      </c>
      <c r="D233" s="1">
        <v>14.0</v>
      </c>
      <c r="E233" s="4" t="s">
        <v>741</v>
      </c>
      <c r="F233" s="1" t="s">
        <v>16</v>
      </c>
      <c r="G233" s="2"/>
      <c r="H233" s="1" t="s">
        <v>228</v>
      </c>
      <c r="I233" s="4" t="s">
        <v>229</v>
      </c>
      <c r="J233" s="1" t="s">
        <v>3467</v>
      </c>
    </row>
    <row r="234">
      <c r="A234" s="1" t="s">
        <v>712</v>
      </c>
      <c r="B234" s="1" t="s">
        <v>742</v>
      </c>
      <c r="D234" s="1">
        <v>15.0</v>
      </c>
      <c r="E234" s="4" t="s">
        <v>743</v>
      </c>
      <c r="F234" s="1" t="s">
        <v>16</v>
      </c>
      <c r="G234" s="2"/>
      <c r="H234" s="1" t="s">
        <v>228</v>
      </c>
      <c r="I234" s="4" t="s">
        <v>229</v>
      </c>
      <c r="J234" s="1" t="s">
        <v>3468</v>
      </c>
    </row>
    <row r="235">
      <c r="A235" s="1" t="s">
        <v>712</v>
      </c>
      <c r="B235" s="1" t="s">
        <v>744</v>
      </c>
      <c r="C235" s="1" t="s">
        <v>745</v>
      </c>
      <c r="D235" s="1">
        <v>16.0</v>
      </c>
      <c r="E235" s="4" t="s">
        <v>746</v>
      </c>
      <c r="F235" s="1" t="s">
        <v>16</v>
      </c>
      <c r="G235" s="2"/>
      <c r="H235" s="1" t="s">
        <v>747</v>
      </c>
      <c r="I235" s="4" t="s">
        <v>748</v>
      </c>
      <c r="J235" s="1" t="s">
        <v>3469</v>
      </c>
    </row>
    <row r="236">
      <c r="A236" s="1" t="s">
        <v>712</v>
      </c>
      <c r="B236" s="1" t="s">
        <v>597</v>
      </c>
      <c r="C236" s="1" t="s">
        <v>749</v>
      </c>
      <c r="D236" s="1">
        <v>17.0</v>
      </c>
      <c r="E236" s="4" t="s">
        <v>750</v>
      </c>
      <c r="F236" s="1" t="s">
        <v>16</v>
      </c>
      <c r="G236" s="2"/>
      <c r="H236" s="1" t="s">
        <v>751</v>
      </c>
      <c r="I236" s="4" t="s">
        <v>752</v>
      </c>
      <c r="J236" s="1" t="s">
        <v>3470</v>
      </c>
    </row>
    <row r="237">
      <c r="A237" s="1" t="s">
        <v>712</v>
      </c>
      <c r="B237" s="1" t="s">
        <v>753</v>
      </c>
      <c r="D237" s="1">
        <v>2.0</v>
      </c>
      <c r="E237" s="4" t="s">
        <v>754</v>
      </c>
      <c r="F237" s="1" t="s">
        <v>43</v>
      </c>
      <c r="G237" s="2"/>
      <c r="H237" s="1" t="s">
        <v>302</v>
      </c>
      <c r="I237" s="4" t="s">
        <v>303</v>
      </c>
      <c r="J237" s="1" t="s">
        <v>3471</v>
      </c>
    </row>
    <row r="238">
      <c r="A238" s="1" t="s">
        <v>712</v>
      </c>
      <c r="B238" s="1" t="s">
        <v>755</v>
      </c>
      <c r="D238" s="1">
        <v>3.0</v>
      </c>
      <c r="E238" s="4" t="s">
        <v>756</v>
      </c>
      <c r="F238" s="1" t="s">
        <v>43</v>
      </c>
      <c r="G238" s="2"/>
      <c r="H238" s="1" t="s">
        <v>302</v>
      </c>
      <c r="I238" s="4" t="s">
        <v>303</v>
      </c>
      <c r="J238" s="1" t="s">
        <v>3472</v>
      </c>
    </row>
    <row r="239">
      <c r="A239" s="1" t="s">
        <v>712</v>
      </c>
      <c r="B239" s="1" t="s">
        <v>733</v>
      </c>
      <c r="D239" s="1">
        <v>4.0</v>
      </c>
      <c r="E239" s="4" t="s">
        <v>757</v>
      </c>
      <c r="F239" s="1" t="s">
        <v>43</v>
      </c>
      <c r="G239" s="2"/>
      <c r="H239" s="1" t="s">
        <v>302</v>
      </c>
      <c r="I239" s="4" t="s">
        <v>303</v>
      </c>
      <c r="J239" s="1" t="s">
        <v>3473</v>
      </c>
    </row>
    <row r="240">
      <c r="A240" s="1" t="s">
        <v>712</v>
      </c>
      <c r="B240" s="1" t="s">
        <v>758</v>
      </c>
      <c r="D240" s="1">
        <v>5.0</v>
      </c>
      <c r="E240" s="4" t="s">
        <v>759</v>
      </c>
      <c r="F240" s="1" t="s">
        <v>43</v>
      </c>
      <c r="G240" s="2"/>
      <c r="H240" s="1" t="s">
        <v>302</v>
      </c>
      <c r="I240" s="4" t="s">
        <v>303</v>
      </c>
      <c r="J240" s="1" t="s">
        <v>3474</v>
      </c>
    </row>
    <row r="241">
      <c r="A241" s="1" t="s">
        <v>712</v>
      </c>
      <c r="B241" s="1" t="s">
        <v>760</v>
      </c>
      <c r="D241" s="1">
        <v>6.0</v>
      </c>
      <c r="E241" s="4" t="s">
        <v>761</v>
      </c>
      <c r="F241" s="1" t="s">
        <v>43</v>
      </c>
      <c r="G241" s="2"/>
      <c r="H241" s="1" t="s">
        <v>302</v>
      </c>
      <c r="I241" s="4" t="s">
        <v>303</v>
      </c>
      <c r="J241" s="1" t="s">
        <v>3475</v>
      </c>
    </row>
    <row r="242">
      <c r="A242" s="1" t="s">
        <v>712</v>
      </c>
      <c r="B242" s="1" t="s">
        <v>666</v>
      </c>
      <c r="C242" s="1" t="s">
        <v>762</v>
      </c>
      <c r="D242" s="1">
        <v>9.0</v>
      </c>
      <c r="E242" s="4" t="s">
        <v>668</v>
      </c>
      <c r="F242" s="1" t="s">
        <v>43</v>
      </c>
      <c r="G242" s="2"/>
      <c r="H242" s="1" t="s">
        <v>120</v>
      </c>
      <c r="I242" s="4" t="s">
        <v>121</v>
      </c>
      <c r="J242" s="1" t="s">
        <v>3476</v>
      </c>
    </row>
    <row r="243">
      <c r="A243" s="1" t="s">
        <v>712</v>
      </c>
      <c r="B243" s="1" t="s">
        <v>669</v>
      </c>
      <c r="C243" s="1" t="s">
        <v>763</v>
      </c>
      <c r="D243" s="1">
        <v>10.0</v>
      </c>
      <c r="E243" s="4" t="s">
        <v>670</v>
      </c>
      <c r="F243" s="1" t="s">
        <v>43</v>
      </c>
      <c r="G243" s="2"/>
      <c r="H243" s="1" t="s">
        <v>97</v>
      </c>
      <c r="I243" s="4" t="s">
        <v>98</v>
      </c>
      <c r="J243" s="1" t="s">
        <v>3477</v>
      </c>
    </row>
    <row r="244">
      <c r="A244" s="1" t="s">
        <v>712</v>
      </c>
      <c r="B244" s="1" t="s">
        <v>671</v>
      </c>
      <c r="C244" s="1" t="s">
        <v>764</v>
      </c>
      <c r="D244" s="1">
        <v>13.0</v>
      </c>
      <c r="E244" s="4" t="s">
        <v>673</v>
      </c>
      <c r="F244" s="1" t="s">
        <v>43</v>
      </c>
      <c r="G244" s="2"/>
      <c r="H244" s="1" t="s">
        <v>27</v>
      </c>
      <c r="I244" s="4" t="s">
        <v>28</v>
      </c>
      <c r="J244" s="1" t="s">
        <v>3478</v>
      </c>
    </row>
    <row r="245">
      <c r="A245" s="1" t="s">
        <v>712</v>
      </c>
      <c r="B245" s="1" t="s">
        <v>597</v>
      </c>
      <c r="C245" s="1" t="s">
        <v>765</v>
      </c>
      <c r="D245" s="1">
        <v>14.0</v>
      </c>
      <c r="E245" s="4" t="s">
        <v>766</v>
      </c>
      <c r="F245" s="1" t="s">
        <v>43</v>
      </c>
      <c r="G245" s="2"/>
      <c r="H245" s="1" t="s">
        <v>273</v>
      </c>
      <c r="I245" s="4" t="s">
        <v>476</v>
      </c>
      <c r="J245" s="1" t="s">
        <v>3479</v>
      </c>
    </row>
    <row r="246">
      <c r="A246" s="1" t="s">
        <v>712</v>
      </c>
      <c r="B246" s="1" t="s">
        <v>767</v>
      </c>
      <c r="C246" s="1" t="s">
        <v>768</v>
      </c>
      <c r="D246" s="1">
        <v>17.0</v>
      </c>
      <c r="E246" s="4" t="s">
        <v>769</v>
      </c>
      <c r="F246" s="1" t="s">
        <v>43</v>
      </c>
      <c r="G246" s="2"/>
      <c r="J246" s="1" t="s">
        <v>3269</v>
      </c>
    </row>
    <row r="247">
      <c r="A247" s="1" t="s">
        <v>712</v>
      </c>
      <c r="B247" s="1" t="s">
        <v>770</v>
      </c>
      <c r="D247" s="1">
        <v>20.0</v>
      </c>
      <c r="E247" s="4" t="s">
        <v>771</v>
      </c>
      <c r="F247" s="1" t="s">
        <v>43</v>
      </c>
      <c r="G247" s="2"/>
      <c r="H247" s="1" t="s">
        <v>302</v>
      </c>
      <c r="I247" s="4" t="s">
        <v>303</v>
      </c>
      <c r="J247" s="1" t="s">
        <v>3480</v>
      </c>
    </row>
    <row r="248">
      <c r="A248" s="1" t="s">
        <v>712</v>
      </c>
      <c r="B248" s="1" t="s">
        <v>755</v>
      </c>
      <c r="D248" s="1">
        <v>21.0</v>
      </c>
      <c r="E248" s="4" t="s">
        <v>772</v>
      </c>
      <c r="F248" s="1" t="s">
        <v>43</v>
      </c>
      <c r="G248" s="2"/>
      <c r="H248" s="1" t="s">
        <v>302</v>
      </c>
      <c r="I248" s="4" t="s">
        <v>303</v>
      </c>
      <c r="J248" s="1" t="s">
        <v>3472</v>
      </c>
    </row>
    <row r="249">
      <c r="A249" s="1" t="s">
        <v>712</v>
      </c>
      <c r="B249" s="1" t="s">
        <v>773</v>
      </c>
      <c r="D249" s="1">
        <v>22.0</v>
      </c>
      <c r="E249" s="4" t="s">
        <v>774</v>
      </c>
      <c r="F249" s="1" t="s">
        <v>43</v>
      </c>
      <c r="G249" s="2"/>
      <c r="H249" s="1" t="s">
        <v>302</v>
      </c>
      <c r="I249" s="4" t="s">
        <v>303</v>
      </c>
      <c r="J249" s="1" t="s">
        <v>3481</v>
      </c>
    </row>
    <row r="250">
      <c r="A250" s="1" t="s">
        <v>712</v>
      </c>
      <c r="B250" s="1" t="s">
        <v>775</v>
      </c>
      <c r="C250" s="1" t="s">
        <v>153</v>
      </c>
      <c r="D250" s="1">
        <v>35.0</v>
      </c>
      <c r="E250" s="4" t="s">
        <v>776</v>
      </c>
      <c r="F250" s="1" t="s">
        <v>43</v>
      </c>
      <c r="G250" s="2"/>
      <c r="H250" s="1" t="s">
        <v>777</v>
      </c>
      <c r="I250" s="4" t="s">
        <v>778</v>
      </c>
      <c r="J250" s="1" t="s">
        <v>3482</v>
      </c>
    </row>
    <row r="251">
      <c r="A251" s="1" t="s">
        <v>779</v>
      </c>
      <c r="B251" s="1" t="s">
        <v>780</v>
      </c>
      <c r="C251" s="1" t="s">
        <v>781</v>
      </c>
      <c r="D251" s="1">
        <v>1.0</v>
      </c>
      <c r="E251" s="4" t="s">
        <v>782</v>
      </c>
      <c r="F251" s="1" t="s">
        <v>16</v>
      </c>
      <c r="G251" s="2"/>
      <c r="J251" s="1" t="s">
        <v>3269</v>
      </c>
    </row>
    <row r="252">
      <c r="A252" s="1" t="s">
        <v>779</v>
      </c>
      <c r="B252" s="1" t="s">
        <v>783</v>
      </c>
      <c r="C252" s="1" t="s">
        <v>784</v>
      </c>
      <c r="D252" s="1">
        <v>2.0</v>
      </c>
      <c r="E252" s="4" t="s">
        <v>785</v>
      </c>
      <c r="F252" s="1" t="s">
        <v>16</v>
      </c>
      <c r="G252" s="2"/>
      <c r="H252" s="1" t="s">
        <v>786</v>
      </c>
      <c r="I252" s="4" t="s">
        <v>787</v>
      </c>
      <c r="J252" s="1" t="s">
        <v>3483</v>
      </c>
    </row>
    <row r="253">
      <c r="A253" s="1" t="s">
        <v>779</v>
      </c>
      <c r="B253" s="1" t="s">
        <v>788</v>
      </c>
      <c r="C253" s="1" t="s">
        <v>789</v>
      </c>
      <c r="D253" s="1">
        <v>3.0</v>
      </c>
      <c r="E253" s="4" t="s">
        <v>790</v>
      </c>
      <c r="F253" s="1" t="s">
        <v>16</v>
      </c>
      <c r="G253" s="2"/>
      <c r="H253" s="1" t="s">
        <v>791</v>
      </c>
      <c r="I253" s="4" t="s">
        <v>792</v>
      </c>
      <c r="J253" s="1" t="s">
        <v>3484</v>
      </c>
    </row>
    <row r="254">
      <c r="A254" s="1" t="s">
        <v>779</v>
      </c>
      <c r="B254" s="1" t="s">
        <v>793</v>
      </c>
      <c r="C254" s="1" t="s">
        <v>794</v>
      </c>
      <c r="D254" s="1">
        <v>4.0</v>
      </c>
      <c r="E254" s="4" t="s">
        <v>795</v>
      </c>
      <c r="F254" s="1" t="s">
        <v>16</v>
      </c>
      <c r="G254" s="2"/>
      <c r="J254" s="1" t="s">
        <v>3269</v>
      </c>
    </row>
    <row r="255">
      <c r="A255" s="1" t="s">
        <v>779</v>
      </c>
      <c r="B255" s="1" t="s">
        <v>796</v>
      </c>
      <c r="C255" s="1" t="s">
        <v>797</v>
      </c>
      <c r="D255" s="1">
        <v>5.0</v>
      </c>
      <c r="E255" s="4" t="s">
        <v>798</v>
      </c>
      <c r="F255" s="1" t="s">
        <v>16</v>
      </c>
      <c r="G255" s="2"/>
      <c r="H255" s="1" t="s">
        <v>799</v>
      </c>
      <c r="I255" s="1" t="s">
        <v>800</v>
      </c>
      <c r="J255" s="1" t="s">
        <v>3485</v>
      </c>
    </row>
    <row r="256">
      <c r="A256" s="1" t="s">
        <v>779</v>
      </c>
      <c r="B256" s="1" t="s">
        <v>801</v>
      </c>
      <c r="C256" s="1" t="s">
        <v>802</v>
      </c>
      <c r="D256" s="1">
        <v>6.0</v>
      </c>
      <c r="E256" s="4" t="s">
        <v>803</v>
      </c>
      <c r="F256" s="1" t="s">
        <v>16</v>
      </c>
      <c r="G256" s="2"/>
      <c r="J256" s="1" t="s">
        <v>3269</v>
      </c>
    </row>
    <row r="257">
      <c r="A257" s="1" t="s">
        <v>779</v>
      </c>
      <c r="B257" s="1" t="s">
        <v>804</v>
      </c>
      <c r="C257" s="1" t="s">
        <v>805</v>
      </c>
      <c r="D257" s="1">
        <v>7.0</v>
      </c>
      <c r="E257" s="4" t="s">
        <v>806</v>
      </c>
      <c r="F257" s="1" t="s">
        <v>16</v>
      </c>
      <c r="G257" s="2"/>
      <c r="H257" s="1" t="s">
        <v>807</v>
      </c>
      <c r="I257" s="4" t="s">
        <v>808</v>
      </c>
      <c r="J257" s="1" t="s">
        <v>3486</v>
      </c>
    </row>
    <row r="258">
      <c r="A258" s="1" t="s">
        <v>779</v>
      </c>
      <c r="B258" s="1" t="s">
        <v>809</v>
      </c>
      <c r="C258" s="1" t="s">
        <v>810</v>
      </c>
      <c r="D258" s="1">
        <v>8.0</v>
      </c>
      <c r="E258" s="4" t="s">
        <v>811</v>
      </c>
      <c r="F258" s="1" t="s">
        <v>16</v>
      </c>
      <c r="G258" s="2"/>
      <c r="H258" s="1" t="s">
        <v>812</v>
      </c>
      <c r="I258" s="4" t="s">
        <v>813</v>
      </c>
      <c r="J258" s="1" t="s">
        <v>3487</v>
      </c>
    </row>
    <row r="259">
      <c r="A259" s="1" t="s">
        <v>779</v>
      </c>
      <c r="B259" s="1" t="s">
        <v>814</v>
      </c>
      <c r="C259" s="1" t="s">
        <v>815</v>
      </c>
      <c r="D259" s="1">
        <v>9.0</v>
      </c>
      <c r="E259" s="4" t="s">
        <v>816</v>
      </c>
      <c r="F259" s="1" t="s">
        <v>16</v>
      </c>
      <c r="G259" s="2"/>
      <c r="H259" s="1" t="s">
        <v>120</v>
      </c>
      <c r="I259" s="4" t="s">
        <v>121</v>
      </c>
      <c r="J259" s="1" t="s">
        <v>3488</v>
      </c>
    </row>
    <row r="260">
      <c r="A260" s="1" t="s">
        <v>779</v>
      </c>
      <c r="B260" s="1" t="s">
        <v>817</v>
      </c>
      <c r="C260" s="1" t="s">
        <v>818</v>
      </c>
      <c r="D260" s="1">
        <v>10.0</v>
      </c>
      <c r="E260" s="4" t="s">
        <v>819</v>
      </c>
      <c r="F260" s="1" t="s">
        <v>16</v>
      </c>
      <c r="G260" s="2"/>
      <c r="H260" s="1" t="s">
        <v>820</v>
      </c>
      <c r="I260" s="1" t="s">
        <v>821</v>
      </c>
      <c r="J260" s="1" t="s">
        <v>3489</v>
      </c>
    </row>
    <row r="261">
      <c r="A261" s="1" t="s">
        <v>779</v>
      </c>
      <c r="B261" s="1" t="s">
        <v>822</v>
      </c>
      <c r="C261" s="1" t="s">
        <v>823</v>
      </c>
      <c r="D261" s="1">
        <v>11.0</v>
      </c>
      <c r="E261" s="4" t="s">
        <v>824</v>
      </c>
      <c r="F261" s="1" t="s">
        <v>16</v>
      </c>
      <c r="G261" s="2"/>
      <c r="H261" s="1" t="s">
        <v>120</v>
      </c>
      <c r="I261" s="4" t="s">
        <v>121</v>
      </c>
      <c r="J261" s="1" t="s">
        <v>3490</v>
      </c>
    </row>
    <row r="262">
      <c r="A262" s="1" t="s">
        <v>779</v>
      </c>
      <c r="B262" s="1" t="s">
        <v>825</v>
      </c>
      <c r="C262" s="1" t="s">
        <v>826</v>
      </c>
      <c r="D262" s="1">
        <v>12.0</v>
      </c>
      <c r="E262" s="4" t="s">
        <v>827</v>
      </c>
      <c r="F262" s="1" t="s">
        <v>16</v>
      </c>
      <c r="G262" s="2"/>
      <c r="H262" s="1" t="s">
        <v>34</v>
      </c>
      <c r="I262" s="4" t="s">
        <v>35</v>
      </c>
      <c r="J262" s="1" t="s">
        <v>3491</v>
      </c>
    </row>
    <row r="263">
      <c r="A263" s="1" t="s">
        <v>779</v>
      </c>
      <c r="B263" s="1" t="s">
        <v>828</v>
      </c>
      <c r="D263" s="1">
        <v>13.0</v>
      </c>
      <c r="E263" s="4" t="s">
        <v>829</v>
      </c>
      <c r="F263" s="1" t="s">
        <v>16</v>
      </c>
      <c r="G263" s="2"/>
      <c r="H263" s="1" t="s">
        <v>830</v>
      </c>
      <c r="I263" s="1" t="s">
        <v>831</v>
      </c>
      <c r="J263" s="1" t="s">
        <v>3492</v>
      </c>
    </row>
    <row r="264">
      <c r="A264" s="1" t="s">
        <v>779</v>
      </c>
      <c r="B264" s="1" t="s">
        <v>832</v>
      </c>
      <c r="D264" s="1">
        <v>14.0</v>
      </c>
      <c r="E264" s="4" t="s">
        <v>833</v>
      </c>
      <c r="F264" s="1" t="s">
        <v>16</v>
      </c>
      <c r="G264" s="2"/>
      <c r="H264" s="1" t="s">
        <v>834</v>
      </c>
      <c r="I264" s="4" t="s">
        <v>835</v>
      </c>
      <c r="J264" s="1" t="s">
        <v>3493</v>
      </c>
    </row>
    <row r="265">
      <c r="A265" s="1" t="s">
        <v>779</v>
      </c>
      <c r="B265" s="1" t="s">
        <v>836</v>
      </c>
      <c r="C265" s="1" t="s">
        <v>818</v>
      </c>
      <c r="D265" s="1">
        <v>15.0</v>
      </c>
      <c r="E265" s="4" t="s">
        <v>837</v>
      </c>
      <c r="F265" s="1" t="s">
        <v>16</v>
      </c>
      <c r="G265" s="2"/>
      <c r="H265" s="1" t="s">
        <v>838</v>
      </c>
      <c r="I265" s="4" t="s">
        <v>839</v>
      </c>
      <c r="J265" s="1" t="s">
        <v>3494</v>
      </c>
    </row>
    <row r="266">
      <c r="A266" s="1" t="s">
        <v>779</v>
      </c>
      <c r="B266" s="1" t="s">
        <v>840</v>
      </c>
      <c r="C266" s="1" t="s">
        <v>841</v>
      </c>
      <c r="D266" s="1">
        <v>16.0</v>
      </c>
      <c r="E266" s="4" t="s">
        <v>842</v>
      </c>
      <c r="F266" s="1" t="s">
        <v>16</v>
      </c>
      <c r="G266" s="2"/>
      <c r="J266" s="1" t="s">
        <v>3269</v>
      </c>
    </row>
    <row r="267">
      <c r="A267" s="1" t="s">
        <v>779</v>
      </c>
      <c r="B267" s="1" t="s">
        <v>843</v>
      </c>
      <c r="C267" s="1" t="s">
        <v>818</v>
      </c>
      <c r="D267" s="1">
        <v>17.0</v>
      </c>
      <c r="E267" s="4" t="s">
        <v>844</v>
      </c>
      <c r="F267" s="1" t="s">
        <v>16</v>
      </c>
      <c r="G267" s="2"/>
      <c r="H267" s="1" t="s">
        <v>845</v>
      </c>
      <c r="I267" s="4" t="s">
        <v>846</v>
      </c>
      <c r="J267" s="1" t="s">
        <v>3495</v>
      </c>
    </row>
    <row r="268">
      <c r="A268" s="1" t="s">
        <v>779</v>
      </c>
      <c r="B268" s="1" t="s">
        <v>847</v>
      </c>
      <c r="C268" s="1" t="s">
        <v>848</v>
      </c>
      <c r="D268" s="1">
        <v>18.0</v>
      </c>
      <c r="E268" s="4" t="s">
        <v>849</v>
      </c>
      <c r="F268" s="1" t="s">
        <v>16</v>
      </c>
      <c r="G268" s="2"/>
      <c r="J268" s="1" t="s">
        <v>3269</v>
      </c>
    </row>
    <row r="269">
      <c r="A269" s="1" t="s">
        <v>779</v>
      </c>
      <c r="B269" s="1" t="s">
        <v>850</v>
      </c>
      <c r="C269" s="1" t="s">
        <v>851</v>
      </c>
      <c r="D269" s="1">
        <v>3.0</v>
      </c>
      <c r="E269" s="4" t="s">
        <v>852</v>
      </c>
      <c r="F269" s="1" t="s">
        <v>43</v>
      </c>
      <c r="G269" s="2"/>
      <c r="H269" s="1" t="s">
        <v>853</v>
      </c>
      <c r="I269" s="4" t="s">
        <v>854</v>
      </c>
      <c r="J269" s="1" t="s">
        <v>3496</v>
      </c>
    </row>
    <row r="270">
      <c r="A270" s="1" t="s">
        <v>779</v>
      </c>
      <c r="B270" s="1" t="s">
        <v>855</v>
      </c>
      <c r="C270" s="1" t="s">
        <v>856</v>
      </c>
      <c r="D270" s="1">
        <v>8.0</v>
      </c>
      <c r="E270" s="4" t="s">
        <v>857</v>
      </c>
      <c r="F270" s="1" t="s">
        <v>43</v>
      </c>
      <c r="G270" s="2"/>
      <c r="H270" s="1" t="s">
        <v>858</v>
      </c>
      <c r="I270" s="1" t="s">
        <v>859</v>
      </c>
      <c r="J270" s="1" t="s">
        <v>3497</v>
      </c>
    </row>
    <row r="271">
      <c r="A271" s="1" t="s">
        <v>779</v>
      </c>
      <c r="B271" s="1" t="s">
        <v>860</v>
      </c>
      <c r="C271" s="1" t="s">
        <v>861</v>
      </c>
      <c r="D271" s="1">
        <v>10.0</v>
      </c>
      <c r="E271" s="4" t="s">
        <v>862</v>
      </c>
      <c r="F271" s="1" t="s">
        <v>43</v>
      </c>
      <c r="G271" s="2"/>
      <c r="H271" s="1" t="s">
        <v>863</v>
      </c>
      <c r="I271" s="1" t="s">
        <v>864</v>
      </c>
      <c r="J271" s="1" t="s">
        <v>3498</v>
      </c>
    </row>
    <row r="272">
      <c r="A272" s="1" t="s">
        <v>779</v>
      </c>
      <c r="B272" s="1" t="s">
        <v>865</v>
      </c>
      <c r="C272" s="1" t="s">
        <v>866</v>
      </c>
      <c r="D272" s="1">
        <v>11.0</v>
      </c>
      <c r="E272" s="4" t="s">
        <v>867</v>
      </c>
      <c r="F272" s="1" t="s">
        <v>43</v>
      </c>
      <c r="G272" s="2"/>
      <c r="J272" s="1" t="s">
        <v>3269</v>
      </c>
    </row>
    <row r="273">
      <c r="A273" s="1" t="s">
        <v>779</v>
      </c>
      <c r="B273" s="1" t="s">
        <v>868</v>
      </c>
      <c r="C273" s="1" t="s">
        <v>869</v>
      </c>
      <c r="D273" s="1">
        <v>13.0</v>
      </c>
      <c r="E273" s="4" t="s">
        <v>870</v>
      </c>
      <c r="F273" s="1" t="s">
        <v>43</v>
      </c>
      <c r="G273" s="2"/>
      <c r="H273" s="1" t="s">
        <v>120</v>
      </c>
      <c r="I273" s="4" t="s">
        <v>121</v>
      </c>
      <c r="J273" s="1" t="s">
        <v>3499</v>
      </c>
    </row>
    <row r="274">
      <c r="A274" s="1" t="s">
        <v>779</v>
      </c>
      <c r="B274" s="1" t="s">
        <v>871</v>
      </c>
      <c r="C274" s="1" t="s">
        <v>872</v>
      </c>
      <c r="D274" s="1">
        <v>14.0</v>
      </c>
      <c r="E274" s="4" t="s">
        <v>873</v>
      </c>
      <c r="F274" s="1" t="s">
        <v>43</v>
      </c>
      <c r="G274" s="2"/>
      <c r="H274" s="1" t="s">
        <v>874</v>
      </c>
      <c r="I274" s="4" t="s">
        <v>875</v>
      </c>
      <c r="J274" s="1" t="s">
        <v>3500</v>
      </c>
    </row>
    <row r="275">
      <c r="A275" s="1" t="s">
        <v>779</v>
      </c>
      <c r="B275" s="1" t="s">
        <v>876</v>
      </c>
      <c r="D275" s="1">
        <v>17.0</v>
      </c>
      <c r="E275" s="4" t="s">
        <v>877</v>
      </c>
      <c r="F275" s="1" t="s">
        <v>43</v>
      </c>
      <c r="G275" s="2"/>
      <c r="H275" s="1" t="s">
        <v>97</v>
      </c>
      <c r="I275" s="4" t="s">
        <v>98</v>
      </c>
      <c r="J275" s="1" t="s">
        <v>3501</v>
      </c>
    </row>
    <row r="276">
      <c r="A276" s="1" t="s">
        <v>779</v>
      </c>
      <c r="B276" s="1" t="s">
        <v>878</v>
      </c>
      <c r="C276" s="1" t="s">
        <v>879</v>
      </c>
      <c r="D276" s="1">
        <v>20.0</v>
      </c>
      <c r="E276" s="4" t="s">
        <v>880</v>
      </c>
      <c r="F276" s="1" t="s">
        <v>43</v>
      </c>
      <c r="G276" s="2"/>
      <c r="H276" s="1" t="s">
        <v>881</v>
      </c>
      <c r="I276" s="4" t="s">
        <v>882</v>
      </c>
      <c r="J276" s="1" t="s">
        <v>3502</v>
      </c>
    </row>
    <row r="277">
      <c r="A277" s="1" t="s">
        <v>883</v>
      </c>
      <c r="B277" s="1" t="s">
        <v>884</v>
      </c>
      <c r="D277" s="1">
        <v>1.0</v>
      </c>
      <c r="E277" s="4" t="s">
        <v>885</v>
      </c>
      <c r="F277" s="1" t="s">
        <v>16</v>
      </c>
      <c r="G277" s="2"/>
      <c r="J277" s="1" t="s">
        <v>3269</v>
      </c>
    </row>
    <row r="278">
      <c r="A278" s="1" t="s">
        <v>883</v>
      </c>
      <c r="B278" s="1" t="s">
        <v>886</v>
      </c>
      <c r="D278" s="1">
        <v>2.0</v>
      </c>
      <c r="E278" s="4" t="s">
        <v>887</v>
      </c>
      <c r="F278" s="1" t="s">
        <v>16</v>
      </c>
      <c r="G278" s="2"/>
      <c r="H278" s="1" t="s">
        <v>888</v>
      </c>
      <c r="I278" s="4" t="s">
        <v>889</v>
      </c>
      <c r="J278" s="1" t="s">
        <v>3503</v>
      </c>
    </row>
    <row r="279">
      <c r="A279" s="1" t="s">
        <v>883</v>
      </c>
      <c r="B279" s="1" t="s">
        <v>890</v>
      </c>
      <c r="D279" s="1">
        <v>3.0</v>
      </c>
      <c r="E279" s="4" t="s">
        <v>891</v>
      </c>
      <c r="F279" s="1" t="s">
        <v>16</v>
      </c>
      <c r="G279" s="2"/>
      <c r="J279" s="1" t="s">
        <v>3269</v>
      </c>
    </row>
    <row r="280">
      <c r="A280" s="1" t="s">
        <v>883</v>
      </c>
      <c r="B280" s="1" t="s">
        <v>892</v>
      </c>
      <c r="C280" s="1" t="s">
        <v>893</v>
      </c>
      <c r="D280" s="1">
        <v>4.0</v>
      </c>
      <c r="E280" s="4" t="s">
        <v>894</v>
      </c>
      <c r="F280" s="1" t="s">
        <v>16</v>
      </c>
      <c r="G280" s="2"/>
      <c r="J280" s="1" t="s">
        <v>3269</v>
      </c>
    </row>
    <row r="281">
      <c r="A281" s="1" t="s">
        <v>883</v>
      </c>
      <c r="B281" s="1" t="s">
        <v>895</v>
      </c>
      <c r="C281" s="1" t="s">
        <v>896</v>
      </c>
      <c r="D281" s="1">
        <v>5.0</v>
      </c>
      <c r="E281" s="4" t="s">
        <v>897</v>
      </c>
      <c r="F281" s="1" t="s">
        <v>16</v>
      </c>
      <c r="G281" s="2"/>
      <c r="J281" s="1" t="s">
        <v>3269</v>
      </c>
    </row>
    <row r="282">
      <c r="A282" s="1" t="s">
        <v>883</v>
      </c>
      <c r="B282" s="1" t="s">
        <v>898</v>
      </c>
      <c r="C282" s="1" t="s">
        <v>899</v>
      </c>
      <c r="D282" s="1">
        <v>6.0</v>
      </c>
      <c r="E282" s="4" t="s">
        <v>900</v>
      </c>
      <c r="F282" s="1" t="s">
        <v>16</v>
      </c>
      <c r="G282" s="2"/>
      <c r="H282" s="1" t="s">
        <v>901</v>
      </c>
      <c r="I282" s="4" t="s">
        <v>902</v>
      </c>
      <c r="J282" s="1" t="s">
        <v>3504</v>
      </c>
    </row>
    <row r="283">
      <c r="A283" s="1" t="s">
        <v>883</v>
      </c>
      <c r="B283" s="1" t="s">
        <v>903</v>
      </c>
      <c r="D283" s="1">
        <v>7.0</v>
      </c>
      <c r="E283" s="4" t="s">
        <v>904</v>
      </c>
      <c r="F283" s="1" t="s">
        <v>16</v>
      </c>
      <c r="G283" s="2"/>
      <c r="H283" s="1" t="s">
        <v>905</v>
      </c>
      <c r="I283" s="4" t="s">
        <v>906</v>
      </c>
      <c r="J283" s="1" t="s">
        <v>3505</v>
      </c>
    </row>
    <row r="284">
      <c r="A284" s="1" t="s">
        <v>883</v>
      </c>
      <c r="B284" s="1" t="s">
        <v>907</v>
      </c>
      <c r="C284" s="1" t="s">
        <v>908</v>
      </c>
      <c r="D284" s="1">
        <v>8.0</v>
      </c>
      <c r="E284" s="4" t="s">
        <v>909</v>
      </c>
      <c r="F284" s="1" t="s">
        <v>16</v>
      </c>
      <c r="G284" s="2"/>
      <c r="H284" s="1" t="s">
        <v>910</v>
      </c>
      <c r="I284" s="4" t="s">
        <v>911</v>
      </c>
      <c r="J284" s="1" t="s">
        <v>3506</v>
      </c>
    </row>
    <row r="285">
      <c r="A285" s="1" t="s">
        <v>883</v>
      </c>
      <c r="B285" s="1" t="s">
        <v>912</v>
      </c>
      <c r="C285" s="1" t="s">
        <v>913</v>
      </c>
      <c r="D285" s="1">
        <v>9.0</v>
      </c>
      <c r="E285" s="4" t="s">
        <v>914</v>
      </c>
      <c r="F285" s="1" t="s">
        <v>16</v>
      </c>
      <c r="G285" s="2"/>
      <c r="H285" s="1" t="s">
        <v>915</v>
      </c>
      <c r="I285" s="1" t="s">
        <v>916</v>
      </c>
      <c r="J285" s="1" t="s">
        <v>3507</v>
      </c>
    </row>
    <row r="286">
      <c r="A286" s="1" t="s">
        <v>883</v>
      </c>
      <c r="B286" s="1" t="s">
        <v>917</v>
      </c>
      <c r="D286" s="1">
        <v>10.0</v>
      </c>
      <c r="E286" s="4" t="s">
        <v>918</v>
      </c>
      <c r="F286" s="1" t="s">
        <v>16</v>
      </c>
      <c r="G286" s="2"/>
      <c r="H286" s="1" t="s">
        <v>919</v>
      </c>
      <c r="I286" s="4" t="s">
        <v>920</v>
      </c>
      <c r="J286" s="1" t="s">
        <v>3508</v>
      </c>
    </row>
    <row r="287">
      <c r="A287" s="1" t="s">
        <v>883</v>
      </c>
      <c r="B287" s="1" t="s">
        <v>921</v>
      </c>
      <c r="D287" s="1">
        <v>11.0</v>
      </c>
      <c r="E287" s="4" t="s">
        <v>922</v>
      </c>
      <c r="F287" s="1" t="s">
        <v>16</v>
      </c>
      <c r="G287" s="2"/>
      <c r="H287" s="1" t="s">
        <v>923</v>
      </c>
      <c r="I287" s="4" t="s">
        <v>924</v>
      </c>
      <c r="J287" s="1" t="s">
        <v>3509</v>
      </c>
    </row>
    <row r="288">
      <c r="A288" s="1" t="s">
        <v>883</v>
      </c>
      <c r="B288" s="1" t="s">
        <v>925</v>
      </c>
      <c r="C288" s="1" t="s">
        <v>926</v>
      </c>
      <c r="D288" s="1">
        <v>12.0</v>
      </c>
      <c r="E288" s="4" t="s">
        <v>927</v>
      </c>
      <c r="F288" s="1" t="s">
        <v>16</v>
      </c>
      <c r="G288" s="2"/>
      <c r="H288" s="1" t="s">
        <v>928</v>
      </c>
      <c r="I288" s="4" t="s">
        <v>929</v>
      </c>
      <c r="J288" s="1" t="s">
        <v>3510</v>
      </c>
    </row>
    <row r="289">
      <c r="A289" s="1" t="s">
        <v>883</v>
      </c>
      <c r="B289" s="1" t="s">
        <v>930</v>
      </c>
      <c r="D289" s="1">
        <v>13.0</v>
      </c>
      <c r="E289" s="4" t="s">
        <v>931</v>
      </c>
      <c r="F289" s="1" t="s">
        <v>16</v>
      </c>
      <c r="G289" s="2"/>
      <c r="H289" s="1" t="s">
        <v>932</v>
      </c>
      <c r="I289" s="4" t="s">
        <v>933</v>
      </c>
      <c r="J289" s="1" t="s">
        <v>3511</v>
      </c>
    </row>
    <row r="290">
      <c r="A290" s="1" t="s">
        <v>883</v>
      </c>
      <c r="B290" s="1" t="s">
        <v>934</v>
      </c>
      <c r="C290" s="1" t="s">
        <v>935</v>
      </c>
      <c r="D290" s="1">
        <v>14.0</v>
      </c>
      <c r="E290" s="4" t="s">
        <v>936</v>
      </c>
      <c r="F290" s="1" t="s">
        <v>16</v>
      </c>
      <c r="G290" s="2"/>
      <c r="H290" s="1" t="s">
        <v>937</v>
      </c>
      <c r="I290" s="4" t="s">
        <v>938</v>
      </c>
      <c r="J290" s="1" t="s">
        <v>3512</v>
      </c>
    </row>
    <row r="291">
      <c r="A291" s="1" t="s">
        <v>883</v>
      </c>
      <c r="B291" s="1" t="s">
        <v>939</v>
      </c>
      <c r="D291" s="1">
        <v>15.0</v>
      </c>
      <c r="E291" s="4" t="s">
        <v>940</v>
      </c>
      <c r="F291" s="1" t="s">
        <v>16</v>
      </c>
      <c r="G291" s="2"/>
      <c r="H291" s="1" t="s">
        <v>941</v>
      </c>
      <c r="I291" s="4" t="s">
        <v>942</v>
      </c>
      <c r="J291" s="1" t="s">
        <v>3513</v>
      </c>
    </row>
    <row r="292">
      <c r="A292" s="1" t="s">
        <v>883</v>
      </c>
      <c r="B292" s="1" t="s">
        <v>943</v>
      </c>
      <c r="D292" s="1">
        <v>16.0</v>
      </c>
      <c r="E292" s="4" t="s">
        <v>944</v>
      </c>
      <c r="F292" s="1" t="s">
        <v>16</v>
      </c>
      <c r="G292" s="2"/>
      <c r="J292" s="1" t="s">
        <v>3269</v>
      </c>
    </row>
    <row r="293">
      <c r="A293" s="1" t="s">
        <v>883</v>
      </c>
      <c r="B293" s="1" t="s">
        <v>945</v>
      </c>
      <c r="C293" s="1" t="s">
        <v>946</v>
      </c>
      <c r="D293" s="1">
        <v>17.0</v>
      </c>
      <c r="E293" s="4" t="s">
        <v>947</v>
      </c>
      <c r="F293" s="1" t="s">
        <v>16</v>
      </c>
      <c r="G293" s="2"/>
      <c r="H293" s="1" t="s">
        <v>948</v>
      </c>
      <c r="I293" s="4" t="s">
        <v>949</v>
      </c>
      <c r="J293" s="1" t="s">
        <v>3514</v>
      </c>
    </row>
    <row r="294">
      <c r="A294" s="1" t="s">
        <v>883</v>
      </c>
      <c r="B294" s="1" t="s">
        <v>950</v>
      </c>
      <c r="C294" s="1" t="s">
        <v>951</v>
      </c>
      <c r="D294" s="1">
        <v>18.0</v>
      </c>
      <c r="E294" s="4" t="s">
        <v>952</v>
      </c>
      <c r="F294" s="1" t="s">
        <v>16</v>
      </c>
      <c r="G294" s="2"/>
      <c r="H294" s="1" t="s">
        <v>953</v>
      </c>
      <c r="I294" s="4" t="s">
        <v>954</v>
      </c>
      <c r="J294" s="1" t="s">
        <v>3515</v>
      </c>
    </row>
    <row r="295">
      <c r="A295" s="1" t="s">
        <v>883</v>
      </c>
      <c r="B295" s="1" t="s">
        <v>955</v>
      </c>
      <c r="D295" s="1">
        <v>19.0</v>
      </c>
      <c r="E295" s="4" t="s">
        <v>956</v>
      </c>
      <c r="F295" s="1" t="s">
        <v>16</v>
      </c>
      <c r="G295" s="2"/>
      <c r="H295" s="1" t="s">
        <v>957</v>
      </c>
      <c r="I295" s="4" t="s">
        <v>958</v>
      </c>
      <c r="J295" s="1" t="s">
        <v>3516</v>
      </c>
    </row>
    <row r="296">
      <c r="A296" s="1" t="s">
        <v>883</v>
      </c>
      <c r="B296" s="1" t="s">
        <v>959</v>
      </c>
      <c r="C296" s="1" t="s">
        <v>960</v>
      </c>
      <c r="D296" s="1">
        <v>20.0</v>
      </c>
      <c r="E296" s="4" t="s">
        <v>961</v>
      </c>
      <c r="F296" s="1" t="s">
        <v>16</v>
      </c>
      <c r="G296" s="2"/>
      <c r="I296" s="4" t="s">
        <v>962</v>
      </c>
      <c r="J296" s="1" t="s">
        <v>3269</v>
      </c>
    </row>
    <row r="297">
      <c r="A297" s="1" t="s">
        <v>883</v>
      </c>
      <c r="B297" s="1" t="s">
        <v>963</v>
      </c>
      <c r="D297" s="1">
        <v>2.0</v>
      </c>
      <c r="E297" s="4" t="s">
        <v>964</v>
      </c>
      <c r="F297" s="1" t="s">
        <v>43</v>
      </c>
      <c r="G297" s="2"/>
      <c r="H297" s="1" t="s">
        <v>965</v>
      </c>
      <c r="I297" s="4" t="s">
        <v>966</v>
      </c>
      <c r="J297" s="1" t="s">
        <v>3517</v>
      </c>
    </row>
    <row r="298">
      <c r="A298" s="1" t="s">
        <v>883</v>
      </c>
      <c r="B298" s="1" t="s">
        <v>967</v>
      </c>
      <c r="C298" s="1" t="s">
        <v>968</v>
      </c>
      <c r="D298" s="1">
        <v>3.0</v>
      </c>
      <c r="E298" s="4" t="s">
        <v>894</v>
      </c>
      <c r="F298" s="1" t="s">
        <v>43</v>
      </c>
      <c r="G298" s="2"/>
      <c r="J298" s="1" t="s">
        <v>3269</v>
      </c>
    </row>
    <row r="299">
      <c r="A299" s="1" t="s">
        <v>883</v>
      </c>
      <c r="B299" s="1" t="s">
        <v>969</v>
      </c>
      <c r="C299" s="1" t="s">
        <v>970</v>
      </c>
      <c r="D299" s="1">
        <v>6.0</v>
      </c>
      <c r="E299" s="4" t="s">
        <v>971</v>
      </c>
      <c r="F299" s="1" t="s">
        <v>43</v>
      </c>
      <c r="G299" s="2"/>
      <c r="H299" s="1" t="s">
        <v>901</v>
      </c>
      <c r="I299" s="4" t="s">
        <v>902</v>
      </c>
      <c r="J299" s="1" t="s">
        <v>3518</v>
      </c>
    </row>
    <row r="300">
      <c r="A300" s="1" t="s">
        <v>883</v>
      </c>
      <c r="B300" s="1" t="s">
        <v>972</v>
      </c>
      <c r="D300" s="1">
        <v>7.0</v>
      </c>
      <c r="E300" s="4" t="s">
        <v>973</v>
      </c>
      <c r="F300" s="1" t="s">
        <v>43</v>
      </c>
      <c r="G300" s="2"/>
      <c r="H300" s="1" t="s">
        <v>974</v>
      </c>
      <c r="I300" s="4" t="s">
        <v>975</v>
      </c>
      <c r="J300" s="1" t="s">
        <v>3519</v>
      </c>
    </row>
    <row r="301">
      <c r="A301" s="1" t="s">
        <v>883</v>
      </c>
      <c r="B301" s="1" t="s">
        <v>976</v>
      </c>
      <c r="C301" s="1" t="s">
        <v>977</v>
      </c>
      <c r="D301" s="1">
        <v>8.0</v>
      </c>
      <c r="E301" s="4" t="s">
        <v>978</v>
      </c>
      <c r="F301" s="1" t="s">
        <v>43</v>
      </c>
      <c r="G301" s="2"/>
      <c r="H301" s="1" t="s">
        <v>979</v>
      </c>
      <c r="I301" s="4" t="s">
        <v>980</v>
      </c>
      <c r="J301" s="1" t="s">
        <v>3520</v>
      </c>
    </row>
    <row r="302">
      <c r="A302" s="1" t="s">
        <v>883</v>
      </c>
      <c r="B302" s="1" t="s">
        <v>981</v>
      </c>
      <c r="D302" s="1">
        <v>9.0</v>
      </c>
      <c r="E302" s="4" t="s">
        <v>982</v>
      </c>
      <c r="F302" s="1" t="s">
        <v>43</v>
      </c>
      <c r="G302" s="2"/>
      <c r="H302" s="1" t="s">
        <v>34</v>
      </c>
      <c r="I302" s="4" t="s">
        <v>35</v>
      </c>
      <c r="J302" s="1" t="s">
        <v>3521</v>
      </c>
    </row>
    <row r="303">
      <c r="A303" s="1" t="s">
        <v>883</v>
      </c>
      <c r="B303" s="1" t="s">
        <v>983</v>
      </c>
      <c r="C303" s="1" t="s">
        <v>984</v>
      </c>
      <c r="D303" s="1">
        <v>13.0</v>
      </c>
      <c r="E303" s="4" t="s">
        <v>985</v>
      </c>
      <c r="F303" s="1" t="s">
        <v>43</v>
      </c>
      <c r="G303" s="2"/>
      <c r="H303" s="1" t="s">
        <v>910</v>
      </c>
      <c r="I303" s="4" t="s">
        <v>911</v>
      </c>
      <c r="J303" s="1" t="s">
        <v>3522</v>
      </c>
    </row>
    <row r="304">
      <c r="A304" s="1" t="s">
        <v>883</v>
      </c>
      <c r="B304" s="1" t="s">
        <v>986</v>
      </c>
      <c r="D304" s="1">
        <v>14.0</v>
      </c>
      <c r="E304" s="4" t="s">
        <v>987</v>
      </c>
      <c r="F304" s="1" t="s">
        <v>43</v>
      </c>
      <c r="G304" s="2"/>
      <c r="H304" s="1" t="s">
        <v>988</v>
      </c>
      <c r="I304" s="4" t="s">
        <v>989</v>
      </c>
      <c r="J304" s="1" t="s">
        <v>3523</v>
      </c>
    </row>
    <row r="305">
      <c r="A305" s="1" t="s">
        <v>883</v>
      </c>
      <c r="B305" s="1" t="s">
        <v>990</v>
      </c>
      <c r="D305" s="1">
        <v>15.0</v>
      </c>
      <c r="E305" s="4" t="s">
        <v>991</v>
      </c>
      <c r="F305" s="1" t="s">
        <v>43</v>
      </c>
      <c r="G305" s="2"/>
      <c r="H305" s="1" t="s">
        <v>932</v>
      </c>
      <c r="I305" s="4" t="s">
        <v>933</v>
      </c>
      <c r="J305" s="1" t="s">
        <v>3524</v>
      </c>
    </row>
    <row r="306">
      <c r="A306" s="1" t="s">
        <v>883</v>
      </c>
      <c r="B306" s="1" t="s">
        <v>992</v>
      </c>
      <c r="C306" s="1" t="s">
        <v>993</v>
      </c>
      <c r="D306" s="1">
        <v>16.0</v>
      </c>
      <c r="E306" s="4" t="s">
        <v>994</v>
      </c>
      <c r="F306" s="1" t="s">
        <v>43</v>
      </c>
      <c r="G306" s="2"/>
      <c r="H306" s="1" t="s">
        <v>995</v>
      </c>
      <c r="I306" s="4" t="s">
        <v>996</v>
      </c>
      <c r="J306" s="1" t="s">
        <v>3525</v>
      </c>
    </row>
    <row r="307">
      <c r="A307" s="1" t="s">
        <v>883</v>
      </c>
      <c r="B307" s="1" t="s">
        <v>997</v>
      </c>
      <c r="D307" s="1">
        <v>19.0</v>
      </c>
      <c r="E307" s="4" t="s">
        <v>998</v>
      </c>
      <c r="F307" s="1" t="s">
        <v>43</v>
      </c>
      <c r="G307" s="2"/>
      <c r="H307" s="1" t="s">
        <v>999</v>
      </c>
      <c r="I307" s="4" t="s">
        <v>1000</v>
      </c>
      <c r="J307" s="1" t="s">
        <v>3526</v>
      </c>
    </row>
    <row r="308">
      <c r="A308" s="1" t="s">
        <v>883</v>
      </c>
      <c r="B308" s="1" t="s">
        <v>1001</v>
      </c>
      <c r="C308" s="1" t="s">
        <v>1002</v>
      </c>
      <c r="D308" s="1">
        <v>20.0</v>
      </c>
      <c r="E308" s="4" t="s">
        <v>1003</v>
      </c>
      <c r="F308" s="1" t="s">
        <v>43</v>
      </c>
      <c r="G308" s="2"/>
      <c r="H308" s="1" t="s">
        <v>1004</v>
      </c>
      <c r="I308" s="4" t="s">
        <v>1005</v>
      </c>
      <c r="J308" s="1" t="s">
        <v>3527</v>
      </c>
    </row>
    <row r="309">
      <c r="A309" s="1" t="s">
        <v>1006</v>
      </c>
      <c r="B309" s="1" t="s">
        <v>1007</v>
      </c>
      <c r="D309" s="1">
        <v>1.0</v>
      </c>
      <c r="E309" s="4" t="s">
        <v>1008</v>
      </c>
      <c r="F309" s="1" t="s">
        <v>16</v>
      </c>
      <c r="G309" s="2"/>
      <c r="H309" s="1" t="s">
        <v>1009</v>
      </c>
      <c r="I309" s="4" t="s">
        <v>1010</v>
      </c>
      <c r="J309" s="1" t="s">
        <v>3528</v>
      </c>
    </row>
    <row r="310">
      <c r="A310" s="1" t="s">
        <v>1006</v>
      </c>
      <c r="B310" s="1" t="s">
        <v>1011</v>
      </c>
      <c r="D310" s="1">
        <v>2.0</v>
      </c>
      <c r="E310" s="4" t="s">
        <v>1012</v>
      </c>
      <c r="F310" s="1" t="s">
        <v>16</v>
      </c>
      <c r="G310" s="2"/>
      <c r="H310" s="1" t="s">
        <v>120</v>
      </c>
      <c r="I310" s="4" t="s">
        <v>121</v>
      </c>
      <c r="J310" s="1" t="s">
        <v>3529</v>
      </c>
    </row>
    <row r="311">
      <c r="A311" s="1" t="s">
        <v>1006</v>
      </c>
      <c r="B311" s="1" t="s">
        <v>1013</v>
      </c>
      <c r="D311" s="1">
        <v>3.0</v>
      </c>
      <c r="E311" s="4" t="s">
        <v>1014</v>
      </c>
      <c r="F311" s="1" t="s">
        <v>16</v>
      </c>
      <c r="G311" s="2"/>
      <c r="H311" s="1" t="s">
        <v>34</v>
      </c>
      <c r="I311" s="4" t="s">
        <v>35</v>
      </c>
      <c r="J311" s="1" t="s">
        <v>3530</v>
      </c>
    </row>
    <row r="312">
      <c r="A312" s="1" t="s">
        <v>1006</v>
      </c>
      <c r="B312" s="1" t="s">
        <v>1015</v>
      </c>
      <c r="C312" s="1" t="s">
        <v>1016</v>
      </c>
      <c r="D312" s="1">
        <v>4.0</v>
      </c>
      <c r="E312" s="4" t="s">
        <v>1017</v>
      </c>
      <c r="F312" s="1" t="s">
        <v>16</v>
      </c>
      <c r="G312" s="2"/>
      <c r="H312" s="1" t="s">
        <v>97</v>
      </c>
      <c r="I312" s="4" t="s">
        <v>98</v>
      </c>
      <c r="J312" s="1" t="s">
        <v>3531</v>
      </c>
    </row>
    <row r="313">
      <c r="A313" s="1" t="s">
        <v>1006</v>
      </c>
      <c r="B313" s="1" t="s">
        <v>1018</v>
      </c>
      <c r="C313" s="1" t="s">
        <v>1019</v>
      </c>
      <c r="D313" s="1">
        <v>5.0</v>
      </c>
      <c r="E313" s="4" t="s">
        <v>1020</v>
      </c>
      <c r="F313" s="1" t="s">
        <v>16</v>
      </c>
      <c r="G313" s="2"/>
      <c r="H313" s="1" t="s">
        <v>457</v>
      </c>
      <c r="I313" s="4" t="s">
        <v>458</v>
      </c>
      <c r="J313" s="1" t="s">
        <v>3532</v>
      </c>
    </row>
    <row r="314">
      <c r="A314" s="1" t="s">
        <v>1006</v>
      </c>
      <c r="B314" s="1" t="s">
        <v>1021</v>
      </c>
      <c r="C314" s="1" t="s">
        <v>1022</v>
      </c>
      <c r="D314" s="1">
        <v>6.0</v>
      </c>
      <c r="E314" s="4" t="s">
        <v>1023</v>
      </c>
      <c r="F314" s="1" t="s">
        <v>16</v>
      </c>
      <c r="G314" s="2"/>
      <c r="J314" s="1" t="s">
        <v>3269</v>
      </c>
    </row>
    <row r="315">
      <c r="A315" s="1" t="s">
        <v>1006</v>
      </c>
      <c r="B315" s="1" t="s">
        <v>1024</v>
      </c>
      <c r="C315" s="1" t="s">
        <v>1025</v>
      </c>
      <c r="D315" s="1">
        <v>7.0</v>
      </c>
      <c r="E315" s="4" t="s">
        <v>1026</v>
      </c>
      <c r="F315" s="1" t="s">
        <v>16</v>
      </c>
      <c r="G315" s="2"/>
      <c r="J315" s="1" t="s">
        <v>3269</v>
      </c>
    </row>
    <row r="316">
      <c r="A316" s="1" t="s">
        <v>1006</v>
      </c>
      <c r="B316" s="1" t="s">
        <v>1027</v>
      </c>
      <c r="D316" s="1">
        <v>8.0</v>
      </c>
      <c r="E316" s="4" t="s">
        <v>1028</v>
      </c>
      <c r="F316" s="1" t="s">
        <v>16</v>
      </c>
      <c r="G316" s="2"/>
      <c r="J316" s="1" t="s">
        <v>3269</v>
      </c>
    </row>
    <row r="317">
      <c r="A317" s="1" t="s">
        <v>1006</v>
      </c>
      <c r="B317" s="1" t="s">
        <v>1007</v>
      </c>
      <c r="C317" s="1" t="s">
        <v>1029</v>
      </c>
      <c r="D317" s="1">
        <v>9.0</v>
      </c>
      <c r="E317" s="4" t="s">
        <v>1030</v>
      </c>
      <c r="F317" s="1" t="s">
        <v>16</v>
      </c>
      <c r="G317" s="2"/>
      <c r="H317" s="1" t="s">
        <v>31</v>
      </c>
      <c r="I317" s="4" t="s">
        <v>32</v>
      </c>
      <c r="J317" s="1" t="s">
        <v>3533</v>
      </c>
    </row>
    <row r="318">
      <c r="A318" s="1" t="s">
        <v>1006</v>
      </c>
      <c r="B318" s="1" t="s">
        <v>1031</v>
      </c>
      <c r="C318" s="1" t="s">
        <v>1032</v>
      </c>
      <c r="D318" s="1">
        <v>10.0</v>
      </c>
      <c r="E318" s="4" t="s">
        <v>1033</v>
      </c>
      <c r="F318" s="1" t="s">
        <v>16</v>
      </c>
      <c r="G318" s="2"/>
      <c r="J318" s="1" t="s">
        <v>3269</v>
      </c>
    </row>
    <row r="319">
      <c r="A319" s="1" t="s">
        <v>1006</v>
      </c>
      <c r="B319" s="1" t="s">
        <v>1034</v>
      </c>
      <c r="C319" s="1" t="s">
        <v>1035</v>
      </c>
      <c r="D319" s="1">
        <v>11.0</v>
      </c>
      <c r="E319" s="4" t="s">
        <v>1036</v>
      </c>
      <c r="F319" s="1" t="s">
        <v>16</v>
      </c>
      <c r="G319" s="2"/>
      <c r="H319" s="1" t="s">
        <v>1037</v>
      </c>
      <c r="I319" s="4" t="s">
        <v>1038</v>
      </c>
      <c r="J319" s="1" t="s">
        <v>3534</v>
      </c>
    </row>
    <row r="320">
      <c r="A320" s="1" t="s">
        <v>1006</v>
      </c>
      <c r="B320" s="1" t="s">
        <v>1039</v>
      </c>
      <c r="D320" s="1">
        <v>12.0</v>
      </c>
      <c r="E320" s="4" t="s">
        <v>1040</v>
      </c>
      <c r="F320" s="1" t="s">
        <v>16</v>
      </c>
      <c r="G320" s="2"/>
      <c r="H320" s="1" t="s">
        <v>1039</v>
      </c>
      <c r="I320" s="4" t="s">
        <v>1041</v>
      </c>
      <c r="J320" s="1" t="s">
        <v>3535</v>
      </c>
    </row>
    <row r="321">
      <c r="A321" s="1" t="s">
        <v>1006</v>
      </c>
      <c r="B321" s="1" t="s">
        <v>1042</v>
      </c>
      <c r="D321" s="1">
        <v>13.0</v>
      </c>
      <c r="E321" s="4" t="s">
        <v>1043</v>
      </c>
      <c r="F321" s="1" t="s">
        <v>16</v>
      </c>
      <c r="G321" s="2"/>
      <c r="H321" s="1" t="s">
        <v>1044</v>
      </c>
      <c r="I321" s="4" t="s">
        <v>1045</v>
      </c>
      <c r="J321" s="1" t="s">
        <v>3536</v>
      </c>
    </row>
    <row r="322">
      <c r="A322" s="1" t="s">
        <v>1006</v>
      </c>
      <c r="B322" s="1" t="s">
        <v>1046</v>
      </c>
      <c r="C322" s="1" t="s">
        <v>1047</v>
      </c>
      <c r="D322" s="1">
        <v>14.0</v>
      </c>
      <c r="E322" s="4" t="s">
        <v>1048</v>
      </c>
      <c r="F322" s="1" t="s">
        <v>16</v>
      </c>
      <c r="G322" s="2"/>
      <c r="J322" s="1" t="s">
        <v>3269</v>
      </c>
    </row>
    <row r="323">
      <c r="A323" s="1" t="s">
        <v>1006</v>
      </c>
      <c r="B323" s="1" t="s">
        <v>1049</v>
      </c>
      <c r="D323" s="1">
        <v>15.0</v>
      </c>
      <c r="E323" s="4" t="s">
        <v>1050</v>
      </c>
      <c r="F323" s="1" t="s">
        <v>16</v>
      </c>
      <c r="G323" s="2"/>
      <c r="J323" s="1" t="s">
        <v>3269</v>
      </c>
    </row>
    <row r="324">
      <c r="A324" s="1" t="s">
        <v>1006</v>
      </c>
      <c r="B324" s="1" t="s">
        <v>1051</v>
      </c>
      <c r="C324" s="1" t="s">
        <v>1052</v>
      </c>
      <c r="D324" s="1">
        <v>16.0</v>
      </c>
      <c r="E324" s="4" t="s">
        <v>1053</v>
      </c>
      <c r="F324" s="1" t="s">
        <v>16</v>
      </c>
      <c r="G324" s="2"/>
      <c r="H324" s="1" t="s">
        <v>1054</v>
      </c>
      <c r="I324" s="4" t="s">
        <v>1055</v>
      </c>
      <c r="J324" s="1" t="s">
        <v>3537</v>
      </c>
    </row>
    <row r="325">
      <c r="A325" s="1" t="s">
        <v>1006</v>
      </c>
      <c r="B325" s="1" t="s">
        <v>1056</v>
      </c>
      <c r="D325" s="1">
        <v>17.0</v>
      </c>
      <c r="E325" s="4" t="s">
        <v>1057</v>
      </c>
      <c r="F325" s="1" t="s">
        <v>16</v>
      </c>
      <c r="G325" s="2"/>
      <c r="J325" s="1" t="s">
        <v>3269</v>
      </c>
    </row>
    <row r="326">
      <c r="A326" s="1" t="s">
        <v>1006</v>
      </c>
      <c r="B326" s="1" t="s">
        <v>1058</v>
      </c>
      <c r="C326" s="1" t="s">
        <v>1059</v>
      </c>
      <c r="D326" s="1">
        <v>18.0</v>
      </c>
      <c r="E326" s="4" t="s">
        <v>1060</v>
      </c>
      <c r="F326" s="1" t="s">
        <v>16</v>
      </c>
      <c r="G326" s="2"/>
      <c r="H326" s="1" t="s">
        <v>1061</v>
      </c>
      <c r="I326" s="4" t="s">
        <v>1062</v>
      </c>
      <c r="J326" s="1" t="s">
        <v>3538</v>
      </c>
    </row>
    <row r="327">
      <c r="A327" s="1" t="s">
        <v>1006</v>
      </c>
      <c r="B327" s="1" t="s">
        <v>1063</v>
      </c>
      <c r="C327" s="1" t="s">
        <v>1064</v>
      </c>
      <c r="D327" s="1">
        <v>3.0</v>
      </c>
      <c r="E327" s="4" t="s">
        <v>1065</v>
      </c>
      <c r="F327" s="1" t="s">
        <v>43</v>
      </c>
      <c r="G327" s="2"/>
      <c r="H327" s="1" t="s">
        <v>120</v>
      </c>
      <c r="I327" s="4" t="s">
        <v>121</v>
      </c>
      <c r="J327" s="1" t="s">
        <v>3539</v>
      </c>
    </row>
    <row r="328">
      <c r="A328" s="1" t="s">
        <v>1006</v>
      </c>
      <c r="B328" s="1" t="s">
        <v>1066</v>
      </c>
      <c r="C328" s="1" t="s">
        <v>1067</v>
      </c>
      <c r="D328" s="1">
        <v>6.0</v>
      </c>
      <c r="E328" s="4" t="s">
        <v>1068</v>
      </c>
      <c r="F328" s="1" t="s">
        <v>43</v>
      </c>
      <c r="G328" s="2"/>
      <c r="H328" s="1" t="s">
        <v>97</v>
      </c>
      <c r="I328" s="4" t="s">
        <v>98</v>
      </c>
      <c r="J328" s="1" t="s">
        <v>3540</v>
      </c>
    </row>
    <row r="329">
      <c r="A329" s="1" t="s">
        <v>1006</v>
      </c>
      <c r="B329" s="1" t="s">
        <v>1013</v>
      </c>
      <c r="C329" s="1" t="s">
        <v>1069</v>
      </c>
      <c r="D329" s="1">
        <v>7.0</v>
      </c>
      <c r="E329" s="4" t="s">
        <v>1070</v>
      </c>
      <c r="F329" s="1" t="s">
        <v>43</v>
      </c>
      <c r="G329" s="2"/>
      <c r="H329" s="1" t="s">
        <v>457</v>
      </c>
      <c r="I329" s="4" t="s">
        <v>458</v>
      </c>
      <c r="J329" s="1" t="s">
        <v>3541</v>
      </c>
    </row>
    <row r="330">
      <c r="A330" s="1" t="s">
        <v>1006</v>
      </c>
      <c r="B330" s="1" t="s">
        <v>1071</v>
      </c>
      <c r="D330" s="1">
        <v>18.0</v>
      </c>
      <c r="E330" s="4" t="s">
        <v>1072</v>
      </c>
      <c r="F330" s="1" t="s">
        <v>43</v>
      </c>
      <c r="G330" s="2"/>
      <c r="J330" s="1" t="s">
        <v>3269</v>
      </c>
    </row>
    <row r="331">
      <c r="A331" s="1" t="s">
        <v>1006</v>
      </c>
      <c r="B331" s="1" t="s">
        <v>1073</v>
      </c>
      <c r="C331" s="1" t="s">
        <v>1074</v>
      </c>
      <c r="D331" s="1">
        <v>30.0</v>
      </c>
      <c r="E331" s="4" t="s">
        <v>1075</v>
      </c>
      <c r="F331" s="1" t="s">
        <v>43</v>
      </c>
      <c r="G331" s="2"/>
      <c r="H331" s="1" t="s">
        <v>27</v>
      </c>
      <c r="I331" s="4" t="s">
        <v>28</v>
      </c>
      <c r="J331" s="1" t="s">
        <v>3542</v>
      </c>
    </row>
    <row r="332">
      <c r="A332" s="1" t="s">
        <v>1076</v>
      </c>
      <c r="B332" s="1" t="s">
        <v>1077</v>
      </c>
      <c r="C332" s="1" t="s">
        <v>1078</v>
      </c>
      <c r="D332" s="1">
        <v>1.0</v>
      </c>
      <c r="E332" s="4" t="s">
        <v>1079</v>
      </c>
      <c r="F332" s="1" t="s">
        <v>43</v>
      </c>
      <c r="G332" s="2"/>
      <c r="H332" s="1" t="s">
        <v>1080</v>
      </c>
      <c r="I332" s="4" t="s">
        <v>1081</v>
      </c>
      <c r="J332" s="1" t="s">
        <v>3543</v>
      </c>
    </row>
    <row r="333">
      <c r="A333" s="1" t="s">
        <v>1076</v>
      </c>
      <c r="B333" s="1" t="s">
        <v>1077</v>
      </c>
      <c r="C333" s="1" t="s">
        <v>1078</v>
      </c>
      <c r="D333" s="1">
        <v>2.0</v>
      </c>
      <c r="E333" s="4" t="s">
        <v>1082</v>
      </c>
      <c r="F333" s="1" t="s">
        <v>43</v>
      </c>
      <c r="G333" s="2"/>
      <c r="H333" s="1" t="s">
        <v>328</v>
      </c>
      <c r="I333" s="4" t="s">
        <v>329</v>
      </c>
      <c r="J333" s="1" t="s">
        <v>3544</v>
      </c>
    </row>
    <row r="334">
      <c r="A334" s="1" t="s">
        <v>1076</v>
      </c>
      <c r="B334" s="1" t="s">
        <v>325</v>
      </c>
      <c r="C334" s="1" t="s">
        <v>1083</v>
      </c>
      <c r="D334" s="1">
        <v>3.0</v>
      </c>
      <c r="E334" s="4" t="s">
        <v>327</v>
      </c>
      <c r="F334" s="1" t="s">
        <v>43</v>
      </c>
      <c r="G334" s="2"/>
      <c r="H334" s="1" t="s">
        <v>328</v>
      </c>
      <c r="I334" s="4" t="s">
        <v>329</v>
      </c>
      <c r="J334" s="1" t="s">
        <v>3545</v>
      </c>
    </row>
    <row r="335">
      <c r="A335" s="1" t="s">
        <v>1076</v>
      </c>
      <c r="B335" s="1" t="s">
        <v>1084</v>
      </c>
      <c r="C335" s="1" t="s">
        <v>1085</v>
      </c>
      <c r="D335" s="1">
        <v>4.0</v>
      </c>
      <c r="E335" s="4" t="s">
        <v>1086</v>
      </c>
      <c r="F335" s="1" t="s">
        <v>43</v>
      </c>
      <c r="G335" s="2"/>
      <c r="H335" s="1" t="s">
        <v>1087</v>
      </c>
      <c r="I335" s="4" t="s">
        <v>1088</v>
      </c>
      <c r="J335" s="1" t="s">
        <v>3546</v>
      </c>
    </row>
    <row r="336">
      <c r="A336" s="1" t="s">
        <v>1076</v>
      </c>
      <c r="B336" s="1" t="s">
        <v>1089</v>
      </c>
      <c r="C336" s="1" t="s">
        <v>1090</v>
      </c>
      <c r="D336" s="1">
        <v>5.0</v>
      </c>
      <c r="E336" s="4" t="s">
        <v>1091</v>
      </c>
      <c r="F336" s="1" t="s">
        <v>43</v>
      </c>
      <c r="G336" s="2"/>
      <c r="H336" s="1" t="s">
        <v>284</v>
      </c>
      <c r="I336" s="4" t="s">
        <v>285</v>
      </c>
      <c r="J336" s="1" t="s">
        <v>3547</v>
      </c>
    </row>
    <row r="337">
      <c r="A337" s="1" t="s">
        <v>1076</v>
      </c>
      <c r="B337" s="1" t="s">
        <v>1092</v>
      </c>
      <c r="C337" s="1" t="s">
        <v>1093</v>
      </c>
      <c r="D337" s="1">
        <v>6.0</v>
      </c>
      <c r="E337" s="4" t="s">
        <v>1094</v>
      </c>
      <c r="F337" s="1" t="s">
        <v>43</v>
      </c>
      <c r="G337" s="2"/>
      <c r="H337" s="1" t="s">
        <v>1095</v>
      </c>
      <c r="I337" s="4" t="s">
        <v>1096</v>
      </c>
      <c r="J337" s="1" t="s">
        <v>3548</v>
      </c>
    </row>
    <row r="338">
      <c r="A338" s="1" t="s">
        <v>1076</v>
      </c>
      <c r="B338" s="1" t="s">
        <v>1097</v>
      </c>
      <c r="C338" s="1" t="s">
        <v>1098</v>
      </c>
      <c r="D338" s="1">
        <v>7.0</v>
      </c>
      <c r="E338" s="4" t="s">
        <v>1099</v>
      </c>
      <c r="F338" s="1" t="s">
        <v>43</v>
      </c>
      <c r="G338" s="2"/>
      <c r="H338" s="1" t="s">
        <v>1100</v>
      </c>
      <c r="I338" s="4" t="s">
        <v>1101</v>
      </c>
      <c r="J338" s="1" t="s">
        <v>3549</v>
      </c>
    </row>
    <row r="339">
      <c r="A339" s="1" t="s">
        <v>1076</v>
      </c>
      <c r="B339" s="1" t="s">
        <v>1102</v>
      </c>
      <c r="C339" s="1" t="s">
        <v>1103</v>
      </c>
      <c r="D339" s="1">
        <v>8.0</v>
      </c>
      <c r="E339" s="4" t="s">
        <v>1104</v>
      </c>
      <c r="F339" s="1" t="s">
        <v>43</v>
      </c>
      <c r="G339" s="2"/>
      <c r="H339" s="1" t="s">
        <v>1105</v>
      </c>
      <c r="I339" s="4" t="s">
        <v>1106</v>
      </c>
      <c r="J339" s="1" t="s">
        <v>3550</v>
      </c>
    </row>
    <row r="340">
      <c r="A340" s="1" t="s">
        <v>1076</v>
      </c>
      <c r="B340" s="1" t="s">
        <v>1107</v>
      </c>
      <c r="C340" s="1" t="s">
        <v>1108</v>
      </c>
      <c r="D340" s="1">
        <v>9.0</v>
      </c>
      <c r="E340" s="4" t="s">
        <v>1109</v>
      </c>
      <c r="F340" s="1" t="s">
        <v>43</v>
      </c>
      <c r="G340" s="2"/>
      <c r="H340" s="1" t="s">
        <v>1110</v>
      </c>
      <c r="I340" s="4" t="s">
        <v>1111</v>
      </c>
      <c r="J340" s="1" t="s">
        <v>3551</v>
      </c>
    </row>
    <row r="341">
      <c r="A341" s="1" t="s">
        <v>1076</v>
      </c>
      <c r="B341" s="1" t="s">
        <v>1112</v>
      </c>
      <c r="D341" s="1">
        <v>10.0</v>
      </c>
      <c r="E341" s="4" t="s">
        <v>1113</v>
      </c>
      <c r="F341" s="1" t="s">
        <v>43</v>
      </c>
      <c r="G341" s="2"/>
      <c r="H341" s="1" t="s">
        <v>1114</v>
      </c>
      <c r="I341" s="4" t="s">
        <v>1115</v>
      </c>
      <c r="J341" s="1" t="s">
        <v>3552</v>
      </c>
    </row>
    <row r="342">
      <c r="A342" s="1" t="s">
        <v>1076</v>
      </c>
      <c r="B342" s="1" t="s">
        <v>1077</v>
      </c>
      <c r="C342" s="1" t="s">
        <v>1116</v>
      </c>
      <c r="D342" s="1">
        <v>11.0</v>
      </c>
      <c r="E342" s="4" t="s">
        <v>1117</v>
      </c>
      <c r="F342" s="1" t="s">
        <v>43</v>
      </c>
      <c r="G342" s="2"/>
      <c r="H342" s="1" t="s">
        <v>1118</v>
      </c>
      <c r="I342" s="4" t="s">
        <v>1119</v>
      </c>
      <c r="J342" s="1" t="s">
        <v>3553</v>
      </c>
    </row>
    <row r="343">
      <c r="A343" s="1" t="s">
        <v>1076</v>
      </c>
      <c r="B343" s="1" t="s">
        <v>1120</v>
      </c>
      <c r="C343" s="1" t="s">
        <v>1121</v>
      </c>
      <c r="D343" s="1">
        <v>12.0</v>
      </c>
      <c r="E343" s="4" t="s">
        <v>1122</v>
      </c>
      <c r="F343" s="1" t="s">
        <v>43</v>
      </c>
      <c r="G343" s="2"/>
      <c r="H343" s="1" t="s">
        <v>1123</v>
      </c>
      <c r="I343" s="4" t="s">
        <v>1124</v>
      </c>
      <c r="J343" s="1" t="s">
        <v>3554</v>
      </c>
    </row>
    <row r="344">
      <c r="A344" s="1" t="s">
        <v>1076</v>
      </c>
      <c r="B344" s="1" t="s">
        <v>1125</v>
      </c>
      <c r="C344" s="1" t="s">
        <v>1126</v>
      </c>
      <c r="D344" s="1">
        <v>13.0</v>
      </c>
      <c r="E344" s="4" t="s">
        <v>1127</v>
      </c>
      <c r="F344" s="1" t="s">
        <v>43</v>
      </c>
      <c r="G344" s="2"/>
      <c r="H344" s="1" t="s">
        <v>1128</v>
      </c>
      <c r="I344" s="4" t="s">
        <v>1129</v>
      </c>
      <c r="J344" s="1" t="s">
        <v>3555</v>
      </c>
    </row>
    <row r="345">
      <c r="A345" s="1" t="s">
        <v>1076</v>
      </c>
      <c r="B345" s="1" t="s">
        <v>1130</v>
      </c>
      <c r="C345" s="1" t="s">
        <v>1131</v>
      </c>
      <c r="D345" s="1">
        <v>14.0</v>
      </c>
      <c r="E345" s="4" t="s">
        <v>1132</v>
      </c>
      <c r="F345" s="1" t="s">
        <v>43</v>
      </c>
      <c r="G345" s="2"/>
      <c r="H345" s="1" t="s">
        <v>1133</v>
      </c>
      <c r="I345" s="4" t="s">
        <v>1134</v>
      </c>
      <c r="J345" s="1" t="s">
        <v>3556</v>
      </c>
    </row>
    <row r="346">
      <c r="A346" s="1" t="s">
        <v>1076</v>
      </c>
      <c r="B346" s="1" t="s">
        <v>1135</v>
      </c>
      <c r="C346" s="1" t="s">
        <v>1136</v>
      </c>
      <c r="D346" s="1">
        <v>15.0</v>
      </c>
      <c r="E346" s="4" t="s">
        <v>1137</v>
      </c>
      <c r="F346" s="1" t="s">
        <v>43</v>
      </c>
      <c r="G346" s="2"/>
      <c r="H346" s="1" t="s">
        <v>216</v>
      </c>
      <c r="I346" s="4" t="s">
        <v>217</v>
      </c>
      <c r="J346" s="1" t="s">
        <v>3557</v>
      </c>
    </row>
    <row r="347">
      <c r="A347" s="1" t="s">
        <v>1076</v>
      </c>
      <c r="B347" s="1" t="s">
        <v>1138</v>
      </c>
      <c r="D347" s="1">
        <v>16.0</v>
      </c>
      <c r="E347" s="4" t="s">
        <v>1139</v>
      </c>
      <c r="F347" s="1" t="s">
        <v>43</v>
      </c>
      <c r="G347" s="2"/>
      <c r="H347" s="1" t="s">
        <v>1140</v>
      </c>
      <c r="I347" s="1" t="s">
        <v>1141</v>
      </c>
      <c r="J347" s="1" t="s">
        <v>3558</v>
      </c>
    </row>
    <row r="348">
      <c r="A348" s="1" t="s">
        <v>1076</v>
      </c>
      <c r="B348" s="1" t="s">
        <v>1142</v>
      </c>
      <c r="D348" s="1">
        <v>17.0</v>
      </c>
      <c r="E348" s="4" t="s">
        <v>1143</v>
      </c>
      <c r="F348" s="1" t="s">
        <v>43</v>
      </c>
      <c r="G348" s="2"/>
      <c r="H348" s="1" t="s">
        <v>31</v>
      </c>
      <c r="I348" s="4" t="s">
        <v>32</v>
      </c>
      <c r="J348" s="1" t="s">
        <v>3559</v>
      </c>
    </row>
    <row r="349">
      <c r="A349" s="1" t="s">
        <v>1076</v>
      </c>
      <c r="B349" s="1" t="s">
        <v>1077</v>
      </c>
      <c r="C349" s="1" t="s">
        <v>1144</v>
      </c>
      <c r="D349" s="1">
        <v>35.0</v>
      </c>
      <c r="E349" s="4" t="s">
        <v>1145</v>
      </c>
      <c r="F349" s="1" t="s">
        <v>43</v>
      </c>
      <c r="G349" s="2"/>
      <c r="H349" s="1" t="s">
        <v>27</v>
      </c>
      <c r="I349" s="4" t="s">
        <v>28</v>
      </c>
      <c r="J349" s="1" t="s">
        <v>3560</v>
      </c>
    </row>
    <row r="350">
      <c r="A350" s="1" t="s">
        <v>1146</v>
      </c>
      <c r="B350" s="1" t="s">
        <v>1147</v>
      </c>
      <c r="C350" s="1" t="s">
        <v>1148</v>
      </c>
      <c r="D350" s="1">
        <v>1.0</v>
      </c>
      <c r="E350" s="4" t="s">
        <v>1149</v>
      </c>
      <c r="F350" s="1" t="s">
        <v>16</v>
      </c>
      <c r="G350" s="2"/>
      <c r="H350" s="1" t="s">
        <v>1150</v>
      </c>
      <c r="I350" s="4" t="s">
        <v>1151</v>
      </c>
      <c r="J350" s="1" t="s">
        <v>3561</v>
      </c>
    </row>
    <row r="351">
      <c r="A351" s="1" t="s">
        <v>1146</v>
      </c>
      <c r="B351" s="1" t="s">
        <v>1147</v>
      </c>
      <c r="C351" s="1" t="s">
        <v>1152</v>
      </c>
      <c r="D351" s="1">
        <v>2.0</v>
      </c>
      <c r="E351" s="4" t="s">
        <v>1153</v>
      </c>
      <c r="F351" s="1" t="s">
        <v>16</v>
      </c>
      <c r="G351" s="2"/>
      <c r="H351" s="1" t="s">
        <v>34</v>
      </c>
      <c r="I351" s="4" t="s">
        <v>35</v>
      </c>
      <c r="J351" s="1" t="s">
        <v>3562</v>
      </c>
    </row>
    <row r="352">
      <c r="A352" s="1" t="s">
        <v>1146</v>
      </c>
      <c r="B352" s="1" t="s">
        <v>1154</v>
      </c>
      <c r="C352" s="1" t="s">
        <v>1155</v>
      </c>
      <c r="D352" s="1">
        <v>3.0</v>
      </c>
      <c r="E352" s="4" t="s">
        <v>1156</v>
      </c>
      <c r="F352" s="1" t="s">
        <v>16</v>
      </c>
      <c r="G352" s="2"/>
      <c r="H352" s="1" t="s">
        <v>120</v>
      </c>
      <c r="I352" s="4" t="s">
        <v>121</v>
      </c>
      <c r="J352" s="1" t="s">
        <v>3563</v>
      </c>
    </row>
    <row r="353">
      <c r="A353" s="1" t="s">
        <v>1146</v>
      </c>
      <c r="B353" s="1" t="s">
        <v>1157</v>
      </c>
      <c r="C353" s="1" t="s">
        <v>1158</v>
      </c>
      <c r="D353" s="1">
        <v>4.0</v>
      </c>
      <c r="E353" s="4" t="s">
        <v>1159</v>
      </c>
      <c r="F353" s="1" t="s">
        <v>16</v>
      </c>
      <c r="G353" s="2"/>
      <c r="H353" s="1" t="s">
        <v>97</v>
      </c>
      <c r="I353" s="4" t="s">
        <v>98</v>
      </c>
      <c r="J353" s="1" t="s">
        <v>3564</v>
      </c>
    </row>
    <row r="354">
      <c r="A354" s="1" t="s">
        <v>1146</v>
      </c>
      <c r="B354" s="1" t="s">
        <v>1160</v>
      </c>
      <c r="C354" s="1" t="s">
        <v>1161</v>
      </c>
      <c r="D354" s="1">
        <v>5.0</v>
      </c>
      <c r="E354" s="4" t="s">
        <v>1162</v>
      </c>
      <c r="F354" s="1" t="s">
        <v>16</v>
      </c>
      <c r="G354" s="2"/>
      <c r="H354" s="1" t="s">
        <v>120</v>
      </c>
      <c r="I354" s="4" t="s">
        <v>121</v>
      </c>
      <c r="J354" s="1" t="s">
        <v>3565</v>
      </c>
    </row>
    <row r="355">
      <c r="A355" s="1" t="s">
        <v>1146</v>
      </c>
      <c r="B355" s="1" t="s">
        <v>1163</v>
      </c>
      <c r="D355" s="1">
        <v>6.0</v>
      </c>
      <c r="E355" s="4" t="s">
        <v>1164</v>
      </c>
      <c r="F355" s="1" t="s">
        <v>16</v>
      </c>
      <c r="G355" s="2"/>
      <c r="H355" s="1" t="s">
        <v>97</v>
      </c>
      <c r="I355" s="4" t="s">
        <v>98</v>
      </c>
      <c r="J355" s="1" t="s">
        <v>3566</v>
      </c>
    </row>
    <row r="356">
      <c r="A356" s="1" t="s">
        <v>1146</v>
      </c>
      <c r="B356" s="1" t="s">
        <v>1165</v>
      </c>
      <c r="C356" s="1" t="s">
        <v>1166</v>
      </c>
      <c r="D356" s="1">
        <v>7.0</v>
      </c>
      <c r="E356" s="4" t="s">
        <v>1167</v>
      </c>
      <c r="F356" s="1" t="s">
        <v>16</v>
      </c>
      <c r="G356" s="2"/>
      <c r="H356" s="1" t="s">
        <v>1168</v>
      </c>
      <c r="I356" s="4" t="s">
        <v>1169</v>
      </c>
      <c r="J356" s="1" t="s">
        <v>3567</v>
      </c>
    </row>
    <row r="357">
      <c r="A357" s="1" t="s">
        <v>1146</v>
      </c>
      <c r="B357" s="1" t="s">
        <v>1147</v>
      </c>
      <c r="C357" s="1" t="s">
        <v>1170</v>
      </c>
      <c r="D357" s="1">
        <v>8.0</v>
      </c>
      <c r="E357" s="4" t="s">
        <v>1171</v>
      </c>
      <c r="F357" s="1" t="s">
        <v>16</v>
      </c>
      <c r="G357" s="2"/>
      <c r="H357" s="1" t="s">
        <v>31</v>
      </c>
      <c r="I357" s="4" t="s">
        <v>32</v>
      </c>
      <c r="J357" s="1" t="s">
        <v>3568</v>
      </c>
    </row>
    <row r="358">
      <c r="A358" s="1" t="s">
        <v>1146</v>
      </c>
      <c r="B358" s="1" t="s">
        <v>1172</v>
      </c>
      <c r="C358" s="1" t="s">
        <v>1173</v>
      </c>
      <c r="D358" s="1">
        <v>9.0</v>
      </c>
      <c r="E358" s="4" t="s">
        <v>1174</v>
      </c>
      <c r="F358" s="1" t="s">
        <v>16</v>
      </c>
      <c r="G358" s="2"/>
      <c r="H358" s="1" t="s">
        <v>1175</v>
      </c>
      <c r="I358" s="4" t="s">
        <v>1176</v>
      </c>
      <c r="J358" s="1" t="s">
        <v>3569</v>
      </c>
    </row>
    <row r="359">
      <c r="A359" s="1" t="s">
        <v>1146</v>
      </c>
      <c r="B359" s="1" t="s">
        <v>1177</v>
      </c>
      <c r="C359" s="1" t="s">
        <v>1178</v>
      </c>
      <c r="D359" s="1">
        <v>10.0</v>
      </c>
      <c r="E359" s="4" t="s">
        <v>1179</v>
      </c>
      <c r="F359" s="1" t="s">
        <v>16</v>
      </c>
      <c r="G359" s="2"/>
      <c r="H359" s="1" t="s">
        <v>1180</v>
      </c>
      <c r="I359" s="4" t="s">
        <v>1181</v>
      </c>
      <c r="J359" s="1" t="s">
        <v>3570</v>
      </c>
    </row>
    <row r="360">
      <c r="A360" s="1" t="s">
        <v>1146</v>
      </c>
      <c r="B360" s="1" t="s">
        <v>1147</v>
      </c>
      <c r="D360" s="1">
        <v>11.0</v>
      </c>
      <c r="E360" s="4" t="s">
        <v>1182</v>
      </c>
      <c r="F360" s="1" t="s">
        <v>16</v>
      </c>
      <c r="G360" s="2"/>
      <c r="H360" s="1" t="s">
        <v>273</v>
      </c>
      <c r="I360" s="4" t="s">
        <v>476</v>
      </c>
      <c r="J360" s="1" t="s">
        <v>3571</v>
      </c>
    </row>
    <row r="361">
      <c r="A361" s="1" t="s">
        <v>1146</v>
      </c>
      <c r="B361" s="1" t="s">
        <v>1183</v>
      </c>
      <c r="C361" s="1" t="s">
        <v>1184</v>
      </c>
      <c r="D361" s="1">
        <v>12.0</v>
      </c>
      <c r="E361" s="4" t="s">
        <v>1185</v>
      </c>
      <c r="F361" s="1" t="s">
        <v>16</v>
      </c>
      <c r="G361" s="2"/>
      <c r="H361" s="1" t="s">
        <v>444</v>
      </c>
      <c r="I361" s="4" t="s">
        <v>445</v>
      </c>
      <c r="J361" s="1" t="s">
        <v>3572</v>
      </c>
    </row>
    <row r="362">
      <c r="A362" s="1" t="s">
        <v>1146</v>
      </c>
      <c r="B362" s="1" t="s">
        <v>1186</v>
      </c>
      <c r="C362" s="1" t="s">
        <v>1187</v>
      </c>
      <c r="D362" s="1">
        <v>13.0</v>
      </c>
      <c r="E362" s="4" t="s">
        <v>1188</v>
      </c>
      <c r="F362" s="1" t="s">
        <v>16</v>
      </c>
      <c r="G362" s="2"/>
      <c r="H362" s="1" t="s">
        <v>428</v>
      </c>
      <c r="I362" s="4" t="s">
        <v>429</v>
      </c>
      <c r="J362" s="1" t="s">
        <v>3573</v>
      </c>
    </row>
    <row r="363">
      <c r="A363" s="1" t="s">
        <v>1146</v>
      </c>
      <c r="B363" s="1" t="s">
        <v>1189</v>
      </c>
      <c r="C363" s="1" t="s">
        <v>1190</v>
      </c>
      <c r="D363" s="1">
        <v>14.0</v>
      </c>
      <c r="E363" s="4" t="s">
        <v>1191</v>
      </c>
      <c r="F363" s="1" t="s">
        <v>16</v>
      </c>
      <c r="G363" s="2"/>
      <c r="J363" s="1" t="s">
        <v>3269</v>
      </c>
    </row>
    <row r="364">
      <c r="A364" s="1" t="s">
        <v>1146</v>
      </c>
      <c r="B364" s="1" t="s">
        <v>1192</v>
      </c>
      <c r="D364" s="1">
        <v>15.0</v>
      </c>
      <c r="E364" s="4" t="s">
        <v>1193</v>
      </c>
      <c r="F364" s="1" t="s">
        <v>16</v>
      </c>
      <c r="G364" s="2"/>
      <c r="J364" s="1" t="s">
        <v>3269</v>
      </c>
    </row>
    <row r="365">
      <c r="A365" s="1" t="s">
        <v>1146</v>
      </c>
      <c r="B365" s="1" t="s">
        <v>1194</v>
      </c>
      <c r="C365" s="1" t="s">
        <v>1195</v>
      </c>
      <c r="D365" s="1">
        <v>16.0</v>
      </c>
      <c r="E365" s="4" t="s">
        <v>1196</v>
      </c>
      <c r="F365" s="1" t="s">
        <v>16</v>
      </c>
      <c r="G365" s="2"/>
      <c r="H365" s="1" t="s">
        <v>541</v>
      </c>
      <c r="I365" s="4" t="s">
        <v>542</v>
      </c>
      <c r="J365" s="1" t="s">
        <v>3574</v>
      </c>
    </row>
    <row r="366">
      <c r="A366" s="1" t="s">
        <v>1146</v>
      </c>
      <c r="B366" s="1" t="s">
        <v>1146</v>
      </c>
      <c r="D366" s="1">
        <v>17.0</v>
      </c>
      <c r="E366" s="4" t="s">
        <v>1197</v>
      </c>
      <c r="F366" s="1" t="s">
        <v>16</v>
      </c>
      <c r="G366" s="2"/>
      <c r="H366" s="1" t="s">
        <v>309</v>
      </c>
      <c r="I366" s="4" t="s">
        <v>310</v>
      </c>
      <c r="J366" s="1" t="s">
        <v>3575</v>
      </c>
    </row>
    <row r="367">
      <c r="A367" s="1" t="s">
        <v>1146</v>
      </c>
      <c r="B367" s="1" t="s">
        <v>1198</v>
      </c>
      <c r="C367" s="1" t="s">
        <v>1173</v>
      </c>
      <c r="D367" s="1">
        <v>22.0</v>
      </c>
      <c r="E367" s="4" t="s">
        <v>1199</v>
      </c>
      <c r="F367" s="1" t="s">
        <v>16</v>
      </c>
      <c r="G367" s="2"/>
      <c r="H367" s="1" t="s">
        <v>120</v>
      </c>
      <c r="I367" s="4" t="s">
        <v>121</v>
      </c>
      <c r="J367" s="1" t="s">
        <v>3576</v>
      </c>
    </row>
    <row r="368">
      <c r="A368" s="1" t="s">
        <v>1146</v>
      </c>
      <c r="B368" s="1" t="s">
        <v>1200</v>
      </c>
      <c r="C368" s="1" t="s">
        <v>1201</v>
      </c>
      <c r="D368" s="1">
        <v>2.0</v>
      </c>
      <c r="E368" s="4" t="s">
        <v>1153</v>
      </c>
      <c r="F368" s="1" t="s">
        <v>43</v>
      </c>
      <c r="G368" s="2"/>
      <c r="H368" s="1" t="s">
        <v>34</v>
      </c>
      <c r="I368" s="4" t="s">
        <v>35</v>
      </c>
      <c r="J368" s="1" t="s">
        <v>3577</v>
      </c>
    </row>
    <row r="369">
      <c r="A369" s="1" t="s">
        <v>1146</v>
      </c>
      <c r="B369" s="1" t="s">
        <v>1202</v>
      </c>
      <c r="C369" s="1" t="s">
        <v>1170</v>
      </c>
      <c r="D369" s="1">
        <v>7.0</v>
      </c>
      <c r="E369" s="4" t="s">
        <v>1171</v>
      </c>
      <c r="F369" s="1" t="s">
        <v>43</v>
      </c>
      <c r="G369" s="2"/>
      <c r="H369" s="1" t="s">
        <v>31</v>
      </c>
      <c r="I369" s="4" t="s">
        <v>32</v>
      </c>
      <c r="J369" s="1" t="s">
        <v>3578</v>
      </c>
    </row>
    <row r="370">
      <c r="A370" s="1" t="s">
        <v>1146</v>
      </c>
      <c r="B370" s="1" t="s">
        <v>1203</v>
      </c>
      <c r="C370" s="1" t="s">
        <v>1184</v>
      </c>
      <c r="D370" s="1">
        <v>8.0</v>
      </c>
      <c r="E370" s="4" t="s">
        <v>1185</v>
      </c>
      <c r="F370" s="1" t="s">
        <v>43</v>
      </c>
      <c r="G370" s="2"/>
      <c r="H370" s="1" t="s">
        <v>444</v>
      </c>
      <c r="I370" s="4" t="s">
        <v>445</v>
      </c>
      <c r="J370" s="1" t="s">
        <v>3579</v>
      </c>
    </row>
    <row r="371">
      <c r="A371" s="1" t="s">
        <v>1146</v>
      </c>
      <c r="B371" s="1" t="s">
        <v>1204</v>
      </c>
      <c r="C371" s="1" t="s">
        <v>1173</v>
      </c>
      <c r="D371" s="1">
        <v>9.0</v>
      </c>
      <c r="E371" s="4" t="s">
        <v>1174</v>
      </c>
      <c r="F371" s="1" t="s">
        <v>43</v>
      </c>
      <c r="G371" s="2"/>
      <c r="H371" s="1" t="s">
        <v>1175</v>
      </c>
      <c r="I371" s="4" t="s">
        <v>1176</v>
      </c>
      <c r="J371" s="1" t="s">
        <v>3580</v>
      </c>
    </row>
    <row r="372">
      <c r="A372" s="1" t="s">
        <v>1146</v>
      </c>
      <c r="B372" s="1" t="s">
        <v>1205</v>
      </c>
      <c r="C372" s="1" t="s">
        <v>1206</v>
      </c>
      <c r="D372" s="1">
        <v>11.0</v>
      </c>
      <c r="E372" s="4" t="s">
        <v>1207</v>
      </c>
      <c r="F372" s="1" t="s">
        <v>43</v>
      </c>
      <c r="G372" s="2"/>
      <c r="H372" s="1" t="s">
        <v>448</v>
      </c>
      <c r="I372" s="4" t="s">
        <v>449</v>
      </c>
      <c r="J372" s="1" t="s">
        <v>3581</v>
      </c>
    </row>
    <row r="373">
      <c r="A373" s="1" t="s">
        <v>1146</v>
      </c>
      <c r="B373" s="1" t="s">
        <v>1208</v>
      </c>
      <c r="D373" s="1">
        <v>12.0</v>
      </c>
      <c r="E373" s="4" t="s">
        <v>1182</v>
      </c>
      <c r="F373" s="1" t="s">
        <v>43</v>
      </c>
      <c r="G373" s="2"/>
      <c r="H373" s="1" t="s">
        <v>273</v>
      </c>
      <c r="I373" s="4" t="s">
        <v>476</v>
      </c>
      <c r="J373" s="1" t="s">
        <v>3582</v>
      </c>
    </row>
    <row r="374">
      <c r="A374" s="1" t="s">
        <v>1146</v>
      </c>
      <c r="B374" s="1" t="s">
        <v>1209</v>
      </c>
      <c r="C374" s="1" t="s">
        <v>1210</v>
      </c>
      <c r="D374" s="1">
        <v>14.0</v>
      </c>
      <c r="E374" s="4" t="s">
        <v>1211</v>
      </c>
      <c r="F374" s="1" t="s">
        <v>43</v>
      </c>
      <c r="G374" s="2"/>
      <c r="H374" s="1" t="s">
        <v>1212</v>
      </c>
      <c r="I374" s="4" t="s">
        <v>1213</v>
      </c>
      <c r="J374" s="1" t="s">
        <v>3583</v>
      </c>
    </row>
    <row r="375">
      <c r="A375" s="1" t="s">
        <v>1146</v>
      </c>
      <c r="B375" s="1" t="s">
        <v>1214</v>
      </c>
      <c r="D375" s="1">
        <v>15.0</v>
      </c>
      <c r="E375" s="4" t="s">
        <v>1167</v>
      </c>
      <c r="F375" s="1" t="s">
        <v>43</v>
      </c>
      <c r="G375" s="2"/>
      <c r="H375" s="1" t="s">
        <v>1168</v>
      </c>
      <c r="I375" s="4" t="s">
        <v>1169</v>
      </c>
      <c r="J375" s="1" t="s">
        <v>3584</v>
      </c>
    </row>
    <row r="376">
      <c r="A376" s="1" t="s">
        <v>1146</v>
      </c>
      <c r="B376" s="1" t="s">
        <v>1147</v>
      </c>
      <c r="C376" s="1" t="s">
        <v>1215</v>
      </c>
      <c r="D376" s="1">
        <v>17.0</v>
      </c>
      <c r="E376" s="4" t="s">
        <v>1216</v>
      </c>
      <c r="F376" s="1" t="s">
        <v>43</v>
      </c>
      <c r="G376" s="2"/>
      <c r="J376" s="1" t="s">
        <v>3269</v>
      </c>
    </row>
    <row r="377">
      <c r="A377" s="1" t="s">
        <v>1146</v>
      </c>
      <c r="B377" s="1" t="s">
        <v>1217</v>
      </c>
      <c r="C377" s="1" t="s">
        <v>1206</v>
      </c>
      <c r="D377" s="1">
        <v>28.0</v>
      </c>
      <c r="E377" s="4" t="s">
        <v>1207</v>
      </c>
      <c r="F377" s="1" t="s">
        <v>43</v>
      </c>
      <c r="G377" s="2"/>
      <c r="H377" s="1" t="s">
        <v>448</v>
      </c>
      <c r="I377" s="4" t="s">
        <v>449</v>
      </c>
      <c r="J377" s="1" t="s">
        <v>3585</v>
      </c>
    </row>
    <row r="378">
      <c r="A378" s="1" t="s">
        <v>1146</v>
      </c>
      <c r="B378" s="1" t="s">
        <v>1147</v>
      </c>
      <c r="C378" s="1" t="s">
        <v>1210</v>
      </c>
      <c r="D378" s="1">
        <v>30.0</v>
      </c>
      <c r="E378" s="4" t="s">
        <v>1211</v>
      </c>
      <c r="F378" s="1" t="s">
        <v>43</v>
      </c>
      <c r="G378" s="2"/>
      <c r="H378" s="1" t="s">
        <v>1212</v>
      </c>
      <c r="I378" s="4" t="s">
        <v>1213</v>
      </c>
      <c r="J378" s="1" t="s">
        <v>3586</v>
      </c>
    </row>
    <row r="379">
      <c r="A379" s="1" t="s">
        <v>1218</v>
      </c>
      <c r="B379" s="1" t="s">
        <v>1219</v>
      </c>
      <c r="C379" s="1" t="s">
        <v>1220</v>
      </c>
      <c r="D379" s="1">
        <v>1.0</v>
      </c>
      <c r="E379" s="4" t="s">
        <v>1221</v>
      </c>
      <c r="F379" s="1" t="s">
        <v>16</v>
      </c>
      <c r="G379" s="2"/>
      <c r="J379" s="1" t="s">
        <v>3269</v>
      </c>
    </row>
    <row r="380">
      <c r="A380" s="1" t="s">
        <v>1218</v>
      </c>
      <c r="B380" s="1" t="s">
        <v>1222</v>
      </c>
      <c r="C380" s="1" t="s">
        <v>1223</v>
      </c>
      <c r="D380" s="1">
        <v>2.0</v>
      </c>
      <c r="E380" s="4" t="s">
        <v>1224</v>
      </c>
      <c r="F380" s="1" t="s">
        <v>16</v>
      </c>
      <c r="G380" s="2"/>
      <c r="H380" s="1" t="s">
        <v>34</v>
      </c>
      <c r="I380" s="4" t="s">
        <v>35</v>
      </c>
      <c r="J380" s="1" t="s">
        <v>3587</v>
      </c>
    </row>
    <row r="381">
      <c r="A381" s="1" t="s">
        <v>1218</v>
      </c>
      <c r="B381" s="1" t="s">
        <v>1225</v>
      </c>
      <c r="C381" s="1" t="s">
        <v>1226</v>
      </c>
      <c r="D381" s="1">
        <v>3.0</v>
      </c>
      <c r="E381" s="4" t="s">
        <v>1227</v>
      </c>
      <c r="F381" s="1" t="s">
        <v>16</v>
      </c>
      <c r="G381" s="2"/>
      <c r="H381" s="1" t="s">
        <v>31</v>
      </c>
      <c r="I381" s="4" t="s">
        <v>32</v>
      </c>
      <c r="J381" s="1" t="s">
        <v>3588</v>
      </c>
    </row>
    <row r="382">
      <c r="A382" s="1" t="s">
        <v>1218</v>
      </c>
      <c r="B382" s="1" t="s">
        <v>1228</v>
      </c>
      <c r="C382" s="1" t="s">
        <v>1229</v>
      </c>
      <c r="D382" s="1">
        <v>4.0</v>
      </c>
      <c r="E382" s="4" t="s">
        <v>1230</v>
      </c>
      <c r="F382" s="1" t="s">
        <v>16</v>
      </c>
      <c r="G382" s="2"/>
      <c r="J382" s="1" t="s">
        <v>3269</v>
      </c>
    </row>
    <row r="383">
      <c r="A383" s="1" t="s">
        <v>1218</v>
      </c>
      <c r="B383" s="1" t="s">
        <v>1231</v>
      </c>
      <c r="C383" s="1" t="s">
        <v>1232</v>
      </c>
      <c r="D383" s="1">
        <v>5.0</v>
      </c>
      <c r="E383" s="4" t="s">
        <v>1233</v>
      </c>
      <c r="F383" s="1" t="s">
        <v>16</v>
      </c>
      <c r="G383" s="2"/>
      <c r="J383" s="1" t="s">
        <v>3269</v>
      </c>
    </row>
    <row r="384">
      <c r="A384" s="1" t="s">
        <v>1218</v>
      </c>
      <c r="B384" s="1" t="s">
        <v>1234</v>
      </c>
      <c r="D384" s="1">
        <v>6.0</v>
      </c>
      <c r="E384" s="4" t="s">
        <v>1235</v>
      </c>
      <c r="F384" s="1" t="s">
        <v>16</v>
      </c>
      <c r="G384" s="2"/>
      <c r="J384" s="1" t="s">
        <v>3269</v>
      </c>
    </row>
    <row r="385">
      <c r="A385" s="1" t="s">
        <v>1218</v>
      </c>
      <c r="B385" s="1" t="s">
        <v>1236</v>
      </c>
      <c r="C385" s="1" t="s">
        <v>1237</v>
      </c>
      <c r="D385" s="1">
        <v>7.0</v>
      </c>
      <c r="E385" s="4" t="s">
        <v>1238</v>
      </c>
      <c r="F385" s="1" t="s">
        <v>16</v>
      </c>
      <c r="G385" s="2"/>
      <c r="H385" s="1" t="s">
        <v>336</v>
      </c>
      <c r="I385" s="4" t="s">
        <v>453</v>
      </c>
      <c r="J385" s="1" t="s">
        <v>3589</v>
      </c>
    </row>
    <row r="386">
      <c r="A386" s="1" t="s">
        <v>1218</v>
      </c>
      <c r="B386" s="1" t="s">
        <v>1239</v>
      </c>
      <c r="C386" s="1" t="s">
        <v>1240</v>
      </c>
      <c r="D386" s="1">
        <v>8.0</v>
      </c>
      <c r="E386" s="4" t="s">
        <v>1241</v>
      </c>
      <c r="F386" s="1" t="s">
        <v>16</v>
      </c>
      <c r="G386" s="2"/>
      <c r="H386" s="1" t="s">
        <v>1239</v>
      </c>
      <c r="I386" s="4" t="s">
        <v>1242</v>
      </c>
      <c r="J386" s="1" t="s">
        <v>3590</v>
      </c>
    </row>
    <row r="387">
      <c r="A387" s="1" t="s">
        <v>1218</v>
      </c>
      <c r="B387" s="1" t="s">
        <v>1243</v>
      </c>
      <c r="C387" s="1" t="s">
        <v>1244</v>
      </c>
      <c r="D387" s="1">
        <v>9.0</v>
      </c>
      <c r="E387" s="4" t="s">
        <v>1245</v>
      </c>
      <c r="F387" s="1" t="s">
        <v>16</v>
      </c>
      <c r="G387" s="2"/>
      <c r="H387" s="1" t="s">
        <v>1246</v>
      </c>
      <c r="I387" s="4" t="s">
        <v>1247</v>
      </c>
      <c r="J387" s="1" t="s">
        <v>3591</v>
      </c>
    </row>
    <row r="388">
      <c r="A388" s="1" t="s">
        <v>1218</v>
      </c>
      <c r="B388" s="1" t="s">
        <v>1248</v>
      </c>
      <c r="C388" s="1" t="s">
        <v>1249</v>
      </c>
      <c r="D388" s="1">
        <v>10.0</v>
      </c>
      <c r="E388" s="4" t="s">
        <v>1250</v>
      </c>
      <c r="F388" s="1" t="s">
        <v>16</v>
      </c>
      <c r="G388" s="2"/>
      <c r="H388" s="1" t="s">
        <v>1251</v>
      </c>
      <c r="I388" s="4" t="s">
        <v>1252</v>
      </c>
      <c r="J388" s="1" t="s">
        <v>3592</v>
      </c>
    </row>
    <row r="389">
      <c r="A389" s="1" t="s">
        <v>1218</v>
      </c>
      <c r="B389" s="1" t="s">
        <v>1253</v>
      </c>
      <c r="C389" s="1" t="s">
        <v>1254</v>
      </c>
      <c r="D389" s="1">
        <v>11.0</v>
      </c>
      <c r="E389" s="4" t="s">
        <v>1255</v>
      </c>
      <c r="F389" s="1" t="s">
        <v>16</v>
      </c>
      <c r="G389" s="2"/>
      <c r="J389" s="1" t="s">
        <v>3269</v>
      </c>
    </row>
    <row r="390">
      <c r="A390" s="1" t="s">
        <v>1218</v>
      </c>
      <c r="B390" s="1" t="s">
        <v>1256</v>
      </c>
      <c r="C390" s="1" t="s">
        <v>1257</v>
      </c>
      <c r="D390" s="1">
        <v>12.0</v>
      </c>
      <c r="E390" s="4" t="s">
        <v>1258</v>
      </c>
      <c r="F390" s="1" t="s">
        <v>16</v>
      </c>
      <c r="G390" s="2"/>
      <c r="H390" s="1" t="s">
        <v>1259</v>
      </c>
      <c r="I390" s="4" t="s">
        <v>1260</v>
      </c>
      <c r="J390" s="1" t="s">
        <v>3593</v>
      </c>
    </row>
    <row r="391">
      <c r="A391" s="1" t="s">
        <v>1218</v>
      </c>
      <c r="B391" s="1" t="s">
        <v>1261</v>
      </c>
      <c r="C391" s="1" t="s">
        <v>1262</v>
      </c>
      <c r="D391" s="1">
        <v>13.0</v>
      </c>
      <c r="E391" s="4" t="s">
        <v>1263</v>
      </c>
      <c r="F391" s="1" t="s">
        <v>16</v>
      </c>
      <c r="G391" s="2"/>
      <c r="H391" s="1" t="s">
        <v>1264</v>
      </c>
      <c r="I391" s="4" t="s">
        <v>1265</v>
      </c>
      <c r="J391" s="1" t="s">
        <v>3594</v>
      </c>
    </row>
    <row r="392">
      <c r="A392" s="1" t="s">
        <v>1218</v>
      </c>
      <c r="B392" s="1" t="s">
        <v>1266</v>
      </c>
      <c r="C392" s="1" t="s">
        <v>1267</v>
      </c>
      <c r="D392" s="1">
        <v>14.0</v>
      </c>
      <c r="E392" s="4" t="s">
        <v>1268</v>
      </c>
      <c r="F392" s="1" t="s">
        <v>16</v>
      </c>
      <c r="G392" s="2"/>
      <c r="H392" s="1" t="s">
        <v>1269</v>
      </c>
      <c r="I392" s="4" t="s">
        <v>1270</v>
      </c>
      <c r="J392" s="1" t="s">
        <v>3595</v>
      </c>
    </row>
    <row r="393">
      <c r="A393" s="1" t="s">
        <v>1218</v>
      </c>
      <c r="B393" s="1" t="s">
        <v>1271</v>
      </c>
      <c r="D393" s="1">
        <v>15.0</v>
      </c>
      <c r="E393" s="4" t="s">
        <v>1272</v>
      </c>
      <c r="F393" s="1" t="s">
        <v>16</v>
      </c>
      <c r="G393" s="2"/>
      <c r="H393" s="1" t="s">
        <v>1273</v>
      </c>
      <c r="I393" s="4" t="s">
        <v>1274</v>
      </c>
      <c r="J393" s="1" t="s">
        <v>3596</v>
      </c>
    </row>
    <row r="394">
      <c r="A394" s="1" t="s">
        <v>1218</v>
      </c>
      <c r="B394" s="1" t="s">
        <v>1275</v>
      </c>
      <c r="C394" s="1" t="s">
        <v>1276</v>
      </c>
      <c r="D394" s="1">
        <v>16.0</v>
      </c>
      <c r="E394" s="4" t="s">
        <v>1277</v>
      </c>
      <c r="F394" s="1" t="s">
        <v>16</v>
      </c>
      <c r="G394" s="2"/>
      <c r="J394" s="1" t="s">
        <v>3269</v>
      </c>
    </row>
    <row r="395">
      <c r="A395" s="1" t="s">
        <v>1218</v>
      </c>
      <c r="B395" s="1" t="s">
        <v>1278</v>
      </c>
      <c r="C395" s="1" t="s">
        <v>1279</v>
      </c>
      <c r="D395" s="1">
        <v>17.0</v>
      </c>
      <c r="E395" s="4" t="s">
        <v>1280</v>
      </c>
      <c r="F395" s="1" t="s">
        <v>16</v>
      </c>
      <c r="G395" s="2"/>
      <c r="H395" s="1" t="s">
        <v>1281</v>
      </c>
      <c r="I395" s="4" t="s">
        <v>1282</v>
      </c>
      <c r="J395" s="1" t="s">
        <v>3597</v>
      </c>
    </row>
    <row r="396">
      <c r="A396" s="1" t="s">
        <v>1218</v>
      </c>
      <c r="B396" s="1" t="s">
        <v>1283</v>
      </c>
      <c r="C396" s="1" t="s">
        <v>1284</v>
      </c>
      <c r="D396" s="1">
        <v>3.0</v>
      </c>
      <c r="E396" s="4" t="s">
        <v>1285</v>
      </c>
      <c r="F396" s="1" t="s">
        <v>43</v>
      </c>
      <c r="G396" s="2"/>
      <c r="H396" s="1" t="s">
        <v>1286</v>
      </c>
      <c r="I396" s="4" t="s">
        <v>1287</v>
      </c>
      <c r="J396" s="1" t="s">
        <v>3598</v>
      </c>
    </row>
    <row r="397">
      <c r="A397" s="1" t="s">
        <v>1218</v>
      </c>
      <c r="B397" s="1" t="s">
        <v>1288</v>
      </c>
      <c r="C397" s="1" t="s">
        <v>1289</v>
      </c>
      <c r="D397" s="1">
        <v>4.0</v>
      </c>
      <c r="E397" s="4" t="s">
        <v>1290</v>
      </c>
      <c r="F397" s="1" t="s">
        <v>43</v>
      </c>
      <c r="G397" s="2"/>
      <c r="H397" s="1" t="s">
        <v>1286</v>
      </c>
      <c r="I397" s="4" t="s">
        <v>1287</v>
      </c>
      <c r="J397" s="1" t="s">
        <v>3599</v>
      </c>
    </row>
    <row r="398">
      <c r="A398" s="1" t="s">
        <v>1218</v>
      </c>
      <c r="B398" s="1" t="s">
        <v>1291</v>
      </c>
      <c r="C398" s="1" t="s">
        <v>1292</v>
      </c>
      <c r="D398" s="1">
        <v>6.0</v>
      </c>
      <c r="E398" s="4" t="s">
        <v>1293</v>
      </c>
      <c r="F398" s="1" t="s">
        <v>43</v>
      </c>
      <c r="G398" s="2"/>
      <c r="H398" s="1" t="s">
        <v>1294</v>
      </c>
      <c r="I398" s="4" t="s">
        <v>1295</v>
      </c>
      <c r="J398" s="1" t="s">
        <v>3600</v>
      </c>
    </row>
    <row r="399">
      <c r="A399" s="1" t="s">
        <v>1218</v>
      </c>
      <c r="B399" s="1" t="s">
        <v>1296</v>
      </c>
      <c r="C399" s="1" t="s">
        <v>1297</v>
      </c>
      <c r="D399" s="1">
        <v>7.0</v>
      </c>
      <c r="E399" s="4" t="s">
        <v>1298</v>
      </c>
      <c r="F399" s="1" t="s">
        <v>43</v>
      </c>
      <c r="G399" s="2"/>
      <c r="H399" s="1" t="s">
        <v>1110</v>
      </c>
      <c r="I399" s="4" t="s">
        <v>1111</v>
      </c>
      <c r="J399" s="1" t="s">
        <v>3601</v>
      </c>
    </row>
    <row r="400">
      <c r="A400" s="1" t="s">
        <v>1218</v>
      </c>
      <c r="B400" s="1" t="s">
        <v>1299</v>
      </c>
      <c r="C400" s="1" t="s">
        <v>1300</v>
      </c>
      <c r="D400" s="1">
        <v>8.0</v>
      </c>
      <c r="E400" s="4" t="s">
        <v>1301</v>
      </c>
      <c r="F400" s="1" t="s">
        <v>43</v>
      </c>
      <c r="G400" s="2"/>
      <c r="H400" s="1" t="s">
        <v>1302</v>
      </c>
      <c r="I400" s="4" t="s">
        <v>1303</v>
      </c>
      <c r="J400" s="1" t="s">
        <v>3602</v>
      </c>
    </row>
    <row r="401">
      <c r="A401" s="1" t="s">
        <v>1218</v>
      </c>
      <c r="B401" s="1" t="s">
        <v>1304</v>
      </c>
      <c r="C401" s="1" t="s">
        <v>1305</v>
      </c>
      <c r="D401" s="1">
        <v>9.0</v>
      </c>
      <c r="E401" s="4" t="s">
        <v>1306</v>
      </c>
      <c r="F401" s="1" t="s">
        <v>43</v>
      </c>
      <c r="G401" s="2"/>
      <c r="H401" s="1" t="s">
        <v>1307</v>
      </c>
      <c r="I401" s="4" t="s">
        <v>1308</v>
      </c>
      <c r="J401" s="1" t="s">
        <v>3603</v>
      </c>
    </row>
    <row r="402">
      <c r="A402" s="1" t="s">
        <v>1218</v>
      </c>
      <c r="B402" s="1" t="s">
        <v>1309</v>
      </c>
      <c r="C402" s="1" t="s">
        <v>1310</v>
      </c>
      <c r="D402" s="1">
        <v>10.0</v>
      </c>
      <c r="E402" s="4" t="s">
        <v>1311</v>
      </c>
      <c r="F402" s="1" t="s">
        <v>43</v>
      </c>
      <c r="G402" s="2"/>
      <c r="H402" s="1" t="s">
        <v>1312</v>
      </c>
      <c r="I402" s="4" t="s">
        <v>1313</v>
      </c>
      <c r="J402" s="1" t="s">
        <v>3604</v>
      </c>
    </row>
    <row r="403">
      <c r="A403" s="1" t="s">
        <v>1218</v>
      </c>
      <c r="B403" s="1" t="s">
        <v>1314</v>
      </c>
      <c r="C403" s="1" t="s">
        <v>1315</v>
      </c>
      <c r="D403" s="1">
        <v>11.0</v>
      </c>
      <c r="E403" s="4" t="s">
        <v>1316</v>
      </c>
      <c r="F403" s="1" t="s">
        <v>43</v>
      </c>
      <c r="G403" s="2"/>
      <c r="H403" s="1" t="s">
        <v>1317</v>
      </c>
      <c r="I403" s="4" t="s">
        <v>1318</v>
      </c>
      <c r="J403" s="1" t="s">
        <v>3605</v>
      </c>
    </row>
    <row r="404">
      <c r="A404" s="1" t="s">
        <v>1218</v>
      </c>
      <c r="B404" s="1" t="s">
        <v>1319</v>
      </c>
      <c r="C404" s="1" t="s">
        <v>1320</v>
      </c>
      <c r="D404" s="1">
        <v>12.0</v>
      </c>
      <c r="E404" s="4" t="s">
        <v>1321</v>
      </c>
      <c r="F404" s="1" t="s">
        <v>43</v>
      </c>
      <c r="G404" s="2"/>
      <c r="H404" s="1" t="s">
        <v>1322</v>
      </c>
      <c r="I404" s="4" t="s">
        <v>1323</v>
      </c>
      <c r="J404" s="1" t="s">
        <v>3606</v>
      </c>
    </row>
    <row r="405">
      <c r="A405" s="1" t="s">
        <v>1218</v>
      </c>
      <c r="B405" s="1" t="s">
        <v>1324</v>
      </c>
      <c r="C405" s="1" t="s">
        <v>1325</v>
      </c>
      <c r="D405" s="1">
        <v>13.0</v>
      </c>
      <c r="E405" s="4" t="s">
        <v>1326</v>
      </c>
      <c r="F405" s="1" t="s">
        <v>43</v>
      </c>
      <c r="G405" s="2"/>
      <c r="H405" s="1" t="s">
        <v>1327</v>
      </c>
      <c r="I405" s="4" t="s">
        <v>1328</v>
      </c>
      <c r="J405" s="1" t="s">
        <v>3607</v>
      </c>
    </row>
    <row r="406">
      <c r="A406" s="1" t="s">
        <v>1218</v>
      </c>
      <c r="B406" s="1" t="s">
        <v>1329</v>
      </c>
      <c r="C406" s="1" t="s">
        <v>1330</v>
      </c>
      <c r="D406" s="1">
        <v>14.0</v>
      </c>
      <c r="E406" s="4" t="s">
        <v>1331</v>
      </c>
      <c r="F406" s="1" t="s">
        <v>43</v>
      </c>
      <c r="G406" s="2"/>
      <c r="H406" s="1" t="s">
        <v>1332</v>
      </c>
      <c r="I406" s="4" t="s">
        <v>1333</v>
      </c>
      <c r="J406" s="1" t="s">
        <v>3608</v>
      </c>
    </row>
    <row r="407">
      <c r="A407" s="1" t="s">
        <v>1218</v>
      </c>
      <c r="B407" s="1" t="s">
        <v>1334</v>
      </c>
      <c r="C407" s="1" t="s">
        <v>1335</v>
      </c>
      <c r="D407" s="1">
        <v>15.0</v>
      </c>
      <c r="E407" s="4" t="s">
        <v>1336</v>
      </c>
      <c r="F407" s="1" t="s">
        <v>43</v>
      </c>
      <c r="G407" s="2"/>
      <c r="J407" s="1" t="s">
        <v>3269</v>
      </c>
    </row>
    <row r="408">
      <c r="A408" s="1" t="s">
        <v>1218</v>
      </c>
      <c r="B408" s="1" t="s">
        <v>1337</v>
      </c>
      <c r="D408" s="1">
        <v>16.0</v>
      </c>
      <c r="E408" s="4" t="s">
        <v>1338</v>
      </c>
      <c r="F408" s="1" t="s">
        <v>43</v>
      </c>
      <c r="G408" s="2"/>
      <c r="H408" s="1" t="s">
        <v>1339</v>
      </c>
      <c r="I408" s="4" t="s">
        <v>1340</v>
      </c>
      <c r="J408" s="1" t="s">
        <v>3609</v>
      </c>
    </row>
    <row r="409">
      <c r="A409" s="1" t="s">
        <v>1218</v>
      </c>
      <c r="B409" s="1" t="s">
        <v>1341</v>
      </c>
      <c r="D409" s="1">
        <v>17.0</v>
      </c>
      <c r="E409" s="4" t="s">
        <v>1342</v>
      </c>
      <c r="F409" s="1" t="s">
        <v>43</v>
      </c>
      <c r="G409" s="2"/>
      <c r="H409" s="1" t="s">
        <v>120</v>
      </c>
      <c r="I409" s="4" t="s">
        <v>121</v>
      </c>
      <c r="J409" s="1" t="s">
        <v>3610</v>
      </c>
    </row>
    <row r="410">
      <c r="A410" s="1" t="s">
        <v>1218</v>
      </c>
      <c r="B410" s="1" t="s">
        <v>1343</v>
      </c>
      <c r="C410" s="1" t="s">
        <v>1344</v>
      </c>
      <c r="D410" s="1">
        <v>29.0</v>
      </c>
      <c r="E410" s="4" t="s">
        <v>1345</v>
      </c>
      <c r="F410" s="1" t="s">
        <v>43</v>
      </c>
      <c r="G410" s="2"/>
      <c r="H410" s="1" t="s">
        <v>1346</v>
      </c>
      <c r="I410" s="4" t="s">
        <v>1347</v>
      </c>
      <c r="J410" s="1" t="s">
        <v>3611</v>
      </c>
    </row>
    <row r="411">
      <c r="A411" s="1" t="s">
        <v>1218</v>
      </c>
      <c r="B411" s="1" t="s">
        <v>1348</v>
      </c>
      <c r="C411" s="1" t="s">
        <v>1349</v>
      </c>
      <c r="D411" s="1">
        <v>34.0</v>
      </c>
      <c r="E411" s="4" t="s">
        <v>1350</v>
      </c>
      <c r="F411" s="1" t="s">
        <v>43</v>
      </c>
      <c r="G411" s="2"/>
      <c r="J411" s="1" t="s">
        <v>3269</v>
      </c>
    </row>
    <row r="412">
      <c r="A412" s="1" t="s">
        <v>1351</v>
      </c>
      <c r="B412" s="1" t="s">
        <v>1352</v>
      </c>
      <c r="C412" s="1" t="s">
        <v>1353</v>
      </c>
      <c r="D412" s="1">
        <v>1.0</v>
      </c>
      <c r="E412" s="4" t="s">
        <v>1354</v>
      </c>
      <c r="F412" s="1" t="s">
        <v>16</v>
      </c>
      <c r="G412" s="2"/>
      <c r="H412" s="1" t="s">
        <v>31</v>
      </c>
      <c r="I412" s="4" t="s">
        <v>32</v>
      </c>
      <c r="J412" s="1" t="s">
        <v>3612</v>
      </c>
    </row>
    <row r="413">
      <c r="A413" s="1" t="s">
        <v>1351</v>
      </c>
      <c r="B413" s="1" t="s">
        <v>1355</v>
      </c>
      <c r="C413" s="1" t="s">
        <v>1356</v>
      </c>
      <c r="D413" s="1">
        <v>2.0</v>
      </c>
      <c r="E413" s="4" t="s">
        <v>1357</v>
      </c>
      <c r="F413" s="1" t="s">
        <v>16</v>
      </c>
      <c r="G413" s="2"/>
      <c r="H413" s="1" t="s">
        <v>336</v>
      </c>
      <c r="I413" s="4" t="s">
        <v>337</v>
      </c>
      <c r="J413" s="1" t="s">
        <v>3613</v>
      </c>
    </row>
    <row r="414">
      <c r="A414" s="1" t="s">
        <v>1351</v>
      </c>
      <c r="B414" s="1" t="s">
        <v>1358</v>
      </c>
      <c r="D414" s="1">
        <v>3.0</v>
      </c>
      <c r="E414" s="4" t="s">
        <v>1359</v>
      </c>
      <c r="F414" s="1" t="s">
        <v>16</v>
      </c>
      <c r="G414" s="2"/>
      <c r="H414" s="1" t="s">
        <v>1360</v>
      </c>
      <c r="I414" s="4" t="s">
        <v>1361</v>
      </c>
      <c r="J414" s="1" t="s">
        <v>3614</v>
      </c>
    </row>
    <row r="415">
      <c r="A415" s="1" t="s">
        <v>1351</v>
      </c>
      <c r="B415" s="1" t="s">
        <v>1362</v>
      </c>
      <c r="C415" s="1" t="s">
        <v>1363</v>
      </c>
      <c r="D415" s="1">
        <v>4.0</v>
      </c>
      <c r="E415" s="4" t="s">
        <v>1364</v>
      </c>
      <c r="F415" s="1" t="s">
        <v>16</v>
      </c>
      <c r="G415" s="2"/>
      <c r="H415" s="1" t="s">
        <v>246</v>
      </c>
      <c r="I415" s="4" t="s">
        <v>247</v>
      </c>
      <c r="J415" s="1" t="s">
        <v>3615</v>
      </c>
    </row>
    <row r="416">
      <c r="A416" s="1" t="s">
        <v>1351</v>
      </c>
      <c r="B416" s="1" t="s">
        <v>1365</v>
      </c>
      <c r="D416" s="1">
        <v>5.0</v>
      </c>
      <c r="E416" s="4" t="s">
        <v>1366</v>
      </c>
      <c r="F416" s="1" t="s">
        <v>16</v>
      </c>
      <c r="G416" s="2"/>
      <c r="H416" s="1" t="s">
        <v>1367</v>
      </c>
      <c r="I416" s="4" t="s">
        <v>1368</v>
      </c>
      <c r="J416" s="1" t="s">
        <v>3616</v>
      </c>
    </row>
    <row r="417">
      <c r="A417" s="1" t="s">
        <v>1351</v>
      </c>
      <c r="B417" s="1" t="s">
        <v>1369</v>
      </c>
      <c r="C417" s="1" t="s">
        <v>1370</v>
      </c>
      <c r="D417" s="1">
        <v>6.0</v>
      </c>
      <c r="E417" s="4" t="s">
        <v>1371</v>
      </c>
      <c r="F417" s="1" t="s">
        <v>16</v>
      </c>
      <c r="G417" s="2"/>
      <c r="H417" s="1" t="s">
        <v>1372</v>
      </c>
      <c r="I417" s="4" t="s">
        <v>1373</v>
      </c>
      <c r="J417" s="1" t="s">
        <v>3617</v>
      </c>
    </row>
    <row r="418">
      <c r="A418" s="1" t="s">
        <v>1351</v>
      </c>
      <c r="B418" s="1" t="s">
        <v>1374</v>
      </c>
      <c r="C418" s="1" t="s">
        <v>1375</v>
      </c>
      <c r="D418" s="1">
        <v>7.0</v>
      </c>
      <c r="E418" s="4" t="s">
        <v>1376</v>
      </c>
      <c r="F418" s="1" t="s">
        <v>16</v>
      </c>
      <c r="G418" s="2"/>
      <c r="H418" s="1" t="s">
        <v>1377</v>
      </c>
      <c r="I418" s="4" t="s">
        <v>1378</v>
      </c>
      <c r="J418" s="1" t="s">
        <v>3618</v>
      </c>
    </row>
    <row r="419">
      <c r="A419" s="1" t="s">
        <v>1351</v>
      </c>
      <c r="B419" s="1" t="s">
        <v>1352</v>
      </c>
      <c r="C419" s="1" t="s">
        <v>1379</v>
      </c>
      <c r="D419" s="1">
        <v>8.0</v>
      </c>
      <c r="E419" s="4" t="s">
        <v>1380</v>
      </c>
      <c r="F419" s="1" t="s">
        <v>16</v>
      </c>
      <c r="G419" s="2"/>
      <c r="H419" s="1" t="s">
        <v>1175</v>
      </c>
      <c r="I419" s="4" t="s">
        <v>1176</v>
      </c>
      <c r="J419" s="1" t="s">
        <v>3619</v>
      </c>
    </row>
    <row r="420">
      <c r="A420" s="1" t="s">
        <v>1351</v>
      </c>
      <c r="B420" s="1" t="s">
        <v>1381</v>
      </c>
      <c r="C420" s="1" t="s">
        <v>1382</v>
      </c>
      <c r="D420" s="1">
        <v>9.0</v>
      </c>
      <c r="E420" s="4" t="s">
        <v>1383</v>
      </c>
      <c r="F420" s="1" t="s">
        <v>16</v>
      </c>
      <c r="G420" s="2"/>
      <c r="H420" s="1" t="s">
        <v>1384</v>
      </c>
      <c r="I420" s="4" t="s">
        <v>1385</v>
      </c>
      <c r="J420" s="1" t="s">
        <v>3620</v>
      </c>
    </row>
    <row r="421">
      <c r="A421" s="1" t="s">
        <v>1351</v>
      </c>
      <c r="B421" s="1" t="s">
        <v>1386</v>
      </c>
      <c r="C421" s="1" t="s">
        <v>1363</v>
      </c>
      <c r="D421" s="1">
        <v>10.0</v>
      </c>
      <c r="E421" s="4" t="s">
        <v>1387</v>
      </c>
      <c r="F421" s="1" t="s">
        <v>16</v>
      </c>
      <c r="G421" s="2"/>
      <c r="J421" s="1" t="s">
        <v>3269</v>
      </c>
    </row>
    <row r="422">
      <c r="A422" s="1" t="s">
        <v>1351</v>
      </c>
      <c r="B422" s="1" t="s">
        <v>1388</v>
      </c>
      <c r="D422" s="1">
        <v>6.0</v>
      </c>
      <c r="E422" s="4" t="s">
        <v>1366</v>
      </c>
      <c r="F422" s="1" t="s">
        <v>43</v>
      </c>
      <c r="G422" s="2"/>
      <c r="H422" s="1" t="s">
        <v>1367</v>
      </c>
      <c r="I422" s="4" t="s">
        <v>1368</v>
      </c>
      <c r="J422" s="1" t="s">
        <v>3621</v>
      </c>
    </row>
    <row r="423">
      <c r="A423" s="1" t="s">
        <v>1351</v>
      </c>
      <c r="B423" s="1" t="s">
        <v>1389</v>
      </c>
      <c r="C423" s="1" t="s">
        <v>1390</v>
      </c>
      <c r="D423" s="1">
        <v>10.0</v>
      </c>
      <c r="E423" s="4" t="s">
        <v>1391</v>
      </c>
      <c r="F423" s="1" t="s">
        <v>43</v>
      </c>
      <c r="G423" s="2"/>
      <c r="H423" s="1" t="s">
        <v>135</v>
      </c>
      <c r="I423" s="4" t="s">
        <v>136</v>
      </c>
      <c r="J423" s="1" t="s">
        <v>3622</v>
      </c>
    </row>
    <row r="424">
      <c r="A424" s="1" t="s">
        <v>1351</v>
      </c>
      <c r="B424" s="1" t="s">
        <v>1392</v>
      </c>
      <c r="C424" s="1" t="s">
        <v>1393</v>
      </c>
      <c r="D424" s="1">
        <v>209.0</v>
      </c>
      <c r="E424" s="4" t="s">
        <v>1394</v>
      </c>
      <c r="F424" s="1" t="s">
        <v>43</v>
      </c>
      <c r="G424" s="2"/>
      <c r="H424" s="1" t="s">
        <v>273</v>
      </c>
      <c r="I424" s="4" t="s">
        <v>476</v>
      </c>
      <c r="J424" s="1" t="s">
        <v>3623</v>
      </c>
    </row>
    <row r="425">
      <c r="A425" s="1" t="s">
        <v>1351</v>
      </c>
      <c r="B425" s="1" t="s">
        <v>1395</v>
      </c>
      <c r="D425" s="1">
        <v>210.0</v>
      </c>
      <c r="E425" s="4" t="s">
        <v>1396</v>
      </c>
      <c r="F425" s="1" t="s">
        <v>43</v>
      </c>
      <c r="G425" s="2"/>
      <c r="H425" s="1" t="s">
        <v>364</v>
      </c>
      <c r="I425" s="4" t="s">
        <v>365</v>
      </c>
      <c r="J425" s="1" t="s">
        <v>3624</v>
      </c>
    </row>
    <row r="426">
      <c r="A426" s="1" t="s">
        <v>1397</v>
      </c>
      <c r="B426" s="1" t="s">
        <v>1398</v>
      </c>
      <c r="C426" s="1" t="s">
        <v>1399</v>
      </c>
      <c r="D426" s="1">
        <v>1.0</v>
      </c>
      <c r="E426" s="4" t="s">
        <v>1400</v>
      </c>
      <c r="F426" s="1" t="s">
        <v>16</v>
      </c>
      <c r="G426" s="2"/>
      <c r="H426" s="1" t="s">
        <v>1401</v>
      </c>
      <c r="I426" s="4" t="s">
        <v>1402</v>
      </c>
      <c r="J426" s="1" t="s">
        <v>3625</v>
      </c>
    </row>
    <row r="427">
      <c r="A427" s="1" t="s">
        <v>1397</v>
      </c>
      <c r="B427" s="1" t="s">
        <v>1403</v>
      </c>
      <c r="C427" s="1" t="s">
        <v>1404</v>
      </c>
      <c r="D427" s="1">
        <v>2.0</v>
      </c>
      <c r="E427" s="4" t="s">
        <v>1405</v>
      </c>
      <c r="F427" s="1" t="s">
        <v>16</v>
      </c>
      <c r="G427" s="2"/>
      <c r="H427" s="1" t="s">
        <v>1406</v>
      </c>
      <c r="I427" s="4" t="s">
        <v>1407</v>
      </c>
      <c r="J427" s="1" t="s">
        <v>3626</v>
      </c>
    </row>
    <row r="428">
      <c r="A428" s="1" t="s">
        <v>1397</v>
      </c>
      <c r="B428" s="1" t="s">
        <v>1408</v>
      </c>
      <c r="C428" s="1" t="s">
        <v>1409</v>
      </c>
      <c r="D428" s="1">
        <v>3.0</v>
      </c>
      <c r="E428" s="4" t="s">
        <v>1410</v>
      </c>
      <c r="F428" s="1" t="s">
        <v>16</v>
      </c>
      <c r="G428" s="2"/>
      <c r="H428" s="1" t="s">
        <v>1411</v>
      </c>
      <c r="I428" s="4" t="s">
        <v>1412</v>
      </c>
      <c r="J428" s="1" t="s">
        <v>3627</v>
      </c>
    </row>
    <row r="429">
      <c r="A429" s="1" t="s">
        <v>1397</v>
      </c>
      <c r="B429" s="1" t="s">
        <v>1413</v>
      </c>
      <c r="C429" s="1" t="s">
        <v>1414</v>
      </c>
      <c r="D429" s="1">
        <v>4.0</v>
      </c>
      <c r="E429" s="4" t="s">
        <v>1415</v>
      </c>
      <c r="F429" s="1" t="s">
        <v>16</v>
      </c>
      <c r="G429" s="2"/>
      <c r="H429" s="1" t="s">
        <v>1416</v>
      </c>
      <c r="I429" s="4" t="s">
        <v>1417</v>
      </c>
      <c r="J429" s="1" t="s">
        <v>3628</v>
      </c>
    </row>
    <row r="430">
      <c r="A430" s="1" t="s">
        <v>1397</v>
      </c>
      <c r="B430" s="1" t="s">
        <v>1418</v>
      </c>
      <c r="C430" s="1" t="s">
        <v>1419</v>
      </c>
      <c r="D430" s="1">
        <v>5.0</v>
      </c>
      <c r="E430" s="4" t="s">
        <v>1420</v>
      </c>
      <c r="F430" s="1" t="s">
        <v>16</v>
      </c>
      <c r="G430" s="2"/>
      <c r="H430" s="1" t="s">
        <v>1411</v>
      </c>
      <c r="I430" s="4" t="s">
        <v>1412</v>
      </c>
      <c r="J430" s="1" t="s">
        <v>3629</v>
      </c>
    </row>
    <row r="431">
      <c r="A431" s="1" t="s">
        <v>1397</v>
      </c>
      <c r="B431" s="1" t="s">
        <v>1421</v>
      </c>
      <c r="C431" s="1" t="s">
        <v>1422</v>
      </c>
      <c r="D431" s="1">
        <v>6.0</v>
      </c>
      <c r="E431" s="4" t="s">
        <v>1423</v>
      </c>
      <c r="F431" s="1" t="s">
        <v>16</v>
      </c>
      <c r="G431" s="2"/>
      <c r="H431" s="1" t="s">
        <v>1424</v>
      </c>
      <c r="I431" s="4" t="s">
        <v>1425</v>
      </c>
      <c r="J431" s="1" t="s">
        <v>3630</v>
      </c>
    </row>
    <row r="432">
      <c r="A432" s="1" t="s">
        <v>1397</v>
      </c>
      <c r="B432" s="1" t="s">
        <v>1426</v>
      </c>
      <c r="C432" s="1" t="s">
        <v>1427</v>
      </c>
      <c r="D432" s="1">
        <v>7.0</v>
      </c>
      <c r="E432" s="4" t="s">
        <v>1428</v>
      </c>
      <c r="F432" s="1" t="s">
        <v>16</v>
      </c>
      <c r="G432" s="2"/>
      <c r="J432" s="1" t="s">
        <v>3269</v>
      </c>
    </row>
    <row r="433">
      <c r="A433" s="1" t="s">
        <v>1397</v>
      </c>
      <c r="B433" s="1" t="s">
        <v>1429</v>
      </c>
      <c r="C433" s="1" t="s">
        <v>1430</v>
      </c>
      <c r="D433" s="1">
        <v>8.0</v>
      </c>
      <c r="E433" s="4" t="s">
        <v>1431</v>
      </c>
      <c r="F433" s="1" t="s">
        <v>16</v>
      </c>
      <c r="G433" s="2"/>
      <c r="H433" s="1" t="s">
        <v>1432</v>
      </c>
      <c r="I433" s="4" t="s">
        <v>1433</v>
      </c>
      <c r="J433" s="1" t="s">
        <v>3631</v>
      </c>
    </row>
    <row r="434">
      <c r="A434" s="1" t="s">
        <v>1397</v>
      </c>
      <c r="B434" s="1" t="s">
        <v>1434</v>
      </c>
      <c r="C434" s="1" t="s">
        <v>1435</v>
      </c>
      <c r="D434" s="1">
        <v>9.0</v>
      </c>
      <c r="E434" s="4" t="s">
        <v>1436</v>
      </c>
      <c r="F434" s="1" t="s">
        <v>16</v>
      </c>
      <c r="G434" s="2"/>
      <c r="H434" s="1" t="s">
        <v>1437</v>
      </c>
      <c r="I434" s="4" t="s">
        <v>1438</v>
      </c>
      <c r="J434" s="1" t="s">
        <v>3632</v>
      </c>
    </row>
    <row r="435">
      <c r="A435" s="1" t="s">
        <v>1397</v>
      </c>
      <c r="B435" s="1" t="s">
        <v>1439</v>
      </c>
      <c r="D435" s="1">
        <v>10.0</v>
      </c>
      <c r="E435" s="4" t="s">
        <v>1440</v>
      </c>
      <c r="F435" s="1" t="s">
        <v>16</v>
      </c>
      <c r="G435" s="2"/>
      <c r="J435" s="1" t="s">
        <v>3269</v>
      </c>
    </row>
    <row r="436">
      <c r="A436" s="1" t="s">
        <v>1397</v>
      </c>
      <c r="B436" s="1" t="s">
        <v>1441</v>
      </c>
      <c r="C436" s="1" t="s">
        <v>1442</v>
      </c>
      <c r="D436" s="1">
        <v>11.0</v>
      </c>
      <c r="E436" s="4" t="s">
        <v>1443</v>
      </c>
      <c r="F436" s="1" t="s">
        <v>16</v>
      </c>
      <c r="G436" s="2"/>
      <c r="H436" s="1" t="s">
        <v>31</v>
      </c>
      <c r="I436" s="4" t="s">
        <v>32</v>
      </c>
      <c r="J436" s="1" t="s">
        <v>3633</v>
      </c>
    </row>
    <row r="437">
      <c r="A437" s="1" t="s">
        <v>1397</v>
      </c>
      <c r="B437" s="1" t="s">
        <v>1444</v>
      </c>
      <c r="C437" s="1" t="s">
        <v>1445</v>
      </c>
      <c r="D437" s="1">
        <v>12.0</v>
      </c>
      <c r="E437" s="4" t="s">
        <v>1446</v>
      </c>
      <c r="F437" s="1" t="s">
        <v>16</v>
      </c>
      <c r="G437" s="2"/>
      <c r="J437" s="1" t="s">
        <v>3269</v>
      </c>
    </row>
    <row r="438">
      <c r="A438" s="1" t="s">
        <v>1397</v>
      </c>
      <c r="B438" s="1" t="s">
        <v>1447</v>
      </c>
      <c r="C438" s="1" t="s">
        <v>1448</v>
      </c>
      <c r="D438" s="1">
        <v>13.0</v>
      </c>
      <c r="E438" s="4" t="s">
        <v>1449</v>
      </c>
      <c r="F438" s="1" t="s">
        <v>16</v>
      </c>
      <c r="G438" s="2"/>
      <c r="H438" s="1" t="s">
        <v>1450</v>
      </c>
      <c r="I438" s="4" t="s">
        <v>1451</v>
      </c>
      <c r="J438" s="1" t="s">
        <v>3634</v>
      </c>
    </row>
    <row r="439">
      <c r="A439" s="1" t="s">
        <v>1397</v>
      </c>
      <c r="B439" s="1" t="s">
        <v>1452</v>
      </c>
      <c r="C439" s="1" t="s">
        <v>1453</v>
      </c>
      <c r="D439" s="1">
        <v>14.0</v>
      </c>
      <c r="E439" s="4" t="s">
        <v>1454</v>
      </c>
      <c r="F439" s="1" t="s">
        <v>16</v>
      </c>
      <c r="G439" s="2"/>
      <c r="H439" s="1" t="s">
        <v>1455</v>
      </c>
      <c r="I439" s="4" t="s">
        <v>1456</v>
      </c>
      <c r="J439" s="1" t="s">
        <v>3635</v>
      </c>
    </row>
    <row r="440">
      <c r="A440" s="1" t="s">
        <v>1397</v>
      </c>
      <c r="B440" s="1" t="s">
        <v>1457</v>
      </c>
      <c r="C440" s="1" t="s">
        <v>1458</v>
      </c>
      <c r="D440" s="1">
        <v>15.0</v>
      </c>
      <c r="E440" s="4" t="s">
        <v>1459</v>
      </c>
      <c r="F440" s="1" t="s">
        <v>16</v>
      </c>
      <c r="G440" s="2"/>
      <c r="J440" s="1" t="s">
        <v>3269</v>
      </c>
    </row>
    <row r="441">
      <c r="A441" s="1" t="s">
        <v>1397</v>
      </c>
      <c r="B441" s="1" t="s">
        <v>1460</v>
      </c>
      <c r="C441" s="1" t="s">
        <v>1461</v>
      </c>
      <c r="D441" s="1">
        <v>16.0</v>
      </c>
      <c r="E441" s="4" t="s">
        <v>1462</v>
      </c>
      <c r="F441" s="1" t="s">
        <v>16</v>
      </c>
      <c r="G441" s="2"/>
      <c r="H441" s="1" t="s">
        <v>120</v>
      </c>
      <c r="I441" s="4" t="s">
        <v>121</v>
      </c>
      <c r="J441" s="1" t="s">
        <v>3636</v>
      </c>
    </row>
    <row r="442">
      <c r="A442" s="1" t="s">
        <v>1397</v>
      </c>
      <c r="B442" s="1" t="s">
        <v>1463</v>
      </c>
      <c r="C442" s="1" t="s">
        <v>1464</v>
      </c>
      <c r="D442" s="1">
        <v>17.0</v>
      </c>
      <c r="E442" s="4" t="s">
        <v>1465</v>
      </c>
      <c r="F442" s="1" t="s">
        <v>16</v>
      </c>
      <c r="G442" s="2"/>
      <c r="H442" s="1" t="s">
        <v>120</v>
      </c>
      <c r="I442" s="4" t="s">
        <v>121</v>
      </c>
      <c r="J442" s="1" t="s">
        <v>3637</v>
      </c>
    </row>
    <row r="443">
      <c r="A443" s="1" t="s">
        <v>1397</v>
      </c>
      <c r="B443" s="1" t="s">
        <v>1466</v>
      </c>
      <c r="D443" s="1">
        <v>18.0</v>
      </c>
      <c r="E443" s="4" t="s">
        <v>1467</v>
      </c>
      <c r="F443" s="1" t="s">
        <v>16</v>
      </c>
      <c r="G443" s="2"/>
      <c r="H443" s="1" t="s">
        <v>1468</v>
      </c>
      <c r="I443" s="4" t="s">
        <v>1469</v>
      </c>
      <c r="J443" s="1" t="s">
        <v>3638</v>
      </c>
    </row>
    <row r="444">
      <c r="A444" s="1" t="s">
        <v>1397</v>
      </c>
      <c r="B444" s="1" t="s">
        <v>1470</v>
      </c>
      <c r="C444" s="1" t="s">
        <v>1471</v>
      </c>
      <c r="D444" s="1">
        <v>19.0</v>
      </c>
      <c r="E444" s="4" t="s">
        <v>1472</v>
      </c>
      <c r="F444" s="1" t="s">
        <v>16</v>
      </c>
      <c r="G444" s="2"/>
      <c r="H444" s="1" t="s">
        <v>1473</v>
      </c>
      <c r="I444" s="4" t="s">
        <v>1474</v>
      </c>
      <c r="J444" s="1" t="s">
        <v>3639</v>
      </c>
    </row>
    <row r="445">
      <c r="A445" s="1" t="s">
        <v>1397</v>
      </c>
      <c r="B445" s="1" t="s">
        <v>1475</v>
      </c>
      <c r="D445" s="1">
        <v>34.0</v>
      </c>
      <c r="E445" s="4" t="s">
        <v>1476</v>
      </c>
      <c r="F445" s="1" t="s">
        <v>16</v>
      </c>
      <c r="G445" s="2"/>
      <c r="H445" s="1" t="s">
        <v>1009</v>
      </c>
      <c r="I445" s="4" t="s">
        <v>1010</v>
      </c>
      <c r="J445" s="1" t="s">
        <v>3640</v>
      </c>
    </row>
    <row r="446">
      <c r="A446" s="1" t="s">
        <v>1397</v>
      </c>
      <c r="B446" s="1" t="s">
        <v>1477</v>
      </c>
      <c r="C446" s="1" t="s">
        <v>1478</v>
      </c>
      <c r="D446" s="1">
        <v>36.0</v>
      </c>
      <c r="E446" s="4" t="s">
        <v>1479</v>
      </c>
      <c r="F446" s="1" t="s">
        <v>16</v>
      </c>
      <c r="G446" s="2"/>
      <c r="H446" s="1" t="s">
        <v>1480</v>
      </c>
      <c r="I446" s="4" t="s">
        <v>1481</v>
      </c>
      <c r="J446" s="1" t="s">
        <v>3641</v>
      </c>
    </row>
    <row r="447">
      <c r="A447" s="1" t="s">
        <v>1397</v>
      </c>
      <c r="B447" s="1" t="s">
        <v>1482</v>
      </c>
      <c r="C447" s="1" t="s">
        <v>1483</v>
      </c>
      <c r="D447" s="1">
        <v>37.0</v>
      </c>
      <c r="E447" s="4" t="s">
        <v>1484</v>
      </c>
      <c r="F447" s="1" t="s">
        <v>16</v>
      </c>
      <c r="G447" s="2"/>
      <c r="J447" s="1" t="s">
        <v>3269</v>
      </c>
    </row>
    <row r="448">
      <c r="A448" s="1" t="s">
        <v>1397</v>
      </c>
      <c r="B448" s="1" t="s">
        <v>1485</v>
      </c>
      <c r="C448" s="1" t="s">
        <v>1486</v>
      </c>
      <c r="D448" s="1">
        <v>38.0</v>
      </c>
      <c r="E448" s="4" t="s">
        <v>1487</v>
      </c>
      <c r="F448" s="1" t="s">
        <v>16</v>
      </c>
      <c r="G448" s="2"/>
      <c r="I448" s="4" t="s">
        <v>1488</v>
      </c>
      <c r="J448" s="1" t="s">
        <v>3642</v>
      </c>
    </row>
    <row r="449">
      <c r="A449" s="1" t="s">
        <v>1397</v>
      </c>
      <c r="B449" s="1" t="s">
        <v>1489</v>
      </c>
      <c r="D449" s="1">
        <v>6.0</v>
      </c>
      <c r="E449" s="4" t="s">
        <v>1490</v>
      </c>
      <c r="F449" s="1" t="s">
        <v>43</v>
      </c>
      <c r="G449" s="2"/>
      <c r="H449" s="1" t="s">
        <v>1491</v>
      </c>
      <c r="I449" s="4" t="s">
        <v>1492</v>
      </c>
      <c r="J449" s="1" t="s">
        <v>3643</v>
      </c>
    </row>
    <row r="450">
      <c r="A450" s="1" t="s">
        <v>1397</v>
      </c>
      <c r="B450" s="1" t="s">
        <v>1493</v>
      </c>
      <c r="D450" s="1">
        <v>10.0</v>
      </c>
      <c r="E450" s="4" t="s">
        <v>1494</v>
      </c>
      <c r="F450" s="1" t="s">
        <v>43</v>
      </c>
      <c r="G450" s="2"/>
      <c r="H450" s="1" t="s">
        <v>97</v>
      </c>
      <c r="I450" s="4" t="s">
        <v>98</v>
      </c>
      <c r="J450" s="1" t="s">
        <v>3644</v>
      </c>
    </row>
    <row r="451">
      <c r="A451" s="1" t="s">
        <v>1397</v>
      </c>
      <c r="B451" s="1" t="s">
        <v>1495</v>
      </c>
      <c r="C451" s="1" t="s">
        <v>1496</v>
      </c>
      <c r="D451" s="1">
        <v>11.0</v>
      </c>
      <c r="E451" s="4" t="s">
        <v>1497</v>
      </c>
      <c r="F451" s="1" t="s">
        <v>43</v>
      </c>
      <c r="G451" s="2"/>
      <c r="H451" s="1" t="s">
        <v>97</v>
      </c>
      <c r="I451" s="4" t="s">
        <v>98</v>
      </c>
      <c r="J451" s="1" t="s">
        <v>3645</v>
      </c>
    </row>
    <row r="452">
      <c r="A452" s="1" t="s">
        <v>1397</v>
      </c>
      <c r="B452" s="1" t="s">
        <v>1475</v>
      </c>
      <c r="C452" s="1" t="s">
        <v>1498</v>
      </c>
      <c r="D452" s="1">
        <v>14.0</v>
      </c>
      <c r="E452" s="4" t="s">
        <v>1499</v>
      </c>
      <c r="F452" s="1" t="s">
        <v>43</v>
      </c>
      <c r="G452" s="2"/>
      <c r="J452" s="1" t="s">
        <v>3269</v>
      </c>
    </row>
    <row r="453">
      <c r="A453" s="1" t="s">
        <v>1397</v>
      </c>
      <c r="B453" s="1" t="s">
        <v>1500</v>
      </c>
      <c r="D453" s="1">
        <v>15.0</v>
      </c>
      <c r="E453" s="4" t="s">
        <v>1501</v>
      </c>
      <c r="F453" s="1" t="s">
        <v>43</v>
      </c>
      <c r="G453" s="2"/>
      <c r="H453" s="1" t="s">
        <v>1432</v>
      </c>
      <c r="I453" s="4" t="s">
        <v>1433</v>
      </c>
      <c r="J453" s="1" t="s">
        <v>3646</v>
      </c>
    </row>
    <row r="454">
      <c r="A454" s="1" t="s">
        <v>1397</v>
      </c>
      <c r="B454" s="1" t="s">
        <v>1502</v>
      </c>
      <c r="D454" s="1">
        <v>16.0</v>
      </c>
      <c r="E454" s="4" t="s">
        <v>1503</v>
      </c>
      <c r="F454" s="1" t="s">
        <v>43</v>
      </c>
      <c r="G454" s="2"/>
      <c r="J454" s="1" t="s">
        <v>3269</v>
      </c>
    </row>
    <row r="455">
      <c r="A455" s="1" t="s">
        <v>1397</v>
      </c>
      <c r="B455" s="1" t="s">
        <v>1504</v>
      </c>
      <c r="C455" s="1" t="s">
        <v>1505</v>
      </c>
      <c r="D455" s="1">
        <v>17.0</v>
      </c>
      <c r="E455" s="4" t="s">
        <v>1506</v>
      </c>
      <c r="F455" s="1" t="s">
        <v>43</v>
      </c>
      <c r="G455" s="2"/>
      <c r="H455" s="1" t="s">
        <v>1507</v>
      </c>
      <c r="I455" s="4" t="s">
        <v>1508</v>
      </c>
      <c r="J455" s="1" t="s">
        <v>3647</v>
      </c>
    </row>
    <row r="456">
      <c r="A456" s="1" t="s">
        <v>1397</v>
      </c>
      <c r="B456" s="1" t="s">
        <v>1509</v>
      </c>
      <c r="D456" s="1">
        <v>18.0</v>
      </c>
      <c r="E456" s="4" t="s">
        <v>1510</v>
      </c>
      <c r="F456" s="1" t="s">
        <v>43</v>
      </c>
      <c r="G456" s="2"/>
      <c r="H456" s="1" t="s">
        <v>302</v>
      </c>
      <c r="I456" s="4" t="s">
        <v>303</v>
      </c>
      <c r="J456" s="1" t="s">
        <v>3648</v>
      </c>
    </row>
    <row r="457">
      <c r="A457" s="1" t="s">
        <v>1397</v>
      </c>
      <c r="B457" s="1" t="s">
        <v>1511</v>
      </c>
      <c r="D457" s="1">
        <v>19.0</v>
      </c>
      <c r="E457" s="4" t="s">
        <v>1512</v>
      </c>
      <c r="F457" s="1" t="s">
        <v>43</v>
      </c>
      <c r="G457" s="2"/>
      <c r="H457" s="1" t="s">
        <v>302</v>
      </c>
      <c r="I457" s="4" t="s">
        <v>303</v>
      </c>
      <c r="J457" s="1" t="s">
        <v>3649</v>
      </c>
    </row>
    <row r="458">
      <c r="A458" s="1" t="s">
        <v>1397</v>
      </c>
      <c r="B458" s="1" t="s">
        <v>1457</v>
      </c>
      <c r="C458" s="1" t="s">
        <v>1513</v>
      </c>
      <c r="D458" s="1">
        <v>20.0</v>
      </c>
      <c r="E458" s="4" t="s">
        <v>1514</v>
      </c>
      <c r="F458" s="1" t="s">
        <v>43</v>
      </c>
      <c r="G458" s="2"/>
      <c r="J458" s="1" t="s">
        <v>3269</v>
      </c>
    </row>
    <row r="459">
      <c r="A459" s="1" t="s">
        <v>1397</v>
      </c>
      <c r="B459" s="1" t="s">
        <v>1515</v>
      </c>
      <c r="C459" s="1" t="s">
        <v>1516</v>
      </c>
      <c r="D459" s="1">
        <v>31.0</v>
      </c>
      <c r="E459" s="4" t="s">
        <v>1517</v>
      </c>
      <c r="F459" s="1" t="s">
        <v>43</v>
      </c>
      <c r="G459" s="2"/>
      <c r="H459" s="1" t="s">
        <v>1437</v>
      </c>
      <c r="I459" s="4" t="s">
        <v>1438</v>
      </c>
      <c r="J459" s="1" t="s">
        <v>3650</v>
      </c>
    </row>
    <row r="460">
      <c r="A460" s="1" t="s">
        <v>1397</v>
      </c>
      <c r="B460" s="1" t="s">
        <v>1518</v>
      </c>
      <c r="D460" s="1">
        <v>34.0</v>
      </c>
      <c r="E460" s="4" t="s">
        <v>1519</v>
      </c>
      <c r="F460" s="1" t="s">
        <v>43</v>
      </c>
      <c r="G460" s="2"/>
      <c r="H460" s="1" t="s">
        <v>1520</v>
      </c>
      <c r="I460" s="4" t="s">
        <v>1521</v>
      </c>
      <c r="J460" s="1" t="s">
        <v>3651</v>
      </c>
    </row>
    <row r="461">
      <c r="A461" s="1" t="s">
        <v>1397</v>
      </c>
      <c r="B461" s="1" t="s">
        <v>1522</v>
      </c>
      <c r="D461" s="1">
        <v>38.0</v>
      </c>
      <c r="E461" s="4" t="s">
        <v>1523</v>
      </c>
      <c r="F461" s="1" t="s">
        <v>43</v>
      </c>
      <c r="G461" s="2"/>
      <c r="H461" s="1" t="s">
        <v>1524</v>
      </c>
      <c r="I461" s="4" t="s">
        <v>1525</v>
      </c>
      <c r="J461" s="1" t="s">
        <v>3652</v>
      </c>
    </row>
    <row r="462">
      <c r="A462" s="1" t="s">
        <v>1397</v>
      </c>
      <c r="B462" s="1" t="s">
        <v>1441</v>
      </c>
      <c r="C462" s="1" t="s">
        <v>1526</v>
      </c>
      <c r="D462" s="1">
        <v>39.0</v>
      </c>
      <c r="E462" s="4" t="s">
        <v>1527</v>
      </c>
      <c r="F462" s="1" t="s">
        <v>43</v>
      </c>
      <c r="G462" s="2"/>
      <c r="H462" s="1" t="s">
        <v>309</v>
      </c>
      <c r="I462" s="4" t="s">
        <v>310</v>
      </c>
      <c r="J462" s="1" t="s">
        <v>3653</v>
      </c>
    </row>
    <row r="463">
      <c r="A463" s="1" t="s">
        <v>1397</v>
      </c>
      <c r="B463" s="1" t="s">
        <v>1509</v>
      </c>
      <c r="D463" s="1">
        <v>40.0</v>
      </c>
      <c r="E463" s="4" t="s">
        <v>1528</v>
      </c>
      <c r="F463" s="1" t="s">
        <v>43</v>
      </c>
      <c r="G463" s="2"/>
      <c r="H463" s="1" t="s">
        <v>302</v>
      </c>
      <c r="I463" s="4" t="s">
        <v>303</v>
      </c>
      <c r="J463" s="1" t="s">
        <v>3648</v>
      </c>
    </row>
    <row r="464">
      <c r="A464" s="1" t="s">
        <v>1529</v>
      </c>
      <c r="B464" s="1" t="s">
        <v>1530</v>
      </c>
      <c r="C464" s="1" t="s">
        <v>1531</v>
      </c>
      <c r="D464" s="1">
        <v>1.0</v>
      </c>
      <c r="E464" s="4" t="s">
        <v>1532</v>
      </c>
      <c r="F464" s="1" t="s">
        <v>43</v>
      </c>
      <c r="G464" s="2"/>
      <c r="J464" s="1" t="s">
        <v>3269</v>
      </c>
    </row>
    <row r="465">
      <c r="A465" s="1" t="s">
        <v>1529</v>
      </c>
      <c r="B465" s="1" t="s">
        <v>1533</v>
      </c>
      <c r="C465" s="1" t="s">
        <v>1534</v>
      </c>
      <c r="D465" s="1">
        <v>2.0</v>
      </c>
      <c r="E465" s="4" t="s">
        <v>1535</v>
      </c>
      <c r="F465" s="1" t="s">
        <v>43</v>
      </c>
      <c r="G465" s="2"/>
      <c r="J465" s="1" t="s">
        <v>3269</v>
      </c>
    </row>
    <row r="466">
      <c r="A466" s="1" t="s">
        <v>1529</v>
      </c>
      <c r="B466" s="1" t="s">
        <v>1536</v>
      </c>
      <c r="C466" s="1" t="s">
        <v>1537</v>
      </c>
      <c r="D466" s="1">
        <v>3.0</v>
      </c>
      <c r="E466" s="4" t="s">
        <v>1538</v>
      </c>
      <c r="F466" s="1" t="s">
        <v>43</v>
      </c>
      <c r="G466" s="2"/>
      <c r="H466" s="1" t="s">
        <v>1539</v>
      </c>
      <c r="I466" s="4" t="s">
        <v>1540</v>
      </c>
      <c r="J466" s="1" t="s">
        <v>3654</v>
      </c>
    </row>
    <row r="467">
      <c r="A467" s="1" t="s">
        <v>1529</v>
      </c>
      <c r="B467" s="1" t="s">
        <v>1541</v>
      </c>
      <c r="C467" s="1" t="s">
        <v>1542</v>
      </c>
      <c r="D467" s="1">
        <v>4.0</v>
      </c>
      <c r="E467" s="4" t="s">
        <v>1543</v>
      </c>
      <c r="F467" s="1" t="s">
        <v>43</v>
      </c>
      <c r="G467" s="2"/>
      <c r="J467" s="1" t="s">
        <v>3269</v>
      </c>
    </row>
    <row r="468">
      <c r="A468" s="1" t="s">
        <v>1529</v>
      </c>
      <c r="B468" s="1" t="s">
        <v>1544</v>
      </c>
      <c r="C468" s="1" t="s">
        <v>1545</v>
      </c>
      <c r="D468" s="1">
        <v>5.0</v>
      </c>
      <c r="E468" s="4" t="s">
        <v>1546</v>
      </c>
      <c r="F468" s="1" t="s">
        <v>43</v>
      </c>
      <c r="G468" s="2"/>
      <c r="J468" s="1" t="s">
        <v>3269</v>
      </c>
    </row>
    <row r="469">
      <c r="A469" s="1" t="s">
        <v>1529</v>
      </c>
      <c r="B469" s="1" t="s">
        <v>1547</v>
      </c>
      <c r="C469" s="1" t="s">
        <v>1548</v>
      </c>
      <c r="D469" s="1">
        <v>6.0</v>
      </c>
      <c r="E469" s="4" t="s">
        <v>1549</v>
      </c>
      <c r="F469" s="1" t="s">
        <v>43</v>
      </c>
      <c r="G469" s="2"/>
      <c r="H469" s="1" t="s">
        <v>1550</v>
      </c>
      <c r="I469" s="4" t="s">
        <v>1551</v>
      </c>
      <c r="J469" s="1" t="s">
        <v>3655</v>
      </c>
    </row>
    <row r="470">
      <c r="A470" s="1" t="s">
        <v>1529</v>
      </c>
      <c r="B470" s="1" t="s">
        <v>1552</v>
      </c>
      <c r="C470" s="1" t="s">
        <v>1553</v>
      </c>
      <c r="D470" s="1">
        <v>7.0</v>
      </c>
      <c r="E470" s="4" t="s">
        <v>1554</v>
      </c>
      <c r="F470" s="1" t="s">
        <v>43</v>
      </c>
      <c r="G470" s="2"/>
      <c r="H470" s="1" t="s">
        <v>1555</v>
      </c>
      <c r="I470" s="4" t="s">
        <v>1556</v>
      </c>
      <c r="J470" s="1" t="s">
        <v>3656</v>
      </c>
    </row>
    <row r="471">
      <c r="A471" s="1" t="s">
        <v>1529</v>
      </c>
      <c r="B471" s="1" t="s">
        <v>1557</v>
      </c>
      <c r="C471" s="1" t="s">
        <v>1558</v>
      </c>
      <c r="D471" s="1">
        <v>8.0</v>
      </c>
      <c r="E471" s="4" t="s">
        <v>1559</v>
      </c>
      <c r="F471" s="1" t="s">
        <v>43</v>
      </c>
      <c r="G471" s="2"/>
      <c r="H471" s="1" t="s">
        <v>1560</v>
      </c>
      <c r="I471" s="4" t="s">
        <v>1561</v>
      </c>
      <c r="J471" s="1" t="s">
        <v>3657</v>
      </c>
    </row>
    <row r="472">
      <c r="A472" s="1" t="s">
        <v>1529</v>
      </c>
      <c r="B472" s="1" t="s">
        <v>1562</v>
      </c>
      <c r="C472" s="1" t="s">
        <v>1563</v>
      </c>
      <c r="D472" s="1">
        <v>9.0</v>
      </c>
      <c r="E472" s="4" t="s">
        <v>1564</v>
      </c>
      <c r="F472" s="1" t="s">
        <v>43</v>
      </c>
      <c r="G472" s="2"/>
      <c r="J472" s="1" t="s">
        <v>3269</v>
      </c>
    </row>
    <row r="473">
      <c r="A473" s="1" t="s">
        <v>1529</v>
      </c>
      <c r="B473" s="1" t="s">
        <v>1565</v>
      </c>
      <c r="C473" s="1" t="s">
        <v>1566</v>
      </c>
      <c r="D473" s="1">
        <v>10.0</v>
      </c>
      <c r="E473" s="4" t="s">
        <v>1567</v>
      </c>
      <c r="F473" s="1" t="s">
        <v>43</v>
      </c>
      <c r="G473" s="2"/>
      <c r="H473" s="1" t="s">
        <v>1568</v>
      </c>
      <c r="I473" s="4" t="s">
        <v>1569</v>
      </c>
      <c r="J473" s="1" t="s">
        <v>3658</v>
      </c>
    </row>
    <row r="474">
      <c r="A474" s="1" t="s">
        <v>1529</v>
      </c>
      <c r="B474" s="1" t="s">
        <v>1570</v>
      </c>
      <c r="C474" s="1" t="s">
        <v>1571</v>
      </c>
      <c r="D474" s="1">
        <v>11.0</v>
      </c>
      <c r="E474" s="4" t="s">
        <v>1572</v>
      </c>
      <c r="F474" s="1" t="s">
        <v>43</v>
      </c>
      <c r="G474" s="2"/>
      <c r="H474" s="1" t="s">
        <v>1573</v>
      </c>
      <c r="I474" s="4" t="s">
        <v>1574</v>
      </c>
      <c r="J474" s="1" t="s">
        <v>3659</v>
      </c>
    </row>
    <row r="475">
      <c r="A475" s="1" t="s">
        <v>1529</v>
      </c>
      <c r="B475" s="1" t="s">
        <v>1575</v>
      </c>
      <c r="C475" s="1" t="s">
        <v>1576</v>
      </c>
      <c r="D475" s="1">
        <v>12.0</v>
      </c>
      <c r="E475" s="4" t="s">
        <v>1577</v>
      </c>
      <c r="F475" s="1" t="s">
        <v>43</v>
      </c>
      <c r="G475" s="2"/>
      <c r="H475" s="1" t="s">
        <v>1578</v>
      </c>
      <c r="I475" s="4" t="s">
        <v>1579</v>
      </c>
      <c r="J475" s="1" t="s">
        <v>3660</v>
      </c>
    </row>
    <row r="476">
      <c r="A476" s="1" t="s">
        <v>1529</v>
      </c>
      <c r="B476" s="1" t="s">
        <v>1580</v>
      </c>
      <c r="C476" s="1" t="s">
        <v>1581</v>
      </c>
      <c r="D476" s="1">
        <v>13.0</v>
      </c>
      <c r="E476" s="4" t="s">
        <v>1582</v>
      </c>
      <c r="F476" s="1" t="s">
        <v>43</v>
      </c>
      <c r="G476" s="2"/>
      <c r="J476" s="1" t="s">
        <v>3269</v>
      </c>
    </row>
    <row r="477">
      <c r="A477" s="1" t="s">
        <v>1529</v>
      </c>
      <c r="B477" s="1" t="s">
        <v>1583</v>
      </c>
      <c r="C477" s="1" t="s">
        <v>1584</v>
      </c>
      <c r="D477" s="1">
        <v>14.0</v>
      </c>
      <c r="E477" s="4" t="s">
        <v>1585</v>
      </c>
      <c r="F477" s="1" t="s">
        <v>43</v>
      </c>
      <c r="G477" s="2"/>
      <c r="H477" s="1" t="s">
        <v>614</v>
      </c>
      <c r="I477" s="4" t="s">
        <v>615</v>
      </c>
      <c r="J477" s="1" t="s">
        <v>3661</v>
      </c>
    </row>
    <row r="478">
      <c r="A478" s="1" t="s">
        <v>1529</v>
      </c>
      <c r="B478" s="1" t="s">
        <v>1586</v>
      </c>
      <c r="C478" s="1" t="s">
        <v>1587</v>
      </c>
      <c r="D478" s="1">
        <v>15.0</v>
      </c>
      <c r="E478" s="4" t="s">
        <v>1588</v>
      </c>
      <c r="F478" s="1" t="s">
        <v>43</v>
      </c>
      <c r="G478" s="2"/>
      <c r="H478" s="1" t="s">
        <v>246</v>
      </c>
      <c r="I478" s="4" t="s">
        <v>247</v>
      </c>
      <c r="J478" s="1" t="s">
        <v>3662</v>
      </c>
    </row>
    <row r="479">
      <c r="A479" s="1" t="s">
        <v>1529</v>
      </c>
      <c r="B479" s="1" t="s">
        <v>1589</v>
      </c>
      <c r="C479" s="1" t="s">
        <v>1590</v>
      </c>
      <c r="D479" s="1">
        <v>16.0</v>
      </c>
      <c r="E479" s="4" t="s">
        <v>1591</v>
      </c>
      <c r="F479" s="1" t="s">
        <v>43</v>
      </c>
      <c r="G479" s="2"/>
      <c r="J479" s="1" t="s">
        <v>3269</v>
      </c>
    </row>
    <row r="480">
      <c r="A480" s="1" t="s">
        <v>1529</v>
      </c>
      <c r="B480" s="1" t="s">
        <v>1592</v>
      </c>
      <c r="C480" s="1" t="s">
        <v>1593</v>
      </c>
      <c r="D480" s="1">
        <v>17.0</v>
      </c>
      <c r="E480" s="4" t="s">
        <v>1594</v>
      </c>
      <c r="F480" s="1" t="s">
        <v>43</v>
      </c>
      <c r="G480" s="2"/>
      <c r="H480" s="1" t="s">
        <v>1595</v>
      </c>
      <c r="I480" s="4" t="s">
        <v>1596</v>
      </c>
      <c r="J480" s="1" t="s">
        <v>3663</v>
      </c>
    </row>
    <row r="481">
      <c r="A481" s="1" t="s">
        <v>1529</v>
      </c>
      <c r="B481" s="1" t="s">
        <v>1597</v>
      </c>
      <c r="C481" s="1" t="s">
        <v>1598</v>
      </c>
      <c r="D481" s="1">
        <v>18.0</v>
      </c>
      <c r="E481" s="4" t="s">
        <v>1599</v>
      </c>
      <c r="F481" s="1" t="s">
        <v>43</v>
      </c>
      <c r="G481" s="2"/>
      <c r="J481" s="1" t="s">
        <v>3269</v>
      </c>
    </row>
    <row r="482">
      <c r="A482" s="1" t="s">
        <v>1529</v>
      </c>
      <c r="B482" s="1" t="s">
        <v>1600</v>
      </c>
      <c r="C482" s="1" t="s">
        <v>1601</v>
      </c>
      <c r="D482" s="1">
        <v>19.0</v>
      </c>
      <c r="E482" s="4" t="s">
        <v>1602</v>
      </c>
      <c r="F482" s="1" t="s">
        <v>43</v>
      </c>
      <c r="G482" s="2"/>
      <c r="H482" s="1" t="s">
        <v>1603</v>
      </c>
      <c r="I482" s="4" t="s">
        <v>1604</v>
      </c>
      <c r="J482" s="1" t="s">
        <v>3664</v>
      </c>
    </row>
    <row r="483">
      <c r="A483" s="1" t="s">
        <v>1529</v>
      </c>
      <c r="B483" s="1" t="s">
        <v>1605</v>
      </c>
      <c r="C483" s="1" t="s">
        <v>1606</v>
      </c>
      <c r="D483" s="1">
        <v>28.0</v>
      </c>
      <c r="E483" s="4" t="s">
        <v>1607</v>
      </c>
      <c r="F483" s="1" t="s">
        <v>43</v>
      </c>
      <c r="G483" s="2"/>
      <c r="H483" s="1" t="s">
        <v>1560</v>
      </c>
      <c r="I483" s="4" t="s">
        <v>1561</v>
      </c>
      <c r="J483" s="1" t="s">
        <v>3665</v>
      </c>
    </row>
    <row r="484">
      <c r="A484" s="1" t="s">
        <v>1608</v>
      </c>
      <c r="B484" s="1" t="s">
        <v>1609</v>
      </c>
      <c r="D484" s="1">
        <v>1.0</v>
      </c>
      <c r="E484" s="4" t="s">
        <v>1610</v>
      </c>
      <c r="F484" s="1" t="s">
        <v>43</v>
      </c>
      <c r="G484" s="2"/>
      <c r="H484" s="1" t="s">
        <v>1611</v>
      </c>
      <c r="I484" s="4" t="s">
        <v>1612</v>
      </c>
      <c r="J484" s="1" t="s">
        <v>3666</v>
      </c>
    </row>
    <row r="485">
      <c r="A485" s="1" t="s">
        <v>1608</v>
      </c>
      <c r="B485" s="1" t="s">
        <v>1613</v>
      </c>
      <c r="D485" s="1">
        <v>2.0</v>
      </c>
      <c r="E485" s="4" t="s">
        <v>1614</v>
      </c>
      <c r="F485" s="1" t="s">
        <v>43</v>
      </c>
      <c r="G485" s="2"/>
      <c r="H485" s="1" t="s">
        <v>1615</v>
      </c>
      <c r="I485" s="4" t="s">
        <v>1616</v>
      </c>
      <c r="J485" s="1" t="s">
        <v>3667</v>
      </c>
    </row>
    <row r="486">
      <c r="A486" s="1" t="s">
        <v>1608</v>
      </c>
      <c r="B486" s="1" t="s">
        <v>1617</v>
      </c>
      <c r="D486" s="1">
        <v>3.0</v>
      </c>
      <c r="E486" s="4" t="s">
        <v>1618</v>
      </c>
      <c r="F486" s="1" t="s">
        <v>43</v>
      </c>
      <c r="G486" s="2"/>
      <c r="H486" s="1" t="s">
        <v>1619</v>
      </c>
      <c r="I486" s="4" t="s">
        <v>1620</v>
      </c>
      <c r="J486" s="1" t="s">
        <v>3668</v>
      </c>
    </row>
    <row r="487">
      <c r="A487" s="1" t="s">
        <v>1608</v>
      </c>
      <c r="B487" s="1" t="s">
        <v>1621</v>
      </c>
      <c r="D487" s="1">
        <v>4.0</v>
      </c>
      <c r="E487" s="4" t="s">
        <v>1622</v>
      </c>
      <c r="F487" s="1" t="s">
        <v>43</v>
      </c>
      <c r="G487" s="2"/>
      <c r="H487" s="1" t="s">
        <v>1623</v>
      </c>
      <c r="I487" s="4" t="s">
        <v>1624</v>
      </c>
      <c r="J487" s="1" t="s">
        <v>3669</v>
      </c>
    </row>
    <row r="488">
      <c r="A488" s="1" t="s">
        <v>1608</v>
      </c>
      <c r="B488" s="1" t="s">
        <v>1625</v>
      </c>
      <c r="D488" s="1">
        <v>5.0</v>
      </c>
      <c r="E488" s="4" t="s">
        <v>1626</v>
      </c>
      <c r="F488" s="1" t="s">
        <v>43</v>
      </c>
      <c r="G488" s="2"/>
      <c r="H488" s="1" t="s">
        <v>97</v>
      </c>
      <c r="I488" s="4" t="s">
        <v>98</v>
      </c>
      <c r="J488" s="1" t="s">
        <v>3670</v>
      </c>
    </row>
    <row r="489">
      <c r="A489" s="1" t="s">
        <v>1608</v>
      </c>
      <c r="B489" s="1" t="s">
        <v>1627</v>
      </c>
      <c r="D489" s="1">
        <v>6.0</v>
      </c>
      <c r="E489" s="4" t="s">
        <v>1628</v>
      </c>
      <c r="F489" s="1" t="s">
        <v>43</v>
      </c>
      <c r="G489" s="2"/>
      <c r="H489" s="1" t="s">
        <v>1629</v>
      </c>
      <c r="I489" s="4" t="s">
        <v>1630</v>
      </c>
      <c r="J489" s="1" t="s">
        <v>3671</v>
      </c>
    </row>
    <row r="490">
      <c r="A490" s="1" t="s">
        <v>1608</v>
      </c>
      <c r="B490" s="1" t="s">
        <v>1631</v>
      </c>
      <c r="D490" s="1">
        <v>7.0</v>
      </c>
      <c r="E490" s="4" t="s">
        <v>1632</v>
      </c>
      <c r="F490" s="1" t="s">
        <v>43</v>
      </c>
      <c r="G490" s="2"/>
      <c r="H490" s="1" t="s">
        <v>120</v>
      </c>
      <c r="I490" s="4" t="s">
        <v>121</v>
      </c>
      <c r="J490" s="1" t="s">
        <v>3672</v>
      </c>
    </row>
    <row r="491">
      <c r="A491" s="1" t="s">
        <v>1608</v>
      </c>
      <c r="B491" s="1" t="s">
        <v>1633</v>
      </c>
      <c r="D491" s="1">
        <v>8.0</v>
      </c>
      <c r="E491" s="4" t="s">
        <v>1634</v>
      </c>
      <c r="F491" s="1" t="s">
        <v>43</v>
      </c>
      <c r="G491" s="2"/>
      <c r="H491" s="1" t="s">
        <v>1635</v>
      </c>
      <c r="I491" s="4" t="s">
        <v>1636</v>
      </c>
      <c r="J491" s="1" t="s">
        <v>3673</v>
      </c>
    </row>
    <row r="492">
      <c r="A492" s="1" t="s">
        <v>1608</v>
      </c>
      <c r="B492" s="1" t="s">
        <v>1637</v>
      </c>
      <c r="D492" s="1">
        <v>9.0</v>
      </c>
      <c r="E492" s="4" t="s">
        <v>1638</v>
      </c>
      <c r="F492" s="1" t="s">
        <v>43</v>
      </c>
      <c r="G492" s="2"/>
      <c r="H492" s="1" t="s">
        <v>120</v>
      </c>
      <c r="I492" s="4" t="s">
        <v>121</v>
      </c>
      <c r="J492" s="1" t="s">
        <v>3674</v>
      </c>
    </row>
    <row r="493">
      <c r="A493" s="1" t="s">
        <v>1608</v>
      </c>
      <c r="B493" s="1" t="s">
        <v>1639</v>
      </c>
      <c r="D493" s="1">
        <v>10.0</v>
      </c>
      <c r="E493" s="4" t="s">
        <v>1640</v>
      </c>
      <c r="F493" s="1" t="s">
        <v>43</v>
      </c>
      <c r="G493" s="2"/>
      <c r="H493" s="1" t="s">
        <v>1641</v>
      </c>
      <c r="I493" s="4" t="s">
        <v>1642</v>
      </c>
      <c r="J493" s="1" t="s">
        <v>3675</v>
      </c>
    </row>
    <row r="494">
      <c r="A494" s="1" t="s">
        <v>1608</v>
      </c>
      <c r="B494" s="1" t="s">
        <v>1643</v>
      </c>
      <c r="D494" s="1">
        <v>11.0</v>
      </c>
      <c r="E494" s="4" t="s">
        <v>1644</v>
      </c>
      <c r="F494" s="1" t="s">
        <v>43</v>
      </c>
      <c r="G494" s="2"/>
      <c r="H494" s="1" t="s">
        <v>1645</v>
      </c>
      <c r="I494" s="4" t="s">
        <v>1646</v>
      </c>
      <c r="J494" s="1" t="s">
        <v>3676</v>
      </c>
    </row>
    <row r="495">
      <c r="A495" s="1" t="s">
        <v>1608</v>
      </c>
      <c r="B495" s="1" t="s">
        <v>1647</v>
      </c>
      <c r="D495" s="1">
        <v>12.0</v>
      </c>
      <c r="E495" s="4" t="s">
        <v>1648</v>
      </c>
      <c r="F495" s="1" t="s">
        <v>43</v>
      </c>
      <c r="G495" s="2"/>
      <c r="H495" s="1" t="s">
        <v>1649</v>
      </c>
      <c r="I495" s="4" t="s">
        <v>1650</v>
      </c>
      <c r="J495" s="1" t="s">
        <v>3677</v>
      </c>
    </row>
    <row r="496">
      <c r="A496" s="1" t="s">
        <v>1608</v>
      </c>
      <c r="B496" s="1" t="s">
        <v>1651</v>
      </c>
      <c r="D496" s="1">
        <v>13.0</v>
      </c>
      <c r="E496" s="4" t="s">
        <v>1652</v>
      </c>
      <c r="F496" s="1" t="s">
        <v>43</v>
      </c>
      <c r="G496" s="2"/>
      <c r="H496" s="1" t="s">
        <v>1653</v>
      </c>
      <c r="I496" s="4" t="s">
        <v>1654</v>
      </c>
      <c r="J496" s="1" t="s">
        <v>3678</v>
      </c>
    </row>
    <row r="497">
      <c r="A497" s="1" t="s">
        <v>1608</v>
      </c>
      <c r="B497" s="1" t="s">
        <v>1655</v>
      </c>
      <c r="D497" s="1">
        <v>14.0</v>
      </c>
      <c r="E497" s="4" t="s">
        <v>1656</v>
      </c>
      <c r="F497" s="1" t="s">
        <v>43</v>
      </c>
      <c r="G497" s="2"/>
      <c r="H497" s="1" t="s">
        <v>31</v>
      </c>
      <c r="I497" s="4" t="s">
        <v>32</v>
      </c>
      <c r="J497" s="1" t="s">
        <v>3679</v>
      </c>
    </row>
    <row r="498">
      <c r="A498" s="1" t="s">
        <v>1608</v>
      </c>
      <c r="B498" s="1" t="s">
        <v>1657</v>
      </c>
      <c r="D498" s="1">
        <v>15.0</v>
      </c>
      <c r="E498" s="4" t="s">
        <v>1658</v>
      </c>
      <c r="F498" s="1" t="s">
        <v>43</v>
      </c>
      <c r="G498" s="2"/>
      <c r="H498" s="1" t="s">
        <v>1659</v>
      </c>
      <c r="I498" s="4" t="s">
        <v>1660</v>
      </c>
      <c r="J498" s="1" t="s">
        <v>3680</v>
      </c>
    </row>
    <row r="499">
      <c r="A499" s="1" t="s">
        <v>1608</v>
      </c>
      <c r="B499" s="1" t="s">
        <v>1661</v>
      </c>
      <c r="D499" s="1">
        <v>16.0</v>
      </c>
      <c r="E499" s="4" t="s">
        <v>1662</v>
      </c>
      <c r="F499" s="1" t="s">
        <v>43</v>
      </c>
      <c r="G499" s="2"/>
      <c r="I499" s="4" t="s">
        <v>1663</v>
      </c>
      <c r="J499" s="1" t="s">
        <v>3681</v>
      </c>
    </row>
    <row r="500">
      <c r="A500" s="1" t="s">
        <v>1608</v>
      </c>
      <c r="B500" s="1" t="s">
        <v>1664</v>
      </c>
      <c r="D500" s="1">
        <v>17.0</v>
      </c>
      <c r="E500" s="4" t="s">
        <v>1665</v>
      </c>
      <c r="F500" s="1" t="s">
        <v>43</v>
      </c>
      <c r="G500" s="2"/>
      <c r="H500" s="1" t="s">
        <v>34</v>
      </c>
      <c r="I500" s="4" t="s">
        <v>35</v>
      </c>
      <c r="J500" s="1" t="s">
        <v>3682</v>
      </c>
    </row>
    <row r="501">
      <c r="A501" s="1" t="s">
        <v>1608</v>
      </c>
      <c r="B501" s="1" t="s">
        <v>1666</v>
      </c>
      <c r="D501" s="1">
        <v>18.0</v>
      </c>
      <c r="E501" s="4" t="s">
        <v>1667</v>
      </c>
      <c r="F501" s="1" t="s">
        <v>43</v>
      </c>
      <c r="G501" s="2"/>
      <c r="J501" s="1" t="s">
        <v>3269</v>
      </c>
    </row>
    <row r="502">
      <c r="A502" s="1" t="s">
        <v>1668</v>
      </c>
      <c r="B502" s="1" t="s">
        <v>1669</v>
      </c>
      <c r="C502" s="1" t="s">
        <v>1670</v>
      </c>
      <c r="D502" s="1">
        <v>1.0</v>
      </c>
      <c r="E502" s="4" t="s">
        <v>1671</v>
      </c>
      <c r="F502" s="1" t="s">
        <v>43</v>
      </c>
      <c r="G502" s="2"/>
      <c r="J502" s="1" t="s">
        <v>3269</v>
      </c>
    </row>
    <row r="503">
      <c r="A503" s="1" t="s">
        <v>1668</v>
      </c>
      <c r="B503" s="1" t="s">
        <v>1672</v>
      </c>
      <c r="C503" s="1" t="s">
        <v>1673</v>
      </c>
      <c r="D503" s="1">
        <v>2.0</v>
      </c>
      <c r="E503" s="4" t="s">
        <v>1674</v>
      </c>
      <c r="F503" s="1" t="s">
        <v>43</v>
      </c>
      <c r="G503" s="2"/>
      <c r="J503" s="1" t="s">
        <v>3269</v>
      </c>
    </row>
    <row r="504">
      <c r="A504" s="1" t="s">
        <v>1668</v>
      </c>
      <c r="B504" s="1" t="s">
        <v>1675</v>
      </c>
      <c r="C504" s="1" t="s">
        <v>1676</v>
      </c>
      <c r="D504" s="1">
        <v>3.0</v>
      </c>
      <c r="E504" s="4" t="s">
        <v>1677</v>
      </c>
      <c r="F504" s="1" t="s">
        <v>43</v>
      </c>
      <c r="G504" s="2"/>
      <c r="H504" s="1" t="s">
        <v>1678</v>
      </c>
      <c r="I504" s="1" t="s">
        <v>1679</v>
      </c>
      <c r="J504" s="1" t="s">
        <v>3683</v>
      </c>
    </row>
    <row r="505">
      <c r="A505" s="1" t="s">
        <v>1668</v>
      </c>
      <c r="B505" s="1" t="s">
        <v>1680</v>
      </c>
      <c r="C505" s="1" t="s">
        <v>1681</v>
      </c>
      <c r="D505" s="1">
        <v>4.0</v>
      </c>
      <c r="E505" s="4" t="s">
        <v>1682</v>
      </c>
      <c r="F505" s="1" t="s">
        <v>43</v>
      </c>
      <c r="G505" s="2"/>
      <c r="J505" s="1" t="s">
        <v>3269</v>
      </c>
    </row>
    <row r="506">
      <c r="A506" s="1" t="s">
        <v>1668</v>
      </c>
      <c r="B506" s="1" t="s">
        <v>1683</v>
      </c>
      <c r="C506" s="1" t="s">
        <v>1684</v>
      </c>
      <c r="D506" s="1">
        <v>5.0</v>
      </c>
      <c r="E506" s="4" t="s">
        <v>1685</v>
      </c>
      <c r="F506" s="1" t="s">
        <v>43</v>
      </c>
      <c r="G506" s="2"/>
      <c r="H506" s="1" t="s">
        <v>1686</v>
      </c>
      <c r="I506" s="4" t="s">
        <v>1687</v>
      </c>
      <c r="J506" s="1" t="s">
        <v>3684</v>
      </c>
    </row>
    <row r="507">
      <c r="A507" s="1" t="s">
        <v>1668</v>
      </c>
      <c r="B507" s="1" t="s">
        <v>1688</v>
      </c>
      <c r="C507" s="1" t="s">
        <v>1689</v>
      </c>
      <c r="D507" s="1">
        <v>6.0</v>
      </c>
      <c r="E507" s="4" t="s">
        <v>1690</v>
      </c>
      <c r="F507" s="1" t="s">
        <v>43</v>
      </c>
      <c r="G507" s="2"/>
      <c r="H507" s="1" t="s">
        <v>1691</v>
      </c>
      <c r="I507" s="4" t="s">
        <v>1692</v>
      </c>
      <c r="J507" s="1" t="s">
        <v>3685</v>
      </c>
    </row>
    <row r="508">
      <c r="A508" s="1" t="s">
        <v>1668</v>
      </c>
      <c r="B508" s="1" t="s">
        <v>1693</v>
      </c>
      <c r="C508" s="1" t="s">
        <v>1694</v>
      </c>
      <c r="D508" s="1">
        <v>7.0</v>
      </c>
      <c r="E508" s="4" t="s">
        <v>1695</v>
      </c>
      <c r="F508" s="1" t="s">
        <v>43</v>
      </c>
      <c r="G508" s="2"/>
      <c r="H508" s="1" t="s">
        <v>1696</v>
      </c>
      <c r="I508" s="4" t="s">
        <v>1697</v>
      </c>
      <c r="J508" s="1" t="s">
        <v>3686</v>
      </c>
    </row>
    <row r="509">
      <c r="A509" s="1" t="s">
        <v>1668</v>
      </c>
      <c r="B509" s="1" t="s">
        <v>1698</v>
      </c>
      <c r="C509" s="1" t="s">
        <v>1699</v>
      </c>
      <c r="D509" s="1">
        <v>8.0</v>
      </c>
      <c r="E509" s="4" t="s">
        <v>1700</v>
      </c>
      <c r="F509" s="1" t="s">
        <v>43</v>
      </c>
      <c r="G509" s="2"/>
      <c r="H509" s="1" t="s">
        <v>1701</v>
      </c>
      <c r="I509" s="4" t="s">
        <v>1702</v>
      </c>
      <c r="J509" s="1" t="s">
        <v>3687</v>
      </c>
    </row>
    <row r="510">
      <c r="A510" s="1" t="s">
        <v>1668</v>
      </c>
      <c r="B510" s="1" t="s">
        <v>1703</v>
      </c>
      <c r="C510" s="1" t="s">
        <v>1704</v>
      </c>
      <c r="D510" s="1">
        <v>9.0</v>
      </c>
      <c r="E510" s="4" t="s">
        <v>1705</v>
      </c>
      <c r="F510" s="1" t="s">
        <v>43</v>
      </c>
      <c r="G510" s="2"/>
      <c r="H510" s="1" t="s">
        <v>1706</v>
      </c>
      <c r="I510" s="4" t="s">
        <v>1707</v>
      </c>
      <c r="J510" s="1" t="s">
        <v>3688</v>
      </c>
    </row>
    <row r="511">
      <c r="A511" s="1" t="s">
        <v>1668</v>
      </c>
      <c r="B511" s="1" t="s">
        <v>1708</v>
      </c>
      <c r="C511" s="1" t="s">
        <v>1709</v>
      </c>
      <c r="D511" s="1">
        <v>10.0</v>
      </c>
      <c r="E511" s="4" t="s">
        <v>1710</v>
      </c>
      <c r="F511" s="1" t="s">
        <v>43</v>
      </c>
      <c r="G511" s="2"/>
      <c r="H511" s="1" t="s">
        <v>1168</v>
      </c>
      <c r="I511" s="4" t="s">
        <v>1169</v>
      </c>
      <c r="J511" s="1" t="s">
        <v>3689</v>
      </c>
    </row>
    <row r="512">
      <c r="A512" s="1" t="s">
        <v>1668</v>
      </c>
      <c r="B512" s="1" t="s">
        <v>1711</v>
      </c>
      <c r="C512" s="1" t="s">
        <v>1689</v>
      </c>
      <c r="D512" s="1">
        <v>11.0</v>
      </c>
      <c r="E512" s="4" t="s">
        <v>1712</v>
      </c>
      <c r="F512" s="1" t="s">
        <v>43</v>
      </c>
      <c r="G512" s="2"/>
      <c r="H512" s="1" t="s">
        <v>1713</v>
      </c>
      <c r="I512" s="4" t="s">
        <v>1714</v>
      </c>
      <c r="J512" s="1" t="s">
        <v>3690</v>
      </c>
    </row>
    <row r="513">
      <c r="A513" s="1" t="s">
        <v>1668</v>
      </c>
      <c r="B513" s="1" t="s">
        <v>1715</v>
      </c>
      <c r="C513" s="1" t="s">
        <v>1716</v>
      </c>
      <c r="D513" s="1">
        <v>12.0</v>
      </c>
      <c r="E513" s="4" t="s">
        <v>1717</v>
      </c>
      <c r="F513" s="1" t="s">
        <v>43</v>
      </c>
      <c r="G513" s="2"/>
      <c r="H513" s="1" t="s">
        <v>1718</v>
      </c>
      <c r="I513" s="1" t="s">
        <v>1719</v>
      </c>
      <c r="J513" s="1" t="s">
        <v>3691</v>
      </c>
    </row>
    <row r="514">
      <c r="A514" s="1" t="s">
        <v>1668</v>
      </c>
      <c r="B514" s="1" t="s">
        <v>1720</v>
      </c>
      <c r="C514" s="1" t="s">
        <v>1721</v>
      </c>
      <c r="D514" s="1">
        <v>13.0</v>
      </c>
      <c r="E514" s="4" t="s">
        <v>1722</v>
      </c>
      <c r="F514" s="1" t="s">
        <v>43</v>
      </c>
      <c r="G514" s="2"/>
      <c r="H514" s="1" t="s">
        <v>1723</v>
      </c>
      <c r="I514" s="4" t="s">
        <v>1724</v>
      </c>
      <c r="J514" s="1" t="s">
        <v>3692</v>
      </c>
    </row>
    <row r="515">
      <c r="A515" s="1" t="s">
        <v>1668</v>
      </c>
      <c r="B515" s="1" t="s">
        <v>1725</v>
      </c>
      <c r="C515" s="1" t="s">
        <v>1726</v>
      </c>
      <c r="D515" s="1">
        <v>14.0</v>
      </c>
      <c r="E515" s="4" t="s">
        <v>1727</v>
      </c>
      <c r="F515" s="1" t="s">
        <v>43</v>
      </c>
      <c r="G515" s="2"/>
      <c r="H515" s="1" t="s">
        <v>1728</v>
      </c>
      <c r="I515" s="4" t="s">
        <v>1729</v>
      </c>
      <c r="J515" s="1" t="s">
        <v>3693</v>
      </c>
    </row>
    <row r="516">
      <c r="A516" s="1" t="s">
        <v>1668</v>
      </c>
      <c r="B516" s="1" t="s">
        <v>1730</v>
      </c>
      <c r="C516" s="1" t="s">
        <v>1731</v>
      </c>
      <c r="D516" s="1">
        <v>15.0</v>
      </c>
      <c r="E516" s="4" t="s">
        <v>1732</v>
      </c>
      <c r="F516" s="1" t="s">
        <v>43</v>
      </c>
      <c r="G516" s="2"/>
      <c r="H516" s="1" t="s">
        <v>1733</v>
      </c>
      <c r="I516" s="4" t="s">
        <v>1734</v>
      </c>
      <c r="J516" s="1" t="s">
        <v>3694</v>
      </c>
    </row>
    <row r="517">
      <c r="A517" s="1" t="s">
        <v>1668</v>
      </c>
      <c r="B517" s="1" t="s">
        <v>1720</v>
      </c>
      <c r="C517" s="1" t="s">
        <v>1735</v>
      </c>
      <c r="D517" s="1">
        <v>16.0</v>
      </c>
      <c r="E517" s="4" t="s">
        <v>1736</v>
      </c>
      <c r="F517" s="1" t="s">
        <v>43</v>
      </c>
      <c r="G517" s="2"/>
      <c r="J517" s="1" t="s">
        <v>3269</v>
      </c>
    </row>
    <row r="518">
      <c r="A518" s="1" t="s">
        <v>1668</v>
      </c>
      <c r="B518" s="1" t="s">
        <v>1737</v>
      </c>
      <c r="C518" s="1" t="s">
        <v>1738</v>
      </c>
      <c r="D518" s="1">
        <v>17.0</v>
      </c>
      <c r="E518" s="4" t="s">
        <v>1739</v>
      </c>
      <c r="F518" s="1" t="s">
        <v>43</v>
      </c>
      <c r="G518" s="2"/>
      <c r="H518" s="1" t="s">
        <v>1740</v>
      </c>
      <c r="I518" s="4" t="s">
        <v>1741</v>
      </c>
      <c r="J518" s="1" t="s">
        <v>3695</v>
      </c>
    </row>
    <row r="519">
      <c r="A519" s="1" t="s">
        <v>1668</v>
      </c>
      <c r="B519" s="1" t="s">
        <v>1720</v>
      </c>
      <c r="C519" s="1" t="s">
        <v>1735</v>
      </c>
      <c r="D519" s="1">
        <v>18.0</v>
      </c>
      <c r="E519" s="4" t="s">
        <v>1742</v>
      </c>
      <c r="F519" s="1" t="s">
        <v>43</v>
      </c>
      <c r="G519" s="2"/>
      <c r="H519" s="1" t="s">
        <v>1743</v>
      </c>
      <c r="I519" s="4" t="s">
        <v>1744</v>
      </c>
      <c r="J519" s="1" t="s">
        <v>3696</v>
      </c>
    </row>
    <row r="520">
      <c r="A520" s="1" t="s">
        <v>1668</v>
      </c>
      <c r="B520" s="1" t="s">
        <v>1745</v>
      </c>
      <c r="C520" s="1" t="s">
        <v>1746</v>
      </c>
      <c r="D520" s="1">
        <v>19.0</v>
      </c>
      <c r="E520" s="4" t="s">
        <v>1747</v>
      </c>
      <c r="F520" s="1" t="s">
        <v>43</v>
      </c>
      <c r="G520" s="2"/>
      <c r="H520" s="1" t="s">
        <v>777</v>
      </c>
      <c r="I520" s="4" t="s">
        <v>778</v>
      </c>
      <c r="J520" s="1" t="s">
        <v>3697</v>
      </c>
    </row>
    <row r="521">
      <c r="A521" s="1" t="s">
        <v>1748</v>
      </c>
      <c r="B521" s="1" t="s">
        <v>1749</v>
      </c>
      <c r="C521" s="1" t="s">
        <v>1750</v>
      </c>
      <c r="D521" s="1">
        <v>1.0</v>
      </c>
      <c r="E521" s="4" t="s">
        <v>1751</v>
      </c>
      <c r="F521" s="1" t="s">
        <v>16</v>
      </c>
      <c r="G521" s="2">
        <v>3.0</v>
      </c>
      <c r="J521" s="1" t="s">
        <v>3269</v>
      </c>
    </row>
    <row r="522">
      <c r="A522" s="1" t="s">
        <v>1748</v>
      </c>
      <c r="B522" s="1" t="s">
        <v>1752</v>
      </c>
      <c r="C522" s="1" t="s">
        <v>1753</v>
      </c>
      <c r="D522" s="1">
        <v>2.0</v>
      </c>
      <c r="E522" s="4" t="s">
        <v>1754</v>
      </c>
      <c r="F522" s="1" t="s">
        <v>16</v>
      </c>
      <c r="G522" s="2">
        <v>3.0</v>
      </c>
      <c r="H522" s="1" t="s">
        <v>125</v>
      </c>
      <c r="I522" s="4" t="s">
        <v>126</v>
      </c>
      <c r="J522" s="1" t="s">
        <v>3698</v>
      </c>
    </row>
    <row r="523">
      <c r="A523" s="1" t="s">
        <v>1748</v>
      </c>
      <c r="B523" s="1" t="s">
        <v>1755</v>
      </c>
      <c r="C523" s="1" t="s">
        <v>1756</v>
      </c>
      <c r="D523" s="1">
        <v>3.0</v>
      </c>
      <c r="E523" s="4" t="s">
        <v>1757</v>
      </c>
      <c r="F523" s="1" t="s">
        <v>16</v>
      </c>
      <c r="G523" s="2">
        <v>3.0</v>
      </c>
      <c r="J523" s="1" t="s">
        <v>3269</v>
      </c>
    </row>
    <row r="524">
      <c r="A524" s="1" t="s">
        <v>1748</v>
      </c>
      <c r="B524" s="1" t="s">
        <v>1758</v>
      </c>
      <c r="C524" s="1" t="s">
        <v>1759</v>
      </c>
      <c r="D524" s="1">
        <v>4.0</v>
      </c>
      <c r="E524" s="4" t="s">
        <v>1760</v>
      </c>
      <c r="F524" s="1" t="s">
        <v>16</v>
      </c>
      <c r="G524" s="2">
        <v>3.0</v>
      </c>
      <c r="J524" s="1" t="s">
        <v>3269</v>
      </c>
    </row>
    <row r="525">
      <c r="A525" s="1" t="s">
        <v>1748</v>
      </c>
      <c r="B525" s="1" t="s">
        <v>1761</v>
      </c>
      <c r="C525" s="1" t="s">
        <v>1759</v>
      </c>
      <c r="D525" s="1">
        <v>5.0</v>
      </c>
      <c r="E525" s="4" t="s">
        <v>1762</v>
      </c>
      <c r="F525" s="1" t="s">
        <v>16</v>
      </c>
      <c r="G525" s="2">
        <v>2.0</v>
      </c>
      <c r="H525" s="1" t="s">
        <v>1550</v>
      </c>
      <c r="I525" s="4" t="s">
        <v>1551</v>
      </c>
      <c r="J525" s="1" t="s">
        <v>3699</v>
      </c>
    </row>
    <row r="526">
      <c r="A526" s="1" t="s">
        <v>1748</v>
      </c>
      <c r="B526" s="1" t="s">
        <v>1763</v>
      </c>
      <c r="C526" s="1" t="s">
        <v>1759</v>
      </c>
      <c r="D526" s="1">
        <v>6.0</v>
      </c>
      <c r="E526" s="4" t="s">
        <v>1764</v>
      </c>
      <c r="F526" s="1" t="s">
        <v>16</v>
      </c>
      <c r="G526" s="2">
        <v>3.0</v>
      </c>
      <c r="H526" s="1" t="s">
        <v>1743</v>
      </c>
      <c r="I526" s="4" t="s">
        <v>1744</v>
      </c>
      <c r="J526" s="1" t="s">
        <v>3700</v>
      </c>
    </row>
    <row r="527">
      <c r="A527" s="1" t="s">
        <v>1748</v>
      </c>
      <c r="B527" s="1" t="s">
        <v>1765</v>
      </c>
      <c r="C527" s="1" t="s">
        <v>1766</v>
      </c>
      <c r="D527" s="1">
        <v>7.0</v>
      </c>
      <c r="E527" s="4" t="s">
        <v>1767</v>
      </c>
      <c r="F527" s="1" t="s">
        <v>16</v>
      </c>
      <c r="G527" s="2">
        <v>4.0</v>
      </c>
      <c r="H527" s="1" t="s">
        <v>1768</v>
      </c>
      <c r="I527" s="4" t="s">
        <v>1769</v>
      </c>
      <c r="J527" s="1" t="s">
        <v>3701</v>
      </c>
    </row>
    <row r="528">
      <c r="A528" s="1" t="s">
        <v>1748</v>
      </c>
      <c r="B528" s="1" t="s">
        <v>1770</v>
      </c>
      <c r="C528" s="1" t="s">
        <v>1771</v>
      </c>
      <c r="D528" s="1">
        <v>8.0</v>
      </c>
      <c r="E528" s="4" t="s">
        <v>1772</v>
      </c>
      <c r="F528" s="1" t="s">
        <v>16</v>
      </c>
      <c r="G528" s="2">
        <v>4.0</v>
      </c>
      <c r="H528" s="1" t="s">
        <v>246</v>
      </c>
      <c r="I528" s="4" t="s">
        <v>247</v>
      </c>
      <c r="J528" s="1" t="s">
        <v>3702</v>
      </c>
    </row>
    <row r="529">
      <c r="A529" s="1" t="s">
        <v>1748</v>
      </c>
      <c r="B529" s="1" t="s">
        <v>1773</v>
      </c>
      <c r="C529" s="1" t="s">
        <v>1774</v>
      </c>
      <c r="D529" s="1">
        <v>9.0</v>
      </c>
      <c r="E529" s="4" t="s">
        <v>1775</v>
      </c>
      <c r="F529" s="1" t="s">
        <v>16</v>
      </c>
      <c r="G529" s="2">
        <v>2.0</v>
      </c>
      <c r="H529" s="1" t="s">
        <v>1776</v>
      </c>
      <c r="I529" s="4" t="s">
        <v>1777</v>
      </c>
      <c r="J529" s="1" t="s">
        <v>3703</v>
      </c>
    </row>
    <row r="530">
      <c r="A530" s="1" t="s">
        <v>1748</v>
      </c>
      <c r="B530" s="1" t="s">
        <v>1778</v>
      </c>
      <c r="C530" s="1" t="s">
        <v>1779</v>
      </c>
      <c r="D530" s="1">
        <v>10.0</v>
      </c>
      <c r="E530" s="4" t="s">
        <v>1780</v>
      </c>
      <c r="F530" s="1" t="s">
        <v>16</v>
      </c>
      <c r="G530" s="2">
        <v>1.0</v>
      </c>
      <c r="H530" s="1" t="s">
        <v>242</v>
      </c>
      <c r="I530" s="4" t="s">
        <v>243</v>
      </c>
      <c r="J530" s="1" t="s">
        <v>3704</v>
      </c>
    </row>
    <row r="531">
      <c r="A531" s="1" t="s">
        <v>1748</v>
      </c>
      <c r="B531" s="1" t="s">
        <v>1781</v>
      </c>
      <c r="C531" s="1" t="s">
        <v>1782</v>
      </c>
      <c r="D531" s="1">
        <v>11.0</v>
      </c>
      <c r="E531" s="4" t="s">
        <v>1783</v>
      </c>
      <c r="F531" s="1" t="s">
        <v>16</v>
      </c>
      <c r="G531" s="2">
        <v>1.0</v>
      </c>
      <c r="H531" s="1" t="s">
        <v>1784</v>
      </c>
      <c r="I531" s="4" t="s">
        <v>1785</v>
      </c>
      <c r="J531" s="1" t="s">
        <v>3705</v>
      </c>
    </row>
    <row r="532">
      <c r="A532" s="1" t="s">
        <v>1748</v>
      </c>
      <c r="B532" s="1" t="s">
        <v>1786</v>
      </c>
      <c r="C532" s="1" t="s">
        <v>1787</v>
      </c>
      <c r="D532" s="1">
        <v>12.0</v>
      </c>
      <c r="E532" s="4" t="s">
        <v>1788</v>
      </c>
      <c r="F532" s="1" t="s">
        <v>16</v>
      </c>
      <c r="G532" s="2">
        <v>4.0</v>
      </c>
      <c r="H532" s="1" t="s">
        <v>1789</v>
      </c>
      <c r="I532" s="4" t="s">
        <v>1790</v>
      </c>
      <c r="J532" s="1" t="s">
        <v>3706</v>
      </c>
    </row>
    <row r="533">
      <c r="A533" s="1" t="s">
        <v>1748</v>
      </c>
      <c r="B533" s="1" t="s">
        <v>1791</v>
      </c>
      <c r="C533" s="1" t="s">
        <v>1792</v>
      </c>
      <c r="D533" s="1">
        <v>13.0</v>
      </c>
      <c r="E533" s="4" t="s">
        <v>1793</v>
      </c>
      <c r="F533" s="1" t="s">
        <v>16</v>
      </c>
      <c r="G533" s="2">
        <v>2.0</v>
      </c>
      <c r="H533" s="1" t="s">
        <v>1728</v>
      </c>
      <c r="I533" s="4" t="s">
        <v>1729</v>
      </c>
      <c r="J533" s="1" t="s">
        <v>3707</v>
      </c>
    </row>
    <row r="534">
      <c r="A534" s="1" t="s">
        <v>1748</v>
      </c>
      <c r="B534" s="1" t="s">
        <v>1794</v>
      </c>
      <c r="C534" s="1" t="s">
        <v>1795</v>
      </c>
      <c r="D534" s="1">
        <v>14.0</v>
      </c>
      <c r="E534" s="4" t="s">
        <v>1796</v>
      </c>
      <c r="F534" s="1" t="s">
        <v>16</v>
      </c>
      <c r="G534" s="2">
        <v>2.0</v>
      </c>
      <c r="H534" s="1" t="s">
        <v>1728</v>
      </c>
      <c r="I534" s="4" t="s">
        <v>1729</v>
      </c>
      <c r="J534" s="1" t="s">
        <v>3708</v>
      </c>
    </row>
    <row r="535">
      <c r="A535" s="1" t="s">
        <v>1748</v>
      </c>
      <c r="B535" s="1" t="s">
        <v>1797</v>
      </c>
      <c r="C535" s="1" t="s">
        <v>1558</v>
      </c>
      <c r="D535" s="1">
        <v>15.0</v>
      </c>
      <c r="E535" s="4" t="s">
        <v>1798</v>
      </c>
      <c r="F535" s="1" t="s">
        <v>16</v>
      </c>
      <c r="G535" s="2">
        <v>3.0</v>
      </c>
      <c r="H535" s="1" t="s">
        <v>1799</v>
      </c>
      <c r="I535" s="4" t="s">
        <v>1800</v>
      </c>
      <c r="J535" s="1" t="s">
        <v>3709</v>
      </c>
    </row>
    <row r="536">
      <c r="A536" s="1" t="s">
        <v>1748</v>
      </c>
      <c r="B536" s="1" t="s">
        <v>1801</v>
      </c>
      <c r="C536" s="1" t="s">
        <v>1802</v>
      </c>
      <c r="D536" s="1">
        <v>16.0</v>
      </c>
      <c r="E536" s="4" t="s">
        <v>1803</v>
      </c>
      <c r="F536" s="1" t="s">
        <v>16</v>
      </c>
      <c r="G536" s="2">
        <v>3.0</v>
      </c>
      <c r="H536" s="1" t="s">
        <v>1799</v>
      </c>
      <c r="I536" s="4" t="s">
        <v>1800</v>
      </c>
      <c r="J536" s="1" t="s">
        <v>3710</v>
      </c>
    </row>
    <row r="537">
      <c r="A537" s="1" t="s">
        <v>1748</v>
      </c>
      <c r="B537" s="1" t="s">
        <v>1804</v>
      </c>
      <c r="C537" s="1" t="s">
        <v>1753</v>
      </c>
      <c r="D537" s="1">
        <v>17.0</v>
      </c>
      <c r="E537" s="4" t="s">
        <v>1805</v>
      </c>
      <c r="F537" s="1" t="s">
        <v>16</v>
      </c>
      <c r="G537" s="2">
        <v>2.0</v>
      </c>
      <c r="H537" s="1" t="s">
        <v>1806</v>
      </c>
      <c r="I537" s="4" t="s">
        <v>1807</v>
      </c>
      <c r="J537" s="1" t="s">
        <v>3711</v>
      </c>
    </row>
    <row r="538">
      <c r="A538" s="1" t="s">
        <v>1748</v>
      </c>
      <c r="B538" s="1" t="s">
        <v>1808</v>
      </c>
      <c r="C538" s="1" t="s">
        <v>1782</v>
      </c>
      <c r="D538" s="1">
        <v>18.0</v>
      </c>
      <c r="E538" s="4" t="s">
        <v>1809</v>
      </c>
      <c r="F538" s="1" t="s">
        <v>16</v>
      </c>
      <c r="G538" s="2">
        <v>2.0</v>
      </c>
      <c r="H538" s="1" t="s">
        <v>1810</v>
      </c>
      <c r="I538" s="4" t="s">
        <v>1811</v>
      </c>
      <c r="J538" s="1" t="s">
        <v>3712</v>
      </c>
    </row>
    <row r="539">
      <c r="A539" s="1" t="s">
        <v>1748</v>
      </c>
      <c r="B539" s="1" t="s">
        <v>1797</v>
      </c>
      <c r="C539" s="1" t="s">
        <v>1812</v>
      </c>
      <c r="D539" s="1">
        <v>19.0</v>
      </c>
      <c r="E539" s="4" t="s">
        <v>1813</v>
      </c>
      <c r="F539" s="1" t="s">
        <v>16</v>
      </c>
      <c r="G539" s="2">
        <v>1.0</v>
      </c>
      <c r="H539" s="1" t="s">
        <v>135</v>
      </c>
      <c r="I539" s="4" t="s">
        <v>136</v>
      </c>
      <c r="J539" s="1" t="s">
        <v>3713</v>
      </c>
    </row>
    <row r="540">
      <c r="A540" s="1" t="s">
        <v>1748</v>
      </c>
      <c r="B540" s="1" t="s">
        <v>1814</v>
      </c>
      <c r="C540" s="1" t="s">
        <v>1815</v>
      </c>
      <c r="D540" s="1">
        <v>9.0</v>
      </c>
      <c r="E540" s="4" t="s">
        <v>1816</v>
      </c>
      <c r="F540" s="1" t="s">
        <v>43</v>
      </c>
      <c r="G540" s="2">
        <v>3.0</v>
      </c>
      <c r="H540" s="1" t="s">
        <v>1817</v>
      </c>
      <c r="I540" s="4" t="s">
        <v>1818</v>
      </c>
      <c r="J540" s="1" t="s">
        <v>3714</v>
      </c>
    </row>
    <row r="541">
      <c r="A541" s="1" t="s">
        <v>1748</v>
      </c>
      <c r="B541" s="1" t="s">
        <v>1797</v>
      </c>
      <c r="D541" s="1">
        <v>12.0</v>
      </c>
      <c r="E541" s="4" t="s">
        <v>1819</v>
      </c>
      <c r="F541" s="1" t="s">
        <v>43</v>
      </c>
      <c r="G541" s="2">
        <v>2.0</v>
      </c>
      <c r="H541" s="1" t="s">
        <v>1820</v>
      </c>
      <c r="I541" s="4" t="s">
        <v>1821</v>
      </c>
      <c r="J541" s="1" t="s">
        <v>3715</v>
      </c>
    </row>
    <row r="542">
      <c r="A542" s="1" t="s">
        <v>1748</v>
      </c>
      <c r="B542" s="1" t="s">
        <v>1822</v>
      </c>
      <c r="C542" s="1" t="s">
        <v>1823</v>
      </c>
      <c r="D542" s="1">
        <v>16.0</v>
      </c>
      <c r="E542" s="4" t="s">
        <v>1824</v>
      </c>
      <c r="F542" s="1" t="s">
        <v>43</v>
      </c>
      <c r="G542" s="2">
        <v>1.0</v>
      </c>
      <c r="H542" s="1" t="s">
        <v>1776</v>
      </c>
      <c r="I542" s="4" t="s">
        <v>1825</v>
      </c>
      <c r="J542" s="1" t="s">
        <v>3716</v>
      </c>
    </row>
    <row r="543">
      <c r="A543" s="1" t="s">
        <v>1748</v>
      </c>
      <c r="B543" s="1" t="s">
        <v>1826</v>
      </c>
      <c r="C543" s="1" t="s">
        <v>1827</v>
      </c>
      <c r="D543" s="1">
        <v>18.0</v>
      </c>
      <c r="E543" s="4" t="s">
        <v>1828</v>
      </c>
      <c r="F543" s="1" t="s">
        <v>43</v>
      </c>
      <c r="G543" s="2">
        <v>0.0</v>
      </c>
      <c r="J543" s="1" t="s">
        <v>3269</v>
      </c>
    </row>
    <row r="544">
      <c r="A544" s="1" t="s">
        <v>1748</v>
      </c>
      <c r="B544" s="1" t="s">
        <v>1797</v>
      </c>
      <c r="D544" s="1">
        <v>31.0</v>
      </c>
      <c r="E544" s="4" t="s">
        <v>1829</v>
      </c>
      <c r="F544" s="1" t="s">
        <v>43</v>
      </c>
      <c r="G544" s="2">
        <v>4.0</v>
      </c>
      <c r="J544" s="1" t="s">
        <v>3269</v>
      </c>
    </row>
    <row r="545">
      <c r="A545" s="1" t="s">
        <v>1748</v>
      </c>
      <c r="B545" s="1" t="s">
        <v>1830</v>
      </c>
      <c r="C545" s="1" t="s">
        <v>1831</v>
      </c>
      <c r="D545" s="1">
        <v>32.0</v>
      </c>
      <c r="E545" s="4" t="s">
        <v>1832</v>
      </c>
      <c r="F545" s="1" t="s">
        <v>43</v>
      </c>
      <c r="G545" s="2">
        <v>2.0</v>
      </c>
      <c r="H545" s="1" t="s">
        <v>38</v>
      </c>
      <c r="I545" s="4" t="s">
        <v>39</v>
      </c>
      <c r="J545" s="1" t="s">
        <v>3717</v>
      </c>
    </row>
    <row r="546">
      <c r="A546" s="1" t="s">
        <v>1748</v>
      </c>
      <c r="B546" s="1" t="s">
        <v>1833</v>
      </c>
      <c r="C546" s="1" t="s">
        <v>1834</v>
      </c>
      <c r="D546" s="1">
        <v>33.0</v>
      </c>
      <c r="E546" s="4" t="s">
        <v>1835</v>
      </c>
      <c r="F546" s="1" t="s">
        <v>43</v>
      </c>
      <c r="G546" s="2">
        <v>2.0</v>
      </c>
      <c r="J546" s="1" t="s">
        <v>3269</v>
      </c>
    </row>
    <row r="547">
      <c r="A547" s="1" t="s">
        <v>1748</v>
      </c>
      <c r="B547" s="1" t="s">
        <v>1836</v>
      </c>
      <c r="C547" s="1" t="s">
        <v>1837</v>
      </c>
      <c r="D547" s="1">
        <v>34.0</v>
      </c>
      <c r="E547" s="4" t="s">
        <v>1838</v>
      </c>
      <c r="F547" s="1" t="s">
        <v>43</v>
      </c>
      <c r="G547" s="2">
        <v>4.0</v>
      </c>
      <c r="J547" s="1" t="s">
        <v>3269</v>
      </c>
    </row>
    <row r="548">
      <c r="A548" s="1" t="s">
        <v>1748</v>
      </c>
      <c r="B548" s="1" t="s">
        <v>1839</v>
      </c>
      <c r="D548" s="1">
        <v>35.0</v>
      </c>
      <c r="E548" s="4" t="s">
        <v>1840</v>
      </c>
      <c r="F548" s="1" t="s">
        <v>43</v>
      </c>
      <c r="G548" s="2">
        <v>1.0</v>
      </c>
      <c r="H548" s="1" t="s">
        <v>1841</v>
      </c>
      <c r="I548" s="4" t="s">
        <v>1842</v>
      </c>
      <c r="J548" s="1" t="s">
        <v>3718</v>
      </c>
    </row>
    <row r="549">
      <c r="A549" s="1" t="s">
        <v>1748</v>
      </c>
      <c r="B549" s="1" t="s">
        <v>1843</v>
      </c>
      <c r="C549" s="1" t="s">
        <v>1844</v>
      </c>
      <c r="D549" s="1">
        <v>36.0</v>
      </c>
      <c r="E549" s="4" t="s">
        <v>1845</v>
      </c>
      <c r="F549" s="1" t="s">
        <v>43</v>
      </c>
      <c r="G549" s="2">
        <v>1.0</v>
      </c>
      <c r="H549" s="1" t="s">
        <v>487</v>
      </c>
      <c r="I549" s="4" t="s">
        <v>1846</v>
      </c>
      <c r="J549" s="1" t="s">
        <v>3269</v>
      </c>
    </row>
    <row r="550">
      <c r="A550" s="1" t="s">
        <v>1847</v>
      </c>
      <c r="B550" s="1" t="s">
        <v>1848</v>
      </c>
      <c r="C550" s="1" t="s">
        <v>1849</v>
      </c>
      <c r="D550" s="1">
        <v>1.0</v>
      </c>
      <c r="E550" s="4" t="s">
        <v>1850</v>
      </c>
      <c r="F550" s="1" t="s">
        <v>16</v>
      </c>
      <c r="G550" s="2">
        <v>3.0</v>
      </c>
      <c r="H550" s="1" t="s">
        <v>428</v>
      </c>
      <c r="I550" s="4" t="s">
        <v>429</v>
      </c>
      <c r="J550" s="1" t="s">
        <v>3719</v>
      </c>
    </row>
    <row r="551">
      <c r="A551" s="1" t="s">
        <v>1847</v>
      </c>
      <c r="B551" s="1" t="s">
        <v>1851</v>
      </c>
      <c r="C551" s="1" t="s">
        <v>1852</v>
      </c>
      <c r="D551" s="1">
        <v>2.0</v>
      </c>
      <c r="E551" s="4" t="s">
        <v>1853</v>
      </c>
      <c r="F551" s="1" t="s">
        <v>16</v>
      </c>
      <c r="G551" s="2">
        <v>3.0</v>
      </c>
      <c r="H551" s="1" t="s">
        <v>120</v>
      </c>
      <c r="I551" s="4" t="s">
        <v>121</v>
      </c>
      <c r="J551" s="1" t="s">
        <v>3720</v>
      </c>
    </row>
    <row r="552">
      <c r="A552" s="1" t="s">
        <v>1847</v>
      </c>
      <c r="B552" s="1" t="s">
        <v>1854</v>
      </c>
      <c r="C552" s="1" t="s">
        <v>1855</v>
      </c>
      <c r="D552" s="1">
        <v>3.0</v>
      </c>
      <c r="E552" s="4" t="s">
        <v>1856</v>
      </c>
      <c r="F552" s="1" t="s">
        <v>16</v>
      </c>
      <c r="G552" s="2">
        <v>3.0</v>
      </c>
      <c r="H552" s="1" t="s">
        <v>31</v>
      </c>
      <c r="I552" s="4" t="s">
        <v>32</v>
      </c>
      <c r="J552" s="1" t="s">
        <v>3721</v>
      </c>
    </row>
    <row r="553">
      <c r="A553" s="1" t="s">
        <v>1847</v>
      </c>
      <c r="B553" s="1" t="s">
        <v>1857</v>
      </c>
      <c r="C553" s="1" t="s">
        <v>1858</v>
      </c>
      <c r="D553" s="1">
        <v>4.0</v>
      </c>
      <c r="E553" s="4" t="s">
        <v>1859</v>
      </c>
      <c r="F553" s="1" t="s">
        <v>16</v>
      </c>
      <c r="G553" s="2">
        <v>3.0</v>
      </c>
      <c r="H553" s="1" t="s">
        <v>97</v>
      </c>
      <c r="I553" s="4" t="s">
        <v>98</v>
      </c>
      <c r="J553" s="1" t="s">
        <v>3722</v>
      </c>
    </row>
    <row r="554">
      <c r="A554" s="1" t="s">
        <v>1847</v>
      </c>
      <c r="B554" s="1" t="s">
        <v>1860</v>
      </c>
      <c r="D554" s="1">
        <v>5.0</v>
      </c>
      <c r="E554" s="4" t="s">
        <v>1861</v>
      </c>
      <c r="F554" s="1" t="s">
        <v>16</v>
      </c>
      <c r="G554" s="2">
        <v>2.0</v>
      </c>
      <c r="H554" s="1" t="s">
        <v>38</v>
      </c>
      <c r="I554" s="4" t="s">
        <v>39</v>
      </c>
      <c r="J554" s="1" t="s">
        <v>3723</v>
      </c>
    </row>
    <row r="555">
      <c r="A555" s="1" t="s">
        <v>1847</v>
      </c>
      <c r="B555" s="1" t="s">
        <v>1862</v>
      </c>
      <c r="C555" s="1" t="s">
        <v>1863</v>
      </c>
      <c r="D555" s="1">
        <v>6.0</v>
      </c>
      <c r="E555" s="4" t="s">
        <v>1864</v>
      </c>
      <c r="F555" s="1" t="s">
        <v>16</v>
      </c>
      <c r="G555" s="2">
        <v>4.0</v>
      </c>
      <c r="J555" s="1" t="s">
        <v>3269</v>
      </c>
    </row>
    <row r="556">
      <c r="A556" s="1" t="s">
        <v>1847</v>
      </c>
      <c r="B556" s="1" t="s">
        <v>1865</v>
      </c>
      <c r="C556" s="1" t="s">
        <v>1866</v>
      </c>
      <c r="D556" s="1">
        <v>7.0</v>
      </c>
      <c r="E556" s="4" t="s">
        <v>1867</v>
      </c>
      <c r="F556" s="1" t="s">
        <v>16</v>
      </c>
      <c r="G556" s="2">
        <v>2.0</v>
      </c>
      <c r="H556" s="1" t="s">
        <v>1868</v>
      </c>
      <c r="I556" s="4" t="s">
        <v>1869</v>
      </c>
      <c r="J556" s="1" t="s">
        <v>3724</v>
      </c>
    </row>
    <row r="557">
      <c r="A557" s="1" t="s">
        <v>1847</v>
      </c>
      <c r="B557" s="1" t="s">
        <v>1860</v>
      </c>
      <c r="C557" s="1" t="s">
        <v>1870</v>
      </c>
      <c r="D557" s="1">
        <v>8.0</v>
      </c>
      <c r="E557" s="4" t="s">
        <v>1871</v>
      </c>
      <c r="F557" s="1" t="s">
        <v>16</v>
      </c>
      <c r="G557" s="2">
        <v>2.0</v>
      </c>
      <c r="H557" s="1" t="s">
        <v>31</v>
      </c>
      <c r="I557" s="4" t="s">
        <v>32</v>
      </c>
      <c r="J557" s="1" t="s">
        <v>3725</v>
      </c>
    </row>
    <row r="558">
      <c r="A558" s="1" t="s">
        <v>1847</v>
      </c>
      <c r="B558" s="1" t="s">
        <v>1872</v>
      </c>
      <c r="D558" s="1">
        <v>9.0</v>
      </c>
      <c r="E558" s="4" t="s">
        <v>1873</v>
      </c>
      <c r="F558" s="1" t="s">
        <v>16</v>
      </c>
      <c r="G558" s="2">
        <v>2.0</v>
      </c>
      <c r="H558" s="1" t="s">
        <v>428</v>
      </c>
      <c r="I558" s="4" t="s">
        <v>1874</v>
      </c>
      <c r="J558" s="1" t="s">
        <v>3726</v>
      </c>
    </row>
    <row r="559">
      <c r="A559" s="1" t="s">
        <v>1847</v>
      </c>
      <c r="B559" s="1" t="s">
        <v>1860</v>
      </c>
      <c r="D559" s="1">
        <v>10.0</v>
      </c>
      <c r="E559" s="4" t="s">
        <v>1875</v>
      </c>
      <c r="F559" s="1" t="s">
        <v>16</v>
      </c>
      <c r="G559" s="2">
        <v>3.0</v>
      </c>
      <c r="H559" s="1" t="s">
        <v>34</v>
      </c>
      <c r="I559" s="4" t="s">
        <v>35</v>
      </c>
      <c r="J559" s="1" t="s">
        <v>3727</v>
      </c>
    </row>
    <row r="560">
      <c r="A560" s="1" t="s">
        <v>1847</v>
      </c>
      <c r="B560" s="1" t="s">
        <v>1876</v>
      </c>
      <c r="C560" s="1" t="s">
        <v>1877</v>
      </c>
      <c r="D560" s="1">
        <v>11.0</v>
      </c>
      <c r="E560" s="4" t="s">
        <v>1878</v>
      </c>
      <c r="F560" s="1" t="s">
        <v>16</v>
      </c>
      <c r="G560" s="2">
        <v>2.0</v>
      </c>
      <c r="H560" s="1" t="s">
        <v>1879</v>
      </c>
      <c r="I560" s="4" t="s">
        <v>1880</v>
      </c>
      <c r="J560" s="1" t="s">
        <v>3728</v>
      </c>
    </row>
    <row r="561">
      <c r="A561" s="1" t="s">
        <v>1847</v>
      </c>
      <c r="B561" s="1" t="s">
        <v>1881</v>
      </c>
      <c r="C561" s="1" t="s">
        <v>1882</v>
      </c>
      <c r="D561" s="1">
        <v>12.0</v>
      </c>
      <c r="E561" s="4" t="s">
        <v>1883</v>
      </c>
      <c r="F561" s="1" t="s">
        <v>16</v>
      </c>
      <c r="G561" s="2">
        <v>3.0</v>
      </c>
      <c r="H561" s="1" t="s">
        <v>273</v>
      </c>
      <c r="I561" s="4" t="s">
        <v>274</v>
      </c>
      <c r="J561" s="1" t="s">
        <v>3729</v>
      </c>
    </row>
    <row r="562">
      <c r="A562" s="1" t="s">
        <v>1847</v>
      </c>
      <c r="B562" s="1" t="s">
        <v>1884</v>
      </c>
      <c r="C562" s="1" t="s">
        <v>1885</v>
      </c>
      <c r="D562" s="1">
        <v>13.0</v>
      </c>
      <c r="E562" s="4" t="s">
        <v>1886</v>
      </c>
      <c r="F562" s="1" t="s">
        <v>16</v>
      </c>
      <c r="G562" s="2">
        <v>2.0</v>
      </c>
      <c r="H562" s="1" t="s">
        <v>336</v>
      </c>
      <c r="I562" s="4" t="s">
        <v>337</v>
      </c>
      <c r="J562" s="1" t="s">
        <v>3730</v>
      </c>
    </row>
    <row r="563">
      <c r="A563" s="1" t="s">
        <v>1847</v>
      </c>
      <c r="B563" s="1" t="s">
        <v>1887</v>
      </c>
      <c r="D563" s="1">
        <v>14.0</v>
      </c>
      <c r="E563" s="4" t="s">
        <v>1888</v>
      </c>
      <c r="F563" s="1" t="s">
        <v>16</v>
      </c>
      <c r="G563" s="2">
        <v>3.0</v>
      </c>
      <c r="H563" s="1" t="s">
        <v>273</v>
      </c>
      <c r="I563" s="4" t="s">
        <v>476</v>
      </c>
      <c r="J563" s="1" t="s">
        <v>3731</v>
      </c>
    </row>
    <row r="564">
      <c r="A564" s="1" t="s">
        <v>1847</v>
      </c>
      <c r="B564" s="1" t="s">
        <v>1889</v>
      </c>
      <c r="C564" s="1" t="s">
        <v>1890</v>
      </c>
      <c r="D564" s="1">
        <v>15.0</v>
      </c>
      <c r="E564" s="4" t="s">
        <v>1891</v>
      </c>
      <c r="F564" s="1" t="s">
        <v>16</v>
      </c>
      <c r="G564" s="2">
        <v>4.0</v>
      </c>
      <c r="H564" s="1" t="s">
        <v>1892</v>
      </c>
      <c r="I564" s="4" t="s">
        <v>1893</v>
      </c>
      <c r="J564" s="1" t="s">
        <v>3732</v>
      </c>
    </row>
    <row r="565">
      <c r="A565" s="1" t="s">
        <v>1847</v>
      </c>
      <c r="B565" s="1" t="s">
        <v>1894</v>
      </c>
      <c r="C565" s="1" t="s">
        <v>1895</v>
      </c>
      <c r="D565" s="1">
        <v>16.0</v>
      </c>
      <c r="E565" s="4" t="s">
        <v>1896</v>
      </c>
      <c r="F565" s="1" t="s">
        <v>16</v>
      </c>
      <c r="G565" s="2">
        <v>3.0</v>
      </c>
      <c r="H565" s="1" t="s">
        <v>1897</v>
      </c>
      <c r="I565" s="4" t="s">
        <v>1898</v>
      </c>
      <c r="J565" s="1" t="s">
        <v>3733</v>
      </c>
    </row>
    <row r="566">
      <c r="A566" s="1" t="s">
        <v>1847</v>
      </c>
      <c r="B566" s="1" t="s">
        <v>1899</v>
      </c>
      <c r="C566" s="1" t="s">
        <v>1900</v>
      </c>
      <c r="D566" s="1">
        <v>17.0</v>
      </c>
      <c r="E566" s="4" t="s">
        <v>1901</v>
      </c>
      <c r="F566" s="1" t="s">
        <v>16</v>
      </c>
      <c r="G566" s="2">
        <v>2.0</v>
      </c>
      <c r="H566" s="1" t="s">
        <v>1180</v>
      </c>
      <c r="I566" s="4" t="s">
        <v>1181</v>
      </c>
      <c r="J566" s="1" t="s">
        <v>3734</v>
      </c>
    </row>
    <row r="567">
      <c r="A567" s="1" t="s">
        <v>1847</v>
      </c>
      <c r="B567" s="4" t="s">
        <v>1902</v>
      </c>
      <c r="D567" s="1">
        <v>18.0</v>
      </c>
      <c r="E567" s="4" t="s">
        <v>1903</v>
      </c>
      <c r="F567" s="1" t="s">
        <v>16</v>
      </c>
      <c r="G567" s="2">
        <v>2.0</v>
      </c>
      <c r="H567" s="1" t="s">
        <v>1904</v>
      </c>
      <c r="I567" s="4" t="s">
        <v>1905</v>
      </c>
      <c r="J567" s="1" t="s">
        <v>3735</v>
      </c>
    </row>
    <row r="568">
      <c r="A568" s="1" t="s">
        <v>1847</v>
      </c>
      <c r="B568" s="1" t="s">
        <v>1906</v>
      </c>
      <c r="C568" s="1" t="s">
        <v>1907</v>
      </c>
      <c r="D568" s="1">
        <v>33.0</v>
      </c>
      <c r="E568" s="4" t="s">
        <v>1908</v>
      </c>
      <c r="F568" s="1" t="s">
        <v>16</v>
      </c>
      <c r="G568" s="2">
        <v>4.0</v>
      </c>
      <c r="H568" s="1" t="s">
        <v>1909</v>
      </c>
      <c r="I568" s="4" t="s">
        <v>1910</v>
      </c>
      <c r="J568" s="1" t="s">
        <v>3736</v>
      </c>
    </row>
    <row r="569">
      <c r="A569" s="1" t="s">
        <v>1847</v>
      </c>
      <c r="B569" s="1" t="s">
        <v>1911</v>
      </c>
      <c r="C569" s="1" t="s">
        <v>1912</v>
      </c>
      <c r="D569" s="1">
        <v>35.0</v>
      </c>
      <c r="E569" s="4" t="s">
        <v>1913</v>
      </c>
      <c r="F569" s="1" t="s">
        <v>16</v>
      </c>
      <c r="G569" s="2">
        <v>4.0</v>
      </c>
      <c r="H569" s="1" t="s">
        <v>221</v>
      </c>
      <c r="I569" s="4" t="s">
        <v>222</v>
      </c>
      <c r="J569" s="1" t="s">
        <v>3737</v>
      </c>
    </row>
    <row r="570">
      <c r="A570" s="1" t="s">
        <v>1847</v>
      </c>
      <c r="B570" s="1" t="s">
        <v>1914</v>
      </c>
      <c r="D570" s="1">
        <v>7.0</v>
      </c>
      <c r="E570" s="4" t="s">
        <v>1915</v>
      </c>
      <c r="F570" s="1" t="s">
        <v>43</v>
      </c>
      <c r="G570" s="2">
        <v>4.0</v>
      </c>
      <c r="H570" s="1" t="s">
        <v>444</v>
      </c>
      <c r="I570" s="4" t="s">
        <v>445</v>
      </c>
      <c r="J570" s="1" t="s">
        <v>3738</v>
      </c>
    </row>
    <row r="571">
      <c r="A571" s="1" t="s">
        <v>1847</v>
      </c>
      <c r="B571" s="1" t="s">
        <v>1916</v>
      </c>
      <c r="C571" s="1" t="s">
        <v>1917</v>
      </c>
      <c r="D571" s="1">
        <v>13.0</v>
      </c>
      <c r="E571" s="4" t="s">
        <v>1918</v>
      </c>
      <c r="F571" s="1" t="s">
        <v>43</v>
      </c>
      <c r="G571" s="2">
        <v>4.0</v>
      </c>
      <c r="H571" s="1" t="s">
        <v>376</v>
      </c>
      <c r="I571" s="4" t="s">
        <v>377</v>
      </c>
      <c r="J571" s="1" t="s">
        <v>3739</v>
      </c>
    </row>
    <row r="572">
      <c r="A572" s="1" t="s">
        <v>1847</v>
      </c>
      <c r="B572" s="1" t="s">
        <v>1919</v>
      </c>
      <c r="C572" s="1" t="s">
        <v>1920</v>
      </c>
      <c r="D572" s="1">
        <v>16.0</v>
      </c>
      <c r="E572" s="4" t="s">
        <v>1921</v>
      </c>
      <c r="F572" s="1" t="s">
        <v>43</v>
      </c>
      <c r="G572" s="2">
        <v>2.0</v>
      </c>
      <c r="H572" s="1" t="s">
        <v>1922</v>
      </c>
      <c r="I572" s="4" t="s">
        <v>1923</v>
      </c>
      <c r="J572" s="1" t="s">
        <v>3740</v>
      </c>
    </row>
    <row r="573">
      <c r="A573" s="1" t="s">
        <v>1847</v>
      </c>
      <c r="B573" s="1" t="s">
        <v>1924</v>
      </c>
      <c r="C573" s="1" t="s">
        <v>1925</v>
      </c>
      <c r="D573" s="1">
        <v>17.0</v>
      </c>
      <c r="E573" s="4" t="s">
        <v>1926</v>
      </c>
      <c r="F573" s="1" t="s">
        <v>43</v>
      </c>
      <c r="G573" s="2">
        <v>4.0</v>
      </c>
      <c r="J573" s="1" t="s">
        <v>3269</v>
      </c>
    </row>
    <row r="574">
      <c r="A574" s="1" t="s">
        <v>1847</v>
      </c>
      <c r="B574" s="1" t="s">
        <v>1927</v>
      </c>
      <c r="C574" s="1" t="s">
        <v>1928</v>
      </c>
      <c r="D574" s="1">
        <v>22.0</v>
      </c>
      <c r="E574" s="4" t="s">
        <v>1929</v>
      </c>
      <c r="F574" s="1" t="s">
        <v>43</v>
      </c>
      <c r="G574" s="2">
        <v>2.0</v>
      </c>
      <c r="H574" s="1" t="s">
        <v>27</v>
      </c>
      <c r="I574" s="4" t="s">
        <v>28</v>
      </c>
      <c r="J574" s="1" t="s">
        <v>3741</v>
      </c>
    </row>
    <row r="575">
      <c r="A575" s="1" t="s">
        <v>1847</v>
      </c>
      <c r="B575" s="1" t="s">
        <v>1930</v>
      </c>
      <c r="D575" s="1">
        <v>25.0</v>
      </c>
      <c r="E575" s="4" t="s">
        <v>1931</v>
      </c>
      <c r="F575" s="1" t="s">
        <v>43</v>
      </c>
      <c r="G575" s="2">
        <v>4.0</v>
      </c>
      <c r="H575" s="1" t="s">
        <v>273</v>
      </c>
      <c r="I575" s="4" t="s">
        <v>579</v>
      </c>
      <c r="J575" s="1" t="s">
        <v>3742</v>
      </c>
    </row>
    <row r="576">
      <c r="A576" s="1" t="s">
        <v>1847</v>
      </c>
      <c r="B576" s="1" t="s">
        <v>1932</v>
      </c>
      <c r="C576" s="1" t="s">
        <v>153</v>
      </c>
      <c r="D576" s="1">
        <v>31.0</v>
      </c>
      <c r="E576" s="4" t="s">
        <v>1933</v>
      </c>
      <c r="F576" s="1" t="s">
        <v>43</v>
      </c>
      <c r="G576" s="2">
        <v>4.0</v>
      </c>
      <c r="H576" s="1" t="s">
        <v>135</v>
      </c>
      <c r="I576" s="4" t="s">
        <v>136</v>
      </c>
      <c r="J576" s="1" t="s">
        <v>3743</v>
      </c>
    </row>
    <row r="577">
      <c r="A577" s="1" t="s">
        <v>1847</v>
      </c>
      <c r="B577" s="1" t="s">
        <v>1860</v>
      </c>
      <c r="D577" s="1">
        <v>32.0</v>
      </c>
      <c r="E577" s="4" t="s">
        <v>1934</v>
      </c>
      <c r="F577" s="1" t="s">
        <v>43</v>
      </c>
      <c r="G577" s="2">
        <v>4.0</v>
      </c>
      <c r="H577" s="1" t="s">
        <v>1935</v>
      </c>
      <c r="I577" s="4" t="s">
        <v>1936</v>
      </c>
      <c r="J577" s="1" t="s">
        <v>3744</v>
      </c>
    </row>
    <row r="578">
      <c r="A578" s="1" t="s">
        <v>1937</v>
      </c>
      <c r="B578" s="1" t="s">
        <v>1938</v>
      </c>
      <c r="C578" s="1" t="s">
        <v>1939</v>
      </c>
      <c r="D578" s="1">
        <v>1.0</v>
      </c>
      <c r="E578" s="4" t="s">
        <v>1940</v>
      </c>
      <c r="F578" s="1" t="s">
        <v>16</v>
      </c>
      <c r="G578" s="2">
        <v>0.0</v>
      </c>
      <c r="J578" s="1" t="s">
        <v>3269</v>
      </c>
    </row>
    <row r="579">
      <c r="A579" s="1" t="s">
        <v>1937</v>
      </c>
      <c r="B579" s="1" t="s">
        <v>1941</v>
      </c>
      <c r="C579" s="1" t="s">
        <v>1942</v>
      </c>
      <c r="D579" s="1">
        <v>2.0</v>
      </c>
      <c r="E579" s="4" t="s">
        <v>1943</v>
      </c>
      <c r="F579" s="1" t="s">
        <v>16</v>
      </c>
      <c r="G579" s="2">
        <v>0.0</v>
      </c>
      <c r="H579" s="1" t="s">
        <v>120</v>
      </c>
      <c r="I579" s="4" t="s">
        <v>121</v>
      </c>
      <c r="J579" s="1" t="s">
        <v>3745</v>
      </c>
    </row>
    <row r="580">
      <c r="A580" s="1" t="s">
        <v>1937</v>
      </c>
      <c r="B580" s="1" t="s">
        <v>1944</v>
      </c>
      <c r="C580" s="1" t="s">
        <v>1945</v>
      </c>
      <c r="D580" s="1">
        <v>3.0</v>
      </c>
      <c r="E580" s="4" t="s">
        <v>1946</v>
      </c>
      <c r="F580" s="1" t="s">
        <v>16</v>
      </c>
      <c r="G580" s="2">
        <v>1.0</v>
      </c>
      <c r="H580" s="1" t="s">
        <v>34</v>
      </c>
      <c r="I580" s="4" t="s">
        <v>35</v>
      </c>
      <c r="J580" s="1" t="s">
        <v>3746</v>
      </c>
    </row>
    <row r="581">
      <c r="A581" s="1" t="s">
        <v>1937</v>
      </c>
      <c r="B581" s="1" t="s">
        <v>1947</v>
      </c>
      <c r="C581" s="1" t="s">
        <v>1948</v>
      </c>
      <c r="D581" s="1">
        <v>4.0</v>
      </c>
      <c r="E581" s="4" t="s">
        <v>1949</v>
      </c>
      <c r="F581" s="1" t="s">
        <v>16</v>
      </c>
      <c r="G581" s="2">
        <v>1.0</v>
      </c>
      <c r="H581" s="1" t="s">
        <v>31</v>
      </c>
      <c r="I581" s="4" t="s">
        <v>32</v>
      </c>
      <c r="J581" s="1" t="s">
        <v>3747</v>
      </c>
    </row>
    <row r="582">
      <c r="A582" s="1" t="s">
        <v>1937</v>
      </c>
      <c r="B582" s="1" t="s">
        <v>1950</v>
      </c>
      <c r="C582" s="1" t="s">
        <v>1951</v>
      </c>
      <c r="D582" s="1">
        <v>5.0</v>
      </c>
      <c r="E582" s="4" t="s">
        <v>1952</v>
      </c>
      <c r="F582" s="1" t="s">
        <v>16</v>
      </c>
      <c r="G582" s="2">
        <v>1.0</v>
      </c>
      <c r="H582" s="1" t="s">
        <v>31</v>
      </c>
      <c r="I582" s="4" t="s">
        <v>32</v>
      </c>
      <c r="J582" s="1" t="s">
        <v>3748</v>
      </c>
    </row>
    <row r="583">
      <c r="A583" s="1" t="s">
        <v>1937</v>
      </c>
      <c r="B583" s="1" t="s">
        <v>1953</v>
      </c>
      <c r="C583" s="1" t="s">
        <v>179</v>
      </c>
      <c r="D583" s="1">
        <v>6.0</v>
      </c>
      <c r="E583" s="4" t="s">
        <v>1954</v>
      </c>
      <c r="F583" s="1" t="s">
        <v>16</v>
      </c>
      <c r="G583" s="2">
        <v>0.0</v>
      </c>
      <c r="H583" s="1" t="s">
        <v>120</v>
      </c>
      <c r="I583" s="4" t="s">
        <v>121</v>
      </c>
      <c r="J583" s="1" t="s">
        <v>3749</v>
      </c>
    </row>
    <row r="584">
      <c r="A584" s="1" t="s">
        <v>1937</v>
      </c>
      <c r="B584" s="1" t="s">
        <v>1955</v>
      </c>
      <c r="C584" s="1" t="s">
        <v>1956</v>
      </c>
      <c r="D584" s="1">
        <v>7.0</v>
      </c>
      <c r="E584" s="4" t="s">
        <v>1957</v>
      </c>
      <c r="F584" s="1" t="s">
        <v>16</v>
      </c>
      <c r="G584" s="2">
        <v>0.0</v>
      </c>
      <c r="H584" s="1" t="s">
        <v>97</v>
      </c>
      <c r="I584" s="4" t="s">
        <v>98</v>
      </c>
      <c r="J584" s="1" t="s">
        <v>3750</v>
      </c>
    </row>
    <row r="585">
      <c r="A585" s="1" t="s">
        <v>1937</v>
      </c>
      <c r="B585" s="1" t="s">
        <v>1958</v>
      </c>
      <c r="C585" s="1" t="s">
        <v>1959</v>
      </c>
      <c r="D585" s="1">
        <v>8.0</v>
      </c>
      <c r="E585" s="4" t="s">
        <v>1960</v>
      </c>
      <c r="F585" s="1" t="s">
        <v>16</v>
      </c>
      <c r="G585" s="2">
        <v>1.0</v>
      </c>
      <c r="H585" s="1" t="s">
        <v>1961</v>
      </c>
      <c r="I585" s="4" t="s">
        <v>1962</v>
      </c>
      <c r="J585" s="1" t="s">
        <v>3751</v>
      </c>
    </row>
    <row r="586">
      <c r="A586" s="1" t="s">
        <v>1937</v>
      </c>
      <c r="B586" s="1" t="s">
        <v>1963</v>
      </c>
      <c r="C586" s="1" t="s">
        <v>1964</v>
      </c>
      <c r="D586" s="1">
        <v>9.0</v>
      </c>
      <c r="E586" s="4" t="s">
        <v>1965</v>
      </c>
      <c r="F586" s="1" t="s">
        <v>16</v>
      </c>
      <c r="G586" s="2">
        <v>1.0</v>
      </c>
      <c r="H586" s="1" t="s">
        <v>273</v>
      </c>
      <c r="I586" s="4" t="s">
        <v>274</v>
      </c>
      <c r="J586" s="1" t="s">
        <v>3752</v>
      </c>
    </row>
    <row r="587">
      <c r="A587" s="1" t="s">
        <v>1937</v>
      </c>
      <c r="B587" s="1" t="s">
        <v>1966</v>
      </c>
      <c r="C587" s="1" t="s">
        <v>1967</v>
      </c>
      <c r="D587" s="1">
        <v>10.0</v>
      </c>
      <c r="E587" s="4" t="s">
        <v>1968</v>
      </c>
      <c r="F587" s="1" t="s">
        <v>16</v>
      </c>
      <c r="G587" s="2">
        <v>3.0</v>
      </c>
      <c r="H587" s="1" t="s">
        <v>528</v>
      </c>
      <c r="I587" s="4" t="s">
        <v>529</v>
      </c>
      <c r="J587" s="1" t="s">
        <v>3753</v>
      </c>
    </row>
    <row r="588">
      <c r="A588" s="1" t="s">
        <v>1937</v>
      </c>
      <c r="B588" s="1" t="s">
        <v>1969</v>
      </c>
      <c r="C588" s="1" t="s">
        <v>1970</v>
      </c>
      <c r="D588" s="1">
        <v>11.0</v>
      </c>
      <c r="E588" s="4" t="s">
        <v>1971</v>
      </c>
      <c r="F588" s="1" t="s">
        <v>16</v>
      </c>
      <c r="G588" s="2">
        <v>3.0</v>
      </c>
      <c r="J588" s="1" t="s">
        <v>3269</v>
      </c>
    </row>
    <row r="589">
      <c r="A589" s="1" t="s">
        <v>1937</v>
      </c>
      <c r="B589" s="1" t="s">
        <v>1972</v>
      </c>
      <c r="C589" s="1" t="s">
        <v>1973</v>
      </c>
      <c r="D589" s="1">
        <v>12.0</v>
      </c>
      <c r="E589" s="4" t="s">
        <v>1974</v>
      </c>
      <c r="F589" s="1" t="s">
        <v>16</v>
      </c>
      <c r="G589" s="2">
        <v>3.0</v>
      </c>
      <c r="H589" s="1" t="s">
        <v>336</v>
      </c>
      <c r="I589" s="4" t="s">
        <v>515</v>
      </c>
      <c r="J589" s="1" t="s">
        <v>3754</v>
      </c>
    </row>
    <row r="590">
      <c r="A590" s="1" t="s">
        <v>1937</v>
      </c>
      <c r="B590" s="1" t="s">
        <v>1975</v>
      </c>
      <c r="D590" s="1">
        <v>13.0</v>
      </c>
      <c r="E590" s="4" t="s">
        <v>1976</v>
      </c>
      <c r="F590" s="1" t="s">
        <v>16</v>
      </c>
      <c r="G590" s="2">
        <v>1.0</v>
      </c>
      <c r="H590" s="1" t="s">
        <v>1977</v>
      </c>
      <c r="I590" s="1" t="s">
        <v>1978</v>
      </c>
      <c r="J590" s="1" t="s">
        <v>3755</v>
      </c>
    </row>
    <row r="591">
      <c r="A591" s="1" t="s">
        <v>1937</v>
      </c>
      <c r="B591" s="1" t="s">
        <v>1979</v>
      </c>
      <c r="D591" s="1">
        <v>14.0</v>
      </c>
      <c r="E591" s="4" t="s">
        <v>1980</v>
      </c>
      <c r="F591" s="1" t="s">
        <v>16</v>
      </c>
      <c r="G591" s="2">
        <v>1.0</v>
      </c>
      <c r="J591" s="1" t="s">
        <v>3269</v>
      </c>
    </row>
    <row r="592">
      <c r="A592" s="1" t="s">
        <v>1937</v>
      </c>
      <c r="B592" s="1" t="s">
        <v>1981</v>
      </c>
      <c r="C592" s="1" t="s">
        <v>153</v>
      </c>
      <c r="D592" s="1">
        <v>15.0</v>
      </c>
      <c r="E592" s="4" t="s">
        <v>1982</v>
      </c>
      <c r="F592" s="1" t="s">
        <v>16</v>
      </c>
      <c r="G592" s="2">
        <v>1.0</v>
      </c>
      <c r="H592" s="1" t="s">
        <v>38</v>
      </c>
      <c r="I592" s="4" t="s">
        <v>39</v>
      </c>
      <c r="J592" s="1" t="s">
        <v>3756</v>
      </c>
    </row>
    <row r="593">
      <c r="A593" s="1" t="s">
        <v>1937</v>
      </c>
      <c r="B593" s="1" t="s">
        <v>1983</v>
      </c>
      <c r="C593" s="1" t="s">
        <v>1984</v>
      </c>
      <c r="D593" s="1">
        <v>16.0</v>
      </c>
      <c r="E593" s="4" t="s">
        <v>1985</v>
      </c>
      <c r="F593" s="1" t="s">
        <v>16</v>
      </c>
      <c r="G593" s="2">
        <v>0.0</v>
      </c>
      <c r="H593" s="1" t="s">
        <v>614</v>
      </c>
      <c r="I593" s="4" t="s">
        <v>615</v>
      </c>
      <c r="J593" s="1" t="s">
        <v>3757</v>
      </c>
    </row>
    <row r="594">
      <c r="A594" s="1" t="s">
        <v>1937</v>
      </c>
      <c r="B594" s="1" t="s">
        <v>1986</v>
      </c>
      <c r="C594" s="1" t="s">
        <v>1987</v>
      </c>
      <c r="D594" s="1">
        <v>17.0</v>
      </c>
      <c r="E594" s="4" t="s">
        <v>1988</v>
      </c>
      <c r="F594" s="1" t="s">
        <v>16</v>
      </c>
      <c r="G594" s="2">
        <v>3.0</v>
      </c>
      <c r="J594" s="1" t="s">
        <v>3269</v>
      </c>
    </row>
    <row r="595">
      <c r="A595" s="1" t="s">
        <v>1937</v>
      </c>
      <c r="B595" s="1" t="s">
        <v>1989</v>
      </c>
      <c r="C595" s="1" t="s">
        <v>1987</v>
      </c>
      <c r="D595" s="1">
        <v>18.0</v>
      </c>
      <c r="E595" s="4" t="s">
        <v>1990</v>
      </c>
      <c r="F595" s="1" t="s">
        <v>16</v>
      </c>
      <c r="G595" s="2">
        <v>3.0</v>
      </c>
      <c r="J595" s="1" t="s">
        <v>3269</v>
      </c>
    </row>
    <row r="596">
      <c r="A596" s="1" t="s">
        <v>1937</v>
      </c>
      <c r="B596" s="1" t="s">
        <v>1991</v>
      </c>
      <c r="D596" s="1">
        <v>4.0</v>
      </c>
      <c r="E596" s="4" t="s">
        <v>1992</v>
      </c>
      <c r="F596" s="1" t="s">
        <v>43</v>
      </c>
      <c r="G596" s="2">
        <v>0.0</v>
      </c>
      <c r="H596" s="1" t="s">
        <v>1993</v>
      </c>
      <c r="I596" s="4" t="s">
        <v>1994</v>
      </c>
      <c r="J596" s="1" t="s">
        <v>3758</v>
      </c>
    </row>
    <row r="597">
      <c r="A597" s="1" t="s">
        <v>1937</v>
      </c>
      <c r="B597" s="1" t="s">
        <v>1995</v>
      </c>
      <c r="D597" s="1">
        <v>5.0</v>
      </c>
      <c r="E597" s="4" t="s">
        <v>1996</v>
      </c>
      <c r="F597" s="1" t="s">
        <v>43</v>
      </c>
      <c r="G597" s="2">
        <v>0.0</v>
      </c>
      <c r="H597" s="1" t="s">
        <v>97</v>
      </c>
      <c r="I597" s="4" t="s">
        <v>98</v>
      </c>
      <c r="J597" s="1" t="s">
        <v>3759</v>
      </c>
    </row>
    <row r="598">
      <c r="A598" s="1" t="s">
        <v>1937</v>
      </c>
      <c r="B598" s="1" t="s">
        <v>1997</v>
      </c>
      <c r="C598" s="1" t="s">
        <v>1998</v>
      </c>
      <c r="D598" s="1">
        <v>9.0</v>
      </c>
      <c r="E598" s="4" t="s">
        <v>1999</v>
      </c>
      <c r="F598" s="1" t="s">
        <v>43</v>
      </c>
      <c r="G598" s="2">
        <v>3.0</v>
      </c>
      <c r="H598" s="1" t="s">
        <v>2000</v>
      </c>
      <c r="I598" s="4" t="s">
        <v>2001</v>
      </c>
      <c r="J598" s="1" t="s">
        <v>3760</v>
      </c>
    </row>
    <row r="599">
      <c r="A599" s="1" t="s">
        <v>1937</v>
      </c>
      <c r="B599" s="1" t="s">
        <v>2002</v>
      </c>
      <c r="D599" s="1">
        <v>10.0</v>
      </c>
      <c r="E599" s="4" t="s">
        <v>2003</v>
      </c>
      <c r="F599" s="1" t="s">
        <v>43</v>
      </c>
      <c r="G599" s="2">
        <v>4.0</v>
      </c>
      <c r="H599" s="1" t="s">
        <v>302</v>
      </c>
      <c r="I599" s="4" t="s">
        <v>303</v>
      </c>
      <c r="J599" s="1" t="s">
        <v>3761</v>
      </c>
    </row>
    <row r="600">
      <c r="A600" s="1" t="s">
        <v>1937</v>
      </c>
      <c r="B600" s="1" t="s">
        <v>2004</v>
      </c>
      <c r="D600" s="1">
        <v>11.0</v>
      </c>
      <c r="E600" s="4" t="s">
        <v>2005</v>
      </c>
      <c r="F600" s="1" t="s">
        <v>43</v>
      </c>
      <c r="G600" s="2">
        <v>4.0</v>
      </c>
      <c r="H600" s="1" t="s">
        <v>302</v>
      </c>
      <c r="I600" s="4" t="s">
        <v>303</v>
      </c>
      <c r="J600" s="1" t="s">
        <v>3762</v>
      </c>
    </row>
    <row r="601">
      <c r="A601" s="1" t="s">
        <v>1937</v>
      </c>
      <c r="B601" s="1" t="s">
        <v>1950</v>
      </c>
      <c r="D601" s="1">
        <v>12.0</v>
      </c>
      <c r="E601" s="4" t="s">
        <v>2006</v>
      </c>
      <c r="F601" s="1" t="s">
        <v>43</v>
      </c>
      <c r="G601" s="2">
        <v>1.0</v>
      </c>
      <c r="H601" s="1" t="s">
        <v>38</v>
      </c>
      <c r="I601" s="4" t="s">
        <v>39</v>
      </c>
      <c r="J601" s="1" t="s">
        <v>3763</v>
      </c>
    </row>
    <row r="602">
      <c r="A602" s="1" t="s">
        <v>1937</v>
      </c>
      <c r="B602" s="1" t="s">
        <v>2007</v>
      </c>
      <c r="D602" s="1">
        <v>13.0</v>
      </c>
      <c r="E602" s="4" t="s">
        <v>2008</v>
      </c>
      <c r="F602" s="1" t="s">
        <v>43</v>
      </c>
      <c r="G602" s="2">
        <v>3.0</v>
      </c>
      <c r="H602" s="1" t="s">
        <v>376</v>
      </c>
      <c r="I602" s="4" t="s">
        <v>377</v>
      </c>
      <c r="J602" s="1" t="s">
        <v>3764</v>
      </c>
    </row>
    <row r="603">
      <c r="A603" s="1" t="s">
        <v>1937</v>
      </c>
      <c r="B603" s="1" t="s">
        <v>2009</v>
      </c>
      <c r="C603" s="1" t="s">
        <v>2010</v>
      </c>
      <c r="D603" s="1">
        <v>14.0</v>
      </c>
      <c r="E603" s="4" t="s">
        <v>2011</v>
      </c>
      <c r="F603" s="1" t="s">
        <v>43</v>
      </c>
      <c r="G603" s="2">
        <v>4.0</v>
      </c>
      <c r="H603" s="1" t="s">
        <v>2012</v>
      </c>
      <c r="I603" s="4" t="s">
        <v>2013</v>
      </c>
      <c r="J603" s="1" t="s">
        <v>3765</v>
      </c>
    </row>
    <row r="604">
      <c r="A604" s="1" t="s">
        <v>1937</v>
      </c>
      <c r="B604" s="1" t="s">
        <v>1944</v>
      </c>
      <c r="C604" s="1" t="s">
        <v>2014</v>
      </c>
      <c r="D604" s="1">
        <v>15.0</v>
      </c>
      <c r="E604" s="4" t="s">
        <v>2015</v>
      </c>
      <c r="F604" s="1" t="s">
        <v>43</v>
      </c>
      <c r="G604" s="2">
        <v>2.0</v>
      </c>
      <c r="H604" s="1" t="s">
        <v>273</v>
      </c>
      <c r="I604" s="4" t="s">
        <v>476</v>
      </c>
      <c r="J604" s="1" t="s">
        <v>3766</v>
      </c>
    </row>
    <row r="605">
      <c r="A605" s="1" t="s">
        <v>1937</v>
      </c>
      <c r="B605" s="1" t="s">
        <v>2016</v>
      </c>
      <c r="C605" s="1" t="s">
        <v>2017</v>
      </c>
      <c r="D605" s="1">
        <v>16.0</v>
      </c>
      <c r="E605" s="4" t="s">
        <v>2018</v>
      </c>
      <c r="F605" s="1" t="s">
        <v>43</v>
      </c>
      <c r="G605" s="2">
        <v>0.0</v>
      </c>
      <c r="H605" s="1" t="s">
        <v>2019</v>
      </c>
      <c r="I605" s="4" t="s">
        <v>2020</v>
      </c>
      <c r="J605" s="1" t="s">
        <v>3767</v>
      </c>
    </row>
    <row r="606">
      <c r="A606" s="1" t="s">
        <v>1937</v>
      </c>
      <c r="B606" s="1" t="s">
        <v>2021</v>
      </c>
      <c r="D606" s="1">
        <v>18.0</v>
      </c>
      <c r="E606" s="4" t="s">
        <v>2022</v>
      </c>
      <c r="F606" s="1" t="s">
        <v>43</v>
      </c>
      <c r="G606" s="2">
        <v>1.0</v>
      </c>
      <c r="H606" s="1" t="s">
        <v>2023</v>
      </c>
      <c r="I606" s="4" t="s">
        <v>2024</v>
      </c>
      <c r="J606" s="1" t="s">
        <v>3768</v>
      </c>
    </row>
    <row r="607">
      <c r="A607" s="1" t="s">
        <v>1937</v>
      </c>
      <c r="B607" s="1" t="s">
        <v>2025</v>
      </c>
      <c r="D607" s="1">
        <v>26.0</v>
      </c>
      <c r="E607" s="4" t="s">
        <v>2026</v>
      </c>
      <c r="F607" s="1" t="s">
        <v>43</v>
      </c>
      <c r="G607" s="2">
        <v>3.0</v>
      </c>
      <c r="H607" s="1" t="s">
        <v>302</v>
      </c>
      <c r="I607" s="4" t="s">
        <v>303</v>
      </c>
      <c r="J607" s="1" t="s">
        <v>3769</v>
      </c>
    </row>
    <row r="608">
      <c r="A608" s="1" t="s">
        <v>1937</v>
      </c>
      <c r="B608" s="1" t="s">
        <v>2004</v>
      </c>
      <c r="D608" s="1">
        <v>28.0</v>
      </c>
      <c r="E608" s="4" t="s">
        <v>2027</v>
      </c>
      <c r="F608" s="1" t="s">
        <v>43</v>
      </c>
      <c r="G608" s="2">
        <v>3.0</v>
      </c>
      <c r="H608" s="1" t="s">
        <v>302</v>
      </c>
      <c r="I608" s="4" t="s">
        <v>303</v>
      </c>
      <c r="J608" s="1" t="s">
        <v>3762</v>
      </c>
    </row>
    <row r="609">
      <c r="A609" s="1" t="s">
        <v>1937</v>
      </c>
      <c r="B609" s="1" t="s">
        <v>2028</v>
      </c>
      <c r="D609" s="1">
        <v>30.0</v>
      </c>
      <c r="E609" s="4" t="s">
        <v>2029</v>
      </c>
      <c r="F609" s="1" t="s">
        <v>43</v>
      </c>
      <c r="G609" s="2">
        <v>3.0</v>
      </c>
      <c r="H609" s="1" t="s">
        <v>302</v>
      </c>
      <c r="I609" s="4" t="s">
        <v>303</v>
      </c>
      <c r="J609" s="1" t="s">
        <v>3770</v>
      </c>
    </row>
    <row r="610">
      <c r="A610" s="1" t="s">
        <v>1937</v>
      </c>
      <c r="B610" s="4" t="s">
        <v>2030</v>
      </c>
      <c r="C610" s="1" t="s">
        <v>2031</v>
      </c>
      <c r="D610" s="1">
        <v>33.0</v>
      </c>
      <c r="E610" s="4" t="s">
        <v>2032</v>
      </c>
      <c r="F610" s="1" t="s">
        <v>43</v>
      </c>
      <c r="G610" s="2">
        <v>1.0</v>
      </c>
      <c r="H610" s="1" t="s">
        <v>1118</v>
      </c>
      <c r="I610" s="4" t="s">
        <v>1119</v>
      </c>
      <c r="J610" s="1" t="s">
        <v>3771</v>
      </c>
    </row>
    <row r="611">
      <c r="A611" s="1" t="s">
        <v>2033</v>
      </c>
      <c r="B611" s="1" t="s">
        <v>2034</v>
      </c>
      <c r="C611" s="1" t="s">
        <v>2035</v>
      </c>
      <c r="D611" s="1">
        <v>1.0</v>
      </c>
      <c r="E611" s="4" t="s">
        <v>2036</v>
      </c>
      <c r="F611" s="1" t="s">
        <v>43</v>
      </c>
      <c r="G611" s="2">
        <v>2.0</v>
      </c>
      <c r="H611" s="1" t="s">
        <v>1728</v>
      </c>
      <c r="I611" s="4" t="s">
        <v>1729</v>
      </c>
      <c r="J611" s="1" t="s">
        <v>3772</v>
      </c>
    </row>
    <row r="612">
      <c r="A612" s="1" t="s">
        <v>2033</v>
      </c>
      <c r="B612" s="1" t="s">
        <v>2037</v>
      </c>
      <c r="C612" s="1" t="s">
        <v>2038</v>
      </c>
      <c r="D612" s="1">
        <v>2.0</v>
      </c>
      <c r="E612" s="4" t="s">
        <v>2039</v>
      </c>
      <c r="F612" s="1" t="s">
        <v>43</v>
      </c>
      <c r="G612" s="2">
        <v>2.0</v>
      </c>
      <c r="H612" s="1" t="s">
        <v>2040</v>
      </c>
      <c r="I612" s="4" t="s">
        <v>2041</v>
      </c>
      <c r="J612" s="1" t="s">
        <v>3773</v>
      </c>
    </row>
    <row r="613">
      <c r="A613" s="1" t="s">
        <v>2033</v>
      </c>
      <c r="B613" s="1" t="s">
        <v>2042</v>
      </c>
      <c r="C613" s="1" t="s">
        <v>2043</v>
      </c>
      <c r="D613" s="1">
        <v>3.0</v>
      </c>
      <c r="E613" s="4" t="s">
        <v>2044</v>
      </c>
      <c r="F613" s="1" t="s">
        <v>43</v>
      </c>
      <c r="G613" s="2">
        <v>2.0</v>
      </c>
      <c r="H613" s="1" t="s">
        <v>2045</v>
      </c>
      <c r="I613" s="4" t="s">
        <v>2046</v>
      </c>
      <c r="J613" s="1" t="s">
        <v>3774</v>
      </c>
    </row>
    <row r="614">
      <c r="A614" s="1" t="s">
        <v>2033</v>
      </c>
      <c r="B614" s="1" t="s">
        <v>2047</v>
      </c>
      <c r="C614" s="1" t="s">
        <v>2048</v>
      </c>
      <c r="D614" s="1">
        <v>4.0</v>
      </c>
      <c r="E614" s="4" t="s">
        <v>2049</v>
      </c>
      <c r="F614" s="1" t="s">
        <v>43</v>
      </c>
      <c r="G614" s="2">
        <v>1.0</v>
      </c>
      <c r="H614" s="1" t="s">
        <v>1728</v>
      </c>
      <c r="I614" s="4" t="s">
        <v>1729</v>
      </c>
      <c r="J614" s="1" t="s">
        <v>3775</v>
      </c>
    </row>
    <row r="615">
      <c r="A615" s="1" t="s">
        <v>2033</v>
      </c>
      <c r="B615" s="1" t="s">
        <v>2050</v>
      </c>
      <c r="C615" s="1" t="s">
        <v>2051</v>
      </c>
      <c r="D615" s="1">
        <v>5.0</v>
      </c>
      <c r="E615" s="4" t="s">
        <v>2052</v>
      </c>
      <c r="F615" s="1" t="s">
        <v>43</v>
      </c>
      <c r="G615" s="2">
        <v>1.0</v>
      </c>
      <c r="H615" s="1" t="s">
        <v>2053</v>
      </c>
      <c r="I615" s="1" t="s">
        <v>2054</v>
      </c>
      <c r="J615" s="1" t="s">
        <v>3776</v>
      </c>
    </row>
    <row r="616">
      <c r="A616" s="1" t="s">
        <v>2033</v>
      </c>
      <c r="B616" s="1" t="s">
        <v>2055</v>
      </c>
      <c r="C616" s="1" t="s">
        <v>2056</v>
      </c>
      <c r="D616" s="1">
        <v>6.0</v>
      </c>
      <c r="E616" s="4" t="s">
        <v>2057</v>
      </c>
      <c r="F616" s="1" t="s">
        <v>43</v>
      </c>
      <c r="G616" s="2">
        <v>1.0</v>
      </c>
      <c r="J616" s="1" t="s">
        <v>3269</v>
      </c>
    </row>
    <row r="617">
      <c r="A617" s="1" t="s">
        <v>2033</v>
      </c>
      <c r="B617" s="1" t="s">
        <v>2058</v>
      </c>
      <c r="C617" s="1" t="s">
        <v>2059</v>
      </c>
      <c r="D617" s="1">
        <v>7.0</v>
      </c>
      <c r="E617" s="4" t="s">
        <v>2060</v>
      </c>
      <c r="F617" s="1" t="s">
        <v>43</v>
      </c>
      <c r="G617" s="2">
        <v>1.0</v>
      </c>
      <c r="H617" s="1" t="s">
        <v>359</v>
      </c>
      <c r="I617" s="4" t="s">
        <v>360</v>
      </c>
      <c r="J617" s="1" t="s">
        <v>3777</v>
      </c>
    </row>
    <row r="618">
      <c r="A618" s="1" t="s">
        <v>2033</v>
      </c>
      <c r="B618" s="1" t="s">
        <v>2061</v>
      </c>
      <c r="C618" s="1" t="s">
        <v>2062</v>
      </c>
      <c r="D618" s="1">
        <v>8.0</v>
      </c>
      <c r="E618" s="4" t="s">
        <v>2063</v>
      </c>
      <c r="F618" s="1" t="s">
        <v>43</v>
      </c>
      <c r="G618" s="2">
        <v>1.0</v>
      </c>
      <c r="J618" s="1" t="s">
        <v>3269</v>
      </c>
    </row>
    <row r="619">
      <c r="A619" s="1" t="s">
        <v>2033</v>
      </c>
      <c r="B619" s="1" t="s">
        <v>2064</v>
      </c>
      <c r="C619" s="1" t="s">
        <v>2048</v>
      </c>
      <c r="D619" s="1">
        <v>9.0</v>
      </c>
      <c r="E619" s="4" t="s">
        <v>2065</v>
      </c>
      <c r="F619" s="1" t="s">
        <v>43</v>
      </c>
      <c r="G619" s="2">
        <v>2.0</v>
      </c>
      <c r="H619" s="1" t="s">
        <v>2066</v>
      </c>
      <c r="I619" s="4" t="s">
        <v>2067</v>
      </c>
      <c r="J619" s="1" t="s">
        <v>3778</v>
      </c>
    </row>
    <row r="620">
      <c r="A620" s="1" t="s">
        <v>2033</v>
      </c>
      <c r="B620" s="1" t="s">
        <v>2068</v>
      </c>
      <c r="C620" s="1" t="s">
        <v>2069</v>
      </c>
      <c r="D620" s="1">
        <v>10.0</v>
      </c>
      <c r="E620" s="4" t="s">
        <v>2070</v>
      </c>
      <c r="F620" s="1" t="s">
        <v>43</v>
      </c>
      <c r="G620" s="2">
        <v>1.0</v>
      </c>
      <c r="H620" s="1" t="s">
        <v>2071</v>
      </c>
      <c r="I620" s="4" t="s">
        <v>2072</v>
      </c>
      <c r="J620" s="1" t="s">
        <v>3779</v>
      </c>
    </row>
    <row r="621">
      <c r="A621" s="1" t="s">
        <v>2033</v>
      </c>
      <c r="B621" s="1" t="s">
        <v>2073</v>
      </c>
      <c r="C621" s="1" t="s">
        <v>2048</v>
      </c>
      <c r="D621" s="1">
        <v>11.0</v>
      </c>
      <c r="E621" s="4" t="s">
        <v>2074</v>
      </c>
      <c r="F621" s="1" t="s">
        <v>43</v>
      </c>
      <c r="G621" s="2">
        <v>2.0</v>
      </c>
      <c r="H621" s="1" t="s">
        <v>2075</v>
      </c>
      <c r="I621" s="4" t="s">
        <v>2076</v>
      </c>
      <c r="J621" s="1" t="s">
        <v>3780</v>
      </c>
    </row>
    <row r="622">
      <c r="A622" s="1" t="s">
        <v>2033</v>
      </c>
      <c r="B622" s="1" t="s">
        <v>2077</v>
      </c>
      <c r="C622" s="1" t="s">
        <v>2078</v>
      </c>
      <c r="D622" s="1">
        <v>12.0</v>
      </c>
      <c r="E622" s="4" t="s">
        <v>2079</v>
      </c>
      <c r="F622" s="1" t="s">
        <v>43</v>
      </c>
      <c r="G622" s="2">
        <v>1.0</v>
      </c>
      <c r="H622" s="1" t="s">
        <v>2080</v>
      </c>
      <c r="I622" s="4" t="s">
        <v>2081</v>
      </c>
      <c r="J622" s="1" t="s">
        <v>3781</v>
      </c>
    </row>
    <row r="623">
      <c r="A623" s="1" t="s">
        <v>2033</v>
      </c>
      <c r="B623" s="1" t="s">
        <v>2082</v>
      </c>
      <c r="C623" s="1" t="s">
        <v>2083</v>
      </c>
      <c r="D623" s="1">
        <v>13.0</v>
      </c>
      <c r="E623" s="4" t="s">
        <v>2084</v>
      </c>
      <c r="F623" s="1" t="s">
        <v>43</v>
      </c>
      <c r="G623" s="2">
        <v>2.0</v>
      </c>
      <c r="H623" s="1" t="s">
        <v>2085</v>
      </c>
      <c r="I623" s="4" t="s">
        <v>2086</v>
      </c>
      <c r="J623" s="1" t="s">
        <v>3782</v>
      </c>
    </row>
    <row r="624">
      <c r="A624" s="1" t="s">
        <v>2033</v>
      </c>
      <c r="B624" s="1" t="s">
        <v>2087</v>
      </c>
      <c r="C624" s="1" t="s">
        <v>2048</v>
      </c>
      <c r="D624" s="1">
        <v>14.0</v>
      </c>
      <c r="E624" s="4" t="s">
        <v>2088</v>
      </c>
      <c r="F624" s="1" t="s">
        <v>43</v>
      </c>
      <c r="G624" s="2">
        <v>1.0</v>
      </c>
      <c r="J624" s="1" t="s">
        <v>3269</v>
      </c>
    </row>
    <row r="625">
      <c r="A625" s="1" t="s">
        <v>2033</v>
      </c>
      <c r="B625" s="1" t="s">
        <v>2089</v>
      </c>
      <c r="C625" s="1" t="s">
        <v>2090</v>
      </c>
      <c r="D625" s="1">
        <v>15.0</v>
      </c>
      <c r="E625" s="4" t="s">
        <v>2091</v>
      </c>
      <c r="F625" s="1" t="s">
        <v>43</v>
      </c>
      <c r="G625" s="2">
        <v>1.0</v>
      </c>
      <c r="H625" s="1" t="s">
        <v>2092</v>
      </c>
      <c r="I625" s="4" t="s">
        <v>2093</v>
      </c>
      <c r="J625" s="1" t="s">
        <v>3783</v>
      </c>
    </row>
    <row r="626">
      <c r="A626" s="1" t="s">
        <v>2033</v>
      </c>
      <c r="B626" s="1" t="s">
        <v>2094</v>
      </c>
      <c r="C626" s="1" t="s">
        <v>2095</v>
      </c>
      <c r="D626" s="1">
        <v>16.0</v>
      </c>
      <c r="E626" s="4" t="s">
        <v>2096</v>
      </c>
      <c r="F626" s="1" t="s">
        <v>43</v>
      </c>
      <c r="G626" s="2">
        <v>2.0</v>
      </c>
      <c r="J626" s="1" t="s">
        <v>3269</v>
      </c>
    </row>
    <row r="627">
      <c r="A627" s="1" t="s">
        <v>2033</v>
      </c>
      <c r="B627" s="1" t="s">
        <v>2097</v>
      </c>
      <c r="C627" s="1" t="s">
        <v>2098</v>
      </c>
      <c r="D627" s="1">
        <v>17.0</v>
      </c>
      <c r="E627" s="4" t="s">
        <v>2099</v>
      </c>
      <c r="F627" s="1" t="s">
        <v>43</v>
      </c>
      <c r="G627" s="2">
        <v>1.0</v>
      </c>
      <c r="J627" s="1" t="s">
        <v>3269</v>
      </c>
    </row>
    <row r="628">
      <c r="A628" s="1" t="s">
        <v>2033</v>
      </c>
      <c r="B628" s="1" t="s">
        <v>2100</v>
      </c>
      <c r="C628" s="1" t="s">
        <v>2101</v>
      </c>
      <c r="D628" s="1">
        <v>18.0</v>
      </c>
      <c r="E628" s="4" t="s">
        <v>2102</v>
      </c>
      <c r="F628" s="1" t="s">
        <v>43</v>
      </c>
      <c r="G628" s="2">
        <v>2.0</v>
      </c>
      <c r="H628" s="1" t="s">
        <v>2103</v>
      </c>
      <c r="I628" s="4" t="s">
        <v>2104</v>
      </c>
      <c r="J628" s="1" t="s">
        <v>3784</v>
      </c>
    </row>
    <row r="629">
      <c r="A629" s="1" t="s">
        <v>2033</v>
      </c>
      <c r="B629" s="1" t="s">
        <v>2105</v>
      </c>
      <c r="C629" s="1" t="s">
        <v>2106</v>
      </c>
      <c r="D629" s="1">
        <v>19.0</v>
      </c>
      <c r="E629" s="4" t="s">
        <v>2107</v>
      </c>
      <c r="F629" s="1" t="s">
        <v>43</v>
      </c>
      <c r="G629" s="2">
        <v>1.0</v>
      </c>
      <c r="H629" s="1" t="s">
        <v>2108</v>
      </c>
      <c r="I629" s="4" t="s">
        <v>2109</v>
      </c>
      <c r="J629" s="1" t="s">
        <v>3785</v>
      </c>
    </row>
    <row r="630">
      <c r="A630" s="1" t="s">
        <v>2033</v>
      </c>
      <c r="B630" s="1" t="s">
        <v>2110</v>
      </c>
      <c r="C630" s="1" t="s">
        <v>2111</v>
      </c>
      <c r="D630" s="1">
        <v>20.0</v>
      </c>
      <c r="E630" s="4" t="s">
        <v>2112</v>
      </c>
      <c r="F630" s="1" t="s">
        <v>43</v>
      </c>
      <c r="G630" s="2">
        <v>1.0</v>
      </c>
      <c r="H630" s="1" t="s">
        <v>2113</v>
      </c>
      <c r="I630" s="4" t="s">
        <v>2114</v>
      </c>
      <c r="J630" s="1" t="s">
        <v>3786</v>
      </c>
    </row>
    <row r="631">
      <c r="A631" s="1" t="s">
        <v>2115</v>
      </c>
      <c r="B631" s="1" t="s">
        <v>1084</v>
      </c>
      <c r="C631" s="1" t="s">
        <v>1085</v>
      </c>
      <c r="D631" s="1">
        <v>1.0</v>
      </c>
      <c r="E631" s="4" t="s">
        <v>1086</v>
      </c>
      <c r="F631" s="1" t="s">
        <v>43</v>
      </c>
      <c r="G631" s="2">
        <v>0.0</v>
      </c>
      <c r="H631" s="1" t="s">
        <v>1087</v>
      </c>
      <c r="I631" s="4" t="s">
        <v>1088</v>
      </c>
      <c r="J631" s="1" t="s">
        <v>3787</v>
      </c>
    </row>
    <row r="632">
      <c r="A632" s="1" t="s">
        <v>2115</v>
      </c>
      <c r="B632" s="1" t="s">
        <v>2116</v>
      </c>
      <c r="C632" s="1" t="s">
        <v>2117</v>
      </c>
      <c r="D632" s="1">
        <v>2.0</v>
      </c>
      <c r="E632" s="4" t="s">
        <v>2118</v>
      </c>
      <c r="F632" s="1" t="s">
        <v>43</v>
      </c>
      <c r="G632" s="2">
        <v>0.0</v>
      </c>
      <c r="H632" s="1" t="s">
        <v>336</v>
      </c>
      <c r="I632" s="4" t="s">
        <v>2119</v>
      </c>
      <c r="J632" s="1" t="s">
        <v>3788</v>
      </c>
    </row>
    <row r="633">
      <c r="A633" s="1" t="s">
        <v>2115</v>
      </c>
      <c r="B633" s="1" t="s">
        <v>2120</v>
      </c>
      <c r="C633" s="1" t="s">
        <v>2121</v>
      </c>
      <c r="D633" s="1">
        <v>3.0</v>
      </c>
      <c r="E633" s="4" t="s">
        <v>2122</v>
      </c>
      <c r="F633" s="1" t="s">
        <v>43</v>
      </c>
      <c r="G633" s="2">
        <v>2.0</v>
      </c>
      <c r="H633" s="1" t="s">
        <v>2123</v>
      </c>
      <c r="I633" s="4" t="s">
        <v>2124</v>
      </c>
      <c r="J633" s="1" t="s">
        <v>3789</v>
      </c>
    </row>
    <row r="634">
      <c r="A634" s="1" t="s">
        <v>2115</v>
      </c>
      <c r="B634" s="1" t="s">
        <v>2125</v>
      </c>
      <c r="D634" s="1">
        <v>4.0</v>
      </c>
      <c r="E634" s="4" t="s">
        <v>2126</v>
      </c>
      <c r="F634" s="1" t="s">
        <v>43</v>
      </c>
      <c r="G634" s="2">
        <v>0.0</v>
      </c>
      <c r="J634" s="1" t="s">
        <v>3269</v>
      </c>
    </row>
    <row r="635">
      <c r="A635" s="1" t="s">
        <v>2115</v>
      </c>
      <c r="B635" s="1" t="s">
        <v>2127</v>
      </c>
      <c r="C635" s="1" t="s">
        <v>2128</v>
      </c>
      <c r="D635" s="1">
        <v>5.0</v>
      </c>
      <c r="E635" s="4" t="s">
        <v>2129</v>
      </c>
      <c r="F635" s="1" t="s">
        <v>43</v>
      </c>
      <c r="G635" s="2">
        <v>0.0</v>
      </c>
      <c r="J635" s="1" t="s">
        <v>3269</v>
      </c>
    </row>
    <row r="636">
      <c r="A636" s="1" t="s">
        <v>2115</v>
      </c>
      <c r="B636" s="1" t="s">
        <v>2130</v>
      </c>
      <c r="C636" s="1" t="s">
        <v>2131</v>
      </c>
      <c r="D636" s="1">
        <v>6.0</v>
      </c>
      <c r="E636" s="4" t="s">
        <v>2132</v>
      </c>
      <c r="F636" s="1" t="s">
        <v>43</v>
      </c>
      <c r="G636" s="2">
        <v>0.0</v>
      </c>
      <c r="H636" s="1" t="s">
        <v>2133</v>
      </c>
      <c r="I636" s="4" t="s">
        <v>2134</v>
      </c>
      <c r="J636" s="1" t="s">
        <v>3790</v>
      </c>
    </row>
    <row r="637">
      <c r="A637" s="1" t="s">
        <v>2115</v>
      </c>
      <c r="B637" s="1" t="s">
        <v>2135</v>
      </c>
      <c r="C637" s="1" t="s">
        <v>2136</v>
      </c>
      <c r="D637" s="1">
        <v>7.0</v>
      </c>
      <c r="E637" s="4" t="s">
        <v>2137</v>
      </c>
      <c r="F637" s="1" t="s">
        <v>43</v>
      </c>
      <c r="G637" s="2">
        <v>1.0</v>
      </c>
      <c r="H637" s="1" t="s">
        <v>120</v>
      </c>
      <c r="I637" s="4" t="s">
        <v>121</v>
      </c>
      <c r="J637" s="1" t="s">
        <v>3791</v>
      </c>
    </row>
    <row r="638">
      <c r="A638" s="1" t="s">
        <v>2115</v>
      </c>
      <c r="B638" s="1" t="s">
        <v>2138</v>
      </c>
      <c r="C638" s="1" t="s">
        <v>2139</v>
      </c>
      <c r="D638" s="1">
        <v>8.0</v>
      </c>
      <c r="E638" s="4" t="s">
        <v>2140</v>
      </c>
      <c r="F638" s="1" t="s">
        <v>43</v>
      </c>
      <c r="G638" s="2">
        <v>2.0</v>
      </c>
      <c r="H638" s="1" t="s">
        <v>2141</v>
      </c>
      <c r="I638" s="4" t="s">
        <v>2142</v>
      </c>
      <c r="J638" s="1" t="s">
        <v>3792</v>
      </c>
    </row>
    <row r="639">
      <c r="A639" s="1" t="s">
        <v>2115</v>
      </c>
      <c r="B639" s="1" t="s">
        <v>2143</v>
      </c>
      <c r="C639" s="1" t="s">
        <v>2144</v>
      </c>
      <c r="D639" s="1">
        <v>9.0</v>
      </c>
      <c r="E639" s="4" t="s">
        <v>2145</v>
      </c>
      <c r="F639" s="1" t="s">
        <v>43</v>
      </c>
      <c r="G639" s="2">
        <v>2.0</v>
      </c>
      <c r="H639" s="1" t="s">
        <v>97</v>
      </c>
      <c r="I639" s="4" t="s">
        <v>98</v>
      </c>
      <c r="J639" s="1" t="s">
        <v>3793</v>
      </c>
    </row>
    <row r="640">
      <c r="A640" s="1" t="s">
        <v>2115</v>
      </c>
      <c r="B640" s="1" t="s">
        <v>2146</v>
      </c>
      <c r="C640" s="1" t="s">
        <v>2147</v>
      </c>
      <c r="D640" s="1">
        <v>10.0</v>
      </c>
      <c r="E640" s="4" t="s">
        <v>2148</v>
      </c>
      <c r="F640" s="1" t="s">
        <v>43</v>
      </c>
      <c r="G640" s="2">
        <v>2.0</v>
      </c>
      <c r="H640" s="1" t="s">
        <v>31</v>
      </c>
      <c r="I640" s="4" t="s">
        <v>32</v>
      </c>
      <c r="J640" s="1" t="s">
        <v>3794</v>
      </c>
    </row>
    <row r="641">
      <c r="A641" s="1" t="s">
        <v>2115</v>
      </c>
      <c r="B641" s="1" t="s">
        <v>2149</v>
      </c>
      <c r="C641" s="1" t="s">
        <v>2150</v>
      </c>
      <c r="D641" s="1">
        <v>11.0</v>
      </c>
      <c r="E641" s="4" t="s">
        <v>2151</v>
      </c>
      <c r="F641" s="1" t="s">
        <v>43</v>
      </c>
      <c r="G641" s="2">
        <v>2.0</v>
      </c>
      <c r="J641" s="1" t="s">
        <v>3269</v>
      </c>
    </row>
    <row r="642">
      <c r="A642" s="1" t="s">
        <v>2115</v>
      </c>
      <c r="B642" s="1" t="s">
        <v>2115</v>
      </c>
      <c r="C642" s="1" t="s">
        <v>2152</v>
      </c>
      <c r="D642" s="1">
        <v>12.0</v>
      </c>
      <c r="E642" s="4" t="s">
        <v>2153</v>
      </c>
      <c r="F642" s="1" t="s">
        <v>43</v>
      </c>
      <c r="G642" s="2">
        <v>1.0</v>
      </c>
      <c r="H642" s="1" t="s">
        <v>2154</v>
      </c>
      <c r="I642" s="4" t="s">
        <v>2155</v>
      </c>
      <c r="J642" s="1" t="s">
        <v>3795</v>
      </c>
    </row>
    <row r="643">
      <c r="A643" s="1" t="s">
        <v>2115</v>
      </c>
      <c r="B643" s="1" t="s">
        <v>2156</v>
      </c>
      <c r="D643" s="1">
        <v>13.0</v>
      </c>
      <c r="E643" s="4" t="s">
        <v>2157</v>
      </c>
      <c r="F643" s="1" t="s">
        <v>43</v>
      </c>
      <c r="G643" s="2">
        <v>0.0</v>
      </c>
      <c r="H643" s="1" t="s">
        <v>2158</v>
      </c>
      <c r="I643" s="4" t="s">
        <v>2159</v>
      </c>
      <c r="J643" s="1" t="s">
        <v>3796</v>
      </c>
    </row>
    <row r="644">
      <c r="A644" s="1" t="s">
        <v>2115</v>
      </c>
      <c r="B644" s="1" t="s">
        <v>2160</v>
      </c>
      <c r="C644" s="1" t="s">
        <v>2161</v>
      </c>
      <c r="D644" s="1">
        <v>14.0</v>
      </c>
      <c r="E644" s="4" t="s">
        <v>2162</v>
      </c>
      <c r="F644" s="1" t="s">
        <v>43</v>
      </c>
      <c r="G644" s="2">
        <v>1.0</v>
      </c>
      <c r="H644" s="1" t="s">
        <v>1302</v>
      </c>
      <c r="I644" s="4" t="s">
        <v>1303</v>
      </c>
      <c r="J644" s="1" t="s">
        <v>3797</v>
      </c>
    </row>
    <row r="645">
      <c r="A645" s="1" t="s">
        <v>2115</v>
      </c>
      <c r="B645" s="1" t="s">
        <v>2163</v>
      </c>
      <c r="C645" s="1" t="s">
        <v>2164</v>
      </c>
      <c r="D645" s="1">
        <v>15.0</v>
      </c>
      <c r="E645" s="4" t="s">
        <v>2165</v>
      </c>
      <c r="F645" s="1" t="s">
        <v>43</v>
      </c>
      <c r="G645" s="2">
        <v>2.0</v>
      </c>
      <c r="H645" s="1" t="s">
        <v>2166</v>
      </c>
      <c r="I645" s="4" t="s">
        <v>2167</v>
      </c>
      <c r="J645" s="1" t="s">
        <v>3798</v>
      </c>
    </row>
    <row r="646">
      <c r="A646" s="1" t="s">
        <v>2115</v>
      </c>
      <c r="B646" s="1" t="s">
        <v>2168</v>
      </c>
      <c r="C646" s="1" t="s">
        <v>2169</v>
      </c>
      <c r="D646" s="1">
        <v>16.0</v>
      </c>
      <c r="E646" s="4" t="s">
        <v>2170</v>
      </c>
      <c r="F646" s="1" t="s">
        <v>43</v>
      </c>
      <c r="G646" s="2">
        <v>2.0</v>
      </c>
      <c r="H646" s="1" t="s">
        <v>216</v>
      </c>
      <c r="I646" s="4" t="s">
        <v>217</v>
      </c>
      <c r="J646" s="1" t="s">
        <v>3799</v>
      </c>
    </row>
    <row r="647">
      <c r="A647" s="1" t="s">
        <v>2115</v>
      </c>
      <c r="B647" s="1" t="s">
        <v>2171</v>
      </c>
      <c r="C647" s="1" t="s">
        <v>2172</v>
      </c>
      <c r="D647" s="1">
        <v>17.0</v>
      </c>
      <c r="E647" s="4" t="s">
        <v>2173</v>
      </c>
      <c r="F647" s="1" t="s">
        <v>43</v>
      </c>
      <c r="G647" s="2">
        <v>3.0</v>
      </c>
      <c r="H647" s="1" t="s">
        <v>2174</v>
      </c>
      <c r="I647" s="4" t="s">
        <v>2175</v>
      </c>
      <c r="J647" s="1" t="s">
        <v>3800</v>
      </c>
    </row>
    <row r="648">
      <c r="A648" s="1" t="s">
        <v>2115</v>
      </c>
      <c r="B648" s="1" t="s">
        <v>2176</v>
      </c>
      <c r="C648" s="1" t="s">
        <v>179</v>
      </c>
      <c r="D648" s="1">
        <v>18.0</v>
      </c>
      <c r="E648" s="4" t="s">
        <v>2177</v>
      </c>
      <c r="F648" s="1" t="s">
        <v>43</v>
      </c>
      <c r="G648" s="2">
        <v>3.0</v>
      </c>
      <c r="H648" s="1" t="s">
        <v>2178</v>
      </c>
      <c r="I648" s="4" t="s">
        <v>2179</v>
      </c>
      <c r="J648" s="1" t="s">
        <v>3801</v>
      </c>
    </row>
    <row r="649">
      <c r="A649" s="1" t="s">
        <v>2180</v>
      </c>
      <c r="B649" s="1" t="s">
        <v>1084</v>
      </c>
      <c r="D649" s="1">
        <v>1.0</v>
      </c>
      <c r="E649" s="4" t="s">
        <v>1086</v>
      </c>
      <c r="F649" s="1" t="s">
        <v>16</v>
      </c>
      <c r="G649" s="2">
        <v>0.0</v>
      </c>
      <c r="H649" s="1" t="s">
        <v>1087</v>
      </c>
      <c r="I649" s="4" t="s">
        <v>1088</v>
      </c>
      <c r="J649" s="1" t="s">
        <v>3802</v>
      </c>
    </row>
    <row r="650">
      <c r="A650" s="1" t="s">
        <v>2180</v>
      </c>
      <c r="B650" s="1" t="s">
        <v>2181</v>
      </c>
      <c r="C650" s="1" t="s">
        <v>2117</v>
      </c>
      <c r="D650" s="1">
        <v>2.0</v>
      </c>
      <c r="E650" s="4" t="s">
        <v>2118</v>
      </c>
      <c r="F650" s="1" t="s">
        <v>16</v>
      </c>
      <c r="G650" s="2">
        <v>0.0</v>
      </c>
      <c r="H650" s="1" t="s">
        <v>336</v>
      </c>
      <c r="I650" s="4" t="s">
        <v>2119</v>
      </c>
      <c r="J650" s="1" t="s">
        <v>3803</v>
      </c>
    </row>
    <row r="651">
      <c r="A651" s="1" t="s">
        <v>2180</v>
      </c>
      <c r="B651" s="1" t="s">
        <v>2120</v>
      </c>
      <c r="C651" s="1" t="s">
        <v>2182</v>
      </c>
      <c r="D651" s="1">
        <v>3.0</v>
      </c>
      <c r="E651" s="4" t="s">
        <v>2122</v>
      </c>
      <c r="F651" s="1" t="s">
        <v>16</v>
      </c>
      <c r="G651" s="2">
        <v>0.0</v>
      </c>
      <c r="H651" s="1" t="s">
        <v>2123</v>
      </c>
      <c r="I651" s="4" t="s">
        <v>2124</v>
      </c>
      <c r="J651" s="1" t="s">
        <v>3804</v>
      </c>
    </row>
    <row r="652">
      <c r="A652" s="1" t="s">
        <v>2180</v>
      </c>
      <c r="B652" s="1" t="s">
        <v>2125</v>
      </c>
      <c r="C652" s="1" t="s">
        <v>2183</v>
      </c>
      <c r="D652" s="1">
        <v>4.0</v>
      </c>
      <c r="E652" s="4" t="s">
        <v>2126</v>
      </c>
      <c r="F652" s="1" t="s">
        <v>16</v>
      </c>
      <c r="G652" s="2">
        <v>0.0</v>
      </c>
      <c r="J652" s="1" t="s">
        <v>3269</v>
      </c>
    </row>
    <row r="653">
      <c r="A653" s="1" t="s">
        <v>2180</v>
      </c>
      <c r="B653" s="1" t="s">
        <v>2120</v>
      </c>
      <c r="C653" s="1" t="s">
        <v>2184</v>
      </c>
      <c r="D653" s="1">
        <v>5.0</v>
      </c>
      <c r="E653" s="4" t="s">
        <v>2185</v>
      </c>
      <c r="F653" s="1" t="s">
        <v>16</v>
      </c>
      <c r="G653" s="2">
        <v>0.0</v>
      </c>
      <c r="H653" s="1" t="s">
        <v>2123</v>
      </c>
      <c r="I653" s="4" t="s">
        <v>2124</v>
      </c>
      <c r="J653" s="1" t="s">
        <v>3805</v>
      </c>
    </row>
    <row r="654">
      <c r="A654" s="1" t="s">
        <v>2180</v>
      </c>
      <c r="B654" s="1" t="s">
        <v>2186</v>
      </c>
      <c r="D654" s="1">
        <v>6.0</v>
      </c>
      <c r="E654" s="4" t="s">
        <v>2187</v>
      </c>
      <c r="F654" s="1" t="s">
        <v>16</v>
      </c>
      <c r="G654" s="2">
        <v>2.0</v>
      </c>
      <c r="H654" s="1" t="s">
        <v>120</v>
      </c>
      <c r="I654" s="4" t="s">
        <v>121</v>
      </c>
      <c r="J654" s="1" t="s">
        <v>3806</v>
      </c>
    </row>
    <row r="655">
      <c r="A655" s="1" t="s">
        <v>2180</v>
      </c>
      <c r="B655" s="1" t="s">
        <v>2188</v>
      </c>
      <c r="C655" s="1" t="s">
        <v>2189</v>
      </c>
      <c r="D655" s="1">
        <v>7.0</v>
      </c>
      <c r="E655" s="4" t="s">
        <v>2190</v>
      </c>
      <c r="F655" s="1" t="s">
        <v>16</v>
      </c>
      <c r="G655" s="2">
        <v>3.0</v>
      </c>
      <c r="H655" s="1" t="s">
        <v>31</v>
      </c>
      <c r="I655" s="4" t="s">
        <v>32</v>
      </c>
      <c r="J655" s="1" t="s">
        <v>3807</v>
      </c>
    </row>
    <row r="656">
      <c r="A656" s="1" t="s">
        <v>2180</v>
      </c>
      <c r="B656" s="1" t="s">
        <v>2176</v>
      </c>
      <c r="C656" s="1" t="s">
        <v>307</v>
      </c>
      <c r="D656" s="1">
        <v>8.0</v>
      </c>
      <c r="E656" s="4" t="s">
        <v>2177</v>
      </c>
      <c r="F656" s="1" t="s">
        <v>16</v>
      </c>
      <c r="G656" s="2">
        <v>1.0</v>
      </c>
      <c r="H656" s="1" t="s">
        <v>2178</v>
      </c>
      <c r="I656" s="4" t="s">
        <v>2179</v>
      </c>
      <c r="J656" s="1" t="s">
        <v>3808</v>
      </c>
    </row>
    <row r="657">
      <c r="A657" s="1" t="s">
        <v>2180</v>
      </c>
      <c r="B657" s="1" t="s">
        <v>2130</v>
      </c>
      <c r="C657" s="1" t="s">
        <v>2131</v>
      </c>
      <c r="D657" s="1">
        <v>9.0</v>
      </c>
      <c r="E657" s="4" t="s">
        <v>2132</v>
      </c>
      <c r="F657" s="1" t="s">
        <v>16</v>
      </c>
      <c r="G657" s="2">
        <v>2.0</v>
      </c>
      <c r="H657" s="1" t="s">
        <v>2133</v>
      </c>
      <c r="I657" s="4" t="s">
        <v>2134</v>
      </c>
      <c r="J657" s="1" t="s">
        <v>3809</v>
      </c>
    </row>
    <row r="658">
      <c r="A658" s="1" t="s">
        <v>2180</v>
      </c>
      <c r="B658" s="1" t="s">
        <v>2191</v>
      </c>
      <c r="D658" s="1">
        <v>10.0</v>
      </c>
      <c r="E658" s="4" t="s">
        <v>2192</v>
      </c>
      <c r="F658" s="1" t="s">
        <v>16</v>
      </c>
      <c r="G658" s="2">
        <v>1.0</v>
      </c>
      <c r="H658" s="1" t="s">
        <v>97</v>
      </c>
      <c r="I658" s="4" t="s">
        <v>98</v>
      </c>
      <c r="J658" s="1" t="s">
        <v>3810</v>
      </c>
    </row>
    <row r="659">
      <c r="A659" s="1" t="s">
        <v>2180</v>
      </c>
      <c r="B659" s="1" t="s">
        <v>1084</v>
      </c>
      <c r="C659" s="1" t="s">
        <v>2193</v>
      </c>
      <c r="D659" s="1">
        <v>11.0</v>
      </c>
      <c r="E659" s="4" t="s">
        <v>2194</v>
      </c>
      <c r="F659" s="1" t="s">
        <v>16</v>
      </c>
      <c r="G659" s="2">
        <v>3.0</v>
      </c>
      <c r="H659" s="1" t="s">
        <v>309</v>
      </c>
      <c r="I659" s="4" t="s">
        <v>310</v>
      </c>
      <c r="J659" s="1" t="s">
        <v>3811</v>
      </c>
    </row>
    <row r="660">
      <c r="A660" s="1" t="s">
        <v>2180</v>
      </c>
      <c r="B660" s="1" t="s">
        <v>2195</v>
      </c>
      <c r="C660" s="1" t="s">
        <v>2196</v>
      </c>
      <c r="D660" s="1">
        <v>12.0</v>
      </c>
      <c r="E660" s="4" t="s">
        <v>2197</v>
      </c>
      <c r="F660" s="1" t="s">
        <v>16</v>
      </c>
      <c r="G660" s="2">
        <v>1.0</v>
      </c>
      <c r="J660" s="1" t="s">
        <v>3269</v>
      </c>
    </row>
    <row r="661">
      <c r="A661" s="1" t="s">
        <v>2180</v>
      </c>
      <c r="B661" s="1" t="s">
        <v>2198</v>
      </c>
      <c r="C661" s="1" t="s">
        <v>1689</v>
      </c>
      <c r="D661" s="1">
        <v>13.0</v>
      </c>
      <c r="E661" s="4" t="s">
        <v>2199</v>
      </c>
      <c r="F661" s="1" t="s">
        <v>16</v>
      </c>
      <c r="G661" s="2">
        <v>1.0</v>
      </c>
      <c r="H661" s="1" t="s">
        <v>38</v>
      </c>
      <c r="I661" s="4" t="s">
        <v>39</v>
      </c>
      <c r="J661" s="1" t="s">
        <v>3812</v>
      </c>
    </row>
    <row r="662">
      <c r="A662" s="1" t="s">
        <v>2180</v>
      </c>
      <c r="B662" s="1" t="s">
        <v>2200</v>
      </c>
      <c r="C662" s="1" t="s">
        <v>2201</v>
      </c>
      <c r="D662" s="1">
        <v>14.0</v>
      </c>
      <c r="E662" s="4" t="s">
        <v>2202</v>
      </c>
      <c r="F662" s="1" t="s">
        <v>16</v>
      </c>
      <c r="G662" s="2">
        <v>2.0</v>
      </c>
      <c r="H662" s="1" t="s">
        <v>216</v>
      </c>
      <c r="I662" s="4" t="s">
        <v>217</v>
      </c>
      <c r="J662" s="1" t="s">
        <v>3813</v>
      </c>
    </row>
    <row r="663">
      <c r="A663" s="1" t="s">
        <v>2180</v>
      </c>
      <c r="B663" s="1" t="s">
        <v>2138</v>
      </c>
      <c r="D663" s="1">
        <v>15.0</v>
      </c>
      <c r="E663" s="4" t="s">
        <v>2140</v>
      </c>
      <c r="F663" s="1" t="s">
        <v>16</v>
      </c>
      <c r="G663" s="2">
        <v>1.0</v>
      </c>
      <c r="H663" s="1" t="s">
        <v>2141</v>
      </c>
      <c r="I663" s="4" t="s">
        <v>2142</v>
      </c>
      <c r="J663" s="1" t="s">
        <v>3814</v>
      </c>
    </row>
    <row r="664">
      <c r="A664" s="1" t="s">
        <v>2180</v>
      </c>
      <c r="B664" s="1" t="s">
        <v>2203</v>
      </c>
      <c r="C664" s="1" t="s">
        <v>2204</v>
      </c>
      <c r="D664" s="1">
        <v>16.0</v>
      </c>
      <c r="E664" s="4" t="s">
        <v>2205</v>
      </c>
      <c r="F664" s="1" t="s">
        <v>16</v>
      </c>
      <c r="G664" s="2">
        <v>1.0</v>
      </c>
      <c r="H664" s="1" t="s">
        <v>2206</v>
      </c>
      <c r="I664" s="4" t="s">
        <v>2207</v>
      </c>
      <c r="J664" s="1" t="s">
        <v>3815</v>
      </c>
    </row>
    <row r="665">
      <c r="A665" s="1" t="s">
        <v>2180</v>
      </c>
      <c r="B665" s="1" t="s">
        <v>2208</v>
      </c>
      <c r="C665" s="1" t="s">
        <v>2209</v>
      </c>
      <c r="D665" s="1">
        <v>17.0</v>
      </c>
      <c r="E665" s="4" t="s">
        <v>2210</v>
      </c>
      <c r="F665" s="1" t="s">
        <v>16</v>
      </c>
      <c r="G665" s="2">
        <v>2.0</v>
      </c>
      <c r="H665" s="1" t="s">
        <v>82</v>
      </c>
      <c r="I665" s="4" t="s">
        <v>83</v>
      </c>
      <c r="J665" s="1" t="s">
        <v>3816</v>
      </c>
    </row>
    <row r="666">
      <c r="A666" s="1" t="s">
        <v>2180</v>
      </c>
      <c r="B666" s="1" t="s">
        <v>2211</v>
      </c>
      <c r="C666" s="1" t="s">
        <v>2212</v>
      </c>
      <c r="D666" s="1">
        <v>18.0</v>
      </c>
      <c r="E666" s="4" t="s">
        <v>2213</v>
      </c>
      <c r="F666" s="1" t="s">
        <v>16</v>
      </c>
      <c r="G666" s="2">
        <v>2.0</v>
      </c>
      <c r="J666" s="1" t="s">
        <v>3269</v>
      </c>
    </row>
    <row r="667">
      <c r="A667" s="1" t="s">
        <v>2180</v>
      </c>
      <c r="B667" s="1" t="s">
        <v>2214</v>
      </c>
      <c r="D667" s="1">
        <v>19.0</v>
      </c>
      <c r="E667" s="4" t="s">
        <v>2215</v>
      </c>
      <c r="F667" s="1" t="s">
        <v>16</v>
      </c>
      <c r="G667" s="2">
        <v>1.0</v>
      </c>
      <c r="J667" s="1" t="s">
        <v>3269</v>
      </c>
    </row>
    <row r="668">
      <c r="A668" s="1" t="s">
        <v>2180</v>
      </c>
      <c r="B668" s="1" t="s">
        <v>2216</v>
      </c>
      <c r="C668" s="1" t="s">
        <v>2217</v>
      </c>
      <c r="D668" s="1">
        <v>20.0</v>
      </c>
      <c r="E668" s="4" t="s">
        <v>2218</v>
      </c>
      <c r="F668" s="1" t="s">
        <v>16</v>
      </c>
      <c r="G668" s="2">
        <v>1.0</v>
      </c>
      <c r="H668" s="1" t="s">
        <v>2219</v>
      </c>
      <c r="I668" s="4" t="s">
        <v>2220</v>
      </c>
      <c r="J668" s="1" t="s">
        <v>3817</v>
      </c>
    </row>
    <row r="669">
      <c r="A669" s="1" t="s">
        <v>2180</v>
      </c>
      <c r="B669" s="1" t="s">
        <v>2221</v>
      </c>
      <c r="D669" s="1">
        <v>32.0</v>
      </c>
      <c r="E669" s="4" t="s">
        <v>2222</v>
      </c>
      <c r="F669" s="1" t="s">
        <v>16</v>
      </c>
      <c r="G669" s="2">
        <v>0.0</v>
      </c>
      <c r="H669" s="1" t="s">
        <v>228</v>
      </c>
      <c r="I669" s="4" t="s">
        <v>229</v>
      </c>
      <c r="J669" s="1" t="s">
        <v>3818</v>
      </c>
    </row>
    <row r="670">
      <c r="A670" s="1" t="s">
        <v>2180</v>
      </c>
      <c r="B670" s="1" t="s">
        <v>2221</v>
      </c>
      <c r="D670" s="1">
        <v>34.0</v>
      </c>
      <c r="E670" s="4" t="s">
        <v>2223</v>
      </c>
      <c r="F670" s="1" t="s">
        <v>16</v>
      </c>
      <c r="G670" s="2">
        <v>0.0</v>
      </c>
      <c r="H670" s="1" t="s">
        <v>228</v>
      </c>
      <c r="I670" s="4" t="s">
        <v>229</v>
      </c>
      <c r="J670" s="1" t="s">
        <v>3818</v>
      </c>
    </row>
    <row r="671">
      <c r="A671" s="1" t="s">
        <v>2180</v>
      </c>
      <c r="B671" s="1" t="s">
        <v>2120</v>
      </c>
      <c r="C671" s="1" t="s">
        <v>2182</v>
      </c>
      <c r="D671" s="1">
        <v>3.0</v>
      </c>
      <c r="E671" s="4" t="s">
        <v>2224</v>
      </c>
      <c r="F671" s="1" t="s">
        <v>43</v>
      </c>
      <c r="G671" s="2">
        <v>0.0</v>
      </c>
      <c r="H671" s="1" t="s">
        <v>2123</v>
      </c>
      <c r="I671" s="4" t="s">
        <v>2124</v>
      </c>
      <c r="J671" s="1" t="s">
        <v>3804</v>
      </c>
    </row>
    <row r="672">
      <c r="A672" s="1" t="s">
        <v>2180</v>
      </c>
      <c r="B672" s="1" t="s">
        <v>2135</v>
      </c>
      <c r="D672" s="1">
        <v>5.0</v>
      </c>
      <c r="E672" s="4" t="s">
        <v>2137</v>
      </c>
      <c r="F672" s="1" t="s">
        <v>43</v>
      </c>
      <c r="G672" s="2">
        <v>1.0</v>
      </c>
      <c r="H672" s="1" t="s">
        <v>120</v>
      </c>
      <c r="I672" s="4" t="s">
        <v>121</v>
      </c>
      <c r="J672" s="1" t="s">
        <v>3819</v>
      </c>
    </row>
    <row r="673">
      <c r="A673" s="1" t="s">
        <v>2180</v>
      </c>
      <c r="B673" s="1" t="s">
        <v>2225</v>
      </c>
      <c r="D673" s="1">
        <v>7.0</v>
      </c>
      <c r="E673" s="4" t="s">
        <v>2226</v>
      </c>
      <c r="F673" s="1" t="s">
        <v>43</v>
      </c>
      <c r="G673" s="2">
        <v>1.0</v>
      </c>
      <c r="H673" s="1" t="s">
        <v>97</v>
      </c>
      <c r="I673" s="4" t="s">
        <v>98</v>
      </c>
      <c r="J673" s="1" t="s">
        <v>3820</v>
      </c>
    </row>
    <row r="674">
      <c r="A674" s="1" t="s">
        <v>2180</v>
      </c>
      <c r="B674" s="1" t="s">
        <v>2227</v>
      </c>
      <c r="C674" s="1" t="s">
        <v>2228</v>
      </c>
      <c r="D674" s="1">
        <v>10.0</v>
      </c>
      <c r="E674" s="4" t="s">
        <v>2229</v>
      </c>
      <c r="F674" s="1" t="s">
        <v>43</v>
      </c>
      <c r="G674" s="2">
        <v>1.0</v>
      </c>
      <c r="J674" s="1" t="s">
        <v>3269</v>
      </c>
    </row>
    <row r="675">
      <c r="A675" s="1" t="s">
        <v>2180</v>
      </c>
      <c r="B675" s="1" t="s">
        <v>2230</v>
      </c>
      <c r="D675" s="1">
        <v>11.0</v>
      </c>
      <c r="E675" s="4" t="s">
        <v>2231</v>
      </c>
      <c r="F675" s="1" t="s">
        <v>43</v>
      </c>
      <c r="G675" s="2">
        <v>0.0</v>
      </c>
      <c r="H675" s="1" t="s">
        <v>31</v>
      </c>
      <c r="I675" s="4" t="s">
        <v>32</v>
      </c>
      <c r="J675" s="1" t="s">
        <v>3821</v>
      </c>
    </row>
    <row r="676">
      <c r="A676" s="1" t="s">
        <v>2180</v>
      </c>
      <c r="B676" s="1" t="s">
        <v>2232</v>
      </c>
      <c r="D676" s="1">
        <v>12.0</v>
      </c>
      <c r="E676" s="4" t="s">
        <v>2233</v>
      </c>
      <c r="F676" s="1" t="s">
        <v>43</v>
      </c>
      <c r="G676" s="2">
        <v>0.0</v>
      </c>
      <c r="H676" s="1" t="s">
        <v>2234</v>
      </c>
      <c r="I676" s="4" t="s">
        <v>2235</v>
      </c>
      <c r="J676" s="1" t="s">
        <v>3822</v>
      </c>
    </row>
    <row r="677">
      <c r="A677" s="1" t="s">
        <v>2180</v>
      </c>
      <c r="B677" s="1" t="s">
        <v>2236</v>
      </c>
      <c r="C677" s="1" t="s">
        <v>2237</v>
      </c>
      <c r="D677" s="1">
        <v>13.0</v>
      </c>
      <c r="E677" s="4" t="s">
        <v>2238</v>
      </c>
      <c r="F677" s="1" t="s">
        <v>43</v>
      </c>
      <c r="G677" s="2">
        <v>0.0</v>
      </c>
      <c r="J677" s="1" t="s">
        <v>3269</v>
      </c>
    </row>
    <row r="678">
      <c r="A678" s="1" t="s">
        <v>2180</v>
      </c>
      <c r="B678" s="1" t="s">
        <v>2221</v>
      </c>
      <c r="D678" s="1">
        <v>14.0</v>
      </c>
      <c r="E678" s="4" t="s">
        <v>2239</v>
      </c>
      <c r="F678" s="1" t="s">
        <v>43</v>
      </c>
      <c r="G678" s="2">
        <v>0.0</v>
      </c>
      <c r="H678" s="1" t="s">
        <v>302</v>
      </c>
      <c r="I678" s="4" t="s">
        <v>303</v>
      </c>
      <c r="J678" s="1" t="s">
        <v>3823</v>
      </c>
    </row>
    <row r="679">
      <c r="A679" s="1" t="s">
        <v>2180</v>
      </c>
      <c r="B679" s="1" t="s">
        <v>2240</v>
      </c>
      <c r="C679" s="1" t="s">
        <v>2241</v>
      </c>
      <c r="D679" s="1">
        <v>16.0</v>
      </c>
      <c r="E679" s="4" t="s">
        <v>2242</v>
      </c>
      <c r="F679" s="1" t="s">
        <v>43</v>
      </c>
      <c r="G679" s="2">
        <v>0.0</v>
      </c>
      <c r="H679" s="1" t="s">
        <v>2243</v>
      </c>
      <c r="I679" s="4" t="s">
        <v>2244</v>
      </c>
      <c r="J679" s="1" t="s">
        <v>3824</v>
      </c>
    </row>
    <row r="680">
      <c r="A680" s="1" t="s">
        <v>2180</v>
      </c>
      <c r="B680" s="1" t="s">
        <v>2221</v>
      </c>
      <c r="D680" s="1">
        <v>17.0</v>
      </c>
      <c r="E680" s="4" t="s">
        <v>2245</v>
      </c>
      <c r="F680" s="1" t="s">
        <v>43</v>
      </c>
      <c r="G680" s="2">
        <v>1.0</v>
      </c>
      <c r="H680" s="1" t="s">
        <v>302</v>
      </c>
      <c r="I680" s="4" t="s">
        <v>303</v>
      </c>
      <c r="J680" s="1" t="s">
        <v>3823</v>
      </c>
    </row>
    <row r="681">
      <c r="A681" s="1" t="s">
        <v>2180</v>
      </c>
      <c r="B681" s="1" t="s">
        <v>2246</v>
      </c>
      <c r="C681" s="1" t="s">
        <v>2247</v>
      </c>
      <c r="D681" s="1">
        <v>18.0</v>
      </c>
      <c r="E681" s="4" t="s">
        <v>2248</v>
      </c>
      <c r="F681" s="1" t="s">
        <v>43</v>
      </c>
      <c r="G681" s="2">
        <v>0.0</v>
      </c>
      <c r="H681" s="1" t="s">
        <v>2249</v>
      </c>
      <c r="I681" s="4" t="s">
        <v>2250</v>
      </c>
      <c r="J681" s="1" t="s">
        <v>3825</v>
      </c>
    </row>
    <row r="682">
      <c r="A682" s="1" t="s">
        <v>2180</v>
      </c>
      <c r="B682" s="1" t="s">
        <v>2221</v>
      </c>
      <c r="D682" s="1">
        <v>33.0</v>
      </c>
      <c r="E682" s="4" t="s">
        <v>2251</v>
      </c>
      <c r="F682" s="1" t="s">
        <v>43</v>
      </c>
      <c r="G682" s="2">
        <v>1.0</v>
      </c>
      <c r="H682" s="1" t="s">
        <v>302</v>
      </c>
      <c r="I682" s="4" t="s">
        <v>303</v>
      </c>
      <c r="J682" s="1" t="s">
        <v>3823</v>
      </c>
    </row>
    <row r="683">
      <c r="A683" s="1" t="s">
        <v>2180</v>
      </c>
      <c r="B683" s="1" t="s">
        <v>2221</v>
      </c>
      <c r="D683" s="1">
        <v>34.0</v>
      </c>
      <c r="E683" s="4" t="s">
        <v>2252</v>
      </c>
      <c r="F683" s="1" t="s">
        <v>43</v>
      </c>
      <c r="G683" s="2">
        <v>1.0</v>
      </c>
      <c r="H683" s="1" t="s">
        <v>302</v>
      </c>
      <c r="I683" s="4" t="s">
        <v>303</v>
      </c>
      <c r="J683" s="1" t="s">
        <v>3823</v>
      </c>
    </row>
    <row r="684">
      <c r="A684" s="1" t="s">
        <v>2180</v>
      </c>
      <c r="B684" s="1" t="s">
        <v>2253</v>
      </c>
      <c r="C684" s="1" t="s">
        <v>2254</v>
      </c>
      <c r="D684" s="1">
        <v>36.0</v>
      </c>
      <c r="E684" s="4" t="s">
        <v>2255</v>
      </c>
      <c r="F684" s="1" t="s">
        <v>43</v>
      </c>
      <c r="G684" s="2">
        <v>3.0</v>
      </c>
      <c r="H684" s="1" t="s">
        <v>2256</v>
      </c>
      <c r="I684" s="4" t="s">
        <v>2257</v>
      </c>
      <c r="J684" s="1" t="s">
        <v>3826</v>
      </c>
    </row>
    <row r="685">
      <c r="A685" s="1" t="s">
        <v>2258</v>
      </c>
      <c r="B685" s="1" t="s">
        <v>2259</v>
      </c>
      <c r="C685" s="1" t="s">
        <v>2260</v>
      </c>
      <c r="D685" s="1">
        <v>1.0</v>
      </c>
      <c r="E685" s="4" t="s">
        <v>2261</v>
      </c>
      <c r="F685" s="1" t="s">
        <v>16</v>
      </c>
      <c r="G685" s="2">
        <v>1.0</v>
      </c>
      <c r="H685" s="1" t="s">
        <v>336</v>
      </c>
      <c r="I685" s="4" t="s">
        <v>453</v>
      </c>
      <c r="J685" s="1" t="s">
        <v>3827</v>
      </c>
    </row>
    <row r="686">
      <c r="A686" s="1" t="s">
        <v>2258</v>
      </c>
      <c r="B686" s="1" t="s">
        <v>2262</v>
      </c>
      <c r="C686" s="1" t="s">
        <v>2263</v>
      </c>
      <c r="D686" s="1">
        <v>2.0</v>
      </c>
      <c r="E686" s="4" t="s">
        <v>2264</v>
      </c>
      <c r="F686" s="1" t="s">
        <v>16</v>
      </c>
      <c r="G686" s="2">
        <v>1.0</v>
      </c>
      <c r="H686" s="1" t="s">
        <v>336</v>
      </c>
      <c r="I686" s="4" t="s">
        <v>453</v>
      </c>
      <c r="J686" s="1" t="s">
        <v>3828</v>
      </c>
    </row>
    <row r="687">
      <c r="A687" s="1" t="s">
        <v>2258</v>
      </c>
      <c r="B687" s="1" t="s">
        <v>2265</v>
      </c>
      <c r="C687" s="1" t="s">
        <v>2266</v>
      </c>
      <c r="D687" s="1">
        <v>3.0</v>
      </c>
      <c r="E687" s="4" t="s">
        <v>2267</v>
      </c>
      <c r="F687" s="1" t="s">
        <v>16</v>
      </c>
      <c r="G687" s="2">
        <v>0.0</v>
      </c>
      <c r="H687" s="1" t="s">
        <v>2268</v>
      </c>
      <c r="I687" s="4" t="s">
        <v>2269</v>
      </c>
      <c r="J687" s="1" t="s">
        <v>3829</v>
      </c>
    </row>
    <row r="688">
      <c r="A688" s="1" t="s">
        <v>2258</v>
      </c>
      <c r="B688" s="1" t="s">
        <v>2270</v>
      </c>
      <c r="D688" s="1">
        <v>4.0</v>
      </c>
      <c r="E688" s="4" t="s">
        <v>2271</v>
      </c>
      <c r="F688" s="1" t="s">
        <v>16</v>
      </c>
      <c r="G688" s="2">
        <v>0.0</v>
      </c>
      <c r="H688" s="1" t="s">
        <v>2268</v>
      </c>
      <c r="I688" s="4" t="s">
        <v>2269</v>
      </c>
      <c r="J688" s="1" t="s">
        <v>3830</v>
      </c>
    </row>
    <row r="689">
      <c r="A689" s="1" t="s">
        <v>2258</v>
      </c>
      <c r="B689" s="1" t="s">
        <v>2272</v>
      </c>
      <c r="C689" s="1" t="s">
        <v>2273</v>
      </c>
      <c r="D689" s="1">
        <v>5.0</v>
      </c>
      <c r="E689" s="4" t="s">
        <v>2274</v>
      </c>
      <c r="F689" s="1" t="s">
        <v>16</v>
      </c>
      <c r="G689" s="2">
        <v>0.0</v>
      </c>
      <c r="H689" s="1" t="s">
        <v>2268</v>
      </c>
      <c r="I689" s="4" t="s">
        <v>2269</v>
      </c>
      <c r="J689" s="1" t="s">
        <v>3831</v>
      </c>
    </row>
    <row r="690">
      <c r="A690" s="1" t="s">
        <v>2258</v>
      </c>
      <c r="B690" s="1" t="s">
        <v>2275</v>
      </c>
      <c r="C690" s="1" t="s">
        <v>2276</v>
      </c>
      <c r="D690" s="1">
        <v>6.0</v>
      </c>
      <c r="E690" s="4" t="s">
        <v>2277</v>
      </c>
      <c r="F690" s="1" t="s">
        <v>16</v>
      </c>
      <c r="G690" s="2">
        <v>0.0</v>
      </c>
      <c r="H690" s="1" t="s">
        <v>2268</v>
      </c>
      <c r="I690" s="4" t="s">
        <v>2269</v>
      </c>
      <c r="J690" s="1" t="s">
        <v>3832</v>
      </c>
    </row>
    <row r="691">
      <c r="A691" s="1" t="s">
        <v>2258</v>
      </c>
      <c r="B691" s="1" t="s">
        <v>2278</v>
      </c>
      <c r="C691" s="1" t="s">
        <v>2279</v>
      </c>
      <c r="D691" s="1">
        <v>7.0</v>
      </c>
      <c r="E691" s="4" t="s">
        <v>2280</v>
      </c>
      <c r="F691" s="1" t="s">
        <v>16</v>
      </c>
      <c r="G691" s="2">
        <v>0.0</v>
      </c>
      <c r="H691" s="1" t="s">
        <v>2268</v>
      </c>
      <c r="I691" s="4" t="s">
        <v>2269</v>
      </c>
      <c r="J691" s="1" t="s">
        <v>3833</v>
      </c>
    </row>
    <row r="692">
      <c r="A692" s="1" t="s">
        <v>2258</v>
      </c>
      <c r="B692" s="1" t="s">
        <v>2281</v>
      </c>
      <c r="C692" s="1" t="s">
        <v>2282</v>
      </c>
      <c r="D692" s="1">
        <v>8.0</v>
      </c>
      <c r="E692" s="4" t="s">
        <v>2283</v>
      </c>
      <c r="F692" s="1" t="s">
        <v>16</v>
      </c>
      <c r="G692" s="2">
        <v>0.0</v>
      </c>
      <c r="H692" s="1" t="s">
        <v>2268</v>
      </c>
      <c r="I692" s="4" t="s">
        <v>2269</v>
      </c>
      <c r="J692" s="1" t="s">
        <v>3834</v>
      </c>
    </row>
    <row r="693">
      <c r="A693" s="1" t="s">
        <v>2258</v>
      </c>
      <c r="B693" s="1" t="s">
        <v>2284</v>
      </c>
      <c r="D693" s="1">
        <v>9.0</v>
      </c>
      <c r="E693" s="4" t="s">
        <v>2285</v>
      </c>
      <c r="F693" s="1" t="s">
        <v>16</v>
      </c>
      <c r="G693" s="2">
        <v>0.0</v>
      </c>
      <c r="H693" s="1" t="s">
        <v>2268</v>
      </c>
      <c r="I693" s="4" t="s">
        <v>2269</v>
      </c>
      <c r="J693" s="1" t="s">
        <v>3835</v>
      </c>
    </row>
    <row r="694">
      <c r="A694" s="1" t="s">
        <v>2258</v>
      </c>
      <c r="B694" s="1" t="s">
        <v>2286</v>
      </c>
      <c r="C694" s="1" t="s">
        <v>2287</v>
      </c>
      <c r="D694" s="1">
        <v>10.0</v>
      </c>
      <c r="E694" s="4" t="s">
        <v>2288</v>
      </c>
      <c r="F694" s="1" t="s">
        <v>16</v>
      </c>
      <c r="G694" s="2">
        <v>0.0</v>
      </c>
      <c r="H694" s="1" t="s">
        <v>2268</v>
      </c>
      <c r="I694" s="4" t="s">
        <v>2269</v>
      </c>
      <c r="J694" s="1" t="s">
        <v>3836</v>
      </c>
    </row>
    <row r="695">
      <c r="A695" s="1" t="s">
        <v>2258</v>
      </c>
      <c r="B695" s="1" t="s">
        <v>2289</v>
      </c>
      <c r="C695" s="1" t="s">
        <v>2290</v>
      </c>
      <c r="D695" s="1">
        <v>11.0</v>
      </c>
      <c r="E695" s="4" t="s">
        <v>2291</v>
      </c>
      <c r="F695" s="1" t="s">
        <v>16</v>
      </c>
      <c r="G695" s="2">
        <v>0.0</v>
      </c>
      <c r="H695" s="1" t="s">
        <v>2268</v>
      </c>
      <c r="I695" s="4" t="s">
        <v>2269</v>
      </c>
      <c r="J695" s="1" t="s">
        <v>3837</v>
      </c>
    </row>
    <row r="696">
      <c r="A696" s="1" t="s">
        <v>2258</v>
      </c>
      <c r="B696" s="1" t="s">
        <v>2292</v>
      </c>
      <c r="C696" s="1" t="s">
        <v>2293</v>
      </c>
      <c r="D696" s="1">
        <v>12.0</v>
      </c>
      <c r="E696" s="4" t="s">
        <v>2294</v>
      </c>
      <c r="F696" s="1" t="s">
        <v>16</v>
      </c>
      <c r="G696" s="2">
        <v>0.0</v>
      </c>
      <c r="H696" s="1" t="s">
        <v>2268</v>
      </c>
      <c r="I696" s="4" t="s">
        <v>2269</v>
      </c>
      <c r="J696" s="1" t="s">
        <v>3838</v>
      </c>
    </row>
    <row r="697">
      <c r="A697" s="1" t="s">
        <v>2258</v>
      </c>
      <c r="B697" s="1" t="s">
        <v>2295</v>
      </c>
      <c r="C697" s="1" t="s">
        <v>2296</v>
      </c>
      <c r="D697" s="1">
        <v>13.0</v>
      </c>
      <c r="E697" s="4" t="s">
        <v>2297</v>
      </c>
      <c r="F697" s="1" t="s">
        <v>16</v>
      </c>
      <c r="G697" s="2">
        <v>0.0</v>
      </c>
      <c r="H697" s="1" t="s">
        <v>2268</v>
      </c>
      <c r="I697" s="4" t="s">
        <v>2269</v>
      </c>
      <c r="J697" s="1" t="s">
        <v>3839</v>
      </c>
    </row>
    <row r="698">
      <c r="A698" s="1" t="s">
        <v>2258</v>
      </c>
      <c r="B698" s="1" t="s">
        <v>2298</v>
      </c>
      <c r="C698" s="1" t="s">
        <v>2299</v>
      </c>
      <c r="D698" s="1">
        <v>14.0</v>
      </c>
      <c r="E698" s="4" t="s">
        <v>2300</v>
      </c>
      <c r="F698" s="1" t="s">
        <v>16</v>
      </c>
      <c r="G698" s="2">
        <v>0.0</v>
      </c>
      <c r="H698" s="1" t="s">
        <v>2268</v>
      </c>
      <c r="I698" s="4" t="s">
        <v>2269</v>
      </c>
      <c r="J698" s="1" t="s">
        <v>3840</v>
      </c>
    </row>
    <row r="699">
      <c r="A699" s="1" t="s">
        <v>2258</v>
      </c>
      <c r="B699" s="1" t="s">
        <v>2301</v>
      </c>
      <c r="C699" s="1" t="s">
        <v>2302</v>
      </c>
      <c r="D699" s="1">
        <v>15.0</v>
      </c>
      <c r="E699" s="4" t="s">
        <v>2303</v>
      </c>
      <c r="F699" s="1" t="s">
        <v>16</v>
      </c>
      <c r="G699" s="2">
        <v>0.0</v>
      </c>
      <c r="H699" s="1" t="s">
        <v>2268</v>
      </c>
      <c r="I699" s="4" t="s">
        <v>2269</v>
      </c>
      <c r="J699" s="1" t="s">
        <v>3841</v>
      </c>
    </row>
    <row r="700">
      <c r="A700" s="1" t="s">
        <v>2258</v>
      </c>
      <c r="B700" s="1" t="s">
        <v>2304</v>
      </c>
      <c r="C700" s="1" t="s">
        <v>2305</v>
      </c>
      <c r="D700" s="1">
        <v>16.0</v>
      </c>
      <c r="E700" s="4" t="s">
        <v>2306</v>
      </c>
      <c r="F700" s="1" t="s">
        <v>16</v>
      </c>
      <c r="G700" s="2">
        <v>0.0</v>
      </c>
      <c r="H700" s="1" t="s">
        <v>2268</v>
      </c>
      <c r="I700" s="4" t="s">
        <v>2269</v>
      </c>
      <c r="J700" s="1" t="s">
        <v>3842</v>
      </c>
    </row>
    <row r="701">
      <c r="A701" s="1" t="s">
        <v>2258</v>
      </c>
      <c r="B701" s="1" t="s">
        <v>2307</v>
      </c>
      <c r="C701" s="1" t="s">
        <v>2308</v>
      </c>
      <c r="D701" s="1">
        <v>17.0</v>
      </c>
      <c r="E701" s="4" t="s">
        <v>2309</v>
      </c>
      <c r="F701" s="1" t="s">
        <v>16</v>
      </c>
      <c r="G701" s="2">
        <v>0.0</v>
      </c>
      <c r="H701" s="1" t="s">
        <v>2268</v>
      </c>
      <c r="I701" s="4" t="s">
        <v>2269</v>
      </c>
      <c r="J701" s="1" t="s">
        <v>3843</v>
      </c>
    </row>
    <row r="702">
      <c r="A702" s="1" t="s">
        <v>2258</v>
      </c>
      <c r="B702" s="1" t="s">
        <v>2310</v>
      </c>
      <c r="C702" s="1" t="s">
        <v>2311</v>
      </c>
      <c r="D702" s="1">
        <v>18.0</v>
      </c>
      <c r="E702" s="4" t="s">
        <v>2312</v>
      </c>
      <c r="F702" s="1" t="s">
        <v>16</v>
      </c>
      <c r="G702" s="2">
        <v>0.0</v>
      </c>
      <c r="H702" s="1" t="s">
        <v>2268</v>
      </c>
      <c r="I702" s="4" t="s">
        <v>2269</v>
      </c>
      <c r="J702" s="1" t="s">
        <v>3844</v>
      </c>
    </row>
    <row r="703">
      <c r="A703" s="1" t="s">
        <v>2258</v>
      </c>
      <c r="B703" s="1" t="s">
        <v>2313</v>
      </c>
      <c r="C703" s="1" t="s">
        <v>2314</v>
      </c>
      <c r="D703" s="1">
        <v>19.0</v>
      </c>
      <c r="E703" s="4" t="s">
        <v>2315</v>
      </c>
      <c r="F703" s="1" t="s">
        <v>16</v>
      </c>
      <c r="G703" s="2">
        <v>0.0</v>
      </c>
      <c r="H703" s="1" t="s">
        <v>2268</v>
      </c>
      <c r="I703" s="4" t="s">
        <v>2269</v>
      </c>
      <c r="J703" s="1" t="s">
        <v>3845</v>
      </c>
    </row>
    <row r="704">
      <c r="A704" s="1" t="s">
        <v>2258</v>
      </c>
      <c r="B704" s="1" t="s">
        <v>2316</v>
      </c>
      <c r="C704" s="1" t="s">
        <v>2317</v>
      </c>
      <c r="D704" s="1">
        <v>20.0</v>
      </c>
      <c r="E704" s="4" t="s">
        <v>2318</v>
      </c>
      <c r="F704" s="1" t="s">
        <v>16</v>
      </c>
      <c r="G704" s="2">
        <v>0.0</v>
      </c>
      <c r="H704" s="1" t="s">
        <v>2268</v>
      </c>
      <c r="I704" s="4" t="s">
        <v>2269</v>
      </c>
      <c r="J704" s="1" t="s">
        <v>3846</v>
      </c>
    </row>
    <row r="705">
      <c r="A705" s="1" t="s">
        <v>2258</v>
      </c>
      <c r="B705" s="1" t="s">
        <v>2319</v>
      </c>
      <c r="C705" s="1" t="s">
        <v>2320</v>
      </c>
      <c r="D705" s="1">
        <v>28.0</v>
      </c>
      <c r="E705" s="4" t="s">
        <v>2321</v>
      </c>
      <c r="F705" s="1" t="s">
        <v>16</v>
      </c>
      <c r="G705" s="2">
        <v>0.0</v>
      </c>
      <c r="H705" s="1" t="s">
        <v>2268</v>
      </c>
      <c r="I705" s="4" t="s">
        <v>2269</v>
      </c>
      <c r="J705" s="1" t="s">
        <v>3847</v>
      </c>
    </row>
    <row r="706">
      <c r="A706" s="1" t="s">
        <v>2258</v>
      </c>
      <c r="B706" s="1" t="s">
        <v>2322</v>
      </c>
      <c r="C706" s="1" t="s">
        <v>2323</v>
      </c>
      <c r="D706" s="1">
        <v>29.0</v>
      </c>
      <c r="E706" s="4" t="s">
        <v>2324</v>
      </c>
      <c r="F706" s="1" t="s">
        <v>16</v>
      </c>
      <c r="G706" s="2">
        <v>0.0</v>
      </c>
      <c r="H706" s="1" t="s">
        <v>2268</v>
      </c>
      <c r="I706" s="4" t="s">
        <v>2269</v>
      </c>
      <c r="J706" s="1" t="s">
        <v>3848</v>
      </c>
    </row>
    <row r="707">
      <c r="A707" s="1" t="s">
        <v>2258</v>
      </c>
      <c r="B707" s="1" t="s">
        <v>2325</v>
      </c>
      <c r="C707" s="1" t="s">
        <v>2326</v>
      </c>
      <c r="D707" s="1">
        <v>34.0</v>
      </c>
      <c r="E707" s="4" t="s">
        <v>2327</v>
      </c>
      <c r="F707" s="1" t="s">
        <v>16</v>
      </c>
      <c r="G707" s="2">
        <v>1.0</v>
      </c>
      <c r="H707" s="1" t="s">
        <v>2328</v>
      </c>
      <c r="I707" s="4" t="s">
        <v>2329</v>
      </c>
      <c r="J707" s="1" t="s">
        <v>3849</v>
      </c>
    </row>
    <row r="708">
      <c r="A708" s="1" t="s">
        <v>2258</v>
      </c>
      <c r="B708" s="1" t="s">
        <v>2330</v>
      </c>
      <c r="C708" s="1" t="s">
        <v>2331</v>
      </c>
      <c r="D708" s="1">
        <v>35.0</v>
      </c>
      <c r="E708" s="4" t="s">
        <v>2332</v>
      </c>
      <c r="F708" s="1" t="s">
        <v>16</v>
      </c>
      <c r="G708" s="2">
        <v>1.0</v>
      </c>
      <c r="H708" s="1" t="s">
        <v>2268</v>
      </c>
      <c r="I708" s="4" t="s">
        <v>2269</v>
      </c>
      <c r="J708" s="1" t="s">
        <v>3850</v>
      </c>
    </row>
    <row r="709">
      <c r="A709" s="1" t="s">
        <v>2258</v>
      </c>
      <c r="B709" s="1" t="s">
        <v>2333</v>
      </c>
      <c r="C709" s="1" t="s">
        <v>2334</v>
      </c>
      <c r="D709" s="1">
        <v>36.0</v>
      </c>
      <c r="E709" s="4" t="s">
        <v>2335</v>
      </c>
      <c r="F709" s="1" t="s">
        <v>16</v>
      </c>
      <c r="G709" s="2">
        <v>1.0</v>
      </c>
      <c r="H709" s="1" t="s">
        <v>2336</v>
      </c>
      <c r="I709" s="4" t="s">
        <v>2337</v>
      </c>
      <c r="J709" s="1" t="s">
        <v>3851</v>
      </c>
    </row>
    <row r="710">
      <c r="A710" s="1" t="s">
        <v>2258</v>
      </c>
      <c r="B710" s="1" t="s">
        <v>2338</v>
      </c>
      <c r="C710" s="1" t="s">
        <v>2339</v>
      </c>
      <c r="D710" s="1">
        <v>37.0</v>
      </c>
      <c r="E710" s="4" t="s">
        <v>2340</v>
      </c>
      <c r="F710" s="1" t="s">
        <v>16</v>
      </c>
      <c r="G710" s="2">
        <v>1.0</v>
      </c>
      <c r="H710" s="1" t="s">
        <v>2341</v>
      </c>
      <c r="I710" s="4" t="s">
        <v>2342</v>
      </c>
      <c r="J710" s="1" t="s">
        <v>3852</v>
      </c>
    </row>
    <row r="711">
      <c r="A711" s="1" t="s">
        <v>2258</v>
      </c>
      <c r="B711" s="1" t="s">
        <v>2343</v>
      </c>
      <c r="C711" s="1" t="s">
        <v>2344</v>
      </c>
      <c r="D711" s="1">
        <v>38.0</v>
      </c>
      <c r="E711" s="4" t="s">
        <v>2345</v>
      </c>
      <c r="F711" s="1" t="s">
        <v>16</v>
      </c>
      <c r="G711" s="2">
        <v>1.0</v>
      </c>
      <c r="H711" s="1" t="s">
        <v>2346</v>
      </c>
      <c r="I711" s="4" t="s">
        <v>2347</v>
      </c>
      <c r="J711" s="1" t="s">
        <v>3853</v>
      </c>
    </row>
    <row r="712">
      <c r="A712" s="1" t="s">
        <v>2258</v>
      </c>
      <c r="B712" s="1" t="s">
        <v>2348</v>
      </c>
      <c r="C712" s="1" t="s">
        <v>2349</v>
      </c>
      <c r="D712" s="1">
        <v>39.0</v>
      </c>
      <c r="E712" s="4" t="s">
        <v>2350</v>
      </c>
      <c r="F712" s="1" t="s">
        <v>16</v>
      </c>
      <c r="G712" s="2">
        <v>1.0</v>
      </c>
      <c r="J712" s="1" t="s">
        <v>3269</v>
      </c>
    </row>
    <row r="713">
      <c r="A713" s="1" t="s">
        <v>2258</v>
      </c>
      <c r="B713" s="1" t="s">
        <v>2351</v>
      </c>
      <c r="C713" s="1" t="s">
        <v>2352</v>
      </c>
      <c r="D713" s="1">
        <v>40.0</v>
      </c>
      <c r="E713" s="4" t="s">
        <v>2353</v>
      </c>
      <c r="F713" s="1" t="s">
        <v>16</v>
      </c>
      <c r="G713" s="2">
        <v>1.0</v>
      </c>
      <c r="J713" s="1" t="s">
        <v>3269</v>
      </c>
    </row>
    <row r="714">
      <c r="A714" s="1" t="s">
        <v>2258</v>
      </c>
      <c r="B714" s="1" t="s">
        <v>2354</v>
      </c>
      <c r="C714" s="1" t="s">
        <v>2355</v>
      </c>
      <c r="D714" s="1">
        <v>1.0</v>
      </c>
      <c r="E714" s="4" t="s">
        <v>2356</v>
      </c>
      <c r="F714" s="1" t="s">
        <v>43</v>
      </c>
      <c r="G714" s="2">
        <v>0.0</v>
      </c>
      <c r="H714" s="1" t="s">
        <v>2268</v>
      </c>
      <c r="I714" s="4" t="s">
        <v>2269</v>
      </c>
      <c r="J714" s="1" t="s">
        <v>3854</v>
      </c>
    </row>
    <row r="715">
      <c r="A715" s="1" t="s">
        <v>2258</v>
      </c>
      <c r="B715" s="1" t="s">
        <v>2357</v>
      </c>
      <c r="C715" s="1" t="s">
        <v>2358</v>
      </c>
      <c r="D715" s="1">
        <v>2.0</v>
      </c>
      <c r="E715" s="4" t="s">
        <v>2359</v>
      </c>
      <c r="F715" s="1" t="s">
        <v>43</v>
      </c>
      <c r="G715" s="2">
        <v>0.0</v>
      </c>
      <c r="H715" s="1" t="s">
        <v>2268</v>
      </c>
      <c r="I715" s="4" t="s">
        <v>2269</v>
      </c>
      <c r="J715" s="1" t="s">
        <v>3855</v>
      </c>
    </row>
    <row r="716">
      <c r="A716" s="1" t="s">
        <v>2258</v>
      </c>
      <c r="B716" s="1" t="s">
        <v>2360</v>
      </c>
      <c r="C716" s="1" t="s">
        <v>2361</v>
      </c>
      <c r="D716" s="1">
        <v>3.0</v>
      </c>
      <c r="E716" s="4" t="s">
        <v>2362</v>
      </c>
      <c r="F716" s="1" t="s">
        <v>43</v>
      </c>
      <c r="G716" s="2">
        <v>0.0</v>
      </c>
      <c r="H716" s="1" t="s">
        <v>2268</v>
      </c>
      <c r="I716" s="4" t="s">
        <v>2269</v>
      </c>
      <c r="J716" s="1" t="s">
        <v>3856</v>
      </c>
    </row>
    <row r="717">
      <c r="A717" s="1" t="s">
        <v>2258</v>
      </c>
      <c r="B717" s="1" t="s">
        <v>2363</v>
      </c>
      <c r="C717" s="1" t="s">
        <v>2364</v>
      </c>
      <c r="D717" s="1">
        <v>4.0</v>
      </c>
      <c r="E717" s="4" t="s">
        <v>2365</v>
      </c>
      <c r="F717" s="1" t="s">
        <v>43</v>
      </c>
      <c r="G717" s="2">
        <v>1.0</v>
      </c>
      <c r="H717" s="1" t="s">
        <v>2341</v>
      </c>
      <c r="I717" s="4" t="s">
        <v>2342</v>
      </c>
      <c r="J717" s="1" t="s">
        <v>3857</v>
      </c>
    </row>
    <row r="718">
      <c r="A718" s="1" t="s">
        <v>2258</v>
      </c>
      <c r="B718" s="1" t="s">
        <v>2366</v>
      </c>
      <c r="D718" s="1">
        <v>5.0</v>
      </c>
      <c r="E718" s="4" t="s">
        <v>2367</v>
      </c>
      <c r="F718" s="1" t="s">
        <v>43</v>
      </c>
      <c r="G718" s="2">
        <v>2.0</v>
      </c>
      <c r="H718" s="1" t="s">
        <v>2368</v>
      </c>
      <c r="I718" s="4" t="s">
        <v>2369</v>
      </c>
      <c r="J718" s="1" t="s">
        <v>3858</v>
      </c>
    </row>
    <row r="719">
      <c r="A719" s="1" t="s">
        <v>2258</v>
      </c>
      <c r="B719" s="1" t="s">
        <v>2370</v>
      </c>
      <c r="D719" s="1">
        <v>6.0</v>
      </c>
      <c r="E719" s="4" t="s">
        <v>2371</v>
      </c>
      <c r="F719" s="1" t="s">
        <v>43</v>
      </c>
      <c r="G719" s="2">
        <v>2.0</v>
      </c>
      <c r="H719" s="1" t="s">
        <v>2368</v>
      </c>
      <c r="I719" s="4" t="s">
        <v>2369</v>
      </c>
      <c r="J719" s="1" t="s">
        <v>3859</v>
      </c>
    </row>
    <row r="720">
      <c r="A720" s="1" t="s">
        <v>2258</v>
      </c>
      <c r="B720" s="1" t="s">
        <v>2372</v>
      </c>
      <c r="C720" s="1" t="s">
        <v>2373</v>
      </c>
      <c r="D720" s="1">
        <v>8.0</v>
      </c>
      <c r="E720" s="4" t="s">
        <v>2374</v>
      </c>
      <c r="F720" s="1" t="s">
        <v>43</v>
      </c>
      <c r="G720" s="2">
        <v>3.0</v>
      </c>
      <c r="H720" s="1" t="s">
        <v>336</v>
      </c>
      <c r="I720" s="4" t="s">
        <v>453</v>
      </c>
      <c r="J720" s="1" t="s">
        <v>3860</v>
      </c>
    </row>
    <row r="721">
      <c r="A721" s="1" t="s">
        <v>2258</v>
      </c>
      <c r="B721" s="1" t="s">
        <v>2375</v>
      </c>
      <c r="C721" s="1" t="s">
        <v>2376</v>
      </c>
      <c r="D721" s="1">
        <v>9.0</v>
      </c>
      <c r="E721" s="4" t="s">
        <v>2377</v>
      </c>
      <c r="F721" s="1" t="s">
        <v>43</v>
      </c>
      <c r="G721" s="2">
        <v>1.0</v>
      </c>
      <c r="H721" s="1" t="s">
        <v>120</v>
      </c>
      <c r="I721" s="4" t="s">
        <v>121</v>
      </c>
      <c r="J721" s="1" t="s">
        <v>3861</v>
      </c>
    </row>
    <row r="722">
      <c r="A722" s="1" t="s">
        <v>2258</v>
      </c>
      <c r="B722" s="1" t="s">
        <v>2378</v>
      </c>
      <c r="C722" s="1" t="s">
        <v>2379</v>
      </c>
      <c r="D722" s="1">
        <v>10.0</v>
      </c>
      <c r="E722" s="4" t="s">
        <v>2380</v>
      </c>
      <c r="F722" s="1" t="s">
        <v>43</v>
      </c>
      <c r="G722" s="2">
        <v>1.0</v>
      </c>
      <c r="H722" s="1" t="s">
        <v>2381</v>
      </c>
      <c r="I722" s="4" t="s">
        <v>2382</v>
      </c>
      <c r="J722" s="1" t="s">
        <v>3862</v>
      </c>
    </row>
    <row r="723">
      <c r="A723" s="1" t="s">
        <v>2258</v>
      </c>
      <c r="B723" s="1" t="s">
        <v>2383</v>
      </c>
      <c r="C723" s="1" t="s">
        <v>2384</v>
      </c>
      <c r="D723" s="1">
        <v>11.0</v>
      </c>
      <c r="E723" s="4" t="s">
        <v>2385</v>
      </c>
      <c r="F723" s="1" t="s">
        <v>43</v>
      </c>
      <c r="G723" s="2">
        <v>1.0</v>
      </c>
      <c r="H723" s="4" t="s">
        <v>2386</v>
      </c>
      <c r="I723" s="4" t="s">
        <v>2387</v>
      </c>
      <c r="J723" s="1" t="s">
        <v>3863</v>
      </c>
    </row>
    <row r="724">
      <c r="A724" s="1" t="s">
        <v>2258</v>
      </c>
      <c r="B724" s="1" t="s">
        <v>2388</v>
      </c>
      <c r="C724" s="1" t="s">
        <v>2389</v>
      </c>
      <c r="D724" s="1">
        <v>12.0</v>
      </c>
      <c r="E724" s="4" t="s">
        <v>2390</v>
      </c>
      <c r="F724" s="1" t="s">
        <v>43</v>
      </c>
      <c r="G724" s="2">
        <v>2.0</v>
      </c>
      <c r="H724" s="1" t="s">
        <v>2391</v>
      </c>
      <c r="I724" s="4" t="s">
        <v>2392</v>
      </c>
      <c r="J724" s="1" t="s">
        <v>3864</v>
      </c>
    </row>
    <row r="725">
      <c r="A725" s="1" t="s">
        <v>2258</v>
      </c>
      <c r="B725" s="1" t="s">
        <v>2393</v>
      </c>
      <c r="C725" s="1" t="s">
        <v>2394</v>
      </c>
      <c r="D725" s="1">
        <v>14.0</v>
      </c>
      <c r="E725" s="4" t="s">
        <v>2395</v>
      </c>
      <c r="F725" s="1" t="s">
        <v>43</v>
      </c>
      <c r="G725" s="2">
        <v>2.0</v>
      </c>
      <c r="H725" s="1" t="s">
        <v>2336</v>
      </c>
      <c r="I725" s="4" t="s">
        <v>2337</v>
      </c>
      <c r="J725" s="1" t="s">
        <v>3865</v>
      </c>
    </row>
    <row r="726">
      <c r="A726" s="1" t="s">
        <v>2258</v>
      </c>
      <c r="B726" s="1" t="s">
        <v>2396</v>
      </c>
      <c r="C726" s="1" t="s">
        <v>2397</v>
      </c>
      <c r="D726" s="1">
        <v>15.0</v>
      </c>
      <c r="E726" s="4" t="s">
        <v>2398</v>
      </c>
      <c r="F726" s="1" t="s">
        <v>43</v>
      </c>
      <c r="G726" s="2">
        <v>2.0</v>
      </c>
      <c r="H726" s="1" t="s">
        <v>2328</v>
      </c>
      <c r="I726" s="4" t="s">
        <v>2329</v>
      </c>
      <c r="J726" s="1" t="s">
        <v>3866</v>
      </c>
    </row>
    <row r="727">
      <c r="A727" s="1" t="s">
        <v>2258</v>
      </c>
      <c r="B727" s="1" t="s">
        <v>2399</v>
      </c>
      <c r="D727" s="1">
        <v>16.0</v>
      </c>
      <c r="E727" s="4" t="s">
        <v>2400</v>
      </c>
      <c r="F727" s="1" t="s">
        <v>43</v>
      </c>
      <c r="G727" s="2">
        <v>1.0</v>
      </c>
      <c r="H727" s="1" t="s">
        <v>2401</v>
      </c>
      <c r="I727" s="4" t="s">
        <v>2402</v>
      </c>
      <c r="J727" s="1" t="s">
        <v>3867</v>
      </c>
    </row>
    <row r="728">
      <c r="A728" s="1" t="s">
        <v>2258</v>
      </c>
      <c r="B728" s="1" t="s">
        <v>2403</v>
      </c>
      <c r="D728" s="1">
        <v>17.0</v>
      </c>
      <c r="E728" s="4" t="s">
        <v>2404</v>
      </c>
      <c r="F728" s="1" t="s">
        <v>43</v>
      </c>
      <c r="G728" s="2">
        <v>1.0</v>
      </c>
      <c r="H728" s="1" t="s">
        <v>2405</v>
      </c>
      <c r="I728" s="4" t="s">
        <v>2406</v>
      </c>
      <c r="J728" s="1" t="s">
        <v>3868</v>
      </c>
    </row>
    <row r="729">
      <c r="A729" s="1" t="s">
        <v>2258</v>
      </c>
      <c r="B729" s="1" t="s">
        <v>2407</v>
      </c>
      <c r="C729" s="1" t="s">
        <v>2408</v>
      </c>
      <c r="D729" s="1">
        <v>18.0</v>
      </c>
      <c r="E729" s="4" t="s">
        <v>2409</v>
      </c>
      <c r="F729" s="1" t="s">
        <v>43</v>
      </c>
      <c r="G729" s="2">
        <v>1.0</v>
      </c>
      <c r="H729" s="1" t="s">
        <v>2410</v>
      </c>
      <c r="I729" s="4" t="s">
        <v>2411</v>
      </c>
      <c r="J729" s="1" t="s">
        <v>3869</v>
      </c>
    </row>
    <row r="730">
      <c r="A730" s="1" t="s">
        <v>2258</v>
      </c>
      <c r="B730" s="1" t="s">
        <v>2412</v>
      </c>
      <c r="D730" s="1">
        <v>19.0</v>
      </c>
      <c r="E730" s="4" t="s">
        <v>2413</v>
      </c>
      <c r="F730" s="1" t="s">
        <v>43</v>
      </c>
      <c r="G730" s="2">
        <v>1.0</v>
      </c>
      <c r="H730" s="1" t="s">
        <v>487</v>
      </c>
      <c r="I730" s="4" t="s">
        <v>2414</v>
      </c>
      <c r="J730" s="1" t="s">
        <v>3269</v>
      </c>
    </row>
    <row r="731">
      <c r="A731" s="1" t="s">
        <v>2258</v>
      </c>
      <c r="B731" s="1" t="s">
        <v>2415</v>
      </c>
      <c r="D731" s="1">
        <v>20.0</v>
      </c>
      <c r="E731" s="4" t="s">
        <v>2416</v>
      </c>
      <c r="F731" s="1" t="s">
        <v>43</v>
      </c>
      <c r="G731" s="2">
        <v>1.0</v>
      </c>
      <c r="H731" s="1" t="s">
        <v>2417</v>
      </c>
      <c r="I731" s="4" t="s">
        <v>2418</v>
      </c>
      <c r="J731" s="1" t="s">
        <v>3870</v>
      </c>
    </row>
    <row r="732">
      <c r="A732" s="1" t="s">
        <v>2419</v>
      </c>
      <c r="B732" s="1" t="s">
        <v>2354</v>
      </c>
      <c r="C732" s="1" t="s">
        <v>2355</v>
      </c>
      <c r="D732" s="1">
        <v>1.0</v>
      </c>
      <c r="E732" s="4" t="s">
        <v>2356</v>
      </c>
      <c r="F732" s="1" t="s">
        <v>43</v>
      </c>
      <c r="G732" s="2">
        <v>0.0</v>
      </c>
      <c r="H732" s="1" t="s">
        <v>2268</v>
      </c>
      <c r="I732" s="4" t="s">
        <v>2269</v>
      </c>
      <c r="J732" s="1" t="s">
        <v>3871</v>
      </c>
    </row>
    <row r="733">
      <c r="A733" s="1" t="s">
        <v>2419</v>
      </c>
      <c r="B733" s="1" t="s">
        <v>2357</v>
      </c>
      <c r="C733" s="1" t="s">
        <v>2420</v>
      </c>
      <c r="D733" s="1">
        <v>2.0</v>
      </c>
      <c r="E733" s="4" t="s">
        <v>2359</v>
      </c>
      <c r="F733" s="1" t="s">
        <v>43</v>
      </c>
      <c r="G733" s="2">
        <v>0.0</v>
      </c>
      <c r="H733" s="1" t="s">
        <v>2268</v>
      </c>
      <c r="I733" s="4" t="s">
        <v>2269</v>
      </c>
      <c r="J733" s="1" t="s">
        <v>3872</v>
      </c>
    </row>
    <row r="734">
      <c r="A734" s="1" t="s">
        <v>2419</v>
      </c>
      <c r="B734" s="1" t="s">
        <v>2421</v>
      </c>
      <c r="C734" s="1" t="s">
        <v>2422</v>
      </c>
      <c r="D734" s="1">
        <v>3.0</v>
      </c>
      <c r="E734" s="4" t="s">
        <v>2423</v>
      </c>
      <c r="F734" s="1" t="s">
        <v>43</v>
      </c>
      <c r="G734" s="2">
        <v>0.0</v>
      </c>
      <c r="H734" s="1" t="s">
        <v>2268</v>
      </c>
      <c r="I734" s="4" t="s">
        <v>2269</v>
      </c>
      <c r="J734" s="1" t="s">
        <v>3873</v>
      </c>
    </row>
    <row r="735">
      <c r="A735" s="1" t="s">
        <v>2419</v>
      </c>
      <c r="B735" s="1" t="s">
        <v>2424</v>
      </c>
      <c r="C735" s="1" t="s">
        <v>2425</v>
      </c>
      <c r="D735" s="1">
        <v>4.0</v>
      </c>
      <c r="E735" s="4" t="s">
        <v>2426</v>
      </c>
      <c r="F735" s="1" t="s">
        <v>43</v>
      </c>
      <c r="G735" s="2">
        <v>0.0</v>
      </c>
      <c r="H735" s="1" t="s">
        <v>2268</v>
      </c>
      <c r="I735" s="4" t="s">
        <v>2269</v>
      </c>
      <c r="J735" s="1" t="s">
        <v>3874</v>
      </c>
    </row>
    <row r="736">
      <c r="A736" s="1" t="s">
        <v>2419</v>
      </c>
      <c r="B736" s="1" t="s">
        <v>2427</v>
      </c>
      <c r="C736" s="1" t="s">
        <v>2428</v>
      </c>
      <c r="D736" s="1">
        <v>5.0</v>
      </c>
      <c r="E736" s="4" t="s">
        <v>2429</v>
      </c>
      <c r="F736" s="1" t="s">
        <v>43</v>
      </c>
      <c r="G736" s="2">
        <v>0.0</v>
      </c>
      <c r="H736" s="1" t="s">
        <v>2268</v>
      </c>
      <c r="I736" s="4" t="s">
        <v>2269</v>
      </c>
      <c r="J736" s="1" t="s">
        <v>3875</v>
      </c>
    </row>
    <row r="737">
      <c r="A737" s="1" t="s">
        <v>2419</v>
      </c>
      <c r="B737" s="1" t="s">
        <v>2430</v>
      </c>
      <c r="C737" s="1" t="s">
        <v>2431</v>
      </c>
      <c r="D737" s="1">
        <v>6.0</v>
      </c>
      <c r="E737" s="4" t="s">
        <v>2432</v>
      </c>
      <c r="F737" s="1" t="s">
        <v>43</v>
      </c>
      <c r="G737" s="2">
        <v>0.0</v>
      </c>
      <c r="H737" s="1" t="s">
        <v>2268</v>
      </c>
      <c r="I737" s="4" t="s">
        <v>2269</v>
      </c>
      <c r="J737" s="1" t="s">
        <v>3876</v>
      </c>
    </row>
    <row r="738">
      <c r="A738" s="1" t="s">
        <v>2419</v>
      </c>
      <c r="B738" s="1" t="s">
        <v>2433</v>
      </c>
      <c r="C738" s="1" t="s">
        <v>2434</v>
      </c>
      <c r="D738" s="1">
        <v>7.0</v>
      </c>
      <c r="E738" s="4" t="s">
        <v>2435</v>
      </c>
      <c r="F738" s="1" t="s">
        <v>43</v>
      </c>
      <c r="G738" s="2">
        <v>0.0</v>
      </c>
      <c r="H738" s="1" t="s">
        <v>2268</v>
      </c>
      <c r="I738" s="4" t="s">
        <v>2269</v>
      </c>
      <c r="J738" s="1" t="s">
        <v>3877</v>
      </c>
    </row>
    <row r="739">
      <c r="A739" s="1" t="s">
        <v>2419</v>
      </c>
      <c r="B739" s="1" t="s">
        <v>2436</v>
      </c>
      <c r="C739" s="1" t="s">
        <v>2437</v>
      </c>
      <c r="D739" s="1">
        <v>8.0</v>
      </c>
      <c r="E739" s="4" t="s">
        <v>2438</v>
      </c>
      <c r="F739" s="1" t="s">
        <v>43</v>
      </c>
      <c r="G739" s="2">
        <v>0.0</v>
      </c>
      <c r="H739" s="1" t="s">
        <v>2268</v>
      </c>
      <c r="I739" s="4" t="s">
        <v>2269</v>
      </c>
      <c r="J739" s="1" t="s">
        <v>3878</v>
      </c>
    </row>
    <row r="740">
      <c r="A740" s="1" t="s">
        <v>2419</v>
      </c>
      <c r="B740" s="1" t="s">
        <v>2388</v>
      </c>
      <c r="C740" s="1" t="s">
        <v>2439</v>
      </c>
      <c r="D740" s="1">
        <v>9.0</v>
      </c>
      <c r="E740" s="4" t="s">
        <v>2390</v>
      </c>
      <c r="F740" s="1" t="s">
        <v>43</v>
      </c>
      <c r="G740" s="2">
        <v>0.0</v>
      </c>
      <c r="H740" s="1" t="s">
        <v>2391</v>
      </c>
      <c r="I740" s="4" t="s">
        <v>2392</v>
      </c>
      <c r="J740" s="1" t="s">
        <v>3879</v>
      </c>
    </row>
    <row r="741">
      <c r="A741" s="1" t="s">
        <v>2419</v>
      </c>
      <c r="B741" s="1" t="s">
        <v>2440</v>
      </c>
      <c r="D741" s="1">
        <v>10.0</v>
      </c>
      <c r="E741" s="4" t="s">
        <v>2441</v>
      </c>
      <c r="F741" s="1" t="s">
        <v>43</v>
      </c>
      <c r="G741" s="2">
        <v>0.0</v>
      </c>
      <c r="H741" s="1" t="s">
        <v>336</v>
      </c>
      <c r="I741" s="4" t="s">
        <v>453</v>
      </c>
      <c r="J741" s="1" t="s">
        <v>3880</v>
      </c>
    </row>
    <row r="742">
      <c r="A742" s="1" t="s">
        <v>2419</v>
      </c>
      <c r="B742" s="1" t="s">
        <v>2442</v>
      </c>
      <c r="C742" s="1" t="s">
        <v>2443</v>
      </c>
      <c r="D742" s="1">
        <v>11.0</v>
      </c>
      <c r="E742" s="4" t="s">
        <v>2444</v>
      </c>
      <c r="F742" s="1" t="s">
        <v>43</v>
      </c>
      <c r="G742" s="2">
        <v>0.0</v>
      </c>
      <c r="H742" s="1" t="s">
        <v>2410</v>
      </c>
      <c r="I742" s="4" t="s">
        <v>2411</v>
      </c>
      <c r="J742" s="1" t="s">
        <v>3881</v>
      </c>
    </row>
    <row r="743">
      <c r="A743" s="1" t="s">
        <v>2419</v>
      </c>
      <c r="B743" s="1" t="s">
        <v>2363</v>
      </c>
      <c r="C743" s="1" t="s">
        <v>2445</v>
      </c>
      <c r="D743" s="1">
        <v>12.0</v>
      </c>
      <c r="E743" s="4" t="s">
        <v>2365</v>
      </c>
      <c r="F743" s="1" t="s">
        <v>43</v>
      </c>
      <c r="G743" s="2">
        <v>0.0</v>
      </c>
      <c r="H743" s="1" t="s">
        <v>2341</v>
      </c>
      <c r="I743" s="4" t="s">
        <v>2342</v>
      </c>
      <c r="J743" s="1" t="s">
        <v>3882</v>
      </c>
    </row>
    <row r="744">
      <c r="A744" s="1" t="s">
        <v>2419</v>
      </c>
      <c r="B744" s="1" t="s">
        <v>2446</v>
      </c>
      <c r="C744" s="1" t="s">
        <v>2447</v>
      </c>
      <c r="D744" s="1">
        <v>13.0</v>
      </c>
      <c r="E744" s="4" t="s">
        <v>2448</v>
      </c>
      <c r="F744" s="1" t="s">
        <v>43</v>
      </c>
      <c r="G744" s="2">
        <v>0.0</v>
      </c>
      <c r="H744" s="1" t="s">
        <v>2449</v>
      </c>
      <c r="I744" s="4" t="s">
        <v>2450</v>
      </c>
      <c r="J744" s="1" t="s">
        <v>3883</v>
      </c>
    </row>
    <row r="745">
      <c r="A745" s="1" t="s">
        <v>2419</v>
      </c>
      <c r="B745" s="1" t="s">
        <v>2451</v>
      </c>
      <c r="C745" s="1" t="s">
        <v>2452</v>
      </c>
      <c r="D745" s="1">
        <v>14.0</v>
      </c>
      <c r="E745" s="4" t="s">
        <v>2453</v>
      </c>
      <c r="F745" s="1" t="s">
        <v>43</v>
      </c>
      <c r="G745" s="2">
        <v>0.0</v>
      </c>
      <c r="H745" s="1" t="s">
        <v>2381</v>
      </c>
      <c r="I745" s="4" t="s">
        <v>2382</v>
      </c>
      <c r="J745" s="1" t="s">
        <v>3884</v>
      </c>
    </row>
    <row r="746">
      <c r="A746" s="1" t="s">
        <v>2419</v>
      </c>
      <c r="B746" s="1" t="s">
        <v>2454</v>
      </c>
      <c r="C746" s="1" t="s">
        <v>2455</v>
      </c>
      <c r="D746" s="1">
        <v>15.0</v>
      </c>
      <c r="E746" s="4" t="s">
        <v>2456</v>
      </c>
      <c r="F746" s="1" t="s">
        <v>43</v>
      </c>
      <c r="G746" s="2">
        <v>0.0</v>
      </c>
      <c r="H746" s="1" t="s">
        <v>2457</v>
      </c>
      <c r="I746" s="4" t="s">
        <v>2458</v>
      </c>
      <c r="J746" s="1" t="s">
        <v>3885</v>
      </c>
    </row>
    <row r="747">
      <c r="A747" s="1" t="s">
        <v>2419</v>
      </c>
      <c r="B747" s="1" t="s">
        <v>2366</v>
      </c>
      <c r="C747" s="1" t="s">
        <v>2459</v>
      </c>
      <c r="D747" s="1">
        <v>16.0</v>
      </c>
      <c r="E747" s="4" t="s">
        <v>2367</v>
      </c>
      <c r="F747" s="1" t="s">
        <v>43</v>
      </c>
      <c r="G747" s="2">
        <v>0.0</v>
      </c>
      <c r="H747" s="1" t="s">
        <v>2368</v>
      </c>
      <c r="I747" s="4" t="s">
        <v>2369</v>
      </c>
      <c r="J747" s="1" t="s">
        <v>3886</v>
      </c>
    </row>
    <row r="748">
      <c r="A748" s="1" t="s">
        <v>2419</v>
      </c>
      <c r="B748" s="1" t="s">
        <v>2370</v>
      </c>
      <c r="C748" s="1" t="s">
        <v>2460</v>
      </c>
      <c r="D748" s="1">
        <v>17.0</v>
      </c>
      <c r="E748" s="4" t="s">
        <v>2371</v>
      </c>
      <c r="F748" s="1" t="s">
        <v>43</v>
      </c>
      <c r="G748" s="2">
        <v>0.0</v>
      </c>
      <c r="H748" s="1" t="s">
        <v>2368</v>
      </c>
      <c r="I748" s="4" t="s">
        <v>2369</v>
      </c>
      <c r="J748" s="1" t="s">
        <v>3887</v>
      </c>
    </row>
    <row r="749">
      <c r="A749" s="1" t="s">
        <v>2419</v>
      </c>
      <c r="B749" s="1" t="s">
        <v>2461</v>
      </c>
      <c r="D749" s="1">
        <v>18.0</v>
      </c>
      <c r="E749" s="4" t="s">
        <v>2462</v>
      </c>
      <c r="F749" s="1" t="s">
        <v>43</v>
      </c>
      <c r="G749" s="2">
        <v>0.0</v>
      </c>
      <c r="H749" s="1" t="s">
        <v>302</v>
      </c>
      <c r="I749" s="4" t="s">
        <v>303</v>
      </c>
      <c r="J749" s="1" t="s">
        <v>3888</v>
      </c>
    </row>
    <row r="750">
      <c r="A750" s="1" t="s">
        <v>2419</v>
      </c>
      <c r="B750" s="1" t="s">
        <v>2463</v>
      </c>
      <c r="D750" s="1">
        <v>19.0</v>
      </c>
      <c r="E750" s="4" t="s">
        <v>2464</v>
      </c>
      <c r="F750" s="1" t="s">
        <v>43</v>
      </c>
      <c r="G750" s="2">
        <v>0.0</v>
      </c>
      <c r="H750" s="1" t="s">
        <v>302</v>
      </c>
      <c r="I750" s="4" t="s">
        <v>303</v>
      </c>
      <c r="J750" s="1" t="s">
        <v>3889</v>
      </c>
    </row>
    <row r="751">
      <c r="A751" s="1" t="s">
        <v>2419</v>
      </c>
      <c r="B751" s="1" t="s">
        <v>2465</v>
      </c>
      <c r="C751" s="1" t="s">
        <v>2466</v>
      </c>
      <c r="D751" s="1">
        <v>26.0</v>
      </c>
      <c r="E751" s="4" t="s">
        <v>2467</v>
      </c>
      <c r="F751" s="1" t="s">
        <v>43</v>
      </c>
      <c r="G751" s="2">
        <v>0.0</v>
      </c>
      <c r="H751" s="1" t="s">
        <v>2268</v>
      </c>
      <c r="I751" s="4" t="s">
        <v>2269</v>
      </c>
      <c r="J751" s="1" t="s">
        <v>3890</v>
      </c>
    </row>
    <row r="752">
      <c r="A752" s="1" t="s">
        <v>2419</v>
      </c>
      <c r="B752" s="1" t="s">
        <v>2468</v>
      </c>
      <c r="C752" s="1" t="s">
        <v>2469</v>
      </c>
      <c r="D752" s="1">
        <v>28.0</v>
      </c>
      <c r="E752" s="4" t="s">
        <v>2470</v>
      </c>
      <c r="F752" s="1" t="s">
        <v>43</v>
      </c>
      <c r="G752" s="2">
        <v>0.0</v>
      </c>
      <c r="H752" s="1" t="s">
        <v>2471</v>
      </c>
      <c r="I752" s="4" t="s">
        <v>2472</v>
      </c>
      <c r="J752" s="1" t="s">
        <v>3891</v>
      </c>
    </row>
    <row r="753">
      <c r="A753" s="1" t="s">
        <v>2419</v>
      </c>
      <c r="B753" s="1" t="s">
        <v>2473</v>
      </c>
      <c r="C753" s="1" t="s">
        <v>2474</v>
      </c>
      <c r="D753" s="1">
        <v>30.0</v>
      </c>
      <c r="E753" s="4" t="s">
        <v>2475</v>
      </c>
      <c r="F753" s="1" t="s">
        <v>43</v>
      </c>
      <c r="G753" s="2">
        <v>1.0</v>
      </c>
      <c r="H753" s="1" t="s">
        <v>2410</v>
      </c>
      <c r="I753" s="4" t="s">
        <v>2411</v>
      </c>
      <c r="J753" s="1" t="s">
        <v>3892</v>
      </c>
    </row>
    <row r="754">
      <c r="A754" s="1" t="s">
        <v>2419</v>
      </c>
      <c r="B754" s="1" t="s">
        <v>2476</v>
      </c>
      <c r="C754" s="1" t="s">
        <v>2477</v>
      </c>
      <c r="D754" s="1">
        <v>31.0</v>
      </c>
      <c r="E754" s="4" t="s">
        <v>2478</v>
      </c>
      <c r="F754" s="1" t="s">
        <v>43</v>
      </c>
      <c r="G754" s="2">
        <v>1.0</v>
      </c>
      <c r="H754" s="1" t="s">
        <v>2449</v>
      </c>
      <c r="I754" s="4" t="s">
        <v>2450</v>
      </c>
      <c r="J754" s="1" t="s">
        <v>3893</v>
      </c>
    </row>
    <row r="755">
      <c r="A755" s="1" t="s">
        <v>2419</v>
      </c>
      <c r="B755" s="1" t="s">
        <v>2479</v>
      </c>
      <c r="D755" s="1">
        <v>35.0</v>
      </c>
      <c r="E755" s="4" t="s">
        <v>2480</v>
      </c>
      <c r="F755" s="1" t="s">
        <v>43</v>
      </c>
      <c r="G755" s="2">
        <v>3.0</v>
      </c>
      <c r="H755" s="1" t="s">
        <v>302</v>
      </c>
      <c r="I755" s="4" t="s">
        <v>303</v>
      </c>
      <c r="J755" s="1" t="s">
        <v>3894</v>
      </c>
    </row>
    <row r="756">
      <c r="A756" s="1" t="s">
        <v>2419</v>
      </c>
      <c r="B756" s="1" t="s">
        <v>2481</v>
      </c>
      <c r="D756" s="1">
        <v>36.0</v>
      </c>
      <c r="E756" s="4" t="s">
        <v>2482</v>
      </c>
      <c r="F756" s="1" t="s">
        <v>43</v>
      </c>
      <c r="G756" s="2">
        <v>3.0</v>
      </c>
      <c r="H756" s="1" t="s">
        <v>302</v>
      </c>
      <c r="I756" s="4" t="s">
        <v>303</v>
      </c>
      <c r="J756" s="1" t="s">
        <v>3895</v>
      </c>
    </row>
    <row r="757">
      <c r="A757" s="1" t="s">
        <v>2419</v>
      </c>
      <c r="B757" s="1" t="s">
        <v>2483</v>
      </c>
      <c r="D757" s="1">
        <v>37.0</v>
      </c>
      <c r="E757" s="4" t="s">
        <v>2484</v>
      </c>
      <c r="F757" s="1" t="s">
        <v>43</v>
      </c>
      <c r="G757" s="2">
        <v>3.0</v>
      </c>
      <c r="H757" s="1" t="s">
        <v>302</v>
      </c>
      <c r="I757" s="4" t="s">
        <v>303</v>
      </c>
      <c r="J757" s="1" t="s">
        <v>3896</v>
      </c>
    </row>
    <row r="758">
      <c r="A758" s="1" t="s">
        <v>2419</v>
      </c>
      <c r="B758" s="1" t="s">
        <v>2485</v>
      </c>
      <c r="D758" s="1">
        <v>38.0</v>
      </c>
      <c r="E758" s="4" t="s">
        <v>2486</v>
      </c>
      <c r="F758" s="1" t="s">
        <v>43</v>
      </c>
      <c r="G758" s="2">
        <v>3.0</v>
      </c>
      <c r="H758" s="1" t="s">
        <v>302</v>
      </c>
      <c r="I758" s="4" t="s">
        <v>303</v>
      </c>
      <c r="J758" s="1" t="s">
        <v>3897</v>
      </c>
    </row>
    <row r="759">
      <c r="A759" s="1" t="s">
        <v>2487</v>
      </c>
      <c r="B759" s="1" t="s">
        <v>2488</v>
      </c>
      <c r="C759" s="1" t="s">
        <v>2489</v>
      </c>
      <c r="D759" s="1">
        <v>1.0</v>
      </c>
      <c r="E759" s="4" t="s">
        <v>2490</v>
      </c>
      <c r="F759" s="1" t="s">
        <v>16</v>
      </c>
      <c r="G759" s="2">
        <v>1.0</v>
      </c>
      <c r="H759" s="1" t="s">
        <v>336</v>
      </c>
      <c r="I759" s="4" t="s">
        <v>2491</v>
      </c>
      <c r="J759" s="1" t="s">
        <v>3898</v>
      </c>
    </row>
    <row r="760">
      <c r="A760" s="1" t="s">
        <v>2487</v>
      </c>
      <c r="B760" s="1" t="s">
        <v>2492</v>
      </c>
      <c r="C760" s="1" t="s">
        <v>2493</v>
      </c>
      <c r="D760" s="1">
        <v>2.0</v>
      </c>
      <c r="E760" s="4" t="s">
        <v>2494</v>
      </c>
      <c r="F760" s="1" t="s">
        <v>16</v>
      </c>
      <c r="G760" s="2">
        <v>2.0</v>
      </c>
      <c r="H760" s="1" t="s">
        <v>2495</v>
      </c>
      <c r="I760" s="4" t="s">
        <v>2496</v>
      </c>
      <c r="J760" s="1" t="s">
        <v>3899</v>
      </c>
    </row>
    <row r="761">
      <c r="A761" s="1" t="s">
        <v>2487</v>
      </c>
      <c r="B761" s="1" t="s">
        <v>2497</v>
      </c>
      <c r="C761" s="1" t="s">
        <v>2498</v>
      </c>
      <c r="D761" s="1">
        <v>3.0</v>
      </c>
      <c r="E761" s="4" t="s">
        <v>2499</v>
      </c>
      <c r="F761" s="1" t="s">
        <v>16</v>
      </c>
      <c r="G761" s="2">
        <v>1.0</v>
      </c>
      <c r="H761" s="1" t="s">
        <v>2500</v>
      </c>
      <c r="I761" s="4" t="s">
        <v>2501</v>
      </c>
      <c r="J761" s="1" t="s">
        <v>3900</v>
      </c>
    </row>
    <row r="762">
      <c r="A762" s="1" t="s">
        <v>2487</v>
      </c>
      <c r="B762" s="1" t="s">
        <v>2502</v>
      </c>
      <c r="C762" s="1" t="s">
        <v>2503</v>
      </c>
      <c r="D762" s="1">
        <v>4.0</v>
      </c>
      <c r="E762" s="4" t="s">
        <v>2504</v>
      </c>
      <c r="F762" s="1" t="s">
        <v>16</v>
      </c>
      <c r="G762" s="2">
        <v>1.0</v>
      </c>
      <c r="H762" s="1" t="s">
        <v>2505</v>
      </c>
      <c r="I762" s="4" t="s">
        <v>2506</v>
      </c>
      <c r="J762" s="1" t="s">
        <v>3901</v>
      </c>
    </row>
    <row r="763">
      <c r="A763" s="1" t="s">
        <v>2487</v>
      </c>
      <c r="B763" s="1" t="s">
        <v>2507</v>
      </c>
      <c r="D763" s="1">
        <v>5.0</v>
      </c>
      <c r="E763" s="4" t="s">
        <v>2508</v>
      </c>
      <c r="F763" s="1" t="s">
        <v>16</v>
      </c>
      <c r="G763" s="2">
        <v>2.0</v>
      </c>
      <c r="H763" s="1" t="s">
        <v>2509</v>
      </c>
      <c r="I763" s="4" t="s">
        <v>2510</v>
      </c>
      <c r="J763" s="1" t="s">
        <v>3902</v>
      </c>
    </row>
    <row r="764">
      <c r="A764" s="1" t="s">
        <v>2487</v>
      </c>
      <c r="B764" s="1" t="s">
        <v>2511</v>
      </c>
      <c r="C764" s="1" t="s">
        <v>2512</v>
      </c>
      <c r="D764" s="1">
        <v>6.0</v>
      </c>
      <c r="E764" s="4" t="s">
        <v>2513</v>
      </c>
      <c r="F764" s="1" t="s">
        <v>16</v>
      </c>
      <c r="G764" s="2">
        <v>2.0</v>
      </c>
      <c r="H764" s="1" t="s">
        <v>2514</v>
      </c>
      <c r="I764" s="4" t="s">
        <v>2515</v>
      </c>
      <c r="J764" s="1" t="s">
        <v>3903</v>
      </c>
    </row>
    <row r="765">
      <c r="A765" s="1" t="s">
        <v>2487</v>
      </c>
      <c r="B765" s="1" t="s">
        <v>2516</v>
      </c>
      <c r="C765" s="1" t="s">
        <v>2517</v>
      </c>
      <c r="D765" s="1">
        <v>7.0</v>
      </c>
      <c r="E765" s="4" t="s">
        <v>2518</v>
      </c>
      <c r="F765" s="1" t="s">
        <v>16</v>
      </c>
      <c r="G765" s="2">
        <v>1.0</v>
      </c>
      <c r="H765" s="1" t="s">
        <v>2519</v>
      </c>
      <c r="I765" s="1" t="s">
        <v>2520</v>
      </c>
      <c r="J765" s="1" t="s">
        <v>3904</v>
      </c>
    </row>
    <row r="766">
      <c r="A766" s="1" t="s">
        <v>2487</v>
      </c>
      <c r="B766" s="1" t="s">
        <v>2521</v>
      </c>
      <c r="C766" s="1" t="s">
        <v>2522</v>
      </c>
      <c r="D766" s="1">
        <v>8.0</v>
      </c>
      <c r="E766" s="4" t="s">
        <v>2523</v>
      </c>
      <c r="F766" s="1" t="s">
        <v>16</v>
      </c>
      <c r="G766" s="2">
        <v>1.0</v>
      </c>
      <c r="J766" s="1" t="s">
        <v>3269</v>
      </c>
    </row>
    <row r="767">
      <c r="A767" s="1" t="s">
        <v>2487</v>
      </c>
      <c r="B767" s="1" t="s">
        <v>2524</v>
      </c>
      <c r="C767" s="1" t="s">
        <v>2525</v>
      </c>
      <c r="D767" s="1">
        <v>9.0</v>
      </c>
      <c r="E767" s="4" t="s">
        <v>2526</v>
      </c>
      <c r="F767" s="1" t="s">
        <v>16</v>
      </c>
      <c r="G767" s="2">
        <v>2.0</v>
      </c>
      <c r="H767" s="1" t="s">
        <v>2527</v>
      </c>
      <c r="I767" s="4" t="s">
        <v>2528</v>
      </c>
      <c r="J767" s="1" t="s">
        <v>3905</v>
      </c>
    </row>
    <row r="768">
      <c r="A768" s="1" t="s">
        <v>2487</v>
      </c>
      <c r="B768" s="1" t="s">
        <v>2529</v>
      </c>
      <c r="C768" s="1" t="s">
        <v>2530</v>
      </c>
      <c r="D768" s="1">
        <v>10.0</v>
      </c>
      <c r="E768" s="4" t="s">
        <v>2531</v>
      </c>
      <c r="F768" s="1" t="s">
        <v>16</v>
      </c>
      <c r="G768" s="2">
        <v>2.0</v>
      </c>
      <c r="H768" s="1" t="s">
        <v>2532</v>
      </c>
      <c r="I768" s="4" t="s">
        <v>2533</v>
      </c>
      <c r="J768" s="1" t="s">
        <v>3906</v>
      </c>
    </row>
    <row r="769">
      <c r="A769" s="1" t="s">
        <v>2487</v>
      </c>
      <c r="B769" s="1" t="s">
        <v>2534</v>
      </c>
      <c r="C769" s="1" t="s">
        <v>2535</v>
      </c>
      <c r="D769" s="1">
        <v>11.0</v>
      </c>
      <c r="E769" s="4" t="s">
        <v>2536</v>
      </c>
      <c r="F769" s="1" t="s">
        <v>16</v>
      </c>
      <c r="G769" s="2">
        <v>2.0</v>
      </c>
      <c r="H769" s="1" t="s">
        <v>2537</v>
      </c>
      <c r="I769" s="4" t="s">
        <v>2538</v>
      </c>
      <c r="J769" s="1" t="s">
        <v>3907</v>
      </c>
    </row>
    <row r="770">
      <c r="A770" s="1" t="s">
        <v>2487</v>
      </c>
      <c r="B770" s="1" t="s">
        <v>2539</v>
      </c>
      <c r="C770" s="1" t="s">
        <v>2540</v>
      </c>
      <c r="D770" s="1">
        <v>12.0</v>
      </c>
      <c r="E770" s="4" t="s">
        <v>2541</v>
      </c>
      <c r="F770" s="1" t="s">
        <v>16</v>
      </c>
      <c r="G770" s="2">
        <v>1.0</v>
      </c>
      <c r="H770" s="1" t="s">
        <v>344</v>
      </c>
      <c r="I770" s="4" t="s">
        <v>345</v>
      </c>
      <c r="J770" s="1" t="s">
        <v>3908</v>
      </c>
    </row>
    <row r="771">
      <c r="A771" s="1" t="s">
        <v>2487</v>
      </c>
      <c r="B771" s="1" t="s">
        <v>2542</v>
      </c>
      <c r="C771" s="1" t="s">
        <v>2522</v>
      </c>
      <c r="D771" s="1">
        <v>13.0</v>
      </c>
      <c r="E771" s="4" t="s">
        <v>2543</v>
      </c>
      <c r="F771" s="1" t="s">
        <v>16</v>
      </c>
      <c r="G771" s="2">
        <v>1.0</v>
      </c>
      <c r="J771" s="1" t="s">
        <v>3269</v>
      </c>
    </row>
    <row r="772">
      <c r="A772" s="1" t="s">
        <v>2487</v>
      </c>
      <c r="B772" s="1" t="s">
        <v>2544</v>
      </c>
      <c r="C772" s="1" t="s">
        <v>2545</v>
      </c>
      <c r="D772" s="1">
        <v>14.0</v>
      </c>
      <c r="E772" s="4" t="s">
        <v>2546</v>
      </c>
      <c r="F772" s="1" t="s">
        <v>16</v>
      </c>
      <c r="G772" s="2">
        <v>2.0</v>
      </c>
      <c r="J772" s="1" t="s">
        <v>3269</v>
      </c>
    </row>
    <row r="773">
      <c r="A773" s="1" t="s">
        <v>2487</v>
      </c>
      <c r="B773" s="1" t="s">
        <v>2547</v>
      </c>
      <c r="D773" s="1">
        <v>15.0</v>
      </c>
      <c r="E773" s="4" t="s">
        <v>2548</v>
      </c>
      <c r="F773" s="1" t="s">
        <v>16</v>
      </c>
      <c r="G773" s="2">
        <v>1.0</v>
      </c>
      <c r="H773" s="1" t="s">
        <v>2509</v>
      </c>
      <c r="I773" s="4" t="s">
        <v>2510</v>
      </c>
      <c r="J773" s="1" t="s">
        <v>3909</v>
      </c>
    </row>
    <row r="774">
      <c r="A774" s="1" t="s">
        <v>2487</v>
      </c>
      <c r="B774" s="1" t="s">
        <v>2549</v>
      </c>
      <c r="C774" s="1" t="s">
        <v>2550</v>
      </c>
      <c r="D774" s="1">
        <v>16.0</v>
      </c>
      <c r="E774" s="4" t="s">
        <v>2551</v>
      </c>
      <c r="F774" s="1" t="s">
        <v>16</v>
      </c>
      <c r="G774" s="2">
        <v>2.0</v>
      </c>
      <c r="H774" s="1" t="s">
        <v>2552</v>
      </c>
      <c r="I774" s="4" t="s">
        <v>2553</v>
      </c>
      <c r="J774" s="1" t="s">
        <v>3910</v>
      </c>
    </row>
    <row r="775">
      <c r="A775" s="1" t="s">
        <v>2487</v>
      </c>
      <c r="B775" s="1" t="s">
        <v>2554</v>
      </c>
      <c r="C775" s="1" t="s">
        <v>2555</v>
      </c>
      <c r="D775" s="1">
        <v>17.0</v>
      </c>
      <c r="E775" s="4" t="s">
        <v>2556</v>
      </c>
      <c r="F775" s="1" t="s">
        <v>16</v>
      </c>
      <c r="G775" s="2">
        <v>1.0</v>
      </c>
      <c r="H775" s="1" t="s">
        <v>2557</v>
      </c>
      <c r="I775" s="4" t="s">
        <v>2558</v>
      </c>
      <c r="J775" s="1" t="s">
        <v>3911</v>
      </c>
    </row>
    <row r="776">
      <c r="A776" s="1" t="s">
        <v>2487</v>
      </c>
      <c r="B776" s="1" t="s">
        <v>2559</v>
      </c>
      <c r="C776" s="1" t="s">
        <v>2560</v>
      </c>
      <c r="D776" s="1">
        <v>18.0</v>
      </c>
      <c r="E776" s="4" t="s">
        <v>2561</v>
      </c>
      <c r="F776" s="1" t="s">
        <v>16</v>
      </c>
      <c r="G776" s="2">
        <v>2.0</v>
      </c>
      <c r="H776" s="1" t="s">
        <v>2562</v>
      </c>
      <c r="I776" s="4" t="s">
        <v>2563</v>
      </c>
      <c r="J776" s="1" t="s">
        <v>3912</v>
      </c>
    </row>
    <row r="777">
      <c r="A777" s="1" t="s">
        <v>2487</v>
      </c>
      <c r="B777" s="1" t="s">
        <v>2564</v>
      </c>
      <c r="C777" s="1" t="s">
        <v>2565</v>
      </c>
      <c r="D777" s="1">
        <v>19.0</v>
      </c>
      <c r="E777" s="4" t="s">
        <v>2566</v>
      </c>
      <c r="F777" s="1" t="s">
        <v>16</v>
      </c>
      <c r="G777" s="2">
        <v>1.0</v>
      </c>
      <c r="J777" s="1" t="s">
        <v>3269</v>
      </c>
    </row>
    <row r="778">
      <c r="A778" s="1" t="s">
        <v>2487</v>
      </c>
      <c r="B778" s="1" t="s">
        <v>2567</v>
      </c>
      <c r="D778" s="1">
        <v>20.0</v>
      </c>
      <c r="E778" s="4" t="s">
        <v>2568</v>
      </c>
      <c r="F778" s="1" t="s">
        <v>16</v>
      </c>
      <c r="G778" s="2">
        <v>2.0</v>
      </c>
      <c r="H778" s="1" t="s">
        <v>2569</v>
      </c>
      <c r="I778" s="4" t="s">
        <v>2570</v>
      </c>
      <c r="J778" s="1" t="s">
        <v>3913</v>
      </c>
    </row>
    <row r="779">
      <c r="A779" s="1" t="s">
        <v>2487</v>
      </c>
      <c r="B779" s="1" t="s">
        <v>2571</v>
      </c>
      <c r="C779" s="1" t="s">
        <v>2489</v>
      </c>
      <c r="D779" s="1">
        <v>4.0</v>
      </c>
      <c r="E779" s="4" t="s">
        <v>2572</v>
      </c>
      <c r="F779" s="1" t="s">
        <v>43</v>
      </c>
      <c r="G779" s="2">
        <v>1.0</v>
      </c>
      <c r="H779" s="1" t="s">
        <v>336</v>
      </c>
      <c r="I779" s="4" t="s">
        <v>2491</v>
      </c>
      <c r="J779" s="1" t="s">
        <v>3914</v>
      </c>
    </row>
    <row r="780">
      <c r="A780" s="1" t="s">
        <v>2487</v>
      </c>
      <c r="B780" s="1" t="s">
        <v>2573</v>
      </c>
      <c r="C780" s="1" t="s">
        <v>2522</v>
      </c>
      <c r="D780" s="1">
        <v>8.0</v>
      </c>
      <c r="E780" s="4" t="s">
        <v>2523</v>
      </c>
      <c r="F780" s="1" t="s">
        <v>43</v>
      </c>
      <c r="G780" s="2">
        <v>2.0</v>
      </c>
      <c r="J780" s="1" t="s">
        <v>3269</v>
      </c>
    </row>
    <row r="781">
      <c r="A781" s="1" t="s">
        <v>2487</v>
      </c>
      <c r="B781" s="1" t="s">
        <v>2574</v>
      </c>
      <c r="C781" s="1" t="s">
        <v>2575</v>
      </c>
      <c r="D781" s="1">
        <v>9.0</v>
      </c>
      <c r="E781" s="4" t="s">
        <v>2576</v>
      </c>
      <c r="F781" s="1" t="s">
        <v>43</v>
      </c>
      <c r="G781" s="2">
        <v>1.0</v>
      </c>
      <c r="H781" s="1" t="s">
        <v>2577</v>
      </c>
      <c r="I781" s="4" t="s">
        <v>2578</v>
      </c>
      <c r="J781" s="1" t="s">
        <v>3915</v>
      </c>
    </row>
    <row r="782">
      <c r="A782" s="1" t="s">
        <v>2487</v>
      </c>
      <c r="B782" s="1" t="s">
        <v>2579</v>
      </c>
      <c r="C782" s="1" t="s">
        <v>2580</v>
      </c>
      <c r="D782" s="1">
        <v>11.0</v>
      </c>
      <c r="E782" s="4" t="s">
        <v>2581</v>
      </c>
      <c r="F782" s="1" t="s">
        <v>43</v>
      </c>
      <c r="G782" s="2">
        <v>2.0</v>
      </c>
      <c r="H782" s="1" t="s">
        <v>2582</v>
      </c>
      <c r="I782" s="4" t="s">
        <v>2583</v>
      </c>
      <c r="J782" s="1" t="s">
        <v>3916</v>
      </c>
    </row>
    <row r="783">
      <c r="A783" s="1" t="s">
        <v>2487</v>
      </c>
      <c r="B783" s="1" t="s">
        <v>2584</v>
      </c>
      <c r="C783" s="1" t="s">
        <v>2585</v>
      </c>
      <c r="D783" s="1">
        <v>16.0</v>
      </c>
      <c r="E783" s="4" t="s">
        <v>2548</v>
      </c>
      <c r="F783" s="1" t="s">
        <v>43</v>
      </c>
      <c r="G783" s="2">
        <v>1.0</v>
      </c>
      <c r="H783" s="1" t="s">
        <v>2509</v>
      </c>
      <c r="I783" s="4" t="s">
        <v>2510</v>
      </c>
      <c r="J783" s="1" t="s">
        <v>3917</v>
      </c>
    </row>
    <row r="784">
      <c r="A784" s="1" t="s">
        <v>2487</v>
      </c>
      <c r="B784" s="1" t="s">
        <v>2586</v>
      </c>
      <c r="D784" s="1">
        <v>18.0</v>
      </c>
      <c r="E784" s="4" t="s">
        <v>2587</v>
      </c>
      <c r="F784" s="1" t="s">
        <v>43</v>
      </c>
      <c r="G784" s="2">
        <v>1.0</v>
      </c>
      <c r="J784" s="1" t="s">
        <v>3269</v>
      </c>
    </row>
    <row r="785">
      <c r="A785" s="1" t="s">
        <v>2588</v>
      </c>
      <c r="B785" s="1" t="s">
        <v>1720</v>
      </c>
      <c r="C785" s="1" t="s">
        <v>2589</v>
      </c>
      <c r="D785" s="1">
        <v>1.0</v>
      </c>
      <c r="E785" s="4" t="s">
        <v>1722</v>
      </c>
      <c r="F785" s="1" t="s">
        <v>16</v>
      </c>
      <c r="G785" s="2">
        <v>0.0</v>
      </c>
      <c r="H785" s="1" t="s">
        <v>1723</v>
      </c>
      <c r="I785" s="4" t="s">
        <v>1724</v>
      </c>
      <c r="J785" s="1" t="s">
        <v>3918</v>
      </c>
    </row>
    <row r="786">
      <c r="A786" s="1" t="s">
        <v>2588</v>
      </c>
      <c r="B786" s="1" t="s">
        <v>2590</v>
      </c>
      <c r="C786" s="1" t="s">
        <v>2591</v>
      </c>
      <c r="D786" s="1">
        <v>2.0</v>
      </c>
      <c r="E786" s="4" t="s">
        <v>2592</v>
      </c>
      <c r="F786" s="1" t="s">
        <v>16</v>
      </c>
      <c r="G786" s="2">
        <v>1.0</v>
      </c>
      <c r="H786" s="1" t="s">
        <v>1696</v>
      </c>
      <c r="I786" s="4" t="s">
        <v>1697</v>
      </c>
      <c r="J786" s="1" t="s">
        <v>3919</v>
      </c>
    </row>
    <row r="787">
      <c r="A787" s="1" t="s">
        <v>2588</v>
      </c>
      <c r="B787" s="1" t="s">
        <v>1720</v>
      </c>
      <c r="C787" s="1" t="s">
        <v>2593</v>
      </c>
      <c r="D787" s="1">
        <v>3.0</v>
      </c>
      <c r="E787" s="4" t="s">
        <v>2594</v>
      </c>
      <c r="F787" s="1" t="s">
        <v>16</v>
      </c>
      <c r="G787" s="2">
        <v>0.0</v>
      </c>
      <c r="J787" s="1" t="s">
        <v>3269</v>
      </c>
    </row>
    <row r="788">
      <c r="A788" s="1" t="s">
        <v>2588</v>
      </c>
      <c r="B788" s="1" t="s">
        <v>1720</v>
      </c>
      <c r="D788" s="1">
        <v>4.0</v>
      </c>
      <c r="E788" s="4" t="s">
        <v>2595</v>
      </c>
      <c r="F788" s="1" t="s">
        <v>16</v>
      </c>
      <c r="G788" s="2">
        <v>0.0</v>
      </c>
      <c r="H788" s="1" t="s">
        <v>448</v>
      </c>
      <c r="I788" s="4" t="s">
        <v>449</v>
      </c>
      <c r="J788" s="1" t="s">
        <v>3920</v>
      </c>
    </row>
    <row r="789">
      <c r="A789" s="1" t="s">
        <v>2588</v>
      </c>
      <c r="B789" s="1" t="s">
        <v>1680</v>
      </c>
      <c r="C789" s="1" t="s">
        <v>1681</v>
      </c>
      <c r="D789" s="1">
        <v>5.0</v>
      </c>
      <c r="E789" s="4" t="s">
        <v>1682</v>
      </c>
      <c r="F789" s="1" t="s">
        <v>16</v>
      </c>
      <c r="G789" s="2">
        <v>1.0</v>
      </c>
      <c r="J789" s="1" t="s">
        <v>3269</v>
      </c>
    </row>
    <row r="790">
      <c r="A790" s="1" t="s">
        <v>2588</v>
      </c>
      <c r="B790" s="1" t="s">
        <v>2596</v>
      </c>
      <c r="C790" s="1" t="s">
        <v>2597</v>
      </c>
      <c r="D790" s="1">
        <v>6.0</v>
      </c>
      <c r="E790" s="4" t="s">
        <v>2598</v>
      </c>
      <c r="F790" s="1" t="s">
        <v>16</v>
      </c>
      <c r="G790" s="2">
        <v>1.0</v>
      </c>
      <c r="H790" s="1" t="s">
        <v>2599</v>
      </c>
      <c r="I790" s="4" t="s">
        <v>2600</v>
      </c>
      <c r="J790" s="1" t="s">
        <v>3921</v>
      </c>
    </row>
    <row r="791">
      <c r="A791" s="1" t="s">
        <v>2588</v>
      </c>
      <c r="B791" s="1" t="s">
        <v>1720</v>
      </c>
      <c r="D791" s="1">
        <v>7.0</v>
      </c>
      <c r="E791" s="4" t="s">
        <v>2601</v>
      </c>
      <c r="F791" s="1" t="s">
        <v>16</v>
      </c>
      <c r="G791" s="2">
        <v>0.0</v>
      </c>
      <c r="H791" s="1" t="s">
        <v>614</v>
      </c>
      <c r="I791" s="4" t="s">
        <v>615</v>
      </c>
      <c r="J791" s="1" t="s">
        <v>3920</v>
      </c>
    </row>
    <row r="792">
      <c r="A792" s="1" t="s">
        <v>2588</v>
      </c>
      <c r="B792" s="1" t="s">
        <v>1720</v>
      </c>
      <c r="C792" s="1" t="s">
        <v>2602</v>
      </c>
      <c r="D792" s="1">
        <v>8.0</v>
      </c>
      <c r="E792" s="4" t="s">
        <v>2603</v>
      </c>
      <c r="F792" s="1" t="s">
        <v>16</v>
      </c>
      <c r="G792" s="2">
        <v>1.0</v>
      </c>
      <c r="H792" s="1" t="s">
        <v>2604</v>
      </c>
      <c r="I792" s="4" t="s">
        <v>2605</v>
      </c>
      <c r="J792" s="1" t="s">
        <v>3922</v>
      </c>
    </row>
    <row r="793">
      <c r="A793" s="1" t="s">
        <v>2588</v>
      </c>
      <c r="B793" s="1" t="s">
        <v>1720</v>
      </c>
      <c r="C793" s="1" t="s">
        <v>1735</v>
      </c>
      <c r="D793" s="1">
        <v>9.0</v>
      </c>
      <c r="E793" s="4" t="s">
        <v>1736</v>
      </c>
      <c r="F793" s="1" t="s">
        <v>16</v>
      </c>
      <c r="G793" s="2">
        <v>0.0</v>
      </c>
      <c r="J793" s="1" t="s">
        <v>3269</v>
      </c>
    </row>
    <row r="794">
      <c r="A794" s="1" t="s">
        <v>2588</v>
      </c>
      <c r="B794" s="1" t="s">
        <v>2596</v>
      </c>
      <c r="C794" s="1" t="s">
        <v>2606</v>
      </c>
      <c r="D794" s="1">
        <v>10.0</v>
      </c>
      <c r="E794" s="4" t="s">
        <v>2607</v>
      </c>
      <c r="F794" s="1" t="s">
        <v>16</v>
      </c>
      <c r="G794" s="2">
        <v>0.0</v>
      </c>
      <c r="H794" s="1" t="s">
        <v>2608</v>
      </c>
      <c r="I794" s="4" t="s">
        <v>2609</v>
      </c>
      <c r="J794" s="1" t="s">
        <v>3923</v>
      </c>
    </row>
    <row r="795">
      <c r="A795" s="1" t="s">
        <v>2588</v>
      </c>
      <c r="B795" s="1" t="s">
        <v>2610</v>
      </c>
      <c r="C795" s="1" t="s">
        <v>2611</v>
      </c>
      <c r="D795" s="1">
        <v>11.0</v>
      </c>
      <c r="E795" s="4" t="s">
        <v>2612</v>
      </c>
      <c r="F795" s="1" t="s">
        <v>16</v>
      </c>
      <c r="G795" s="2">
        <v>1.0</v>
      </c>
      <c r="H795" s="1" t="s">
        <v>2613</v>
      </c>
      <c r="I795" s="4" t="s">
        <v>2614</v>
      </c>
      <c r="J795" s="1" t="s">
        <v>3924</v>
      </c>
    </row>
    <row r="796">
      <c r="A796" s="1" t="s">
        <v>2588</v>
      </c>
      <c r="B796" s="1" t="s">
        <v>2615</v>
      </c>
      <c r="C796" s="1" t="s">
        <v>2616</v>
      </c>
      <c r="D796" s="1">
        <v>12.0</v>
      </c>
      <c r="E796" s="4" t="s">
        <v>2617</v>
      </c>
      <c r="F796" s="1" t="s">
        <v>16</v>
      </c>
      <c r="G796" s="2">
        <v>1.0</v>
      </c>
      <c r="J796" s="1" t="s">
        <v>3269</v>
      </c>
    </row>
    <row r="797">
      <c r="A797" s="1" t="s">
        <v>2588</v>
      </c>
      <c r="B797" s="1" t="s">
        <v>2590</v>
      </c>
      <c r="C797" s="1" t="s">
        <v>2618</v>
      </c>
      <c r="D797" s="1">
        <v>13.0</v>
      </c>
      <c r="E797" s="4" t="s">
        <v>2619</v>
      </c>
      <c r="F797" s="1" t="s">
        <v>16</v>
      </c>
      <c r="G797" s="2">
        <v>0.0</v>
      </c>
      <c r="H797" s="1" t="s">
        <v>1437</v>
      </c>
      <c r="I797" s="4" t="s">
        <v>1438</v>
      </c>
      <c r="J797" s="1" t="s">
        <v>3925</v>
      </c>
    </row>
    <row r="798">
      <c r="A798" s="1" t="s">
        <v>2588</v>
      </c>
      <c r="B798" s="1" t="s">
        <v>2620</v>
      </c>
      <c r="C798" s="1" t="s">
        <v>2621</v>
      </c>
      <c r="D798" s="1">
        <v>14.0</v>
      </c>
      <c r="E798" s="4" t="s">
        <v>2622</v>
      </c>
      <c r="F798" s="1" t="s">
        <v>16</v>
      </c>
      <c r="G798" s="2">
        <v>1.0</v>
      </c>
      <c r="H798" s="1" t="s">
        <v>2623</v>
      </c>
      <c r="I798" s="4" t="s">
        <v>2624</v>
      </c>
      <c r="J798" s="1" t="s">
        <v>3926</v>
      </c>
    </row>
    <row r="799">
      <c r="A799" s="1" t="s">
        <v>2588</v>
      </c>
      <c r="B799" s="1" t="s">
        <v>2625</v>
      </c>
      <c r="C799" s="1" t="s">
        <v>2626</v>
      </c>
      <c r="D799" s="1">
        <v>15.0</v>
      </c>
      <c r="E799" s="4" t="s">
        <v>2627</v>
      </c>
      <c r="F799" s="1" t="s">
        <v>16</v>
      </c>
      <c r="G799" s="2">
        <v>1.0</v>
      </c>
      <c r="I799" s="4" t="s">
        <v>2628</v>
      </c>
      <c r="J799" s="1" t="s">
        <v>3269</v>
      </c>
    </row>
    <row r="800">
      <c r="A800" s="1" t="s">
        <v>2588</v>
      </c>
      <c r="B800" s="1" t="s">
        <v>2629</v>
      </c>
      <c r="C800" s="1" t="s">
        <v>2630</v>
      </c>
      <c r="D800" s="1">
        <v>16.0</v>
      </c>
      <c r="E800" s="4" t="s">
        <v>2631</v>
      </c>
      <c r="F800" s="1" t="s">
        <v>16</v>
      </c>
      <c r="G800" s="2">
        <v>1.0</v>
      </c>
      <c r="J800" s="1" t="s">
        <v>3269</v>
      </c>
    </row>
    <row r="801">
      <c r="A801" s="1" t="s">
        <v>2588</v>
      </c>
      <c r="B801" s="1" t="s">
        <v>1737</v>
      </c>
      <c r="C801" s="1" t="s">
        <v>2632</v>
      </c>
      <c r="D801" s="1">
        <v>17.0</v>
      </c>
      <c r="E801" s="4" t="s">
        <v>1739</v>
      </c>
      <c r="F801" s="1" t="s">
        <v>16</v>
      </c>
      <c r="G801" s="2">
        <v>0.0</v>
      </c>
      <c r="H801" s="1" t="s">
        <v>1740</v>
      </c>
      <c r="I801" s="4" t="s">
        <v>1741</v>
      </c>
      <c r="J801" s="1" t="s">
        <v>3927</v>
      </c>
    </row>
    <row r="802">
      <c r="A802" s="1" t="s">
        <v>2588</v>
      </c>
      <c r="B802" s="1" t="s">
        <v>1720</v>
      </c>
      <c r="C802" s="1" t="s">
        <v>2633</v>
      </c>
      <c r="D802" s="1">
        <v>18.0</v>
      </c>
      <c r="E802" s="4" t="s">
        <v>2634</v>
      </c>
      <c r="F802" s="1" t="s">
        <v>16</v>
      </c>
      <c r="G802" s="2">
        <v>0.0</v>
      </c>
      <c r="H802" s="1" t="s">
        <v>1713</v>
      </c>
      <c r="I802" s="4" t="s">
        <v>1714</v>
      </c>
      <c r="J802" s="1" t="s">
        <v>3928</v>
      </c>
    </row>
    <row r="803">
      <c r="A803" s="1" t="s">
        <v>2588</v>
      </c>
      <c r="B803" s="1" t="s">
        <v>2635</v>
      </c>
      <c r="D803" s="1">
        <v>19.0</v>
      </c>
      <c r="E803" s="4" t="s">
        <v>2636</v>
      </c>
      <c r="F803" s="1" t="s">
        <v>16</v>
      </c>
      <c r="G803" s="2">
        <v>2.0</v>
      </c>
      <c r="H803" s="1" t="s">
        <v>2637</v>
      </c>
      <c r="I803" s="4" t="s">
        <v>2638</v>
      </c>
      <c r="J803" s="1" t="s">
        <v>3929</v>
      </c>
    </row>
    <row r="804">
      <c r="A804" s="1" t="s">
        <v>2588</v>
      </c>
      <c r="B804" s="1" t="s">
        <v>1720</v>
      </c>
      <c r="C804" s="1" t="s">
        <v>2639</v>
      </c>
      <c r="D804" s="1">
        <v>4.0</v>
      </c>
      <c r="E804" s="4" t="s">
        <v>2640</v>
      </c>
      <c r="F804" s="1" t="s">
        <v>43</v>
      </c>
      <c r="G804" s="2">
        <v>1.0</v>
      </c>
      <c r="J804" s="1" t="s">
        <v>3269</v>
      </c>
    </row>
    <row r="805">
      <c r="A805" s="1" t="s">
        <v>2588</v>
      </c>
      <c r="B805" s="1" t="s">
        <v>2641</v>
      </c>
      <c r="C805" s="1" t="s">
        <v>2642</v>
      </c>
      <c r="D805" s="1">
        <v>11.0</v>
      </c>
      <c r="E805" s="4" t="s">
        <v>2643</v>
      </c>
      <c r="F805" s="1" t="s">
        <v>43</v>
      </c>
      <c r="G805" s="2">
        <v>0.0</v>
      </c>
      <c r="H805" s="1" t="s">
        <v>2644</v>
      </c>
      <c r="I805" s="4" t="s">
        <v>2645</v>
      </c>
      <c r="J805" s="1" t="s">
        <v>3930</v>
      </c>
    </row>
    <row r="806">
      <c r="A806" s="1" t="s">
        <v>2588</v>
      </c>
      <c r="B806" s="1" t="s">
        <v>1720</v>
      </c>
      <c r="C806" s="1" t="s">
        <v>2646</v>
      </c>
      <c r="D806" s="1">
        <v>12.0</v>
      </c>
      <c r="E806" s="4" t="s">
        <v>2647</v>
      </c>
      <c r="F806" s="1" t="s">
        <v>43</v>
      </c>
      <c r="G806" s="2">
        <v>0.0</v>
      </c>
      <c r="H806" s="1" t="s">
        <v>2648</v>
      </c>
      <c r="I806" s="4" t="s">
        <v>2649</v>
      </c>
      <c r="J806" s="1" t="s">
        <v>3931</v>
      </c>
    </row>
    <row r="807">
      <c r="A807" s="1" t="s">
        <v>2588</v>
      </c>
      <c r="B807" s="1" t="s">
        <v>1720</v>
      </c>
      <c r="C807" s="1" t="s">
        <v>2650</v>
      </c>
      <c r="D807" s="1">
        <v>18.0</v>
      </c>
      <c r="E807" s="4" t="s">
        <v>2651</v>
      </c>
      <c r="F807" s="1" t="s">
        <v>43</v>
      </c>
      <c r="G807" s="2">
        <v>0.0</v>
      </c>
      <c r="H807" s="1" t="s">
        <v>2652</v>
      </c>
      <c r="I807" s="4" t="s">
        <v>2653</v>
      </c>
      <c r="J807" s="1" t="s">
        <v>3932</v>
      </c>
    </row>
    <row r="808">
      <c r="A808" s="1" t="s">
        <v>2654</v>
      </c>
      <c r="B808" s="1" t="s">
        <v>2655</v>
      </c>
      <c r="C808" s="1" t="s">
        <v>2656</v>
      </c>
      <c r="D808" s="1">
        <v>1.0</v>
      </c>
      <c r="E808" s="4" t="s">
        <v>2657</v>
      </c>
      <c r="F808" s="1" t="s">
        <v>43</v>
      </c>
      <c r="G808" s="2">
        <v>2.0</v>
      </c>
      <c r="H808" s="1" t="s">
        <v>2658</v>
      </c>
      <c r="I808" s="4" t="s">
        <v>2659</v>
      </c>
      <c r="J808" s="1" t="s">
        <v>3933</v>
      </c>
    </row>
    <row r="809">
      <c r="A809" s="1" t="s">
        <v>2654</v>
      </c>
      <c r="B809" s="1" t="s">
        <v>2660</v>
      </c>
      <c r="D809" s="1">
        <v>2.0</v>
      </c>
      <c r="E809" s="4" t="s">
        <v>2661</v>
      </c>
      <c r="F809" s="1" t="s">
        <v>43</v>
      </c>
      <c r="G809" s="2">
        <v>1.0</v>
      </c>
      <c r="H809" s="1" t="s">
        <v>2662</v>
      </c>
      <c r="I809" s="4" t="s">
        <v>2663</v>
      </c>
      <c r="J809" s="1" t="s">
        <v>3934</v>
      </c>
    </row>
    <row r="810">
      <c r="A810" s="1" t="s">
        <v>2654</v>
      </c>
      <c r="B810" s="1" t="s">
        <v>2664</v>
      </c>
      <c r="D810" s="1">
        <v>3.0</v>
      </c>
      <c r="E810" s="4" t="s">
        <v>2665</v>
      </c>
      <c r="F810" s="1" t="s">
        <v>43</v>
      </c>
      <c r="G810" s="2">
        <v>1.0</v>
      </c>
      <c r="H810" s="1" t="s">
        <v>2666</v>
      </c>
      <c r="I810" s="4" t="s">
        <v>2667</v>
      </c>
      <c r="J810" s="1" t="s">
        <v>3935</v>
      </c>
    </row>
    <row r="811">
      <c r="A811" s="1" t="s">
        <v>2654</v>
      </c>
      <c r="B811" s="1" t="s">
        <v>2668</v>
      </c>
      <c r="D811" s="1">
        <v>4.0</v>
      </c>
      <c r="E811" s="4" t="s">
        <v>2669</v>
      </c>
      <c r="F811" s="1" t="s">
        <v>43</v>
      </c>
      <c r="G811" s="2">
        <v>2.0</v>
      </c>
      <c r="H811" s="1" t="s">
        <v>2670</v>
      </c>
      <c r="I811" s="4" t="s">
        <v>2671</v>
      </c>
      <c r="J811" s="1" t="s">
        <v>3936</v>
      </c>
    </row>
    <row r="812">
      <c r="A812" s="1" t="s">
        <v>2654</v>
      </c>
      <c r="B812" s="1" t="s">
        <v>2672</v>
      </c>
      <c r="D812" s="1">
        <v>5.0</v>
      </c>
      <c r="E812" s="4" t="s">
        <v>2673</v>
      </c>
      <c r="F812" s="1" t="s">
        <v>43</v>
      </c>
      <c r="G812" s="2">
        <v>1.0</v>
      </c>
      <c r="H812" s="1" t="s">
        <v>2674</v>
      </c>
      <c r="I812" s="4" t="s">
        <v>2675</v>
      </c>
      <c r="J812" s="1" t="s">
        <v>3937</v>
      </c>
    </row>
    <row r="813">
      <c r="A813" s="1" t="s">
        <v>2654</v>
      </c>
      <c r="B813" s="1" t="s">
        <v>2676</v>
      </c>
      <c r="C813" s="1" t="s">
        <v>153</v>
      </c>
      <c r="D813" s="1">
        <v>6.0</v>
      </c>
      <c r="E813" s="4" t="s">
        <v>2677</v>
      </c>
      <c r="F813" s="1" t="s">
        <v>43</v>
      </c>
      <c r="G813" s="2">
        <v>2.0</v>
      </c>
      <c r="H813" s="1" t="s">
        <v>2678</v>
      </c>
      <c r="I813" s="4" t="s">
        <v>2679</v>
      </c>
      <c r="J813" s="1" t="s">
        <v>3938</v>
      </c>
    </row>
    <row r="814">
      <c r="A814" s="1" t="s">
        <v>2654</v>
      </c>
      <c r="B814" s="1" t="s">
        <v>2680</v>
      </c>
      <c r="D814" s="1">
        <v>7.0</v>
      </c>
      <c r="E814" s="4" t="s">
        <v>2681</v>
      </c>
      <c r="F814" s="1" t="s">
        <v>43</v>
      </c>
      <c r="G814" s="2">
        <v>1.0</v>
      </c>
      <c r="J814" s="1" t="s">
        <v>3269</v>
      </c>
    </row>
    <row r="815">
      <c r="A815" s="1" t="s">
        <v>2654</v>
      </c>
      <c r="B815" s="1" t="s">
        <v>2682</v>
      </c>
      <c r="D815" s="1">
        <v>8.0</v>
      </c>
      <c r="E815" s="4" t="s">
        <v>2683</v>
      </c>
      <c r="F815" s="1" t="s">
        <v>43</v>
      </c>
      <c r="G815" s="2">
        <v>1.0</v>
      </c>
      <c r="H815" s="1" t="s">
        <v>588</v>
      </c>
      <c r="I815" s="4" t="s">
        <v>589</v>
      </c>
      <c r="J815" s="1" t="s">
        <v>3939</v>
      </c>
    </row>
    <row r="816">
      <c r="A816" s="1" t="s">
        <v>2654</v>
      </c>
      <c r="B816" s="1" t="s">
        <v>2684</v>
      </c>
      <c r="D816" s="1">
        <v>9.0</v>
      </c>
      <c r="E816" s="4" t="s">
        <v>2685</v>
      </c>
      <c r="F816" s="1" t="s">
        <v>43</v>
      </c>
      <c r="G816" s="2">
        <v>2.0</v>
      </c>
      <c r="H816" s="1" t="s">
        <v>2686</v>
      </c>
      <c r="I816" s="4" t="s">
        <v>2687</v>
      </c>
      <c r="J816" s="1" t="s">
        <v>3940</v>
      </c>
    </row>
    <row r="817">
      <c r="A817" s="1" t="s">
        <v>2654</v>
      </c>
      <c r="B817" s="1" t="s">
        <v>2688</v>
      </c>
      <c r="D817" s="1">
        <v>10.0</v>
      </c>
      <c r="E817" s="4" t="s">
        <v>2689</v>
      </c>
      <c r="F817" s="1" t="s">
        <v>43</v>
      </c>
      <c r="G817" s="2">
        <v>1.0</v>
      </c>
      <c r="H817" s="1" t="s">
        <v>588</v>
      </c>
      <c r="I817" s="4" t="s">
        <v>589</v>
      </c>
      <c r="J817" s="1" t="s">
        <v>3941</v>
      </c>
    </row>
    <row r="818">
      <c r="A818" s="1" t="s">
        <v>2654</v>
      </c>
      <c r="B818" s="1" t="s">
        <v>2690</v>
      </c>
      <c r="D818" s="1">
        <v>11.0</v>
      </c>
      <c r="E818" s="4" t="s">
        <v>2691</v>
      </c>
      <c r="F818" s="1" t="s">
        <v>43</v>
      </c>
      <c r="G818" s="2">
        <v>2.0</v>
      </c>
      <c r="H818" s="1" t="s">
        <v>336</v>
      </c>
      <c r="I818" s="4" t="s">
        <v>2692</v>
      </c>
      <c r="J818" s="1" t="s">
        <v>3942</v>
      </c>
    </row>
    <row r="819">
      <c r="A819" s="1" t="s">
        <v>2654</v>
      </c>
      <c r="B819" s="1" t="s">
        <v>2693</v>
      </c>
      <c r="C819" s="1" t="s">
        <v>2694</v>
      </c>
      <c r="D819" s="1">
        <v>12.0</v>
      </c>
      <c r="E819" s="4" t="s">
        <v>2695</v>
      </c>
      <c r="F819" s="1" t="s">
        <v>43</v>
      </c>
      <c r="G819" s="2">
        <v>1.0</v>
      </c>
      <c r="H819" s="1" t="s">
        <v>38</v>
      </c>
      <c r="I819" s="4" t="s">
        <v>39</v>
      </c>
      <c r="J819" s="1" t="s">
        <v>3943</v>
      </c>
    </row>
    <row r="820">
      <c r="A820" s="1" t="s">
        <v>2654</v>
      </c>
      <c r="B820" s="1" t="s">
        <v>2696</v>
      </c>
      <c r="C820" s="1" t="s">
        <v>2697</v>
      </c>
      <c r="D820" s="1">
        <v>13.0</v>
      </c>
      <c r="E820" s="4" t="s">
        <v>2698</v>
      </c>
      <c r="F820" s="1" t="s">
        <v>43</v>
      </c>
      <c r="G820" s="2">
        <v>1.0</v>
      </c>
      <c r="H820" s="1" t="s">
        <v>2699</v>
      </c>
      <c r="I820" s="4" t="s">
        <v>2700</v>
      </c>
      <c r="J820" s="1" t="s">
        <v>3944</v>
      </c>
    </row>
    <row r="821">
      <c r="A821" s="1" t="s">
        <v>2654</v>
      </c>
      <c r="B821" s="1" t="s">
        <v>2701</v>
      </c>
      <c r="C821" s="1" t="s">
        <v>745</v>
      </c>
      <c r="D821" s="1">
        <v>14.0</v>
      </c>
      <c r="E821" s="4" t="s">
        <v>2702</v>
      </c>
      <c r="F821" s="1" t="s">
        <v>43</v>
      </c>
      <c r="G821" s="2">
        <v>2.0</v>
      </c>
      <c r="H821" s="1" t="s">
        <v>2703</v>
      </c>
      <c r="I821" s="4" t="s">
        <v>2704</v>
      </c>
      <c r="J821" s="1" t="s">
        <v>3945</v>
      </c>
    </row>
    <row r="822">
      <c r="A822" s="1" t="s">
        <v>2654</v>
      </c>
      <c r="B822" s="1" t="s">
        <v>2705</v>
      </c>
      <c r="C822" s="1" t="s">
        <v>2706</v>
      </c>
      <c r="D822" s="1">
        <v>15.0</v>
      </c>
      <c r="E822" s="4" t="s">
        <v>2707</v>
      </c>
      <c r="F822" s="1" t="s">
        <v>43</v>
      </c>
      <c r="G822" s="2">
        <v>1.0</v>
      </c>
      <c r="H822" s="1" t="s">
        <v>38</v>
      </c>
      <c r="I822" s="4" t="s">
        <v>39</v>
      </c>
      <c r="J822" s="1" t="s">
        <v>3946</v>
      </c>
    </row>
    <row r="823">
      <c r="A823" s="1" t="s">
        <v>2654</v>
      </c>
      <c r="B823" s="1" t="s">
        <v>2708</v>
      </c>
      <c r="C823" s="1" t="s">
        <v>2709</v>
      </c>
      <c r="D823" s="1">
        <v>16.0</v>
      </c>
      <c r="E823" s="4" t="s">
        <v>2710</v>
      </c>
      <c r="F823" s="1" t="s">
        <v>43</v>
      </c>
      <c r="G823" s="2">
        <v>2.0</v>
      </c>
      <c r="H823" s="1" t="s">
        <v>336</v>
      </c>
      <c r="I823" s="4" t="s">
        <v>453</v>
      </c>
      <c r="J823" s="1" t="s">
        <v>3947</v>
      </c>
    </row>
    <row r="824">
      <c r="A824" s="1" t="s">
        <v>2654</v>
      </c>
      <c r="B824" s="1" t="s">
        <v>2711</v>
      </c>
      <c r="D824" s="1">
        <v>17.0</v>
      </c>
      <c r="E824" s="4" t="s">
        <v>2712</v>
      </c>
      <c r="F824" s="1" t="s">
        <v>43</v>
      </c>
      <c r="G824" s="2">
        <v>1.0</v>
      </c>
      <c r="H824" s="1" t="s">
        <v>273</v>
      </c>
      <c r="I824" s="4" t="s">
        <v>476</v>
      </c>
      <c r="J824" s="1" t="s">
        <v>3948</v>
      </c>
    </row>
    <row r="825">
      <c r="A825" s="1" t="s">
        <v>2713</v>
      </c>
      <c r="B825" s="1" t="s">
        <v>2714</v>
      </c>
      <c r="C825" s="1" t="s">
        <v>2715</v>
      </c>
      <c r="D825" s="1">
        <v>1.0</v>
      </c>
      <c r="E825" s="4" t="s">
        <v>2716</v>
      </c>
      <c r="F825" s="1" t="s">
        <v>43</v>
      </c>
      <c r="G825" s="2">
        <v>1.0</v>
      </c>
      <c r="J825" s="1" t="s">
        <v>3269</v>
      </c>
    </row>
    <row r="826">
      <c r="A826" s="1" t="s">
        <v>2713</v>
      </c>
      <c r="B826" s="1" t="s">
        <v>2717</v>
      </c>
      <c r="C826" s="1" t="s">
        <v>2718</v>
      </c>
      <c r="D826" s="1">
        <v>2.0</v>
      </c>
      <c r="E826" s="4" t="s">
        <v>2719</v>
      </c>
      <c r="F826" s="1" t="s">
        <v>43</v>
      </c>
      <c r="G826" s="2">
        <v>1.0</v>
      </c>
      <c r="H826" s="1" t="s">
        <v>2720</v>
      </c>
      <c r="I826" s="4" t="s">
        <v>2721</v>
      </c>
      <c r="J826" s="1" t="s">
        <v>3949</v>
      </c>
    </row>
    <row r="827">
      <c r="A827" s="1" t="s">
        <v>2713</v>
      </c>
      <c r="B827" s="1" t="s">
        <v>2722</v>
      </c>
      <c r="C827" s="1" t="s">
        <v>2723</v>
      </c>
      <c r="D827" s="1">
        <v>3.0</v>
      </c>
      <c r="E827" s="4" t="s">
        <v>2724</v>
      </c>
      <c r="F827" s="1" t="s">
        <v>43</v>
      </c>
      <c r="G827" s="2">
        <v>1.0</v>
      </c>
      <c r="H827" s="1" t="s">
        <v>2725</v>
      </c>
      <c r="I827" s="4" t="s">
        <v>2726</v>
      </c>
      <c r="J827" s="1" t="s">
        <v>3950</v>
      </c>
    </row>
    <row r="828">
      <c r="A828" s="1" t="s">
        <v>2713</v>
      </c>
      <c r="B828" s="1" t="s">
        <v>2727</v>
      </c>
      <c r="C828" s="1" t="s">
        <v>2728</v>
      </c>
      <c r="D828" s="1">
        <v>4.0</v>
      </c>
      <c r="E828" s="4" t="s">
        <v>2729</v>
      </c>
      <c r="F828" s="1" t="s">
        <v>43</v>
      </c>
      <c r="G828" s="2">
        <v>1.0</v>
      </c>
      <c r="H828" s="1" t="s">
        <v>2725</v>
      </c>
      <c r="I828" s="4" t="s">
        <v>2726</v>
      </c>
      <c r="J828" s="1" t="s">
        <v>3951</v>
      </c>
    </row>
    <row r="829">
      <c r="A829" s="1" t="s">
        <v>2713</v>
      </c>
      <c r="B829" s="1" t="s">
        <v>2730</v>
      </c>
      <c r="D829" s="1">
        <v>5.0</v>
      </c>
      <c r="E829" s="4" t="s">
        <v>2731</v>
      </c>
      <c r="F829" s="1" t="s">
        <v>43</v>
      </c>
      <c r="G829" s="2">
        <v>0.0</v>
      </c>
      <c r="H829" s="1" t="s">
        <v>31</v>
      </c>
      <c r="I829" s="4" t="s">
        <v>32</v>
      </c>
      <c r="J829" s="1" t="s">
        <v>3952</v>
      </c>
    </row>
    <row r="830">
      <c r="A830" s="1" t="s">
        <v>2713</v>
      </c>
      <c r="B830" s="1" t="s">
        <v>2732</v>
      </c>
      <c r="C830" s="1" t="s">
        <v>2733</v>
      </c>
      <c r="D830" s="1">
        <v>6.0</v>
      </c>
      <c r="E830" s="4" t="s">
        <v>2734</v>
      </c>
      <c r="F830" s="1" t="s">
        <v>43</v>
      </c>
      <c r="G830" s="2">
        <v>0.0</v>
      </c>
      <c r="H830" s="1" t="s">
        <v>2735</v>
      </c>
      <c r="I830" s="4" t="s">
        <v>2736</v>
      </c>
      <c r="J830" s="1" t="s">
        <v>3953</v>
      </c>
    </row>
    <row r="831">
      <c r="A831" s="1" t="s">
        <v>2713</v>
      </c>
      <c r="B831" s="1" t="s">
        <v>2737</v>
      </c>
      <c r="C831" s="1" t="s">
        <v>2738</v>
      </c>
      <c r="D831" s="1">
        <v>7.0</v>
      </c>
      <c r="E831" s="4" t="s">
        <v>2739</v>
      </c>
      <c r="F831" s="1" t="s">
        <v>43</v>
      </c>
      <c r="G831" s="2">
        <v>1.0</v>
      </c>
      <c r="H831" s="1" t="s">
        <v>34</v>
      </c>
      <c r="I831" s="4" t="s">
        <v>35</v>
      </c>
      <c r="J831" s="1" t="s">
        <v>3954</v>
      </c>
    </row>
    <row r="832">
      <c r="A832" s="1" t="s">
        <v>2713</v>
      </c>
      <c r="B832" s="4" t="s">
        <v>2740</v>
      </c>
      <c r="D832" s="1">
        <v>8.0</v>
      </c>
      <c r="E832" s="4" t="s">
        <v>2741</v>
      </c>
      <c r="F832" s="1" t="s">
        <v>43</v>
      </c>
      <c r="G832" s="2">
        <v>1.0</v>
      </c>
      <c r="J832" s="1" t="s">
        <v>3269</v>
      </c>
    </row>
    <row r="833">
      <c r="A833" s="1" t="s">
        <v>2713</v>
      </c>
      <c r="B833" s="1" t="s">
        <v>2737</v>
      </c>
      <c r="C833" s="1" t="s">
        <v>2742</v>
      </c>
      <c r="D833" s="1">
        <v>9.0</v>
      </c>
      <c r="E833" s="4" t="s">
        <v>2743</v>
      </c>
      <c r="F833" s="1" t="s">
        <v>43</v>
      </c>
      <c r="G833" s="2">
        <v>1.0</v>
      </c>
      <c r="H833" s="1" t="s">
        <v>273</v>
      </c>
      <c r="I833" s="4" t="s">
        <v>476</v>
      </c>
      <c r="J833" s="1" t="s">
        <v>3955</v>
      </c>
    </row>
    <row r="834">
      <c r="A834" s="1" t="s">
        <v>2713</v>
      </c>
      <c r="B834" s="1" t="s">
        <v>2744</v>
      </c>
      <c r="C834" s="1" t="s">
        <v>2745</v>
      </c>
      <c r="D834" s="1">
        <v>10.0</v>
      </c>
      <c r="E834" s="4" t="s">
        <v>2746</v>
      </c>
      <c r="F834" s="1" t="s">
        <v>43</v>
      </c>
      <c r="G834" s="2">
        <v>1.0</v>
      </c>
      <c r="H834" s="1" t="s">
        <v>273</v>
      </c>
      <c r="I834" s="4" t="s">
        <v>274</v>
      </c>
      <c r="J834" s="1" t="s">
        <v>3956</v>
      </c>
    </row>
    <row r="835">
      <c r="A835" s="1" t="s">
        <v>2713</v>
      </c>
      <c r="B835" s="1" t="s">
        <v>2747</v>
      </c>
      <c r="C835" s="1" t="s">
        <v>2748</v>
      </c>
      <c r="D835" s="1">
        <v>11.0</v>
      </c>
      <c r="E835" s="4" t="s">
        <v>2749</v>
      </c>
      <c r="F835" s="1" t="s">
        <v>43</v>
      </c>
      <c r="G835" s="2">
        <v>1.0</v>
      </c>
      <c r="J835" s="1" t="s">
        <v>3269</v>
      </c>
    </row>
    <row r="836">
      <c r="A836" s="1" t="s">
        <v>2713</v>
      </c>
      <c r="B836" s="1" t="s">
        <v>2750</v>
      </c>
      <c r="C836" s="1" t="s">
        <v>2751</v>
      </c>
      <c r="D836" s="1">
        <v>12.0</v>
      </c>
      <c r="E836" s="4" t="s">
        <v>2752</v>
      </c>
      <c r="F836" s="1" t="s">
        <v>43</v>
      </c>
      <c r="G836" s="2">
        <v>2.0</v>
      </c>
      <c r="H836" s="1" t="s">
        <v>2753</v>
      </c>
      <c r="I836" s="4" t="s">
        <v>2754</v>
      </c>
      <c r="J836" s="1" t="s">
        <v>3957</v>
      </c>
    </row>
    <row r="837">
      <c r="A837" s="1" t="s">
        <v>2713</v>
      </c>
      <c r="B837" s="1" t="s">
        <v>2755</v>
      </c>
      <c r="C837" s="1" t="s">
        <v>2756</v>
      </c>
      <c r="D837" s="1">
        <v>13.0</v>
      </c>
      <c r="E837" s="4" t="s">
        <v>2757</v>
      </c>
      <c r="F837" s="1" t="s">
        <v>43</v>
      </c>
      <c r="G837" s="2">
        <v>1.0</v>
      </c>
      <c r="J837" s="1" t="s">
        <v>3269</v>
      </c>
    </row>
    <row r="838">
      <c r="A838" s="1" t="s">
        <v>2713</v>
      </c>
      <c r="B838" s="1" t="s">
        <v>2758</v>
      </c>
      <c r="C838" s="1" t="s">
        <v>2759</v>
      </c>
      <c r="D838" s="1">
        <v>14.0</v>
      </c>
      <c r="E838" s="4" t="s">
        <v>2760</v>
      </c>
      <c r="F838" s="1" t="s">
        <v>43</v>
      </c>
      <c r="G838" s="2">
        <v>2.0</v>
      </c>
      <c r="H838" s="1" t="s">
        <v>2761</v>
      </c>
      <c r="I838" s="4" t="s">
        <v>2762</v>
      </c>
      <c r="J838" s="1" t="s">
        <v>3958</v>
      </c>
    </row>
    <row r="839">
      <c r="A839" s="1" t="s">
        <v>2713</v>
      </c>
      <c r="B839" s="1" t="s">
        <v>2763</v>
      </c>
      <c r="C839" s="1" t="s">
        <v>2764</v>
      </c>
      <c r="D839" s="1">
        <v>15.0</v>
      </c>
      <c r="E839" s="4" t="s">
        <v>2765</v>
      </c>
      <c r="F839" s="1" t="s">
        <v>43</v>
      </c>
      <c r="G839" s="2">
        <v>1.0</v>
      </c>
      <c r="J839" s="1" t="s">
        <v>3269</v>
      </c>
    </row>
    <row r="840">
      <c r="A840" s="1" t="s">
        <v>2713</v>
      </c>
      <c r="B840" s="1" t="s">
        <v>2766</v>
      </c>
      <c r="D840" s="1">
        <v>16.0</v>
      </c>
      <c r="E840" s="4" t="s">
        <v>2767</v>
      </c>
      <c r="F840" s="1" t="s">
        <v>43</v>
      </c>
      <c r="G840" s="2">
        <v>2.0</v>
      </c>
      <c r="H840" s="1" t="s">
        <v>444</v>
      </c>
      <c r="I840" s="4" t="s">
        <v>445</v>
      </c>
      <c r="J840" s="1" t="s">
        <v>3959</v>
      </c>
    </row>
    <row r="841">
      <c r="A841" s="1" t="s">
        <v>2713</v>
      </c>
      <c r="B841" s="1" t="s">
        <v>2768</v>
      </c>
      <c r="D841" s="1">
        <v>17.0</v>
      </c>
      <c r="E841" s="4" t="s">
        <v>2769</v>
      </c>
      <c r="F841" s="1" t="s">
        <v>43</v>
      </c>
      <c r="G841" s="2">
        <v>2.0</v>
      </c>
      <c r="H841" s="1" t="s">
        <v>302</v>
      </c>
      <c r="I841" s="4" t="s">
        <v>303</v>
      </c>
      <c r="J841" s="1" t="s">
        <v>3960</v>
      </c>
    </row>
    <row r="842">
      <c r="A842" s="1" t="s">
        <v>2713</v>
      </c>
      <c r="B842" s="1" t="s">
        <v>2770</v>
      </c>
      <c r="D842" s="1">
        <v>18.0</v>
      </c>
      <c r="E842" s="4" t="s">
        <v>2771</v>
      </c>
      <c r="F842" s="1" t="s">
        <v>43</v>
      </c>
      <c r="G842" s="2">
        <v>1.0</v>
      </c>
      <c r="H842" s="1" t="s">
        <v>302</v>
      </c>
      <c r="I842" s="4" t="s">
        <v>303</v>
      </c>
      <c r="J842" s="1" t="s">
        <v>3961</v>
      </c>
    </row>
    <row r="843">
      <c r="A843" s="1" t="s">
        <v>2713</v>
      </c>
      <c r="B843" s="1" t="s">
        <v>2772</v>
      </c>
      <c r="D843" s="1">
        <v>23.0</v>
      </c>
      <c r="E843" s="4" t="s">
        <v>2731</v>
      </c>
      <c r="F843" s="1" t="s">
        <v>43</v>
      </c>
      <c r="G843" s="2">
        <v>1.0</v>
      </c>
      <c r="H843" s="1" t="s">
        <v>31</v>
      </c>
      <c r="I843" s="4" t="s">
        <v>32</v>
      </c>
      <c r="J843" s="1" t="s">
        <v>3962</v>
      </c>
    </row>
    <row r="844">
      <c r="A844" s="1" t="s">
        <v>2713</v>
      </c>
      <c r="B844" s="1" t="s">
        <v>2773</v>
      </c>
      <c r="D844" s="1">
        <v>24.0</v>
      </c>
      <c r="E844" s="4" t="s">
        <v>2757</v>
      </c>
      <c r="F844" s="1" t="s">
        <v>43</v>
      </c>
      <c r="G844" s="2">
        <v>3.0</v>
      </c>
      <c r="J844" s="1" t="s">
        <v>3269</v>
      </c>
    </row>
    <row r="845">
      <c r="A845" s="1" t="s">
        <v>2713</v>
      </c>
      <c r="B845" s="1" t="s">
        <v>2774</v>
      </c>
      <c r="C845" s="1" t="s">
        <v>2738</v>
      </c>
      <c r="D845" s="1">
        <v>26.0</v>
      </c>
      <c r="E845" s="4" t="s">
        <v>2739</v>
      </c>
      <c r="F845" s="1" t="s">
        <v>43</v>
      </c>
      <c r="G845" s="2">
        <v>2.0</v>
      </c>
      <c r="H845" s="1" t="s">
        <v>34</v>
      </c>
      <c r="I845" s="4" t="s">
        <v>35</v>
      </c>
      <c r="J845" s="1" t="s">
        <v>3963</v>
      </c>
    </row>
    <row r="846">
      <c r="A846" s="1" t="s">
        <v>2713</v>
      </c>
      <c r="B846" s="1" t="s">
        <v>2775</v>
      </c>
      <c r="C846" s="1" t="s">
        <v>2776</v>
      </c>
      <c r="D846" s="1">
        <v>28.0</v>
      </c>
      <c r="E846" s="4" t="s">
        <v>2777</v>
      </c>
      <c r="F846" s="1" t="s">
        <v>43</v>
      </c>
      <c r="G846" s="2">
        <v>1.0</v>
      </c>
      <c r="H846" s="1" t="s">
        <v>2778</v>
      </c>
      <c r="I846" s="4" t="s">
        <v>2779</v>
      </c>
      <c r="J846" s="1" t="s">
        <v>3964</v>
      </c>
    </row>
    <row r="847">
      <c r="A847" s="1" t="s">
        <v>2713</v>
      </c>
      <c r="B847" s="1" t="s">
        <v>2780</v>
      </c>
      <c r="C847" s="1" t="s">
        <v>2781</v>
      </c>
      <c r="D847" s="1">
        <v>29.0</v>
      </c>
      <c r="E847" s="4" t="s">
        <v>2782</v>
      </c>
      <c r="F847" s="1" t="s">
        <v>43</v>
      </c>
      <c r="G847" s="2">
        <v>1.0</v>
      </c>
      <c r="J847" s="1" t="s">
        <v>3269</v>
      </c>
    </row>
    <row r="848">
      <c r="A848" s="1" t="s">
        <v>2713</v>
      </c>
      <c r="B848" s="1" t="s">
        <v>2783</v>
      </c>
      <c r="D848" s="1">
        <v>30.0</v>
      </c>
      <c r="E848" s="4" t="s">
        <v>2784</v>
      </c>
      <c r="F848" s="1" t="s">
        <v>43</v>
      </c>
      <c r="G848" s="2">
        <v>1.0</v>
      </c>
      <c r="J848" s="1" t="s">
        <v>3269</v>
      </c>
    </row>
    <row r="849">
      <c r="A849" s="1" t="s">
        <v>2713</v>
      </c>
      <c r="B849" s="1" t="s">
        <v>2785</v>
      </c>
      <c r="D849" s="1">
        <v>34.0</v>
      </c>
      <c r="E849" s="4" t="s">
        <v>2786</v>
      </c>
      <c r="F849" s="1" t="s">
        <v>43</v>
      </c>
      <c r="G849" s="2">
        <v>3.0</v>
      </c>
      <c r="H849" s="1" t="s">
        <v>302</v>
      </c>
      <c r="I849" s="4" t="s">
        <v>303</v>
      </c>
      <c r="J849" s="1" t="s">
        <v>3965</v>
      </c>
    </row>
    <row r="850">
      <c r="A850" s="1" t="s">
        <v>2713</v>
      </c>
      <c r="B850" s="1" t="s">
        <v>2787</v>
      </c>
      <c r="D850" s="1">
        <v>36.0</v>
      </c>
      <c r="E850" s="4" t="s">
        <v>2767</v>
      </c>
      <c r="F850" s="1" t="s">
        <v>43</v>
      </c>
      <c r="G850" s="2">
        <v>1.0</v>
      </c>
      <c r="H850" s="1" t="s">
        <v>444</v>
      </c>
      <c r="I850" s="4" t="s">
        <v>445</v>
      </c>
      <c r="J850" s="1" t="s">
        <v>3966</v>
      </c>
    </row>
    <row r="851">
      <c r="A851" s="1" t="s">
        <v>2788</v>
      </c>
      <c r="B851" s="1" t="s">
        <v>2789</v>
      </c>
      <c r="C851" s="1" t="s">
        <v>2718</v>
      </c>
      <c r="D851" s="1">
        <v>1.0</v>
      </c>
      <c r="E851" s="4" t="s">
        <v>2719</v>
      </c>
      <c r="F851" s="1" t="s">
        <v>16</v>
      </c>
      <c r="G851" s="2">
        <v>1.0</v>
      </c>
      <c r="H851" s="1" t="s">
        <v>2720</v>
      </c>
      <c r="I851" s="4" t="s">
        <v>2721</v>
      </c>
      <c r="J851" s="1" t="s">
        <v>3967</v>
      </c>
    </row>
    <row r="852">
      <c r="A852" s="1" t="s">
        <v>2788</v>
      </c>
      <c r="B852" s="1" t="s">
        <v>2790</v>
      </c>
      <c r="C852" s="1" t="s">
        <v>2791</v>
      </c>
      <c r="D852" s="1">
        <v>2.0</v>
      </c>
      <c r="E852" s="4" t="s">
        <v>2792</v>
      </c>
      <c r="F852" s="1" t="s">
        <v>16</v>
      </c>
      <c r="G852" s="2">
        <v>1.0</v>
      </c>
      <c r="J852" s="1" t="s">
        <v>3269</v>
      </c>
    </row>
    <row r="853">
      <c r="A853" s="1" t="s">
        <v>2788</v>
      </c>
      <c r="B853" s="1" t="s">
        <v>2714</v>
      </c>
      <c r="C853" s="1" t="s">
        <v>2793</v>
      </c>
      <c r="D853" s="1">
        <v>3.0</v>
      </c>
      <c r="E853" s="4" t="s">
        <v>2716</v>
      </c>
      <c r="F853" s="1" t="s">
        <v>16</v>
      </c>
      <c r="G853" s="2">
        <v>1.0</v>
      </c>
      <c r="J853" s="1" t="s">
        <v>3269</v>
      </c>
    </row>
    <row r="854">
      <c r="A854" s="1" t="s">
        <v>2788</v>
      </c>
      <c r="B854" s="1" t="s">
        <v>2794</v>
      </c>
      <c r="C854" s="1" t="s">
        <v>2795</v>
      </c>
      <c r="D854" s="1">
        <v>4.0</v>
      </c>
      <c r="E854" s="4" t="s">
        <v>2796</v>
      </c>
      <c r="F854" s="1" t="s">
        <v>16</v>
      </c>
      <c r="G854" s="2">
        <v>2.0</v>
      </c>
      <c r="H854" s="1" t="s">
        <v>2735</v>
      </c>
      <c r="I854" s="4" t="s">
        <v>2736</v>
      </c>
      <c r="J854" s="1" t="s">
        <v>3968</v>
      </c>
    </row>
    <row r="855">
      <c r="A855" s="1" t="s">
        <v>2788</v>
      </c>
      <c r="B855" s="1" t="s">
        <v>2797</v>
      </c>
      <c r="C855" s="1" t="s">
        <v>2798</v>
      </c>
      <c r="D855" s="1">
        <v>5.0</v>
      </c>
      <c r="E855" s="4" t="s">
        <v>2799</v>
      </c>
      <c r="F855" s="1" t="s">
        <v>16</v>
      </c>
      <c r="G855" s="2">
        <v>1.0</v>
      </c>
      <c r="J855" s="1" t="s">
        <v>3269</v>
      </c>
    </row>
    <row r="856">
      <c r="A856" s="1" t="s">
        <v>2788</v>
      </c>
      <c r="B856" s="1" t="s">
        <v>2800</v>
      </c>
      <c r="C856" s="1" t="s">
        <v>2801</v>
      </c>
      <c r="D856" s="1">
        <v>6.0</v>
      </c>
      <c r="E856" s="4" t="s">
        <v>2802</v>
      </c>
      <c r="F856" s="1" t="s">
        <v>16</v>
      </c>
      <c r="G856" s="2">
        <v>1.0</v>
      </c>
      <c r="H856" s="1" t="s">
        <v>1168</v>
      </c>
      <c r="I856" s="4" t="s">
        <v>1169</v>
      </c>
      <c r="J856" s="1" t="s">
        <v>3969</v>
      </c>
    </row>
    <row r="857">
      <c r="A857" s="1" t="s">
        <v>2788</v>
      </c>
      <c r="B857" s="1" t="s">
        <v>2803</v>
      </c>
      <c r="C857" s="1" t="s">
        <v>2804</v>
      </c>
      <c r="D857" s="1">
        <v>7.0</v>
      </c>
      <c r="E857" s="4" t="s">
        <v>2805</v>
      </c>
      <c r="F857" s="1" t="s">
        <v>16</v>
      </c>
      <c r="G857" s="2">
        <v>1.0</v>
      </c>
      <c r="H857" s="1" t="s">
        <v>2725</v>
      </c>
      <c r="I857" s="4" t="s">
        <v>2726</v>
      </c>
      <c r="J857" s="1" t="s">
        <v>3970</v>
      </c>
    </row>
    <row r="858">
      <c r="A858" s="1" t="s">
        <v>2788</v>
      </c>
      <c r="B858" s="1" t="s">
        <v>2758</v>
      </c>
      <c r="C858" s="1" t="s">
        <v>2759</v>
      </c>
      <c r="D858" s="1">
        <v>8.0</v>
      </c>
      <c r="E858" s="4" t="s">
        <v>2760</v>
      </c>
      <c r="F858" s="1" t="s">
        <v>16</v>
      </c>
      <c r="G858" s="2">
        <v>1.0</v>
      </c>
      <c r="H858" s="1" t="s">
        <v>2761</v>
      </c>
      <c r="I858" s="4" t="s">
        <v>2762</v>
      </c>
      <c r="J858" s="1" t="s">
        <v>3971</v>
      </c>
    </row>
    <row r="859">
      <c r="A859" s="1" t="s">
        <v>2788</v>
      </c>
      <c r="B859" s="1" t="s">
        <v>2806</v>
      </c>
      <c r="C859" s="1" t="s">
        <v>2807</v>
      </c>
      <c r="D859" s="1">
        <v>9.0</v>
      </c>
      <c r="E859" s="4" t="s">
        <v>2808</v>
      </c>
      <c r="F859" s="1" t="s">
        <v>16</v>
      </c>
      <c r="G859" s="2">
        <v>1.0</v>
      </c>
      <c r="J859" s="1" t="s">
        <v>3269</v>
      </c>
    </row>
    <row r="860">
      <c r="A860" s="1" t="s">
        <v>2788</v>
      </c>
      <c r="B860" s="1" t="s">
        <v>2809</v>
      </c>
      <c r="C860" s="1" t="s">
        <v>2810</v>
      </c>
      <c r="D860" s="1">
        <v>10.0</v>
      </c>
      <c r="E860" s="4" t="s">
        <v>2811</v>
      </c>
      <c r="F860" s="1" t="s">
        <v>16</v>
      </c>
      <c r="G860" s="2">
        <v>2.0</v>
      </c>
      <c r="H860" s="1" t="s">
        <v>2725</v>
      </c>
      <c r="I860" s="4" t="s">
        <v>2726</v>
      </c>
      <c r="J860" s="1" t="s">
        <v>3972</v>
      </c>
    </row>
    <row r="861">
      <c r="A861" s="1" t="s">
        <v>2788</v>
      </c>
      <c r="B861" s="1" t="s">
        <v>2789</v>
      </c>
      <c r="D861" s="1">
        <v>11.0</v>
      </c>
      <c r="E861" s="4" t="s">
        <v>2812</v>
      </c>
      <c r="F861" s="1" t="s">
        <v>16</v>
      </c>
      <c r="G861" s="2">
        <v>1.0</v>
      </c>
      <c r="H861" s="1" t="s">
        <v>31</v>
      </c>
      <c r="I861" s="4" t="s">
        <v>32</v>
      </c>
      <c r="J861" s="1" t="s">
        <v>3973</v>
      </c>
    </row>
    <row r="862">
      <c r="A862" s="1" t="s">
        <v>2788</v>
      </c>
      <c r="B862" s="1" t="s">
        <v>2813</v>
      </c>
      <c r="C862" s="1" t="s">
        <v>2814</v>
      </c>
      <c r="D862" s="1">
        <v>12.0</v>
      </c>
      <c r="E862" s="4" t="s">
        <v>2815</v>
      </c>
      <c r="F862" s="1" t="s">
        <v>16</v>
      </c>
      <c r="G862" s="2">
        <v>1.0</v>
      </c>
      <c r="H862" s="1" t="s">
        <v>2816</v>
      </c>
      <c r="I862" s="4" t="s">
        <v>2817</v>
      </c>
      <c r="J862" s="1" t="s">
        <v>3974</v>
      </c>
    </row>
    <row r="863">
      <c r="A863" s="1" t="s">
        <v>2788</v>
      </c>
      <c r="B863" s="1" t="s">
        <v>2818</v>
      </c>
      <c r="C863" s="1" t="s">
        <v>2819</v>
      </c>
      <c r="D863" s="1">
        <v>13.0</v>
      </c>
      <c r="E863" s="4" t="s">
        <v>2820</v>
      </c>
      <c r="F863" s="1" t="s">
        <v>16</v>
      </c>
      <c r="G863" s="2">
        <v>2.0</v>
      </c>
      <c r="J863" s="1" t="s">
        <v>3269</v>
      </c>
    </row>
    <row r="864">
      <c r="A864" s="1" t="s">
        <v>2788</v>
      </c>
      <c r="B864" s="1" t="s">
        <v>2821</v>
      </c>
      <c r="C864" s="1" t="s">
        <v>2822</v>
      </c>
      <c r="D864" s="1">
        <v>14.0</v>
      </c>
      <c r="E864" s="4" t="s">
        <v>2823</v>
      </c>
      <c r="F864" s="1" t="s">
        <v>16</v>
      </c>
      <c r="G864" s="2">
        <v>1.0</v>
      </c>
      <c r="J864" s="1" t="s">
        <v>3269</v>
      </c>
    </row>
    <row r="865">
      <c r="A865" s="1" t="s">
        <v>2788</v>
      </c>
      <c r="B865" s="1" t="s">
        <v>2824</v>
      </c>
      <c r="D865" s="1">
        <v>15.0</v>
      </c>
      <c r="E865" s="4" t="s">
        <v>2825</v>
      </c>
      <c r="F865" s="1" t="s">
        <v>16</v>
      </c>
      <c r="G865" s="2">
        <v>1.0</v>
      </c>
      <c r="H865" s="1" t="s">
        <v>2826</v>
      </c>
      <c r="I865" s="4" t="s">
        <v>2827</v>
      </c>
      <c r="J865" s="1" t="s">
        <v>3975</v>
      </c>
    </row>
    <row r="866">
      <c r="A866" s="1" t="s">
        <v>2788</v>
      </c>
      <c r="B866" s="1" t="s">
        <v>2737</v>
      </c>
      <c r="C866" s="1" t="s">
        <v>2828</v>
      </c>
      <c r="D866" s="1">
        <v>16.0</v>
      </c>
      <c r="E866" s="4" t="s">
        <v>2739</v>
      </c>
      <c r="F866" s="1" t="s">
        <v>16</v>
      </c>
      <c r="G866" s="2">
        <v>1.0</v>
      </c>
      <c r="H866" s="1" t="s">
        <v>34</v>
      </c>
      <c r="I866" s="4" t="s">
        <v>35</v>
      </c>
      <c r="J866" s="1" t="s">
        <v>3976</v>
      </c>
    </row>
    <row r="867">
      <c r="A867" s="1" t="s">
        <v>2788</v>
      </c>
      <c r="B867" s="1" t="s">
        <v>2789</v>
      </c>
      <c r="C867" s="1" t="s">
        <v>2829</v>
      </c>
      <c r="D867" s="1">
        <v>17.0</v>
      </c>
      <c r="E867" s="4" t="s">
        <v>2830</v>
      </c>
      <c r="F867" s="1" t="s">
        <v>16</v>
      </c>
      <c r="G867" s="2">
        <v>1.0</v>
      </c>
      <c r="J867" s="1" t="s">
        <v>3269</v>
      </c>
    </row>
    <row r="868">
      <c r="A868" s="1" t="s">
        <v>2788</v>
      </c>
      <c r="B868" s="1" t="s">
        <v>2831</v>
      </c>
      <c r="C868" s="1" t="s">
        <v>2832</v>
      </c>
      <c r="D868" s="1">
        <v>18.0</v>
      </c>
      <c r="E868" s="4" t="s">
        <v>2833</v>
      </c>
      <c r="F868" s="1" t="s">
        <v>16</v>
      </c>
      <c r="G868" s="2">
        <v>3.0</v>
      </c>
      <c r="H868" s="1" t="s">
        <v>135</v>
      </c>
      <c r="I868" s="4" t="s">
        <v>136</v>
      </c>
      <c r="J868" s="1" t="s">
        <v>3977</v>
      </c>
    </row>
    <row r="869">
      <c r="A869" s="1" t="s">
        <v>2788</v>
      </c>
      <c r="B869" s="1" t="s">
        <v>2834</v>
      </c>
      <c r="C869" s="1" t="s">
        <v>2835</v>
      </c>
      <c r="D869" s="1">
        <v>36.0</v>
      </c>
      <c r="E869" s="4" t="s">
        <v>2836</v>
      </c>
      <c r="F869" s="1" t="s">
        <v>16</v>
      </c>
      <c r="G869" s="2">
        <v>3.0</v>
      </c>
      <c r="H869" s="1" t="s">
        <v>2837</v>
      </c>
      <c r="I869" s="4" t="s">
        <v>2838</v>
      </c>
      <c r="J869" s="1" t="s">
        <v>3978</v>
      </c>
    </row>
    <row r="870">
      <c r="A870" s="1" t="s">
        <v>2788</v>
      </c>
      <c r="B870" s="1" t="s">
        <v>2839</v>
      </c>
      <c r="C870" s="1" t="s">
        <v>2840</v>
      </c>
      <c r="D870" s="1">
        <v>10.0</v>
      </c>
      <c r="E870" s="4" t="s">
        <v>2841</v>
      </c>
      <c r="F870" s="1" t="s">
        <v>43</v>
      </c>
      <c r="G870" s="2">
        <v>1.0</v>
      </c>
      <c r="H870" s="1" t="s">
        <v>2842</v>
      </c>
      <c r="I870" s="4" t="s">
        <v>2843</v>
      </c>
      <c r="J870" s="1" t="s">
        <v>3979</v>
      </c>
    </row>
    <row r="871">
      <c r="A871" s="1" t="s">
        <v>2788</v>
      </c>
      <c r="B871" s="1" t="s">
        <v>2844</v>
      </c>
      <c r="C871" s="1" t="s">
        <v>2781</v>
      </c>
      <c r="D871" s="1">
        <v>11.0</v>
      </c>
      <c r="E871" s="4" t="s">
        <v>2782</v>
      </c>
      <c r="F871" s="1" t="s">
        <v>43</v>
      </c>
      <c r="G871" s="2">
        <v>1.0</v>
      </c>
      <c r="J871" s="1" t="s">
        <v>3269</v>
      </c>
    </row>
    <row r="872">
      <c r="A872" s="1" t="s">
        <v>2788</v>
      </c>
      <c r="B872" s="1" t="s">
        <v>2845</v>
      </c>
      <c r="C872" s="1" t="s">
        <v>2846</v>
      </c>
      <c r="D872" s="1">
        <v>12.0</v>
      </c>
      <c r="E872" s="4" t="s">
        <v>2847</v>
      </c>
      <c r="F872" s="1" t="s">
        <v>43</v>
      </c>
      <c r="G872" s="2">
        <v>1.0</v>
      </c>
      <c r="H872" s="1" t="s">
        <v>2848</v>
      </c>
      <c r="I872" s="4" t="s">
        <v>2849</v>
      </c>
      <c r="J872" s="1" t="s">
        <v>3980</v>
      </c>
    </row>
    <row r="873">
      <c r="A873" s="1" t="s">
        <v>2788</v>
      </c>
      <c r="B873" s="1" t="s">
        <v>2850</v>
      </c>
      <c r="D873" s="1">
        <v>14.0</v>
      </c>
      <c r="E873" s="4" t="s">
        <v>2851</v>
      </c>
      <c r="F873" s="1" t="s">
        <v>43</v>
      </c>
      <c r="G873" s="2">
        <v>2.0</v>
      </c>
      <c r="H873" s="1" t="s">
        <v>2850</v>
      </c>
      <c r="I873" s="4" t="s">
        <v>2852</v>
      </c>
      <c r="J873" s="1" t="s">
        <v>3981</v>
      </c>
    </row>
    <row r="874">
      <c r="A874" s="1" t="s">
        <v>2788</v>
      </c>
      <c r="B874" s="1" t="s">
        <v>2853</v>
      </c>
      <c r="D874" s="1">
        <v>15.0</v>
      </c>
      <c r="E874" s="4" t="s">
        <v>2854</v>
      </c>
      <c r="F874" s="1" t="s">
        <v>43</v>
      </c>
      <c r="G874" s="2">
        <v>1.0</v>
      </c>
      <c r="H874" s="1" t="s">
        <v>1168</v>
      </c>
      <c r="I874" s="4" t="s">
        <v>1169</v>
      </c>
      <c r="J874" s="1" t="s">
        <v>3982</v>
      </c>
    </row>
    <row r="875">
      <c r="A875" s="1" t="s">
        <v>2788</v>
      </c>
      <c r="B875" s="1" t="s">
        <v>2855</v>
      </c>
      <c r="C875" s="1" t="s">
        <v>153</v>
      </c>
      <c r="D875" s="1">
        <v>17.0</v>
      </c>
      <c r="E875" s="4" t="s">
        <v>2856</v>
      </c>
      <c r="F875" s="1" t="s">
        <v>43</v>
      </c>
      <c r="G875" s="2">
        <v>1.0</v>
      </c>
      <c r="H875" s="1" t="s">
        <v>135</v>
      </c>
      <c r="I875" s="4" t="s">
        <v>136</v>
      </c>
      <c r="J875" s="1" t="s">
        <v>3983</v>
      </c>
    </row>
    <row r="876">
      <c r="A876" s="1" t="s">
        <v>2788</v>
      </c>
      <c r="B876" s="1" t="s">
        <v>2857</v>
      </c>
      <c r="C876" s="1" t="s">
        <v>2858</v>
      </c>
      <c r="D876" s="1">
        <v>36.0</v>
      </c>
      <c r="E876" s="4" t="s">
        <v>2859</v>
      </c>
      <c r="F876" s="1" t="s">
        <v>43</v>
      </c>
      <c r="G876" s="2">
        <v>1.0</v>
      </c>
      <c r="J876" s="1" t="s">
        <v>3269</v>
      </c>
    </row>
    <row r="877">
      <c r="A877" s="1" t="s">
        <v>2860</v>
      </c>
      <c r="B877" s="1" t="s">
        <v>2861</v>
      </c>
      <c r="D877" s="1">
        <v>1.0</v>
      </c>
      <c r="E877" s="4" t="s">
        <v>2862</v>
      </c>
      <c r="F877" s="1" t="s">
        <v>16</v>
      </c>
      <c r="G877" s="2">
        <v>2.0</v>
      </c>
      <c r="H877" s="1" t="s">
        <v>2863</v>
      </c>
      <c r="I877" s="4" t="s">
        <v>2864</v>
      </c>
      <c r="J877" s="1" t="s">
        <v>3984</v>
      </c>
    </row>
    <row r="878">
      <c r="A878" s="1" t="s">
        <v>2860</v>
      </c>
      <c r="B878" s="1" t="s">
        <v>2861</v>
      </c>
      <c r="D878" s="1">
        <v>2.0</v>
      </c>
      <c r="E878" s="4" t="s">
        <v>2865</v>
      </c>
      <c r="F878" s="1" t="s">
        <v>16</v>
      </c>
      <c r="G878" s="2">
        <v>2.0</v>
      </c>
      <c r="H878" s="1" t="s">
        <v>2866</v>
      </c>
      <c r="I878" s="4" t="s">
        <v>2867</v>
      </c>
      <c r="J878" s="1" t="s">
        <v>3985</v>
      </c>
    </row>
    <row r="879">
      <c r="A879" s="1" t="s">
        <v>2860</v>
      </c>
      <c r="B879" s="1" t="s">
        <v>2861</v>
      </c>
      <c r="C879" s="1" t="s">
        <v>2868</v>
      </c>
      <c r="D879" s="1">
        <v>3.0</v>
      </c>
      <c r="E879" s="4" t="s">
        <v>2869</v>
      </c>
      <c r="F879" s="1" t="s">
        <v>16</v>
      </c>
      <c r="G879" s="2">
        <v>1.0</v>
      </c>
      <c r="H879" s="1" t="s">
        <v>2870</v>
      </c>
      <c r="I879" s="4" t="s">
        <v>2871</v>
      </c>
      <c r="J879" s="1" t="s">
        <v>3986</v>
      </c>
    </row>
    <row r="880">
      <c r="A880" s="1" t="s">
        <v>2860</v>
      </c>
      <c r="B880" s="1" t="s">
        <v>2861</v>
      </c>
      <c r="D880" s="1">
        <v>4.0</v>
      </c>
      <c r="E880" s="4" t="s">
        <v>2872</v>
      </c>
      <c r="F880" s="1" t="s">
        <v>16</v>
      </c>
      <c r="G880" s="2">
        <v>2.0</v>
      </c>
      <c r="H880" s="1" t="s">
        <v>2866</v>
      </c>
      <c r="I880" s="4" t="s">
        <v>2873</v>
      </c>
      <c r="J880" s="1" t="s">
        <v>3985</v>
      </c>
    </row>
    <row r="881">
      <c r="A881" s="1" t="s">
        <v>2860</v>
      </c>
      <c r="B881" s="1" t="s">
        <v>2874</v>
      </c>
      <c r="D881" s="1">
        <v>5.0</v>
      </c>
      <c r="E881" s="4" t="s">
        <v>2875</v>
      </c>
      <c r="F881" s="1" t="s">
        <v>16</v>
      </c>
      <c r="G881" s="2">
        <v>1.0</v>
      </c>
      <c r="J881" s="1" t="s">
        <v>3269</v>
      </c>
    </row>
    <row r="882">
      <c r="A882" s="1" t="s">
        <v>2860</v>
      </c>
      <c r="B882" s="1" t="s">
        <v>2861</v>
      </c>
      <c r="D882" s="1">
        <v>6.0</v>
      </c>
      <c r="E882" s="4" t="s">
        <v>2876</v>
      </c>
      <c r="F882" s="1" t="s">
        <v>16</v>
      </c>
      <c r="G882" s="2">
        <v>1.0</v>
      </c>
      <c r="H882" s="1" t="s">
        <v>2866</v>
      </c>
      <c r="I882" s="4" t="s">
        <v>2877</v>
      </c>
      <c r="J882" s="1" t="s">
        <v>3985</v>
      </c>
    </row>
    <row r="883">
      <c r="A883" s="1" t="s">
        <v>2860</v>
      </c>
      <c r="B883" s="1" t="s">
        <v>2874</v>
      </c>
      <c r="D883" s="1">
        <v>7.0</v>
      </c>
      <c r="E883" s="4" t="s">
        <v>2878</v>
      </c>
      <c r="F883" s="1" t="s">
        <v>16</v>
      </c>
      <c r="G883" s="2">
        <v>1.0</v>
      </c>
      <c r="J883" s="1" t="s">
        <v>3269</v>
      </c>
    </row>
    <row r="884">
      <c r="A884" s="1" t="s">
        <v>2860</v>
      </c>
      <c r="B884" s="1" t="s">
        <v>2861</v>
      </c>
      <c r="D884" s="1">
        <v>8.0</v>
      </c>
      <c r="E884" s="4" t="s">
        <v>2879</v>
      </c>
      <c r="F884" s="1" t="s">
        <v>16</v>
      </c>
      <c r="G884" s="2">
        <v>1.0</v>
      </c>
      <c r="H884" s="1" t="s">
        <v>2866</v>
      </c>
      <c r="I884" s="4" t="s">
        <v>2880</v>
      </c>
      <c r="J884" s="1" t="s">
        <v>3985</v>
      </c>
    </row>
    <row r="885">
      <c r="A885" s="1" t="s">
        <v>2860</v>
      </c>
      <c r="B885" s="1" t="s">
        <v>2881</v>
      </c>
      <c r="C885" s="1" t="s">
        <v>2882</v>
      </c>
      <c r="D885" s="1">
        <v>9.0</v>
      </c>
      <c r="E885" s="4" t="s">
        <v>2883</v>
      </c>
      <c r="F885" s="1" t="s">
        <v>16</v>
      </c>
      <c r="G885" s="2">
        <v>1.0</v>
      </c>
      <c r="H885" s="1" t="s">
        <v>2884</v>
      </c>
      <c r="I885" s="4" t="s">
        <v>2885</v>
      </c>
      <c r="J885" s="1" t="s">
        <v>3987</v>
      </c>
    </row>
    <row r="886">
      <c r="A886" s="1" t="s">
        <v>2860</v>
      </c>
      <c r="B886" s="1" t="s">
        <v>2861</v>
      </c>
      <c r="D886" s="1">
        <v>10.0</v>
      </c>
      <c r="E886" s="4" t="s">
        <v>2886</v>
      </c>
      <c r="F886" s="1" t="s">
        <v>16</v>
      </c>
      <c r="G886" s="2">
        <v>1.0</v>
      </c>
      <c r="H886" s="1" t="s">
        <v>2866</v>
      </c>
      <c r="I886" s="4" t="s">
        <v>2887</v>
      </c>
      <c r="J886" s="1" t="s">
        <v>3985</v>
      </c>
    </row>
    <row r="887">
      <c r="A887" s="1" t="s">
        <v>2860</v>
      </c>
      <c r="B887" s="1" t="s">
        <v>2874</v>
      </c>
      <c r="D887" s="1">
        <v>11.0</v>
      </c>
      <c r="E887" s="4" t="s">
        <v>2888</v>
      </c>
      <c r="F887" s="1" t="s">
        <v>16</v>
      </c>
      <c r="G887" s="2">
        <v>1.0</v>
      </c>
      <c r="J887" s="1" t="s">
        <v>3269</v>
      </c>
    </row>
    <row r="888">
      <c r="A888" s="1" t="s">
        <v>2860</v>
      </c>
      <c r="B888" s="1" t="s">
        <v>2861</v>
      </c>
      <c r="D888" s="1">
        <v>12.0</v>
      </c>
      <c r="E888" s="4" t="s">
        <v>2889</v>
      </c>
      <c r="F888" s="1" t="s">
        <v>16</v>
      </c>
      <c r="G888" s="2">
        <v>1.0</v>
      </c>
      <c r="J888" s="1" t="s">
        <v>3269</v>
      </c>
    </row>
    <row r="889">
      <c r="A889" s="1" t="s">
        <v>2860</v>
      </c>
      <c r="B889" s="1" t="s">
        <v>2890</v>
      </c>
      <c r="C889" s="1" t="s">
        <v>2891</v>
      </c>
      <c r="D889" s="1">
        <v>13.0</v>
      </c>
      <c r="E889" s="4" t="s">
        <v>2892</v>
      </c>
      <c r="F889" s="1" t="s">
        <v>16</v>
      </c>
      <c r="G889" s="2">
        <v>1.0</v>
      </c>
      <c r="H889" s="1" t="s">
        <v>2893</v>
      </c>
      <c r="I889" s="4" t="s">
        <v>2894</v>
      </c>
      <c r="J889" s="1" t="s">
        <v>3988</v>
      </c>
    </row>
    <row r="890">
      <c r="A890" s="1" t="s">
        <v>2860</v>
      </c>
      <c r="B890" s="1" t="s">
        <v>2895</v>
      </c>
      <c r="D890" s="1">
        <v>14.0</v>
      </c>
      <c r="E890" s="4" t="s">
        <v>2896</v>
      </c>
      <c r="F890" s="1" t="s">
        <v>16</v>
      </c>
      <c r="G890" s="2">
        <v>2.0</v>
      </c>
      <c r="J890" s="1" t="s">
        <v>3269</v>
      </c>
    </row>
    <row r="891">
      <c r="A891" s="1" t="s">
        <v>2860</v>
      </c>
      <c r="B891" s="1" t="s">
        <v>2861</v>
      </c>
      <c r="D891" s="1">
        <v>15.0</v>
      </c>
      <c r="E891" s="4" t="s">
        <v>2897</v>
      </c>
      <c r="F891" s="1" t="s">
        <v>16</v>
      </c>
      <c r="G891" s="2">
        <v>2.0</v>
      </c>
      <c r="H891" s="1" t="s">
        <v>2866</v>
      </c>
      <c r="I891" s="4" t="s">
        <v>2898</v>
      </c>
      <c r="J891" s="1" t="s">
        <v>3985</v>
      </c>
    </row>
    <row r="892">
      <c r="A892" s="1" t="s">
        <v>2860</v>
      </c>
      <c r="B892" s="1" t="s">
        <v>2874</v>
      </c>
      <c r="C892" s="1" t="s">
        <v>2899</v>
      </c>
      <c r="D892" s="1">
        <v>16.0</v>
      </c>
      <c r="E892" s="4" t="s">
        <v>2900</v>
      </c>
      <c r="F892" s="1" t="s">
        <v>16</v>
      </c>
      <c r="G892" s="2">
        <v>2.0</v>
      </c>
      <c r="J892" s="1" t="s">
        <v>3269</v>
      </c>
    </row>
    <row r="893">
      <c r="A893" s="1" t="s">
        <v>2860</v>
      </c>
      <c r="B893" s="1" t="s">
        <v>2901</v>
      </c>
      <c r="D893" s="1">
        <v>17.0</v>
      </c>
      <c r="E893" s="4" t="s">
        <v>2902</v>
      </c>
      <c r="F893" s="1" t="s">
        <v>16</v>
      </c>
      <c r="G893" s="2">
        <v>2.0</v>
      </c>
      <c r="I893" s="4" t="s">
        <v>2903</v>
      </c>
      <c r="J893" s="1" t="s">
        <v>3269</v>
      </c>
    </row>
    <row r="894">
      <c r="A894" s="1" t="s">
        <v>2860</v>
      </c>
      <c r="B894" s="1" t="s">
        <v>2904</v>
      </c>
      <c r="D894" s="1">
        <v>18.0</v>
      </c>
      <c r="E894" s="4" t="s">
        <v>2905</v>
      </c>
      <c r="F894" s="1" t="s">
        <v>16</v>
      </c>
      <c r="G894" s="2">
        <v>1.0</v>
      </c>
      <c r="J894" s="1" t="s">
        <v>3269</v>
      </c>
    </row>
    <row r="895">
      <c r="A895" s="1" t="s">
        <v>2860</v>
      </c>
      <c r="B895" s="1" t="s">
        <v>2906</v>
      </c>
      <c r="D895" s="1">
        <v>19.0</v>
      </c>
      <c r="E895" s="4" t="s">
        <v>2907</v>
      </c>
      <c r="F895" s="1" t="s">
        <v>16</v>
      </c>
      <c r="G895" s="2">
        <v>1.0</v>
      </c>
      <c r="J895" s="1" t="s">
        <v>3269</v>
      </c>
    </row>
    <row r="896">
      <c r="A896" s="1" t="s">
        <v>2860</v>
      </c>
      <c r="B896" s="1" t="s">
        <v>2861</v>
      </c>
      <c r="D896" s="1">
        <v>20.0</v>
      </c>
      <c r="E896" s="4" t="s">
        <v>2908</v>
      </c>
      <c r="F896" s="1" t="s">
        <v>16</v>
      </c>
      <c r="G896" s="2">
        <v>2.0</v>
      </c>
      <c r="J896" s="1" t="s">
        <v>3269</v>
      </c>
    </row>
    <row r="897">
      <c r="A897" s="1" t="s">
        <v>2860</v>
      </c>
      <c r="B897" s="1" t="s">
        <v>2861</v>
      </c>
      <c r="D897" s="1">
        <v>8.0</v>
      </c>
      <c r="E897" s="4" t="s">
        <v>2909</v>
      </c>
      <c r="F897" s="1" t="s">
        <v>43</v>
      </c>
      <c r="G897" s="2">
        <v>1.0</v>
      </c>
      <c r="H897" s="1" t="s">
        <v>2866</v>
      </c>
      <c r="I897" s="4" t="s">
        <v>2867</v>
      </c>
      <c r="J897" s="1" t="s">
        <v>3985</v>
      </c>
    </row>
    <row r="898">
      <c r="A898" s="1" t="s">
        <v>2860</v>
      </c>
      <c r="B898" s="1" t="s">
        <v>2861</v>
      </c>
      <c r="D898" s="1">
        <v>9.0</v>
      </c>
      <c r="E898" s="4" t="s">
        <v>2910</v>
      </c>
      <c r="F898" s="1" t="s">
        <v>43</v>
      </c>
      <c r="G898" s="2">
        <v>1.0</v>
      </c>
      <c r="J898" s="1" t="s">
        <v>3269</v>
      </c>
    </row>
    <row r="899">
      <c r="A899" s="1" t="s">
        <v>2860</v>
      </c>
      <c r="B899" s="1" t="s">
        <v>2861</v>
      </c>
      <c r="D899" s="1">
        <v>10.0</v>
      </c>
      <c r="E899" s="4" t="s">
        <v>2911</v>
      </c>
      <c r="F899" s="1" t="s">
        <v>43</v>
      </c>
      <c r="G899" s="2">
        <v>2.0</v>
      </c>
      <c r="H899" s="1" t="s">
        <v>2866</v>
      </c>
      <c r="I899" s="4" t="s">
        <v>2912</v>
      </c>
      <c r="J899" s="1" t="s">
        <v>3985</v>
      </c>
    </row>
    <row r="900">
      <c r="A900" s="1" t="s">
        <v>2860</v>
      </c>
      <c r="B900" s="1" t="s">
        <v>2861</v>
      </c>
      <c r="D900" s="1">
        <v>11.0</v>
      </c>
      <c r="E900" s="4" t="s">
        <v>2913</v>
      </c>
      <c r="F900" s="1" t="s">
        <v>43</v>
      </c>
      <c r="G900" s="2">
        <v>1.0</v>
      </c>
      <c r="J900" s="1" t="s">
        <v>3269</v>
      </c>
    </row>
    <row r="901">
      <c r="A901" s="1" t="s">
        <v>2860</v>
      </c>
      <c r="B901" s="1" t="s">
        <v>2861</v>
      </c>
      <c r="D901" s="1">
        <v>16.0</v>
      </c>
      <c r="E901" s="4" t="s">
        <v>2914</v>
      </c>
      <c r="F901" s="1" t="s">
        <v>43</v>
      </c>
      <c r="G901" s="2">
        <v>2.0</v>
      </c>
      <c r="J901" s="1" t="s">
        <v>3269</v>
      </c>
    </row>
    <row r="902">
      <c r="A902" s="1" t="s">
        <v>2860</v>
      </c>
      <c r="B902" s="1" t="s">
        <v>2861</v>
      </c>
      <c r="D902" s="1">
        <v>18.0</v>
      </c>
      <c r="E902" s="4" t="s">
        <v>2915</v>
      </c>
      <c r="F902" s="1" t="s">
        <v>43</v>
      </c>
      <c r="G902" s="2">
        <v>1.0</v>
      </c>
      <c r="H902" s="1" t="s">
        <v>2916</v>
      </c>
      <c r="I902" s="4" t="s">
        <v>2917</v>
      </c>
      <c r="J902" s="1" t="s">
        <v>3989</v>
      </c>
    </row>
    <row r="903">
      <c r="A903" s="1" t="s">
        <v>2860</v>
      </c>
      <c r="B903" s="1" t="s">
        <v>2861</v>
      </c>
      <c r="D903" s="1">
        <v>20.0</v>
      </c>
      <c r="E903" s="4" t="s">
        <v>2918</v>
      </c>
      <c r="F903" s="1" t="s">
        <v>43</v>
      </c>
      <c r="G903" s="2">
        <v>1.0</v>
      </c>
      <c r="J903" s="1" t="s">
        <v>3269</v>
      </c>
    </row>
    <row r="904">
      <c r="A904" s="1" t="s">
        <v>2919</v>
      </c>
      <c r="B904" s="1" t="s">
        <v>2920</v>
      </c>
      <c r="C904" s="1" t="s">
        <v>2921</v>
      </c>
      <c r="D904" s="1">
        <v>1.0</v>
      </c>
      <c r="E904" s="4" t="s">
        <v>2922</v>
      </c>
      <c r="F904" s="1" t="s">
        <v>43</v>
      </c>
      <c r="G904" s="2">
        <v>0.0</v>
      </c>
      <c r="H904" s="1" t="s">
        <v>2920</v>
      </c>
      <c r="I904" s="4" t="s">
        <v>2923</v>
      </c>
      <c r="J904" s="1" t="s">
        <v>3990</v>
      </c>
    </row>
    <row r="905">
      <c r="A905" s="1" t="s">
        <v>2919</v>
      </c>
      <c r="B905" s="1" t="s">
        <v>2924</v>
      </c>
      <c r="D905" s="1">
        <v>2.0</v>
      </c>
      <c r="E905" s="4" t="s">
        <v>2925</v>
      </c>
      <c r="F905" s="1" t="s">
        <v>43</v>
      </c>
      <c r="G905" s="2">
        <v>0.0</v>
      </c>
      <c r="H905" s="1" t="s">
        <v>120</v>
      </c>
      <c r="I905" s="4" t="s">
        <v>121</v>
      </c>
      <c r="J905" s="1" t="s">
        <v>3991</v>
      </c>
    </row>
    <row r="906">
      <c r="A906" s="1" t="s">
        <v>2919</v>
      </c>
      <c r="B906" s="1" t="s">
        <v>2926</v>
      </c>
      <c r="C906" s="1" t="s">
        <v>2927</v>
      </c>
      <c r="D906" s="1">
        <v>3.0</v>
      </c>
      <c r="E906" s="4" t="s">
        <v>2928</v>
      </c>
      <c r="F906" s="1" t="s">
        <v>43</v>
      </c>
      <c r="G906" s="2">
        <v>0.0</v>
      </c>
      <c r="H906" s="1" t="s">
        <v>97</v>
      </c>
      <c r="I906" s="4" t="s">
        <v>98</v>
      </c>
      <c r="J906" s="1" t="s">
        <v>3992</v>
      </c>
    </row>
    <row r="907">
      <c r="A907" s="1" t="s">
        <v>2919</v>
      </c>
      <c r="B907" s="1" t="s">
        <v>2929</v>
      </c>
      <c r="C907" s="1" t="s">
        <v>2930</v>
      </c>
      <c r="D907" s="1">
        <v>4.0</v>
      </c>
      <c r="E907" s="4" t="s">
        <v>2931</v>
      </c>
      <c r="F907" s="1" t="s">
        <v>43</v>
      </c>
      <c r="G907" s="2">
        <v>1.0</v>
      </c>
      <c r="H907" s="1" t="s">
        <v>120</v>
      </c>
      <c r="I907" s="4" t="s">
        <v>121</v>
      </c>
      <c r="J907" s="1" t="s">
        <v>3993</v>
      </c>
    </row>
    <row r="908">
      <c r="A908" s="1" t="s">
        <v>2919</v>
      </c>
      <c r="B908" s="1" t="s">
        <v>2932</v>
      </c>
      <c r="C908" s="1" t="s">
        <v>2933</v>
      </c>
      <c r="D908" s="1">
        <v>5.0</v>
      </c>
      <c r="E908" s="4" t="s">
        <v>2934</v>
      </c>
      <c r="F908" s="1" t="s">
        <v>43</v>
      </c>
      <c r="G908" s="2">
        <v>1.0</v>
      </c>
      <c r="H908" s="1" t="s">
        <v>31</v>
      </c>
      <c r="I908" s="4" t="s">
        <v>32</v>
      </c>
      <c r="J908" s="1" t="s">
        <v>3994</v>
      </c>
    </row>
    <row r="909">
      <c r="A909" s="1" t="s">
        <v>2919</v>
      </c>
      <c r="B909" s="1" t="s">
        <v>2935</v>
      </c>
      <c r="C909" s="1" t="s">
        <v>2936</v>
      </c>
      <c r="D909" s="1">
        <v>6.0</v>
      </c>
      <c r="E909" s="4" t="s">
        <v>2937</v>
      </c>
      <c r="F909" s="1" t="s">
        <v>43</v>
      </c>
      <c r="G909" s="2">
        <v>1.0</v>
      </c>
      <c r="H909" s="1" t="s">
        <v>2938</v>
      </c>
      <c r="I909" s="1" t="s">
        <v>2939</v>
      </c>
      <c r="J909" s="1" t="s">
        <v>3995</v>
      </c>
    </row>
    <row r="910">
      <c r="A910" s="1" t="s">
        <v>2919</v>
      </c>
      <c r="B910" s="1" t="s">
        <v>2932</v>
      </c>
      <c r="C910" s="1" t="s">
        <v>2940</v>
      </c>
      <c r="D910" s="1">
        <v>7.0</v>
      </c>
      <c r="E910" s="4" t="s">
        <v>2941</v>
      </c>
      <c r="F910" s="1" t="s">
        <v>43</v>
      </c>
      <c r="G910" s="2">
        <v>1.0</v>
      </c>
      <c r="H910" s="1" t="s">
        <v>2942</v>
      </c>
      <c r="I910" s="1" t="s">
        <v>2943</v>
      </c>
      <c r="J910" s="1" t="s">
        <v>3996</v>
      </c>
    </row>
    <row r="911">
      <c r="A911" s="1" t="s">
        <v>2919</v>
      </c>
      <c r="B911" s="1" t="s">
        <v>2920</v>
      </c>
      <c r="C911" s="1" t="s">
        <v>2944</v>
      </c>
      <c r="D911" s="1">
        <v>8.0</v>
      </c>
      <c r="E911" s="4" t="s">
        <v>2945</v>
      </c>
      <c r="F911" s="1" t="s">
        <v>43</v>
      </c>
      <c r="G911" s="2">
        <v>1.0</v>
      </c>
      <c r="H911" s="1" t="s">
        <v>2946</v>
      </c>
      <c r="I911" s="4" t="s">
        <v>2947</v>
      </c>
      <c r="J911" s="1" t="s">
        <v>3997</v>
      </c>
    </row>
    <row r="912">
      <c r="A912" s="1" t="s">
        <v>2919</v>
      </c>
      <c r="B912" s="1" t="s">
        <v>2948</v>
      </c>
      <c r="C912" s="1" t="s">
        <v>2949</v>
      </c>
      <c r="D912" s="1">
        <v>9.0</v>
      </c>
      <c r="E912" s="4" t="s">
        <v>2950</v>
      </c>
      <c r="F912" s="1" t="s">
        <v>43</v>
      </c>
      <c r="G912" s="2">
        <v>1.0</v>
      </c>
      <c r="H912" s="1" t="s">
        <v>2951</v>
      </c>
      <c r="I912" s="4" t="s">
        <v>2952</v>
      </c>
      <c r="J912" s="1" t="s">
        <v>3998</v>
      </c>
    </row>
    <row r="913">
      <c r="A913" s="1" t="s">
        <v>2919</v>
      </c>
      <c r="B913" s="1" t="s">
        <v>2953</v>
      </c>
      <c r="C913" s="1" t="s">
        <v>2954</v>
      </c>
      <c r="D913" s="1">
        <v>10.0</v>
      </c>
      <c r="E913" s="4" t="s">
        <v>2955</v>
      </c>
      <c r="F913" s="1" t="s">
        <v>43</v>
      </c>
      <c r="G913" s="2">
        <v>1.0</v>
      </c>
      <c r="H913" s="1" t="s">
        <v>457</v>
      </c>
      <c r="I913" s="4" t="s">
        <v>458</v>
      </c>
      <c r="J913" s="1" t="s">
        <v>3999</v>
      </c>
    </row>
    <row r="914">
      <c r="A914" s="1" t="s">
        <v>2919</v>
      </c>
      <c r="B914" s="1" t="s">
        <v>2956</v>
      </c>
      <c r="C914" s="1" t="s">
        <v>2957</v>
      </c>
      <c r="D914" s="1">
        <v>11.0</v>
      </c>
      <c r="E914" s="4" t="s">
        <v>2958</v>
      </c>
      <c r="F914" s="1" t="s">
        <v>43</v>
      </c>
      <c r="G914" s="2">
        <v>0.0</v>
      </c>
      <c r="H914" s="1" t="s">
        <v>2959</v>
      </c>
      <c r="I914" s="4" t="s">
        <v>2960</v>
      </c>
      <c r="J914" s="1" t="s">
        <v>4000</v>
      </c>
    </row>
    <row r="915">
      <c r="A915" s="1" t="s">
        <v>2919</v>
      </c>
      <c r="B915" s="1" t="s">
        <v>2961</v>
      </c>
      <c r="C915" s="1" t="s">
        <v>2962</v>
      </c>
      <c r="D915" s="1">
        <v>12.0</v>
      </c>
      <c r="E915" s="4" t="s">
        <v>2963</v>
      </c>
      <c r="F915" s="1" t="s">
        <v>43</v>
      </c>
      <c r="G915" s="2">
        <v>0.0</v>
      </c>
      <c r="H915" s="1" t="s">
        <v>2964</v>
      </c>
      <c r="I915" s="4" t="s">
        <v>2965</v>
      </c>
      <c r="J915" s="1" t="s">
        <v>4001</v>
      </c>
    </row>
    <row r="916">
      <c r="A916" s="1" t="s">
        <v>2919</v>
      </c>
      <c r="B916" s="1" t="s">
        <v>2966</v>
      </c>
      <c r="D916" s="1">
        <v>13.0</v>
      </c>
      <c r="E916" s="4" t="s">
        <v>2967</v>
      </c>
      <c r="F916" s="1" t="s">
        <v>43</v>
      </c>
      <c r="G916" s="2">
        <v>2.0</v>
      </c>
      <c r="J916" s="1" t="s">
        <v>3269</v>
      </c>
    </row>
    <row r="917">
      <c r="A917" s="1" t="s">
        <v>2919</v>
      </c>
      <c r="B917" s="1" t="s">
        <v>2968</v>
      </c>
      <c r="C917" s="1" t="s">
        <v>2969</v>
      </c>
      <c r="D917" s="1">
        <v>14.0</v>
      </c>
      <c r="E917" s="4" t="s">
        <v>2970</v>
      </c>
      <c r="F917" s="1" t="s">
        <v>43</v>
      </c>
      <c r="G917" s="2">
        <v>2.0</v>
      </c>
      <c r="H917" s="1" t="s">
        <v>2971</v>
      </c>
      <c r="I917" s="4" t="s">
        <v>2972</v>
      </c>
      <c r="J917" s="1" t="s">
        <v>4002</v>
      </c>
    </row>
    <row r="918">
      <c r="A918" s="1" t="s">
        <v>2919</v>
      </c>
      <c r="B918" s="1" t="s">
        <v>2973</v>
      </c>
      <c r="C918" s="1" t="s">
        <v>2974</v>
      </c>
      <c r="D918" s="1">
        <v>15.0</v>
      </c>
      <c r="E918" s="4" t="s">
        <v>2975</v>
      </c>
      <c r="F918" s="1" t="s">
        <v>43</v>
      </c>
      <c r="G918" s="2">
        <v>3.0</v>
      </c>
      <c r="H918" s="1" t="s">
        <v>1118</v>
      </c>
      <c r="I918" s="4" t="s">
        <v>1119</v>
      </c>
      <c r="J918" s="1" t="s">
        <v>4003</v>
      </c>
    </row>
    <row r="919">
      <c r="A919" s="1" t="s">
        <v>2919</v>
      </c>
      <c r="B919" s="1" t="s">
        <v>2976</v>
      </c>
      <c r="D919" s="1">
        <v>16.0</v>
      </c>
      <c r="E919" s="4" t="s">
        <v>2977</v>
      </c>
      <c r="F919" s="1" t="s">
        <v>43</v>
      </c>
      <c r="G919" s="2">
        <v>2.0</v>
      </c>
      <c r="H919" s="1" t="s">
        <v>302</v>
      </c>
      <c r="I919" s="4" t="s">
        <v>303</v>
      </c>
      <c r="J919" s="1" t="s">
        <v>4004</v>
      </c>
    </row>
    <row r="920">
      <c r="A920" s="1" t="s">
        <v>2919</v>
      </c>
      <c r="B920" s="1" t="s">
        <v>2978</v>
      </c>
      <c r="D920" s="1">
        <v>17.0</v>
      </c>
      <c r="E920" s="4" t="s">
        <v>2979</v>
      </c>
      <c r="F920" s="1" t="s">
        <v>43</v>
      </c>
      <c r="G920" s="2">
        <v>3.0</v>
      </c>
      <c r="H920" s="1" t="s">
        <v>2980</v>
      </c>
      <c r="I920" s="4" t="s">
        <v>2981</v>
      </c>
      <c r="J920" s="1" t="s">
        <v>4005</v>
      </c>
    </row>
    <row r="921">
      <c r="A921" s="1" t="s">
        <v>2982</v>
      </c>
      <c r="B921" s="1" t="s">
        <v>2983</v>
      </c>
      <c r="D921" s="1">
        <v>1.0</v>
      </c>
      <c r="E921" s="4" t="s">
        <v>2984</v>
      </c>
      <c r="F921" s="1" t="s">
        <v>16</v>
      </c>
      <c r="G921" s="2">
        <v>3.0</v>
      </c>
      <c r="H921" s="1" t="s">
        <v>336</v>
      </c>
      <c r="I921" s="4" t="s">
        <v>337</v>
      </c>
      <c r="J921" s="1" t="s">
        <v>4006</v>
      </c>
    </row>
    <row r="922">
      <c r="A922" s="1" t="s">
        <v>2982</v>
      </c>
      <c r="B922" s="1" t="s">
        <v>2985</v>
      </c>
      <c r="C922" s="1" t="s">
        <v>2986</v>
      </c>
      <c r="D922" s="1">
        <v>2.0</v>
      </c>
      <c r="E922" s="4" t="s">
        <v>2987</v>
      </c>
      <c r="F922" s="1" t="s">
        <v>16</v>
      </c>
      <c r="G922" s="2">
        <v>1.0</v>
      </c>
      <c r="H922" s="1" t="s">
        <v>31</v>
      </c>
      <c r="I922" s="4" t="s">
        <v>32</v>
      </c>
      <c r="J922" s="1" t="s">
        <v>4007</v>
      </c>
    </row>
    <row r="923">
      <c r="A923" s="1" t="s">
        <v>2982</v>
      </c>
      <c r="B923" s="1" t="s">
        <v>2988</v>
      </c>
      <c r="C923" s="1" t="s">
        <v>2989</v>
      </c>
      <c r="D923" s="1">
        <v>3.0</v>
      </c>
      <c r="E923" s="4" t="s">
        <v>2990</v>
      </c>
      <c r="F923" s="1" t="s">
        <v>16</v>
      </c>
      <c r="G923" s="2">
        <v>1.0</v>
      </c>
      <c r="H923" s="1" t="s">
        <v>31</v>
      </c>
      <c r="I923" s="4" t="s">
        <v>32</v>
      </c>
      <c r="J923" s="1" t="s">
        <v>4008</v>
      </c>
    </row>
    <row r="924">
      <c r="A924" s="1" t="s">
        <v>2982</v>
      </c>
      <c r="B924" s="1" t="s">
        <v>2991</v>
      </c>
      <c r="C924" s="1" t="s">
        <v>2992</v>
      </c>
      <c r="D924" s="1">
        <v>4.0</v>
      </c>
      <c r="E924" s="4" t="s">
        <v>2993</v>
      </c>
      <c r="F924" s="1" t="s">
        <v>16</v>
      </c>
      <c r="G924" s="2">
        <v>3.0</v>
      </c>
      <c r="H924" s="1" t="s">
        <v>344</v>
      </c>
      <c r="I924" s="4" t="s">
        <v>345</v>
      </c>
      <c r="J924" s="1" t="s">
        <v>4009</v>
      </c>
    </row>
    <row r="925">
      <c r="A925" s="1" t="s">
        <v>2982</v>
      </c>
      <c r="B925" s="1" t="s">
        <v>2994</v>
      </c>
      <c r="C925" s="1" t="s">
        <v>2995</v>
      </c>
      <c r="D925" s="1">
        <v>3.0</v>
      </c>
      <c r="E925" s="4" t="s">
        <v>2996</v>
      </c>
      <c r="F925" s="1" t="s">
        <v>43</v>
      </c>
      <c r="G925" s="2">
        <v>1.0</v>
      </c>
      <c r="H925" s="1" t="s">
        <v>364</v>
      </c>
      <c r="I925" s="4" t="s">
        <v>365</v>
      </c>
      <c r="J925" s="1" t="s">
        <v>4010</v>
      </c>
    </row>
    <row r="926">
      <c r="A926" s="1" t="s">
        <v>2982</v>
      </c>
      <c r="B926" s="1" t="s">
        <v>2997</v>
      </c>
      <c r="C926" s="1" t="s">
        <v>2998</v>
      </c>
      <c r="D926" s="1">
        <v>4.0</v>
      </c>
      <c r="E926" s="4" t="s">
        <v>2999</v>
      </c>
      <c r="F926" s="1" t="s">
        <v>43</v>
      </c>
      <c r="G926" s="2">
        <v>1.0</v>
      </c>
      <c r="J926" s="1" t="s">
        <v>3269</v>
      </c>
    </row>
    <row r="927">
      <c r="A927" s="1" t="s">
        <v>2982</v>
      </c>
      <c r="B927" s="1" t="s">
        <v>3000</v>
      </c>
      <c r="C927" s="1" t="s">
        <v>3001</v>
      </c>
      <c r="D927" s="1">
        <v>5.0</v>
      </c>
      <c r="E927" s="4" t="s">
        <v>3002</v>
      </c>
      <c r="F927" s="1" t="s">
        <v>43</v>
      </c>
      <c r="G927" s="2">
        <v>1.0</v>
      </c>
      <c r="H927" s="1" t="s">
        <v>31</v>
      </c>
      <c r="I927" s="4" t="s">
        <v>32</v>
      </c>
      <c r="J927" s="1" t="s">
        <v>4011</v>
      </c>
    </row>
    <row r="928">
      <c r="A928" s="1" t="s">
        <v>2982</v>
      </c>
      <c r="B928" s="1" t="s">
        <v>3003</v>
      </c>
      <c r="D928" s="1">
        <v>6.0</v>
      </c>
      <c r="E928" s="4" t="s">
        <v>3004</v>
      </c>
      <c r="F928" s="1" t="s">
        <v>43</v>
      </c>
      <c r="G928" s="2">
        <v>1.0</v>
      </c>
      <c r="H928" s="1" t="s">
        <v>1372</v>
      </c>
      <c r="I928" s="4" t="s">
        <v>1373</v>
      </c>
      <c r="J928" s="1" t="s">
        <v>4012</v>
      </c>
    </row>
    <row r="929">
      <c r="A929" s="1" t="s">
        <v>2982</v>
      </c>
      <c r="B929" s="1" t="s">
        <v>3005</v>
      </c>
      <c r="C929" s="1" t="s">
        <v>3006</v>
      </c>
      <c r="D929" s="1">
        <v>7.0</v>
      </c>
      <c r="E929" s="4" t="s">
        <v>3007</v>
      </c>
      <c r="F929" s="1" t="s">
        <v>43</v>
      </c>
      <c r="G929" s="2">
        <v>2.0</v>
      </c>
      <c r="H929" s="1" t="s">
        <v>336</v>
      </c>
      <c r="I929" s="4" t="s">
        <v>337</v>
      </c>
      <c r="J929" s="1" t="s">
        <v>4013</v>
      </c>
    </row>
    <row r="930">
      <c r="A930" s="1" t="s">
        <v>2982</v>
      </c>
      <c r="B930" s="1" t="s">
        <v>3008</v>
      </c>
      <c r="C930" s="1" t="s">
        <v>3009</v>
      </c>
      <c r="D930" s="1">
        <v>8.0</v>
      </c>
      <c r="E930" s="4" t="s">
        <v>3010</v>
      </c>
      <c r="F930" s="1" t="s">
        <v>43</v>
      </c>
      <c r="G930" s="2">
        <v>2.0</v>
      </c>
      <c r="H930" s="1" t="s">
        <v>135</v>
      </c>
      <c r="I930" s="4" t="s">
        <v>136</v>
      </c>
      <c r="J930" s="1" t="s">
        <v>4014</v>
      </c>
    </row>
    <row r="931">
      <c r="A931" s="1" t="s">
        <v>2982</v>
      </c>
      <c r="B931" s="1" t="s">
        <v>3011</v>
      </c>
      <c r="C931" s="1" t="s">
        <v>3012</v>
      </c>
      <c r="D931" s="1">
        <v>9.0</v>
      </c>
      <c r="E931" s="4" t="s">
        <v>3013</v>
      </c>
      <c r="F931" s="1" t="s">
        <v>43</v>
      </c>
      <c r="G931" s="2">
        <v>2.0</v>
      </c>
      <c r="J931" s="1" t="s">
        <v>3269</v>
      </c>
    </row>
    <row r="932">
      <c r="A932" s="1" t="s">
        <v>2982</v>
      </c>
      <c r="B932" s="1" t="s">
        <v>3014</v>
      </c>
      <c r="C932" s="1" t="s">
        <v>3015</v>
      </c>
      <c r="D932" s="1">
        <v>10.0</v>
      </c>
      <c r="E932" s="4" t="s">
        <v>3016</v>
      </c>
      <c r="F932" s="1" t="s">
        <v>43</v>
      </c>
      <c r="G932" s="2">
        <v>3.0</v>
      </c>
      <c r="H932" s="1" t="s">
        <v>3017</v>
      </c>
      <c r="I932" s="4" t="s">
        <v>3018</v>
      </c>
      <c r="J932" s="1" t="s">
        <v>4015</v>
      </c>
    </row>
    <row r="933">
      <c r="A933" s="1" t="s">
        <v>2982</v>
      </c>
      <c r="B933" s="1" t="s">
        <v>3019</v>
      </c>
      <c r="D933" s="1">
        <v>11.0</v>
      </c>
      <c r="E933" s="4" t="s">
        <v>3020</v>
      </c>
      <c r="F933" s="1" t="s">
        <v>43</v>
      </c>
      <c r="G933" s="2">
        <v>1.0</v>
      </c>
      <c r="H933" s="1" t="s">
        <v>344</v>
      </c>
      <c r="I933" s="4" t="s">
        <v>345</v>
      </c>
      <c r="J933" s="1" t="s">
        <v>4016</v>
      </c>
    </row>
    <row r="934">
      <c r="A934" s="1" t="s">
        <v>2982</v>
      </c>
      <c r="B934" s="1" t="s">
        <v>3021</v>
      </c>
      <c r="C934" s="1" t="s">
        <v>3022</v>
      </c>
      <c r="D934" s="1">
        <v>12.0</v>
      </c>
      <c r="E934" s="4" t="s">
        <v>3023</v>
      </c>
      <c r="F934" s="1" t="s">
        <v>43</v>
      </c>
      <c r="G934" s="2">
        <v>3.0</v>
      </c>
      <c r="H934" s="1" t="s">
        <v>487</v>
      </c>
      <c r="I934" s="4" t="s">
        <v>3024</v>
      </c>
      <c r="J934" s="1" t="s">
        <v>3269</v>
      </c>
    </row>
    <row r="935">
      <c r="A935" s="1" t="s">
        <v>2982</v>
      </c>
      <c r="B935" s="1" t="s">
        <v>3025</v>
      </c>
      <c r="D935" s="1">
        <v>13.0</v>
      </c>
      <c r="E935" s="4" t="s">
        <v>3026</v>
      </c>
      <c r="F935" s="1" t="s">
        <v>43</v>
      </c>
      <c r="G935" s="2">
        <v>0.0</v>
      </c>
      <c r="H935" s="1" t="s">
        <v>695</v>
      </c>
      <c r="I935" s="4" t="s">
        <v>696</v>
      </c>
      <c r="J935" s="1" t="s">
        <v>4017</v>
      </c>
    </row>
    <row r="936">
      <c r="A936" s="1" t="s">
        <v>2982</v>
      </c>
      <c r="B936" s="1" t="s">
        <v>3027</v>
      </c>
      <c r="C936" s="1" t="s">
        <v>3028</v>
      </c>
      <c r="D936" s="1">
        <v>14.0</v>
      </c>
      <c r="E936" s="4" t="s">
        <v>3029</v>
      </c>
      <c r="F936" s="1" t="s">
        <v>43</v>
      </c>
      <c r="G936" s="2">
        <v>1.0</v>
      </c>
      <c r="H936" s="1" t="s">
        <v>3030</v>
      </c>
      <c r="I936" s="1" t="s">
        <v>3031</v>
      </c>
      <c r="J936" s="1" t="s">
        <v>4018</v>
      </c>
    </row>
    <row r="937">
      <c r="A937" s="1" t="s">
        <v>2982</v>
      </c>
      <c r="B937" s="1" t="s">
        <v>3032</v>
      </c>
      <c r="C937" s="1" t="s">
        <v>3033</v>
      </c>
      <c r="D937" s="1">
        <v>15.0</v>
      </c>
      <c r="E937" s="4" t="s">
        <v>3034</v>
      </c>
      <c r="F937" s="1" t="s">
        <v>43</v>
      </c>
      <c r="G937" s="2">
        <v>1.0</v>
      </c>
      <c r="H937" s="1" t="s">
        <v>376</v>
      </c>
      <c r="I937" s="4" t="s">
        <v>377</v>
      </c>
      <c r="J937" s="1" t="s">
        <v>4019</v>
      </c>
    </row>
    <row r="938">
      <c r="A938" s="1" t="s">
        <v>2982</v>
      </c>
      <c r="B938" s="1" t="s">
        <v>3035</v>
      </c>
      <c r="C938" s="1" t="s">
        <v>2986</v>
      </c>
      <c r="D938" s="1">
        <v>16.0</v>
      </c>
      <c r="E938" s="4" t="s">
        <v>2987</v>
      </c>
      <c r="F938" s="1" t="s">
        <v>43</v>
      </c>
      <c r="G938" s="2">
        <v>1.0</v>
      </c>
      <c r="H938" s="1" t="s">
        <v>31</v>
      </c>
      <c r="I938" s="4" t="s">
        <v>32</v>
      </c>
      <c r="J938" s="1" t="s">
        <v>4020</v>
      </c>
    </row>
    <row r="939">
      <c r="A939" s="1" t="s">
        <v>2982</v>
      </c>
      <c r="B939" s="1" t="s">
        <v>3036</v>
      </c>
      <c r="D939" s="1">
        <v>17.0</v>
      </c>
      <c r="E939" s="4" t="s">
        <v>2984</v>
      </c>
      <c r="F939" s="1" t="s">
        <v>43</v>
      </c>
      <c r="G939" s="2">
        <v>1.0</v>
      </c>
      <c r="H939" s="1" t="s">
        <v>336</v>
      </c>
      <c r="I939" s="4" t="s">
        <v>337</v>
      </c>
      <c r="J939" s="1" t="s">
        <v>4021</v>
      </c>
    </row>
    <row r="940">
      <c r="A940" s="1" t="s">
        <v>2982</v>
      </c>
      <c r="B940" s="1" t="s">
        <v>3037</v>
      </c>
      <c r="C940" s="1" t="s">
        <v>2995</v>
      </c>
      <c r="D940" s="1">
        <v>18.0</v>
      </c>
      <c r="E940" s="4" t="s">
        <v>2996</v>
      </c>
      <c r="F940" s="1" t="s">
        <v>43</v>
      </c>
      <c r="G940" s="2">
        <v>2.0</v>
      </c>
      <c r="H940" s="1" t="s">
        <v>364</v>
      </c>
      <c r="I940" s="4" t="s">
        <v>365</v>
      </c>
      <c r="J940" s="1" t="s">
        <v>4022</v>
      </c>
    </row>
    <row r="941">
      <c r="A941" s="1" t="s">
        <v>2982</v>
      </c>
      <c r="B941" s="1" t="s">
        <v>3038</v>
      </c>
      <c r="C941" s="1" t="s">
        <v>2998</v>
      </c>
      <c r="D941" s="1">
        <v>19.0</v>
      </c>
      <c r="E941" s="4" t="s">
        <v>2999</v>
      </c>
      <c r="F941" s="1" t="s">
        <v>43</v>
      </c>
      <c r="G941" s="2">
        <v>3.0</v>
      </c>
      <c r="J941" s="1" t="s">
        <v>3269</v>
      </c>
    </row>
    <row r="942">
      <c r="A942" s="1" t="s">
        <v>2982</v>
      </c>
      <c r="B942" s="1" t="s">
        <v>3039</v>
      </c>
      <c r="C942" s="1" t="s">
        <v>3001</v>
      </c>
      <c r="D942" s="1">
        <v>20.0</v>
      </c>
      <c r="E942" s="4" t="s">
        <v>3002</v>
      </c>
      <c r="F942" s="1" t="s">
        <v>43</v>
      </c>
      <c r="G942" s="2">
        <v>3.0</v>
      </c>
      <c r="H942" s="1" t="s">
        <v>31</v>
      </c>
      <c r="I942" s="4" t="s">
        <v>32</v>
      </c>
      <c r="J942" s="1" t="s">
        <v>4023</v>
      </c>
    </row>
    <row r="943">
      <c r="A943" s="1" t="s">
        <v>2982</v>
      </c>
      <c r="B943" s="1" t="s">
        <v>3040</v>
      </c>
      <c r="C943" s="1" t="s">
        <v>3012</v>
      </c>
      <c r="D943" s="1">
        <v>24.0</v>
      </c>
      <c r="E943" s="4" t="s">
        <v>3013</v>
      </c>
      <c r="F943" s="1" t="s">
        <v>43</v>
      </c>
      <c r="G943" s="2">
        <v>4.0</v>
      </c>
      <c r="J943" s="1" t="s">
        <v>3269</v>
      </c>
    </row>
    <row r="944">
      <c r="A944" s="1" t="s">
        <v>2982</v>
      </c>
      <c r="B944" s="1" t="s">
        <v>3041</v>
      </c>
      <c r="C944" s="1" t="s">
        <v>3015</v>
      </c>
      <c r="D944" s="1">
        <v>25.0</v>
      </c>
      <c r="E944" s="4" t="s">
        <v>3016</v>
      </c>
      <c r="F944" s="1" t="s">
        <v>43</v>
      </c>
      <c r="G944" s="2">
        <v>1.0</v>
      </c>
      <c r="H944" s="1" t="s">
        <v>3017</v>
      </c>
      <c r="I944" s="4" t="s">
        <v>3018</v>
      </c>
      <c r="J944" s="1" t="s">
        <v>4024</v>
      </c>
    </row>
    <row r="945">
      <c r="A945" s="1" t="s">
        <v>2982</v>
      </c>
      <c r="B945" s="1" t="s">
        <v>3042</v>
      </c>
      <c r="D945" s="1">
        <v>26.0</v>
      </c>
      <c r="E945" s="4" t="s">
        <v>3020</v>
      </c>
      <c r="F945" s="1" t="s">
        <v>43</v>
      </c>
      <c r="G945" s="2">
        <v>2.0</v>
      </c>
      <c r="H945" s="1" t="s">
        <v>344</v>
      </c>
      <c r="I945" s="4" t="s">
        <v>345</v>
      </c>
      <c r="J945" s="1" t="s">
        <v>4025</v>
      </c>
    </row>
    <row r="946">
      <c r="A946" s="1" t="s">
        <v>2982</v>
      </c>
      <c r="B946" s="1" t="s">
        <v>3043</v>
      </c>
      <c r="D946" s="1">
        <v>27.0</v>
      </c>
      <c r="E946" s="4" t="s">
        <v>3044</v>
      </c>
      <c r="F946" s="1" t="s">
        <v>43</v>
      </c>
      <c r="G946" s="2">
        <v>1.0</v>
      </c>
      <c r="H946" s="1" t="s">
        <v>3045</v>
      </c>
      <c r="I946" s="1" t="s">
        <v>3046</v>
      </c>
      <c r="J946" s="1" t="s">
        <v>4026</v>
      </c>
    </row>
    <row r="947">
      <c r="A947" s="1" t="s">
        <v>2982</v>
      </c>
      <c r="B947" s="1" t="s">
        <v>3035</v>
      </c>
      <c r="D947" s="1">
        <v>28.0</v>
      </c>
      <c r="E947" s="4" t="s">
        <v>3026</v>
      </c>
      <c r="F947" s="1" t="s">
        <v>43</v>
      </c>
      <c r="G947" s="2">
        <v>1.0</v>
      </c>
      <c r="H947" s="1" t="s">
        <v>695</v>
      </c>
      <c r="I947" s="4" t="s">
        <v>696</v>
      </c>
      <c r="J947" s="1" t="s">
        <v>4027</v>
      </c>
    </row>
    <row r="948">
      <c r="A948" s="1" t="s">
        <v>2982</v>
      </c>
      <c r="B948" s="1" t="s">
        <v>3047</v>
      </c>
      <c r="C948" s="1" t="s">
        <v>3048</v>
      </c>
      <c r="D948" s="1">
        <v>29.0</v>
      </c>
      <c r="E948" s="4" t="s">
        <v>3049</v>
      </c>
      <c r="F948" s="1" t="s">
        <v>43</v>
      </c>
      <c r="G948" s="2">
        <v>1.0</v>
      </c>
      <c r="H948" s="1" t="s">
        <v>487</v>
      </c>
      <c r="I948" s="4" t="s">
        <v>3024</v>
      </c>
      <c r="J948" s="1" t="s">
        <v>3269</v>
      </c>
    </row>
    <row r="949">
      <c r="A949" s="1" t="s">
        <v>2982</v>
      </c>
      <c r="B949" s="1" t="s">
        <v>3050</v>
      </c>
      <c r="C949" s="1" t="s">
        <v>3028</v>
      </c>
      <c r="D949" s="1">
        <v>30.0</v>
      </c>
      <c r="E949" s="4" t="s">
        <v>3029</v>
      </c>
      <c r="F949" s="1" t="s">
        <v>43</v>
      </c>
      <c r="G949" s="2">
        <v>2.0</v>
      </c>
      <c r="H949" s="1" t="s">
        <v>3030</v>
      </c>
      <c r="I949" s="1" t="s">
        <v>3031</v>
      </c>
      <c r="J949" s="1" t="s">
        <v>4028</v>
      </c>
    </row>
    <row r="950">
      <c r="A950" s="1" t="s">
        <v>3051</v>
      </c>
      <c r="B950" s="1" t="s">
        <v>3052</v>
      </c>
      <c r="C950" s="1" t="s">
        <v>3053</v>
      </c>
      <c r="D950" s="1">
        <v>1.0</v>
      </c>
      <c r="E950" s="4" t="s">
        <v>3054</v>
      </c>
      <c r="F950" s="1" t="s">
        <v>16</v>
      </c>
      <c r="G950" s="2">
        <v>1.0</v>
      </c>
      <c r="J950" s="1" t="s">
        <v>3269</v>
      </c>
    </row>
    <row r="951">
      <c r="A951" s="1" t="s">
        <v>3051</v>
      </c>
      <c r="B951" s="1" t="s">
        <v>3055</v>
      </c>
      <c r="C951" s="1" t="s">
        <v>3056</v>
      </c>
      <c r="D951" s="1">
        <v>2.0</v>
      </c>
      <c r="E951" s="4" t="s">
        <v>3057</v>
      </c>
      <c r="F951" s="1" t="s">
        <v>16</v>
      </c>
      <c r="G951" s="2">
        <v>1.0</v>
      </c>
      <c r="J951" s="1" t="s">
        <v>3269</v>
      </c>
    </row>
    <row r="952">
      <c r="A952" s="1" t="s">
        <v>3051</v>
      </c>
      <c r="B952" s="1" t="s">
        <v>3055</v>
      </c>
      <c r="C952" s="1" t="s">
        <v>3058</v>
      </c>
      <c r="D952" s="1">
        <v>3.0</v>
      </c>
      <c r="E952" s="4" t="s">
        <v>3059</v>
      </c>
      <c r="F952" s="1" t="s">
        <v>16</v>
      </c>
      <c r="G952" s="2">
        <v>1.0</v>
      </c>
      <c r="J952" s="1" t="s">
        <v>3269</v>
      </c>
    </row>
    <row r="953">
      <c r="A953" s="1" t="s">
        <v>3051</v>
      </c>
      <c r="B953" s="1" t="s">
        <v>2874</v>
      </c>
      <c r="C953" s="1" t="s">
        <v>3060</v>
      </c>
      <c r="D953" s="1">
        <v>4.0</v>
      </c>
      <c r="E953" s="4" t="s">
        <v>2878</v>
      </c>
      <c r="F953" s="1" t="s">
        <v>16</v>
      </c>
      <c r="G953" s="2">
        <v>2.0</v>
      </c>
      <c r="J953" s="1" t="s">
        <v>3269</v>
      </c>
    </row>
    <row r="954">
      <c r="A954" s="1" t="s">
        <v>3051</v>
      </c>
      <c r="B954" s="1" t="s">
        <v>3061</v>
      </c>
      <c r="D954" s="1">
        <v>5.0</v>
      </c>
      <c r="E954" s="4" t="s">
        <v>3062</v>
      </c>
      <c r="F954" s="1" t="s">
        <v>16</v>
      </c>
      <c r="G954" s="2">
        <v>2.0</v>
      </c>
      <c r="J954" s="1" t="s">
        <v>3269</v>
      </c>
    </row>
    <row r="955">
      <c r="A955" s="1" t="s">
        <v>3051</v>
      </c>
      <c r="B955" s="1" t="s">
        <v>1058</v>
      </c>
      <c r="C955" s="1" t="s">
        <v>3063</v>
      </c>
      <c r="D955" s="1">
        <v>6.0</v>
      </c>
      <c r="E955" s="4" t="s">
        <v>1060</v>
      </c>
      <c r="F955" s="1" t="s">
        <v>16</v>
      </c>
      <c r="G955" s="2">
        <v>1.0</v>
      </c>
      <c r="H955" s="1" t="s">
        <v>1061</v>
      </c>
      <c r="I955" s="4" t="s">
        <v>1062</v>
      </c>
      <c r="J955" s="1" t="s">
        <v>4029</v>
      </c>
    </row>
    <row r="956">
      <c r="A956" s="1" t="s">
        <v>3051</v>
      </c>
      <c r="B956" s="1" t="s">
        <v>3064</v>
      </c>
      <c r="D956" s="1">
        <v>7.0</v>
      </c>
      <c r="E956" s="4" t="s">
        <v>3065</v>
      </c>
      <c r="F956" s="1" t="s">
        <v>16</v>
      </c>
      <c r="G956" s="2">
        <v>2.0</v>
      </c>
      <c r="J956" s="1" t="s">
        <v>3269</v>
      </c>
    </row>
    <row r="957">
      <c r="A957" s="1" t="s">
        <v>3051</v>
      </c>
      <c r="B957" s="1" t="s">
        <v>3066</v>
      </c>
      <c r="D957" s="1">
        <v>8.0</v>
      </c>
      <c r="E957" s="4" t="s">
        <v>3067</v>
      </c>
      <c r="F957" s="1" t="s">
        <v>16</v>
      </c>
      <c r="G957" s="2">
        <v>1.0</v>
      </c>
      <c r="J957" s="1" t="s">
        <v>3269</v>
      </c>
    </row>
    <row r="958">
      <c r="A958" s="1" t="s">
        <v>3051</v>
      </c>
      <c r="B958" s="1" t="s">
        <v>3068</v>
      </c>
      <c r="C958" s="1" t="s">
        <v>3069</v>
      </c>
      <c r="D958" s="1">
        <v>9.0</v>
      </c>
      <c r="E958" s="4" t="s">
        <v>3070</v>
      </c>
      <c r="F958" s="1" t="s">
        <v>16</v>
      </c>
      <c r="G958" s="2">
        <v>2.0</v>
      </c>
      <c r="J958" s="1" t="s">
        <v>3269</v>
      </c>
    </row>
    <row r="959">
      <c r="A959" s="1" t="s">
        <v>3051</v>
      </c>
      <c r="B959" s="1" t="s">
        <v>3071</v>
      </c>
      <c r="D959" s="1">
        <v>10.0</v>
      </c>
      <c r="E959" s="4" t="s">
        <v>3072</v>
      </c>
      <c r="F959" s="1" t="s">
        <v>16</v>
      </c>
      <c r="G959" s="2">
        <v>2.0</v>
      </c>
      <c r="H959" s="1" t="s">
        <v>3073</v>
      </c>
      <c r="I959" s="4" t="s">
        <v>3074</v>
      </c>
      <c r="J959" s="1" t="s">
        <v>4030</v>
      </c>
    </row>
    <row r="960">
      <c r="A960" s="1" t="s">
        <v>3051</v>
      </c>
      <c r="B960" s="1" t="s">
        <v>3055</v>
      </c>
      <c r="C960" s="1" t="s">
        <v>3075</v>
      </c>
      <c r="D960" s="1">
        <v>11.0</v>
      </c>
      <c r="E960" s="4" t="s">
        <v>3076</v>
      </c>
      <c r="F960" s="1" t="s">
        <v>16</v>
      </c>
      <c r="G960" s="2">
        <v>2.0</v>
      </c>
      <c r="J960" s="1" t="s">
        <v>3269</v>
      </c>
    </row>
    <row r="961">
      <c r="A961" s="1" t="s">
        <v>3051</v>
      </c>
      <c r="B961" s="1" t="s">
        <v>1147</v>
      </c>
      <c r="D961" s="1">
        <v>12.0</v>
      </c>
      <c r="E961" s="4" t="s">
        <v>1149</v>
      </c>
      <c r="F961" s="1" t="s">
        <v>16</v>
      </c>
      <c r="G961" s="2">
        <v>1.0</v>
      </c>
      <c r="H961" s="1" t="s">
        <v>1150</v>
      </c>
      <c r="I961" s="4" t="s">
        <v>1151</v>
      </c>
      <c r="J961" s="1" t="s">
        <v>4031</v>
      </c>
    </row>
    <row r="962">
      <c r="A962" s="1" t="s">
        <v>3051</v>
      </c>
      <c r="B962" s="1" t="s">
        <v>2861</v>
      </c>
      <c r="D962" s="1">
        <v>13.0</v>
      </c>
      <c r="E962" s="4" t="s">
        <v>2886</v>
      </c>
      <c r="F962" s="1" t="s">
        <v>16</v>
      </c>
      <c r="G962" s="2">
        <v>2.0</v>
      </c>
      <c r="H962" s="1" t="s">
        <v>2866</v>
      </c>
      <c r="I962" s="4" t="s">
        <v>2887</v>
      </c>
      <c r="J962" s="1" t="s">
        <v>4032</v>
      </c>
    </row>
    <row r="963">
      <c r="A963" s="1" t="s">
        <v>3051</v>
      </c>
      <c r="B963" s="1" t="s">
        <v>3055</v>
      </c>
      <c r="C963" s="1" t="s">
        <v>3077</v>
      </c>
      <c r="D963" s="1">
        <v>14.0</v>
      </c>
      <c r="E963" s="4" t="s">
        <v>3078</v>
      </c>
      <c r="F963" s="1" t="s">
        <v>16</v>
      </c>
      <c r="G963" s="2">
        <v>2.0</v>
      </c>
      <c r="J963" s="1" t="s">
        <v>3269</v>
      </c>
    </row>
    <row r="964">
      <c r="A964" s="1" t="s">
        <v>3051</v>
      </c>
      <c r="B964" s="1" t="s">
        <v>2874</v>
      </c>
      <c r="D964" s="1">
        <v>15.0</v>
      </c>
      <c r="E964" s="4" t="s">
        <v>2875</v>
      </c>
      <c r="F964" s="1" t="s">
        <v>16</v>
      </c>
      <c r="G964" s="2">
        <v>2.0</v>
      </c>
      <c r="J964" s="1" t="s">
        <v>3269</v>
      </c>
    </row>
    <row r="965">
      <c r="A965" s="1" t="s">
        <v>3051</v>
      </c>
      <c r="B965" s="1" t="s">
        <v>3079</v>
      </c>
      <c r="C965" s="1" t="s">
        <v>3080</v>
      </c>
      <c r="D965" s="1">
        <v>16.0</v>
      </c>
      <c r="E965" s="4" t="s">
        <v>3081</v>
      </c>
      <c r="F965" s="1" t="s">
        <v>16</v>
      </c>
      <c r="G965" s="2">
        <v>1.0</v>
      </c>
      <c r="J965" s="1" t="s">
        <v>3269</v>
      </c>
    </row>
    <row r="966">
      <c r="A966" s="1" t="s">
        <v>3051</v>
      </c>
      <c r="B966" s="1" t="s">
        <v>2874</v>
      </c>
      <c r="C966" s="1" t="s">
        <v>3082</v>
      </c>
      <c r="D966" s="1">
        <v>17.0</v>
      </c>
      <c r="E966" s="4" t="s">
        <v>2900</v>
      </c>
      <c r="F966" s="1" t="s">
        <v>16</v>
      </c>
      <c r="G966" s="2">
        <v>2.0</v>
      </c>
      <c r="J966" s="1" t="s">
        <v>3269</v>
      </c>
    </row>
    <row r="967">
      <c r="A967" s="1" t="s">
        <v>3051</v>
      </c>
      <c r="B967" s="1" t="s">
        <v>2874</v>
      </c>
      <c r="C967" s="1" t="s">
        <v>3083</v>
      </c>
      <c r="D967" s="1">
        <v>18.0</v>
      </c>
      <c r="E967" s="4" t="s">
        <v>2888</v>
      </c>
      <c r="F967" s="1" t="s">
        <v>16</v>
      </c>
      <c r="G967" s="2">
        <v>2.0</v>
      </c>
      <c r="J967" s="1" t="s">
        <v>3269</v>
      </c>
    </row>
    <row r="968">
      <c r="A968" s="1" t="s">
        <v>3051</v>
      </c>
      <c r="B968" s="1" t="s">
        <v>2861</v>
      </c>
      <c r="D968" s="1">
        <v>19.0</v>
      </c>
      <c r="E968" s="4" t="s">
        <v>2879</v>
      </c>
      <c r="F968" s="1" t="s">
        <v>16</v>
      </c>
      <c r="G968" s="2">
        <v>2.0</v>
      </c>
      <c r="H968" s="1" t="s">
        <v>2866</v>
      </c>
      <c r="I968" s="4" t="s">
        <v>2880</v>
      </c>
      <c r="J968" s="1" t="s">
        <v>4032</v>
      </c>
    </row>
    <row r="969">
      <c r="A969" s="1" t="s">
        <v>3051</v>
      </c>
      <c r="B969" s="1" t="s">
        <v>3084</v>
      </c>
      <c r="C969" s="1" t="s">
        <v>3053</v>
      </c>
      <c r="D969" s="1">
        <v>1.0</v>
      </c>
      <c r="E969" s="4" t="s">
        <v>3054</v>
      </c>
      <c r="F969" s="1" t="s">
        <v>43</v>
      </c>
      <c r="G969" s="2">
        <v>3.0</v>
      </c>
      <c r="J969" s="1" t="s">
        <v>3269</v>
      </c>
    </row>
    <row r="970">
      <c r="A970" s="1" t="s">
        <v>3051</v>
      </c>
      <c r="B970" s="1" t="s">
        <v>3085</v>
      </c>
      <c r="D970" s="1">
        <v>2.0</v>
      </c>
      <c r="E970" s="4" t="s">
        <v>3086</v>
      </c>
      <c r="F970" s="1" t="s">
        <v>43</v>
      </c>
      <c r="G970" s="2">
        <v>3.0</v>
      </c>
      <c r="H970" s="1" t="s">
        <v>3087</v>
      </c>
      <c r="I970" s="4" t="s">
        <v>3088</v>
      </c>
      <c r="J970" s="1" t="s">
        <v>4033</v>
      </c>
    </row>
    <row r="971">
      <c r="A971" s="1" t="s">
        <v>3051</v>
      </c>
      <c r="B971" s="1" t="s">
        <v>3055</v>
      </c>
      <c r="C971" s="1" t="s">
        <v>3089</v>
      </c>
      <c r="D971" s="1">
        <v>3.0</v>
      </c>
      <c r="E971" s="4" t="s">
        <v>3090</v>
      </c>
      <c r="F971" s="1" t="s">
        <v>43</v>
      </c>
      <c r="G971" s="2">
        <v>1.0</v>
      </c>
      <c r="J971" s="1" t="s">
        <v>3269</v>
      </c>
    </row>
    <row r="972">
      <c r="A972" s="1" t="s">
        <v>3051</v>
      </c>
      <c r="B972" s="1" t="s">
        <v>3091</v>
      </c>
      <c r="C972" s="1" t="s">
        <v>3092</v>
      </c>
      <c r="D972" s="1">
        <v>4.0</v>
      </c>
      <c r="E972" s="4" t="s">
        <v>3093</v>
      </c>
      <c r="F972" s="1" t="s">
        <v>43</v>
      </c>
      <c r="G972" s="2">
        <v>2.0</v>
      </c>
      <c r="J972" s="1" t="s">
        <v>3269</v>
      </c>
    </row>
    <row r="973">
      <c r="A973" s="1" t="s">
        <v>3051</v>
      </c>
      <c r="B973" s="1" t="s">
        <v>3055</v>
      </c>
      <c r="C973" s="1" t="s">
        <v>3094</v>
      </c>
      <c r="D973" s="1">
        <v>7.0</v>
      </c>
      <c r="E973" s="4" t="s">
        <v>3095</v>
      </c>
      <c r="F973" s="1" t="s">
        <v>43</v>
      </c>
      <c r="G973" s="2">
        <v>2.0</v>
      </c>
      <c r="H973" s="1" t="s">
        <v>3096</v>
      </c>
      <c r="I973" s="4" t="s">
        <v>3097</v>
      </c>
      <c r="J973" s="1" t="s">
        <v>4034</v>
      </c>
    </row>
    <row r="974">
      <c r="A974" s="1" t="s">
        <v>3051</v>
      </c>
      <c r="B974" s="1" t="s">
        <v>3055</v>
      </c>
      <c r="C974" s="1" t="s">
        <v>3098</v>
      </c>
      <c r="D974" s="1">
        <v>8.0</v>
      </c>
      <c r="E974" s="4" t="s">
        <v>3099</v>
      </c>
      <c r="F974" s="1" t="s">
        <v>43</v>
      </c>
      <c r="G974" s="2">
        <v>1.0</v>
      </c>
      <c r="H974" s="1" t="s">
        <v>3100</v>
      </c>
      <c r="I974" s="4" t="s">
        <v>3101</v>
      </c>
      <c r="J974" s="1" t="s">
        <v>4035</v>
      </c>
    </row>
    <row r="975">
      <c r="A975" s="1" t="s">
        <v>3051</v>
      </c>
      <c r="B975" s="1" t="s">
        <v>3102</v>
      </c>
      <c r="D975" s="1">
        <v>9.0</v>
      </c>
      <c r="E975" s="4" t="s">
        <v>3103</v>
      </c>
      <c r="F975" s="1" t="s">
        <v>43</v>
      </c>
      <c r="G975" s="2">
        <v>1.0</v>
      </c>
      <c r="J975" s="1" t="s">
        <v>3269</v>
      </c>
    </row>
    <row r="976">
      <c r="A976" s="1" t="s">
        <v>3051</v>
      </c>
      <c r="B976" s="1" t="s">
        <v>3104</v>
      </c>
      <c r="C976" s="1" t="s">
        <v>3105</v>
      </c>
      <c r="D976" s="1">
        <v>10.0</v>
      </c>
      <c r="E976" s="4" t="s">
        <v>3106</v>
      </c>
      <c r="F976" s="1" t="s">
        <v>43</v>
      </c>
      <c r="G976" s="2">
        <v>2.0</v>
      </c>
      <c r="H976" s="1" t="s">
        <v>31</v>
      </c>
      <c r="I976" s="4" t="s">
        <v>32</v>
      </c>
      <c r="J976" s="1" t="s">
        <v>4036</v>
      </c>
    </row>
    <row r="977">
      <c r="A977" s="1" t="s">
        <v>3051</v>
      </c>
      <c r="B977" s="1" t="s">
        <v>3107</v>
      </c>
      <c r="C977" s="1" t="s">
        <v>3108</v>
      </c>
      <c r="D977" s="1">
        <v>11.0</v>
      </c>
      <c r="E977" s="4" t="s">
        <v>3109</v>
      </c>
      <c r="F977" s="1" t="s">
        <v>43</v>
      </c>
      <c r="G977" s="2">
        <v>1.0</v>
      </c>
      <c r="H977" s="1" t="s">
        <v>3110</v>
      </c>
      <c r="I977" s="4" t="s">
        <v>3111</v>
      </c>
      <c r="J977" s="1" t="s">
        <v>4037</v>
      </c>
    </row>
    <row r="978">
      <c r="A978" s="1" t="s">
        <v>3051</v>
      </c>
      <c r="B978" s="1" t="s">
        <v>3112</v>
      </c>
      <c r="D978" s="1">
        <v>14.0</v>
      </c>
      <c r="E978" s="4" t="s">
        <v>2876</v>
      </c>
      <c r="F978" s="1" t="s">
        <v>43</v>
      </c>
      <c r="G978" s="2">
        <v>1.0</v>
      </c>
      <c r="H978" s="1" t="s">
        <v>2866</v>
      </c>
      <c r="I978" s="4" t="s">
        <v>2877</v>
      </c>
      <c r="J978" s="1" t="s">
        <v>4038</v>
      </c>
    </row>
    <row r="979">
      <c r="A979" s="1" t="s">
        <v>3051</v>
      </c>
      <c r="B979" s="1" t="s">
        <v>3113</v>
      </c>
      <c r="D979" s="1">
        <v>15.0</v>
      </c>
      <c r="E979" s="4" t="s">
        <v>3114</v>
      </c>
      <c r="F979" s="1" t="s">
        <v>43</v>
      </c>
      <c r="G979" s="2">
        <v>1.0</v>
      </c>
      <c r="H979" s="1" t="s">
        <v>3115</v>
      </c>
      <c r="I979" s="4" t="s">
        <v>3116</v>
      </c>
      <c r="J979" s="1" t="s">
        <v>4039</v>
      </c>
    </row>
    <row r="980">
      <c r="A980" s="1" t="s">
        <v>3051</v>
      </c>
      <c r="B980" s="1" t="s">
        <v>3117</v>
      </c>
      <c r="D980" s="1">
        <v>16.0</v>
      </c>
      <c r="E980" s="4" t="s">
        <v>3118</v>
      </c>
      <c r="F980" s="1" t="s">
        <v>43</v>
      </c>
      <c r="G980" s="2">
        <v>1.0</v>
      </c>
      <c r="J980" s="1" t="s">
        <v>3269</v>
      </c>
    </row>
    <row r="981">
      <c r="A981" s="1" t="s">
        <v>3051</v>
      </c>
      <c r="B981" s="1" t="s">
        <v>3119</v>
      </c>
      <c r="C981" s="1" t="s">
        <v>3120</v>
      </c>
      <c r="D981" s="1">
        <v>17.0</v>
      </c>
      <c r="E981" s="4" t="s">
        <v>3121</v>
      </c>
      <c r="F981" s="1" t="s">
        <v>43</v>
      </c>
      <c r="G981" s="2">
        <v>1.0</v>
      </c>
      <c r="J981" s="1" t="s">
        <v>3269</v>
      </c>
    </row>
    <row r="982">
      <c r="A982" s="1" t="s">
        <v>3051</v>
      </c>
      <c r="B982" s="1" t="s">
        <v>3122</v>
      </c>
      <c r="D982" s="1">
        <v>18.0</v>
      </c>
      <c r="E982" s="4" t="s">
        <v>3123</v>
      </c>
      <c r="F982" s="1" t="s">
        <v>43</v>
      </c>
      <c r="G982" s="2">
        <v>1.0</v>
      </c>
      <c r="J982" s="1" t="s">
        <v>3269</v>
      </c>
    </row>
    <row r="983">
      <c r="A983" s="1" t="s">
        <v>3051</v>
      </c>
      <c r="B983" s="1" t="s">
        <v>3124</v>
      </c>
      <c r="C983" s="1" t="s">
        <v>3125</v>
      </c>
      <c r="D983" s="1">
        <v>19.0</v>
      </c>
      <c r="E983" s="4" t="s">
        <v>3126</v>
      </c>
      <c r="F983" s="1" t="s">
        <v>43</v>
      </c>
      <c r="G983" s="2">
        <v>2.0</v>
      </c>
      <c r="H983" s="1" t="s">
        <v>3127</v>
      </c>
      <c r="I983" s="1" t="s">
        <v>3128</v>
      </c>
      <c r="J983" s="1" t="s">
        <v>4040</v>
      </c>
    </row>
    <row r="984">
      <c r="A984" s="1" t="s">
        <v>3051</v>
      </c>
      <c r="B984" s="4" t="s">
        <v>3129</v>
      </c>
      <c r="D984" s="1">
        <v>20.0</v>
      </c>
      <c r="E984" s="4" t="s">
        <v>3129</v>
      </c>
      <c r="F984" s="1" t="s">
        <v>43</v>
      </c>
      <c r="G984" s="2">
        <v>1.0</v>
      </c>
      <c r="J984" s="1" t="s">
        <v>3269</v>
      </c>
    </row>
    <row r="985">
      <c r="A985" s="1" t="s">
        <v>3130</v>
      </c>
      <c r="B985" s="1" t="s">
        <v>205</v>
      </c>
      <c r="D985" s="1">
        <v>1.0</v>
      </c>
      <c r="E985" s="4" t="s">
        <v>3131</v>
      </c>
      <c r="F985" s="1" t="s">
        <v>16</v>
      </c>
      <c r="G985" s="2">
        <v>1.0</v>
      </c>
      <c r="H985" s="1" t="s">
        <v>38</v>
      </c>
      <c r="I985" s="4" t="s">
        <v>39</v>
      </c>
      <c r="J985" s="1" t="s">
        <v>4041</v>
      </c>
    </row>
    <row r="986">
      <c r="A986" s="1" t="s">
        <v>3130</v>
      </c>
      <c r="B986" s="1" t="s">
        <v>207</v>
      </c>
      <c r="C986" s="1" t="s">
        <v>208</v>
      </c>
      <c r="D986" s="1">
        <v>2.0</v>
      </c>
      <c r="E986" s="4" t="s">
        <v>209</v>
      </c>
      <c r="F986" s="1" t="s">
        <v>16</v>
      </c>
      <c r="G986" s="2">
        <v>1.0</v>
      </c>
      <c r="H986" s="1" t="s">
        <v>31</v>
      </c>
      <c r="I986" s="4" t="s">
        <v>32</v>
      </c>
      <c r="J986" s="1" t="s">
        <v>4042</v>
      </c>
    </row>
    <row r="987">
      <c r="A987" s="1" t="s">
        <v>3130</v>
      </c>
      <c r="B987" s="1" t="s">
        <v>3132</v>
      </c>
      <c r="C987" s="1" t="s">
        <v>3133</v>
      </c>
      <c r="D987" s="1">
        <v>3.0</v>
      </c>
      <c r="E987" s="4" t="s">
        <v>3134</v>
      </c>
      <c r="F987" s="1" t="s">
        <v>16</v>
      </c>
      <c r="G987" s="2">
        <v>2.0</v>
      </c>
      <c r="H987" s="1" t="s">
        <v>38</v>
      </c>
      <c r="I987" s="4" t="s">
        <v>39</v>
      </c>
      <c r="J987" s="1" t="s">
        <v>4043</v>
      </c>
    </row>
    <row r="988">
      <c r="A988" s="1" t="s">
        <v>3130</v>
      </c>
      <c r="B988" s="1" t="s">
        <v>3135</v>
      </c>
      <c r="C988" s="1" t="s">
        <v>3136</v>
      </c>
      <c r="D988" s="1">
        <v>4.0</v>
      </c>
      <c r="E988" s="4" t="s">
        <v>3137</v>
      </c>
      <c r="F988" s="1" t="s">
        <v>16</v>
      </c>
      <c r="G988" s="2">
        <v>1.0</v>
      </c>
      <c r="H988" s="1" t="s">
        <v>120</v>
      </c>
      <c r="I988" s="4" t="s">
        <v>121</v>
      </c>
      <c r="J988" s="1" t="s">
        <v>4044</v>
      </c>
    </row>
    <row r="989">
      <c r="A989" s="1" t="s">
        <v>3130</v>
      </c>
      <c r="B989" s="1" t="s">
        <v>3138</v>
      </c>
      <c r="C989" s="1" t="s">
        <v>3139</v>
      </c>
      <c r="D989" s="1">
        <v>5.0</v>
      </c>
      <c r="E989" s="4" t="s">
        <v>3140</v>
      </c>
      <c r="F989" s="1" t="s">
        <v>16</v>
      </c>
      <c r="G989" s="2">
        <v>1.0</v>
      </c>
      <c r="H989" s="1" t="s">
        <v>97</v>
      </c>
      <c r="I989" s="4" t="s">
        <v>98</v>
      </c>
      <c r="J989" s="1" t="s">
        <v>4045</v>
      </c>
    </row>
    <row r="990">
      <c r="A990" s="1" t="s">
        <v>3130</v>
      </c>
      <c r="B990" s="1" t="s">
        <v>3141</v>
      </c>
      <c r="C990" s="1" t="s">
        <v>3142</v>
      </c>
      <c r="D990" s="1">
        <v>6.0</v>
      </c>
      <c r="E990" s="4" t="s">
        <v>3143</v>
      </c>
      <c r="F990" s="1" t="s">
        <v>16</v>
      </c>
      <c r="G990" s="2">
        <v>1.0</v>
      </c>
      <c r="H990" s="1" t="s">
        <v>216</v>
      </c>
      <c r="I990" s="4" t="s">
        <v>217</v>
      </c>
      <c r="J990" s="1" t="s">
        <v>4046</v>
      </c>
    </row>
    <row r="991">
      <c r="A991" s="1" t="s">
        <v>3130</v>
      </c>
      <c r="B991" s="1" t="s">
        <v>3144</v>
      </c>
      <c r="C991" s="1" t="s">
        <v>3145</v>
      </c>
      <c r="D991" s="1">
        <v>7.0</v>
      </c>
      <c r="E991" s="4" t="s">
        <v>3146</v>
      </c>
      <c r="F991" s="1" t="s">
        <v>16</v>
      </c>
      <c r="G991" s="2">
        <v>1.0</v>
      </c>
      <c r="H991" s="1" t="s">
        <v>216</v>
      </c>
      <c r="I991" s="4" t="s">
        <v>217</v>
      </c>
      <c r="J991" s="1" t="s">
        <v>4047</v>
      </c>
    </row>
    <row r="992">
      <c r="A992" s="1" t="s">
        <v>3130</v>
      </c>
      <c r="B992" s="1" t="s">
        <v>3147</v>
      </c>
      <c r="C992" s="1" t="s">
        <v>3148</v>
      </c>
      <c r="D992" s="1">
        <v>8.0</v>
      </c>
      <c r="E992" s="4" t="s">
        <v>3149</v>
      </c>
      <c r="F992" s="1" t="s">
        <v>16</v>
      </c>
      <c r="G992" s="2">
        <v>2.0</v>
      </c>
      <c r="H992" s="1" t="s">
        <v>3150</v>
      </c>
      <c r="I992" s="4" t="s">
        <v>3151</v>
      </c>
      <c r="J992" s="1" t="s">
        <v>4048</v>
      </c>
    </row>
    <row r="993">
      <c r="A993" s="1" t="s">
        <v>3130</v>
      </c>
      <c r="B993" s="1" t="s">
        <v>3152</v>
      </c>
      <c r="C993" s="1" t="s">
        <v>1587</v>
      </c>
      <c r="D993" s="1">
        <v>9.0</v>
      </c>
      <c r="E993" s="4" t="s">
        <v>3153</v>
      </c>
      <c r="F993" s="1" t="s">
        <v>16</v>
      </c>
      <c r="G993" s="2">
        <v>4.0</v>
      </c>
      <c r="H993" s="1" t="s">
        <v>3154</v>
      </c>
      <c r="I993" s="4" t="s">
        <v>3155</v>
      </c>
      <c r="J993" s="1" t="s">
        <v>3269</v>
      </c>
    </row>
    <row r="994">
      <c r="A994" s="1" t="s">
        <v>3130</v>
      </c>
      <c r="B994" s="1" t="s">
        <v>265</v>
      </c>
      <c r="C994" s="1" t="s">
        <v>266</v>
      </c>
      <c r="D994" s="1">
        <v>10.0</v>
      </c>
      <c r="E994" s="4" t="s">
        <v>267</v>
      </c>
      <c r="F994" s="1" t="s">
        <v>16</v>
      </c>
      <c r="G994" s="2">
        <v>2.0</v>
      </c>
      <c r="H994" s="1" t="s">
        <v>268</v>
      </c>
      <c r="I994" s="1" t="s">
        <v>269</v>
      </c>
      <c r="J994" s="1" t="s">
        <v>4049</v>
      </c>
    </row>
    <row r="995">
      <c r="A995" s="1" t="s">
        <v>3130</v>
      </c>
      <c r="B995" s="1" t="s">
        <v>3156</v>
      </c>
      <c r="C995" s="1" t="s">
        <v>3157</v>
      </c>
      <c r="D995" s="1">
        <v>11.0</v>
      </c>
      <c r="E995" s="4" t="s">
        <v>3158</v>
      </c>
      <c r="F995" s="1" t="s">
        <v>16</v>
      </c>
      <c r="G995" s="2">
        <v>4.0</v>
      </c>
      <c r="H995" s="1" t="s">
        <v>1728</v>
      </c>
      <c r="I995" s="4" t="s">
        <v>1729</v>
      </c>
      <c r="J995" s="1" t="s">
        <v>4050</v>
      </c>
    </row>
    <row r="996">
      <c r="A996" s="1" t="s">
        <v>3130</v>
      </c>
      <c r="B996" s="1" t="s">
        <v>3159</v>
      </c>
      <c r="C996" s="1" t="s">
        <v>3160</v>
      </c>
      <c r="D996" s="1">
        <v>12.0</v>
      </c>
      <c r="E996" s="4" t="s">
        <v>3161</v>
      </c>
      <c r="F996" s="1" t="s">
        <v>16</v>
      </c>
      <c r="G996" s="2">
        <v>2.0</v>
      </c>
      <c r="H996" s="1" t="s">
        <v>3162</v>
      </c>
      <c r="I996" s="1" t="s">
        <v>3163</v>
      </c>
      <c r="J996" s="1" t="s">
        <v>4051</v>
      </c>
    </row>
    <row r="997">
      <c r="A997" s="1" t="s">
        <v>3130</v>
      </c>
      <c r="B997" s="1" t="s">
        <v>3164</v>
      </c>
      <c r="C997" s="1" t="s">
        <v>153</v>
      </c>
      <c r="D997" s="1">
        <v>13.0</v>
      </c>
      <c r="E997" s="4" t="s">
        <v>3165</v>
      </c>
      <c r="F997" s="1" t="s">
        <v>16</v>
      </c>
      <c r="G997" s="2">
        <v>4.0</v>
      </c>
      <c r="H997" s="1" t="s">
        <v>522</v>
      </c>
      <c r="I997" s="4" t="s">
        <v>523</v>
      </c>
      <c r="J997" s="1" t="s">
        <v>4052</v>
      </c>
    </row>
    <row r="998">
      <c r="A998" s="1" t="s">
        <v>3130</v>
      </c>
      <c r="B998" s="1" t="s">
        <v>3166</v>
      </c>
      <c r="D998" s="1">
        <v>14.0</v>
      </c>
      <c r="E998" s="4" t="s">
        <v>3167</v>
      </c>
      <c r="F998" s="1" t="s">
        <v>16</v>
      </c>
      <c r="G998" s="2">
        <v>1.0</v>
      </c>
      <c r="H998" s="1" t="s">
        <v>1286</v>
      </c>
      <c r="I998" s="4" t="s">
        <v>1287</v>
      </c>
      <c r="J998" s="1" t="s">
        <v>4053</v>
      </c>
    </row>
    <row r="999">
      <c r="A999" s="1" t="s">
        <v>3130</v>
      </c>
      <c r="B999" s="1" t="s">
        <v>3168</v>
      </c>
      <c r="C999" s="1" t="s">
        <v>3169</v>
      </c>
      <c r="D999" s="1">
        <v>15.0</v>
      </c>
      <c r="E999" s="4" t="s">
        <v>3170</v>
      </c>
      <c r="F999" s="1" t="s">
        <v>16</v>
      </c>
      <c r="G999" s="2">
        <v>4.0</v>
      </c>
      <c r="H999" s="1" t="s">
        <v>1799</v>
      </c>
      <c r="I999" s="4" t="s">
        <v>1800</v>
      </c>
      <c r="J999" s="1" t="s">
        <v>4054</v>
      </c>
    </row>
    <row r="1000">
      <c r="A1000" s="1" t="s">
        <v>3130</v>
      </c>
      <c r="B1000" s="1" t="s">
        <v>3171</v>
      </c>
      <c r="C1000" s="1" t="s">
        <v>3172</v>
      </c>
      <c r="D1000" s="1">
        <v>16.0</v>
      </c>
      <c r="E1000" s="4" t="s">
        <v>3173</v>
      </c>
      <c r="F1000" s="1" t="s">
        <v>16</v>
      </c>
      <c r="G1000" s="2">
        <v>2.0</v>
      </c>
      <c r="H1000" s="1" t="s">
        <v>3174</v>
      </c>
      <c r="I1000" s="4" t="s">
        <v>3175</v>
      </c>
      <c r="J1000" s="1" t="s">
        <v>4055</v>
      </c>
    </row>
    <row r="1001">
      <c r="A1001" s="1" t="s">
        <v>3130</v>
      </c>
      <c r="B1001" s="1" t="s">
        <v>3176</v>
      </c>
      <c r="C1001" s="1" t="s">
        <v>3177</v>
      </c>
      <c r="D1001" s="1">
        <v>17.0</v>
      </c>
      <c r="E1001" s="4" t="s">
        <v>3178</v>
      </c>
      <c r="F1001" s="1" t="s">
        <v>16</v>
      </c>
      <c r="G1001" s="2">
        <v>4.0</v>
      </c>
      <c r="H1001" s="1" t="s">
        <v>3179</v>
      </c>
      <c r="I1001" s="4" t="s">
        <v>3180</v>
      </c>
      <c r="J1001" s="1" t="s">
        <v>4056</v>
      </c>
    </row>
    <row r="1002">
      <c r="A1002" s="1" t="s">
        <v>3130</v>
      </c>
      <c r="B1002" s="1" t="s">
        <v>258</v>
      </c>
      <c r="D1002" s="1">
        <v>1.0</v>
      </c>
      <c r="E1002" s="4" t="s">
        <v>259</v>
      </c>
      <c r="F1002" s="1" t="s">
        <v>43</v>
      </c>
      <c r="G1002" s="2">
        <v>1.0</v>
      </c>
      <c r="H1002" s="1" t="s">
        <v>38</v>
      </c>
      <c r="I1002" s="4" t="s">
        <v>39</v>
      </c>
      <c r="J1002" s="1" t="s">
        <v>4041</v>
      </c>
    </row>
    <row r="1003">
      <c r="A1003" s="1" t="s">
        <v>3130</v>
      </c>
      <c r="B1003" s="1" t="s">
        <v>262</v>
      </c>
      <c r="C1003" s="1" t="s">
        <v>263</v>
      </c>
      <c r="D1003" s="1">
        <v>2.0</v>
      </c>
      <c r="E1003" s="4" t="s">
        <v>264</v>
      </c>
      <c r="F1003" s="1" t="s">
        <v>43</v>
      </c>
      <c r="G1003" s="2">
        <v>1.0</v>
      </c>
      <c r="H1003" s="1" t="s">
        <v>97</v>
      </c>
      <c r="I1003" s="4" t="s">
        <v>98</v>
      </c>
      <c r="J1003" s="1" t="s">
        <v>4057</v>
      </c>
    </row>
    <row r="1004">
      <c r="A1004" s="1" t="s">
        <v>3130</v>
      </c>
      <c r="B1004" s="1" t="s">
        <v>210</v>
      </c>
      <c r="C1004" s="1" t="s">
        <v>211</v>
      </c>
      <c r="D1004" s="1">
        <v>3.0</v>
      </c>
      <c r="E1004" s="4" t="s">
        <v>212</v>
      </c>
      <c r="F1004" s="1" t="s">
        <v>43</v>
      </c>
      <c r="G1004" s="2">
        <v>1.0</v>
      </c>
      <c r="H1004" s="1" t="s">
        <v>120</v>
      </c>
      <c r="I1004" s="4" t="s">
        <v>121</v>
      </c>
      <c r="J1004" s="1" t="s">
        <v>4058</v>
      </c>
    </row>
    <row r="1005">
      <c r="A1005" s="1" t="s">
        <v>3130</v>
      </c>
      <c r="B1005" s="1" t="s">
        <v>207</v>
      </c>
      <c r="C1005" s="1" t="s">
        <v>260</v>
      </c>
      <c r="D1005" s="1">
        <v>6.0</v>
      </c>
      <c r="E1005" s="4" t="s">
        <v>261</v>
      </c>
      <c r="F1005" s="1" t="s">
        <v>43</v>
      </c>
      <c r="G1005" s="2">
        <v>1.0</v>
      </c>
      <c r="H1005" s="1" t="s">
        <v>27</v>
      </c>
      <c r="I1005" s="4" t="s">
        <v>28</v>
      </c>
      <c r="J1005" s="1" t="s">
        <v>4059</v>
      </c>
    </row>
    <row r="1006">
      <c r="A1006" s="1" t="s">
        <v>3130</v>
      </c>
      <c r="B1006" s="1" t="s">
        <v>3181</v>
      </c>
      <c r="C1006" s="1" t="s">
        <v>3182</v>
      </c>
      <c r="D1006" s="1">
        <v>7.0</v>
      </c>
      <c r="E1006" s="4" t="s">
        <v>3183</v>
      </c>
      <c r="F1006" s="1" t="s">
        <v>43</v>
      </c>
      <c r="G1006" s="2">
        <v>1.0</v>
      </c>
      <c r="H1006" s="1" t="s">
        <v>216</v>
      </c>
      <c r="I1006" s="4" t="s">
        <v>217</v>
      </c>
      <c r="J1006" s="1" t="s">
        <v>4060</v>
      </c>
    </row>
    <row r="1007">
      <c r="A1007" s="1" t="s">
        <v>3130</v>
      </c>
      <c r="B1007" s="1" t="s">
        <v>3184</v>
      </c>
      <c r="D1007" s="1">
        <v>8.0</v>
      </c>
      <c r="E1007" s="4" t="s">
        <v>3185</v>
      </c>
      <c r="F1007" s="1" t="s">
        <v>43</v>
      </c>
      <c r="G1007" s="2">
        <v>1.0</v>
      </c>
      <c r="H1007" s="1" t="s">
        <v>302</v>
      </c>
      <c r="I1007" s="4" t="s">
        <v>303</v>
      </c>
      <c r="J1007" s="1" t="s">
        <v>4061</v>
      </c>
    </row>
    <row r="1008">
      <c r="A1008" s="1" t="s">
        <v>3130</v>
      </c>
      <c r="B1008" s="1" t="s">
        <v>3186</v>
      </c>
      <c r="D1008" s="1">
        <v>9.0</v>
      </c>
      <c r="E1008" s="4" t="s">
        <v>3187</v>
      </c>
      <c r="F1008" s="1" t="s">
        <v>43</v>
      </c>
      <c r="G1008" s="2">
        <v>1.0</v>
      </c>
      <c r="H1008" s="1" t="s">
        <v>302</v>
      </c>
      <c r="I1008" s="4" t="s">
        <v>303</v>
      </c>
      <c r="J1008" s="1" t="s">
        <v>4062</v>
      </c>
    </row>
    <row r="1009">
      <c r="A1009" s="1" t="s">
        <v>3130</v>
      </c>
      <c r="B1009" s="1" t="s">
        <v>3188</v>
      </c>
      <c r="D1009" s="1">
        <v>10.0</v>
      </c>
      <c r="E1009" s="4" t="s">
        <v>3189</v>
      </c>
      <c r="F1009" s="1" t="s">
        <v>43</v>
      </c>
      <c r="G1009" s="2">
        <v>1.0</v>
      </c>
      <c r="H1009" s="1" t="s">
        <v>302</v>
      </c>
      <c r="I1009" s="4" t="s">
        <v>303</v>
      </c>
      <c r="J1009" s="1" t="s">
        <v>4063</v>
      </c>
    </row>
    <row r="1010">
      <c r="A1010" s="1" t="s">
        <v>3130</v>
      </c>
      <c r="B1010" s="1" t="s">
        <v>3190</v>
      </c>
      <c r="C1010" s="1" t="s">
        <v>3191</v>
      </c>
      <c r="D1010" s="1">
        <v>12.0</v>
      </c>
      <c r="E1010" s="4" t="s">
        <v>3192</v>
      </c>
      <c r="F1010" s="1" t="s">
        <v>43</v>
      </c>
      <c r="G1010" s="2">
        <v>1.0</v>
      </c>
      <c r="H1010" s="1" t="s">
        <v>1286</v>
      </c>
      <c r="I1010" s="4" t="s">
        <v>1287</v>
      </c>
      <c r="J1010" s="1" t="s">
        <v>4064</v>
      </c>
    </row>
    <row r="1011">
      <c r="A1011" s="1" t="s">
        <v>3130</v>
      </c>
      <c r="B1011" s="1" t="s">
        <v>3193</v>
      </c>
      <c r="D1011" s="1">
        <v>13.0</v>
      </c>
      <c r="E1011" s="4" t="s">
        <v>3194</v>
      </c>
      <c r="F1011" s="1" t="s">
        <v>43</v>
      </c>
      <c r="G1011" s="2">
        <v>2.0</v>
      </c>
      <c r="H1011" s="1" t="s">
        <v>302</v>
      </c>
      <c r="I1011" s="4" t="s">
        <v>303</v>
      </c>
      <c r="J1011" s="1" t="s">
        <v>4065</v>
      </c>
    </row>
    <row r="1012">
      <c r="A1012" s="1" t="s">
        <v>3130</v>
      </c>
      <c r="B1012" s="1" t="s">
        <v>3195</v>
      </c>
      <c r="C1012" s="1" t="s">
        <v>3196</v>
      </c>
      <c r="D1012" s="1">
        <v>14.0</v>
      </c>
      <c r="E1012" s="4" t="s">
        <v>3197</v>
      </c>
      <c r="F1012" s="1" t="s">
        <v>43</v>
      </c>
      <c r="G1012" s="2">
        <v>1.0</v>
      </c>
      <c r="H1012" s="1" t="s">
        <v>3150</v>
      </c>
      <c r="I1012" s="4" t="s">
        <v>3151</v>
      </c>
      <c r="J1012" s="1" t="s">
        <v>4066</v>
      </c>
    </row>
    <row r="1013">
      <c r="A1013" s="1" t="s">
        <v>3130</v>
      </c>
      <c r="B1013" s="1" t="s">
        <v>3198</v>
      </c>
      <c r="C1013" s="1" t="s">
        <v>3199</v>
      </c>
      <c r="D1013" s="1">
        <v>15.0</v>
      </c>
      <c r="E1013" s="4" t="s">
        <v>3200</v>
      </c>
      <c r="F1013" s="1" t="s">
        <v>43</v>
      </c>
      <c r="G1013" s="2">
        <v>2.0</v>
      </c>
      <c r="H1013" s="1" t="s">
        <v>284</v>
      </c>
      <c r="I1013" s="4" t="s">
        <v>285</v>
      </c>
      <c r="J1013" s="1" t="s">
        <v>4067</v>
      </c>
    </row>
    <row r="1014">
      <c r="A1014" s="1" t="s">
        <v>3130</v>
      </c>
      <c r="B1014" s="1" t="s">
        <v>3201</v>
      </c>
      <c r="C1014" s="1" t="s">
        <v>3202</v>
      </c>
      <c r="D1014" s="1">
        <v>16.0</v>
      </c>
      <c r="E1014" s="4" t="s">
        <v>3203</v>
      </c>
      <c r="F1014" s="1" t="s">
        <v>43</v>
      </c>
      <c r="G1014" s="2">
        <v>1.0</v>
      </c>
      <c r="H1014" s="1" t="s">
        <v>3204</v>
      </c>
      <c r="I1014" s="1" t="s">
        <v>3205</v>
      </c>
      <c r="J1014" s="1" t="s">
        <v>4068</v>
      </c>
    </row>
    <row r="1015">
      <c r="A1015" s="1" t="s">
        <v>3130</v>
      </c>
      <c r="B1015" s="1" t="s">
        <v>3193</v>
      </c>
      <c r="D1015" s="1">
        <v>23.0</v>
      </c>
      <c r="E1015" s="4" t="s">
        <v>3206</v>
      </c>
      <c r="F1015" s="1" t="s">
        <v>43</v>
      </c>
      <c r="G1015" s="2">
        <v>3.0</v>
      </c>
      <c r="H1015" s="1" t="s">
        <v>302</v>
      </c>
      <c r="I1015" s="4" t="s">
        <v>303</v>
      </c>
      <c r="J1015" s="1" t="s">
        <v>4065</v>
      </c>
    </row>
    <row r="1016">
      <c r="A1016" s="1" t="s">
        <v>3130</v>
      </c>
      <c r="B1016" s="1" t="s">
        <v>3207</v>
      </c>
      <c r="C1016" s="1" t="s">
        <v>3208</v>
      </c>
      <c r="D1016" s="1">
        <v>26.0</v>
      </c>
      <c r="E1016" s="4" t="s">
        <v>3209</v>
      </c>
      <c r="F1016" s="1" t="s">
        <v>43</v>
      </c>
      <c r="G1016" s="2">
        <v>1.0</v>
      </c>
      <c r="H1016" s="1" t="s">
        <v>216</v>
      </c>
      <c r="I1016" s="4" t="s">
        <v>217</v>
      </c>
      <c r="J1016" s="1" t="s">
        <v>4069</v>
      </c>
    </row>
    <row r="1017">
      <c r="A1017" s="1" t="s">
        <v>3130</v>
      </c>
      <c r="B1017" s="1" t="s">
        <v>3188</v>
      </c>
      <c r="D1017" s="1">
        <v>27.0</v>
      </c>
      <c r="E1017" s="4" t="s">
        <v>3210</v>
      </c>
      <c r="F1017" s="1" t="s">
        <v>43</v>
      </c>
      <c r="G1017" s="2">
        <v>2.0</v>
      </c>
      <c r="H1017" s="1" t="s">
        <v>302</v>
      </c>
      <c r="I1017" s="4" t="s">
        <v>303</v>
      </c>
      <c r="J1017" s="1" t="s">
        <v>4063</v>
      </c>
    </row>
    <row r="1018">
      <c r="A1018" s="1" t="s">
        <v>3130</v>
      </c>
      <c r="B1018" s="1" t="s">
        <v>3184</v>
      </c>
      <c r="D1018" s="1">
        <v>28.0</v>
      </c>
      <c r="E1018" s="4" t="s">
        <v>3211</v>
      </c>
      <c r="F1018" s="1" t="s">
        <v>43</v>
      </c>
      <c r="G1018" s="2">
        <v>2.0</v>
      </c>
      <c r="H1018" s="1" t="s">
        <v>302</v>
      </c>
      <c r="I1018" s="4" t="s">
        <v>303</v>
      </c>
      <c r="J1018" s="1" t="s">
        <v>4061</v>
      </c>
    </row>
    <row r="1019">
      <c r="A1019" s="1" t="s">
        <v>3130</v>
      </c>
      <c r="B1019" s="1" t="s">
        <v>3212</v>
      </c>
      <c r="C1019" s="1" t="s">
        <v>3213</v>
      </c>
      <c r="D1019" s="1">
        <v>33.0</v>
      </c>
      <c r="E1019" s="4" t="s">
        <v>3214</v>
      </c>
      <c r="F1019" s="1" t="s">
        <v>43</v>
      </c>
      <c r="G1019" s="2">
        <v>4.0</v>
      </c>
      <c r="H1019" s="1" t="s">
        <v>3215</v>
      </c>
      <c r="I1019" s="4" t="s">
        <v>3216</v>
      </c>
      <c r="J1019" s="1" t="s">
        <v>4070</v>
      </c>
    </row>
    <row r="1020">
      <c r="A1020" s="1" t="s">
        <v>3217</v>
      </c>
      <c r="B1020" s="1" t="s">
        <v>3218</v>
      </c>
      <c r="C1020" s="1" t="s">
        <v>3219</v>
      </c>
      <c r="D1020" s="1">
        <v>1.0</v>
      </c>
      <c r="E1020" s="4" t="s">
        <v>3220</v>
      </c>
      <c r="F1020" s="1" t="s">
        <v>16</v>
      </c>
      <c r="G1020" s="2">
        <v>0.0</v>
      </c>
      <c r="H1020" s="1" t="s">
        <v>3221</v>
      </c>
      <c r="I1020" s="4" t="s">
        <v>3222</v>
      </c>
      <c r="J1020" s="1" t="s">
        <v>4071</v>
      </c>
    </row>
    <row r="1021">
      <c r="A1021" s="1" t="s">
        <v>3217</v>
      </c>
      <c r="B1021" s="1" t="s">
        <v>1643</v>
      </c>
      <c r="C1021" s="1" t="s">
        <v>3223</v>
      </c>
      <c r="D1021" s="1">
        <v>2.0</v>
      </c>
      <c r="E1021" s="4" t="s">
        <v>1644</v>
      </c>
      <c r="F1021" s="1" t="s">
        <v>16</v>
      </c>
      <c r="G1021" s="2">
        <v>2.0</v>
      </c>
      <c r="H1021" s="1" t="s">
        <v>1645</v>
      </c>
      <c r="I1021" s="4" t="s">
        <v>1646</v>
      </c>
      <c r="J1021" s="1" t="s">
        <v>4072</v>
      </c>
    </row>
    <row r="1022">
      <c r="A1022" s="1" t="s">
        <v>3217</v>
      </c>
      <c r="B1022" s="1" t="s">
        <v>3224</v>
      </c>
      <c r="D1022" s="1">
        <v>3.0</v>
      </c>
      <c r="E1022" s="4" t="s">
        <v>3225</v>
      </c>
      <c r="F1022" s="1" t="s">
        <v>16</v>
      </c>
      <c r="G1022" s="2">
        <v>0.0</v>
      </c>
      <c r="J1022" s="1" t="s">
        <v>3269</v>
      </c>
    </row>
    <row r="1023">
      <c r="A1023" s="1" t="s">
        <v>3217</v>
      </c>
      <c r="B1023" s="1" t="s">
        <v>3226</v>
      </c>
      <c r="C1023" s="1" t="s">
        <v>3227</v>
      </c>
      <c r="D1023" s="1">
        <v>4.0</v>
      </c>
      <c r="E1023" s="4" t="s">
        <v>3228</v>
      </c>
      <c r="F1023" s="1" t="s">
        <v>16</v>
      </c>
      <c r="G1023" s="2">
        <v>0.0</v>
      </c>
      <c r="H1023" s="1" t="s">
        <v>336</v>
      </c>
      <c r="I1023" s="4" t="s">
        <v>453</v>
      </c>
      <c r="J1023" s="1" t="s">
        <v>4073</v>
      </c>
    </row>
    <row r="1024">
      <c r="A1024" s="1" t="s">
        <v>3217</v>
      </c>
      <c r="B1024" s="1" t="s">
        <v>3229</v>
      </c>
      <c r="D1024" s="1">
        <v>5.0</v>
      </c>
      <c r="E1024" s="4" t="s">
        <v>3230</v>
      </c>
      <c r="F1024" s="1" t="s">
        <v>16</v>
      </c>
      <c r="G1024" s="2">
        <v>0.0</v>
      </c>
      <c r="H1024" s="1" t="s">
        <v>336</v>
      </c>
      <c r="I1024" s="4" t="s">
        <v>3231</v>
      </c>
      <c r="J1024" s="1" t="s">
        <v>4074</v>
      </c>
    </row>
    <row r="1025">
      <c r="A1025" s="1" t="s">
        <v>3217</v>
      </c>
      <c r="B1025" s="1" t="s">
        <v>3232</v>
      </c>
      <c r="D1025" s="1">
        <v>6.0</v>
      </c>
      <c r="E1025" s="4" t="s">
        <v>3233</v>
      </c>
      <c r="F1025" s="1" t="s">
        <v>16</v>
      </c>
      <c r="G1025" s="2">
        <v>0.0</v>
      </c>
      <c r="H1025" s="1" t="s">
        <v>336</v>
      </c>
      <c r="I1025" s="4" t="s">
        <v>453</v>
      </c>
      <c r="J1025" s="1" t="s">
        <v>4075</v>
      </c>
    </row>
    <row r="1026">
      <c r="A1026" s="1" t="s">
        <v>3217</v>
      </c>
      <c r="B1026" s="1" t="s">
        <v>3234</v>
      </c>
      <c r="D1026" s="1">
        <v>7.0</v>
      </c>
      <c r="E1026" s="4" t="s">
        <v>3235</v>
      </c>
      <c r="F1026" s="1" t="s">
        <v>16</v>
      </c>
      <c r="G1026" s="2">
        <v>0.0</v>
      </c>
      <c r="H1026" s="1" t="s">
        <v>336</v>
      </c>
      <c r="I1026" s="4" t="s">
        <v>2692</v>
      </c>
      <c r="J1026" s="1" t="s">
        <v>4076</v>
      </c>
    </row>
    <row r="1027">
      <c r="A1027" s="1" t="s">
        <v>3217</v>
      </c>
      <c r="B1027" s="1" t="s">
        <v>3236</v>
      </c>
      <c r="C1027" s="1" t="s">
        <v>3237</v>
      </c>
      <c r="D1027" s="1">
        <v>8.0</v>
      </c>
      <c r="E1027" s="4" t="s">
        <v>3238</v>
      </c>
      <c r="F1027" s="1" t="s">
        <v>16</v>
      </c>
      <c r="G1027" s="2">
        <v>2.0</v>
      </c>
      <c r="H1027" s="1" t="s">
        <v>1768</v>
      </c>
      <c r="I1027" s="4" t="s">
        <v>1769</v>
      </c>
      <c r="J1027" s="1" t="s">
        <v>4077</v>
      </c>
    </row>
    <row r="1028">
      <c r="A1028" s="1" t="s">
        <v>3217</v>
      </c>
      <c r="B1028" s="1" t="s">
        <v>3218</v>
      </c>
      <c r="C1028" s="1" t="s">
        <v>3239</v>
      </c>
      <c r="D1028" s="1">
        <v>9.0</v>
      </c>
      <c r="E1028" s="4" t="s">
        <v>3240</v>
      </c>
      <c r="F1028" s="1" t="s">
        <v>16</v>
      </c>
      <c r="G1028" s="2">
        <v>1.0</v>
      </c>
      <c r="H1028" s="1" t="s">
        <v>31</v>
      </c>
      <c r="I1028" s="4" t="s">
        <v>32</v>
      </c>
      <c r="J1028" s="1" t="s">
        <v>4078</v>
      </c>
    </row>
    <row r="1029">
      <c r="A1029" s="1" t="s">
        <v>3217</v>
      </c>
      <c r="B1029" s="1" t="s">
        <v>3218</v>
      </c>
      <c r="C1029" s="1" t="s">
        <v>3241</v>
      </c>
      <c r="D1029" s="1">
        <v>10.0</v>
      </c>
      <c r="E1029" s="4" t="s">
        <v>3242</v>
      </c>
      <c r="F1029" s="1" t="s">
        <v>16</v>
      </c>
      <c r="G1029" s="2">
        <v>1.0</v>
      </c>
      <c r="H1029" s="1" t="s">
        <v>34</v>
      </c>
      <c r="I1029" s="4" t="s">
        <v>35</v>
      </c>
      <c r="J1029" s="1" t="s">
        <v>4079</v>
      </c>
    </row>
    <row r="1030">
      <c r="A1030" s="1" t="s">
        <v>3217</v>
      </c>
      <c r="B1030" s="1" t="s">
        <v>3218</v>
      </c>
      <c r="C1030" s="1" t="s">
        <v>3243</v>
      </c>
      <c r="D1030" s="1">
        <v>11.0</v>
      </c>
      <c r="E1030" s="4" t="s">
        <v>3244</v>
      </c>
      <c r="F1030" s="1" t="s">
        <v>16</v>
      </c>
      <c r="G1030" s="2">
        <v>3.0</v>
      </c>
      <c r="H1030" s="1" t="s">
        <v>38</v>
      </c>
      <c r="I1030" s="4" t="s">
        <v>39</v>
      </c>
      <c r="J1030" s="1" t="s">
        <v>4080</v>
      </c>
    </row>
    <row r="1031">
      <c r="A1031" s="1" t="s">
        <v>3217</v>
      </c>
      <c r="B1031" s="1" t="s">
        <v>3218</v>
      </c>
      <c r="D1031" s="1">
        <v>12.0</v>
      </c>
      <c r="E1031" s="4" t="s">
        <v>3245</v>
      </c>
      <c r="F1031" s="1" t="s">
        <v>16</v>
      </c>
      <c r="G1031" s="2">
        <v>1.0</v>
      </c>
      <c r="H1031" s="1" t="s">
        <v>273</v>
      </c>
      <c r="I1031" s="4" t="s">
        <v>476</v>
      </c>
      <c r="J1031" s="1" t="s">
        <v>4081</v>
      </c>
    </row>
    <row r="1032">
      <c r="A1032" s="1" t="s">
        <v>3217</v>
      </c>
      <c r="B1032" s="1" t="s">
        <v>3246</v>
      </c>
      <c r="C1032" s="1" t="s">
        <v>3247</v>
      </c>
      <c r="D1032" s="1">
        <v>13.0</v>
      </c>
      <c r="E1032" s="4" t="s">
        <v>3248</v>
      </c>
      <c r="F1032" s="1" t="s">
        <v>16</v>
      </c>
      <c r="G1032" s="2">
        <v>1.0</v>
      </c>
      <c r="H1032" s="1" t="s">
        <v>120</v>
      </c>
      <c r="I1032" s="4" t="s">
        <v>121</v>
      </c>
      <c r="J1032" s="1" t="s">
        <v>4082</v>
      </c>
    </row>
    <row r="1033">
      <c r="A1033" s="1" t="s">
        <v>3217</v>
      </c>
      <c r="B1033" s="1" t="s">
        <v>3249</v>
      </c>
      <c r="C1033" s="1" t="s">
        <v>3250</v>
      </c>
      <c r="D1033" s="1">
        <v>14.0</v>
      </c>
      <c r="E1033" s="4" t="s">
        <v>3251</v>
      </c>
      <c r="F1033" s="1" t="s">
        <v>16</v>
      </c>
      <c r="G1033" s="2">
        <v>2.0</v>
      </c>
      <c r="H1033" s="1" t="s">
        <v>273</v>
      </c>
      <c r="I1033" s="4" t="s">
        <v>274</v>
      </c>
      <c r="J1033" s="1" t="s">
        <v>4083</v>
      </c>
    </row>
    <row r="1034">
      <c r="A1034" s="1" t="s">
        <v>3217</v>
      </c>
      <c r="B1034" s="1" t="s">
        <v>3252</v>
      </c>
      <c r="C1034" s="1" t="s">
        <v>3253</v>
      </c>
      <c r="D1034" s="1">
        <v>15.0</v>
      </c>
      <c r="E1034" s="4" t="s">
        <v>3254</v>
      </c>
      <c r="F1034" s="1" t="s">
        <v>16</v>
      </c>
      <c r="G1034" s="2">
        <v>1.0</v>
      </c>
      <c r="H1034" s="1" t="s">
        <v>221</v>
      </c>
      <c r="I1034" s="4" t="s">
        <v>222</v>
      </c>
      <c r="J1034" s="1" t="s">
        <v>4084</v>
      </c>
    </row>
    <row r="1035">
      <c r="A1035" s="1" t="s">
        <v>3217</v>
      </c>
      <c r="B1035" s="1" t="s">
        <v>3255</v>
      </c>
      <c r="C1035" s="1" t="s">
        <v>3256</v>
      </c>
      <c r="D1035" s="1">
        <v>16.0</v>
      </c>
      <c r="E1035" s="4" t="s">
        <v>3257</v>
      </c>
      <c r="F1035" s="1" t="s">
        <v>16</v>
      </c>
      <c r="G1035" s="2">
        <v>1.0</v>
      </c>
      <c r="H1035" s="1" t="s">
        <v>82</v>
      </c>
      <c r="I1035" s="4" t="s">
        <v>83</v>
      </c>
      <c r="J1035" s="1" t="s">
        <v>4085</v>
      </c>
    </row>
    <row r="1036">
      <c r="A1036" s="1" t="s">
        <v>3217</v>
      </c>
      <c r="B1036" s="1" t="s">
        <v>3258</v>
      </c>
      <c r="C1036" s="1" t="s">
        <v>153</v>
      </c>
      <c r="D1036" s="1">
        <v>17.0</v>
      </c>
      <c r="E1036" s="4" t="s">
        <v>3259</v>
      </c>
      <c r="F1036" s="1" t="s">
        <v>16</v>
      </c>
      <c r="G1036" s="2">
        <v>3.0</v>
      </c>
      <c r="H1036" s="1" t="s">
        <v>115</v>
      </c>
      <c r="I1036" s="4" t="s">
        <v>116</v>
      </c>
      <c r="J1036" s="1" t="s">
        <v>4086</v>
      </c>
    </row>
    <row r="1037">
      <c r="A1037" s="1" t="s">
        <v>3217</v>
      </c>
      <c r="B1037" s="1" t="s">
        <v>3260</v>
      </c>
      <c r="C1037" s="1" t="s">
        <v>3261</v>
      </c>
      <c r="D1037" s="1">
        <v>18.0</v>
      </c>
      <c r="E1037" s="4" t="s">
        <v>3262</v>
      </c>
      <c r="F1037" s="1" t="s">
        <v>16</v>
      </c>
      <c r="G1037" s="2">
        <v>4.0</v>
      </c>
      <c r="H1037" s="1" t="s">
        <v>614</v>
      </c>
      <c r="I1037" s="4" t="s">
        <v>615</v>
      </c>
      <c r="J1037" s="1" t="s">
        <v>4087</v>
      </c>
    </row>
    <row r="1038">
      <c r="A1038" s="1" t="s">
        <v>3217</v>
      </c>
      <c r="B1038" s="1" t="s">
        <v>3263</v>
      </c>
      <c r="C1038" s="1" t="s">
        <v>3264</v>
      </c>
      <c r="D1038" s="1">
        <v>19.0</v>
      </c>
      <c r="E1038" s="4" t="s">
        <v>3265</v>
      </c>
      <c r="F1038" s="1" t="s">
        <v>43</v>
      </c>
      <c r="G1038" s="2">
        <v>0.0</v>
      </c>
      <c r="H1038" s="1" t="s">
        <v>3266</v>
      </c>
      <c r="I1038" s="1" t="s">
        <v>3267</v>
      </c>
      <c r="J1038" s="1" t="s">
        <v>4088</v>
      </c>
    </row>
    <row r="1039">
      <c r="G1039" s="9"/>
    </row>
    <row r="1040">
      <c r="G1040" s="9"/>
    </row>
  </sheetData>
  <conditionalFormatting sqref="F1:G1040">
    <cfRule type="cellIs" dxfId="0" priority="1" operator="equal">
      <formula>"ru"</formula>
    </cfRule>
  </conditionalFormatting>
  <hyperlinks>
    <hyperlink r:id="rId1" ref="E2"/>
    <hyperlink r:id="rId2" ref="E3"/>
    <hyperlink r:id="rId3" ref="I3"/>
    <hyperlink r:id="rId4" ref="E4"/>
    <hyperlink r:id="rId5" ref="I4"/>
    <hyperlink r:id="rId6" ref="E5"/>
    <hyperlink r:id="rId7" ref="I5"/>
    <hyperlink r:id="rId8" ref="E6"/>
    <hyperlink r:id="rId9" ref="I6"/>
    <hyperlink r:id="rId10" ref="E7"/>
    <hyperlink r:id="rId11" ref="I7"/>
    <hyperlink r:id="rId12" ref="E8"/>
    <hyperlink r:id="rId13" ref="I8"/>
    <hyperlink r:id="rId14" ref="E9"/>
    <hyperlink r:id="rId15" ref="I9"/>
    <hyperlink r:id="rId16" ref="E10"/>
    <hyperlink r:id="rId17" ref="E11"/>
    <hyperlink r:id="rId18" ref="I11"/>
    <hyperlink r:id="rId19" ref="E12"/>
    <hyperlink r:id="rId20" ref="I12"/>
    <hyperlink r:id="rId21" ref="E13"/>
    <hyperlink r:id="rId22" ref="I13"/>
    <hyperlink r:id="rId23" ref="E14"/>
    <hyperlink r:id="rId24" ref="I14"/>
    <hyperlink r:id="rId25" ref="E15"/>
    <hyperlink r:id="rId26" ref="I15"/>
    <hyperlink r:id="rId27" ref="E16"/>
    <hyperlink r:id="rId28" ref="I16"/>
    <hyperlink r:id="rId29" ref="E17"/>
    <hyperlink r:id="rId30" ref="I17"/>
    <hyperlink r:id="rId31" ref="E18"/>
    <hyperlink r:id="rId32" ref="I18"/>
    <hyperlink r:id="rId33" ref="E19"/>
    <hyperlink r:id="rId34" ref="I19"/>
    <hyperlink r:id="rId35" ref="E20"/>
    <hyperlink r:id="rId36" ref="I20"/>
    <hyperlink r:id="rId37" ref="E21"/>
    <hyperlink r:id="rId38" ref="I21"/>
    <hyperlink r:id="rId39" ref="E22"/>
    <hyperlink r:id="rId40" ref="I22"/>
    <hyperlink r:id="rId41" ref="E23"/>
    <hyperlink r:id="rId42" ref="I23"/>
    <hyperlink r:id="rId43" ref="E24"/>
    <hyperlink r:id="rId44" ref="I24"/>
    <hyperlink r:id="rId45" ref="E25"/>
    <hyperlink r:id="rId46" ref="I25"/>
    <hyperlink r:id="rId47" ref="E26"/>
    <hyperlink r:id="rId48" ref="I26"/>
    <hyperlink r:id="rId49" ref="E27"/>
    <hyperlink r:id="rId50" ref="I27"/>
    <hyperlink r:id="rId51" ref="E28"/>
    <hyperlink r:id="rId52" ref="I28"/>
    <hyperlink r:id="rId53" ref="E29"/>
    <hyperlink r:id="rId54" ref="I29"/>
    <hyperlink r:id="rId55" ref="E30"/>
    <hyperlink r:id="rId56" ref="I30"/>
    <hyperlink r:id="rId57" ref="E31"/>
    <hyperlink r:id="rId58" ref="E32"/>
    <hyperlink r:id="rId59" ref="I32"/>
    <hyperlink r:id="rId60" ref="E33"/>
    <hyperlink r:id="rId61" ref="I33"/>
    <hyperlink r:id="rId62" ref="E34"/>
    <hyperlink r:id="rId63" ref="I34"/>
    <hyperlink r:id="rId64" ref="E35"/>
    <hyperlink r:id="rId65" ref="I35"/>
    <hyperlink r:id="rId66" ref="E36"/>
    <hyperlink r:id="rId67" ref="I36"/>
    <hyperlink r:id="rId68" ref="E37"/>
    <hyperlink r:id="rId69" ref="I37"/>
    <hyperlink r:id="rId70" ref="E38"/>
    <hyperlink r:id="rId71" ref="I38"/>
    <hyperlink r:id="rId72" ref="E39"/>
    <hyperlink r:id="rId73" ref="I39"/>
    <hyperlink r:id="rId74" ref="E40"/>
    <hyperlink r:id="rId75" ref="I40"/>
    <hyperlink r:id="rId76" ref="E41"/>
    <hyperlink r:id="rId77" ref="I41"/>
    <hyperlink r:id="rId78" ref="E42"/>
    <hyperlink r:id="rId79" ref="I42"/>
    <hyperlink r:id="rId80" ref="E43"/>
    <hyperlink r:id="rId81" ref="I43"/>
    <hyperlink r:id="rId82" ref="E44"/>
    <hyperlink r:id="rId83" ref="I44"/>
    <hyperlink r:id="rId84" ref="E45"/>
    <hyperlink r:id="rId85" ref="I45"/>
    <hyperlink r:id="rId86" ref="E46"/>
    <hyperlink r:id="rId87" ref="E47"/>
    <hyperlink r:id="rId88" ref="I47"/>
    <hyperlink r:id="rId89" ref="E48"/>
    <hyperlink r:id="rId90" ref="I48"/>
    <hyperlink r:id="rId91" ref="E49"/>
    <hyperlink r:id="rId92" ref="I49"/>
    <hyperlink r:id="rId93" ref="E50"/>
    <hyperlink r:id="rId94" ref="I50"/>
    <hyperlink r:id="rId95" ref="E51"/>
    <hyperlink r:id="rId96" ref="I51"/>
    <hyperlink r:id="rId97" ref="E52"/>
    <hyperlink r:id="rId98" ref="I52"/>
    <hyperlink r:id="rId99" ref="E53"/>
    <hyperlink r:id="rId100" ref="I53"/>
    <hyperlink r:id="rId101" ref="E54"/>
    <hyperlink r:id="rId102" ref="I54"/>
    <hyperlink r:id="rId103" ref="E55"/>
    <hyperlink r:id="rId104" ref="E56"/>
    <hyperlink r:id="rId105" ref="I56"/>
    <hyperlink r:id="rId106" ref="E57"/>
    <hyperlink r:id="rId107" ref="I57"/>
    <hyperlink r:id="rId108" ref="E58"/>
    <hyperlink r:id="rId109" ref="E59"/>
    <hyperlink r:id="rId110" ref="I59"/>
    <hyperlink r:id="rId111" ref="E60"/>
    <hyperlink r:id="rId112" ref="I60"/>
    <hyperlink r:id="rId113" ref="E61"/>
    <hyperlink r:id="rId114" ref="I61"/>
    <hyperlink r:id="rId115" ref="E62"/>
    <hyperlink r:id="rId116" ref="I62"/>
    <hyperlink r:id="rId117" ref="E63"/>
    <hyperlink r:id="rId118" ref="I63"/>
    <hyperlink r:id="rId119" ref="E64"/>
    <hyperlink r:id="rId120" ref="I64"/>
    <hyperlink r:id="rId121" ref="E65"/>
    <hyperlink r:id="rId122" ref="E66"/>
    <hyperlink r:id="rId123" ref="I66"/>
    <hyperlink r:id="rId124" ref="E67"/>
    <hyperlink r:id="rId125" ref="I67"/>
    <hyperlink r:id="rId126" ref="E68"/>
    <hyperlink r:id="rId127" ref="I68"/>
    <hyperlink r:id="rId128" ref="E69"/>
    <hyperlink r:id="rId129" ref="I69"/>
    <hyperlink r:id="rId130" ref="E70"/>
    <hyperlink r:id="rId131" ref="I70"/>
    <hyperlink r:id="rId132" ref="E71"/>
    <hyperlink r:id="rId133" ref="E72"/>
    <hyperlink r:id="rId134" ref="I72"/>
    <hyperlink r:id="rId135" ref="E73"/>
    <hyperlink r:id="rId136" ref="I73"/>
    <hyperlink r:id="rId137" ref="E74"/>
    <hyperlink r:id="rId138" ref="I74"/>
    <hyperlink r:id="rId139" ref="E75"/>
    <hyperlink r:id="rId140" ref="I75"/>
    <hyperlink r:id="rId141" ref="E76"/>
    <hyperlink r:id="rId142" ref="E77"/>
    <hyperlink r:id="rId143" ref="I77"/>
    <hyperlink r:id="rId144" ref="E78"/>
    <hyperlink r:id="rId145" ref="I78"/>
    <hyperlink r:id="rId146" ref="E79"/>
    <hyperlink r:id="rId147" ref="E80"/>
    <hyperlink r:id="rId148" ref="I80"/>
    <hyperlink r:id="rId149" ref="E81"/>
    <hyperlink r:id="rId150" ref="I81"/>
    <hyperlink r:id="rId151" ref="E82"/>
    <hyperlink r:id="rId152" ref="I82"/>
    <hyperlink r:id="rId153" ref="E83"/>
    <hyperlink r:id="rId154" ref="I83"/>
    <hyperlink r:id="rId155" ref="E84"/>
    <hyperlink r:id="rId156" ref="I84"/>
    <hyperlink r:id="rId157" ref="E85"/>
    <hyperlink r:id="rId158" ref="I85"/>
    <hyperlink r:id="rId159" ref="E86"/>
    <hyperlink r:id="rId160" ref="I86"/>
    <hyperlink r:id="rId161" ref="E87"/>
    <hyperlink r:id="rId162" ref="I87"/>
    <hyperlink r:id="rId163" ref="E88"/>
    <hyperlink r:id="rId164" ref="I88"/>
    <hyperlink r:id="rId165" ref="E89"/>
    <hyperlink r:id="rId166" ref="I89"/>
    <hyperlink r:id="rId167" ref="E90"/>
    <hyperlink r:id="rId168" ref="I90"/>
    <hyperlink r:id="rId169" ref="E91"/>
    <hyperlink r:id="rId170" ref="I91"/>
    <hyperlink r:id="rId171" ref="E92"/>
    <hyperlink r:id="rId172" ref="I92"/>
    <hyperlink r:id="rId173" ref="E93"/>
    <hyperlink r:id="rId174" ref="I93"/>
    <hyperlink r:id="rId175" ref="E94"/>
    <hyperlink r:id="rId176" ref="I94"/>
    <hyperlink r:id="rId177" ref="E95"/>
    <hyperlink r:id="rId178" ref="I95"/>
    <hyperlink r:id="rId179" ref="E96"/>
    <hyperlink r:id="rId180" ref="I96"/>
    <hyperlink r:id="rId181" ref="E97"/>
    <hyperlink r:id="rId182" ref="I97"/>
    <hyperlink r:id="rId183" ref="E98"/>
    <hyperlink r:id="rId184" ref="I98"/>
    <hyperlink r:id="rId185" ref="E99"/>
    <hyperlink r:id="rId186" ref="I99"/>
    <hyperlink r:id="rId187" ref="E100"/>
    <hyperlink r:id="rId188" ref="I100"/>
    <hyperlink r:id="rId189" ref="E101"/>
    <hyperlink r:id="rId190" ref="I101"/>
    <hyperlink r:id="rId191" ref="E102"/>
    <hyperlink r:id="rId192" ref="I102"/>
    <hyperlink r:id="rId193" ref="E103"/>
    <hyperlink r:id="rId194" ref="I103"/>
    <hyperlink r:id="rId195" ref="E104"/>
    <hyperlink r:id="rId196" ref="I104"/>
    <hyperlink r:id="rId197" ref="E105"/>
    <hyperlink r:id="rId198" ref="I105"/>
    <hyperlink r:id="rId199" ref="E106"/>
    <hyperlink r:id="rId200" ref="I106"/>
    <hyperlink r:id="rId201" ref="E107"/>
    <hyperlink r:id="rId202" ref="I107"/>
    <hyperlink r:id="rId203" ref="E108"/>
    <hyperlink r:id="rId204" ref="I108"/>
    <hyperlink r:id="rId205" ref="E109"/>
    <hyperlink r:id="rId206" ref="I109"/>
    <hyperlink r:id="rId207" ref="E110"/>
    <hyperlink r:id="rId208" ref="I110"/>
    <hyperlink r:id="rId209" ref="E111"/>
    <hyperlink r:id="rId210" ref="I111"/>
    <hyperlink r:id="rId211" ref="E112"/>
    <hyperlink r:id="rId212" ref="E113"/>
    <hyperlink r:id="rId213" ref="I113"/>
    <hyperlink r:id="rId214" ref="E114"/>
    <hyperlink r:id="rId215" ref="I114"/>
    <hyperlink r:id="rId216" ref="E115"/>
    <hyperlink r:id="rId217" ref="I115"/>
    <hyperlink r:id="rId218" ref="E116"/>
    <hyperlink r:id="rId219" ref="E117"/>
    <hyperlink r:id="rId220" ref="I117"/>
    <hyperlink r:id="rId221" ref="E118"/>
    <hyperlink r:id="rId222" ref="E119"/>
    <hyperlink r:id="rId223" ref="I119"/>
    <hyperlink r:id="rId224" ref="E120"/>
    <hyperlink r:id="rId225" ref="I120"/>
    <hyperlink r:id="rId226" ref="E121"/>
    <hyperlink r:id="rId227" ref="I121"/>
    <hyperlink r:id="rId228" ref="E122"/>
    <hyperlink r:id="rId229" ref="I122"/>
    <hyperlink r:id="rId230" ref="E123"/>
    <hyperlink r:id="rId231" ref="I123"/>
    <hyperlink r:id="rId232" ref="E124"/>
    <hyperlink r:id="rId233" ref="I124"/>
    <hyperlink r:id="rId234" ref="E125"/>
    <hyperlink r:id="rId235" ref="I125"/>
    <hyperlink r:id="rId236" ref="E126"/>
    <hyperlink r:id="rId237" ref="E127"/>
    <hyperlink r:id="rId238" ref="I127"/>
    <hyperlink r:id="rId239" ref="E128"/>
    <hyperlink r:id="rId240" ref="I128"/>
    <hyperlink r:id="rId241" ref="E129"/>
    <hyperlink r:id="rId242" ref="I129"/>
    <hyperlink r:id="rId243" ref="E130"/>
    <hyperlink r:id="rId244" ref="I130"/>
    <hyperlink r:id="rId245" ref="E131"/>
    <hyperlink r:id="rId246" ref="I131"/>
    <hyperlink r:id="rId247" ref="E132"/>
    <hyperlink r:id="rId248" ref="I132"/>
    <hyperlink r:id="rId249" ref="E133"/>
    <hyperlink r:id="rId250" ref="I133"/>
    <hyperlink r:id="rId251" ref="E134"/>
    <hyperlink r:id="rId252" ref="I134"/>
    <hyperlink r:id="rId253" ref="E135"/>
    <hyperlink r:id="rId254" ref="I135"/>
    <hyperlink r:id="rId255" ref="E136"/>
    <hyperlink r:id="rId256" ref="I136"/>
    <hyperlink r:id="rId257" ref="E137"/>
    <hyperlink r:id="rId258" ref="E138"/>
    <hyperlink r:id="rId259" ref="I138"/>
    <hyperlink r:id="rId260" ref="E139"/>
    <hyperlink r:id="rId261" ref="I139"/>
    <hyperlink r:id="rId262" ref="E140"/>
    <hyperlink r:id="rId263" ref="I140"/>
    <hyperlink r:id="rId264" ref="E141"/>
    <hyperlink r:id="rId265" ref="I141"/>
    <hyperlink r:id="rId266" ref="E142"/>
    <hyperlink r:id="rId267" ref="I142"/>
    <hyperlink r:id="rId268" ref="E143"/>
    <hyperlink r:id="rId269" ref="I143"/>
    <hyperlink r:id="rId270" ref="E144"/>
    <hyperlink r:id="rId271" ref="I144"/>
    <hyperlink r:id="rId272" ref="E145"/>
    <hyperlink r:id="rId273" ref="I145"/>
    <hyperlink r:id="rId274" ref="E146"/>
    <hyperlink r:id="rId275" ref="I146"/>
    <hyperlink r:id="rId276" ref="E147"/>
    <hyperlink r:id="rId277" ref="E148"/>
    <hyperlink r:id="rId278" ref="I148"/>
    <hyperlink r:id="rId279" ref="E149"/>
    <hyperlink r:id="rId280" ref="E150"/>
    <hyperlink r:id="rId281" ref="I150"/>
    <hyperlink r:id="rId282" ref="E151"/>
    <hyperlink r:id="rId283" ref="E152"/>
    <hyperlink r:id="rId284" ref="I152"/>
    <hyperlink r:id="rId285" ref="E153"/>
    <hyperlink r:id="rId286" ref="I153"/>
    <hyperlink r:id="rId287" ref="E154"/>
    <hyperlink r:id="rId288" ref="I154"/>
    <hyperlink r:id="rId289" ref="E155"/>
    <hyperlink r:id="rId290" ref="I155"/>
    <hyperlink r:id="rId291" ref="E156"/>
    <hyperlink r:id="rId292" ref="I156"/>
    <hyperlink r:id="rId293" ref="E157"/>
    <hyperlink r:id="rId294" ref="I157"/>
    <hyperlink r:id="rId295" ref="E158"/>
    <hyperlink r:id="rId296" ref="E159"/>
    <hyperlink r:id="rId297" ref="I159"/>
    <hyperlink r:id="rId298" ref="E160"/>
    <hyperlink r:id="rId299" ref="I160"/>
    <hyperlink r:id="rId300" ref="E161"/>
    <hyperlink r:id="rId301" ref="I161"/>
    <hyperlink r:id="rId302" ref="E162"/>
    <hyperlink r:id="rId303" ref="I162"/>
    <hyperlink r:id="rId304" ref="E163"/>
    <hyperlink r:id="rId305" ref="I163"/>
    <hyperlink r:id="rId306" ref="E164"/>
    <hyperlink r:id="rId307" ref="E165"/>
    <hyperlink r:id="rId308" ref="I165"/>
    <hyperlink r:id="rId309" ref="E166"/>
    <hyperlink r:id="rId310" ref="I166"/>
    <hyperlink r:id="rId311" ref="E167"/>
    <hyperlink r:id="rId312" ref="I167"/>
    <hyperlink r:id="rId313" ref="E168"/>
    <hyperlink r:id="rId314" ref="E169"/>
    <hyperlink r:id="rId315" ref="E170"/>
    <hyperlink r:id="rId316" ref="E171"/>
    <hyperlink r:id="rId317" ref="I171"/>
    <hyperlink r:id="rId318" ref="E172"/>
    <hyperlink r:id="rId319" ref="I172"/>
    <hyperlink r:id="rId320" ref="E173"/>
    <hyperlink r:id="rId321" ref="I173"/>
    <hyperlink r:id="rId322" ref="E174"/>
    <hyperlink r:id="rId323" ref="I174"/>
    <hyperlink r:id="rId324" ref="E175"/>
    <hyperlink r:id="rId325" ref="I175"/>
    <hyperlink r:id="rId326" ref="B176"/>
    <hyperlink r:id="rId327" ref="E176"/>
    <hyperlink r:id="rId328" ref="E177"/>
    <hyperlink r:id="rId329" ref="I177"/>
    <hyperlink r:id="rId330" ref="E178"/>
    <hyperlink r:id="rId331" ref="I178"/>
    <hyperlink r:id="rId332" ref="E179"/>
    <hyperlink r:id="rId333" ref="E180"/>
    <hyperlink r:id="rId334" ref="I180"/>
    <hyperlink r:id="rId335" ref="E181"/>
    <hyperlink r:id="rId336" ref="I181"/>
    <hyperlink r:id="rId337" ref="E182"/>
    <hyperlink r:id="rId338" ref="I182"/>
    <hyperlink r:id="rId339" ref="E183"/>
    <hyperlink r:id="rId340" ref="I183"/>
    <hyperlink r:id="rId341" ref="E184"/>
    <hyperlink r:id="rId342" ref="I184"/>
    <hyperlink r:id="rId343" ref="E185"/>
    <hyperlink r:id="rId344" ref="I185"/>
    <hyperlink r:id="rId345" ref="E186"/>
    <hyperlink r:id="rId346" ref="I186"/>
    <hyperlink r:id="rId347" ref="E187"/>
    <hyperlink r:id="rId348" ref="I187"/>
    <hyperlink r:id="rId349" ref="E188"/>
    <hyperlink r:id="rId350" ref="I188"/>
    <hyperlink r:id="rId351" ref="E189"/>
    <hyperlink r:id="rId352" ref="I189"/>
    <hyperlink r:id="rId353" ref="E190"/>
    <hyperlink r:id="rId354" ref="I190"/>
    <hyperlink r:id="rId355" ref="B191"/>
    <hyperlink r:id="rId356" ref="E191"/>
    <hyperlink r:id="rId357" ref="E192"/>
    <hyperlink r:id="rId358" ref="I192"/>
    <hyperlink r:id="rId359" ref="E193"/>
    <hyperlink r:id="rId360" ref="I193"/>
    <hyperlink r:id="rId361" ref="E194"/>
    <hyperlink r:id="rId362" ref="E195"/>
    <hyperlink r:id="rId363" ref="I195"/>
    <hyperlink r:id="rId364" ref="E196"/>
    <hyperlink r:id="rId365" ref="I196"/>
    <hyperlink r:id="rId366" ref="E197"/>
    <hyperlink r:id="rId367" ref="E198"/>
    <hyperlink r:id="rId368" ref="I198"/>
    <hyperlink r:id="rId369" ref="E199"/>
    <hyperlink r:id="rId370" ref="E200"/>
    <hyperlink r:id="rId371" ref="I200"/>
    <hyperlink r:id="rId372" ref="E201"/>
    <hyperlink r:id="rId373" ref="I201"/>
    <hyperlink r:id="rId374" ref="E202"/>
    <hyperlink r:id="rId375" ref="E203"/>
    <hyperlink r:id="rId376" ref="I203"/>
    <hyperlink r:id="rId377" ref="E204"/>
    <hyperlink r:id="rId378" ref="I204"/>
    <hyperlink r:id="rId379" ref="E205"/>
    <hyperlink r:id="rId380" ref="I205"/>
    <hyperlink r:id="rId381" ref="B206"/>
    <hyperlink r:id="rId382" ref="E206"/>
    <hyperlink r:id="rId383" ref="I206"/>
    <hyperlink r:id="rId384" ref="E207"/>
    <hyperlink r:id="rId385" ref="I207"/>
    <hyperlink r:id="rId386" ref="E208"/>
    <hyperlink r:id="rId387" ref="I208"/>
    <hyperlink r:id="rId388" ref="E209"/>
    <hyperlink r:id="rId389" ref="E210"/>
    <hyperlink r:id="rId390" ref="I210"/>
    <hyperlink r:id="rId391" ref="B211"/>
    <hyperlink r:id="rId392" ref="E211"/>
    <hyperlink r:id="rId393" ref="I211"/>
    <hyperlink r:id="rId394" ref="E212"/>
    <hyperlink r:id="rId395" ref="E213"/>
    <hyperlink r:id="rId396" ref="I213"/>
    <hyperlink r:id="rId397" ref="E214"/>
    <hyperlink r:id="rId398" ref="I214"/>
    <hyperlink r:id="rId399" ref="E215"/>
    <hyperlink r:id="rId400" ref="I215"/>
    <hyperlink r:id="rId401" ref="E216"/>
    <hyperlink r:id="rId402" ref="I216"/>
    <hyperlink r:id="rId403" ref="E217"/>
    <hyperlink r:id="rId404" ref="I217"/>
    <hyperlink r:id="rId405" ref="E218"/>
    <hyperlink r:id="rId406" ref="I218"/>
    <hyperlink r:id="rId407" ref="E219"/>
    <hyperlink r:id="rId408" ref="E220"/>
    <hyperlink r:id="rId409" ref="I220"/>
    <hyperlink r:id="rId410" ref="E221"/>
    <hyperlink r:id="rId411" ref="I221"/>
    <hyperlink r:id="rId412" ref="E222"/>
    <hyperlink r:id="rId413" ref="I222"/>
    <hyperlink r:id="rId414" ref="E223"/>
    <hyperlink r:id="rId415" ref="I223"/>
    <hyperlink r:id="rId416" ref="E224"/>
    <hyperlink r:id="rId417" ref="E225"/>
    <hyperlink r:id="rId418" ref="I225"/>
    <hyperlink r:id="rId419" ref="E226"/>
    <hyperlink r:id="rId420" ref="I226"/>
    <hyperlink r:id="rId421" ref="E227"/>
    <hyperlink r:id="rId422" ref="E228"/>
    <hyperlink r:id="rId423" ref="I228"/>
    <hyperlink r:id="rId424" ref="E229"/>
    <hyperlink r:id="rId425" ref="E230"/>
    <hyperlink r:id="rId426" ref="I230"/>
    <hyperlink r:id="rId427" ref="B231"/>
    <hyperlink r:id="rId428" ref="E231"/>
    <hyperlink r:id="rId429" ref="E232"/>
    <hyperlink r:id="rId430" ref="I232"/>
    <hyperlink r:id="rId431" ref="E233"/>
    <hyperlink r:id="rId432" ref="I233"/>
    <hyperlink r:id="rId433" ref="E234"/>
    <hyperlink r:id="rId434" ref="I234"/>
    <hyperlink r:id="rId435" ref="E235"/>
    <hyperlink r:id="rId436" ref="I235"/>
    <hyperlink r:id="rId437" ref="E236"/>
    <hyperlink r:id="rId438" ref="I236"/>
    <hyperlink r:id="rId439" ref="E237"/>
    <hyperlink r:id="rId440" ref="I237"/>
    <hyperlink r:id="rId441" ref="E238"/>
    <hyperlink r:id="rId442" ref="I238"/>
    <hyperlink r:id="rId443" ref="E239"/>
    <hyperlink r:id="rId444" ref="I239"/>
    <hyperlink r:id="rId445" ref="E240"/>
    <hyperlink r:id="rId446" ref="I240"/>
    <hyperlink r:id="rId447" ref="E241"/>
    <hyperlink r:id="rId448" ref="I241"/>
    <hyperlink r:id="rId449" ref="E242"/>
    <hyperlink r:id="rId450" ref="I242"/>
    <hyperlink r:id="rId451" ref="E243"/>
    <hyperlink r:id="rId452" ref="I243"/>
    <hyperlink r:id="rId453" ref="E244"/>
    <hyperlink r:id="rId454" ref="I244"/>
    <hyperlink r:id="rId455" ref="E245"/>
    <hyperlink r:id="rId456" ref="I245"/>
    <hyperlink r:id="rId457" ref="E246"/>
    <hyperlink r:id="rId458" ref="E247"/>
    <hyperlink r:id="rId459" ref="I247"/>
    <hyperlink r:id="rId460" ref="E248"/>
    <hyperlink r:id="rId461" ref="I248"/>
    <hyperlink r:id="rId462" ref="E249"/>
    <hyperlink r:id="rId463" ref="I249"/>
    <hyperlink r:id="rId464" ref="E250"/>
    <hyperlink r:id="rId465" ref="I250"/>
    <hyperlink r:id="rId466" ref="E251"/>
    <hyperlink r:id="rId467" ref="E252"/>
    <hyperlink r:id="rId468" ref="I252"/>
    <hyperlink r:id="rId469" ref="E253"/>
    <hyperlink r:id="rId470" ref="I253"/>
    <hyperlink r:id="rId471" ref="E254"/>
    <hyperlink r:id="rId472" ref="E255"/>
    <hyperlink r:id="rId473" ref="E256"/>
    <hyperlink r:id="rId474" ref="E257"/>
    <hyperlink r:id="rId475" ref="I257"/>
    <hyperlink r:id="rId476" ref="E258"/>
    <hyperlink r:id="rId477" ref="I258"/>
    <hyperlink r:id="rId478" ref="E259"/>
    <hyperlink r:id="rId479" ref="I259"/>
    <hyperlink r:id="rId480" ref="E260"/>
    <hyperlink r:id="rId481" ref="E261"/>
    <hyperlink r:id="rId482" ref="I261"/>
    <hyperlink r:id="rId483" ref="E262"/>
    <hyperlink r:id="rId484" ref="I262"/>
    <hyperlink r:id="rId485" ref="E263"/>
    <hyperlink r:id="rId486" ref="E264"/>
    <hyperlink r:id="rId487" ref="I264"/>
    <hyperlink r:id="rId488" ref="E265"/>
    <hyperlink r:id="rId489" ref="I265"/>
    <hyperlink r:id="rId490" ref="E266"/>
    <hyperlink r:id="rId491" ref="E267"/>
    <hyperlink r:id="rId492" ref="I267"/>
    <hyperlink r:id="rId493" ref="E268"/>
    <hyperlink r:id="rId494" ref="E269"/>
    <hyperlink r:id="rId495" ref="I269"/>
    <hyperlink r:id="rId496" ref="E270"/>
    <hyperlink r:id="rId497" ref="E271"/>
    <hyperlink r:id="rId498" ref="E272"/>
    <hyperlink r:id="rId499" ref="E273"/>
    <hyperlink r:id="rId500" ref="I273"/>
    <hyperlink r:id="rId501" ref="E274"/>
    <hyperlink r:id="rId502" ref="I274"/>
    <hyperlink r:id="rId503" ref="E275"/>
    <hyperlink r:id="rId504" ref="I275"/>
    <hyperlink r:id="rId505" ref="E276"/>
    <hyperlink r:id="rId506" ref="I276"/>
    <hyperlink r:id="rId507" ref="E277"/>
    <hyperlink r:id="rId508" ref="E278"/>
    <hyperlink r:id="rId509" ref="I278"/>
    <hyperlink r:id="rId510" ref="E279"/>
    <hyperlink r:id="rId511" ref="E280"/>
    <hyperlink r:id="rId512" ref="E281"/>
    <hyperlink r:id="rId513" ref="E282"/>
    <hyperlink r:id="rId514" ref="I282"/>
    <hyperlink r:id="rId515" ref="E283"/>
    <hyperlink r:id="rId516" ref="I283"/>
    <hyperlink r:id="rId517" ref="E284"/>
    <hyperlink r:id="rId518" ref="I284"/>
    <hyperlink r:id="rId519" ref="E285"/>
    <hyperlink r:id="rId520" ref="E286"/>
    <hyperlink r:id="rId521" ref="I286"/>
    <hyperlink r:id="rId522" ref="E287"/>
    <hyperlink r:id="rId523" ref="I287"/>
    <hyperlink r:id="rId524" ref="E288"/>
    <hyperlink r:id="rId525" ref="I288"/>
    <hyperlink r:id="rId526" ref="E289"/>
    <hyperlink r:id="rId527" ref="I289"/>
    <hyperlink r:id="rId528" ref="E290"/>
    <hyperlink r:id="rId529" ref="I290"/>
    <hyperlink r:id="rId530" ref="E291"/>
    <hyperlink r:id="rId531" ref="I291"/>
    <hyperlink r:id="rId532" ref="E292"/>
    <hyperlink r:id="rId533" ref="E293"/>
    <hyperlink r:id="rId534" ref="I293"/>
    <hyperlink r:id="rId535" ref="E294"/>
    <hyperlink r:id="rId536" ref="I294"/>
    <hyperlink r:id="rId537" ref="E295"/>
    <hyperlink r:id="rId538" ref="I295"/>
    <hyperlink r:id="rId539" ref="E296"/>
    <hyperlink r:id="rId540" ref="I296"/>
    <hyperlink r:id="rId541" ref="E297"/>
    <hyperlink r:id="rId542" ref="I297"/>
    <hyperlink r:id="rId543" ref="E298"/>
    <hyperlink r:id="rId544" ref="E299"/>
    <hyperlink r:id="rId545" ref="I299"/>
    <hyperlink r:id="rId546" ref="E300"/>
    <hyperlink r:id="rId547" ref="I300"/>
    <hyperlink r:id="rId548" ref="E301"/>
    <hyperlink r:id="rId549" ref="I301"/>
    <hyperlink r:id="rId550" ref="E302"/>
    <hyperlink r:id="rId551" ref="I302"/>
    <hyperlink r:id="rId552" ref="E303"/>
    <hyperlink r:id="rId553" ref="I303"/>
    <hyperlink r:id="rId554" ref="E304"/>
    <hyperlink r:id="rId555" ref="I304"/>
    <hyperlink r:id="rId556" ref="E305"/>
    <hyperlink r:id="rId557" ref="I305"/>
    <hyperlink r:id="rId558" ref="E306"/>
    <hyperlink r:id="rId559" ref="I306"/>
    <hyperlink r:id="rId560" ref="E307"/>
    <hyperlink r:id="rId561" ref="I307"/>
    <hyperlink r:id="rId562" ref="E308"/>
    <hyperlink r:id="rId563" ref="I308"/>
    <hyperlink r:id="rId564" ref="E309"/>
    <hyperlink r:id="rId565" ref="I309"/>
    <hyperlink r:id="rId566" ref="E310"/>
    <hyperlink r:id="rId567" ref="I310"/>
    <hyperlink r:id="rId568" ref="E311"/>
    <hyperlink r:id="rId569" ref="I311"/>
    <hyperlink r:id="rId570" ref="E312"/>
    <hyperlink r:id="rId571" ref="I312"/>
    <hyperlink r:id="rId572" ref="E313"/>
    <hyperlink r:id="rId573" ref="I313"/>
    <hyperlink r:id="rId574" ref="E314"/>
    <hyperlink r:id="rId575" ref="E315"/>
    <hyperlink r:id="rId576" ref="E316"/>
    <hyperlink r:id="rId577" ref="E317"/>
    <hyperlink r:id="rId578" ref="I317"/>
    <hyperlink r:id="rId579" ref="E318"/>
    <hyperlink r:id="rId580" ref="E319"/>
    <hyperlink r:id="rId581" ref="I319"/>
    <hyperlink r:id="rId582" ref="E320"/>
    <hyperlink r:id="rId583" ref="I320"/>
    <hyperlink r:id="rId584" ref="E321"/>
    <hyperlink r:id="rId585" ref="I321"/>
    <hyperlink r:id="rId586" ref="E322"/>
    <hyperlink r:id="rId587" ref="E323"/>
    <hyperlink r:id="rId588" ref="E324"/>
    <hyperlink r:id="rId589" ref="I324"/>
    <hyperlink r:id="rId590" ref="E325"/>
    <hyperlink r:id="rId591" ref="E326"/>
    <hyperlink r:id="rId592" ref="I326"/>
    <hyperlink r:id="rId593" ref="E327"/>
    <hyperlink r:id="rId594" ref="I327"/>
    <hyperlink r:id="rId595" ref="E328"/>
    <hyperlink r:id="rId596" ref="I328"/>
    <hyperlink r:id="rId597" ref="E329"/>
    <hyperlink r:id="rId598" ref="I329"/>
    <hyperlink r:id="rId599" ref="E330"/>
    <hyperlink r:id="rId600" ref="E331"/>
    <hyperlink r:id="rId601" ref="I331"/>
    <hyperlink r:id="rId602" ref="E332"/>
    <hyperlink r:id="rId603" ref="I332"/>
    <hyperlink r:id="rId604" ref="E333"/>
    <hyperlink r:id="rId605" ref="I333"/>
    <hyperlink r:id="rId606" ref="E334"/>
    <hyperlink r:id="rId607" ref="I334"/>
    <hyperlink r:id="rId608" ref="E335"/>
    <hyperlink r:id="rId609" ref="I335"/>
    <hyperlink r:id="rId610" ref="E336"/>
    <hyperlink r:id="rId611" ref="I336"/>
    <hyperlink r:id="rId612" ref="E337"/>
    <hyperlink r:id="rId613" ref="I337"/>
    <hyperlink r:id="rId614" ref="E338"/>
    <hyperlink r:id="rId615" ref="I338"/>
    <hyperlink r:id="rId616" ref="E339"/>
    <hyperlink r:id="rId617" ref="I339"/>
    <hyperlink r:id="rId618" ref="E340"/>
    <hyperlink r:id="rId619" ref="I340"/>
    <hyperlink r:id="rId620" ref="E341"/>
    <hyperlink r:id="rId621" ref="I341"/>
    <hyperlink r:id="rId622" ref="E342"/>
    <hyperlink r:id="rId623" ref="I342"/>
    <hyperlink r:id="rId624" ref="E343"/>
    <hyperlink r:id="rId625" ref="I343"/>
    <hyperlink r:id="rId626" ref="E344"/>
    <hyperlink r:id="rId627" ref="I344"/>
    <hyperlink r:id="rId628" ref="E345"/>
    <hyperlink r:id="rId629" ref="I345"/>
    <hyperlink r:id="rId630" ref="E346"/>
    <hyperlink r:id="rId631" ref="I346"/>
    <hyperlink r:id="rId632" ref="E347"/>
    <hyperlink r:id="rId633" ref="E348"/>
    <hyperlink r:id="rId634" ref="I348"/>
    <hyperlink r:id="rId635" ref="E349"/>
    <hyperlink r:id="rId636" ref="I349"/>
    <hyperlink r:id="rId637" ref="E350"/>
    <hyperlink r:id="rId638" ref="I350"/>
    <hyperlink r:id="rId639" ref="E351"/>
    <hyperlink r:id="rId640" ref="I351"/>
    <hyperlink r:id="rId641" ref="E352"/>
    <hyperlink r:id="rId642" ref="I352"/>
    <hyperlink r:id="rId643" ref="E353"/>
    <hyperlink r:id="rId644" ref="I353"/>
    <hyperlink r:id="rId645" ref="E354"/>
    <hyperlink r:id="rId646" ref="I354"/>
    <hyperlink r:id="rId647" ref="E355"/>
    <hyperlink r:id="rId648" ref="I355"/>
    <hyperlink r:id="rId649" ref="E356"/>
    <hyperlink r:id="rId650" ref="I356"/>
    <hyperlink r:id="rId651" ref="E357"/>
    <hyperlink r:id="rId652" ref="I357"/>
    <hyperlink r:id="rId653" ref="E358"/>
    <hyperlink r:id="rId654" ref="I358"/>
    <hyperlink r:id="rId655" ref="E359"/>
    <hyperlink r:id="rId656" ref="I359"/>
    <hyperlink r:id="rId657" ref="E360"/>
    <hyperlink r:id="rId658" ref="I360"/>
    <hyperlink r:id="rId659" ref="E361"/>
    <hyperlink r:id="rId660" ref="I361"/>
    <hyperlink r:id="rId661" ref="E362"/>
    <hyperlink r:id="rId662" ref="I362"/>
    <hyperlink r:id="rId663" ref="E363"/>
    <hyperlink r:id="rId664" ref="E364"/>
    <hyperlink r:id="rId665" ref="E365"/>
    <hyperlink r:id="rId666" ref="I365"/>
    <hyperlink r:id="rId667" ref="E366"/>
    <hyperlink r:id="rId668" ref="I366"/>
    <hyperlink r:id="rId669" ref="E367"/>
    <hyperlink r:id="rId670" ref="I367"/>
    <hyperlink r:id="rId671" ref="E368"/>
    <hyperlink r:id="rId672" ref="I368"/>
    <hyperlink r:id="rId673" ref="E369"/>
    <hyperlink r:id="rId674" ref="I369"/>
    <hyperlink r:id="rId675" ref="E370"/>
    <hyperlink r:id="rId676" ref="I370"/>
    <hyperlink r:id="rId677" ref="E371"/>
    <hyperlink r:id="rId678" ref="I371"/>
    <hyperlink r:id="rId679" ref="E372"/>
    <hyperlink r:id="rId680" ref="I372"/>
    <hyperlink r:id="rId681" ref="E373"/>
    <hyperlink r:id="rId682" ref="I373"/>
    <hyperlink r:id="rId683" ref="E374"/>
    <hyperlink r:id="rId684" ref="I374"/>
    <hyperlink r:id="rId685" ref="E375"/>
    <hyperlink r:id="rId686" ref="I375"/>
    <hyperlink r:id="rId687" ref="E376"/>
    <hyperlink r:id="rId688" ref="E377"/>
    <hyperlink r:id="rId689" ref="I377"/>
    <hyperlink r:id="rId690" ref="E378"/>
    <hyperlink r:id="rId691" ref="I378"/>
    <hyperlink r:id="rId692" ref="E379"/>
    <hyperlink r:id="rId693" ref="E380"/>
    <hyperlink r:id="rId694" ref="I380"/>
    <hyperlink r:id="rId695" ref="E381"/>
    <hyperlink r:id="rId696" ref="I381"/>
    <hyperlink r:id="rId697" ref="E382"/>
    <hyperlink r:id="rId698" ref="E383"/>
    <hyperlink r:id="rId699" ref="E384"/>
    <hyperlink r:id="rId700" ref="E385"/>
    <hyperlink r:id="rId701" ref="I385"/>
    <hyperlink r:id="rId702" ref="E386"/>
    <hyperlink r:id="rId703" ref="I386"/>
    <hyperlink r:id="rId704" ref="E387"/>
    <hyperlink r:id="rId705" ref="I387"/>
    <hyperlink r:id="rId706" ref="E388"/>
    <hyperlink r:id="rId707" ref="I388"/>
    <hyperlink r:id="rId708" ref="E389"/>
    <hyperlink r:id="rId709" ref="E390"/>
    <hyperlink r:id="rId710" ref="I390"/>
    <hyperlink r:id="rId711" ref="E391"/>
    <hyperlink r:id="rId712" ref="I391"/>
    <hyperlink r:id="rId713" ref="E392"/>
    <hyperlink r:id="rId714" ref="I392"/>
    <hyperlink r:id="rId715" ref="E393"/>
    <hyperlink r:id="rId716" ref="I393"/>
    <hyperlink r:id="rId717" ref="E394"/>
    <hyperlink r:id="rId718" ref="E395"/>
    <hyperlink r:id="rId719" ref="I395"/>
    <hyperlink r:id="rId720" ref="E396"/>
    <hyperlink r:id="rId721" ref="I396"/>
    <hyperlink r:id="rId722" ref="E397"/>
    <hyperlink r:id="rId723" ref="I397"/>
    <hyperlink r:id="rId724" ref="E398"/>
    <hyperlink r:id="rId725" ref="I398"/>
    <hyperlink r:id="rId726" ref="E399"/>
    <hyperlink r:id="rId727" ref="I399"/>
    <hyperlink r:id="rId728" ref="E400"/>
    <hyperlink r:id="rId729" ref="I400"/>
    <hyperlink r:id="rId730" ref="E401"/>
    <hyperlink r:id="rId731" ref="I401"/>
    <hyperlink r:id="rId732" ref="E402"/>
    <hyperlink r:id="rId733" ref="I402"/>
    <hyperlink r:id="rId734" ref="E403"/>
    <hyperlink r:id="rId735" ref="I403"/>
    <hyperlink r:id="rId736" ref="E404"/>
    <hyperlink r:id="rId737" ref="I404"/>
    <hyperlink r:id="rId738" ref="E405"/>
    <hyperlink r:id="rId739" ref="I405"/>
    <hyperlink r:id="rId740" ref="E406"/>
    <hyperlink r:id="rId741" ref="I406"/>
    <hyperlink r:id="rId742" ref="E407"/>
    <hyperlink r:id="rId743" ref="E408"/>
    <hyperlink r:id="rId744" ref="I408"/>
    <hyperlink r:id="rId745" ref="E409"/>
    <hyperlink r:id="rId746" ref="I409"/>
    <hyperlink r:id="rId747" ref="E410"/>
    <hyperlink r:id="rId748" ref="I410"/>
    <hyperlink r:id="rId749" ref="E411"/>
    <hyperlink r:id="rId750" ref="E412"/>
    <hyperlink r:id="rId751" ref="I412"/>
    <hyperlink r:id="rId752" ref="E413"/>
    <hyperlink r:id="rId753" ref="I413"/>
    <hyperlink r:id="rId754" ref="E414"/>
    <hyperlink r:id="rId755" ref="I414"/>
    <hyperlink r:id="rId756" ref="E415"/>
    <hyperlink r:id="rId757" ref="I415"/>
    <hyperlink r:id="rId758" ref="E416"/>
    <hyperlink r:id="rId759" ref="I416"/>
    <hyperlink r:id="rId760" ref="E417"/>
    <hyperlink r:id="rId761" ref="I417"/>
    <hyperlink r:id="rId762" ref="E418"/>
    <hyperlink r:id="rId763" ref="I418"/>
    <hyperlink r:id="rId764" ref="E419"/>
    <hyperlink r:id="rId765" ref="I419"/>
    <hyperlink r:id="rId766" ref="E420"/>
    <hyperlink r:id="rId767" ref="I420"/>
    <hyperlink r:id="rId768" ref="E421"/>
    <hyperlink r:id="rId769" ref="E422"/>
    <hyperlink r:id="rId770" ref="I422"/>
    <hyperlink r:id="rId771" ref="E423"/>
    <hyperlink r:id="rId772" ref="I423"/>
    <hyperlink r:id="rId773" ref="E424"/>
    <hyperlink r:id="rId774" ref="I424"/>
    <hyperlink r:id="rId775" ref="E425"/>
    <hyperlink r:id="rId776" ref="I425"/>
    <hyperlink r:id="rId777" ref="E426"/>
    <hyperlink r:id="rId778" ref="I426"/>
    <hyperlink r:id="rId779" ref="E427"/>
    <hyperlink r:id="rId780" ref="I427"/>
    <hyperlink r:id="rId781" ref="E428"/>
    <hyperlink r:id="rId782" ref="I428"/>
    <hyperlink r:id="rId783" ref="E429"/>
    <hyperlink r:id="rId784" ref="I429"/>
    <hyperlink r:id="rId785" ref="E430"/>
    <hyperlink r:id="rId786" ref="I430"/>
    <hyperlink r:id="rId787" ref="E431"/>
    <hyperlink r:id="rId788" ref="I431"/>
    <hyperlink r:id="rId789" ref="E432"/>
    <hyperlink r:id="rId790" ref="E433"/>
    <hyperlink r:id="rId791" ref="I433"/>
    <hyperlink r:id="rId792" ref="E434"/>
    <hyperlink r:id="rId793" ref="I434"/>
    <hyperlink r:id="rId794" ref="E435"/>
    <hyperlink r:id="rId795" ref="E436"/>
    <hyperlink r:id="rId796" ref="I436"/>
    <hyperlink r:id="rId797" ref="E437"/>
    <hyperlink r:id="rId798" ref="E438"/>
    <hyperlink r:id="rId799" ref="I438"/>
    <hyperlink r:id="rId800" ref="E439"/>
    <hyperlink r:id="rId801" ref="I439"/>
    <hyperlink r:id="rId802" ref="E440"/>
    <hyperlink r:id="rId803" ref="E441"/>
    <hyperlink r:id="rId804" ref="I441"/>
    <hyperlink r:id="rId805" ref="E442"/>
    <hyperlink r:id="rId806" ref="I442"/>
    <hyperlink r:id="rId807" ref="E443"/>
    <hyperlink r:id="rId808" ref="I443"/>
    <hyperlink r:id="rId809" ref="E444"/>
    <hyperlink r:id="rId810" ref="I444"/>
    <hyperlink r:id="rId811" ref="E445"/>
    <hyperlink r:id="rId812" ref="I445"/>
    <hyperlink r:id="rId813" ref="E446"/>
    <hyperlink r:id="rId814" ref="I446"/>
    <hyperlink r:id="rId815" ref="E447"/>
    <hyperlink r:id="rId816" ref="E448"/>
    <hyperlink r:id="rId817" ref="I448"/>
    <hyperlink r:id="rId818" ref="E449"/>
    <hyperlink r:id="rId819" ref="I449"/>
    <hyperlink r:id="rId820" ref="E450"/>
    <hyperlink r:id="rId821" ref="I450"/>
    <hyperlink r:id="rId822" ref="E451"/>
    <hyperlink r:id="rId823" ref="I451"/>
    <hyperlink r:id="rId824" ref="E452"/>
    <hyperlink r:id="rId825" ref="E453"/>
    <hyperlink r:id="rId826" ref="I453"/>
    <hyperlink r:id="rId827" ref="E454"/>
    <hyperlink r:id="rId828" ref="E455"/>
    <hyperlink r:id="rId829" ref="I455"/>
    <hyperlink r:id="rId830" ref="E456"/>
    <hyperlink r:id="rId831" ref="I456"/>
    <hyperlink r:id="rId832" ref="E457"/>
    <hyperlink r:id="rId833" ref="I457"/>
    <hyperlink r:id="rId834" ref="E458"/>
    <hyperlink r:id="rId835" ref="E459"/>
    <hyperlink r:id="rId836" ref="I459"/>
    <hyperlink r:id="rId837" ref="E460"/>
    <hyperlink r:id="rId838" ref="I460"/>
    <hyperlink r:id="rId839" ref="E461"/>
    <hyperlink r:id="rId840" ref="I461"/>
    <hyperlink r:id="rId841" ref="E462"/>
    <hyperlink r:id="rId842" ref="I462"/>
    <hyperlink r:id="rId843" ref="E463"/>
    <hyperlink r:id="rId844" ref="I463"/>
    <hyperlink r:id="rId845" ref="E464"/>
    <hyperlink r:id="rId846" ref="E465"/>
    <hyperlink r:id="rId847" ref="E466"/>
    <hyperlink r:id="rId848" ref="I466"/>
    <hyperlink r:id="rId849" ref="E467"/>
    <hyperlink r:id="rId850" ref="E468"/>
    <hyperlink r:id="rId851" ref="E469"/>
    <hyperlink r:id="rId852" ref="I469"/>
    <hyperlink r:id="rId853" ref="E470"/>
    <hyperlink r:id="rId854" ref="I470"/>
    <hyperlink r:id="rId855" ref="E471"/>
    <hyperlink r:id="rId856" ref="I471"/>
    <hyperlink r:id="rId857" ref="E472"/>
    <hyperlink r:id="rId858" ref="E473"/>
    <hyperlink r:id="rId859" ref="I473"/>
    <hyperlink r:id="rId860" ref="E474"/>
    <hyperlink r:id="rId861" ref="I474"/>
    <hyperlink r:id="rId862" ref="E475"/>
    <hyperlink r:id="rId863" ref="I475"/>
    <hyperlink r:id="rId864" ref="E476"/>
    <hyperlink r:id="rId865" ref="E477"/>
    <hyperlink r:id="rId866" ref="I477"/>
    <hyperlink r:id="rId867" ref="E478"/>
    <hyperlink r:id="rId868" ref="I478"/>
    <hyperlink r:id="rId869" ref="E479"/>
    <hyperlink r:id="rId870" ref="E480"/>
    <hyperlink r:id="rId871" ref="I480"/>
    <hyperlink r:id="rId872" ref="E481"/>
    <hyperlink r:id="rId873" ref="E482"/>
    <hyperlink r:id="rId874" ref="I482"/>
    <hyperlink r:id="rId875" ref="E483"/>
    <hyperlink r:id="rId876" ref="I483"/>
    <hyperlink r:id="rId877" ref="E484"/>
    <hyperlink r:id="rId878" ref="I484"/>
    <hyperlink r:id="rId879" ref="E485"/>
    <hyperlink r:id="rId880" ref="I485"/>
    <hyperlink r:id="rId881" ref="E486"/>
    <hyperlink r:id="rId882" ref="I486"/>
    <hyperlink r:id="rId883" ref="E487"/>
    <hyperlink r:id="rId884" ref="I487"/>
    <hyperlink r:id="rId885" ref="E488"/>
    <hyperlink r:id="rId886" ref="I488"/>
    <hyperlink r:id="rId887" ref="E489"/>
    <hyperlink r:id="rId888" ref="I489"/>
    <hyperlink r:id="rId889" ref="E490"/>
    <hyperlink r:id="rId890" ref="I490"/>
    <hyperlink r:id="rId891" ref="E491"/>
    <hyperlink r:id="rId892" ref="I491"/>
    <hyperlink r:id="rId893" ref="E492"/>
    <hyperlink r:id="rId894" ref="I492"/>
    <hyperlink r:id="rId895" ref="E493"/>
    <hyperlink r:id="rId896" ref="I493"/>
    <hyperlink r:id="rId897" ref="E494"/>
    <hyperlink r:id="rId898" ref="I494"/>
    <hyperlink r:id="rId899" ref="E495"/>
    <hyperlink r:id="rId900" ref="I495"/>
    <hyperlink r:id="rId901" ref="E496"/>
    <hyperlink r:id="rId902" ref="I496"/>
    <hyperlink r:id="rId903" ref="E497"/>
    <hyperlink r:id="rId904" ref="I497"/>
    <hyperlink r:id="rId905" ref="E498"/>
    <hyperlink r:id="rId906" ref="I498"/>
    <hyperlink r:id="rId907" ref="E499"/>
    <hyperlink r:id="rId908" ref="I499"/>
    <hyperlink r:id="rId909" ref="E500"/>
    <hyperlink r:id="rId910" ref="I500"/>
    <hyperlink r:id="rId911" ref="E501"/>
    <hyperlink r:id="rId912" ref="E502"/>
    <hyperlink r:id="rId913" ref="E503"/>
    <hyperlink r:id="rId914" ref="E504"/>
    <hyperlink r:id="rId915" ref="E505"/>
    <hyperlink r:id="rId916" ref="E506"/>
    <hyperlink r:id="rId917" ref="I506"/>
    <hyperlink r:id="rId918" ref="E507"/>
    <hyperlink r:id="rId919" ref="I507"/>
    <hyperlink r:id="rId920" ref="E508"/>
    <hyperlink r:id="rId921" ref="I508"/>
    <hyperlink r:id="rId922" ref="E509"/>
    <hyperlink r:id="rId923" ref="I509"/>
    <hyperlink r:id="rId924" ref="E510"/>
    <hyperlink r:id="rId925" ref="I510"/>
    <hyperlink r:id="rId926" ref="E511"/>
    <hyperlink r:id="rId927" ref="I511"/>
    <hyperlink r:id="rId928" ref="E512"/>
    <hyperlink r:id="rId929" ref="I512"/>
    <hyperlink r:id="rId930" ref="E513"/>
    <hyperlink r:id="rId931" ref="E514"/>
    <hyperlink r:id="rId932" ref="I514"/>
    <hyperlink r:id="rId933" ref="E515"/>
    <hyperlink r:id="rId934" ref="I515"/>
    <hyperlink r:id="rId935" ref="E516"/>
    <hyperlink r:id="rId936" ref="I516"/>
    <hyperlink r:id="rId937" ref="E517"/>
    <hyperlink r:id="rId938" ref="E518"/>
    <hyperlink r:id="rId939" ref="I518"/>
    <hyperlink r:id="rId940" ref="E519"/>
    <hyperlink r:id="rId941" ref="I519"/>
    <hyperlink r:id="rId942" ref="E520"/>
    <hyperlink r:id="rId943" ref="I520"/>
    <hyperlink r:id="rId944" ref="E521"/>
    <hyperlink r:id="rId945" ref="E522"/>
    <hyperlink r:id="rId946" ref="I522"/>
    <hyperlink r:id="rId947" ref="E523"/>
    <hyperlink r:id="rId948" ref="E524"/>
    <hyperlink r:id="rId949" ref="E525"/>
    <hyperlink r:id="rId950" ref="I525"/>
    <hyperlink r:id="rId951" ref="E526"/>
    <hyperlink r:id="rId952" ref="I526"/>
    <hyperlink r:id="rId953" ref="E527"/>
    <hyperlink r:id="rId954" ref="I527"/>
    <hyperlink r:id="rId955" ref="E528"/>
    <hyperlink r:id="rId956" ref="I528"/>
    <hyperlink r:id="rId957" ref="E529"/>
    <hyperlink r:id="rId958" ref="I529"/>
    <hyperlink r:id="rId959" ref="E530"/>
    <hyperlink r:id="rId960" ref="I530"/>
    <hyperlink r:id="rId961" ref="E531"/>
    <hyperlink r:id="rId962" ref="I531"/>
    <hyperlink r:id="rId963" ref="E532"/>
    <hyperlink r:id="rId964" ref="I532"/>
    <hyperlink r:id="rId965" ref="E533"/>
    <hyperlink r:id="rId966" ref="I533"/>
    <hyperlink r:id="rId967" ref="E534"/>
    <hyperlink r:id="rId968" ref="I534"/>
    <hyperlink r:id="rId969" ref="E535"/>
    <hyperlink r:id="rId970" ref="I535"/>
    <hyperlink r:id="rId971" ref="E536"/>
    <hyperlink r:id="rId972" ref="I536"/>
    <hyperlink r:id="rId973" ref="E537"/>
    <hyperlink r:id="rId974" ref="I537"/>
    <hyperlink r:id="rId975" ref="E538"/>
    <hyperlink r:id="rId976" ref="I538"/>
    <hyperlink r:id="rId977" ref="E539"/>
    <hyperlink r:id="rId978" ref="I539"/>
    <hyperlink r:id="rId979" ref="E540"/>
    <hyperlink r:id="rId980" ref="I540"/>
    <hyperlink r:id="rId981" ref="E541"/>
    <hyperlink r:id="rId982" ref="I541"/>
    <hyperlink r:id="rId983" ref="E542"/>
    <hyperlink r:id="rId984" ref="I542"/>
    <hyperlink r:id="rId985" ref="E543"/>
    <hyperlink r:id="rId986" ref="E544"/>
    <hyperlink r:id="rId987" ref="E545"/>
    <hyperlink r:id="rId988" ref="I545"/>
    <hyperlink r:id="rId989" ref="E546"/>
    <hyperlink r:id="rId990" ref="E547"/>
    <hyperlink r:id="rId991" ref="E548"/>
    <hyperlink r:id="rId992" ref="I548"/>
    <hyperlink r:id="rId993" ref="E549"/>
    <hyperlink r:id="rId994" ref="I549"/>
    <hyperlink r:id="rId995" ref="E550"/>
    <hyperlink r:id="rId996" ref="I550"/>
    <hyperlink r:id="rId997" ref="E551"/>
    <hyperlink r:id="rId998" ref="I551"/>
    <hyperlink r:id="rId999" ref="E552"/>
    <hyperlink r:id="rId1000" ref="I552"/>
    <hyperlink r:id="rId1001" ref="E553"/>
    <hyperlink r:id="rId1002" ref="I553"/>
    <hyperlink r:id="rId1003" ref="E554"/>
    <hyperlink r:id="rId1004" ref="I554"/>
    <hyperlink r:id="rId1005" ref="E555"/>
    <hyperlink r:id="rId1006" ref="E556"/>
    <hyperlink r:id="rId1007" ref="I556"/>
    <hyperlink r:id="rId1008" ref="E557"/>
    <hyperlink r:id="rId1009" ref="I557"/>
    <hyperlink r:id="rId1010" ref="E558"/>
    <hyperlink r:id="rId1011" ref="I558"/>
    <hyperlink r:id="rId1012" ref="E559"/>
    <hyperlink r:id="rId1013" ref="I559"/>
    <hyperlink r:id="rId1014" ref="E560"/>
    <hyperlink r:id="rId1015" ref="I560"/>
    <hyperlink r:id="rId1016" ref="E561"/>
    <hyperlink r:id="rId1017" ref="I561"/>
    <hyperlink r:id="rId1018" ref="E562"/>
    <hyperlink r:id="rId1019" ref="I562"/>
    <hyperlink r:id="rId1020" ref="E563"/>
    <hyperlink r:id="rId1021" ref="I563"/>
    <hyperlink r:id="rId1022" ref="E564"/>
    <hyperlink r:id="rId1023" ref="I564"/>
    <hyperlink r:id="rId1024" ref="E565"/>
    <hyperlink r:id="rId1025" ref="I565"/>
    <hyperlink r:id="rId1026" ref="E566"/>
    <hyperlink r:id="rId1027" ref="I566"/>
    <hyperlink r:id="rId1028" ref="B567"/>
    <hyperlink r:id="rId1029" ref="E567"/>
    <hyperlink r:id="rId1030" ref="I567"/>
    <hyperlink r:id="rId1031" ref="E568"/>
    <hyperlink r:id="rId1032" ref="I568"/>
    <hyperlink r:id="rId1033" ref="E569"/>
    <hyperlink r:id="rId1034" ref="I569"/>
    <hyperlink r:id="rId1035" ref="E570"/>
    <hyperlink r:id="rId1036" ref="I570"/>
    <hyperlink r:id="rId1037" ref="E571"/>
    <hyperlink r:id="rId1038" ref="I571"/>
    <hyperlink r:id="rId1039" ref="E572"/>
    <hyperlink r:id="rId1040" ref="I572"/>
    <hyperlink r:id="rId1041" ref="E573"/>
    <hyperlink r:id="rId1042" ref="E574"/>
    <hyperlink r:id="rId1043" ref="I574"/>
    <hyperlink r:id="rId1044" ref="E575"/>
    <hyperlink r:id="rId1045" ref="I575"/>
    <hyperlink r:id="rId1046" ref="E576"/>
    <hyperlink r:id="rId1047" ref="I576"/>
    <hyperlink r:id="rId1048" ref="E577"/>
    <hyperlink r:id="rId1049" ref="I577"/>
    <hyperlink r:id="rId1050" ref="E578"/>
    <hyperlink r:id="rId1051" ref="E579"/>
    <hyperlink r:id="rId1052" ref="I579"/>
    <hyperlink r:id="rId1053" ref="E580"/>
    <hyperlink r:id="rId1054" ref="I580"/>
    <hyperlink r:id="rId1055" ref="E581"/>
    <hyperlink r:id="rId1056" ref="I581"/>
    <hyperlink r:id="rId1057" ref="E582"/>
    <hyperlink r:id="rId1058" ref="I582"/>
    <hyperlink r:id="rId1059" ref="E583"/>
    <hyperlink r:id="rId1060" ref="I583"/>
    <hyperlink r:id="rId1061" ref="E584"/>
    <hyperlink r:id="rId1062" ref="I584"/>
    <hyperlink r:id="rId1063" ref="E585"/>
    <hyperlink r:id="rId1064" ref="I585"/>
    <hyperlink r:id="rId1065" ref="E586"/>
    <hyperlink r:id="rId1066" ref="I586"/>
    <hyperlink r:id="rId1067" ref="E587"/>
    <hyperlink r:id="rId1068" ref="I587"/>
    <hyperlink r:id="rId1069" ref="E588"/>
    <hyperlink r:id="rId1070" ref="E589"/>
    <hyperlink r:id="rId1071" ref="I589"/>
    <hyperlink r:id="rId1072" ref="E590"/>
    <hyperlink r:id="rId1073" ref="E591"/>
    <hyperlink r:id="rId1074" ref="E592"/>
    <hyperlink r:id="rId1075" ref="I592"/>
    <hyperlink r:id="rId1076" ref="E593"/>
    <hyperlink r:id="rId1077" ref="I593"/>
    <hyperlink r:id="rId1078" ref="E594"/>
    <hyperlink r:id="rId1079" ref="E595"/>
    <hyperlink r:id="rId1080" ref="E596"/>
    <hyperlink r:id="rId1081" ref="I596"/>
    <hyperlink r:id="rId1082" ref="E597"/>
    <hyperlink r:id="rId1083" ref="I597"/>
    <hyperlink r:id="rId1084" ref="E598"/>
    <hyperlink r:id="rId1085" ref="I598"/>
    <hyperlink r:id="rId1086" ref="E599"/>
    <hyperlink r:id="rId1087" ref="I599"/>
    <hyperlink r:id="rId1088" ref="E600"/>
    <hyperlink r:id="rId1089" ref="I600"/>
    <hyperlink r:id="rId1090" ref="E601"/>
    <hyperlink r:id="rId1091" ref="I601"/>
    <hyperlink r:id="rId1092" ref="E602"/>
    <hyperlink r:id="rId1093" ref="I602"/>
    <hyperlink r:id="rId1094" ref="E603"/>
    <hyperlink r:id="rId1095" ref="I603"/>
    <hyperlink r:id="rId1096" ref="E604"/>
    <hyperlink r:id="rId1097" ref="I604"/>
    <hyperlink r:id="rId1098" ref="E605"/>
    <hyperlink r:id="rId1099" ref="I605"/>
    <hyperlink r:id="rId1100" ref="E606"/>
    <hyperlink r:id="rId1101" ref="I606"/>
    <hyperlink r:id="rId1102" ref="E607"/>
    <hyperlink r:id="rId1103" ref="I607"/>
    <hyperlink r:id="rId1104" ref="E608"/>
    <hyperlink r:id="rId1105" ref="I608"/>
    <hyperlink r:id="rId1106" ref="E609"/>
    <hyperlink r:id="rId1107" ref="I609"/>
    <hyperlink r:id="rId1108" ref="B610"/>
    <hyperlink r:id="rId1109" ref="E610"/>
    <hyperlink r:id="rId1110" ref="I610"/>
    <hyperlink r:id="rId1111" ref="E611"/>
    <hyperlink r:id="rId1112" ref="I611"/>
    <hyperlink r:id="rId1113" ref="E612"/>
    <hyperlink r:id="rId1114" ref="I612"/>
    <hyperlink r:id="rId1115" ref="E613"/>
    <hyperlink r:id="rId1116" ref="I613"/>
    <hyperlink r:id="rId1117" ref="E614"/>
    <hyperlink r:id="rId1118" ref="I614"/>
    <hyperlink r:id="rId1119" ref="E615"/>
    <hyperlink r:id="rId1120" ref="E616"/>
    <hyperlink r:id="rId1121" ref="E617"/>
    <hyperlink r:id="rId1122" ref="I617"/>
    <hyperlink r:id="rId1123" ref="E618"/>
    <hyperlink r:id="rId1124" ref="E619"/>
    <hyperlink r:id="rId1125" ref="I619"/>
    <hyperlink r:id="rId1126" ref="E620"/>
    <hyperlink r:id="rId1127" ref="I620"/>
    <hyperlink r:id="rId1128" ref="E621"/>
    <hyperlink r:id="rId1129" ref="I621"/>
    <hyperlink r:id="rId1130" ref="E622"/>
    <hyperlink r:id="rId1131" ref="I622"/>
    <hyperlink r:id="rId1132" ref="E623"/>
    <hyperlink r:id="rId1133" ref="I623"/>
    <hyperlink r:id="rId1134" ref="E624"/>
    <hyperlink r:id="rId1135" ref="E625"/>
    <hyperlink r:id="rId1136" ref="I625"/>
    <hyperlink r:id="rId1137" ref="E626"/>
    <hyperlink r:id="rId1138" ref="E627"/>
    <hyperlink r:id="rId1139" ref="E628"/>
    <hyperlink r:id="rId1140" ref="I628"/>
    <hyperlink r:id="rId1141" ref="E629"/>
    <hyperlink r:id="rId1142" ref="I629"/>
    <hyperlink r:id="rId1143" ref="E630"/>
    <hyperlink r:id="rId1144" ref="I630"/>
    <hyperlink r:id="rId1145" ref="E631"/>
    <hyperlink r:id="rId1146" ref="I631"/>
    <hyperlink r:id="rId1147" ref="E632"/>
    <hyperlink r:id="rId1148" ref="I632"/>
    <hyperlink r:id="rId1149" ref="E633"/>
    <hyperlink r:id="rId1150" ref="I633"/>
    <hyperlink r:id="rId1151" ref="E634"/>
    <hyperlink r:id="rId1152" ref="E635"/>
    <hyperlink r:id="rId1153" ref="E636"/>
    <hyperlink r:id="rId1154" ref="I636"/>
    <hyperlink r:id="rId1155" ref="E637"/>
    <hyperlink r:id="rId1156" ref="I637"/>
    <hyperlink r:id="rId1157" ref="E638"/>
    <hyperlink r:id="rId1158" ref="I638"/>
    <hyperlink r:id="rId1159" ref="E639"/>
    <hyperlink r:id="rId1160" ref="I639"/>
    <hyperlink r:id="rId1161" ref="E640"/>
    <hyperlink r:id="rId1162" ref="I640"/>
    <hyperlink r:id="rId1163" ref="E641"/>
    <hyperlink r:id="rId1164" ref="E642"/>
    <hyperlink r:id="rId1165" ref="I642"/>
    <hyperlink r:id="rId1166" ref="E643"/>
    <hyperlink r:id="rId1167" ref="I643"/>
    <hyperlink r:id="rId1168" ref="E644"/>
    <hyperlink r:id="rId1169" ref="I644"/>
    <hyperlink r:id="rId1170" ref="E645"/>
    <hyperlink r:id="rId1171" ref="I645"/>
    <hyperlink r:id="rId1172" ref="E646"/>
    <hyperlink r:id="rId1173" ref="I646"/>
    <hyperlink r:id="rId1174" ref="E647"/>
    <hyperlink r:id="rId1175" ref="I647"/>
    <hyperlink r:id="rId1176" ref="E648"/>
    <hyperlink r:id="rId1177" ref="I648"/>
    <hyperlink r:id="rId1178" ref="E649"/>
    <hyperlink r:id="rId1179" ref="I649"/>
    <hyperlink r:id="rId1180" ref="E650"/>
    <hyperlink r:id="rId1181" ref="I650"/>
    <hyperlink r:id="rId1182" ref="E651"/>
    <hyperlink r:id="rId1183" ref="I651"/>
    <hyperlink r:id="rId1184" ref="E652"/>
    <hyperlink r:id="rId1185" ref="E653"/>
    <hyperlink r:id="rId1186" ref="I653"/>
    <hyperlink r:id="rId1187" ref="E654"/>
    <hyperlink r:id="rId1188" ref="I654"/>
    <hyperlink r:id="rId1189" ref="E655"/>
    <hyperlink r:id="rId1190" ref="I655"/>
    <hyperlink r:id="rId1191" ref="E656"/>
    <hyperlink r:id="rId1192" ref="I656"/>
    <hyperlink r:id="rId1193" ref="E657"/>
    <hyperlink r:id="rId1194" ref="I657"/>
    <hyperlink r:id="rId1195" ref="E658"/>
    <hyperlink r:id="rId1196" ref="I658"/>
    <hyperlink r:id="rId1197" ref="E659"/>
    <hyperlink r:id="rId1198" ref="I659"/>
    <hyperlink r:id="rId1199" ref="E660"/>
    <hyperlink r:id="rId1200" ref="E661"/>
    <hyperlink r:id="rId1201" ref="I661"/>
    <hyperlink r:id="rId1202" ref="E662"/>
    <hyperlink r:id="rId1203" ref="I662"/>
    <hyperlink r:id="rId1204" ref="E663"/>
    <hyperlink r:id="rId1205" ref="I663"/>
    <hyperlink r:id="rId1206" ref="E664"/>
    <hyperlink r:id="rId1207" ref="I664"/>
    <hyperlink r:id="rId1208" ref="E665"/>
    <hyperlink r:id="rId1209" ref="I665"/>
    <hyperlink r:id="rId1210" ref="E666"/>
    <hyperlink r:id="rId1211" ref="E667"/>
    <hyperlink r:id="rId1212" ref="E668"/>
    <hyperlink r:id="rId1213" ref="I668"/>
    <hyperlink r:id="rId1214" ref="E669"/>
    <hyperlink r:id="rId1215" ref="I669"/>
    <hyperlink r:id="rId1216" ref="E670"/>
    <hyperlink r:id="rId1217" ref="I670"/>
    <hyperlink r:id="rId1218" ref="E671"/>
    <hyperlink r:id="rId1219" ref="I671"/>
    <hyperlink r:id="rId1220" ref="E672"/>
    <hyperlink r:id="rId1221" ref="I672"/>
    <hyperlink r:id="rId1222" ref="E673"/>
    <hyperlink r:id="rId1223" ref="I673"/>
    <hyperlink r:id="rId1224" ref="E674"/>
    <hyperlink r:id="rId1225" ref="E675"/>
    <hyperlink r:id="rId1226" ref="I675"/>
    <hyperlink r:id="rId1227" ref="E676"/>
    <hyperlink r:id="rId1228" ref="I676"/>
    <hyperlink r:id="rId1229" ref="E677"/>
    <hyperlink r:id="rId1230" ref="E678"/>
    <hyperlink r:id="rId1231" ref="I678"/>
    <hyperlink r:id="rId1232" ref="E679"/>
    <hyperlink r:id="rId1233" ref="I679"/>
    <hyperlink r:id="rId1234" ref="E680"/>
    <hyperlink r:id="rId1235" ref="I680"/>
    <hyperlink r:id="rId1236" ref="E681"/>
    <hyperlink r:id="rId1237" ref="I681"/>
    <hyperlink r:id="rId1238" ref="E682"/>
    <hyperlink r:id="rId1239" ref="I682"/>
    <hyperlink r:id="rId1240" ref="E683"/>
    <hyperlink r:id="rId1241" ref="I683"/>
    <hyperlink r:id="rId1242" ref="E684"/>
    <hyperlink r:id="rId1243" ref="I684"/>
    <hyperlink r:id="rId1244" ref="E685"/>
    <hyperlink r:id="rId1245" ref="I685"/>
    <hyperlink r:id="rId1246" ref="E686"/>
    <hyperlink r:id="rId1247" ref="I686"/>
    <hyperlink r:id="rId1248" ref="E687"/>
    <hyperlink r:id="rId1249" ref="I687"/>
    <hyperlink r:id="rId1250" ref="E688"/>
    <hyperlink r:id="rId1251" ref="I688"/>
    <hyperlink r:id="rId1252" ref="E689"/>
    <hyperlink r:id="rId1253" ref="I689"/>
    <hyperlink r:id="rId1254" ref="E690"/>
    <hyperlink r:id="rId1255" ref="I690"/>
    <hyperlink r:id="rId1256" ref="E691"/>
    <hyperlink r:id="rId1257" ref="I691"/>
    <hyperlink r:id="rId1258" ref="E692"/>
    <hyperlink r:id="rId1259" ref="I692"/>
    <hyperlink r:id="rId1260" ref="E693"/>
    <hyperlink r:id="rId1261" ref="I693"/>
    <hyperlink r:id="rId1262" ref="E694"/>
    <hyperlink r:id="rId1263" ref="I694"/>
    <hyperlink r:id="rId1264" ref="E695"/>
    <hyperlink r:id="rId1265" ref="I695"/>
    <hyperlink r:id="rId1266" ref="E696"/>
    <hyperlink r:id="rId1267" ref="I696"/>
    <hyperlink r:id="rId1268" ref="E697"/>
    <hyperlink r:id="rId1269" ref="I697"/>
    <hyperlink r:id="rId1270" ref="E698"/>
    <hyperlink r:id="rId1271" ref="I698"/>
    <hyperlink r:id="rId1272" ref="E699"/>
    <hyperlink r:id="rId1273" ref="I699"/>
    <hyperlink r:id="rId1274" ref="E700"/>
    <hyperlink r:id="rId1275" ref="I700"/>
    <hyperlink r:id="rId1276" ref="E701"/>
    <hyperlink r:id="rId1277" ref="I701"/>
    <hyperlink r:id="rId1278" ref="E702"/>
    <hyperlink r:id="rId1279" ref="I702"/>
    <hyperlink r:id="rId1280" ref="E703"/>
    <hyperlink r:id="rId1281" ref="I703"/>
    <hyperlink r:id="rId1282" ref="E704"/>
    <hyperlink r:id="rId1283" ref="I704"/>
    <hyperlink r:id="rId1284" ref="E705"/>
    <hyperlink r:id="rId1285" ref="I705"/>
    <hyperlink r:id="rId1286" ref="E706"/>
    <hyperlink r:id="rId1287" ref="I706"/>
    <hyperlink r:id="rId1288" ref="E707"/>
    <hyperlink r:id="rId1289" ref="I707"/>
    <hyperlink r:id="rId1290" ref="E708"/>
    <hyperlink r:id="rId1291" ref="I708"/>
    <hyperlink r:id="rId1292" ref="E709"/>
    <hyperlink r:id="rId1293" ref="I709"/>
    <hyperlink r:id="rId1294" ref="E710"/>
    <hyperlink r:id="rId1295" ref="I710"/>
    <hyperlink r:id="rId1296" ref="E711"/>
    <hyperlink r:id="rId1297" ref="I711"/>
    <hyperlink r:id="rId1298" ref="E712"/>
    <hyperlink r:id="rId1299" ref="E713"/>
    <hyperlink r:id="rId1300" ref="E714"/>
    <hyperlink r:id="rId1301" ref="I714"/>
    <hyperlink r:id="rId1302" ref="E715"/>
    <hyperlink r:id="rId1303" ref="I715"/>
    <hyperlink r:id="rId1304" ref="E716"/>
    <hyperlink r:id="rId1305" ref="I716"/>
    <hyperlink r:id="rId1306" ref="E717"/>
    <hyperlink r:id="rId1307" ref="I717"/>
    <hyperlink r:id="rId1308" ref="E718"/>
    <hyperlink r:id="rId1309" ref="I718"/>
    <hyperlink r:id="rId1310" ref="E719"/>
    <hyperlink r:id="rId1311" ref="I719"/>
    <hyperlink r:id="rId1312" ref="E720"/>
    <hyperlink r:id="rId1313" ref="I720"/>
    <hyperlink r:id="rId1314" ref="E721"/>
    <hyperlink r:id="rId1315" ref="I721"/>
    <hyperlink r:id="rId1316" ref="E722"/>
    <hyperlink r:id="rId1317" ref="I722"/>
    <hyperlink r:id="rId1318" ref="E723"/>
    <hyperlink r:id="rId1319" ref="H723"/>
    <hyperlink r:id="rId1320" ref="I723"/>
    <hyperlink r:id="rId1321" ref="E724"/>
    <hyperlink r:id="rId1322" ref="I724"/>
    <hyperlink r:id="rId1323" ref="E725"/>
    <hyperlink r:id="rId1324" ref="I725"/>
    <hyperlink r:id="rId1325" ref="E726"/>
    <hyperlink r:id="rId1326" ref="I726"/>
    <hyperlink r:id="rId1327" ref="E727"/>
    <hyperlink r:id="rId1328" ref="I727"/>
    <hyperlink r:id="rId1329" ref="E728"/>
    <hyperlink r:id="rId1330" ref="I728"/>
    <hyperlink r:id="rId1331" ref="E729"/>
    <hyperlink r:id="rId1332" ref="I729"/>
    <hyperlink r:id="rId1333" ref="E730"/>
    <hyperlink r:id="rId1334" ref="I730"/>
    <hyperlink r:id="rId1335" ref="E731"/>
    <hyperlink r:id="rId1336" ref="I731"/>
    <hyperlink r:id="rId1337" ref="E732"/>
    <hyperlink r:id="rId1338" ref="I732"/>
    <hyperlink r:id="rId1339" ref="E733"/>
    <hyperlink r:id="rId1340" ref="I733"/>
    <hyperlink r:id="rId1341" ref="E734"/>
    <hyperlink r:id="rId1342" ref="I734"/>
    <hyperlink r:id="rId1343" ref="E735"/>
    <hyperlink r:id="rId1344" ref="I735"/>
    <hyperlink r:id="rId1345" ref="E736"/>
    <hyperlink r:id="rId1346" ref="I736"/>
    <hyperlink r:id="rId1347" ref="E737"/>
    <hyperlink r:id="rId1348" ref="I737"/>
    <hyperlink r:id="rId1349" ref="E738"/>
    <hyperlink r:id="rId1350" ref="I738"/>
    <hyperlink r:id="rId1351" ref="E739"/>
    <hyperlink r:id="rId1352" ref="I739"/>
    <hyperlink r:id="rId1353" ref="E740"/>
    <hyperlink r:id="rId1354" ref="I740"/>
    <hyperlink r:id="rId1355" ref="E741"/>
    <hyperlink r:id="rId1356" ref="I741"/>
    <hyperlink r:id="rId1357" ref="E742"/>
    <hyperlink r:id="rId1358" ref="I742"/>
    <hyperlink r:id="rId1359" ref="E743"/>
    <hyperlink r:id="rId1360" ref="I743"/>
    <hyperlink r:id="rId1361" ref="E744"/>
    <hyperlink r:id="rId1362" ref="I744"/>
    <hyperlink r:id="rId1363" ref="E745"/>
    <hyperlink r:id="rId1364" ref="I745"/>
    <hyperlink r:id="rId1365" ref="E746"/>
    <hyperlink r:id="rId1366" ref="I746"/>
    <hyperlink r:id="rId1367" ref="E747"/>
    <hyperlink r:id="rId1368" ref="I747"/>
    <hyperlink r:id="rId1369" ref="E748"/>
    <hyperlink r:id="rId1370" ref="I748"/>
    <hyperlink r:id="rId1371" ref="E749"/>
    <hyperlink r:id="rId1372" ref="I749"/>
    <hyperlink r:id="rId1373" ref="E750"/>
    <hyperlink r:id="rId1374" ref="I750"/>
    <hyperlink r:id="rId1375" ref="E751"/>
    <hyperlink r:id="rId1376" ref="I751"/>
    <hyperlink r:id="rId1377" ref="E752"/>
    <hyperlink r:id="rId1378" ref="I752"/>
    <hyperlink r:id="rId1379" ref="E753"/>
    <hyperlink r:id="rId1380" ref="I753"/>
    <hyperlink r:id="rId1381" ref="E754"/>
    <hyperlink r:id="rId1382" ref="I754"/>
    <hyperlink r:id="rId1383" ref="E755"/>
    <hyperlink r:id="rId1384" ref="I755"/>
    <hyperlink r:id="rId1385" ref="E756"/>
    <hyperlink r:id="rId1386" ref="I756"/>
    <hyperlink r:id="rId1387" ref="E757"/>
    <hyperlink r:id="rId1388" ref="I757"/>
    <hyperlink r:id="rId1389" ref="E758"/>
    <hyperlink r:id="rId1390" ref="I758"/>
    <hyperlink r:id="rId1391" ref="E759"/>
    <hyperlink r:id="rId1392" ref="I759"/>
    <hyperlink r:id="rId1393" ref="E760"/>
    <hyperlink r:id="rId1394" ref="I760"/>
    <hyperlink r:id="rId1395" ref="E761"/>
    <hyperlink r:id="rId1396" ref="I761"/>
    <hyperlink r:id="rId1397" ref="E762"/>
    <hyperlink r:id="rId1398" ref="I762"/>
    <hyperlink r:id="rId1399" ref="E763"/>
    <hyperlink r:id="rId1400" ref="I763"/>
    <hyperlink r:id="rId1401" ref="E764"/>
    <hyperlink r:id="rId1402" ref="I764"/>
    <hyperlink r:id="rId1403" ref="E765"/>
    <hyperlink r:id="rId1404" ref="E766"/>
    <hyperlink r:id="rId1405" ref="E767"/>
    <hyperlink r:id="rId1406" ref="I767"/>
    <hyperlink r:id="rId1407" ref="E768"/>
    <hyperlink r:id="rId1408" ref="I768"/>
    <hyperlink r:id="rId1409" ref="E769"/>
    <hyperlink r:id="rId1410" ref="I769"/>
    <hyperlink r:id="rId1411" ref="E770"/>
    <hyperlink r:id="rId1412" ref="I770"/>
    <hyperlink r:id="rId1413" ref="E771"/>
    <hyperlink r:id="rId1414" ref="E772"/>
    <hyperlink r:id="rId1415" ref="E773"/>
    <hyperlink r:id="rId1416" ref="I773"/>
    <hyperlink r:id="rId1417" ref="E774"/>
    <hyperlink r:id="rId1418" ref="I774"/>
    <hyperlink r:id="rId1419" ref="E775"/>
    <hyperlink r:id="rId1420" ref="I775"/>
    <hyperlink r:id="rId1421" ref="E776"/>
    <hyperlink r:id="rId1422" ref="I776"/>
    <hyperlink r:id="rId1423" ref="E777"/>
    <hyperlink r:id="rId1424" ref="E778"/>
    <hyperlink r:id="rId1425" ref="I778"/>
    <hyperlink r:id="rId1426" ref="E779"/>
    <hyperlink r:id="rId1427" ref="I779"/>
    <hyperlink r:id="rId1428" ref="E780"/>
    <hyperlink r:id="rId1429" ref="E781"/>
    <hyperlink r:id="rId1430" ref="I781"/>
    <hyperlink r:id="rId1431" ref="E782"/>
    <hyperlink r:id="rId1432" ref="I782"/>
    <hyperlink r:id="rId1433" ref="E783"/>
    <hyperlink r:id="rId1434" ref="I783"/>
    <hyperlink r:id="rId1435" ref="E784"/>
    <hyperlink r:id="rId1436" ref="E785"/>
    <hyperlink r:id="rId1437" ref="I785"/>
    <hyperlink r:id="rId1438" ref="E786"/>
    <hyperlink r:id="rId1439" ref="I786"/>
    <hyperlink r:id="rId1440" ref="E787"/>
    <hyperlink r:id="rId1441" ref="E788"/>
    <hyperlink r:id="rId1442" ref="I788"/>
    <hyperlink r:id="rId1443" ref="E789"/>
    <hyperlink r:id="rId1444" ref="E790"/>
    <hyperlink r:id="rId1445" ref="I790"/>
    <hyperlink r:id="rId1446" ref="E791"/>
    <hyperlink r:id="rId1447" ref="I791"/>
    <hyperlink r:id="rId1448" ref="E792"/>
    <hyperlink r:id="rId1449" ref="I792"/>
    <hyperlink r:id="rId1450" ref="E793"/>
    <hyperlink r:id="rId1451" ref="E794"/>
    <hyperlink r:id="rId1452" ref="I794"/>
    <hyperlink r:id="rId1453" ref="E795"/>
    <hyperlink r:id="rId1454" ref="I795"/>
    <hyperlink r:id="rId1455" ref="E796"/>
    <hyperlink r:id="rId1456" ref="E797"/>
    <hyperlink r:id="rId1457" ref="I797"/>
    <hyperlink r:id="rId1458" ref="E798"/>
    <hyperlink r:id="rId1459" ref="I798"/>
    <hyperlink r:id="rId1460" ref="E799"/>
    <hyperlink r:id="rId1461" ref="I799"/>
    <hyperlink r:id="rId1462" ref="E800"/>
    <hyperlink r:id="rId1463" ref="E801"/>
    <hyperlink r:id="rId1464" ref="I801"/>
    <hyperlink r:id="rId1465" ref="E802"/>
    <hyperlink r:id="rId1466" ref="I802"/>
    <hyperlink r:id="rId1467" ref="E803"/>
    <hyperlink r:id="rId1468" ref="I803"/>
    <hyperlink r:id="rId1469" ref="E804"/>
    <hyperlink r:id="rId1470" ref="E805"/>
    <hyperlink r:id="rId1471" ref="I805"/>
    <hyperlink r:id="rId1472" ref="E806"/>
    <hyperlink r:id="rId1473" ref="I806"/>
    <hyperlink r:id="rId1474" ref="E807"/>
    <hyperlink r:id="rId1475" ref="I807"/>
    <hyperlink r:id="rId1476" ref="E808"/>
    <hyperlink r:id="rId1477" ref="I808"/>
    <hyperlink r:id="rId1478" ref="E809"/>
    <hyperlink r:id="rId1479" ref="I809"/>
    <hyperlink r:id="rId1480" ref="E810"/>
    <hyperlink r:id="rId1481" ref="I810"/>
    <hyperlink r:id="rId1482" ref="E811"/>
    <hyperlink r:id="rId1483" ref="I811"/>
    <hyperlink r:id="rId1484" ref="E812"/>
    <hyperlink r:id="rId1485" ref="I812"/>
    <hyperlink r:id="rId1486" ref="E813"/>
    <hyperlink r:id="rId1487" ref="I813"/>
    <hyperlink r:id="rId1488" ref="E814"/>
    <hyperlink r:id="rId1489" ref="E815"/>
    <hyperlink r:id="rId1490" ref="I815"/>
    <hyperlink r:id="rId1491" ref="E816"/>
    <hyperlink r:id="rId1492" ref="I816"/>
    <hyperlink r:id="rId1493" ref="E817"/>
    <hyperlink r:id="rId1494" ref="I817"/>
    <hyperlink r:id="rId1495" ref="E818"/>
    <hyperlink r:id="rId1496" ref="I818"/>
    <hyperlink r:id="rId1497" ref="E819"/>
    <hyperlink r:id="rId1498" ref="I819"/>
    <hyperlink r:id="rId1499" ref="E820"/>
    <hyperlink r:id="rId1500" ref="I820"/>
    <hyperlink r:id="rId1501" ref="E821"/>
    <hyperlink r:id="rId1502" ref="I821"/>
    <hyperlink r:id="rId1503" ref="E822"/>
    <hyperlink r:id="rId1504" ref="I822"/>
    <hyperlink r:id="rId1505" ref="E823"/>
    <hyperlink r:id="rId1506" ref="I823"/>
    <hyperlink r:id="rId1507" ref="E824"/>
    <hyperlink r:id="rId1508" ref="I824"/>
    <hyperlink r:id="rId1509" ref="E825"/>
    <hyperlink r:id="rId1510" ref="E826"/>
    <hyperlink r:id="rId1511" ref="I826"/>
    <hyperlink r:id="rId1512" ref="E827"/>
    <hyperlink r:id="rId1513" ref="I827"/>
    <hyperlink r:id="rId1514" ref="E828"/>
    <hyperlink r:id="rId1515" ref="I828"/>
    <hyperlink r:id="rId1516" ref="E829"/>
    <hyperlink r:id="rId1517" ref="I829"/>
    <hyperlink r:id="rId1518" ref="E830"/>
    <hyperlink r:id="rId1519" ref="I830"/>
    <hyperlink r:id="rId1520" ref="E831"/>
    <hyperlink r:id="rId1521" ref="I831"/>
    <hyperlink r:id="rId1522" ref="B832"/>
    <hyperlink r:id="rId1523" ref="E832"/>
    <hyperlink r:id="rId1524" ref="E833"/>
    <hyperlink r:id="rId1525" ref="I833"/>
    <hyperlink r:id="rId1526" ref="E834"/>
    <hyperlink r:id="rId1527" ref="I834"/>
    <hyperlink r:id="rId1528" ref="E835"/>
    <hyperlink r:id="rId1529" ref="E836"/>
    <hyperlink r:id="rId1530" ref="I836"/>
    <hyperlink r:id="rId1531" ref="E837"/>
    <hyperlink r:id="rId1532" ref="E838"/>
    <hyperlink r:id="rId1533" ref="I838"/>
    <hyperlink r:id="rId1534" ref="E839"/>
    <hyperlink r:id="rId1535" ref="E840"/>
    <hyperlink r:id="rId1536" ref="I840"/>
    <hyperlink r:id="rId1537" ref="E841"/>
    <hyperlink r:id="rId1538" ref="I841"/>
    <hyperlink r:id="rId1539" ref="E842"/>
    <hyperlink r:id="rId1540" ref="I842"/>
    <hyperlink r:id="rId1541" ref="E843"/>
    <hyperlink r:id="rId1542" ref="I843"/>
    <hyperlink r:id="rId1543" ref="E844"/>
    <hyperlink r:id="rId1544" ref="E845"/>
    <hyperlink r:id="rId1545" ref="I845"/>
    <hyperlink r:id="rId1546" ref="E846"/>
    <hyperlink r:id="rId1547" ref="I846"/>
    <hyperlink r:id="rId1548" ref="E847"/>
    <hyperlink r:id="rId1549" ref="E848"/>
    <hyperlink r:id="rId1550" ref="E849"/>
    <hyperlink r:id="rId1551" ref="I849"/>
    <hyperlink r:id="rId1552" ref="E850"/>
    <hyperlink r:id="rId1553" ref="I850"/>
    <hyperlink r:id="rId1554" ref="E851"/>
    <hyperlink r:id="rId1555" ref="I851"/>
    <hyperlink r:id="rId1556" ref="E852"/>
    <hyperlink r:id="rId1557" ref="E853"/>
    <hyperlink r:id="rId1558" ref="E854"/>
    <hyperlink r:id="rId1559" ref="I854"/>
    <hyperlink r:id="rId1560" ref="E855"/>
    <hyperlink r:id="rId1561" ref="E856"/>
    <hyperlink r:id="rId1562" ref="I856"/>
    <hyperlink r:id="rId1563" ref="E857"/>
    <hyperlink r:id="rId1564" ref="I857"/>
    <hyperlink r:id="rId1565" ref="E858"/>
    <hyperlink r:id="rId1566" ref="I858"/>
    <hyperlink r:id="rId1567" ref="E859"/>
    <hyperlink r:id="rId1568" ref="E860"/>
    <hyperlink r:id="rId1569" ref="I860"/>
    <hyperlink r:id="rId1570" ref="E861"/>
    <hyperlink r:id="rId1571" ref="I861"/>
    <hyperlink r:id="rId1572" ref="E862"/>
    <hyperlink r:id="rId1573" ref="I862"/>
    <hyperlink r:id="rId1574" ref="E863"/>
    <hyperlink r:id="rId1575" ref="E864"/>
    <hyperlink r:id="rId1576" ref="E865"/>
    <hyperlink r:id="rId1577" ref="I865"/>
    <hyperlink r:id="rId1578" ref="E866"/>
    <hyperlink r:id="rId1579" ref="I866"/>
    <hyperlink r:id="rId1580" ref="E867"/>
    <hyperlink r:id="rId1581" ref="E868"/>
    <hyperlink r:id="rId1582" ref="I868"/>
    <hyperlink r:id="rId1583" ref="E869"/>
    <hyperlink r:id="rId1584" ref="I869"/>
    <hyperlink r:id="rId1585" ref="E870"/>
    <hyperlink r:id="rId1586" ref="I870"/>
    <hyperlink r:id="rId1587" ref="E871"/>
    <hyperlink r:id="rId1588" ref="E872"/>
    <hyperlink r:id="rId1589" ref="I872"/>
    <hyperlink r:id="rId1590" ref="E873"/>
    <hyperlink r:id="rId1591" ref="I873"/>
    <hyperlink r:id="rId1592" ref="E874"/>
    <hyperlink r:id="rId1593" ref="I874"/>
    <hyperlink r:id="rId1594" ref="E875"/>
    <hyperlink r:id="rId1595" ref="I875"/>
    <hyperlink r:id="rId1596" ref="E876"/>
    <hyperlink r:id="rId1597" ref="E877"/>
    <hyperlink r:id="rId1598" ref="I877"/>
    <hyperlink r:id="rId1599" ref="E878"/>
    <hyperlink r:id="rId1600" ref="I878"/>
    <hyperlink r:id="rId1601" ref="E879"/>
    <hyperlink r:id="rId1602" ref="I879"/>
    <hyperlink r:id="rId1603" ref="E880"/>
    <hyperlink r:id="rId1604" ref="I880"/>
    <hyperlink r:id="rId1605" ref="E881"/>
    <hyperlink r:id="rId1606" ref="E882"/>
    <hyperlink r:id="rId1607" ref="I882"/>
    <hyperlink r:id="rId1608" ref="E883"/>
    <hyperlink r:id="rId1609" ref="E884"/>
    <hyperlink r:id="rId1610" ref="I884"/>
    <hyperlink r:id="rId1611" ref="E885"/>
    <hyperlink r:id="rId1612" ref="I885"/>
    <hyperlink r:id="rId1613" ref="E886"/>
    <hyperlink r:id="rId1614" ref="I886"/>
    <hyperlink r:id="rId1615" ref="E887"/>
    <hyperlink r:id="rId1616" ref="E888"/>
    <hyperlink r:id="rId1617" ref="E889"/>
    <hyperlink r:id="rId1618" ref="I889"/>
    <hyperlink r:id="rId1619" ref="E890"/>
    <hyperlink r:id="rId1620" ref="E891"/>
    <hyperlink r:id="rId1621" ref="I891"/>
    <hyperlink r:id="rId1622" ref="E892"/>
    <hyperlink r:id="rId1623" ref="E893"/>
    <hyperlink r:id="rId1624" ref="I893"/>
    <hyperlink r:id="rId1625" ref="E894"/>
    <hyperlink r:id="rId1626" ref="E895"/>
    <hyperlink r:id="rId1627" ref="E896"/>
    <hyperlink r:id="rId1628" ref="E897"/>
    <hyperlink r:id="rId1629" ref="I897"/>
    <hyperlink r:id="rId1630" ref="E898"/>
    <hyperlink r:id="rId1631" ref="E899"/>
    <hyperlink r:id="rId1632" ref="I899"/>
    <hyperlink r:id="rId1633" ref="E900"/>
    <hyperlink r:id="rId1634" ref="E901"/>
    <hyperlink r:id="rId1635" ref="E902"/>
    <hyperlink r:id="rId1636" ref="I902"/>
    <hyperlink r:id="rId1637" ref="E903"/>
    <hyperlink r:id="rId1638" ref="E904"/>
    <hyperlink r:id="rId1639" ref="I904"/>
    <hyperlink r:id="rId1640" ref="E905"/>
    <hyperlink r:id="rId1641" ref="I905"/>
    <hyperlink r:id="rId1642" ref="E906"/>
    <hyperlink r:id="rId1643" ref="I906"/>
    <hyperlink r:id="rId1644" ref="E907"/>
    <hyperlink r:id="rId1645" ref="I907"/>
    <hyperlink r:id="rId1646" ref="E908"/>
    <hyperlink r:id="rId1647" ref="I908"/>
    <hyperlink r:id="rId1648" ref="E909"/>
    <hyperlink r:id="rId1649" ref="E910"/>
    <hyperlink r:id="rId1650" ref="E911"/>
    <hyperlink r:id="rId1651" ref="I911"/>
    <hyperlink r:id="rId1652" ref="E912"/>
    <hyperlink r:id="rId1653" ref="I912"/>
    <hyperlink r:id="rId1654" ref="E913"/>
    <hyperlink r:id="rId1655" ref="I913"/>
    <hyperlink r:id="rId1656" ref="E914"/>
    <hyperlink r:id="rId1657" ref="I914"/>
    <hyperlink r:id="rId1658" ref="E915"/>
    <hyperlink r:id="rId1659" ref="I915"/>
    <hyperlink r:id="rId1660" ref="E916"/>
    <hyperlink r:id="rId1661" ref="E917"/>
    <hyperlink r:id="rId1662" ref="I917"/>
    <hyperlink r:id="rId1663" ref="E918"/>
    <hyperlink r:id="rId1664" ref="I918"/>
    <hyperlink r:id="rId1665" ref="E919"/>
    <hyperlink r:id="rId1666" ref="I919"/>
    <hyperlink r:id="rId1667" ref="E920"/>
    <hyperlink r:id="rId1668" ref="I920"/>
    <hyperlink r:id="rId1669" ref="E921"/>
    <hyperlink r:id="rId1670" ref="I921"/>
    <hyperlink r:id="rId1671" ref="E922"/>
    <hyperlink r:id="rId1672" ref="I922"/>
    <hyperlink r:id="rId1673" ref="E923"/>
    <hyperlink r:id="rId1674" ref="I923"/>
    <hyperlink r:id="rId1675" ref="E924"/>
    <hyperlink r:id="rId1676" ref="I924"/>
    <hyperlink r:id="rId1677" ref="E925"/>
    <hyperlink r:id="rId1678" ref="I925"/>
    <hyperlink r:id="rId1679" ref="E926"/>
    <hyperlink r:id="rId1680" ref="E927"/>
    <hyperlink r:id="rId1681" ref="I927"/>
    <hyperlink r:id="rId1682" ref="E928"/>
    <hyperlink r:id="rId1683" ref="I928"/>
    <hyperlink r:id="rId1684" ref="E929"/>
    <hyperlink r:id="rId1685" ref="I929"/>
    <hyperlink r:id="rId1686" ref="E930"/>
    <hyperlink r:id="rId1687" ref="I930"/>
    <hyperlink r:id="rId1688" ref="E931"/>
    <hyperlink r:id="rId1689" ref="E932"/>
    <hyperlink r:id="rId1690" ref="I932"/>
    <hyperlink r:id="rId1691" ref="E933"/>
    <hyperlink r:id="rId1692" ref="I933"/>
    <hyperlink r:id="rId1693" ref="E934"/>
    <hyperlink r:id="rId1694" ref="I934"/>
    <hyperlink r:id="rId1695" ref="E935"/>
    <hyperlink r:id="rId1696" ref="I935"/>
    <hyperlink r:id="rId1697" ref="E936"/>
    <hyperlink r:id="rId1698" ref="E937"/>
    <hyperlink r:id="rId1699" ref="I937"/>
    <hyperlink r:id="rId1700" ref="E938"/>
    <hyperlink r:id="rId1701" ref="I938"/>
    <hyperlink r:id="rId1702" ref="E939"/>
    <hyperlink r:id="rId1703" ref="I939"/>
    <hyperlink r:id="rId1704" ref="E940"/>
    <hyperlink r:id="rId1705" ref="I940"/>
    <hyperlink r:id="rId1706" ref="E941"/>
    <hyperlink r:id="rId1707" ref="E942"/>
    <hyperlink r:id="rId1708" ref="I942"/>
    <hyperlink r:id="rId1709" ref="E943"/>
    <hyperlink r:id="rId1710" ref="E944"/>
    <hyperlink r:id="rId1711" ref="I944"/>
    <hyperlink r:id="rId1712" ref="E945"/>
    <hyperlink r:id="rId1713" ref="I945"/>
    <hyperlink r:id="rId1714" ref="E946"/>
    <hyperlink r:id="rId1715" ref="E947"/>
    <hyperlink r:id="rId1716" ref="I947"/>
    <hyperlink r:id="rId1717" ref="E948"/>
    <hyperlink r:id="rId1718" ref="I948"/>
    <hyperlink r:id="rId1719" ref="E949"/>
    <hyperlink r:id="rId1720" ref="E950"/>
    <hyperlink r:id="rId1721" ref="E951"/>
    <hyperlink r:id="rId1722" ref="E952"/>
    <hyperlink r:id="rId1723" ref="E953"/>
    <hyperlink r:id="rId1724" ref="E954"/>
    <hyperlink r:id="rId1725" ref="E955"/>
    <hyperlink r:id="rId1726" ref="I955"/>
    <hyperlink r:id="rId1727" ref="E956"/>
    <hyperlink r:id="rId1728" ref="E957"/>
    <hyperlink r:id="rId1729" ref="E958"/>
    <hyperlink r:id="rId1730" ref="E959"/>
    <hyperlink r:id="rId1731" ref="I959"/>
    <hyperlink r:id="rId1732" ref="E960"/>
    <hyperlink r:id="rId1733" ref="E961"/>
    <hyperlink r:id="rId1734" ref="I961"/>
    <hyperlink r:id="rId1735" ref="E962"/>
    <hyperlink r:id="rId1736" ref="I962"/>
    <hyperlink r:id="rId1737" ref="E963"/>
    <hyperlink r:id="rId1738" ref="E964"/>
    <hyperlink r:id="rId1739" ref="E965"/>
    <hyperlink r:id="rId1740" ref="E966"/>
    <hyperlink r:id="rId1741" ref="E967"/>
    <hyperlink r:id="rId1742" ref="E968"/>
    <hyperlink r:id="rId1743" ref="I968"/>
    <hyperlink r:id="rId1744" ref="E969"/>
    <hyperlink r:id="rId1745" ref="E970"/>
    <hyperlink r:id="rId1746" ref="I970"/>
    <hyperlink r:id="rId1747" ref="E971"/>
    <hyperlink r:id="rId1748" ref="E972"/>
    <hyperlink r:id="rId1749" ref="E973"/>
    <hyperlink r:id="rId1750" ref="I973"/>
    <hyperlink r:id="rId1751" ref="E974"/>
    <hyperlink r:id="rId1752" ref="I974"/>
    <hyperlink r:id="rId1753" ref="E975"/>
    <hyperlink r:id="rId1754" ref="E976"/>
    <hyperlink r:id="rId1755" ref="I976"/>
    <hyperlink r:id="rId1756" ref="E977"/>
    <hyperlink r:id="rId1757" ref="I977"/>
    <hyperlink r:id="rId1758" ref="E978"/>
    <hyperlink r:id="rId1759" ref="I978"/>
    <hyperlink r:id="rId1760" ref="E979"/>
    <hyperlink r:id="rId1761" ref="I979"/>
    <hyperlink r:id="rId1762" ref="E980"/>
    <hyperlink r:id="rId1763" ref="E981"/>
    <hyperlink r:id="rId1764" ref="E982"/>
    <hyperlink r:id="rId1765" ref="E983"/>
    <hyperlink r:id="rId1766" ref="B984"/>
    <hyperlink r:id="rId1767" ref="E984"/>
    <hyperlink r:id="rId1768" ref="E985"/>
    <hyperlink r:id="rId1769" ref="I985"/>
    <hyperlink r:id="rId1770" ref="E986"/>
    <hyperlink r:id="rId1771" ref="I986"/>
    <hyperlink r:id="rId1772" ref="E987"/>
    <hyperlink r:id="rId1773" ref="I987"/>
    <hyperlink r:id="rId1774" ref="E988"/>
    <hyperlink r:id="rId1775" ref="I988"/>
    <hyperlink r:id="rId1776" ref="E989"/>
    <hyperlink r:id="rId1777" ref="I989"/>
    <hyperlink r:id="rId1778" ref="E990"/>
    <hyperlink r:id="rId1779" ref="I990"/>
    <hyperlink r:id="rId1780" ref="E991"/>
    <hyperlink r:id="rId1781" ref="I991"/>
    <hyperlink r:id="rId1782" ref="E992"/>
    <hyperlink r:id="rId1783" ref="I992"/>
    <hyperlink r:id="rId1784" ref="E993"/>
    <hyperlink r:id="rId1785" ref="I993"/>
    <hyperlink r:id="rId1786" ref="E994"/>
    <hyperlink r:id="rId1787" ref="E995"/>
    <hyperlink r:id="rId1788" ref="I995"/>
    <hyperlink r:id="rId1789" ref="E996"/>
    <hyperlink r:id="rId1790" ref="E997"/>
    <hyperlink r:id="rId1791" ref="I997"/>
    <hyperlink r:id="rId1792" ref="E998"/>
    <hyperlink r:id="rId1793" ref="I998"/>
    <hyperlink r:id="rId1794" ref="E999"/>
    <hyperlink r:id="rId1795" ref="I999"/>
    <hyperlink r:id="rId1796" ref="E1000"/>
    <hyperlink r:id="rId1797" ref="I1000"/>
    <hyperlink r:id="rId1798" ref="E1001"/>
    <hyperlink r:id="rId1799" ref="I1001"/>
    <hyperlink r:id="rId1800" ref="E1002"/>
    <hyperlink r:id="rId1801" ref="I1002"/>
    <hyperlink r:id="rId1802" ref="E1003"/>
    <hyperlink r:id="rId1803" ref="I1003"/>
    <hyperlink r:id="rId1804" ref="E1004"/>
    <hyperlink r:id="rId1805" ref="I1004"/>
    <hyperlink r:id="rId1806" ref="E1005"/>
    <hyperlink r:id="rId1807" ref="I1005"/>
    <hyperlink r:id="rId1808" ref="E1006"/>
    <hyperlink r:id="rId1809" ref="I1006"/>
    <hyperlink r:id="rId1810" ref="E1007"/>
    <hyperlink r:id="rId1811" ref="I1007"/>
    <hyperlink r:id="rId1812" ref="E1008"/>
    <hyperlink r:id="rId1813" ref="I1008"/>
    <hyperlink r:id="rId1814" ref="E1009"/>
    <hyperlink r:id="rId1815" ref="I1009"/>
    <hyperlink r:id="rId1816" ref="E1010"/>
    <hyperlink r:id="rId1817" ref="I1010"/>
    <hyperlink r:id="rId1818" ref="E1011"/>
    <hyperlink r:id="rId1819" ref="I1011"/>
    <hyperlink r:id="rId1820" ref="E1012"/>
    <hyperlink r:id="rId1821" ref="I1012"/>
    <hyperlink r:id="rId1822" ref="E1013"/>
    <hyperlink r:id="rId1823" ref="I1013"/>
    <hyperlink r:id="rId1824" ref="E1014"/>
    <hyperlink r:id="rId1825" ref="E1015"/>
    <hyperlink r:id="rId1826" ref="I1015"/>
    <hyperlink r:id="rId1827" ref="E1016"/>
    <hyperlink r:id="rId1828" ref="I1016"/>
    <hyperlink r:id="rId1829" ref="E1017"/>
    <hyperlink r:id="rId1830" ref="I1017"/>
    <hyperlink r:id="rId1831" ref="E1018"/>
    <hyperlink r:id="rId1832" ref="I1018"/>
    <hyperlink r:id="rId1833" ref="E1019"/>
    <hyperlink r:id="rId1834" ref="I1019"/>
    <hyperlink r:id="rId1835" ref="E1020"/>
    <hyperlink r:id="rId1836" ref="I1020"/>
    <hyperlink r:id="rId1837" ref="E1021"/>
    <hyperlink r:id="rId1838" ref="I1021"/>
    <hyperlink r:id="rId1839" ref="E1022"/>
    <hyperlink r:id="rId1840" ref="E1023"/>
    <hyperlink r:id="rId1841" ref="I1023"/>
    <hyperlink r:id="rId1842" ref="E1024"/>
    <hyperlink r:id="rId1843" ref="I1024"/>
    <hyperlink r:id="rId1844" ref="E1025"/>
    <hyperlink r:id="rId1845" ref="I1025"/>
    <hyperlink r:id="rId1846" ref="E1026"/>
    <hyperlink r:id="rId1847" ref="I1026"/>
    <hyperlink r:id="rId1848" ref="E1027"/>
    <hyperlink r:id="rId1849" ref="I1027"/>
    <hyperlink r:id="rId1850" ref="E1028"/>
    <hyperlink r:id="rId1851" ref="I1028"/>
    <hyperlink r:id="rId1852" ref="E1029"/>
    <hyperlink r:id="rId1853" ref="I1029"/>
    <hyperlink r:id="rId1854" ref="E1030"/>
    <hyperlink r:id="rId1855" ref="I1030"/>
    <hyperlink r:id="rId1856" ref="E1031"/>
    <hyperlink r:id="rId1857" ref="I1031"/>
    <hyperlink r:id="rId1858" ref="E1032"/>
    <hyperlink r:id="rId1859" ref="I1032"/>
    <hyperlink r:id="rId1860" ref="E1033"/>
    <hyperlink r:id="rId1861" ref="I1033"/>
    <hyperlink r:id="rId1862" ref="E1034"/>
    <hyperlink r:id="rId1863" ref="I1034"/>
    <hyperlink r:id="rId1864" ref="E1035"/>
    <hyperlink r:id="rId1865" ref="I1035"/>
    <hyperlink r:id="rId1866" ref="E1036"/>
    <hyperlink r:id="rId1867" ref="I1036"/>
    <hyperlink r:id="rId1868" ref="E1037"/>
    <hyperlink r:id="rId1869" ref="I1037"/>
    <hyperlink r:id="rId1870" ref="E1038"/>
  </hyperlinks>
  <drawing r:id="rId1871"/>
</worksheet>
</file>